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drawings/drawing2.xml" ContentType="application/vnd.openxmlformats-officedocument.drawing+xml"/>
  <Override PartName="/xl/ink/ink6.xml" ContentType="application/inkml+xml"/>
  <Override PartName="/xl/ink/ink7.xml" ContentType="application/inkml+xml"/>
  <Override PartName="/xl/ink/ink8.xml" ContentType="application/inkml+xml"/>
  <Override PartName="/xl/ink/ink9.xml" ContentType="application/inkml+xml"/>
  <Override PartName="/xl/drawings/drawing3.xml" ContentType="application/vnd.openxmlformats-officedocument.drawing+xml"/>
  <Override PartName="/xl/ink/ink10.xml" ContentType="application/inkml+xml"/>
  <Override PartName="/xl/ink/ink11.xml" ContentType="application/inkml+xml"/>
  <Override PartName="/xl/drawings/drawing4.xml" ContentType="application/vnd.openxmlformats-officedocument.drawing+xml"/>
  <Override PartName="/xl/ink/ink12.xml" ContentType="application/inkml+xml"/>
  <Override PartName="/xl/ink/ink13.xml" ContentType="application/inkml+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paulk\OneDrive\Desktop\"/>
    </mc:Choice>
  </mc:AlternateContent>
  <xr:revisionPtr revIDLastSave="0" documentId="8_{480ACB2C-931E-4E19-A2AD-DE47E26E8EA1}" xr6:coauthVersionLast="47" xr6:coauthVersionMax="47" xr10:uidLastSave="{00000000-0000-0000-0000-000000000000}"/>
  <bookViews>
    <workbookView xWindow="-108" yWindow="-108" windowWidth="23256" windowHeight="12456" firstSheet="16" activeTab="15" xr2:uid="{00000000-000D-0000-FFFF-FFFF00000000}"/>
  </bookViews>
  <sheets>
    <sheet name="Sheet1" sheetId="1" state="hidden" r:id="rId1"/>
    <sheet name="Dir. CAB Memo" sheetId="2" state="hidden" r:id="rId2"/>
    <sheet name="DIR VERSION 2" sheetId="3" state="hidden" r:id="rId3"/>
    <sheet name="Memorandum - V4" sheetId="4" state="hidden" r:id="rId4"/>
    <sheet name="Sheet11" sheetId="5" state="hidden" r:id="rId5"/>
    <sheet name="Sheet10" sheetId="6" state="hidden" r:id="rId6"/>
    <sheet name="Budget Notes" sheetId="7" state="hidden" r:id="rId7"/>
    <sheet name="Sheet9" sheetId="8" state="hidden" r:id="rId8"/>
    <sheet name="Sheet7" sheetId="9" state="hidden" r:id="rId9"/>
    <sheet name="Sheet2" sheetId="10" state="hidden" r:id="rId10"/>
    <sheet name="cabinet" sheetId="11" state="hidden" r:id="rId11"/>
    <sheet name="Sheet5" sheetId="12" state="hidden" r:id="rId12"/>
    <sheet name="Sheet4" sheetId="13" state="hidden" r:id="rId13"/>
    <sheet name="ODG - TOURISM" sheetId="14" state="hidden" r:id="rId14"/>
    <sheet name="SUMMARY OF CHANGES" sheetId="15" r:id="rId15"/>
    <sheet name="Itemized Budget 2024-25" sheetId="16" r:id="rId16"/>
    <sheet name="FINAL RESOURCE ENVELOPE" sheetId="17" r:id="rId17"/>
    <sheet name="Summary" sheetId="18" r:id="rId18"/>
    <sheet name="Tables" sheetId="19" r:id="rId19"/>
    <sheet name="Programmes" sheetId="20" r:id="rId20"/>
    <sheet name="HE Analysis" sheetId="21" state="hidden" r:id="rId21"/>
    <sheet name="Sheet3" sheetId="22" state="hidden" r:id="rId22"/>
    <sheet name="List of Development Projects" sheetId="23" state="hidden" r:id="rId23"/>
    <sheet name="OOG" sheetId="24" state="hidden" r:id="rId24"/>
    <sheet name="Emerging issues" sheetId="25" state="hidden" r:id="rId25"/>
    <sheet name="CFSP vs budget" sheetId="26" state="hidden" r:id="rId26"/>
    <sheet name="Print 1" sheetId="27" state="hidden" r:id="rId27"/>
    <sheet name="Fin - Original" sheetId="28" state="hidden" r:id="rId28"/>
    <sheet name="ceilings" sheetId="29" state="hidden" r:id="rId29"/>
    <sheet name="masterHH" sheetId="30" state="hidden" r:id="rId30"/>
    <sheet name="Votes" sheetId="31" r:id="rId31"/>
    <sheet name="WRONG&gt;&gt;&gt;Revenue Projections" sheetId="32" state="hidden" r:id="rId32"/>
    <sheet name="Sheet6" sheetId="33" state="hidden" r:id="rId33"/>
    <sheet name="comparison btn approved CFSP " sheetId="34" state="hidden" r:id="rId34"/>
  </sheets>
  <externalReferences>
    <externalReference r:id="rId35"/>
    <externalReference r:id="rId36"/>
    <externalReference r:id="rId37"/>
  </externalReferences>
  <definedNames>
    <definedName name="_xlnm._FilterDatabase" localSheetId="20" hidden="1">'HE Analysis'!$B$1:$N$4956</definedName>
    <definedName name="_xlnm._FilterDatabase" localSheetId="15" hidden="1">'Itemized Budget 2024-25'!$C$2:$U$5042</definedName>
    <definedName name="_Hlk179534267" localSheetId="6">'Budget Notes'!$I$111</definedName>
    <definedName name="_Hlk195011477" localSheetId="16">'FINAL RESOURCE ENVELOPE'!$F$38</definedName>
    <definedName name="_Hlk195011496" localSheetId="16">'FINAL RESOURCE ENVELOPE'!$F$6</definedName>
    <definedName name="_Hlk195011520" localSheetId="16">'FINAL RESOURCE ENVELOPE'!$F$22</definedName>
    <definedName name="_Hlk195011545" localSheetId="16">'FINAL RESOURCE ENVELOPE'!$F$30</definedName>
    <definedName name="_Hlk195011580" localSheetId="16">'FINAL RESOURCE ENVELOPE'!$F$32</definedName>
    <definedName name="_xlnm.Print_Area" localSheetId="33">'comparison btn approved CFSP '!$A$1:$M$23</definedName>
    <definedName name="_xlnm.Print_Area" localSheetId="15">'Itemized Budget 2024-25'!$A$1:$P$5042</definedName>
    <definedName name="_xlnm.Print_Area" localSheetId="19">Programmes!$A$1:$E$143</definedName>
    <definedName name="_xlnm.Print_Area" localSheetId="17">Summary!$A$1:$G$22</definedName>
    <definedName name="_xlnm.Print_Titles" localSheetId="6">'Budget Notes'!$2:$2</definedName>
    <definedName name="_xlnm.Print_Titles" localSheetId="33">'comparison btn approved CFSP '!$5:$6</definedName>
    <definedName name="_xlnm.Print_Titles" localSheetId="15">'Itemized Budget 2024-25'!$2:$2</definedName>
    <definedName name="_xlnm.Print_Titles" localSheetId="22">'List of Development Projects'!$2:$2</definedName>
    <definedName name="_xlnm.Print_Titles" localSheetId="19">Programmes!$4:$5</definedName>
    <definedName name="_xlnm.Print_Titles" localSheetId="8">Sheet7!$2:$2</definedName>
    <definedName name="_xlnm.Print_Titles" localSheetId="31">'WRONG&gt;&gt;&gt;Revenue Projections'!$4:$5</definedName>
  </definedNames>
  <calcPr calcId="191029"/>
</workbook>
</file>

<file path=xl/calcChain.xml><?xml version="1.0" encoding="utf-8"?>
<calcChain xmlns="http://schemas.openxmlformats.org/spreadsheetml/2006/main">
  <c r="T47" i="16" l="1"/>
  <c r="W46" i="16"/>
  <c r="F14" i="15"/>
  <c r="F30" i="17"/>
  <c r="G29" i="17"/>
  <c r="F1999" i="16" l="1"/>
  <c r="G1999" i="16"/>
  <c r="H1999" i="16"/>
  <c r="J1999" i="16"/>
  <c r="K1999" i="16"/>
  <c r="E1999" i="16"/>
  <c r="N1997" i="16"/>
  <c r="I1997" i="16"/>
  <c r="L1997" i="16" s="1"/>
  <c r="O1997" i="16" l="1"/>
  <c r="P1997" i="16" s="1"/>
  <c r="M57" i="16" l="1"/>
  <c r="M33" i="16"/>
  <c r="M26" i="16"/>
  <c r="M25" i="16"/>
  <c r="M24" i="16"/>
  <c r="M16" i="16"/>
  <c r="N16" i="16" s="1"/>
  <c r="N8" i="16"/>
  <c r="N10" i="16"/>
  <c r="N12" i="16"/>
  <c r="N13" i="16"/>
  <c r="N15" i="16"/>
  <c r="N17" i="16"/>
  <c r="N19" i="16"/>
  <c r="N20" i="16"/>
  <c r="N21" i="16"/>
  <c r="N22" i="16"/>
  <c r="N24" i="16"/>
  <c r="N25" i="16"/>
  <c r="N26" i="16"/>
  <c r="N28" i="16"/>
  <c r="N29" i="16"/>
  <c r="N30" i="16"/>
  <c r="N32" i="16"/>
  <c r="N33" i="16"/>
  <c r="N34" i="16"/>
  <c r="N35" i="16"/>
  <c r="N36" i="16"/>
  <c r="N37" i="16"/>
  <c r="N39" i="16"/>
  <c r="N40" i="16"/>
  <c r="N41" i="16"/>
  <c r="N42" i="16"/>
  <c r="N43" i="16"/>
  <c r="N45" i="16"/>
  <c r="N46" i="16"/>
  <c r="N47" i="16"/>
  <c r="N49" i="16"/>
  <c r="N50" i="16"/>
  <c r="N51" i="16"/>
  <c r="N53" i="16"/>
  <c r="N55" i="16"/>
  <c r="N56" i="16"/>
  <c r="N57" i="16"/>
  <c r="N58" i="16"/>
  <c r="N61" i="16"/>
  <c r="N62" i="16"/>
  <c r="N64" i="16"/>
  <c r="N66" i="16"/>
  <c r="N67" i="16"/>
  <c r="N69" i="16"/>
  <c r="N70" i="16"/>
  <c r="N71" i="16"/>
  <c r="N73" i="16"/>
  <c r="N74" i="16"/>
  <c r="N76" i="16"/>
  <c r="N77" i="16"/>
  <c r="N78" i="16"/>
  <c r="N80" i="16"/>
  <c r="N82" i="16"/>
  <c r="N83" i="16"/>
  <c r="N84" i="16"/>
  <c r="N85" i="16"/>
  <c r="N88" i="16"/>
  <c r="N89" i="16"/>
  <c r="N90" i="16"/>
  <c r="N92" i="16"/>
  <c r="N93" i="16"/>
  <c r="N95" i="16"/>
  <c r="N96" i="16"/>
  <c r="N98" i="16"/>
  <c r="N99" i="16"/>
  <c r="N100" i="16"/>
  <c r="N102" i="16"/>
  <c r="N104" i="16"/>
  <c r="N105" i="16"/>
  <c r="N106" i="16"/>
  <c r="N107" i="16"/>
  <c r="N108" i="16"/>
  <c r="N109" i="16"/>
  <c r="N111" i="16"/>
  <c r="N112" i="16"/>
  <c r="N114" i="16"/>
  <c r="N115" i="16"/>
  <c r="N116" i="16"/>
  <c r="N118" i="16"/>
  <c r="N119" i="16"/>
  <c r="N121" i="16"/>
  <c r="N123" i="16"/>
  <c r="N124" i="16"/>
  <c r="N126" i="16"/>
  <c r="N128" i="16"/>
  <c r="N129" i="16"/>
  <c r="N131" i="16"/>
  <c r="N132" i="16"/>
  <c r="N133" i="16"/>
  <c r="N136" i="16"/>
  <c r="N137" i="16"/>
  <c r="N139" i="16"/>
  <c r="N140" i="16"/>
  <c r="N142" i="16"/>
  <c r="N143" i="16"/>
  <c r="N145" i="16"/>
  <c r="N146" i="16"/>
  <c r="N147" i="16"/>
  <c r="N149" i="16"/>
  <c r="N150" i="16"/>
  <c r="N151" i="16"/>
  <c r="N152" i="16"/>
  <c r="N153" i="16"/>
  <c r="N154" i="16"/>
  <c r="N155" i="16"/>
  <c r="N157" i="16"/>
  <c r="N158" i="16"/>
  <c r="N160" i="16"/>
  <c r="N161" i="16"/>
  <c r="N162" i="16"/>
  <c r="N164" i="16"/>
  <c r="N166" i="16"/>
  <c r="N167" i="16"/>
  <c r="N169" i="16"/>
  <c r="N171" i="16"/>
  <c r="N172" i="16"/>
  <c r="N174" i="16"/>
  <c r="N175" i="16"/>
  <c r="N176" i="16"/>
  <c r="N179" i="16"/>
  <c r="N180" i="16"/>
  <c r="N182" i="16"/>
  <c r="N183" i="16"/>
  <c r="N185" i="16"/>
  <c r="N186" i="16"/>
  <c r="N188" i="16"/>
  <c r="N189" i="16"/>
  <c r="N190" i="16"/>
  <c r="N192" i="16"/>
  <c r="N194" i="16"/>
  <c r="N195" i="16"/>
  <c r="N196" i="16"/>
  <c r="N197" i="16"/>
  <c r="N199" i="16"/>
  <c r="N200" i="16"/>
  <c r="N202" i="16"/>
  <c r="N203" i="16"/>
  <c r="N204" i="16"/>
  <c r="N206" i="16"/>
  <c r="N208" i="16"/>
  <c r="N209" i="16"/>
  <c r="N211" i="16"/>
  <c r="N213" i="16"/>
  <c r="N214" i="16"/>
  <c r="N215" i="16"/>
  <c r="N216" i="16"/>
  <c r="N219" i="16"/>
  <c r="N220" i="16"/>
  <c r="N222" i="16"/>
  <c r="N223" i="16"/>
  <c r="N225" i="16"/>
  <c r="N226" i="16"/>
  <c r="N228" i="16"/>
  <c r="N229" i="16"/>
  <c r="N230" i="16"/>
  <c r="N232" i="16"/>
  <c r="N234" i="16"/>
  <c r="N235" i="16"/>
  <c r="N236" i="16"/>
  <c r="N237" i="16"/>
  <c r="N238" i="16"/>
  <c r="N239" i="16"/>
  <c r="N241" i="16"/>
  <c r="N242" i="16"/>
  <c r="N244" i="16"/>
  <c r="N245" i="16"/>
  <c r="N246" i="16"/>
  <c r="N248" i="16"/>
  <c r="N250" i="16"/>
  <c r="N251" i="16"/>
  <c r="N253" i="16"/>
  <c r="N255" i="16"/>
  <c r="N256" i="16"/>
  <c r="N257" i="16"/>
  <c r="N258" i="16"/>
  <c r="N259" i="16"/>
  <c r="N262" i="16"/>
  <c r="N263" i="16"/>
  <c r="N265" i="16"/>
  <c r="N266" i="16"/>
  <c r="N268" i="16"/>
  <c r="N269" i="16"/>
  <c r="N270" i="16"/>
  <c r="N272" i="16"/>
  <c r="N274" i="16"/>
  <c r="N275" i="16"/>
  <c r="N276" i="16"/>
  <c r="N277" i="16"/>
  <c r="N278" i="16"/>
  <c r="N279" i="16"/>
  <c r="N281" i="16"/>
  <c r="N282" i="16"/>
  <c r="N284" i="16"/>
  <c r="N285" i="16"/>
  <c r="N286" i="16"/>
  <c r="N288" i="16"/>
  <c r="N290" i="16"/>
  <c r="N291" i="16"/>
  <c r="N293" i="16"/>
  <c r="N294" i="16"/>
  <c r="N296" i="16"/>
  <c r="N297" i="16"/>
  <c r="N298" i="16"/>
  <c r="N304" i="16"/>
  <c r="N305" i="16"/>
  <c r="N306" i="16"/>
  <c r="N308" i="16"/>
  <c r="N309" i="16"/>
  <c r="N311" i="16"/>
  <c r="N312" i="16"/>
  <c r="N313" i="16"/>
  <c r="N315" i="16"/>
  <c r="N316" i="16"/>
  <c r="N317" i="16"/>
  <c r="N319" i="16"/>
  <c r="N320" i="16"/>
  <c r="N321" i="16"/>
  <c r="N322" i="16"/>
  <c r="N323" i="16"/>
  <c r="N324" i="16"/>
  <c r="N326" i="16"/>
  <c r="N327" i="16"/>
  <c r="N329" i="16"/>
  <c r="N331" i="16"/>
  <c r="N332" i="16"/>
  <c r="N333" i="16"/>
  <c r="N335" i="16"/>
  <c r="N337" i="16"/>
  <c r="N339" i="16"/>
  <c r="N340" i="16"/>
  <c r="N341" i="16"/>
  <c r="N343" i="16"/>
  <c r="N344" i="16"/>
  <c r="N345" i="16"/>
  <c r="N346" i="16"/>
  <c r="N349" i="16"/>
  <c r="N350" i="16"/>
  <c r="N351" i="16"/>
  <c r="N353" i="16"/>
  <c r="N354" i="16"/>
  <c r="N357" i="16"/>
  <c r="N358" i="16"/>
  <c r="N359" i="16"/>
  <c r="N361" i="16"/>
  <c r="N362" i="16"/>
  <c r="N363" i="16"/>
  <c r="N365" i="16"/>
  <c r="N367" i="16"/>
  <c r="N368" i="16"/>
  <c r="N369" i="16"/>
  <c r="N371" i="16"/>
  <c r="N373" i="16"/>
  <c r="N375" i="16"/>
  <c r="N377" i="16"/>
  <c r="N378" i="16"/>
  <c r="N379" i="16"/>
  <c r="N380" i="16"/>
  <c r="N384" i="16"/>
  <c r="N388" i="16"/>
  <c r="N389" i="16"/>
  <c r="N390" i="16"/>
  <c r="N391" i="16"/>
  <c r="N392" i="16"/>
  <c r="N394" i="16"/>
  <c r="N395" i="16"/>
  <c r="N397" i="16"/>
  <c r="N398" i="16"/>
  <c r="N400" i="16"/>
  <c r="N401" i="16"/>
  <c r="N402" i="16"/>
  <c r="N404" i="16"/>
  <c r="N406" i="16"/>
  <c r="N407" i="16"/>
  <c r="N408" i="16"/>
  <c r="N410" i="16"/>
  <c r="N411" i="16"/>
  <c r="N412" i="16"/>
  <c r="N414" i="16"/>
  <c r="N415" i="16"/>
  <c r="N416" i="16"/>
  <c r="N417" i="16"/>
  <c r="N418" i="16"/>
  <c r="N419" i="16"/>
  <c r="N421" i="16"/>
  <c r="N422" i="16"/>
  <c r="N424" i="16"/>
  <c r="N425" i="16"/>
  <c r="N426" i="16"/>
  <c r="N428" i="16"/>
  <c r="N430" i="16"/>
  <c r="N432" i="16"/>
  <c r="N434" i="16"/>
  <c r="N435" i="16"/>
  <c r="N437" i="16"/>
  <c r="N438" i="16"/>
  <c r="N439" i="16"/>
  <c r="N440" i="16"/>
  <c r="N441" i="16"/>
  <c r="N444" i="16"/>
  <c r="N445" i="16"/>
  <c r="N446" i="16"/>
  <c r="N448" i="16"/>
  <c r="N449" i="16"/>
  <c r="N451" i="16"/>
  <c r="N452" i="16"/>
  <c r="N453" i="16"/>
  <c r="N455" i="16"/>
  <c r="N457" i="16"/>
  <c r="N458" i="16"/>
  <c r="N459" i="16"/>
  <c r="N461" i="16"/>
  <c r="N462" i="16"/>
  <c r="N463" i="16"/>
  <c r="N465" i="16"/>
  <c r="N466" i="16"/>
  <c r="N467" i="16"/>
  <c r="N468" i="16"/>
  <c r="N469" i="16"/>
  <c r="N470" i="16"/>
  <c r="N472" i="16"/>
  <c r="N473" i="16"/>
  <c r="N475" i="16"/>
  <c r="N476" i="16"/>
  <c r="N477" i="16"/>
  <c r="N479" i="16"/>
  <c r="N481" i="16"/>
  <c r="N483" i="16"/>
  <c r="N484" i="16"/>
  <c r="N485" i="16"/>
  <c r="N486" i="16"/>
  <c r="N489" i="16"/>
  <c r="N490" i="16"/>
  <c r="N491" i="16"/>
  <c r="N493" i="16"/>
  <c r="N494" i="16"/>
  <c r="N496" i="16"/>
  <c r="N497" i="16"/>
  <c r="N498" i="16"/>
  <c r="N499" i="16"/>
  <c r="N501" i="16"/>
  <c r="N502" i="16"/>
  <c r="N503" i="16"/>
  <c r="N505" i="16"/>
  <c r="N506" i="16"/>
  <c r="N507" i="16"/>
  <c r="N509" i="16"/>
  <c r="N510" i="16"/>
  <c r="N512" i="16"/>
  <c r="N514" i="16"/>
  <c r="N516" i="16"/>
  <c r="N517" i="16"/>
  <c r="N518" i="16"/>
  <c r="N519" i="16"/>
  <c r="N521" i="16"/>
  <c r="N522" i="16"/>
  <c r="N523" i="16"/>
  <c r="N524" i="16"/>
  <c r="N527" i="16"/>
  <c r="N528" i="16"/>
  <c r="N529" i="16"/>
  <c r="N531" i="16"/>
  <c r="N532" i="16"/>
  <c r="N534" i="16"/>
  <c r="N535" i="16"/>
  <c r="N537" i="16"/>
  <c r="N538" i="16"/>
  <c r="N539" i="16"/>
  <c r="N540" i="16"/>
  <c r="N542" i="16"/>
  <c r="N543" i="16"/>
  <c r="N544" i="16"/>
  <c r="N546" i="16"/>
  <c r="N547" i="16"/>
  <c r="N549" i="16"/>
  <c r="N550" i="16"/>
  <c r="N551" i="16"/>
  <c r="N552" i="16"/>
  <c r="N553" i="16"/>
  <c r="N555" i="16"/>
  <c r="N556" i="16"/>
  <c r="N557" i="16"/>
  <c r="N558" i="16"/>
  <c r="N560" i="16"/>
  <c r="N562" i="16"/>
  <c r="N563" i="16"/>
  <c r="N564" i="16"/>
  <c r="N566" i="16"/>
  <c r="N568" i="16"/>
  <c r="N569" i="16"/>
  <c r="N571" i="16"/>
  <c r="N572" i="16"/>
  <c r="N574" i="16"/>
  <c r="N575" i="16"/>
  <c r="N577" i="16"/>
  <c r="N578" i="16"/>
  <c r="N580" i="16"/>
  <c r="N582" i="16"/>
  <c r="N583" i="16"/>
  <c r="N584" i="16"/>
  <c r="N587" i="16"/>
  <c r="N588" i="16"/>
  <c r="N590" i="16"/>
  <c r="N591" i="16"/>
  <c r="N593" i="16"/>
  <c r="N594" i="16"/>
  <c r="N596" i="16"/>
  <c r="N597" i="16"/>
  <c r="N598" i="16"/>
  <c r="N600" i="16"/>
  <c r="N602" i="16"/>
  <c r="N603" i="16"/>
  <c r="N605" i="16"/>
  <c r="N607" i="16"/>
  <c r="N608" i="16"/>
  <c r="N609" i="16"/>
  <c r="N611" i="16"/>
  <c r="N613" i="16"/>
  <c r="N615" i="16"/>
  <c r="N616" i="16"/>
  <c r="N617" i="16"/>
  <c r="N618" i="16"/>
  <c r="N621" i="16"/>
  <c r="N622" i="16"/>
  <c r="N624" i="16"/>
  <c r="N625" i="16"/>
  <c r="N627" i="16"/>
  <c r="N628" i="16"/>
  <c r="N630" i="16"/>
  <c r="N631" i="16"/>
  <c r="N632" i="16"/>
  <c r="N634" i="16"/>
  <c r="N635" i="16"/>
  <c r="N636" i="16"/>
  <c r="N638" i="16"/>
  <c r="N640" i="16"/>
  <c r="N641" i="16"/>
  <c r="N643" i="16"/>
  <c r="N645" i="16"/>
  <c r="N646" i="16"/>
  <c r="N647" i="16"/>
  <c r="N649" i="16"/>
  <c r="N651" i="16"/>
  <c r="N653" i="16"/>
  <c r="N655" i="16"/>
  <c r="N656" i="16"/>
  <c r="N658" i="16"/>
  <c r="N660" i="16"/>
  <c r="N661" i="16"/>
  <c r="N662" i="16"/>
  <c r="N663" i="16"/>
  <c r="N666" i="16"/>
  <c r="N667" i="16"/>
  <c r="N669" i="16"/>
  <c r="N670" i="16"/>
  <c r="N672" i="16"/>
  <c r="N673" i="16"/>
  <c r="N674" i="16"/>
  <c r="N676" i="16"/>
  <c r="N677" i="16"/>
  <c r="N678" i="16"/>
  <c r="N680" i="16"/>
  <c r="N682" i="16"/>
  <c r="N683" i="16"/>
  <c r="N684" i="16"/>
  <c r="N686" i="16"/>
  <c r="N687" i="16"/>
  <c r="N688" i="16"/>
  <c r="N690" i="16"/>
  <c r="N692" i="16"/>
  <c r="N693" i="16"/>
  <c r="N695" i="16"/>
  <c r="N697" i="16"/>
  <c r="N698" i="16"/>
  <c r="N699" i="16"/>
  <c r="N700" i="16"/>
  <c r="N703" i="16"/>
  <c r="N705" i="16"/>
  <c r="N706" i="16"/>
  <c r="N707" i="16"/>
  <c r="N708" i="16"/>
  <c r="N710" i="16"/>
  <c r="N712" i="16"/>
  <c r="N713" i="16"/>
  <c r="N715" i="16"/>
  <c r="N716" i="16"/>
  <c r="N717" i="16"/>
  <c r="N719" i="16"/>
  <c r="N720" i="16"/>
  <c r="N721" i="16"/>
  <c r="N722" i="16"/>
  <c r="N724" i="16"/>
  <c r="N725" i="16"/>
  <c r="N726" i="16"/>
  <c r="N727" i="16"/>
  <c r="N729" i="16"/>
  <c r="N731" i="16"/>
  <c r="N732" i="16"/>
  <c r="N733" i="16"/>
  <c r="N734" i="16"/>
  <c r="N735" i="16"/>
  <c r="N736" i="16"/>
  <c r="N738" i="16"/>
  <c r="N739" i="16"/>
  <c r="N740" i="16"/>
  <c r="N741" i="16"/>
  <c r="N743" i="16"/>
  <c r="N744" i="16"/>
  <c r="N746" i="16"/>
  <c r="N747" i="16"/>
  <c r="N748" i="16"/>
  <c r="N750" i="16"/>
  <c r="N751" i="16"/>
  <c r="N752" i="16"/>
  <c r="N754" i="16"/>
  <c r="N756" i="16"/>
  <c r="N758" i="16"/>
  <c r="N759" i="16"/>
  <c r="N761" i="16"/>
  <c r="N762" i="16"/>
  <c r="N764" i="16"/>
  <c r="N766" i="16"/>
  <c r="N767" i="16"/>
  <c r="N769" i="16"/>
  <c r="N770" i="16"/>
  <c r="N772" i="16"/>
  <c r="N774" i="16"/>
  <c r="N775" i="16"/>
  <c r="N777" i="16"/>
  <c r="N778" i="16"/>
  <c r="N779" i="16"/>
  <c r="N780" i="16"/>
  <c r="N782" i="16"/>
  <c r="N785" i="16"/>
  <c r="N786" i="16"/>
  <c r="N787" i="16"/>
  <c r="N789" i="16"/>
  <c r="N790" i="16"/>
  <c r="N792" i="16"/>
  <c r="N793" i="16"/>
  <c r="N795" i="16"/>
  <c r="N796" i="16"/>
  <c r="N797" i="16"/>
  <c r="N798" i="16"/>
  <c r="N800" i="16"/>
  <c r="N801" i="16"/>
  <c r="N802" i="16"/>
  <c r="N804" i="16"/>
  <c r="N805" i="16"/>
  <c r="N806" i="16"/>
  <c r="N807" i="16"/>
  <c r="N808" i="16"/>
  <c r="N809" i="16"/>
  <c r="N811" i="16"/>
  <c r="N812" i="16"/>
  <c r="N813" i="16"/>
  <c r="N814" i="16"/>
  <c r="N816" i="16"/>
  <c r="N818" i="16"/>
  <c r="N819" i="16"/>
  <c r="N820" i="16"/>
  <c r="N822" i="16"/>
  <c r="N823" i="16"/>
  <c r="N825" i="16"/>
  <c r="N826" i="16"/>
  <c r="N828" i="16"/>
  <c r="N829" i="16"/>
  <c r="N831" i="16"/>
  <c r="N832" i="16"/>
  <c r="N834" i="16"/>
  <c r="N835" i="16"/>
  <c r="N837" i="16"/>
  <c r="N844" i="16"/>
  <c r="N845" i="16"/>
  <c r="N847" i="16"/>
  <c r="N848" i="16"/>
  <c r="N850" i="16"/>
  <c r="N852" i="16"/>
  <c r="N853" i="16"/>
  <c r="N854" i="16"/>
  <c r="N856" i="16"/>
  <c r="N857" i="16"/>
  <c r="N859" i="16"/>
  <c r="N860" i="16"/>
  <c r="N861" i="16"/>
  <c r="N862" i="16"/>
  <c r="N864" i="16"/>
  <c r="N865" i="16"/>
  <c r="N866" i="16"/>
  <c r="N868" i="16"/>
  <c r="N869" i="16"/>
  <c r="N870" i="16"/>
  <c r="N871" i="16"/>
  <c r="N873" i="16"/>
  <c r="N874" i="16"/>
  <c r="N875" i="16"/>
  <c r="N876" i="16"/>
  <c r="N877" i="16"/>
  <c r="N879" i="16"/>
  <c r="N881" i="16"/>
  <c r="N882" i="16"/>
  <c r="N883" i="16"/>
  <c r="N885" i="16"/>
  <c r="N887" i="16"/>
  <c r="N888" i="16"/>
  <c r="N889" i="16"/>
  <c r="N894" i="16"/>
  <c r="N895" i="16"/>
  <c r="N897" i="16"/>
  <c r="N898" i="16"/>
  <c r="N899" i="16"/>
  <c r="N901" i="16"/>
  <c r="N902" i="16"/>
  <c r="N903" i="16"/>
  <c r="N904" i="16"/>
  <c r="N905" i="16"/>
  <c r="N908" i="16"/>
  <c r="N909" i="16"/>
  <c r="N910" i="16"/>
  <c r="N912" i="16"/>
  <c r="N914" i="16"/>
  <c r="N915" i="16"/>
  <c r="N917" i="16"/>
  <c r="N918" i="16"/>
  <c r="N920" i="16"/>
  <c r="N921" i="16"/>
  <c r="N922" i="16"/>
  <c r="N923" i="16"/>
  <c r="N925" i="16"/>
  <c r="N927" i="16"/>
  <c r="N928" i="16"/>
  <c r="N929" i="16"/>
  <c r="N930" i="16"/>
  <c r="N931" i="16"/>
  <c r="N932" i="16"/>
  <c r="N933" i="16"/>
  <c r="N934" i="16"/>
  <c r="N935" i="16"/>
  <c r="N937" i="16"/>
  <c r="N938" i="16"/>
  <c r="N939" i="16"/>
  <c r="N941" i="16"/>
  <c r="N943" i="16"/>
  <c r="N944" i="16"/>
  <c r="N946" i="16"/>
  <c r="N947" i="16"/>
  <c r="N949" i="16"/>
  <c r="N950" i="16"/>
  <c r="N952" i="16"/>
  <c r="N954" i="16"/>
  <c r="N955" i="16"/>
  <c r="N957" i="16"/>
  <c r="N958" i="16"/>
  <c r="N959" i="16"/>
  <c r="N960" i="16"/>
  <c r="N961" i="16"/>
  <c r="N963" i="16"/>
  <c r="N964" i="16"/>
  <c r="N965" i="16"/>
  <c r="N968" i="16"/>
  <c r="N969" i="16"/>
  <c r="N970" i="16"/>
  <c r="N971" i="16"/>
  <c r="N973" i="16"/>
  <c r="N975" i="16"/>
  <c r="N976" i="16"/>
  <c r="N977" i="16"/>
  <c r="N979" i="16"/>
  <c r="N980" i="16"/>
  <c r="N981" i="16"/>
  <c r="N982" i="16"/>
  <c r="N984" i="16"/>
  <c r="N985" i="16"/>
  <c r="N986" i="16"/>
  <c r="N987" i="16"/>
  <c r="N989" i="16"/>
  <c r="N990" i="16"/>
  <c r="N992" i="16"/>
  <c r="N993" i="16"/>
  <c r="N995" i="16"/>
  <c r="N997" i="16"/>
  <c r="N998" i="16"/>
  <c r="N999" i="16"/>
  <c r="N1000" i="16"/>
  <c r="N1002" i="16"/>
  <c r="N1003" i="16"/>
  <c r="N1004" i="16"/>
  <c r="N1005" i="16"/>
  <c r="N1006" i="16"/>
  <c r="N1008" i="16"/>
  <c r="N1009" i="16"/>
  <c r="N1010" i="16"/>
  <c r="N1013" i="16"/>
  <c r="N1014" i="16"/>
  <c r="N1015" i="16"/>
  <c r="N1017" i="16"/>
  <c r="N1019" i="16"/>
  <c r="N1020" i="16"/>
  <c r="N1022" i="16"/>
  <c r="N1023" i="16"/>
  <c r="N1024" i="16"/>
  <c r="N1026" i="16"/>
  <c r="N1028" i="16"/>
  <c r="N1029" i="16"/>
  <c r="N1031" i="16"/>
  <c r="N1032" i="16"/>
  <c r="N1034" i="16"/>
  <c r="N1035" i="16"/>
  <c r="N1037" i="16"/>
  <c r="N1039" i="16"/>
  <c r="N1040" i="16"/>
  <c r="N1042" i="16"/>
  <c r="N1043" i="16"/>
  <c r="N1044" i="16"/>
  <c r="N1045" i="16"/>
  <c r="N1046" i="16"/>
  <c r="N1048" i="16"/>
  <c r="N1049" i="16"/>
  <c r="N1050" i="16"/>
  <c r="N1051" i="16"/>
  <c r="N1052" i="16"/>
  <c r="N1053" i="16"/>
  <c r="N1054" i="16"/>
  <c r="N1060" i="16"/>
  <c r="N1061" i="16"/>
  <c r="N1062" i="16"/>
  <c r="N1064" i="16"/>
  <c r="N1065" i="16"/>
  <c r="N1067" i="16"/>
  <c r="N1068" i="16"/>
  <c r="N1069" i="16"/>
  <c r="N1071" i="16"/>
  <c r="N1072" i="16"/>
  <c r="N1074" i="16"/>
  <c r="N1075" i="16"/>
  <c r="N1076" i="16"/>
  <c r="N1077" i="16"/>
  <c r="N1079" i="16"/>
  <c r="N1080" i="16"/>
  <c r="N1081" i="16"/>
  <c r="N1083" i="16"/>
  <c r="N1084" i="16"/>
  <c r="N1085" i="16"/>
  <c r="N1086" i="16"/>
  <c r="N1089" i="16"/>
  <c r="N1096" i="16"/>
  <c r="N1097" i="16"/>
  <c r="N1099" i="16"/>
  <c r="N1100" i="16"/>
  <c r="N1101" i="16"/>
  <c r="N1104" i="16"/>
  <c r="N1106" i="16"/>
  <c r="N1110" i="16"/>
  <c r="N1111" i="16"/>
  <c r="N1113" i="16"/>
  <c r="N1114" i="16"/>
  <c r="N1116" i="16"/>
  <c r="N1118" i="16"/>
  <c r="N1119" i="16"/>
  <c r="N1120" i="16"/>
  <c r="N1122" i="16"/>
  <c r="N1124" i="16"/>
  <c r="N1125" i="16"/>
  <c r="N1127" i="16"/>
  <c r="N1129" i="16"/>
  <c r="N1130" i="16"/>
  <c r="N1131" i="16"/>
  <c r="N1133" i="16"/>
  <c r="N1134" i="16"/>
  <c r="N1136" i="16"/>
  <c r="N1138" i="16"/>
  <c r="N1139" i="16"/>
  <c r="N1141" i="16"/>
  <c r="N1142" i="16"/>
  <c r="N1143" i="16"/>
  <c r="N1145" i="16"/>
  <c r="N1146" i="16"/>
  <c r="N1147" i="16"/>
  <c r="N1148" i="16"/>
  <c r="N1149" i="16"/>
  <c r="N1150" i="16"/>
  <c r="N1153" i="16"/>
  <c r="N1155" i="16"/>
  <c r="N1157" i="16"/>
  <c r="N1160" i="16"/>
  <c r="N1161" i="16"/>
  <c r="N1163" i="16"/>
  <c r="N1164" i="16"/>
  <c r="N1166" i="16"/>
  <c r="N1168" i="16"/>
  <c r="N1170" i="16"/>
  <c r="N1171" i="16"/>
  <c r="N1173" i="16"/>
  <c r="N1174" i="16"/>
  <c r="N1175" i="16"/>
  <c r="N1177" i="16"/>
  <c r="N1179" i="16"/>
  <c r="N1180" i="16"/>
  <c r="N1181" i="16"/>
  <c r="N1183" i="16"/>
  <c r="N1185" i="16"/>
  <c r="N1186" i="16"/>
  <c r="N1188" i="16"/>
  <c r="N1189" i="16"/>
  <c r="N1190" i="16"/>
  <c r="N1192" i="16"/>
  <c r="N1193" i="16"/>
  <c r="N1200" i="16"/>
  <c r="N1201" i="16"/>
  <c r="N1202" i="16"/>
  <c r="N1203" i="16"/>
  <c r="N1204" i="16"/>
  <c r="N1206" i="16"/>
  <c r="N1207" i="16"/>
  <c r="N1209" i="16"/>
  <c r="N1210" i="16"/>
  <c r="N1212" i="16"/>
  <c r="N1213" i="16"/>
  <c r="N1215" i="16"/>
  <c r="N1216" i="16"/>
  <c r="N1217" i="16"/>
  <c r="N1219" i="16"/>
  <c r="N1220" i="16"/>
  <c r="N1221" i="16"/>
  <c r="N1223" i="16"/>
  <c r="N1224" i="16"/>
  <c r="N1225" i="16"/>
  <c r="N1227" i="16"/>
  <c r="N1228" i="16"/>
  <c r="N1229" i="16"/>
  <c r="N1230" i="16"/>
  <c r="N1232" i="16"/>
  <c r="N1233" i="16"/>
  <c r="N1235" i="16"/>
  <c r="N1237" i="16"/>
  <c r="N1238" i="16"/>
  <c r="N1240" i="16"/>
  <c r="N1242" i="16"/>
  <c r="N1244" i="16"/>
  <c r="N1246" i="16"/>
  <c r="N1248" i="16"/>
  <c r="N1249" i="16"/>
  <c r="N1250" i="16"/>
  <c r="N1252" i="16"/>
  <c r="N1253" i="16"/>
  <c r="N1255" i="16"/>
  <c r="N1256" i="16"/>
  <c r="N1258" i="16"/>
  <c r="N1259" i="16"/>
  <c r="N1260" i="16"/>
  <c r="N1262" i="16"/>
  <c r="N1263" i="16"/>
  <c r="N1264" i="16"/>
  <c r="N1265" i="16"/>
  <c r="N1266" i="16"/>
  <c r="N1268" i="16"/>
  <c r="N1270" i="16"/>
  <c r="N1271" i="16"/>
  <c r="N1272" i="16"/>
  <c r="N1274" i="16"/>
  <c r="N1276" i="16"/>
  <c r="N1278" i="16"/>
  <c r="N1280" i="16"/>
  <c r="N1282" i="16"/>
  <c r="N1284" i="16"/>
  <c r="N1285" i="16"/>
  <c r="N1286" i="16"/>
  <c r="N1288" i="16"/>
  <c r="N1289" i="16"/>
  <c r="N1291" i="16"/>
  <c r="N1292" i="16"/>
  <c r="N1294" i="16"/>
  <c r="N1295" i="16"/>
  <c r="N1296" i="16"/>
  <c r="N1298" i="16"/>
  <c r="N1300" i="16"/>
  <c r="N1301" i="16"/>
  <c r="N1302" i="16"/>
  <c r="N1304" i="16"/>
  <c r="N1305" i="16"/>
  <c r="N1306" i="16"/>
  <c r="N1308" i="16"/>
  <c r="N1310" i="16"/>
  <c r="N1312" i="16"/>
  <c r="N1313" i="16"/>
  <c r="N1314" i="16"/>
  <c r="N1315" i="16"/>
  <c r="N1317" i="16"/>
  <c r="N1319" i="16"/>
  <c r="N1321" i="16"/>
  <c r="N1323" i="16"/>
  <c r="N1324" i="16"/>
  <c r="N1326" i="16"/>
  <c r="N1329" i="16"/>
  <c r="N1330" i="16"/>
  <c r="N1331" i="16"/>
  <c r="N1333" i="16"/>
  <c r="N1334" i="16"/>
  <c r="N1336" i="16"/>
  <c r="N1337" i="16"/>
  <c r="N1339" i="16"/>
  <c r="N1340" i="16"/>
  <c r="N1341" i="16"/>
  <c r="N1343" i="16"/>
  <c r="N1344" i="16"/>
  <c r="N1345" i="16"/>
  <c r="N1347" i="16"/>
  <c r="N1349" i="16"/>
  <c r="N1351" i="16"/>
  <c r="N1353" i="16"/>
  <c r="N1355" i="16"/>
  <c r="N1356" i="16"/>
  <c r="N1358" i="16"/>
  <c r="N1359" i="16"/>
  <c r="N1361" i="16"/>
  <c r="N1362" i="16"/>
  <c r="N1363" i="16"/>
  <c r="N1364" i="16"/>
  <c r="N1368" i="16"/>
  <c r="N1369" i="16"/>
  <c r="N1370" i="16"/>
  <c r="N1371" i="16"/>
  <c r="N1373" i="16"/>
  <c r="N1374" i="16"/>
  <c r="N1376" i="16"/>
  <c r="N1378" i="16"/>
  <c r="N1379" i="16"/>
  <c r="N1380" i="16"/>
  <c r="N1382" i="16"/>
  <c r="N1384" i="16"/>
  <c r="N1385" i="16"/>
  <c r="N1386" i="16"/>
  <c r="N1387" i="16"/>
  <c r="N1389" i="16"/>
  <c r="N1391" i="16"/>
  <c r="N1393" i="16"/>
  <c r="N1394" i="16"/>
  <c r="N1395" i="16"/>
  <c r="N1396" i="16"/>
  <c r="N1398" i="16"/>
  <c r="N1400" i="16"/>
  <c r="N1402" i="16"/>
  <c r="N1404" i="16"/>
  <c r="N1406" i="16"/>
  <c r="N1407" i="16"/>
  <c r="N1409" i="16"/>
  <c r="N1410" i="16"/>
  <c r="N1411" i="16"/>
  <c r="N1412" i="16"/>
  <c r="N1418" i="16"/>
  <c r="N1419" i="16"/>
  <c r="N1420" i="16"/>
  <c r="N1421" i="16"/>
  <c r="N1423" i="16"/>
  <c r="N1424" i="16"/>
  <c r="N1426" i="16"/>
  <c r="N1427" i="16"/>
  <c r="N1429" i="16"/>
  <c r="N1431" i="16"/>
  <c r="N1435" i="16"/>
  <c r="N1436" i="16"/>
  <c r="N1438" i="16"/>
  <c r="N1439" i="16"/>
  <c r="N1440" i="16"/>
  <c r="N1441" i="16"/>
  <c r="N1443" i="16"/>
  <c r="N1444" i="16"/>
  <c r="N1445" i="16"/>
  <c r="N1446" i="16"/>
  <c r="N1448" i="16"/>
  <c r="N1449" i="16"/>
  <c r="N1451" i="16"/>
  <c r="N1453" i="16"/>
  <c r="N1455" i="16"/>
  <c r="N1457" i="16"/>
  <c r="N1459" i="16"/>
  <c r="N1461" i="16"/>
  <c r="N1463" i="16"/>
  <c r="N1465" i="16"/>
  <c r="N1466" i="16"/>
  <c r="N1467" i="16"/>
  <c r="N1468" i="16"/>
  <c r="N1469" i="16"/>
  <c r="N1470" i="16"/>
  <c r="N1471" i="16"/>
  <c r="N1473" i="16"/>
  <c r="N1479" i="16"/>
  <c r="N1480" i="16"/>
  <c r="N1482" i="16"/>
  <c r="N1483" i="16"/>
  <c r="N1484" i="16"/>
  <c r="N1486" i="16"/>
  <c r="N1487" i="16"/>
  <c r="N1488" i="16"/>
  <c r="N1489" i="16"/>
  <c r="N1490" i="16"/>
  <c r="N1492" i="16"/>
  <c r="N1493" i="16"/>
  <c r="N1495" i="16"/>
  <c r="N1496" i="16"/>
  <c r="N1497" i="16"/>
  <c r="N1499" i="16"/>
  <c r="N1501" i="16"/>
  <c r="N1502" i="16"/>
  <c r="N1504" i="16"/>
  <c r="N1506" i="16"/>
  <c r="N1508" i="16"/>
  <c r="N1509" i="16"/>
  <c r="N1511" i="16"/>
  <c r="N1513" i="16"/>
  <c r="N1515" i="16"/>
  <c r="N1516" i="16"/>
  <c r="N1518" i="16"/>
  <c r="N1520" i="16"/>
  <c r="N1521" i="16"/>
  <c r="N1522" i="16"/>
  <c r="N1523" i="16"/>
  <c r="N1525" i="16"/>
  <c r="N1528" i="16"/>
  <c r="N1529" i="16"/>
  <c r="N1530" i="16"/>
  <c r="N1531" i="16"/>
  <c r="N1532" i="16"/>
  <c r="N1534" i="16"/>
  <c r="N1535" i="16"/>
  <c r="N1536" i="16"/>
  <c r="N1538" i="16"/>
  <c r="N1539" i="16"/>
  <c r="N1540" i="16"/>
  <c r="N1542" i="16"/>
  <c r="N1543" i="16"/>
  <c r="N1544" i="16"/>
  <c r="N1545" i="16"/>
  <c r="N1547" i="16"/>
  <c r="N1548" i="16"/>
  <c r="N1550" i="16"/>
  <c r="N1551" i="16"/>
  <c r="N1552" i="16"/>
  <c r="N1553" i="16"/>
  <c r="N1555" i="16"/>
  <c r="N1556" i="16"/>
  <c r="N1557" i="16"/>
  <c r="N1558" i="16"/>
  <c r="N1560" i="16"/>
  <c r="N1561" i="16"/>
  <c r="N1563" i="16"/>
  <c r="N1564" i="16"/>
  <c r="N1565" i="16"/>
  <c r="N1567" i="16"/>
  <c r="N1569" i="16"/>
  <c r="N1571" i="16"/>
  <c r="N1573" i="16"/>
  <c r="N1575" i="16"/>
  <c r="N1576" i="16"/>
  <c r="N1578" i="16"/>
  <c r="N1580" i="16"/>
  <c r="N1581" i="16"/>
  <c r="N1583" i="16"/>
  <c r="N1584" i="16"/>
  <c r="N1586" i="16"/>
  <c r="N1587" i="16"/>
  <c r="N1588" i="16"/>
  <c r="N1589" i="16"/>
  <c r="N1592" i="16"/>
  <c r="N1593" i="16"/>
  <c r="N1594" i="16"/>
  <c r="N1595" i="16"/>
  <c r="N1597" i="16"/>
  <c r="N1598" i="16"/>
  <c r="N1599" i="16"/>
  <c r="N1601" i="16"/>
  <c r="N1603" i="16"/>
  <c r="N1605" i="16"/>
  <c r="N1607" i="16"/>
  <c r="N1613" i="16"/>
  <c r="N1614" i="16"/>
  <c r="N1615" i="16"/>
  <c r="N1616" i="16"/>
  <c r="N1617" i="16"/>
  <c r="N1619" i="16"/>
  <c r="N1620" i="16"/>
  <c r="N1622" i="16"/>
  <c r="N1624" i="16"/>
  <c r="N1625" i="16"/>
  <c r="N1627" i="16"/>
  <c r="N1628" i="16"/>
  <c r="N1629" i="16"/>
  <c r="N1631" i="16"/>
  <c r="N1632" i="16"/>
  <c r="N1633" i="16"/>
  <c r="N1635" i="16"/>
  <c r="N1636" i="16"/>
  <c r="N1637" i="16"/>
  <c r="N1639" i="16"/>
  <c r="N1640" i="16"/>
  <c r="N1641" i="16"/>
  <c r="N1643" i="16"/>
  <c r="N1644" i="16"/>
  <c r="N1645" i="16"/>
  <c r="N1646" i="16"/>
  <c r="N1648" i="16"/>
  <c r="N1649" i="16"/>
  <c r="N1651" i="16"/>
  <c r="N1652" i="16"/>
  <c r="N1653" i="16"/>
  <c r="N1655" i="16"/>
  <c r="N1656" i="16"/>
  <c r="N1657" i="16"/>
  <c r="N1658" i="16"/>
  <c r="N1659" i="16"/>
  <c r="N1660" i="16"/>
  <c r="N1662" i="16"/>
  <c r="N1663" i="16"/>
  <c r="N1664" i="16"/>
  <c r="N1666" i="16"/>
  <c r="N1667" i="16"/>
  <c r="N1668" i="16"/>
  <c r="N1670" i="16"/>
  <c r="N1671" i="16"/>
  <c r="N1672" i="16"/>
  <c r="N1674" i="16"/>
  <c r="N1675" i="16"/>
  <c r="N1676" i="16"/>
  <c r="N1677" i="16"/>
  <c r="N1679" i="16"/>
  <c r="N1680" i="16"/>
  <c r="N1682" i="16"/>
  <c r="N1683" i="16"/>
  <c r="N1684" i="16"/>
  <c r="N1686" i="16"/>
  <c r="N1687" i="16"/>
  <c r="N1689" i="16"/>
  <c r="N1690" i="16"/>
  <c r="N1692" i="16"/>
  <c r="N1693" i="16"/>
  <c r="N1695" i="16"/>
  <c r="N1696" i="16"/>
  <c r="N1698" i="16"/>
  <c r="N1700" i="16"/>
  <c r="N1701" i="16"/>
  <c r="N1703" i="16"/>
  <c r="N1706" i="16"/>
  <c r="N1707" i="16"/>
  <c r="N1708" i="16"/>
  <c r="N1709" i="16"/>
  <c r="N1710" i="16"/>
  <c r="N1711" i="16"/>
  <c r="N1713" i="16"/>
  <c r="N1714" i="16"/>
  <c r="N1715" i="16"/>
  <c r="N1717" i="16"/>
  <c r="N1718" i="16"/>
  <c r="N1719" i="16"/>
  <c r="N1721" i="16"/>
  <c r="N1722" i="16"/>
  <c r="N1723" i="16"/>
  <c r="N1725" i="16"/>
  <c r="N1726" i="16"/>
  <c r="N1727" i="16"/>
  <c r="N1728" i="16"/>
  <c r="N1730" i="16"/>
  <c r="N1731" i="16"/>
  <c r="N1733" i="16"/>
  <c r="N1734" i="16"/>
  <c r="N1735" i="16"/>
  <c r="N1737" i="16"/>
  <c r="N1738" i="16"/>
  <c r="N1739" i="16"/>
  <c r="N1741" i="16"/>
  <c r="N1742" i="16"/>
  <c r="N1744" i="16"/>
  <c r="N1745" i="16"/>
  <c r="N1747" i="16"/>
  <c r="N1748" i="16"/>
  <c r="N1750" i="16"/>
  <c r="N1752" i="16"/>
  <c r="N1754" i="16"/>
  <c r="N1755" i="16"/>
  <c r="N1756" i="16"/>
  <c r="N1757" i="16"/>
  <c r="N1758" i="16"/>
  <c r="N1759" i="16"/>
  <c r="N1760" i="16"/>
  <c r="N1761" i="16"/>
  <c r="N1764" i="16"/>
  <c r="N1765" i="16"/>
  <c r="N1766" i="16"/>
  <c r="N1767" i="16"/>
  <c r="N1768" i="16"/>
  <c r="N1769" i="16"/>
  <c r="N1771" i="16"/>
  <c r="N1772" i="16"/>
  <c r="N1773" i="16"/>
  <c r="N1775" i="16"/>
  <c r="N1776" i="16"/>
  <c r="N1777" i="16"/>
  <c r="N1779" i="16"/>
  <c r="N1780" i="16"/>
  <c r="N1781" i="16"/>
  <c r="N1783" i="16"/>
  <c r="N1784" i="16"/>
  <c r="N1785" i="16"/>
  <c r="N1786" i="16"/>
  <c r="N1787" i="16"/>
  <c r="N1789" i="16"/>
  <c r="N1790" i="16"/>
  <c r="N1792" i="16"/>
  <c r="N1793" i="16"/>
  <c r="N1794" i="16"/>
  <c r="N1796" i="16"/>
  <c r="N1797" i="16"/>
  <c r="N1798" i="16"/>
  <c r="N1800" i="16"/>
  <c r="N1802" i="16"/>
  <c r="N1803" i="16"/>
  <c r="N1805" i="16"/>
  <c r="N1806" i="16"/>
  <c r="N1808" i="16"/>
  <c r="N1809" i="16"/>
  <c r="N1811" i="16"/>
  <c r="N1813" i="16"/>
  <c r="N1814" i="16"/>
  <c r="N1816" i="16"/>
  <c r="N1817" i="16"/>
  <c r="N1819" i="16"/>
  <c r="N1820" i="16"/>
  <c r="N1822" i="16"/>
  <c r="N1824" i="16"/>
  <c r="N1826" i="16"/>
  <c r="N1827" i="16"/>
  <c r="N1829" i="16"/>
  <c r="N1831" i="16"/>
  <c r="N1832" i="16"/>
  <c r="N1834" i="16"/>
  <c r="N1835" i="16"/>
  <c r="N1836" i="16"/>
  <c r="N1842" i="16"/>
  <c r="N1843" i="16"/>
  <c r="N1844" i="16"/>
  <c r="N1845" i="16"/>
  <c r="N1846" i="16"/>
  <c r="N1847" i="16"/>
  <c r="N1849" i="16"/>
  <c r="N1851" i="16"/>
  <c r="N1853" i="16"/>
  <c r="N1854" i="16"/>
  <c r="N1855" i="16"/>
  <c r="N1857" i="16"/>
  <c r="N1858" i="16"/>
  <c r="N1859" i="16"/>
  <c r="N1861" i="16"/>
  <c r="N1862" i="16"/>
  <c r="N1864" i="16"/>
  <c r="N1865" i="16"/>
  <c r="N1867" i="16"/>
  <c r="N1868" i="16"/>
  <c r="N1869" i="16"/>
  <c r="N1870" i="16"/>
  <c r="N1871" i="16"/>
  <c r="N1873" i="16"/>
  <c r="N1874" i="16"/>
  <c r="N1875" i="16"/>
  <c r="N1877" i="16"/>
  <c r="N1878" i="16"/>
  <c r="N1879" i="16"/>
  <c r="N1881" i="16"/>
  <c r="N1883" i="16"/>
  <c r="N1884" i="16"/>
  <c r="N1886" i="16"/>
  <c r="N1887" i="16"/>
  <c r="N1888" i="16"/>
  <c r="N1890" i="16"/>
  <c r="N1892" i="16"/>
  <c r="N1893" i="16"/>
  <c r="N1894" i="16"/>
  <c r="N1896" i="16"/>
  <c r="N1897" i="16"/>
  <c r="N1899" i="16"/>
  <c r="N1902" i="16"/>
  <c r="N1903" i="16"/>
  <c r="N1904" i="16"/>
  <c r="N1905" i="16"/>
  <c r="N1907" i="16"/>
  <c r="N1909" i="16"/>
  <c r="N1910" i="16"/>
  <c r="N1911" i="16"/>
  <c r="N1913" i="16"/>
  <c r="N1915" i="16"/>
  <c r="N1916" i="16"/>
  <c r="N1917" i="16"/>
  <c r="N1918" i="16"/>
  <c r="N1920" i="16"/>
  <c r="N1921" i="16"/>
  <c r="N1923" i="16"/>
  <c r="N1924" i="16"/>
  <c r="N1925" i="16"/>
  <c r="N1927" i="16"/>
  <c r="N1929" i="16"/>
  <c r="N1930" i="16"/>
  <c r="N1932" i="16"/>
  <c r="N1933" i="16"/>
  <c r="N1934" i="16"/>
  <c r="N1935" i="16"/>
  <c r="N1936" i="16"/>
  <c r="N1937" i="16"/>
  <c r="N1938" i="16"/>
  <c r="N1939" i="16"/>
  <c r="N1940" i="16"/>
  <c r="N1941" i="16"/>
  <c r="N1942" i="16"/>
  <c r="N1943" i="16"/>
  <c r="N1944" i="16"/>
  <c r="N1945" i="16"/>
  <c r="N1946" i="16"/>
  <c r="N1947" i="16"/>
  <c r="N1948" i="16"/>
  <c r="N1949" i="16"/>
  <c r="N1950" i="16"/>
  <c r="N1951" i="16"/>
  <c r="N1952" i="16"/>
  <c r="N1953" i="16"/>
  <c r="N1954" i="16"/>
  <c r="N1956" i="16"/>
  <c r="N1958" i="16"/>
  <c r="N1959" i="16"/>
  <c r="N1960" i="16"/>
  <c r="N1963" i="16"/>
  <c r="N1964" i="16"/>
  <c r="N1966" i="16"/>
  <c r="N1967" i="16"/>
  <c r="N1969" i="16"/>
  <c r="N1972" i="16"/>
  <c r="N1973" i="16"/>
  <c r="N1974" i="16"/>
  <c r="N1975" i="16"/>
  <c r="N1977" i="16"/>
  <c r="N1978" i="16"/>
  <c r="N1979" i="16"/>
  <c r="N1980" i="16"/>
  <c r="N1981" i="16"/>
  <c r="N1982" i="16"/>
  <c r="N1983" i="16"/>
  <c r="N1984" i="16"/>
  <c r="N1985" i="16"/>
  <c r="N1986" i="16"/>
  <c r="N1987" i="16"/>
  <c r="N1988" i="16"/>
  <c r="N1989" i="16"/>
  <c r="N1990" i="16"/>
  <c r="N1991" i="16"/>
  <c r="N1992" i="16"/>
  <c r="N1993" i="16"/>
  <c r="N1994" i="16"/>
  <c r="N1995" i="16"/>
  <c r="N1996" i="16"/>
  <c r="N1998" i="16"/>
  <c r="N2000" i="16"/>
  <c r="N2001" i="16"/>
  <c r="N2002" i="16"/>
  <c r="N2004" i="16"/>
  <c r="N2008" i="16"/>
  <c r="N2009" i="16"/>
  <c r="N2010" i="16"/>
  <c r="N2011" i="16"/>
  <c r="N2013" i="16"/>
  <c r="N2015" i="16"/>
  <c r="N2017" i="16"/>
  <c r="N2018" i="16"/>
  <c r="N2020" i="16"/>
  <c r="N2021" i="16"/>
  <c r="N2023" i="16"/>
  <c r="N2024" i="16"/>
  <c r="N2026" i="16"/>
  <c r="N2027" i="16"/>
  <c r="N2029" i="16"/>
  <c r="N2030" i="16"/>
  <c r="N2031" i="16"/>
  <c r="N2032" i="16"/>
  <c r="N2033" i="16"/>
  <c r="N2035" i="16"/>
  <c r="N2037" i="16"/>
  <c r="N2038" i="16"/>
  <c r="N2039" i="16"/>
  <c r="N2043" i="16"/>
  <c r="N2044" i="16"/>
  <c r="N2048" i="16"/>
  <c r="N2050" i="16"/>
  <c r="N2052" i="16"/>
  <c r="N2053" i="16"/>
  <c r="N2055" i="16"/>
  <c r="N2056" i="16"/>
  <c r="N2058" i="16"/>
  <c r="N2060" i="16"/>
  <c r="N2061" i="16"/>
  <c r="N2064" i="16"/>
  <c r="N2065" i="16"/>
  <c r="N2066" i="16"/>
  <c r="N2067" i="16"/>
  <c r="N2068" i="16"/>
  <c r="N2069" i="16"/>
  <c r="N2072" i="16"/>
  <c r="N2073" i="16"/>
  <c r="N2075" i="16"/>
  <c r="N2076" i="16"/>
  <c r="N2077" i="16"/>
  <c r="N2079" i="16"/>
  <c r="N2081" i="16"/>
  <c r="N2083" i="16"/>
  <c r="N2084" i="16"/>
  <c r="N2085" i="16"/>
  <c r="N2086" i="16"/>
  <c r="N2088" i="16"/>
  <c r="N2089" i="16"/>
  <c r="N2090" i="16"/>
  <c r="N2092" i="16"/>
  <c r="N2094" i="16"/>
  <c r="N2096" i="16"/>
  <c r="N2097" i="16"/>
  <c r="N2099" i="16"/>
  <c r="N2100" i="16"/>
  <c r="N2102" i="16"/>
  <c r="N2104" i="16"/>
  <c r="N2105" i="16"/>
  <c r="N2106" i="16"/>
  <c r="N2108" i="16"/>
  <c r="N2111" i="16"/>
  <c r="N2112" i="16"/>
  <c r="N2114" i="16"/>
  <c r="N2116" i="16"/>
  <c r="N2118" i="16"/>
  <c r="N2120" i="16"/>
  <c r="N2122" i="16"/>
  <c r="N2123" i="16"/>
  <c r="N2125" i="16"/>
  <c r="N2126" i="16"/>
  <c r="N2127" i="16"/>
  <c r="N2129" i="16"/>
  <c r="N2132" i="16"/>
  <c r="N2133" i="16"/>
  <c r="N2135" i="16"/>
  <c r="N2137" i="16"/>
  <c r="N2138" i="16"/>
  <c r="N2139" i="16"/>
  <c r="N2141" i="16"/>
  <c r="N2143" i="16"/>
  <c r="N2144" i="16"/>
  <c r="N2146" i="16"/>
  <c r="N2147" i="16"/>
  <c r="N2148" i="16"/>
  <c r="N2150" i="16"/>
  <c r="N2153" i="16"/>
  <c r="N2157" i="16"/>
  <c r="N2158" i="16"/>
  <c r="N2159" i="16"/>
  <c r="N2160" i="16"/>
  <c r="N2161" i="16"/>
  <c r="N2163" i="16"/>
  <c r="N2164" i="16"/>
  <c r="N2166" i="16"/>
  <c r="N2168" i="16"/>
  <c r="N2169" i="16"/>
  <c r="N2173" i="16"/>
  <c r="N2175" i="16"/>
  <c r="N2176" i="16"/>
  <c r="N2178" i="16"/>
  <c r="N2179" i="16"/>
  <c r="N2184" i="16"/>
  <c r="N2188" i="16"/>
  <c r="N2189" i="16"/>
  <c r="N2193" i="16"/>
  <c r="N2195" i="16"/>
  <c r="N2196" i="16"/>
  <c r="N2197" i="16"/>
  <c r="N2199" i="16"/>
  <c r="N2201" i="16"/>
  <c r="N2202" i="16"/>
  <c r="N2204" i="16"/>
  <c r="N2205" i="16"/>
  <c r="N2207" i="16"/>
  <c r="N2208" i="16"/>
  <c r="N2210" i="16"/>
  <c r="N2211" i="16"/>
  <c r="N2213" i="16"/>
  <c r="N2214" i="16"/>
  <c r="N2215" i="16"/>
  <c r="N2216" i="16"/>
  <c r="N2217" i="16"/>
  <c r="N2218" i="16"/>
  <c r="N2219" i="16"/>
  <c r="N2220" i="16"/>
  <c r="N2221" i="16"/>
  <c r="N2222" i="16"/>
  <c r="N2224" i="16"/>
  <c r="N2226" i="16"/>
  <c r="N2227" i="16"/>
  <c r="N2228" i="16"/>
  <c r="N2229" i="16"/>
  <c r="N2230" i="16"/>
  <c r="N2231" i="16"/>
  <c r="N2234" i="16"/>
  <c r="N2235" i="16"/>
  <c r="N2236" i="16"/>
  <c r="N2238" i="16"/>
  <c r="N2240" i="16"/>
  <c r="N2241" i="16"/>
  <c r="N2242" i="16"/>
  <c r="N2243" i="16"/>
  <c r="N2249" i="16"/>
  <c r="N2250" i="16"/>
  <c r="N2251" i="16"/>
  <c r="N2252" i="16"/>
  <c r="N2254" i="16"/>
  <c r="N2256" i="16"/>
  <c r="N2257" i="16"/>
  <c r="N2259" i="16"/>
  <c r="N2260" i="16"/>
  <c r="N2261" i="16"/>
  <c r="N2262" i="16"/>
  <c r="N2264" i="16"/>
  <c r="N2265" i="16"/>
  <c r="N2266" i="16"/>
  <c r="N2267" i="16"/>
  <c r="N2268" i="16"/>
  <c r="N2270" i="16"/>
  <c r="N2271" i="16"/>
  <c r="N2272" i="16"/>
  <c r="N2273" i="16"/>
  <c r="N2275" i="16"/>
  <c r="N2276" i="16"/>
  <c r="N2277" i="16"/>
  <c r="N2278" i="16"/>
  <c r="N2280" i="16"/>
  <c r="N2282" i="16"/>
  <c r="N2283" i="16"/>
  <c r="N2284" i="16"/>
  <c r="N2285" i="16"/>
  <c r="N2286" i="16"/>
  <c r="N2288" i="16"/>
  <c r="N2291" i="16"/>
  <c r="N2293" i="16"/>
  <c r="N2295" i="16"/>
  <c r="N2296" i="16"/>
  <c r="N2297" i="16"/>
  <c r="N2299" i="16"/>
  <c r="N2301" i="16"/>
  <c r="N2302" i="16"/>
  <c r="N2304" i="16"/>
  <c r="N2306" i="16"/>
  <c r="N2307" i="16"/>
  <c r="N2309" i="16"/>
  <c r="N2311" i="16"/>
  <c r="N2312" i="16"/>
  <c r="N2313" i="16"/>
  <c r="N2315" i="16"/>
  <c r="N2316" i="16"/>
  <c r="N2317" i="16"/>
  <c r="N2318" i="16"/>
  <c r="N2320" i="16"/>
  <c r="N2321" i="16"/>
  <c r="N2323" i="16"/>
  <c r="N2325" i="16"/>
  <c r="N2326" i="16"/>
  <c r="N2327" i="16"/>
  <c r="N2328" i="16"/>
  <c r="N2330" i="16"/>
  <c r="N2331" i="16"/>
  <c r="N2333" i="16"/>
  <c r="N2334" i="16"/>
  <c r="N2335" i="16"/>
  <c r="N2336" i="16"/>
  <c r="N2337" i="16"/>
  <c r="N2339" i="16"/>
  <c r="N2340" i="16"/>
  <c r="N2342" i="16"/>
  <c r="N2343" i="16"/>
  <c r="N2345" i="16"/>
  <c r="N2347" i="16"/>
  <c r="N2349" i="16"/>
  <c r="N2351" i="16"/>
  <c r="N2353" i="16"/>
  <c r="N2354" i="16"/>
  <c r="N2356" i="16"/>
  <c r="N2358" i="16"/>
  <c r="N2360" i="16"/>
  <c r="N2361" i="16"/>
  <c r="N2363" i="16"/>
  <c r="N2364" i="16"/>
  <c r="N2366" i="16"/>
  <c r="N2368" i="16"/>
  <c r="N2370" i="16"/>
  <c r="N2373" i="16"/>
  <c r="N2374" i="16"/>
  <c r="N2376" i="16"/>
  <c r="N2377" i="16"/>
  <c r="N2379" i="16"/>
  <c r="N2381" i="16"/>
  <c r="N2382" i="16"/>
  <c r="N2383" i="16"/>
  <c r="N2385" i="16"/>
  <c r="N2386" i="16"/>
  <c r="N2388" i="16"/>
  <c r="N2389" i="16"/>
  <c r="N2390" i="16"/>
  <c r="N2391" i="16"/>
  <c r="N2393" i="16"/>
  <c r="N2394" i="16"/>
  <c r="N2396" i="16"/>
  <c r="N2397" i="16"/>
  <c r="N2399" i="16"/>
  <c r="N2400" i="16"/>
  <c r="N2402" i="16"/>
  <c r="N2404" i="16"/>
  <c r="N2405" i="16"/>
  <c r="N2407" i="16"/>
  <c r="N2409" i="16"/>
  <c r="N2411" i="16"/>
  <c r="N2412" i="16"/>
  <c r="N2413" i="16"/>
  <c r="N2415" i="16"/>
  <c r="N2416" i="16"/>
  <c r="N2417" i="16"/>
  <c r="N2419" i="16"/>
  <c r="N2420" i="16"/>
  <c r="N2421" i="16"/>
  <c r="N2423" i="16"/>
  <c r="N2424" i="16"/>
  <c r="N2425" i="16"/>
  <c r="N2428" i="16"/>
  <c r="N2429" i="16"/>
  <c r="N2430" i="16"/>
  <c r="N2431" i="16"/>
  <c r="N2433" i="16"/>
  <c r="N2434" i="16"/>
  <c r="N2436" i="16"/>
  <c r="N2437" i="16"/>
  <c r="N2439" i="16"/>
  <c r="N2440" i="16"/>
  <c r="N2441" i="16"/>
  <c r="N2443" i="16"/>
  <c r="N2444" i="16"/>
  <c r="N2446" i="16"/>
  <c r="N2447" i="16"/>
  <c r="N2448" i="16"/>
  <c r="N2451" i="16"/>
  <c r="N2452" i="16"/>
  <c r="N2453" i="16"/>
  <c r="N2455" i="16"/>
  <c r="N2456" i="16"/>
  <c r="N2457" i="16"/>
  <c r="N2459" i="16"/>
  <c r="N2461" i="16"/>
  <c r="N2463" i="16"/>
  <c r="N2464" i="16"/>
  <c r="N2466" i="16"/>
  <c r="N2467" i="16"/>
  <c r="N2469" i="16"/>
  <c r="N2470" i="16"/>
  <c r="N2472" i="16"/>
  <c r="N2474" i="16"/>
  <c r="N2475" i="16"/>
  <c r="N2477" i="16"/>
  <c r="N2479" i="16"/>
  <c r="N2480" i="16"/>
  <c r="N2481" i="16"/>
  <c r="N2483" i="16"/>
  <c r="N2484" i="16"/>
  <c r="N2486" i="16"/>
  <c r="N2487" i="16"/>
  <c r="N2488" i="16"/>
  <c r="N2490" i="16"/>
  <c r="N2491" i="16"/>
  <c r="N2492" i="16"/>
  <c r="N2494" i="16"/>
  <c r="N2495" i="16"/>
  <c r="N2497" i="16"/>
  <c r="N2499" i="16"/>
  <c r="N2501" i="16"/>
  <c r="N2502" i="16"/>
  <c r="N2504" i="16"/>
  <c r="N2505" i="16"/>
  <c r="N2507" i="16"/>
  <c r="N2509" i="16"/>
  <c r="N2511" i="16"/>
  <c r="N2512" i="16"/>
  <c r="N2514" i="16"/>
  <c r="N2520" i="16"/>
  <c r="N2521" i="16"/>
  <c r="N2522" i="16"/>
  <c r="N2523" i="16"/>
  <c r="N2524" i="16"/>
  <c r="N2525" i="16"/>
  <c r="N2527" i="16"/>
  <c r="N2528" i="16"/>
  <c r="N2530" i="16"/>
  <c r="N2531" i="16"/>
  <c r="N2533" i="16"/>
  <c r="N2534" i="16"/>
  <c r="N2536" i="16"/>
  <c r="N2537" i="16"/>
  <c r="N2544" i="16"/>
  <c r="N2545" i="16"/>
  <c r="N2546" i="16"/>
  <c r="N2547" i="16"/>
  <c r="N2549" i="16"/>
  <c r="N2550" i="16"/>
  <c r="N2552" i="16"/>
  <c r="N2553" i="16"/>
  <c r="N2554" i="16"/>
  <c r="N2556" i="16"/>
  <c r="N2557" i="16"/>
  <c r="N2561" i="16"/>
  <c r="N2562" i="16"/>
  <c r="N2563" i="16"/>
  <c r="N2564" i="16"/>
  <c r="N2566" i="16"/>
  <c r="N2568" i="16"/>
  <c r="N2570" i="16"/>
  <c r="N2571" i="16"/>
  <c r="N2574" i="16"/>
  <c r="N2575" i="16"/>
  <c r="N2578" i="16"/>
  <c r="N2579" i="16"/>
  <c r="N2581" i="16"/>
  <c r="N2582" i="16"/>
  <c r="N2583" i="16"/>
  <c r="N2584" i="16"/>
  <c r="N2586" i="16"/>
  <c r="N2587" i="16"/>
  <c r="N2589" i="16"/>
  <c r="N2591" i="16"/>
  <c r="N2592" i="16"/>
  <c r="N2593" i="16"/>
  <c r="N2595" i="16"/>
  <c r="N2597" i="16"/>
  <c r="N2598" i="16"/>
  <c r="N2599" i="16"/>
  <c r="N2600" i="16"/>
  <c r="N2601" i="16"/>
  <c r="N2603" i="16"/>
  <c r="N2604" i="16"/>
  <c r="N2608" i="16"/>
  <c r="N2610" i="16"/>
  <c r="N2611" i="16"/>
  <c r="N2613" i="16"/>
  <c r="N2615" i="16"/>
  <c r="N2617" i="16"/>
  <c r="N2619" i="16"/>
  <c r="N2620" i="16"/>
  <c r="N2621" i="16"/>
  <c r="N2622" i="16"/>
  <c r="N2624" i="16"/>
  <c r="N2626" i="16"/>
  <c r="N2627" i="16"/>
  <c r="N2628" i="16"/>
  <c r="N2630" i="16"/>
  <c r="N2632" i="16"/>
  <c r="N2634" i="16"/>
  <c r="N2635" i="16"/>
  <c r="N2636" i="16"/>
  <c r="N2638" i="16"/>
  <c r="N2639" i="16"/>
  <c r="N2640" i="16"/>
  <c r="N2642" i="16"/>
  <c r="N2643" i="16"/>
  <c r="N2645" i="16"/>
  <c r="N2647" i="16"/>
  <c r="N2648" i="16"/>
  <c r="N2650" i="16"/>
  <c r="N2651" i="16"/>
  <c r="N2654" i="16"/>
  <c r="N2655" i="16"/>
  <c r="N2656" i="16"/>
  <c r="N2658" i="16"/>
  <c r="N2660" i="16"/>
  <c r="N2661" i="16"/>
  <c r="N2662" i="16"/>
  <c r="N2664" i="16"/>
  <c r="N2666" i="16"/>
  <c r="N2668" i="16"/>
  <c r="N2670" i="16"/>
  <c r="N2671" i="16"/>
  <c r="N2673" i="16"/>
  <c r="N2674" i="16"/>
  <c r="N2676" i="16"/>
  <c r="N2677" i="16"/>
  <c r="N2678" i="16"/>
  <c r="N2679" i="16"/>
  <c r="N2680" i="16"/>
  <c r="N2682" i="16"/>
  <c r="N2684" i="16"/>
  <c r="N2685" i="16"/>
  <c r="N2686" i="16"/>
  <c r="N2687" i="16"/>
  <c r="N2689" i="16"/>
  <c r="N2690" i="16"/>
  <c r="N2691" i="16"/>
  <c r="N2693" i="16"/>
  <c r="N2694" i="16"/>
  <c r="N2695" i="16"/>
  <c r="N2697" i="16"/>
  <c r="N2699" i="16"/>
  <c r="N2701" i="16"/>
  <c r="N2703" i="16"/>
  <c r="N2704" i="16"/>
  <c r="N2705" i="16"/>
  <c r="N2706" i="16"/>
  <c r="N2708" i="16"/>
  <c r="N2709" i="16"/>
  <c r="N2711" i="16"/>
  <c r="N2713" i="16"/>
  <c r="N2714" i="16"/>
  <c r="N2715" i="16"/>
  <c r="N2717" i="16"/>
  <c r="N2719" i="16"/>
  <c r="N2721" i="16"/>
  <c r="N2722" i="16"/>
  <c r="N2724" i="16"/>
  <c r="N2726" i="16"/>
  <c r="N2728" i="16"/>
  <c r="N2729" i="16"/>
  <c r="N2730" i="16"/>
  <c r="N2732" i="16"/>
  <c r="N2733" i="16"/>
  <c r="N2734" i="16"/>
  <c r="N2736" i="16"/>
  <c r="N2737" i="16"/>
  <c r="N2738" i="16"/>
  <c r="N2740" i="16"/>
  <c r="N2742" i="16"/>
  <c r="N2744" i="16"/>
  <c r="N2745" i="16"/>
  <c r="N2747" i="16"/>
  <c r="N2749" i="16"/>
  <c r="N2750" i="16"/>
  <c r="N2752" i="16"/>
  <c r="N2753" i="16"/>
  <c r="N2755" i="16"/>
  <c r="N2756" i="16"/>
  <c r="N2759" i="16"/>
  <c r="N2760" i="16"/>
  <c r="N2761" i="16"/>
  <c r="N2763" i="16"/>
  <c r="N2764" i="16"/>
  <c r="N2766" i="16"/>
  <c r="N2767" i="16"/>
  <c r="N2768" i="16"/>
  <c r="N2770" i="16"/>
  <c r="N2772" i="16"/>
  <c r="N2773" i="16"/>
  <c r="N2775" i="16"/>
  <c r="N2777" i="16"/>
  <c r="N2779" i="16"/>
  <c r="N2780" i="16"/>
  <c r="N2782" i="16"/>
  <c r="N2783" i="16"/>
  <c r="N2784" i="16"/>
  <c r="N2786" i="16"/>
  <c r="N2788" i="16"/>
  <c r="N2790" i="16"/>
  <c r="N2791" i="16"/>
  <c r="N2793" i="16"/>
  <c r="N2795" i="16"/>
  <c r="N2797" i="16"/>
  <c r="N2798" i="16"/>
  <c r="N2800" i="16"/>
  <c r="N2802" i="16"/>
  <c r="N2803" i="16"/>
  <c r="N2804" i="16"/>
  <c r="N2805" i="16"/>
  <c r="N2807" i="16"/>
  <c r="N2809" i="16"/>
  <c r="N2810" i="16"/>
  <c r="N2811" i="16"/>
  <c r="N2812" i="16"/>
  <c r="N2813" i="16"/>
  <c r="N2815" i="16"/>
  <c r="N2816" i="16"/>
  <c r="N2818" i="16"/>
  <c r="N2819" i="16"/>
  <c r="N2821" i="16"/>
  <c r="N2825" i="16"/>
  <c r="N2826" i="16"/>
  <c r="N2828" i="16"/>
  <c r="N2829" i="16"/>
  <c r="N2831" i="16"/>
  <c r="N2832" i="16"/>
  <c r="N2834" i="16"/>
  <c r="N2836" i="16"/>
  <c r="N2837" i="16"/>
  <c r="N2839" i="16"/>
  <c r="N2840" i="16"/>
  <c r="N2841" i="16"/>
  <c r="N2843" i="16"/>
  <c r="N2845" i="16"/>
  <c r="N2847" i="16"/>
  <c r="N2849" i="16"/>
  <c r="N2850" i="16"/>
  <c r="N2851" i="16"/>
  <c r="N2853" i="16"/>
  <c r="N2855" i="16"/>
  <c r="N2857" i="16"/>
  <c r="N2858" i="16"/>
  <c r="N2864" i="16"/>
  <c r="N2865" i="16"/>
  <c r="N2866" i="16"/>
  <c r="N2867" i="16"/>
  <c r="N2868" i="16"/>
  <c r="N2870" i="16"/>
  <c r="N2872" i="16"/>
  <c r="N2873" i="16"/>
  <c r="N2876" i="16"/>
  <c r="N2878" i="16"/>
  <c r="N2879" i="16"/>
  <c r="N2880" i="16"/>
  <c r="N2883" i="16"/>
  <c r="N2884" i="16"/>
  <c r="N2885" i="16"/>
  <c r="N2887" i="16"/>
  <c r="N2888" i="16"/>
  <c r="N2889" i="16"/>
  <c r="N2891" i="16"/>
  <c r="N2892" i="16"/>
  <c r="N2893" i="16"/>
  <c r="N2896" i="16"/>
  <c r="N2897" i="16"/>
  <c r="N2899" i="16"/>
  <c r="N2900" i="16"/>
  <c r="N2904" i="16"/>
  <c r="N2906" i="16"/>
  <c r="N2908" i="16"/>
  <c r="N2910" i="16"/>
  <c r="N2911" i="16"/>
  <c r="N2912" i="16"/>
  <c r="N2914" i="16"/>
  <c r="N2915" i="16"/>
  <c r="N2917" i="16"/>
  <c r="N2918" i="16"/>
  <c r="N2919" i="16"/>
  <c r="N2921" i="16"/>
  <c r="N2922" i="16"/>
  <c r="N2923" i="16"/>
  <c r="N2925" i="16"/>
  <c r="N2926" i="16"/>
  <c r="N2927" i="16"/>
  <c r="N2929" i="16"/>
  <c r="N2930" i="16"/>
  <c r="N2931" i="16"/>
  <c r="N2932" i="16"/>
  <c r="N2933" i="16"/>
  <c r="N2934" i="16"/>
  <c r="N2935" i="16"/>
  <c r="N2937" i="16"/>
  <c r="N2938" i="16"/>
  <c r="N2939" i="16"/>
  <c r="N2940" i="16"/>
  <c r="N2942" i="16"/>
  <c r="N2943" i="16"/>
  <c r="N2944" i="16"/>
  <c r="N2946" i="16"/>
  <c r="N2948" i="16"/>
  <c r="N2950" i="16"/>
  <c r="N2952" i="16"/>
  <c r="N2954" i="16"/>
  <c r="N2955" i="16"/>
  <c r="N2956" i="16"/>
  <c r="N2958" i="16"/>
  <c r="N2960" i="16"/>
  <c r="N2961" i="16"/>
  <c r="N2965" i="16"/>
  <c r="N2966" i="16"/>
  <c r="N2967" i="16"/>
  <c r="N2969" i="16"/>
  <c r="N2970" i="16"/>
  <c r="N2972" i="16"/>
  <c r="N2973" i="16"/>
  <c r="N2974" i="16"/>
  <c r="N2976" i="16"/>
  <c r="N2977" i="16"/>
  <c r="N2978" i="16"/>
  <c r="N2980" i="16"/>
  <c r="N2981" i="16"/>
  <c r="N2983" i="16"/>
  <c r="N2985" i="16"/>
  <c r="N2987" i="16"/>
  <c r="N2988" i="16"/>
  <c r="N2990" i="16"/>
  <c r="N2992" i="16"/>
  <c r="N2993" i="16"/>
  <c r="N2995" i="16"/>
  <c r="N2996" i="16"/>
  <c r="N2998" i="16"/>
  <c r="N2999" i="16"/>
  <c r="N3000" i="16"/>
  <c r="N3003" i="16"/>
  <c r="N3004" i="16"/>
  <c r="N3005" i="16"/>
  <c r="N3007" i="16"/>
  <c r="N3009" i="16"/>
  <c r="N3011" i="16"/>
  <c r="N3012" i="16"/>
  <c r="N3013" i="16"/>
  <c r="N3014" i="16"/>
  <c r="N3015" i="16"/>
  <c r="N3017" i="16"/>
  <c r="N3019" i="16"/>
  <c r="N3020" i="16"/>
  <c r="N3022" i="16"/>
  <c r="N3023" i="16"/>
  <c r="N3025" i="16"/>
  <c r="N3026" i="16"/>
  <c r="N3028" i="16"/>
  <c r="N3029" i="16"/>
  <c r="N3031" i="16"/>
  <c r="N3033" i="16"/>
  <c r="N3034" i="16"/>
  <c r="N3036" i="16"/>
  <c r="N3038" i="16"/>
  <c r="N3039" i="16"/>
  <c r="N3041" i="16"/>
  <c r="N3043" i="16"/>
  <c r="N3044" i="16"/>
  <c r="N3046" i="16"/>
  <c r="N3047" i="16"/>
  <c r="N3049" i="16"/>
  <c r="N3051" i="16"/>
  <c r="N3052" i="16"/>
  <c r="N3053" i="16"/>
  <c r="N3055" i="16"/>
  <c r="N3057" i="16"/>
  <c r="N3059" i="16"/>
  <c r="N3061" i="16"/>
  <c r="N3063" i="16"/>
  <c r="N3065" i="16"/>
  <c r="N3067" i="16"/>
  <c r="N3068" i="16"/>
  <c r="N3069" i="16"/>
  <c r="N3071" i="16"/>
  <c r="N3072" i="16"/>
  <c r="N3076" i="16"/>
  <c r="N3077" i="16"/>
  <c r="N3078" i="16"/>
  <c r="N3079" i="16"/>
  <c r="N3080" i="16"/>
  <c r="N3082" i="16"/>
  <c r="N3084" i="16"/>
  <c r="N3085" i="16"/>
  <c r="N3086" i="16"/>
  <c r="N3088" i="16"/>
  <c r="N3089" i="16"/>
  <c r="N3090" i="16"/>
  <c r="N3092" i="16"/>
  <c r="N3093" i="16"/>
  <c r="N3094" i="16"/>
  <c r="N3096" i="16"/>
  <c r="N3097" i="16"/>
  <c r="N3099" i="16"/>
  <c r="N3100" i="16"/>
  <c r="N3102" i="16"/>
  <c r="N3104" i="16"/>
  <c r="N3106" i="16"/>
  <c r="N3108" i="16"/>
  <c r="N3109" i="16"/>
  <c r="N3111" i="16"/>
  <c r="N3112" i="16"/>
  <c r="N3114" i="16"/>
  <c r="N3115" i="16"/>
  <c r="N3117" i="16"/>
  <c r="N3118" i="16"/>
  <c r="N3121" i="16"/>
  <c r="N3122" i="16"/>
  <c r="N3123" i="16"/>
  <c r="N3125" i="16"/>
  <c r="N3127" i="16"/>
  <c r="N3128" i="16"/>
  <c r="N3129" i="16"/>
  <c r="N3131" i="16"/>
  <c r="N3133" i="16"/>
  <c r="N3135" i="16"/>
  <c r="N3136" i="16"/>
  <c r="N3137" i="16"/>
  <c r="N3139" i="16"/>
  <c r="N3140" i="16"/>
  <c r="N3142" i="16"/>
  <c r="N3144" i="16"/>
  <c r="N3146" i="16"/>
  <c r="N3148" i="16"/>
  <c r="N3149" i="16"/>
  <c r="N3151" i="16"/>
  <c r="N3153" i="16"/>
  <c r="N3154" i="16"/>
  <c r="N3155" i="16"/>
  <c r="N3158" i="16"/>
  <c r="N3159" i="16"/>
  <c r="N3160" i="16"/>
  <c r="N3161" i="16"/>
  <c r="N3163" i="16"/>
  <c r="N3164" i="16"/>
  <c r="N3166" i="16"/>
  <c r="N3167" i="16"/>
  <c r="N3168" i="16"/>
  <c r="N3170" i="16"/>
  <c r="N3171" i="16"/>
  <c r="N3173" i="16"/>
  <c r="N3175" i="16"/>
  <c r="N3176" i="16"/>
  <c r="N3178" i="16"/>
  <c r="N3179" i="16"/>
  <c r="N3181" i="16"/>
  <c r="N3182" i="16"/>
  <c r="N3184" i="16"/>
  <c r="N3187" i="16"/>
  <c r="N3188" i="16"/>
  <c r="N3190" i="16"/>
  <c r="N3192" i="16"/>
  <c r="N3194" i="16"/>
  <c r="N3195" i="16"/>
  <c r="N3197" i="16"/>
  <c r="N3199" i="16"/>
  <c r="N3200" i="16"/>
  <c r="N3202" i="16"/>
  <c r="N3204" i="16"/>
  <c r="N3210" i="16"/>
  <c r="N3211" i="16"/>
  <c r="N3212" i="16"/>
  <c r="N3213" i="16"/>
  <c r="N3214" i="16"/>
  <c r="N3216" i="16"/>
  <c r="N3218" i="16"/>
  <c r="N3220" i="16"/>
  <c r="N3221" i="16"/>
  <c r="N3223" i="16"/>
  <c r="N3224" i="16"/>
  <c r="N3225" i="16"/>
  <c r="N3227" i="16"/>
  <c r="N3228" i="16"/>
  <c r="N3229" i="16"/>
  <c r="N3230" i="16"/>
  <c r="N3232" i="16"/>
  <c r="N3234" i="16"/>
  <c r="N3235" i="16"/>
  <c r="N3236" i="16"/>
  <c r="N3238" i="16"/>
  <c r="N3239" i="16"/>
  <c r="N3240" i="16"/>
  <c r="N3241" i="16"/>
  <c r="N3242" i="16"/>
  <c r="N3244" i="16"/>
  <c r="N3245" i="16"/>
  <c r="N3246" i="16"/>
  <c r="N3247" i="16"/>
  <c r="N3248" i="16"/>
  <c r="N3249" i="16"/>
  <c r="N3251" i="16"/>
  <c r="N3253" i="16"/>
  <c r="N3255" i="16"/>
  <c r="N3256" i="16"/>
  <c r="N3258" i="16"/>
  <c r="N3260" i="16"/>
  <c r="N3262" i="16"/>
  <c r="N3263" i="16"/>
  <c r="N3264" i="16"/>
  <c r="N3266" i="16"/>
  <c r="N3268" i="16"/>
  <c r="N3269" i="16"/>
  <c r="N3270" i="16"/>
  <c r="N3271" i="16"/>
  <c r="N3272" i="16"/>
  <c r="N3275" i="16"/>
  <c r="N3276" i="16"/>
  <c r="N3277" i="16"/>
  <c r="N3278" i="16"/>
  <c r="N3280" i="16"/>
  <c r="N3281" i="16"/>
  <c r="N3282" i="16"/>
  <c r="N3283" i="16"/>
  <c r="N3285" i="16"/>
  <c r="N3286" i="16"/>
  <c r="N3287" i="16"/>
  <c r="N3288" i="16"/>
  <c r="N3290" i="16"/>
  <c r="N3291" i="16"/>
  <c r="N3292" i="16"/>
  <c r="N3294" i="16"/>
  <c r="N3295" i="16"/>
  <c r="N3296" i="16"/>
  <c r="N3297" i="16"/>
  <c r="N3298" i="16"/>
  <c r="N3300" i="16"/>
  <c r="N3301" i="16"/>
  <c r="N3302" i="16"/>
  <c r="N3304" i="16"/>
  <c r="N3305" i="16"/>
  <c r="N3306" i="16"/>
  <c r="N3308" i="16"/>
  <c r="N3309" i="16"/>
  <c r="N3311" i="16"/>
  <c r="N3312" i="16"/>
  <c r="N3313" i="16"/>
  <c r="N3315" i="16"/>
  <c r="N3316" i="16"/>
  <c r="N3317" i="16"/>
  <c r="N3318" i="16"/>
  <c r="N3319" i="16"/>
  <c r="N3321" i="16"/>
  <c r="N3322" i="16"/>
  <c r="N3323" i="16"/>
  <c r="N3324" i="16"/>
  <c r="N3326" i="16"/>
  <c r="N3327" i="16"/>
  <c r="N3329" i="16"/>
  <c r="N3331" i="16"/>
  <c r="N3332" i="16"/>
  <c r="N3333" i="16"/>
  <c r="N3334" i="16"/>
  <c r="N3336" i="16"/>
  <c r="N3337" i="16"/>
  <c r="N3339" i="16"/>
  <c r="N3340" i="16"/>
  <c r="N3341" i="16"/>
  <c r="N3342" i="16"/>
  <c r="N3344" i="16"/>
  <c r="N3345" i="16"/>
  <c r="N3347" i="16"/>
  <c r="N3348" i="16"/>
  <c r="N3350" i="16"/>
  <c r="N3352" i="16"/>
  <c r="N3353" i="16"/>
  <c r="N3354" i="16"/>
  <c r="N3357" i="16"/>
  <c r="N3358" i="16"/>
  <c r="N3360" i="16"/>
  <c r="N3362" i="16"/>
  <c r="N3363" i="16"/>
  <c r="N3364" i="16"/>
  <c r="N3365" i="16"/>
  <c r="N3366" i="16"/>
  <c r="N3367" i="16"/>
  <c r="N3368" i="16"/>
  <c r="N3369" i="16"/>
  <c r="N3371" i="16"/>
  <c r="N3372" i="16"/>
  <c r="N3373" i="16"/>
  <c r="N3374" i="16"/>
  <c r="N3376" i="16"/>
  <c r="N3377" i="16"/>
  <c r="N3379" i="16"/>
  <c r="N3381" i="16"/>
  <c r="N3382" i="16"/>
  <c r="N3384" i="16"/>
  <c r="N3388" i="16"/>
  <c r="N3389" i="16"/>
  <c r="N3390" i="16"/>
  <c r="N3391" i="16"/>
  <c r="N3392" i="16"/>
  <c r="N3393" i="16"/>
  <c r="N3394" i="16"/>
  <c r="N3395" i="16"/>
  <c r="N3397" i="16"/>
  <c r="N3399" i="16"/>
  <c r="N3400" i="16"/>
  <c r="N3401" i="16"/>
  <c r="N3402" i="16"/>
  <c r="N3403" i="16"/>
  <c r="N3405" i="16"/>
  <c r="N3406" i="16"/>
  <c r="N3407" i="16"/>
  <c r="N3409" i="16"/>
  <c r="N3410" i="16"/>
  <c r="N3411" i="16"/>
  <c r="N3413" i="16"/>
  <c r="N3415" i="16"/>
  <c r="N3416" i="16"/>
  <c r="N3417" i="16"/>
  <c r="N3419" i="16"/>
  <c r="N3421" i="16"/>
  <c r="N3422" i="16"/>
  <c r="N3423" i="16"/>
  <c r="N3425" i="16"/>
  <c r="N3426" i="16"/>
  <c r="N3428" i="16"/>
  <c r="N3429" i="16"/>
  <c r="N3430" i="16"/>
  <c r="N3431" i="16"/>
  <c r="N3432" i="16"/>
  <c r="N3434" i="16"/>
  <c r="N3435" i="16"/>
  <c r="N3436" i="16"/>
  <c r="N3437" i="16"/>
  <c r="N3440" i="16"/>
  <c r="N3441" i="16"/>
  <c r="N3443" i="16"/>
  <c r="N3445" i="16"/>
  <c r="N3446" i="16"/>
  <c r="N3447" i="16"/>
  <c r="N3449" i="16"/>
  <c r="N3451" i="16"/>
  <c r="N3452" i="16"/>
  <c r="N3453" i="16"/>
  <c r="N3455" i="16"/>
  <c r="N3456" i="16"/>
  <c r="N3458" i="16"/>
  <c r="N3459" i="16"/>
  <c r="N3461" i="16"/>
  <c r="N3463" i="16"/>
  <c r="N3465" i="16"/>
  <c r="N3466" i="16"/>
  <c r="N3469" i="16"/>
  <c r="N3470" i="16"/>
  <c r="N3472" i="16"/>
  <c r="N3473" i="16"/>
  <c r="N3475" i="16"/>
  <c r="N3476" i="16"/>
  <c r="N3477" i="16"/>
  <c r="N3478" i="16"/>
  <c r="N3480" i="16"/>
  <c r="N3481" i="16"/>
  <c r="N3482" i="16"/>
  <c r="N3484" i="16"/>
  <c r="N3485" i="16"/>
  <c r="N3486" i="16"/>
  <c r="N3487" i="16"/>
  <c r="N3489" i="16"/>
  <c r="N3490" i="16"/>
  <c r="N3492" i="16"/>
  <c r="N3493" i="16"/>
  <c r="N3494" i="16"/>
  <c r="N3496" i="16"/>
  <c r="N3497" i="16"/>
  <c r="N3499" i="16"/>
  <c r="N3500" i="16"/>
  <c r="N3501" i="16"/>
  <c r="N3503" i="16"/>
  <c r="N3505" i="16"/>
  <c r="N3506" i="16"/>
  <c r="N3507" i="16"/>
  <c r="N3509" i="16"/>
  <c r="N3510" i="16"/>
  <c r="N3511" i="16"/>
  <c r="N3512" i="16"/>
  <c r="N3514" i="16"/>
  <c r="N3515" i="16"/>
  <c r="N3516" i="16"/>
  <c r="N3518" i="16"/>
  <c r="N3520" i="16"/>
  <c r="N3521" i="16"/>
  <c r="N3522" i="16"/>
  <c r="N3524" i="16"/>
  <c r="N3526" i="16"/>
  <c r="N3527" i="16"/>
  <c r="N3528" i="16"/>
  <c r="N3530" i="16"/>
  <c r="N3531" i="16"/>
  <c r="N3532" i="16"/>
  <c r="N3534" i="16"/>
  <c r="N3535" i="16"/>
  <c r="N3536" i="16"/>
  <c r="N3538" i="16"/>
  <c r="N3545" i="16"/>
  <c r="N3546" i="16"/>
  <c r="N3547" i="16"/>
  <c r="N3548" i="16"/>
  <c r="N3549" i="16"/>
  <c r="N3551" i="16"/>
  <c r="N3553" i="16"/>
  <c r="N3554" i="16"/>
  <c r="N3556" i="16"/>
  <c r="N3557" i="16"/>
  <c r="N3558" i="16"/>
  <c r="N3560" i="16"/>
  <c r="N3561" i="16"/>
  <c r="N3562" i="16"/>
  <c r="N3564" i="16"/>
  <c r="N3565" i="16"/>
  <c r="N3566" i="16"/>
  <c r="N3568" i="16"/>
  <c r="N3569" i="16"/>
  <c r="N3570" i="16"/>
  <c r="N3572" i="16"/>
  <c r="N3574" i="16"/>
  <c r="N3575" i="16"/>
  <c r="N3576" i="16"/>
  <c r="N3577" i="16"/>
  <c r="N3578" i="16"/>
  <c r="N3579" i="16"/>
  <c r="N3581" i="16"/>
  <c r="N3582" i="16"/>
  <c r="N3584" i="16"/>
  <c r="N3586" i="16"/>
  <c r="N3587" i="16"/>
  <c r="N3588" i="16"/>
  <c r="N3590" i="16"/>
  <c r="N3592" i="16"/>
  <c r="N3593" i="16"/>
  <c r="N3594" i="16"/>
  <c r="N3596" i="16"/>
  <c r="N3598" i="16"/>
  <c r="N3599" i="16"/>
  <c r="N3601" i="16"/>
  <c r="N3603" i="16"/>
  <c r="N3604" i="16"/>
  <c r="N3605" i="16"/>
  <c r="N3608" i="16"/>
  <c r="N3609" i="16"/>
  <c r="N3610" i="16"/>
  <c r="N3612" i="16"/>
  <c r="N3613" i="16"/>
  <c r="N3615" i="16"/>
  <c r="N3616" i="16"/>
  <c r="N3617" i="16"/>
  <c r="N3619" i="16"/>
  <c r="N3620" i="16"/>
  <c r="N3621" i="16"/>
  <c r="N3622" i="16"/>
  <c r="N3623" i="16"/>
  <c r="N3625" i="16"/>
  <c r="N3626" i="16"/>
  <c r="N3627" i="16"/>
  <c r="N3628" i="16"/>
  <c r="N3629" i="16"/>
  <c r="N3630" i="16"/>
  <c r="N3631" i="16"/>
  <c r="N3633" i="16"/>
  <c r="N3634" i="16"/>
  <c r="N3636" i="16"/>
  <c r="N3638" i="16"/>
  <c r="N3639" i="16"/>
  <c r="N3640" i="16"/>
  <c r="N3642" i="16"/>
  <c r="N3644" i="16"/>
  <c r="N3645" i="16"/>
  <c r="N3646" i="16"/>
  <c r="N3648" i="16"/>
  <c r="N3650" i="16"/>
  <c r="N3651" i="16"/>
  <c r="N3652" i="16"/>
  <c r="N3653" i="16"/>
  <c r="N3655" i="16"/>
  <c r="N3656" i="16"/>
  <c r="N3657" i="16"/>
  <c r="N3659" i="16"/>
  <c r="N3660" i="16"/>
  <c r="N3661" i="16"/>
  <c r="N3663" i="16"/>
  <c r="N3664" i="16"/>
  <c r="N3666" i="16"/>
  <c r="N3667" i="16"/>
  <c r="N3669" i="16"/>
  <c r="N3670" i="16"/>
  <c r="N3671" i="16"/>
  <c r="N3673" i="16"/>
  <c r="N3674" i="16"/>
  <c r="N3675" i="16"/>
  <c r="N3677" i="16"/>
  <c r="N3679" i="16"/>
  <c r="N3680" i="16"/>
  <c r="N3681" i="16"/>
  <c r="N3682" i="16"/>
  <c r="N3683" i="16"/>
  <c r="N3684" i="16"/>
  <c r="N3685" i="16"/>
  <c r="N3687" i="16"/>
  <c r="N3688" i="16"/>
  <c r="N3690" i="16"/>
  <c r="N3691" i="16"/>
  <c r="N3692" i="16"/>
  <c r="N3694" i="16"/>
  <c r="N3696" i="16"/>
  <c r="N3697" i="16"/>
  <c r="N3698" i="16"/>
  <c r="N3700" i="16"/>
  <c r="N3702" i="16"/>
  <c r="N3703" i="16"/>
  <c r="N3704" i="16"/>
  <c r="N3705" i="16"/>
  <c r="N3706" i="16"/>
  <c r="N3708" i="16"/>
  <c r="N3709" i="16"/>
  <c r="N3711" i="16"/>
  <c r="N3712" i="16"/>
  <c r="N3713" i="16"/>
  <c r="N3715" i="16"/>
  <c r="N3716" i="16"/>
  <c r="N3717" i="16"/>
  <c r="N3719" i="16"/>
  <c r="N3720" i="16"/>
  <c r="N3721" i="16"/>
  <c r="N3723" i="16"/>
  <c r="N3724" i="16"/>
  <c r="N3725" i="16"/>
  <c r="N3727" i="16"/>
  <c r="N3729" i="16"/>
  <c r="N3730" i="16"/>
  <c r="N3731" i="16"/>
  <c r="N3732" i="16"/>
  <c r="N3733" i="16"/>
  <c r="N3734" i="16"/>
  <c r="N3735" i="16"/>
  <c r="N3737" i="16"/>
  <c r="N3738" i="16"/>
  <c r="N3740" i="16"/>
  <c r="N3742" i="16"/>
  <c r="N3744" i="16"/>
  <c r="N3745" i="16"/>
  <c r="N3746" i="16"/>
  <c r="N3748" i="16"/>
  <c r="N3750" i="16"/>
  <c r="N3752" i="16"/>
  <c r="N3754" i="16"/>
  <c r="N3760" i="16"/>
  <c r="N3761" i="16"/>
  <c r="N3762" i="16"/>
  <c r="N3763" i="16"/>
  <c r="N3765" i="16"/>
  <c r="N3766" i="16"/>
  <c r="N3768" i="16"/>
  <c r="N3770" i="16"/>
  <c r="N3772" i="16"/>
  <c r="N3773" i="16"/>
  <c r="N3775" i="16"/>
  <c r="N3776" i="16"/>
  <c r="N3778" i="16"/>
  <c r="N3779" i="16"/>
  <c r="N3780" i="16"/>
  <c r="N3781" i="16"/>
  <c r="N3783" i="16"/>
  <c r="N3784" i="16"/>
  <c r="N3785" i="16"/>
  <c r="N3787" i="16"/>
  <c r="N3788" i="16"/>
  <c r="N3789" i="16"/>
  <c r="N3791" i="16"/>
  <c r="N3793" i="16"/>
  <c r="N3794" i="16"/>
  <c r="N3795" i="16"/>
  <c r="N3796" i="16"/>
  <c r="N3797" i="16"/>
  <c r="N3799" i="16"/>
  <c r="N3800" i="16"/>
  <c r="N3801" i="16"/>
  <c r="N3802" i="16"/>
  <c r="N3803" i="16"/>
  <c r="N3804" i="16"/>
  <c r="N3806" i="16"/>
  <c r="N3807" i="16"/>
  <c r="N3808" i="16"/>
  <c r="N3809" i="16"/>
  <c r="N3810" i="16"/>
  <c r="N3812" i="16"/>
  <c r="N3814" i="16"/>
  <c r="N3815" i="16"/>
  <c r="N3816" i="16"/>
  <c r="N3818" i="16"/>
  <c r="N3820" i="16"/>
  <c r="N3821" i="16"/>
  <c r="N3822" i="16"/>
  <c r="N3823" i="16"/>
  <c r="N3824" i="16"/>
  <c r="N3825" i="16"/>
  <c r="N3826" i="16"/>
  <c r="N3828" i="16"/>
  <c r="N3830" i="16"/>
  <c r="N3831" i="16"/>
  <c r="N3832" i="16"/>
  <c r="N3834" i="16"/>
  <c r="N3835" i="16"/>
  <c r="N3837" i="16"/>
  <c r="N3839" i="16"/>
  <c r="N3841" i="16"/>
  <c r="N3842" i="16"/>
  <c r="N3843" i="16"/>
  <c r="N3845" i="16"/>
  <c r="N3846" i="16"/>
  <c r="N3847" i="16"/>
  <c r="N3849" i="16"/>
  <c r="N3851" i="16"/>
  <c r="N3852" i="16"/>
  <c r="N3853" i="16"/>
  <c r="N3855" i="16"/>
  <c r="N3856" i="16"/>
  <c r="N3857" i="16"/>
  <c r="N3858" i="16"/>
  <c r="N3859" i="16"/>
  <c r="N3860" i="16"/>
  <c r="N3861" i="16"/>
  <c r="N3862" i="16"/>
  <c r="N3863" i="16"/>
  <c r="N3864" i="16"/>
  <c r="N3865" i="16"/>
  <c r="N3866" i="16"/>
  <c r="N3867" i="16"/>
  <c r="N3868" i="16"/>
  <c r="N3869" i="16"/>
  <c r="N3870" i="16"/>
  <c r="N3871" i="16"/>
  <c r="N3872" i="16"/>
  <c r="N3873" i="16"/>
  <c r="N3874" i="16"/>
  <c r="N3875" i="16"/>
  <c r="N3876" i="16"/>
  <c r="N3877" i="16"/>
  <c r="N3878" i="16"/>
  <c r="N3879" i="16"/>
  <c r="N3880" i="16"/>
  <c r="N3881" i="16"/>
  <c r="N3882" i="16"/>
  <c r="N3883" i="16"/>
  <c r="N3884" i="16"/>
  <c r="N3885" i="16"/>
  <c r="N3886" i="16"/>
  <c r="N3887" i="16"/>
  <c r="N3888" i="16"/>
  <c r="N3889" i="16"/>
  <c r="N3890" i="16"/>
  <c r="N3891" i="16"/>
  <c r="N3892" i="16"/>
  <c r="N3893" i="16"/>
  <c r="N3894" i="16"/>
  <c r="N3895" i="16"/>
  <c r="N3896" i="16"/>
  <c r="N3897" i="16"/>
  <c r="N3898" i="16"/>
  <c r="N3899" i="16"/>
  <c r="N3900" i="16"/>
  <c r="N3901" i="16"/>
  <c r="N3902" i="16"/>
  <c r="N3903" i="16"/>
  <c r="N3904" i="16"/>
  <c r="N3905" i="16"/>
  <c r="N3906" i="16"/>
  <c r="N3907" i="16"/>
  <c r="N3908" i="16"/>
  <c r="N3909" i="16"/>
  <c r="N3910" i="16"/>
  <c r="N3911" i="16"/>
  <c r="N3912" i="16"/>
  <c r="N3913" i="16"/>
  <c r="N3914" i="16"/>
  <c r="N3915" i="16"/>
  <c r="N3916" i="16"/>
  <c r="N3917" i="16"/>
  <c r="N3919" i="16"/>
  <c r="N3920" i="16"/>
  <c r="N3922" i="16"/>
  <c r="N3923" i="16"/>
  <c r="N3924" i="16"/>
  <c r="N3929" i="16"/>
  <c r="N3930" i="16"/>
  <c r="N3931" i="16"/>
  <c r="N3932" i="16"/>
  <c r="N3933" i="16"/>
  <c r="N3935" i="16"/>
  <c r="N3937" i="16"/>
  <c r="N3939" i="16"/>
  <c r="N3940" i="16"/>
  <c r="N3942" i="16"/>
  <c r="N3943" i="16"/>
  <c r="N3944" i="16"/>
  <c r="N3946" i="16"/>
  <c r="N3947" i="16"/>
  <c r="N3949" i="16"/>
  <c r="N3951" i="16"/>
  <c r="N3952" i="16"/>
  <c r="N3954" i="16"/>
  <c r="N3955" i="16"/>
  <c r="N3957" i="16"/>
  <c r="N3958" i="16"/>
  <c r="N3959" i="16"/>
  <c r="N3961" i="16"/>
  <c r="N3963" i="16"/>
  <c r="N3965" i="16"/>
  <c r="N3966" i="16"/>
  <c r="N3967" i="16"/>
  <c r="N3969" i="16"/>
  <c r="N3971" i="16"/>
  <c r="N3972" i="16"/>
  <c r="N3974" i="16"/>
  <c r="N3975" i="16"/>
  <c r="N3977" i="16"/>
  <c r="N3980" i="16"/>
  <c r="N3981" i="16"/>
  <c r="N3983" i="16"/>
  <c r="N3985" i="16"/>
  <c r="N3987" i="16"/>
  <c r="N3988" i="16"/>
  <c r="N3989" i="16"/>
  <c r="N3991" i="16"/>
  <c r="N3992" i="16"/>
  <c r="N3994" i="16"/>
  <c r="N3995" i="16"/>
  <c r="N3996" i="16"/>
  <c r="N3998" i="16"/>
  <c r="N4000" i="16"/>
  <c r="N4002" i="16"/>
  <c r="N4003" i="16"/>
  <c r="N4005" i="16"/>
  <c r="N4007" i="16"/>
  <c r="N4009" i="16"/>
  <c r="N4011" i="16"/>
  <c r="N4013" i="16"/>
  <c r="N4014" i="16"/>
  <c r="N4016" i="16"/>
  <c r="N4017" i="16"/>
  <c r="N4020" i="16"/>
  <c r="N4021" i="16"/>
  <c r="N4022" i="16"/>
  <c r="N4024" i="16"/>
  <c r="N4025" i="16"/>
  <c r="N4027" i="16"/>
  <c r="N4028" i="16"/>
  <c r="N4029" i="16"/>
  <c r="N4031" i="16"/>
  <c r="N4033" i="16"/>
  <c r="N4034" i="16"/>
  <c r="N4036" i="16"/>
  <c r="N4038" i="16"/>
  <c r="N4040" i="16"/>
  <c r="N4042" i="16"/>
  <c r="N4043" i="16"/>
  <c r="N4045" i="16"/>
  <c r="N4046" i="16"/>
  <c r="N4048" i="16"/>
  <c r="N4049" i="16"/>
  <c r="N4051" i="16"/>
  <c r="N4053" i="16"/>
  <c r="N4056" i="16"/>
  <c r="N4057" i="16"/>
  <c r="N4058" i="16"/>
  <c r="N4060" i="16"/>
  <c r="N4062" i="16"/>
  <c r="N4064" i="16"/>
  <c r="N4065" i="16"/>
  <c r="N4066" i="16"/>
  <c r="N4068" i="16"/>
  <c r="N4070" i="16"/>
  <c r="N4072" i="16"/>
  <c r="N4074" i="16"/>
  <c r="N4076" i="16"/>
  <c r="N4078" i="16"/>
  <c r="N4080" i="16"/>
  <c r="N4081" i="16"/>
  <c r="N4083" i="16"/>
  <c r="N4084" i="16"/>
  <c r="N4086" i="16"/>
  <c r="N4089" i="16"/>
  <c r="N4090" i="16"/>
  <c r="N4091" i="16"/>
  <c r="N4093" i="16"/>
  <c r="N4095" i="16"/>
  <c r="N4097" i="16"/>
  <c r="N4098" i="16"/>
  <c r="N4099" i="16"/>
  <c r="N4101" i="16"/>
  <c r="N4103" i="16"/>
  <c r="N4104" i="16"/>
  <c r="N4106" i="16"/>
  <c r="N4108" i="16"/>
  <c r="N4110" i="16"/>
  <c r="N4111" i="16"/>
  <c r="N4113" i="16"/>
  <c r="N4114" i="16"/>
  <c r="N4116" i="16"/>
  <c r="N4117" i="16"/>
  <c r="N4119" i="16"/>
  <c r="N4121" i="16"/>
  <c r="N4122" i="16"/>
  <c r="N4128" i="16"/>
  <c r="N4129" i="16"/>
  <c r="N4130" i="16"/>
  <c r="N4131" i="16"/>
  <c r="N4132" i="16"/>
  <c r="N4134" i="16"/>
  <c r="N4136" i="16"/>
  <c r="N4138" i="16"/>
  <c r="N4139" i="16"/>
  <c r="N4141" i="16"/>
  <c r="N4142" i="16"/>
  <c r="N4145" i="16"/>
  <c r="N4146" i="16"/>
  <c r="N4148" i="16"/>
  <c r="N4149" i="16"/>
  <c r="N4150" i="16"/>
  <c r="N4152" i="16"/>
  <c r="N4153" i="16"/>
  <c r="N4154" i="16"/>
  <c r="N4156" i="16"/>
  <c r="N4157" i="16"/>
  <c r="N4158" i="16"/>
  <c r="N4159" i="16"/>
  <c r="N4161" i="16"/>
  <c r="N4162" i="16"/>
  <c r="N4163" i="16"/>
  <c r="N4165" i="16"/>
  <c r="N4166" i="16"/>
  <c r="N4168" i="16"/>
  <c r="N4169" i="16"/>
  <c r="N4171" i="16"/>
  <c r="N4172" i="16"/>
  <c r="N4173" i="16"/>
  <c r="N4175" i="16"/>
  <c r="N4177" i="16"/>
  <c r="N4178" i="16"/>
  <c r="N4180" i="16"/>
  <c r="N4183" i="16"/>
  <c r="N4184" i="16"/>
  <c r="N4186" i="16"/>
  <c r="N4189" i="16"/>
  <c r="N4190" i="16"/>
  <c r="N4191" i="16"/>
  <c r="N4193" i="16"/>
  <c r="N4195" i="16"/>
  <c r="N4196" i="16"/>
  <c r="N4198" i="16"/>
  <c r="N4199" i="16"/>
  <c r="N4202" i="16"/>
  <c r="N4203" i="16"/>
  <c r="N4205" i="16"/>
  <c r="N4206" i="16"/>
  <c r="N4207" i="16"/>
  <c r="N4209" i="16"/>
  <c r="N4211" i="16"/>
  <c r="N4212" i="16"/>
  <c r="N4213" i="16"/>
  <c r="N4214" i="16"/>
  <c r="N4216" i="16"/>
  <c r="N4217" i="16"/>
  <c r="N4219" i="16"/>
  <c r="N4221" i="16"/>
  <c r="N4224" i="16"/>
  <c r="N4225" i="16"/>
  <c r="N4227" i="16"/>
  <c r="N4229" i="16"/>
  <c r="N4232" i="16"/>
  <c r="N4233" i="16"/>
  <c r="N4234" i="16"/>
  <c r="N4236" i="16"/>
  <c r="N4238" i="16"/>
  <c r="N4239" i="16"/>
  <c r="N4241" i="16"/>
  <c r="N4242" i="16"/>
  <c r="N4245" i="16"/>
  <c r="N4246" i="16"/>
  <c r="N4247" i="16"/>
  <c r="N4249" i="16"/>
  <c r="N4250" i="16"/>
  <c r="N4251" i="16"/>
  <c r="N4252" i="16"/>
  <c r="N4253" i="16"/>
  <c r="N4255" i="16"/>
  <c r="N4256" i="16"/>
  <c r="N4258" i="16"/>
  <c r="N4260" i="16"/>
  <c r="N4262" i="16"/>
  <c r="N4263" i="16"/>
  <c r="N4265" i="16"/>
  <c r="N4268" i="16"/>
  <c r="N4269" i="16"/>
  <c r="N4271" i="16"/>
  <c r="N4273" i="16"/>
  <c r="N4274" i="16"/>
  <c r="N4277" i="16"/>
  <c r="N4278" i="16"/>
  <c r="N4280" i="16"/>
  <c r="N4281" i="16"/>
  <c r="N4282" i="16"/>
  <c r="N4284" i="16"/>
  <c r="N4285" i="16"/>
  <c r="N4287" i="16"/>
  <c r="N4291" i="16"/>
  <c r="N4292" i="16"/>
  <c r="N4294" i="16"/>
  <c r="N4295" i="16"/>
  <c r="N4296" i="16"/>
  <c r="N4299" i="16"/>
  <c r="N4300" i="16"/>
  <c r="N4302" i="16"/>
  <c r="N4305" i="16"/>
  <c r="N4306" i="16"/>
  <c r="N4307" i="16"/>
  <c r="N4309" i="16"/>
  <c r="N4310" i="16"/>
  <c r="N4311" i="16"/>
  <c r="N4313" i="16"/>
  <c r="N4314" i="16"/>
  <c r="N4315" i="16"/>
  <c r="N4317" i="16"/>
  <c r="N4318" i="16"/>
  <c r="N4320" i="16"/>
  <c r="N4322" i="16"/>
  <c r="N4325" i="16"/>
  <c r="N4326" i="16"/>
  <c r="N4328" i="16"/>
  <c r="N4330" i="16"/>
  <c r="N4331" i="16"/>
  <c r="N4332" i="16"/>
  <c r="N4335" i="16"/>
  <c r="N4336" i="16"/>
  <c r="N4337" i="16"/>
  <c r="N4339" i="16"/>
  <c r="N4340" i="16"/>
  <c r="N4342" i="16"/>
  <c r="N4343" i="16"/>
  <c r="N4344" i="16"/>
  <c r="N4346" i="16"/>
  <c r="N4348" i="16"/>
  <c r="N4349" i="16"/>
  <c r="N4350" i="16"/>
  <c r="N4353" i="16"/>
  <c r="N4354" i="16"/>
  <c r="N4362" i="16"/>
  <c r="N4363" i="16"/>
  <c r="N4364" i="16"/>
  <c r="N4365" i="16"/>
  <c r="N4366" i="16"/>
  <c r="N4368" i="16"/>
  <c r="N4369" i="16"/>
  <c r="N4370" i="16"/>
  <c r="N4371" i="16"/>
  <c r="N4373" i="16"/>
  <c r="N4374" i="16"/>
  <c r="N4376" i="16"/>
  <c r="N4377" i="16"/>
  <c r="N4378" i="16"/>
  <c r="N4380" i="16"/>
  <c r="N4381" i="16"/>
  <c r="N4382" i="16"/>
  <c r="N4384" i="16"/>
  <c r="N4385" i="16"/>
  <c r="N4386" i="16"/>
  <c r="N4388" i="16"/>
  <c r="N4389" i="16"/>
  <c r="N4390" i="16"/>
  <c r="N4391" i="16"/>
  <c r="N4393" i="16"/>
  <c r="N4394" i="16"/>
  <c r="N4396" i="16"/>
  <c r="N4397" i="16"/>
  <c r="N4398" i="16"/>
  <c r="N4400" i="16"/>
  <c r="N4402" i="16"/>
  <c r="N4404" i="16"/>
  <c r="N4405" i="16"/>
  <c r="N4407" i="16"/>
  <c r="N4408" i="16"/>
  <c r="N4409" i="16"/>
  <c r="N4411" i="16"/>
  <c r="N4413" i="16"/>
  <c r="N4414" i="16"/>
  <c r="N4415" i="16"/>
  <c r="N4417" i="16"/>
  <c r="N4418" i="16"/>
  <c r="N4419" i="16"/>
  <c r="N4420" i="16"/>
  <c r="N4421" i="16"/>
  <c r="N4422" i="16"/>
  <c r="N4424" i="16"/>
  <c r="N4426" i="16"/>
  <c r="N4427" i="16"/>
  <c r="N4428" i="16"/>
  <c r="N4430" i="16"/>
  <c r="N4432" i="16"/>
  <c r="N4434" i="16"/>
  <c r="N4436" i="16"/>
  <c r="N4437" i="16"/>
  <c r="N4438" i="16"/>
  <c r="N4439" i="16"/>
  <c r="N4441" i="16"/>
  <c r="N4443" i="16"/>
  <c r="N4444" i="16"/>
  <c r="N4446" i="16"/>
  <c r="N4448" i="16"/>
  <c r="N4451" i="16"/>
  <c r="N4452" i="16"/>
  <c r="N4453" i="16"/>
  <c r="N4454" i="16"/>
  <c r="N4455" i="16"/>
  <c r="N4457" i="16"/>
  <c r="N4458" i="16"/>
  <c r="N4460" i="16"/>
  <c r="N4462" i="16"/>
  <c r="N4463" i="16"/>
  <c r="N4464" i="16"/>
  <c r="N4465" i="16"/>
  <c r="N4467" i="16"/>
  <c r="N4468" i="16"/>
  <c r="N4470" i="16"/>
  <c r="N4471" i="16"/>
  <c r="N4472" i="16"/>
  <c r="N4474" i="16"/>
  <c r="N4475" i="16"/>
  <c r="N4477" i="16"/>
  <c r="N4479" i="16"/>
  <c r="N4481" i="16"/>
  <c r="N4482" i="16"/>
  <c r="N4484" i="16"/>
  <c r="N4485" i="16"/>
  <c r="N4486" i="16"/>
  <c r="N4488" i="16"/>
  <c r="N4490" i="16"/>
  <c r="N4492" i="16"/>
  <c r="N4493" i="16"/>
  <c r="N4496" i="16"/>
  <c r="N4497" i="16"/>
  <c r="N4499" i="16"/>
  <c r="N4501" i="16"/>
  <c r="N4502" i="16"/>
  <c r="N4504" i="16"/>
  <c r="N4505" i="16"/>
  <c r="N4506" i="16"/>
  <c r="N4508" i="16"/>
  <c r="N4509" i="16"/>
  <c r="N4510" i="16"/>
  <c r="N4512" i="16"/>
  <c r="N4513" i="16"/>
  <c r="N4514" i="16"/>
  <c r="N4516" i="16"/>
  <c r="N4517" i="16"/>
  <c r="N4518" i="16"/>
  <c r="N4520" i="16"/>
  <c r="N4522" i="16"/>
  <c r="N4523" i="16"/>
  <c r="N4524" i="16"/>
  <c r="N4526" i="16"/>
  <c r="N4527" i="16"/>
  <c r="N4528" i="16"/>
  <c r="N4530" i="16"/>
  <c r="N4532" i="16"/>
  <c r="N4534" i="16"/>
  <c r="N4536" i="16"/>
  <c r="N4537" i="16"/>
  <c r="N4538" i="16"/>
  <c r="N4539" i="16"/>
  <c r="N4541" i="16"/>
  <c r="N4543" i="16"/>
  <c r="N4544" i="16"/>
  <c r="N4546" i="16"/>
  <c r="N4548" i="16"/>
  <c r="N4549" i="16"/>
  <c r="N4550" i="16"/>
  <c r="N4551" i="16"/>
  <c r="N4553" i="16"/>
  <c r="N4554" i="16"/>
  <c r="N4555" i="16"/>
  <c r="N4557" i="16"/>
  <c r="N4558" i="16"/>
  <c r="N4560" i="16"/>
  <c r="N4562" i="16"/>
  <c r="N4565" i="16"/>
  <c r="N4566" i="16"/>
  <c r="N4567" i="16"/>
  <c r="N4568" i="16"/>
  <c r="N4570" i="16"/>
  <c r="N4571" i="16"/>
  <c r="N4573" i="16"/>
  <c r="N4575" i="16"/>
  <c r="N4576" i="16"/>
  <c r="N4577" i="16"/>
  <c r="N4579" i="16"/>
  <c r="N4580" i="16"/>
  <c r="N4582" i="16"/>
  <c r="N4583" i="16"/>
  <c r="N4584" i="16"/>
  <c r="N4586" i="16"/>
  <c r="N4588" i="16"/>
  <c r="N4590" i="16"/>
  <c r="N4591" i="16"/>
  <c r="N4592" i="16"/>
  <c r="N4594" i="16"/>
  <c r="N4596" i="16"/>
  <c r="N4598" i="16"/>
  <c r="N4600" i="16"/>
  <c r="N4601" i="16"/>
  <c r="N4602" i="16"/>
  <c r="N4604" i="16"/>
  <c r="N4606" i="16"/>
  <c r="N4607" i="16"/>
  <c r="N4608" i="16"/>
  <c r="N4610" i="16"/>
  <c r="N4611" i="16"/>
  <c r="N4616" i="16"/>
  <c r="N4617" i="16"/>
  <c r="N4618" i="16"/>
  <c r="N4620" i="16"/>
  <c r="N4622" i="16"/>
  <c r="N4623" i="16"/>
  <c r="N4625" i="16"/>
  <c r="N4626" i="16"/>
  <c r="N4628" i="16"/>
  <c r="N4629" i="16"/>
  <c r="N4630" i="16"/>
  <c r="N4632" i="16"/>
  <c r="N4633" i="16"/>
  <c r="N4634" i="16"/>
  <c r="N4636" i="16"/>
  <c r="N4637" i="16"/>
  <c r="N4638" i="16"/>
  <c r="N4640" i="16"/>
  <c r="N4641" i="16"/>
  <c r="N4642" i="16"/>
  <c r="N4643" i="16"/>
  <c r="N4645" i="16"/>
  <c r="N4646" i="16"/>
  <c r="N4648" i="16"/>
  <c r="N4649" i="16"/>
  <c r="N4650" i="16"/>
  <c r="N4652" i="16"/>
  <c r="N4654" i="16"/>
  <c r="N4656" i="16"/>
  <c r="N4658" i="16"/>
  <c r="N4659" i="16"/>
  <c r="N4661" i="16"/>
  <c r="N4662" i="16"/>
  <c r="N4663" i="16"/>
  <c r="N4664" i="16"/>
  <c r="N4665" i="16"/>
  <c r="N4667" i="16"/>
  <c r="N4668" i="16"/>
  <c r="N4670" i="16"/>
  <c r="N4671" i="16"/>
  <c r="N4673" i="16"/>
  <c r="N4674" i="16"/>
  <c r="N4675" i="16"/>
  <c r="N4677" i="16"/>
  <c r="N4679" i="16"/>
  <c r="N4680" i="16"/>
  <c r="N4681" i="16"/>
  <c r="N4683" i="16"/>
  <c r="N4685" i="16"/>
  <c r="N4687" i="16"/>
  <c r="N4688" i="16"/>
  <c r="N4689" i="16"/>
  <c r="N4691" i="16"/>
  <c r="N4693" i="16"/>
  <c r="N4695" i="16"/>
  <c r="N4697" i="16"/>
  <c r="N4698" i="16"/>
  <c r="N4699" i="16"/>
  <c r="N4701" i="16"/>
  <c r="N4703" i="16"/>
  <c r="N4704" i="16"/>
  <c r="N4705" i="16"/>
  <c r="N4707" i="16"/>
  <c r="N4709" i="16"/>
  <c r="N4711" i="16"/>
  <c r="N4714" i="16"/>
  <c r="N4715" i="16"/>
  <c r="N4716" i="16"/>
  <c r="N4718" i="16"/>
  <c r="N4719" i="16"/>
  <c r="N4721" i="16"/>
  <c r="N4723" i="16"/>
  <c r="N4724" i="16"/>
  <c r="N4725" i="16"/>
  <c r="N4727" i="16"/>
  <c r="N4728" i="16"/>
  <c r="N4730" i="16"/>
  <c r="N4731" i="16"/>
  <c r="N4733" i="16"/>
  <c r="N4735" i="16"/>
  <c r="N4737" i="16"/>
  <c r="N4738" i="16"/>
  <c r="N4739" i="16"/>
  <c r="N4741" i="16"/>
  <c r="N4743" i="16"/>
  <c r="N4745" i="16"/>
  <c r="N4747" i="16"/>
  <c r="N4748" i="16"/>
  <c r="N4749" i="16"/>
  <c r="N4751" i="16"/>
  <c r="N4753" i="16"/>
  <c r="N4754" i="16"/>
  <c r="N4763" i="16"/>
  <c r="N4764" i="16"/>
  <c r="N4765" i="16"/>
  <c r="N4766" i="16"/>
  <c r="N4768" i="16"/>
  <c r="N4770" i="16"/>
  <c r="N4771" i="16"/>
  <c r="N4773" i="16"/>
  <c r="N4774" i="16"/>
  <c r="N4775" i="16"/>
  <c r="N4777" i="16"/>
  <c r="N4778" i="16"/>
  <c r="N4779" i="16"/>
  <c r="N4781" i="16"/>
  <c r="N4782" i="16"/>
  <c r="N4783" i="16"/>
  <c r="N4785" i="16"/>
  <c r="N4786" i="16"/>
  <c r="N4787" i="16"/>
  <c r="N4789" i="16"/>
  <c r="N4791" i="16"/>
  <c r="N4792" i="16"/>
  <c r="N4793" i="16"/>
  <c r="N4795" i="16"/>
  <c r="N4796" i="16"/>
  <c r="N4797" i="16"/>
  <c r="N4798" i="16"/>
  <c r="N4800" i="16"/>
  <c r="N4801" i="16"/>
  <c r="N4803" i="16"/>
  <c r="N4805" i="16"/>
  <c r="N4808" i="16"/>
  <c r="N4809" i="16"/>
  <c r="N4810" i="16"/>
  <c r="N4811" i="16"/>
  <c r="N4812" i="16"/>
  <c r="N4814" i="16"/>
  <c r="N4815" i="16"/>
  <c r="N4817" i="16"/>
  <c r="N4819" i="16"/>
  <c r="N4820" i="16"/>
  <c r="N4821" i="16"/>
  <c r="N4823" i="16"/>
  <c r="N4825" i="16"/>
  <c r="N4826" i="16"/>
  <c r="N4827" i="16"/>
  <c r="N4829" i="16"/>
  <c r="N4830" i="16"/>
  <c r="N4831" i="16"/>
  <c r="N4833" i="16"/>
  <c r="N4834" i="16"/>
  <c r="N4835" i="16"/>
  <c r="N4837" i="16"/>
  <c r="N4838" i="16"/>
  <c r="N4839" i="16"/>
  <c r="N4840" i="16"/>
  <c r="N4841" i="16"/>
  <c r="N4842" i="16"/>
  <c r="N4844" i="16"/>
  <c r="N4845" i="16"/>
  <c r="N4846" i="16"/>
  <c r="N4847" i="16"/>
  <c r="N4848" i="16"/>
  <c r="N4850" i="16"/>
  <c r="N4851" i="16"/>
  <c r="N4852" i="16"/>
  <c r="N4854" i="16"/>
  <c r="N4855" i="16"/>
  <c r="N4856" i="16"/>
  <c r="N4858" i="16"/>
  <c r="N4859" i="16"/>
  <c r="N4860" i="16"/>
  <c r="N4862" i="16"/>
  <c r="N4863" i="16"/>
  <c r="N4864" i="16"/>
  <c r="N4866" i="16"/>
  <c r="N4868" i="16"/>
  <c r="N4869" i="16"/>
  <c r="N4870" i="16"/>
  <c r="N4872" i="16"/>
  <c r="N4873" i="16"/>
  <c r="N4874" i="16"/>
  <c r="N4876" i="16"/>
  <c r="N4878" i="16"/>
  <c r="N4879" i="16"/>
  <c r="N4881" i="16"/>
  <c r="N4884" i="16"/>
  <c r="N4885" i="16"/>
  <c r="N4886" i="16"/>
  <c r="N4888" i="16"/>
  <c r="N4889" i="16"/>
  <c r="N4890" i="16"/>
  <c r="N4892" i="16"/>
  <c r="N4893" i="16"/>
  <c r="N4894" i="16"/>
  <c r="N4896" i="16"/>
  <c r="N4897" i="16"/>
  <c r="N4898" i="16"/>
  <c r="N4900" i="16"/>
  <c r="N4901" i="16"/>
  <c r="N4902" i="16"/>
  <c r="N4904" i="16"/>
  <c r="N4906" i="16"/>
  <c r="N4907" i="16"/>
  <c r="N4908" i="16"/>
  <c r="N4910" i="16"/>
  <c r="N4912" i="16"/>
  <c r="N4914" i="16"/>
  <c r="N4915" i="16"/>
  <c r="N4917" i="16"/>
  <c r="N4918" i="16"/>
  <c r="N4920" i="16"/>
  <c r="N4921" i="16"/>
  <c r="N4923" i="16"/>
  <c r="N4924" i="16"/>
  <c r="N4925" i="16"/>
  <c r="N4927" i="16"/>
  <c r="N4929" i="16"/>
  <c r="N4932" i="16"/>
  <c r="N4933" i="16"/>
  <c r="N4934" i="16"/>
  <c r="N4935" i="16"/>
  <c r="N4936" i="16"/>
  <c r="N4938" i="16"/>
  <c r="N4939" i="16"/>
  <c r="N4940" i="16"/>
  <c r="N4942" i="16"/>
  <c r="N4943" i="16"/>
  <c r="N4944" i="16"/>
  <c r="N4946" i="16"/>
  <c r="N4947" i="16"/>
  <c r="N4948" i="16"/>
  <c r="N4950" i="16"/>
  <c r="N4951" i="16"/>
  <c r="N4952" i="16"/>
  <c r="N4954" i="16"/>
  <c r="N4955" i="16"/>
  <c r="N4956" i="16"/>
  <c r="N4958" i="16"/>
  <c r="N4960" i="16"/>
  <c r="N4962" i="16"/>
  <c r="N4963" i="16"/>
  <c r="N4965" i="16"/>
  <c r="N4966" i="16"/>
  <c r="N4968" i="16"/>
  <c r="N4969" i="16"/>
  <c r="N4970" i="16"/>
  <c r="N4973" i="16"/>
  <c r="N4974" i="16"/>
  <c r="N4975" i="16"/>
  <c r="N4976" i="16"/>
  <c r="N4978" i="16"/>
  <c r="N4979" i="16"/>
  <c r="N4980" i="16"/>
  <c r="N4982" i="16"/>
  <c r="N4983" i="16"/>
  <c r="N4984" i="16"/>
  <c r="N4986" i="16"/>
  <c r="N4987" i="16"/>
  <c r="N4988" i="16"/>
  <c r="N4990" i="16"/>
  <c r="N4991" i="16"/>
  <c r="N4992" i="16"/>
  <c r="N4994" i="16"/>
  <c r="N4996" i="16"/>
  <c r="N4997" i="16"/>
  <c r="N4998" i="16"/>
  <c r="N5000" i="16"/>
  <c r="N5002" i="16"/>
  <c r="N5004" i="16"/>
  <c r="N5005" i="16"/>
  <c r="N5007" i="16"/>
  <c r="N5008" i="16"/>
  <c r="N5009" i="16"/>
  <c r="N5011" i="16"/>
  <c r="N5013" i="16"/>
  <c r="N5015" i="16"/>
  <c r="N5016" i="16"/>
  <c r="N5018" i="16"/>
  <c r="N5020" i="16"/>
  <c r="N5021" i="16"/>
  <c r="N5022" i="16"/>
  <c r="N5023" i="16"/>
  <c r="N5024" i="16"/>
  <c r="N5025" i="16"/>
  <c r="N5026" i="16"/>
  <c r="N5027" i="16"/>
  <c r="N5028" i="16"/>
  <c r="N5034" i="16"/>
  <c r="N5035" i="16"/>
  <c r="N5041" i="16"/>
  <c r="N5043" i="16"/>
  <c r="N5044" i="16"/>
  <c r="N5045" i="16"/>
  <c r="N5046" i="16"/>
  <c r="N5047" i="16"/>
  <c r="N5048" i="16"/>
  <c r="N5049" i="16"/>
  <c r="N5050" i="16"/>
  <c r="N5051" i="16"/>
  <c r="N5052" i="16"/>
  <c r="N5053" i="16"/>
  <c r="N5054" i="16"/>
  <c r="N5055" i="16"/>
  <c r="N5056" i="16"/>
  <c r="N5057" i="16"/>
  <c r="N5058" i="16"/>
  <c r="N5059" i="16"/>
  <c r="N5060" i="16"/>
  <c r="N5061" i="16"/>
  <c r="N5062" i="16"/>
  <c r="N5063" i="16"/>
  <c r="N5064" i="16"/>
  <c r="H23" i="34"/>
  <c r="M22" i="34"/>
  <c r="L22" i="34"/>
  <c r="K22" i="34"/>
  <c r="I22" i="34"/>
  <c r="E22" i="34"/>
  <c r="L21" i="34"/>
  <c r="K21" i="34"/>
  <c r="I21" i="34"/>
  <c r="E21" i="34"/>
  <c r="L20" i="34"/>
  <c r="K20" i="34"/>
  <c r="M20" i="34" s="1"/>
  <c r="I20" i="34"/>
  <c r="E20" i="34"/>
  <c r="L19" i="34"/>
  <c r="M19" i="34" s="1"/>
  <c r="K19" i="34"/>
  <c r="I19" i="34"/>
  <c r="E19" i="34"/>
  <c r="L18" i="34"/>
  <c r="K18" i="34"/>
  <c r="M18" i="34" s="1"/>
  <c r="I18" i="34"/>
  <c r="E18" i="34"/>
  <c r="L17" i="34"/>
  <c r="K17" i="34"/>
  <c r="M17" i="34" s="1"/>
  <c r="I17" i="34"/>
  <c r="E17" i="34"/>
  <c r="I16" i="34"/>
  <c r="I15" i="34"/>
  <c r="I14" i="34"/>
  <c r="G14" i="34"/>
  <c r="G23" i="34" s="1"/>
  <c r="I13" i="34"/>
  <c r="I12" i="34"/>
  <c r="I11" i="34"/>
  <c r="I10" i="34"/>
  <c r="I9" i="34"/>
  <c r="I8" i="34"/>
  <c r="I7" i="34"/>
  <c r="I23" i="34" s="1"/>
  <c r="E15" i="33"/>
  <c r="E17" i="33" s="1"/>
  <c r="D15" i="33"/>
  <c r="D17" i="33" s="1"/>
  <c r="C15" i="33"/>
  <c r="C17" i="33" s="1"/>
  <c r="B15" i="33"/>
  <c r="B17" i="33" s="1"/>
  <c r="C64" i="32"/>
  <c r="C63" i="32"/>
  <c r="C62" i="32"/>
  <c r="E61" i="32"/>
  <c r="D59" i="32"/>
  <c r="E58" i="32"/>
  <c r="H57" i="32"/>
  <c r="I57" i="32" s="1"/>
  <c r="F57" i="32"/>
  <c r="F58" i="32" s="1"/>
  <c r="E57" i="32"/>
  <c r="E56" i="32"/>
  <c r="F55" i="32"/>
  <c r="E55" i="32"/>
  <c r="E54" i="32"/>
  <c r="E53" i="32"/>
  <c r="E52" i="32"/>
  <c r="E51" i="32"/>
  <c r="E50" i="32"/>
  <c r="E49" i="32"/>
  <c r="E48" i="32"/>
  <c r="E47" i="32"/>
  <c r="E46" i="32"/>
  <c r="E45" i="32"/>
  <c r="E44" i="32"/>
  <c r="E43" i="32"/>
  <c r="E42" i="32"/>
  <c r="E41" i="32"/>
  <c r="D40" i="32"/>
  <c r="E40" i="32" s="1"/>
  <c r="F40" i="32" s="1"/>
  <c r="D39" i="32"/>
  <c r="E39" i="32" s="1"/>
  <c r="E38" i="32"/>
  <c r="E37" i="32"/>
  <c r="E36" i="32"/>
  <c r="E35" i="32"/>
  <c r="E34" i="32"/>
  <c r="F34" i="32" s="1"/>
  <c r="E33" i="32"/>
  <c r="E32" i="32"/>
  <c r="E31" i="32"/>
  <c r="E30" i="32"/>
  <c r="F30" i="32" s="1"/>
  <c r="E29" i="32"/>
  <c r="E28" i="32"/>
  <c r="E27" i="32"/>
  <c r="E26" i="32"/>
  <c r="E25" i="32"/>
  <c r="E24" i="32"/>
  <c r="E23" i="32"/>
  <c r="E22" i="32"/>
  <c r="E21" i="32"/>
  <c r="E20" i="32"/>
  <c r="E19" i="32"/>
  <c r="E18" i="32"/>
  <c r="E17" i="32"/>
  <c r="E16" i="32"/>
  <c r="E15" i="32"/>
  <c r="E14" i="32"/>
  <c r="E13" i="32"/>
  <c r="E12" i="32"/>
  <c r="E11" i="32"/>
  <c r="E10" i="32"/>
  <c r="E9" i="32"/>
  <c r="D9" i="32"/>
  <c r="E8" i="32"/>
  <c r="E7" i="32"/>
  <c r="F20" i="29"/>
  <c r="B20" i="29"/>
  <c r="G5" i="28"/>
  <c r="M21" i="27"/>
  <c r="Q20" i="27"/>
  <c r="N20" i="27"/>
  <c r="K20" i="27"/>
  <c r="Q19" i="27"/>
  <c r="N19" i="27"/>
  <c r="K19" i="27"/>
  <c r="Q18" i="27"/>
  <c r="N18" i="27"/>
  <c r="K18" i="27"/>
  <c r="Q17" i="27"/>
  <c r="N17" i="27"/>
  <c r="K17" i="27"/>
  <c r="Q16" i="27"/>
  <c r="N16" i="27"/>
  <c r="K16" i="27"/>
  <c r="Q15" i="27"/>
  <c r="N15" i="27"/>
  <c r="K15" i="27"/>
  <c r="Q14" i="27"/>
  <c r="N14" i="27"/>
  <c r="K14" i="27"/>
  <c r="Q13" i="27"/>
  <c r="N13" i="27"/>
  <c r="K13" i="27"/>
  <c r="Q12" i="27"/>
  <c r="N12" i="27"/>
  <c r="K12" i="27"/>
  <c r="Q11" i="27"/>
  <c r="N11" i="27"/>
  <c r="K11" i="27"/>
  <c r="Q10" i="27"/>
  <c r="N10" i="27"/>
  <c r="K10" i="27"/>
  <c r="Q9" i="27"/>
  <c r="N9" i="27"/>
  <c r="K9" i="27"/>
  <c r="Q8" i="27"/>
  <c r="N8" i="27"/>
  <c r="K8" i="27"/>
  <c r="Q7" i="27"/>
  <c r="N7" i="27"/>
  <c r="K7" i="27"/>
  <c r="Q6" i="27"/>
  <c r="N6" i="27"/>
  <c r="K6" i="27"/>
  <c r="Q5" i="27"/>
  <c r="N5" i="27"/>
  <c r="K5" i="27"/>
  <c r="Q4" i="27"/>
  <c r="N4" i="27"/>
  <c r="K4" i="27"/>
  <c r="F21" i="26"/>
  <c r="E20" i="26"/>
  <c r="D20" i="26"/>
  <c r="D19" i="26"/>
  <c r="E19" i="26" s="1"/>
  <c r="D18" i="26"/>
  <c r="E18" i="26" s="1"/>
  <c r="E17" i="26"/>
  <c r="D17" i="26"/>
  <c r="E16" i="26"/>
  <c r="D16" i="26"/>
  <c r="D15" i="26"/>
  <c r="E15" i="26" s="1"/>
  <c r="D14" i="26"/>
  <c r="E14" i="26" s="1"/>
  <c r="E13" i="26"/>
  <c r="D13" i="26"/>
  <c r="E12" i="26"/>
  <c r="D12" i="26"/>
  <c r="D11" i="26"/>
  <c r="E11" i="26" s="1"/>
  <c r="D10" i="26"/>
  <c r="E10" i="26" s="1"/>
  <c r="E9" i="26"/>
  <c r="D9" i="26"/>
  <c r="E8" i="26"/>
  <c r="D8" i="26"/>
  <c r="D7" i="26"/>
  <c r="E7" i="26" s="1"/>
  <c r="D6" i="26"/>
  <c r="E6" i="26" s="1"/>
  <c r="E5" i="26"/>
  <c r="D5" i="26"/>
  <c r="D21" i="26" s="1"/>
  <c r="E21" i="26" s="1"/>
  <c r="B6" i="25"/>
  <c r="E3" i="25"/>
  <c r="I1" i="25"/>
  <c r="B1" i="25"/>
  <c r="D215" i="23"/>
  <c r="D195" i="23"/>
  <c r="D172" i="23"/>
  <c r="D161" i="23"/>
  <c r="D143" i="23"/>
  <c r="D141" i="23"/>
  <c r="D139" i="23"/>
  <c r="D136" i="23"/>
  <c r="D127" i="23"/>
  <c r="D109" i="23"/>
  <c r="D92" i="23"/>
  <c r="D61" i="23"/>
  <c r="D45" i="23"/>
  <c r="D34" i="23"/>
  <c r="D23" i="23"/>
  <c r="D12" i="23"/>
  <c r="G16" i="22"/>
  <c r="N4945" i="21"/>
  <c r="N4944" i="21"/>
  <c r="N4943" i="21"/>
  <c r="N4942" i="21"/>
  <c r="N4941" i="21"/>
  <c r="N4940" i="21"/>
  <c r="N4939" i="21"/>
  <c r="N4938" i="21"/>
  <c r="N4937" i="21"/>
  <c r="N4936" i="21"/>
  <c r="N4935" i="21"/>
  <c r="N4934" i="21"/>
  <c r="N4933" i="21"/>
  <c r="N4932" i="21"/>
  <c r="N4931" i="21"/>
  <c r="N4930" i="21"/>
  <c r="N4929" i="21"/>
  <c r="N4928" i="21"/>
  <c r="N4927" i="21"/>
  <c r="N4926" i="21"/>
  <c r="N4925" i="21"/>
  <c r="N4924" i="21"/>
  <c r="N4923" i="21"/>
  <c r="N4922" i="21"/>
  <c r="N4921" i="21"/>
  <c r="N4920" i="21"/>
  <c r="N4919" i="21"/>
  <c r="N4918" i="21"/>
  <c r="N4917" i="21"/>
  <c r="N4916" i="21"/>
  <c r="N4915" i="21"/>
  <c r="N4914" i="21"/>
  <c r="N4913" i="21"/>
  <c r="N4912" i="21"/>
  <c r="N4911" i="21"/>
  <c r="N4910" i="21"/>
  <c r="N4909" i="21"/>
  <c r="N4908" i="21"/>
  <c r="N4907" i="21"/>
  <c r="N4906" i="21"/>
  <c r="N4905" i="21"/>
  <c r="N4904" i="21"/>
  <c r="N4903" i="21"/>
  <c r="N4902" i="21"/>
  <c r="N4901" i="21"/>
  <c r="N4900" i="21"/>
  <c r="N4899" i="21"/>
  <c r="N4898" i="21"/>
  <c r="N4897" i="21"/>
  <c r="N4896" i="21"/>
  <c r="N4895" i="21"/>
  <c r="N4894" i="21"/>
  <c r="N4893" i="21"/>
  <c r="N4892" i="21"/>
  <c r="N4891" i="21"/>
  <c r="N4890" i="21"/>
  <c r="N4889" i="21"/>
  <c r="N4888" i="21"/>
  <c r="N4887" i="21"/>
  <c r="N4886" i="21"/>
  <c r="N4885" i="21"/>
  <c r="N4884" i="21"/>
  <c r="N4883" i="21"/>
  <c r="N4882" i="21"/>
  <c r="N4881" i="21"/>
  <c r="N4880" i="21"/>
  <c r="N4879" i="21"/>
  <c r="N4878" i="21"/>
  <c r="N4877" i="21"/>
  <c r="N4876" i="21"/>
  <c r="N4875" i="21"/>
  <c r="N4874" i="21"/>
  <c r="N4873" i="21"/>
  <c r="N4872" i="21"/>
  <c r="N4871" i="21"/>
  <c r="N4870" i="21"/>
  <c r="N4869" i="21"/>
  <c r="N4868" i="21"/>
  <c r="N4867" i="21"/>
  <c r="N4866" i="21"/>
  <c r="N4865" i="21"/>
  <c r="N4864" i="21"/>
  <c r="N4863" i="21"/>
  <c r="N4862" i="21"/>
  <c r="N4861" i="21"/>
  <c r="N4860" i="21"/>
  <c r="N4859" i="21"/>
  <c r="N4858" i="21"/>
  <c r="N4857" i="21"/>
  <c r="N4856" i="21"/>
  <c r="N4855" i="21"/>
  <c r="N4854" i="21"/>
  <c r="N4853" i="21"/>
  <c r="N4852" i="21"/>
  <c r="N4851" i="21"/>
  <c r="N4850" i="21"/>
  <c r="N4849" i="21"/>
  <c r="N4848" i="21"/>
  <c r="N4847" i="21"/>
  <c r="N4846" i="21"/>
  <c r="N4845" i="21"/>
  <c r="N4844" i="21"/>
  <c r="N4843" i="21"/>
  <c r="N4842" i="21"/>
  <c r="N4841" i="21"/>
  <c r="N4840" i="21"/>
  <c r="N4839" i="21"/>
  <c r="N4838" i="21"/>
  <c r="N4837" i="21"/>
  <c r="N4836" i="21"/>
  <c r="N4835" i="21"/>
  <c r="N4834" i="21"/>
  <c r="N4833" i="21"/>
  <c r="N4832" i="21"/>
  <c r="N4831" i="21"/>
  <c r="N4830" i="21"/>
  <c r="N4829" i="21"/>
  <c r="N4828" i="21"/>
  <c r="N4827" i="21"/>
  <c r="N4826" i="21"/>
  <c r="N4825" i="21"/>
  <c r="N4824" i="21"/>
  <c r="N4823" i="21"/>
  <c r="N4822" i="21"/>
  <c r="N4821" i="21"/>
  <c r="N4820" i="21"/>
  <c r="N4819" i="21"/>
  <c r="N4818" i="21"/>
  <c r="N4817" i="21"/>
  <c r="N4816" i="21"/>
  <c r="N4815" i="21"/>
  <c r="N4814" i="21"/>
  <c r="N4813" i="21"/>
  <c r="N4812" i="21"/>
  <c r="N4811" i="21"/>
  <c r="N4810" i="21"/>
  <c r="N4809" i="21"/>
  <c r="N4808" i="21"/>
  <c r="N4807" i="21"/>
  <c r="N4806" i="21"/>
  <c r="N4805" i="21"/>
  <c r="N4804" i="21"/>
  <c r="N4803" i="21"/>
  <c r="N4802" i="21"/>
  <c r="N4801" i="21"/>
  <c r="N4800" i="21"/>
  <c r="N4799" i="21"/>
  <c r="N4798" i="21"/>
  <c r="N4797" i="21"/>
  <c r="N4796" i="21"/>
  <c r="N4795" i="21"/>
  <c r="N4794" i="21"/>
  <c r="N4793" i="21"/>
  <c r="N4792" i="21"/>
  <c r="N4791" i="21"/>
  <c r="N4790" i="21"/>
  <c r="N4789" i="21"/>
  <c r="N4788" i="21"/>
  <c r="N4787" i="21"/>
  <c r="N4786" i="21"/>
  <c r="N4785" i="21"/>
  <c r="N4784" i="21"/>
  <c r="N4783" i="21"/>
  <c r="N4782" i="21"/>
  <c r="N4781" i="21"/>
  <c r="N4780" i="21"/>
  <c r="N4779" i="21"/>
  <c r="N4778" i="21"/>
  <c r="N4777" i="21"/>
  <c r="N4776" i="21"/>
  <c r="N4775" i="21"/>
  <c r="N4774" i="21"/>
  <c r="N4773" i="21"/>
  <c r="N4772" i="21"/>
  <c r="N4771" i="21"/>
  <c r="N4770" i="21"/>
  <c r="N4769" i="21"/>
  <c r="N4768" i="21"/>
  <c r="N4767" i="21"/>
  <c r="N4766" i="21"/>
  <c r="N4765" i="21"/>
  <c r="N4764" i="21"/>
  <c r="N4763" i="21"/>
  <c r="N4762" i="21"/>
  <c r="N4761" i="21"/>
  <c r="N4760" i="21"/>
  <c r="N4759" i="21"/>
  <c r="N4758" i="21"/>
  <c r="N4757" i="21"/>
  <c r="N4756" i="21"/>
  <c r="N4755" i="21"/>
  <c r="N4754" i="21"/>
  <c r="N4753" i="21"/>
  <c r="N4752" i="21"/>
  <c r="N4751" i="21"/>
  <c r="N4750" i="21"/>
  <c r="N4749" i="21"/>
  <c r="N4748" i="21"/>
  <c r="N4747" i="21"/>
  <c r="N4746" i="21"/>
  <c r="N4745" i="21"/>
  <c r="N4744" i="21"/>
  <c r="N4743" i="21"/>
  <c r="N4742" i="21"/>
  <c r="N4741" i="21"/>
  <c r="N4740" i="21"/>
  <c r="N4739" i="21"/>
  <c r="N4738" i="21"/>
  <c r="N4737" i="21"/>
  <c r="N4736" i="21"/>
  <c r="N4735" i="21"/>
  <c r="N4734" i="21"/>
  <c r="N4733" i="21"/>
  <c r="N4732" i="21"/>
  <c r="N4731" i="21"/>
  <c r="N4730" i="21"/>
  <c r="N4729" i="21"/>
  <c r="N4728" i="21"/>
  <c r="N4727" i="21"/>
  <c r="N4726" i="21"/>
  <c r="N4725" i="21"/>
  <c r="N4724" i="21"/>
  <c r="N4723" i="21"/>
  <c r="N4722" i="21"/>
  <c r="N4721" i="21"/>
  <c r="N4720" i="21"/>
  <c r="N4719" i="21"/>
  <c r="N4718" i="21"/>
  <c r="N4717" i="21"/>
  <c r="N4716" i="21"/>
  <c r="N4715" i="21"/>
  <c r="N4714" i="21"/>
  <c r="N4713" i="21"/>
  <c r="N4712" i="21"/>
  <c r="N4711" i="21"/>
  <c r="N4710" i="21"/>
  <c r="N4709" i="21"/>
  <c r="N4708" i="21"/>
  <c r="N4707" i="21"/>
  <c r="N4706" i="21"/>
  <c r="N4705" i="21"/>
  <c r="N4704" i="21"/>
  <c r="N4703" i="21"/>
  <c r="N4702" i="21"/>
  <c r="N4701" i="21"/>
  <c r="N4700" i="21"/>
  <c r="N4699" i="21"/>
  <c r="N4698" i="21"/>
  <c r="N4697" i="21"/>
  <c r="N4696" i="21"/>
  <c r="N4695" i="21"/>
  <c r="N4694" i="21"/>
  <c r="N4693" i="21"/>
  <c r="N4692" i="21"/>
  <c r="N4691" i="21"/>
  <c r="N4690" i="21"/>
  <c r="N4689" i="21"/>
  <c r="N4688" i="21"/>
  <c r="N4687" i="21"/>
  <c r="N4686" i="21"/>
  <c r="N4685" i="21"/>
  <c r="N4684" i="21"/>
  <c r="N4683" i="21"/>
  <c r="N4682" i="21"/>
  <c r="N4681" i="21"/>
  <c r="N4680" i="21"/>
  <c r="N4679" i="21"/>
  <c r="N4678" i="21"/>
  <c r="N4677" i="21"/>
  <c r="N4676" i="21"/>
  <c r="N4675" i="21"/>
  <c r="N4674" i="21"/>
  <c r="N4673" i="21"/>
  <c r="N4672" i="21"/>
  <c r="N4671" i="21"/>
  <c r="N4670" i="21"/>
  <c r="N4669" i="21"/>
  <c r="N4668" i="21"/>
  <c r="N4667" i="21"/>
  <c r="N4666" i="21"/>
  <c r="N4665" i="21"/>
  <c r="N4664" i="21"/>
  <c r="N4663" i="21"/>
  <c r="N4662" i="21"/>
  <c r="N4661" i="21"/>
  <c r="N4660" i="21"/>
  <c r="N4659" i="21"/>
  <c r="N4658" i="21"/>
  <c r="N4657" i="21"/>
  <c r="N4656" i="21"/>
  <c r="N4655" i="21"/>
  <c r="N4654" i="21"/>
  <c r="N4653" i="21"/>
  <c r="N4652" i="21"/>
  <c r="N4651" i="21"/>
  <c r="N4650" i="21"/>
  <c r="N4649" i="21"/>
  <c r="N4648" i="21"/>
  <c r="N4647" i="21"/>
  <c r="N4646" i="21"/>
  <c r="N4645" i="21"/>
  <c r="N4644" i="21"/>
  <c r="N4643" i="21"/>
  <c r="N4642" i="21"/>
  <c r="N4641" i="21"/>
  <c r="N4640" i="21"/>
  <c r="N4639" i="21"/>
  <c r="N4638" i="21"/>
  <c r="N4637" i="21"/>
  <c r="N4636" i="21"/>
  <c r="N4635" i="21"/>
  <c r="N4634" i="21"/>
  <c r="N4633" i="21"/>
  <c r="N4632" i="21"/>
  <c r="N4631" i="21"/>
  <c r="N4630" i="21"/>
  <c r="N4629" i="21"/>
  <c r="N4628" i="21"/>
  <c r="N4627" i="21"/>
  <c r="N4626" i="21"/>
  <c r="N4625" i="21"/>
  <c r="N4624" i="21"/>
  <c r="N4623" i="21"/>
  <c r="N4622" i="21"/>
  <c r="N4621" i="21"/>
  <c r="N4620" i="21"/>
  <c r="N4619" i="21"/>
  <c r="N4618" i="21"/>
  <c r="N4617" i="21"/>
  <c r="N4616" i="21"/>
  <c r="N4615" i="21"/>
  <c r="N4614" i="21"/>
  <c r="N4613" i="21"/>
  <c r="N4612" i="21"/>
  <c r="N4611" i="21"/>
  <c r="N4610" i="21"/>
  <c r="N4609" i="21"/>
  <c r="N4608" i="21"/>
  <c r="N4607" i="21"/>
  <c r="N4606" i="21"/>
  <c r="N4605" i="21"/>
  <c r="N4604" i="21"/>
  <c r="N4603" i="21"/>
  <c r="N4602" i="21"/>
  <c r="N4601" i="21"/>
  <c r="N4600" i="21"/>
  <c r="N4599" i="21"/>
  <c r="N4598" i="21"/>
  <c r="N4597" i="21"/>
  <c r="N4596" i="21"/>
  <c r="N4595" i="21"/>
  <c r="N4594" i="21"/>
  <c r="N4593" i="21"/>
  <c r="N4592" i="21"/>
  <c r="N4591" i="21"/>
  <c r="N4590" i="21"/>
  <c r="N4589" i="21"/>
  <c r="N4588" i="21"/>
  <c r="N4587" i="21"/>
  <c r="N4586" i="21"/>
  <c r="N4585" i="21"/>
  <c r="N4584" i="21"/>
  <c r="N4583" i="21"/>
  <c r="N4582" i="21"/>
  <c r="N4581" i="21"/>
  <c r="N4580" i="21"/>
  <c r="N4579" i="21"/>
  <c r="N4578" i="21"/>
  <c r="N4577" i="21"/>
  <c r="N4576" i="21"/>
  <c r="N4575" i="21"/>
  <c r="N4574" i="21"/>
  <c r="N4573" i="21"/>
  <c r="N4572" i="21"/>
  <c r="N4571" i="21"/>
  <c r="N4570" i="21"/>
  <c r="N4569" i="21"/>
  <c r="N4568" i="21"/>
  <c r="N4567" i="21"/>
  <c r="N4566" i="21"/>
  <c r="N4565" i="21"/>
  <c r="N4564" i="21"/>
  <c r="N4563" i="21"/>
  <c r="N4562" i="21"/>
  <c r="N4561" i="21"/>
  <c r="N4560" i="21"/>
  <c r="N4559" i="21"/>
  <c r="N4558" i="21"/>
  <c r="N4557" i="21"/>
  <c r="N4556" i="21"/>
  <c r="N4555" i="21"/>
  <c r="N4554" i="21"/>
  <c r="N4553" i="21"/>
  <c r="N4552" i="21"/>
  <c r="N4551" i="21"/>
  <c r="N4550" i="21"/>
  <c r="N4549" i="21"/>
  <c r="N4548" i="21"/>
  <c r="N4547" i="21"/>
  <c r="N4546" i="21"/>
  <c r="N4545" i="21"/>
  <c r="N4544" i="21"/>
  <c r="N4543" i="21"/>
  <c r="N4542" i="21"/>
  <c r="N4541" i="21"/>
  <c r="N4540" i="21"/>
  <c r="N4539" i="21"/>
  <c r="N4538" i="21"/>
  <c r="N4537" i="21"/>
  <c r="N4536" i="21"/>
  <c r="N4535" i="21"/>
  <c r="N4534" i="21"/>
  <c r="N4533" i="21"/>
  <c r="N4532" i="21"/>
  <c r="N4531" i="21"/>
  <c r="N4530" i="21"/>
  <c r="N4529" i="21"/>
  <c r="N4528" i="21"/>
  <c r="N4527" i="21"/>
  <c r="N4526" i="21"/>
  <c r="N4525" i="21"/>
  <c r="N4524" i="21"/>
  <c r="N4523" i="21"/>
  <c r="N4522" i="21"/>
  <c r="N4521" i="21"/>
  <c r="N4520" i="21"/>
  <c r="N4519" i="21"/>
  <c r="N4518" i="21"/>
  <c r="N4517" i="21"/>
  <c r="N4516" i="21"/>
  <c r="N4515" i="21"/>
  <c r="N4514" i="21"/>
  <c r="N4513" i="21"/>
  <c r="N4512" i="21"/>
  <c r="N4511" i="21"/>
  <c r="N4510" i="21"/>
  <c r="N4509" i="21"/>
  <c r="N4508" i="21"/>
  <c r="N4507" i="21"/>
  <c r="N4506" i="21"/>
  <c r="N4505" i="21"/>
  <c r="N4504" i="21"/>
  <c r="N4503" i="21"/>
  <c r="N4502" i="21"/>
  <c r="N4501" i="21"/>
  <c r="N4500" i="21"/>
  <c r="N4499" i="21"/>
  <c r="N4498" i="21"/>
  <c r="N4497" i="21"/>
  <c r="N4496" i="21"/>
  <c r="N4495" i="21"/>
  <c r="N4494" i="21"/>
  <c r="N4493" i="21"/>
  <c r="N4492" i="21"/>
  <c r="N4491" i="21"/>
  <c r="N4490" i="21"/>
  <c r="N4489" i="21"/>
  <c r="N4488" i="21"/>
  <c r="N4487" i="21"/>
  <c r="N4486" i="21"/>
  <c r="N4485" i="21"/>
  <c r="N4484" i="21"/>
  <c r="N4483" i="21"/>
  <c r="N4482" i="21"/>
  <c r="N4481" i="21"/>
  <c r="N4480" i="21"/>
  <c r="N4479" i="21"/>
  <c r="N4478" i="21"/>
  <c r="N4477" i="21"/>
  <c r="N4476" i="21"/>
  <c r="N4475" i="21"/>
  <c r="N4474" i="21"/>
  <c r="N4473" i="21"/>
  <c r="N4472" i="21"/>
  <c r="N4471" i="21"/>
  <c r="N4470" i="21"/>
  <c r="N4469" i="21"/>
  <c r="N4468" i="21"/>
  <c r="N4467" i="21"/>
  <c r="N4466" i="21"/>
  <c r="N4465" i="21"/>
  <c r="N4464" i="21"/>
  <c r="N4463" i="21"/>
  <c r="N4462" i="21"/>
  <c r="N4461" i="21"/>
  <c r="N4460" i="21"/>
  <c r="N4459" i="21"/>
  <c r="N4458" i="21"/>
  <c r="N4457" i="21"/>
  <c r="N4456" i="21"/>
  <c r="N4455" i="21"/>
  <c r="N4454" i="21"/>
  <c r="N4453" i="21"/>
  <c r="N4452" i="21"/>
  <c r="N4451" i="21"/>
  <c r="N4450" i="21"/>
  <c r="N4449" i="21"/>
  <c r="N4448" i="21"/>
  <c r="N4447" i="21"/>
  <c r="N4446" i="21"/>
  <c r="N4445" i="21"/>
  <c r="N4444" i="21"/>
  <c r="N4443" i="21"/>
  <c r="N4442" i="21"/>
  <c r="N4441" i="21"/>
  <c r="N4440" i="21"/>
  <c r="N4439" i="21"/>
  <c r="N4438" i="21"/>
  <c r="N4437" i="21"/>
  <c r="N4436" i="21"/>
  <c r="N4435" i="21"/>
  <c r="N4434" i="21"/>
  <c r="N4433" i="21"/>
  <c r="N4432" i="21"/>
  <c r="N4431" i="21"/>
  <c r="N4430" i="21"/>
  <c r="N4429" i="21"/>
  <c r="N4428" i="21"/>
  <c r="N4427" i="21"/>
  <c r="N4426" i="21"/>
  <c r="N4425" i="21"/>
  <c r="N4424" i="21"/>
  <c r="N4423" i="21"/>
  <c r="N4422" i="21"/>
  <c r="N4421" i="21"/>
  <c r="N4420" i="21"/>
  <c r="N4419" i="21"/>
  <c r="N4418" i="21"/>
  <c r="N4417" i="21"/>
  <c r="N4416" i="21"/>
  <c r="N4415" i="21"/>
  <c r="N4414" i="21"/>
  <c r="N4413" i="21"/>
  <c r="N4412" i="21"/>
  <c r="N4411" i="21"/>
  <c r="N4410" i="21"/>
  <c r="N4409" i="21"/>
  <c r="N4408" i="21"/>
  <c r="N4407" i="21"/>
  <c r="N4406" i="21"/>
  <c r="N4405" i="21"/>
  <c r="N4404" i="21"/>
  <c r="N4403" i="21"/>
  <c r="N4402" i="21"/>
  <c r="N4401" i="21"/>
  <c r="N4400" i="21"/>
  <c r="N4399" i="21"/>
  <c r="N4398" i="21"/>
  <c r="N4397" i="21"/>
  <c r="N4396" i="21"/>
  <c r="N4395" i="21"/>
  <c r="N4394" i="21"/>
  <c r="N4393" i="21"/>
  <c r="N4392" i="21"/>
  <c r="N4391" i="21"/>
  <c r="N4390" i="21"/>
  <c r="N4389" i="21"/>
  <c r="N4388" i="21"/>
  <c r="N4387" i="21"/>
  <c r="N4386" i="21"/>
  <c r="N4385" i="21"/>
  <c r="N4384" i="21"/>
  <c r="N4383" i="21"/>
  <c r="N4382" i="21"/>
  <c r="N4381" i="21"/>
  <c r="N4380" i="21"/>
  <c r="N4379" i="21"/>
  <c r="N4378" i="21"/>
  <c r="N4377" i="21"/>
  <c r="N4376" i="21"/>
  <c r="N4375" i="21"/>
  <c r="N4374" i="21"/>
  <c r="N4373" i="21"/>
  <c r="N4372" i="21"/>
  <c r="N4371" i="21"/>
  <c r="N4370" i="21"/>
  <c r="N4369" i="21"/>
  <c r="N4368" i="21"/>
  <c r="N4367" i="21"/>
  <c r="N4366" i="21"/>
  <c r="N4365" i="21"/>
  <c r="N4364" i="21"/>
  <c r="N4363" i="21"/>
  <c r="N4362" i="21"/>
  <c r="N4361" i="21"/>
  <c r="N4360" i="21"/>
  <c r="N4359" i="21"/>
  <c r="N4358" i="21"/>
  <c r="N4357" i="21"/>
  <c r="N4356" i="21"/>
  <c r="N4355" i="21"/>
  <c r="N4354" i="21"/>
  <c r="N4353" i="21"/>
  <c r="N4352" i="21"/>
  <c r="N4351" i="21"/>
  <c r="N4350" i="21"/>
  <c r="N4349" i="21"/>
  <c r="N4348" i="21"/>
  <c r="N4347" i="21"/>
  <c r="N4346" i="21"/>
  <c r="N4345" i="21"/>
  <c r="N4344" i="21"/>
  <c r="N4343" i="21"/>
  <c r="N4342" i="21"/>
  <c r="N4341" i="21"/>
  <c r="N4340" i="21"/>
  <c r="N4339" i="21"/>
  <c r="N4338" i="21"/>
  <c r="N4337" i="21"/>
  <c r="N4336" i="21"/>
  <c r="N4335" i="21"/>
  <c r="N4334" i="21"/>
  <c r="N4333" i="21"/>
  <c r="N4332" i="21"/>
  <c r="N4331" i="21"/>
  <c r="N4330" i="21"/>
  <c r="N4329" i="21"/>
  <c r="N4328" i="21"/>
  <c r="N4327" i="21"/>
  <c r="N4326" i="21"/>
  <c r="N4325" i="21"/>
  <c r="N4324" i="21"/>
  <c r="N4323" i="21"/>
  <c r="N4322" i="21"/>
  <c r="N4321" i="21"/>
  <c r="N4320" i="21"/>
  <c r="N4319" i="21"/>
  <c r="N4318" i="21"/>
  <c r="N4317" i="21"/>
  <c r="N4316" i="21"/>
  <c r="N4315" i="21"/>
  <c r="N4314" i="21"/>
  <c r="N4313" i="21"/>
  <c r="N4312" i="21"/>
  <c r="N4311" i="21"/>
  <c r="N4310" i="21"/>
  <c r="N4309" i="21"/>
  <c r="N4308" i="21"/>
  <c r="N4307" i="21"/>
  <c r="N4306" i="21"/>
  <c r="N4305" i="21"/>
  <c r="N4304" i="21"/>
  <c r="N4303" i="21"/>
  <c r="N4302" i="21"/>
  <c r="N4301" i="21"/>
  <c r="N4300" i="21"/>
  <c r="N4299" i="21"/>
  <c r="N4298" i="21"/>
  <c r="N4297" i="21"/>
  <c r="N4296" i="21"/>
  <c r="N4295" i="21"/>
  <c r="N4294" i="21"/>
  <c r="N4293" i="21"/>
  <c r="N4292" i="21"/>
  <c r="N4291" i="21"/>
  <c r="N4290" i="21"/>
  <c r="N4289" i="21"/>
  <c r="N4288" i="21"/>
  <c r="N4287" i="21"/>
  <c r="N4286" i="21"/>
  <c r="N4285" i="21"/>
  <c r="N4284" i="21"/>
  <c r="N4283" i="21"/>
  <c r="N4282" i="21"/>
  <c r="N4281" i="21"/>
  <c r="N4280" i="21"/>
  <c r="N4279" i="21"/>
  <c r="N4278" i="21"/>
  <c r="N4277" i="21"/>
  <c r="N4276" i="21"/>
  <c r="N4275" i="21"/>
  <c r="N4274" i="21"/>
  <c r="N4273" i="21"/>
  <c r="N4272" i="21"/>
  <c r="N4271" i="21"/>
  <c r="N4270" i="21"/>
  <c r="N4269" i="21"/>
  <c r="N4268" i="21"/>
  <c r="N4267" i="21"/>
  <c r="N4266" i="21"/>
  <c r="N4265" i="21"/>
  <c r="N4264" i="21"/>
  <c r="N4263" i="21"/>
  <c r="N4262" i="21"/>
  <c r="N4261" i="21"/>
  <c r="N4260" i="21"/>
  <c r="N4259" i="21"/>
  <c r="N4258" i="21"/>
  <c r="N4257" i="21"/>
  <c r="N4256" i="21"/>
  <c r="N4255" i="21"/>
  <c r="N4254" i="21"/>
  <c r="N4253" i="21"/>
  <c r="N4252" i="21"/>
  <c r="N4251" i="21"/>
  <c r="N4250" i="21"/>
  <c r="N4249" i="21"/>
  <c r="N4248" i="21"/>
  <c r="N4247" i="21"/>
  <c r="N4246" i="21"/>
  <c r="N4245" i="21"/>
  <c r="N4244" i="21"/>
  <c r="N4243" i="21"/>
  <c r="N4242" i="21"/>
  <c r="N4241" i="21"/>
  <c r="N4240" i="21"/>
  <c r="N4239" i="21"/>
  <c r="N4238" i="21"/>
  <c r="N4237" i="21"/>
  <c r="N4236" i="21"/>
  <c r="N4235" i="21"/>
  <c r="N4234" i="21"/>
  <c r="N4233" i="21"/>
  <c r="N4232" i="21"/>
  <c r="N4231" i="21"/>
  <c r="N4230" i="21"/>
  <c r="N4229" i="21"/>
  <c r="N4228" i="21"/>
  <c r="N4227" i="21"/>
  <c r="N4226" i="21"/>
  <c r="N4225" i="21"/>
  <c r="N4224" i="21"/>
  <c r="N4223" i="21"/>
  <c r="N4222" i="21"/>
  <c r="N4221" i="21"/>
  <c r="N4220" i="21"/>
  <c r="N4219" i="21"/>
  <c r="N4218" i="21"/>
  <c r="N4217" i="21"/>
  <c r="N4216" i="21"/>
  <c r="N4215" i="21"/>
  <c r="N4214" i="21"/>
  <c r="N4213" i="21"/>
  <c r="N4212" i="21"/>
  <c r="N4211" i="21"/>
  <c r="N4210" i="21"/>
  <c r="N4209" i="21"/>
  <c r="N4208" i="21"/>
  <c r="N4207" i="21"/>
  <c r="N4206" i="21"/>
  <c r="N4205" i="21"/>
  <c r="N4204" i="21"/>
  <c r="N4203" i="21"/>
  <c r="N4202" i="21"/>
  <c r="N4201" i="21"/>
  <c r="N4200" i="21"/>
  <c r="N4199" i="21"/>
  <c r="N4198" i="21"/>
  <c r="N4197" i="21"/>
  <c r="N4196" i="21"/>
  <c r="N4195" i="21"/>
  <c r="N4194" i="21"/>
  <c r="N4193" i="21"/>
  <c r="N4192" i="21"/>
  <c r="N4191" i="21"/>
  <c r="N4190" i="21"/>
  <c r="N4189" i="21"/>
  <c r="N4188" i="21"/>
  <c r="N4187" i="21"/>
  <c r="N4186" i="21"/>
  <c r="N4185" i="21"/>
  <c r="N4184" i="21"/>
  <c r="N4183" i="21"/>
  <c r="N4182" i="21"/>
  <c r="N4181" i="21"/>
  <c r="N4180" i="21"/>
  <c r="N4179" i="21"/>
  <c r="N4178" i="21"/>
  <c r="N4177" i="21"/>
  <c r="N4176" i="21"/>
  <c r="N4175" i="21"/>
  <c r="N4174" i="21"/>
  <c r="N4173" i="21"/>
  <c r="N4172" i="21"/>
  <c r="N4171" i="21"/>
  <c r="N4170" i="21"/>
  <c r="N4169" i="21"/>
  <c r="N4168" i="21"/>
  <c r="N4167" i="21"/>
  <c r="N4166" i="21"/>
  <c r="N4165" i="21"/>
  <c r="N4164" i="21"/>
  <c r="N4163" i="21"/>
  <c r="N4162" i="21"/>
  <c r="N4161" i="21"/>
  <c r="N4160" i="21"/>
  <c r="N4159" i="21"/>
  <c r="N4158" i="21"/>
  <c r="N4157" i="21"/>
  <c r="N4156" i="21"/>
  <c r="N4155" i="21"/>
  <c r="N4154" i="21"/>
  <c r="N4153" i="21"/>
  <c r="N4152" i="21"/>
  <c r="N4151" i="21"/>
  <c r="N4150" i="21"/>
  <c r="N4149" i="21"/>
  <c r="N4148" i="21"/>
  <c r="N4147" i="21"/>
  <c r="N4146" i="21"/>
  <c r="N4145" i="21"/>
  <c r="N4144" i="21"/>
  <c r="N4143" i="21"/>
  <c r="N4142" i="21"/>
  <c r="N4141" i="21"/>
  <c r="N4140" i="21"/>
  <c r="N4139" i="21"/>
  <c r="N4138" i="21"/>
  <c r="N4137" i="21"/>
  <c r="N4136" i="21"/>
  <c r="N4135" i="21"/>
  <c r="N4134" i="21"/>
  <c r="N4133" i="21"/>
  <c r="N4132" i="21"/>
  <c r="N4131" i="21"/>
  <c r="N4130" i="21"/>
  <c r="N4129" i="21"/>
  <c r="N4128" i="21"/>
  <c r="N4127" i="21"/>
  <c r="N4126" i="21"/>
  <c r="N4125" i="21"/>
  <c r="N4124" i="21"/>
  <c r="N4123" i="21"/>
  <c r="N4122" i="21"/>
  <c r="N4121" i="21"/>
  <c r="N4120" i="21"/>
  <c r="N4119" i="21"/>
  <c r="N4118" i="21"/>
  <c r="N4117" i="21"/>
  <c r="N4116" i="21"/>
  <c r="N4115" i="21"/>
  <c r="N4114" i="21"/>
  <c r="N4113" i="21"/>
  <c r="N4112" i="21"/>
  <c r="N4111" i="21"/>
  <c r="N4110" i="21"/>
  <c r="N4109" i="21"/>
  <c r="N4108" i="21"/>
  <c r="N4107" i="21"/>
  <c r="N4106" i="21"/>
  <c r="N4105" i="21"/>
  <c r="N4104" i="21"/>
  <c r="N4103" i="21"/>
  <c r="N4102" i="21"/>
  <c r="N4101" i="21"/>
  <c r="N4100" i="21"/>
  <c r="N4099" i="21"/>
  <c r="N4098" i="21"/>
  <c r="N4097" i="21"/>
  <c r="N4096" i="21"/>
  <c r="N4095" i="21"/>
  <c r="N4094" i="21"/>
  <c r="N4093" i="21"/>
  <c r="N4092" i="21"/>
  <c r="N4091" i="21"/>
  <c r="N4090" i="21"/>
  <c r="N4089" i="21"/>
  <c r="N4088" i="21"/>
  <c r="N4087" i="21"/>
  <c r="N4086" i="21"/>
  <c r="N4085" i="21"/>
  <c r="N4084" i="21"/>
  <c r="N4083" i="21"/>
  <c r="N4082" i="21"/>
  <c r="N4081" i="21"/>
  <c r="N4080" i="21"/>
  <c r="N4079" i="21"/>
  <c r="N4078" i="21"/>
  <c r="N4077" i="21"/>
  <c r="N4076" i="21"/>
  <c r="N4075" i="21"/>
  <c r="N4074" i="21"/>
  <c r="N4073" i="21"/>
  <c r="N4072" i="21"/>
  <c r="N4071" i="21"/>
  <c r="N4070" i="21"/>
  <c r="N4069" i="21"/>
  <c r="N4068" i="21"/>
  <c r="N4067" i="21"/>
  <c r="N4066" i="21"/>
  <c r="N4065" i="21"/>
  <c r="N4064" i="21"/>
  <c r="N4063" i="21"/>
  <c r="N4062" i="21"/>
  <c r="N4061" i="21"/>
  <c r="N4060" i="21"/>
  <c r="N4059" i="21"/>
  <c r="N4058" i="21"/>
  <c r="N4057" i="21"/>
  <c r="N4056" i="21"/>
  <c r="N4055" i="21"/>
  <c r="N4054" i="21"/>
  <c r="N4053" i="21"/>
  <c r="N4052" i="21"/>
  <c r="N4051" i="21"/>
  <c r="N4050" i="21"/>
  <c r="N4049" i="21"/>
  <c r="N4048" i="21"/>
  <c r="N4047" i="21"/>
  <c r="N4046" i="21"/>
  <c r="N4045" i="21"/>
  <c r="N4044" i="21"/>
  <c r="N4043" i="21"/>
  <c r="N4042" i="21"/>
  <c r="N4041" i="21"/>
  <c r="N4040" i="21"/>
  <c r="N4039" i="21"/>
  <c r="N4038" i="21"/>
  <c r="N4037" i="21"/>
  <c r="N4036" i="21"/>
  <c r="N4035" i="21"/>
  <c r="N4034" i="21"/>
  <c r="N4033" i="21"/>
  <c r="N4032" i="21"/>
  <c r="N4031" i="21"/>
  <c r="N4030" i="21"/>
  <c r="N4029" i="21"/>
  <c r="N4028" i="21"/>
  <c r="N4027" i="21"/>
  <c r="N4026" i="21"/>
  <c r="N4025" i="21"/>
  <c r="N4024" i="21"/>
  <c r="N4023" i="21"/>
  <c r="N4022" i="21"/>
  <c r="N4021" i="21"/>
  <c r="N4020" i="21"/>
  <c r="N4019" i="21"/>
  <c r="N4018" i="21"/>
  <c r="N4017" i="21"/>
  <c r="N4016" i="21"/>
  <c r="N4015" i="21"/>
  <c r="N4014" i="21"/>
  <c r="N4013" i="21"/>
  <c r="N4012" i="21"/>
  <c r="N4011" i="21"/>
  <c r="N4010" i="21"/>
  <c r="N4009" i="21"/>
  <c r="N4008" i="21"/>
  <c r="N4007" i="21"/>
  <c r="N4006" i="21"/>
  <c r="N4005" i="21"/>
  <c r="N4004" i="21"/>
  <c r="N4003" i="21"/>
  <c r="N4002" i="21"/>
  <c r="N4001" i="21"/>
  <c r="N4000" i="21"/>
  <c r="N3999" i="21"/>
  <c r="N3998" i="21"/>
  <c r="N3997" i="21"/>
  <c r="N3996" i="21"/>
  <c r="N3995" i="21"/>
  <c r="N3994" i="21"/>
  <c r="N3993" i="21"/>
  <c r="N3992" i="21"/>
  <c r="N3991" i="21"/>
  <c r="N3990" i="21"/>
  <c r="N3989" i="21"/>
  <c r="N3988" i="21"/>
  <c r="N3987" i="21"/>
  <c r="N3986" i="21"/>
  <c r="N3985" i="21"/>
  <c r="N3984" i="21"/>
  <c r="N3983" i="21"/>
  <c r="N3982" i="21"/>
  <c r="N3981" i="21"/>
  <c r="N3980" i="21"/>
  <c r="N3979" i="21"/>
  <c r="N3978" i="21"/>
  <c r="N3977" i="21"/>
  <c r="N3976" i="21"/>
  <c r="N3975" i="21"/>
  <c r="N3974" i="21"/>
  <c r="N3973" i="21"/>
  <c r="N3972" i="21"/>
  <c r="N3971" i="21"/>
  <c r="N3970" i="21"/>
  <c r="N3969" i="21"/>
  <c r="N3968" i="21"/>
  <c r="N3967" i="21"/>
  <c r="N3966" i="21"/>
  <c r="N3965" i="21"/>
  <c r="N3964" i="21"/>
  <c r="N3963" i="21"/>
  <c r="N3962" i="21"/>
  <c r="N3961" i="21"/>
  <c r="N3960" i="21"/>
  <c r="N3959" i="21"/>
  <c r="N3958" i="21"/>
  <c r="N3957" i="21"/>
  <c r="N3956" i="21"/>
  <c r="N3955" i="21"/>
  <c r="N3954" i="21"/>
  <c r="N3953" i="21"/>
  <c r="N3952" i="21"/>
  <c r="N3951" i="21"/>
  <c r="N3950" i="21"/>
  <c r="N3949" i="21"/>
  <c r="N3948" i="21"/>
  <c r="N3947" i="21"/>
  <c r="N3946" i="21"/>
  <c r="N3945" i="21"/>
  <c r="N3944" i="21"/>
  <c r="N3943" i="21"/>
  <c r="N3942" i="21"/>
  <c r="N3941" i="21"/>
  <c r="N3940" i="21"/>
  <c r="N3939" i="21"/>
  <c r="N3938" i="21"/>
  <c r="N3937" i="21"/>
  <c r="N3936" i="21"/>
  <c r="N3935" i="21"/>
  <c r="N3934" i="21"/>
  <c r="N3933" i="21"/>
  <c r="N3932" i="21"/>
  <c r="N3931" i="21"/>
  <c r="N3930" i="21"/>
  <c r="N3929" i="21"/>
  <c r="N3928" i="21"/>
  <c r="N3927" i="21"/>
  <c r="N3926" i="21"/>
  <c r="N3925" i="21"/>
  <c r="N3924" i="21"/>
  <c r="N3923" i="21"/>
  <c r="N3922" i="21"/>
  <c r="N3921" i="21"/>
  <c r="N3920" i="21"/>
  <c r="N3919" i="21"/>
  <c r="N3918" i="21"/>
  <c r="N3917" i="21"/>
  <c r="N3916" i="21"/>
  <c r="N3915" i="21"/>
  <c r="N3914" i="21"/>
  <c r="N3913" i="21"/>
  <c r="N3912" i="21"/>
  <c r="N3911" i="21"/>
  <c r="N3910" i="21"/>
  <c r="N3909" i="21"/>
  <c r="N3908" i="21"/>
  <c r="N3907" i="21"/>
  <c r="N3906" i="21"/>
  <c r="N3905" i="21"/>
  <c r="N3904" i="21"/>
  <c r="N3903" i="21"/>
  <c r="N3902" i="21"/>
  <c r="N3901" i="21"/>
  <c r="N3900" i="21"/>
  <c r="N3899" i="21"/>
  <c r="N3898" i="21"/>
  <c r="N3897" i="21"/>
  <c r="N3896" i="21"/>
  <c r="N3895" i="21"/>
  <c r="N3894" i="21"/>
  <c r="N3893" i="21"/>
  <c r="N3892" i="21"/>
  <c r="N3891" i="21"/>
  <c r="N3890" i="21"/>
  <c r="N3889" i="21"/>
  <c r="N3888" i="21"/>
  <c r="N3887" i="21"/>
  <c r="N3886" i="21"/>
  <c r="N3885" i="21"/>
  <c r="N3884" i="21"/>
  <c r="N3883" i="21"/>
  <c r="N3882" i="21"/>
  <c r="N3881" i="21"/>
  <c r="N3880" i="21"/>
  <c r="N3879" i="21"/>
  <c r="N3878" i="21"/>
  <c r="N3877" i="21"/>
  <c r="N3876" i="21"/>
  <c r="N3875" i="21"/>
  <c r="N3874" i="21"/>
  <c r="N3873" i="21"/>
  <c r="N3872" i="21"/>
  <c r="N3871" i="21"/>
  <c r="N3870" i="21"/>
  <c r="N3869" i="21"/>
  <c r="N3868" i="21"/>
  <c r="N3867" i="21"/>
  <c r="N3866" i="21"/>
  <c r="N3865" i="21"/>
  <c r="N3864" i="21"/>
  <c r="N3863" i="21"/>
  <c r="N3862" i="21"/>
  <c r="N3861" i="21"/>
  <c r="N3860" i="21"/>
  <c r="N3859" i="21"/>
  <c r="N3858" i="21"/>
  <c r="N3857" i="21"/>
  <c r="N3856" i="21"/>
  <c r="N3855" i="21"/>
  <c r="N3854" i="21"/>
  <c r="N3853" i="21"/>
  <c r="N3852" i="21"/>
  <c r="N3851" i="21"/>
  <c r="N3850" i="21"/>
  <c r="N3849" i="21"/>
  <c r="N3848" i="21"/>
  <c r="N3847" i="21"/>
  <c r="N3846" i="21"/>
  <c r="N3845" i="21"/>
  <c r="N3844" i="21"/>
  <c r="N3843" i="21"/>
  <c r="N3842" i="21"/>
  <c r="N3841" i="21"/>
  <c r="N3840" i="21"/>
  <c r="N3839" i="21"/>
  <c r="N3838" i="21"/>
  <c r="N3837" i="21"/>
  <c r="N3836" i="21"/>
  <c r="N3835" i="21"/>
  <c r="N3834" i="21"/>
  <c r="N3833" i="21"/>
  <c r="N3832" i="21"/>
  <c r="N3831" i="21"/>
  <c r="N3830" i="21"/>
  <c r="N3829" i="21"/>
  <c r="N3828" i="21"/>
  <c r="N3827" i="21"/>
  <c r="N3826" i="21"/>
  <c r="N3825" i="21"/>
  <c r="N3824" i="21"/>
  <c r="N3823" i="21"/>
  <c r="N3822" i="21"/>
  <c r="N3821" i="21"/>
  <c r="N3820" i="21"/>
  <c r="N3819" i="21"/>
  <c r="N3818" i="21"/>
  <c r="N3817" i="21"/>
  <c r="N3816" i="21"/>
  <c r="N3815" i="21"/>
  <c r="N3814" i="21"/>
  <c r="N3813" i="21"/>
  <c r="N3812" i="21"/>
  <c r="N3811" i="21"/>
  <c r="N3810" i="21"/>
  <c r="N3809" i="21"/>
  <c r="N3808" i="21"/>
  <c r="N3807" i="21"/>
  <c r="N3806" i="21"/>
  <c r="N3805" i="21"/>
  <c r="N3804" i="21"/>
  <c r="N3803" i="21"/>
  <c r="N3802" i="21"/>
  <c r="N3801" i="21"/>
  <c r="N3800" i="21"/>
  <c r="N3799" i="21"/>
  <c r="N3798" i="21"/>
  <c r="N3797" i="21"/>
  <c r="N3796" i="21"/>
  <c r="N3795" i="21"/>
  <c r="N3794" i="21"/>
  <c r="N3793" i="21"/>
  <c r="N3792" i="21"/>
  <c r="N3791" i="21"/>
  <c r="N3790" i="21"/>
  <c r="N3789" i="21"/>
  <c r="N3788" i="21"/>
  <c r="N3787" i="21"/>
  <c r="N3786" i="21"/>
  <c r="N3785" i="21"/>
  <c r="N3784" i="21"/>
  <c r="N3783" i="21"/>
  <c r="N3782" i="21"/>
  <c r="N3781" i="21"/>
  <c r="N3780" i="21"/>
  <c r="N3779" i="21"/>
  <c r="N3778" i="21"/>
  <c r="N3777" i="21"/>
  <c r="N3776" i="21"/>
  <c r="N3775" i="21"/>
  <c r="N3774" i="21"/>
  <c r="N3773" i="21"/>
  <c r="N3772" i="21"/>
  <c r="N3771" i="21"/>
  <c r="N3770" i="21"/>
  <c r="N3769" i="21"/>
  <c r="N3768" i="21"/>
  <c r="N3767" i="21"/>
  <c r="N3766" i="21"/>
  <c r="N3765" i="21"/>
  <c r="N3764" i="21"/>
  <c r="N3763" i="21"/>
  <c r="N3762" i="21"/>
  <c r="N3761" i="21"/>
  <c r="N3760" i="21"/>
  <c r="N3759" i="21"/>
  <c r="N3758" i="21"/>
  <c r="N3757" i="21"/>
  <c r="N3756" i="21"/>
  <c r="N3755" i="21"/>
  <c r="N3754" i="21"/>
  <c r="N3753" i="21"/>
  <c r="N3752" i="21"/>
  <c r="N3751" i="21"/>
  <c r="N3750" i="21"/>
  <c r="N3749" i="21"/>
  <c r="N3748" i="21"/>
  <c r="N3747" i="21"/>
  <c r="N3746" i="21"/>
  <c r="N3745" i="21"/>
  <c r="N3744" i="21"/>
  <c r="N3743" i="21"/>
  <c r="N3742" i="21"/>
  <c r="N3741" i="21"/>
  <c r="N3740" i="21"/>
  <c r="N3739" i="21"/>
  <c r="N3738" i="21"/>
  <c r="N3737" i="21"/>
  <c r="N3736" i="21"/>
  <c r="N3735" i="21"/>
  <c r="N3734" i="21"/>
  <c r="N3733" i="21"/>
  <c r="N3732" i="21"/>
  <c r="N3731" i="21"/>
  <c r="N3730" i="21"/>
  <c r="N3729" i="21"/>
  <c r="N3728" i="21"/>
  <c r="N3727" i="21"/>
  <c r="N3726" i="21"/>
  <c r="N3725" i="21"/>
  <c r="N3724" i="21"/>
  <c r="N3723" i="21"/>
  <c r="N3722" i="21"/>
  <c r="N3721" i="21"/>
  <c r="N3720" i="21"/>
  <c r="N3719" i="21"/>
  <c r="N3718" i="21"/>
  <c r="N3717" i="21"/>
  <c r="N3716" i="21"/>
  <c r="N3715" i="21"/>
  <c r="N3714" i="21"/>
  <c r="N3713" i="21"/>
  <c r="N3712" i="21"/>
  <c r="N3711" i="21"/>
  <c r="N3710" i="21"/>
  <c r="N3709" i="21"/>
  <c r="N3708" i="21"/>
  <c r="N3707" i="21"/>
  <c r="N3706" i="21"/>
  <c r="N3705" i="21"/>
  <c r="N3704" i="21"/>
  <c r="N3703" i="21"/>
  <c r="N3702" i="21"/>
  <c r="N3701" i="21"/>
  <c r="N3700" i="21"/>
  <c r="N3699" i="21"/>
  <c r="N3698" i="21"/>
  <c r="N3697" i="21"/>
  <c r="N3696" i="21"/>
  <c r="N3695" i="21"/>
  <c r="N3694" i="21"/>
  <c r="N3693" i="21"/>
  <c r="N3692" i="21"/>
  <c r="N3691" i="21"/>
  <c r="N3690" i="21"/>
  <c r="N3689" i="21"/>
  <c r="N3688" i="21"/>
  <c r="N3687" i="21"/>
  <c r="N3686" i="21"/>
  <c r="N3685" i="21"/>
  <c r="N3684" i="21"/>
  <c r="N3683" i="21"/>
  <c r="N3682" i="21"/>
  <c r="N3681" i="21"/>
  <c r="N3680" i="21"/>
  <c r="N3679" i="21"/>
  <c r="N3678" i="21"/>
  <c r="N3677" i="21"/>
  <c r="N3676" i="21"/>
  <c r="N3675" i="21"/>
  <c r="N3674" i="21"/>
  <c r="N3673" i="21"/>
  <c r="N3672" i="21"/>
  <c r="N3671" i="21"/>
  <c r="N3670" i="21"/>
  <c r="N3669" i="21"/>
  <c r="N3668" i="21"/>
  <c r="N3667" i="21"/>
  <c r="N3666" i="21"/>
  <c r="N3665" i="21"/>
  <c r="N3664" i="21"/>
  <c r="N3663" i="21"/>
  <c r="N3662" i="21"/>
  <c r="N3661" i="21"/>
  <c r="N3660" i="21"/>
  <c r="N3659" i="21"/>
  <c r="N3658" i="21"/>
  <c r="N3657" i="21"/>
  <c r="N3656" i="21"/>
  <c r="N3655" i="21"/>
  <c r="N3654" i="21"/>
  <c r="N3653" i="21"/>
  <c r="N3652" i="21"/>
  <c r="N3651" i="21"/>
  <c r="N3650" i="21"/>
  <c r="N3649" i="21"/>
  <c r="N3648" i="21"/>
  <c r="N3647" i="21"/>
  <c r="N3646" i="21"/>
  <c r="N3645" i="21"/>
  <c r="N3644" i="21"/>
  <c r="N3643" i="21"/>
  <c r="N3642" i="21"/>
  <c r="N3641" i="21"/>
  <c r="N3640" i="21"/>
  <c r="N3639" i="21"/>
  <c r="N3638" i="21"/>
  <c r="N3637" i="21"/>
  <c r="N3636" i="21"/>
  <c r="N3635" i="21"/>
  <c r="N3634" i="21"/>
  <c r="N3633" i="21"/>
  <c r="N3632" i="21"/>
  <c r="N3631" i="21"/>
  <c r="N3630" i="21"/>
  <c r="N3629" i="21"/>
  <c r="N3628" i="21"/>
  <c r="N3627" i="21"/>
  <c r="N3626" i="21"/>
  <c r="N3625" i="21"/>
  <c r="N3624" i="21"/>
  <c r="N3623" i="21"/>
  <c r="N3622" i="21"/>
  <c r="N3621" i="21"/>
  <c r="N3620" i="21"/>
  <c r="N3619" i="21"/>
  <c r="N3618" i="21"/>
  <c r="N3617" i="21"/>
  <c r="N3616" i="21"/>
  <c r="N3615" i="21"/>
  <c r="N3614" i="21"/>
  <c r="N3613" i="21"/>
  <c r="N3612" i="21"/>
  <c r="N3611" i="21"/>
  <c r="N3610" i="21"/>
  <c r="N3609" i="21"/>
  <c r="N3608" i="21"/>
  <c r="N3607" i="21"/>
  <c r="N3606" i="21"/>
  <c r="N3605" i="21"/>
  <c r="N3604" i="21"/>
  <c r="N3603" i="21"/>
  <c r="N3602" i="21"/>
  <c r="N3601" i="21"/>
  <c r="N3600" i="21"/>
  <c r="N3599" i="21"/>
  <c r="N3598" i="21"/>
  <c r="N3597" i="21"/>
  <c r="N3596" i="21"/>
  <c r="N3595" i="21"/>
  <c r="N3594" i="21"/>
  <c r="N3593" i="21"/>
  <c r="N3592" i="21"/>
  <c r="N3591" i="21"/>
  <c r="N3590" i="21"/>
  <c r="N3589" i="21"/>
  <c r="N3588" i="21"/>
  <c r="N3587" i="21"/>
  <c r="N3586" i="21"/>
  <c r="N3585" i="21"/>
  <c r="N3584" i="21"/>
  <c r="N3583" i="21"/>
  <c r="N3582" i="21"/>
  <c r="N3581" i="21"/>
  <c r="N3580" i="21"/>
  <c r="N3579" i="21"/>
  <c r="N3578" i="21"/>
  <c r="N3577" i="21"/>
  <c r="N3576" i="21"/>
  <c r="N3575" i="21"/>
  <c r="N3574" i="21"/>
  <c r="N3573" i="21"/>
  <c r="N3572" i="21"/>
  <c r="N3571" i="21"/>
  <c r="N3570" i="21"/>
  <c r="N3569" i="21"/>
  <c r="N3568" i="21"/>
  <c r="N3567" i="21"/>
  <c r="N3566" i="21"/>
  <c r="N3565" i="21"/>
  <c r="N3564" i="21"/>
  <c r="N3563" i="21"/>
  <c r="N3562" i="21"/>
  <c r="N3561" i="21"/>
  <c r="N3560" i="21"/>
  <c r="N3559" i="21"/>
  <c r="N3558" i="21"/>
  <c r="N3557" i="21"/>
  <c r="N3556" i="21"/>
  <c r="N3555" i="21"/>
  <c r="N3554" i="21"/>
  <c r="N3553" i="21"/>
  <c r="N3552" i="21"/>
  <c r="N3551" i="21"/>
  <c r="N3550" i="21"/>
  <c r="N3549" i="21"/>
  <c r="N3548" i="21"/>
  <c r="N3547" i="21"/>
  <c r="N3546" i="21"/>
  <c r="N3545" i="21"/>
  <c r="N3544" i="21"/>
  <c r="N3543" i="21"/>
  <c r="N3542" i="21"/>
  <c r="N3541" i="21"/>
  <c r="N3540" i="21"/>
  <c r="N3539" i="21"/>
  <c r="N3538" i="21"/>
  <c r="N3537" i="21"/>
  <c r="N3536" i="21"/>
  <c r="N3535" i="21"/>
  <c r="N3534" i="21"/>
  <c r="N3533" i="21"/>
  <c r="N3532" i="21"/>
  <c r="N3531" i="21"/>
  <c r="N3530" i="21"/>
  <c r="N3529" i="21"/>
  <c r="N3528" i="21"/>
  <c r="N3527" i="21"/>
  <c r="N3526" i="21"/>
  <c r="N3525" i="21"/>
  <c r="N3524" i="21"/>
  <c r="N3523" i="21"/>
  <c r="N3522" i="21"/>
  <c r="N3521" i="21"/>
  <c r="N3520" i="21"/>
  <c r="N3519" i="21"/>
  <c r="N3518" i="21"/>
  <c r="N3517" i="21"/>
  <c r="N3516" i="21"/>
  <c r="N3515" i="21"/>
  <c r="N3514" i="21"/>
  <c r="N3513" i="21"/>
  <c r="N3512" i="21"/>
  <c r="N3511" i="21"/>
  <c r="N3510" i="21"/>
  <c r="N3509" i="21"/>
  <c r="N3508" i="21"/>
  <c r="N3507" i="21"/>
  <c r="N3506" i="21"/>
  <c r="N3505" i="21"/>
  <c r="N3504" i="21"/>
  <c r="N3503" i="21"/>
  <c r="N3502" i="21"/>
  <c r="N3501" i="21"/>
  <c r="N3500" i="21"/>
  <c r="N3499" i="21"/>
  <c r="N3498" i="21"/>
  <c r="N3497" i="21"/>
  <c r="N3496" i="21"/>
  <c r="N3495" i="21"/>
  <c r="N3494" i="21"/>
  <c r="N3493" i="21"/>
  <c r="N3492" i="21"/>
  <c r="N3491" i="21"/>
  <c r="N3490" i="21"/>
  <c r="N3489" i="21"/>
  <c r="N3488" i="21"/>
  <c r="N3487" i="21"/>
  <c r="N3486" i="21"/>
  <c r="N3485" i="21"/>
  <c r="N3484" i="21"/>
  <c r="N3483" i="21"/>
  <c r="N3482" i="21"/>
  <c r="N3481" i="21"/>
  <c r="N3480" i="21"/>
  <c r="N3479" i="21"/>
  <c r="N3478" i="21"/>
  <c r="N3477" i="21"/>
  <c r="N3476" i="21"/>
  <c r="N3475" i="21"/>
  <c r="N3474" i="21"/>
  <c r="N3473" i="21"/>
  <c r="N3472" i="21"/>
  <c r="N3471" i="21"/>
  <c r="N3470" i="21"/>
  <c r="N3469" i="21"/>
  <c r="N3468" i="21"/>
  <c r="N3467" i="21"/>
  <c r="N3466" i="21"/>
  <c r="N3465" i="21"/>
  <c r="N3464" i="21"/>
  <c r="N3463" i="21"/>
  <c r="N3462" i="21"/>
  <c r="N3461" i="21"/>
  <c r="N3460" i="21"/>
  <c r="N3459" i="21"/>
  <c r="N3458" i="21"/>
  <c r="N3457" i="21"/>
  <c r="N3456" i="21"/>
  <c r="N3455" i="21"/>
  <c r="N3454" i="21"/>
  <c r="N3453" i="21"/>
  <c r="N3452" i="21"/>
  <c r="N3451" i="21"/>
  <c r="N3450" i="21"/>
  <c r="N3449" i="21"/>
  <c r="N3448" i="21"/>
  <c r="N3447" i="21"/>
  <c r="N3446" i="21"/>
  <c r="N3445" i="21"/>
  <c r="N3444" i="21"/>
  <c r="N3443" i="21"/>
  <c r="N3442" i="21"/>
  <c r="N3441" i="21"/>
  <c r="N3440" i="21"/>
  <c r="N3439" i="21"/>
  <c r="N3438" i="21"/>
  <c r="N3437" i="21"/>
  <c r="N3436" i="21"/>
  <c r="N3435" i="21"/>
  <c r="N3434" i="21"/>
  <c r="N3433" i="21"/>
  <c r="N3432" i="21"/>
  <c r="N3431" i="21"/>
  <c r="N3430" i="21"/>
  <c r="N3429" i="21"/>
  <c r="N3428" i="21"/>
  <c r="N3427" i="21"/>
  <c r="N3426" i="21"/>
  <c r="N3425" i="21"/>
  <c r="N3424" i="21"/>
  <c r="N3423" i="21"/>
  <c r="N3422" i="21"/>
  <c r="N3421" i="21"/>
  <c r="N3420" i="21"/>
  <c r="N3419" i="21"/>
  <c r="N3418" i="21"/>
  <c r="N3417" i="21"/>
  <c r="N3416" i="21"/>
  <c r="N3415" i="21"/>
  <c r="N3414" i="21"/>
  <c r="N3413" i="21"/>
  <c r="N3412" i="21"/>
  <c r="N3411" i="21"/>
  <c r="N3410" i="21"/>
  <c r="N3409" i="21"/>
  <c r="N3408" i="21"/>
  <c r="N3407" i="21"/>
  <c r="N3406" i="21"/>
  <c r="N3405" i="21"/>
  <c r="N3404" i="21"/>
  <c r="N3403" i="21"/>
  <c r="N3402" i="21"/>
  <c r="N3401" i="21"/>
  <c r="N3400" i="21"/>
  <c r="N3399" i="21"/>
  <c r="N3398" i="21"/>
  <c r="N3397" i="21"/>
  <c r="N3396" i="21"/>
  <c r="N3395" i="21"/>
  <c r="N3394" i="21"/>
  <c r="N3393" i="21"/>
  <c r="N3392" i="21"/>
  <c r="N3391" i="21"/>
  <c r="N3390" i="21"/>
  <c r="N3389" i="21"/>
  <c r="N3388" i="21"/>
  <c r="N3387" i="21"/>
  <c r="N3386" i="21"/>
  <c r="N3385" i="21"/>
  <c r="N3384" i="21"/>
  <c r="N3383" i="21"/>
  <c r="N3382" i="21"/>
  <c r="N3381" i="21"/>
  <c r="N3380" i="21"/>
  <c r="N3379" i="21"/>
  <c r="N3377" i="21"/>
  <c r="N3376" i="21"/>
  <c r="N3375" i="21"/>
  <c r="N3374" i="21"/>
  <c r="N3373" i="21"/>
  <c r="N3372" i="21"/>
  <c r="N3371" i="21"/>
  <c r="N3370" i="21"/>
  <c r="N3369" i="21"/>
  <c r="N3368" i="21"/>
  <c r="N3367" i="21"/>
  <c r="N3366" i="21"/>
  <c r="N3365" i="21"/>
  <c r="N3364" i="21"/>
  <c r="N3363" i="21"/>
  <c r="N3362" i="21"/>
  <c r="N3361" i="21"/>
  <c r="N3360" i="21"/>
  <c r="N3359" i="21"/>
  <c r="N3358" i="21"/>
  <c r="N3357" i="21"/>
  <c r="N3356" i="21"/>
  <c r="N3355" i="21"/>
  <c r="N3354" i="21"/>
  <c r="N3353" i="21"/>
  <c r="N3352" i="21"/>
  <c r="N3351" i="21"/>
  <c r="N3350" i="21"/>
  <c r="N3349" i="21"/>
  <c r="N3348" i="21"/>
  <c r="N3347" i="21"/>
  <c r="N3346" i="21"/>
  <c r="N3345" i="21"/>
  <c r="N3344" i="21"/>
  <c r="N3343" i="21"/>
  <c r="N3342" i="21"/>
  <c r="N3341" i="21"/>
  <c r="N3340" i="21"/>
  <c r="N3339" i="21"/>
  <c r="N3338" i="21"/>
  <c r="N3337" i="21"/>
  <c r="N3336" i="21"/>
  <c r="N3335" i="21"/>
  <c r="N3334" i="21"/>
  <c r="N3333" i="21"/>
  <c r="N3332" i="21"/>
  <c r="N3331" i="21"/>
  <c r="N3330" i="21"/>
  <c r="N3329" i="21"/>
  <c r="N3328" i="21"/>
  <c r="N3327" i="21"/>
  <c r="N3326" i="21"/>
  <c r="N3325" i="21"/>
  <c r="N3324" i="21"/>
  <c r="N3323" i="21"/>
  <c r="N3322" i="21"/>
  <c r="N3321" i="21"/>
  <c r="N3320" i="21"/>
  <c r="N3319" i="21"/>
  <c r="N3318" i="21"/>
  <c r="N3317" i="21"/>
  <c r="N3316" i="21"/>
  <c r="N3315" i="21"/>
  <c r="N3314" i="21"/>
  <c r="N3313" i="21"/>
  <c r="N3312" i="21"/>
  <c r="N3311" i="21"/>
  <c r="N3310" i="21"/>
  <c r="N3309" i="21"/>
  <c r="N3308" i="21"/>
  <c r="N3307" i="21"/>
  <c r="N3306" i="21"/>
  <c r="N3305" i="21"/>
  <c r="N3304" i="21"/>
  <c r="N3303" i="21"/>
  <c r="N3302" i="21"/>
  <c r="N3301" i="21"/>
  <c r="N3300" i="21"/>
  <c r="N3299" i="21"/>
  <c r="N3298" i="21"/>
  <c r="N3297" i="21"/>
  <c r="N3296" i="21"/>
  <c r="N3295" i="21"/>
  <c r="N3294" i="21"/>
  <c r="N3293" i="21"/>
  <c r="N3292" i="21"/>
  <c r="N3291" i="21"/>
  <c r="N3290" i="21"/>
  <c r="N3289" i="21"/>
  <c r="N3288" i="21"/>
  <c r="N3287" i="21"/>
  <c r="N3286" i="21"/>
  <c r="N3285" i="21"/>
  <c r="N3284" i="21"/>
  <c r="N3283" i="21"/>
  <c r="N3282" i="21"/>
  <c r="N3281" i="21"/>
  <c r="N3280" i="21"/>
  <c r="N3279" i="21"/>
  <c r="N3278" i="21"/>
  <c r="N3277" i="21"/>
  <c r="N3276" i="21"/>
  <c r="N3275" i="21"/>
  <c r="N3274" i="21"/>
  <c r="N3273" i="21"/>
  <c r="N3272" i="21"/>
  <c r="N3271" i="21"/>
  <c r="N3270" i="21"/>
  <c r="N3269" i="21"/>
  <c r="N3268" i="21"/>
  <c r="N3267" i="21"/>
  <c r="N3266" i="21"/>
  <c r="N3265" i="21"/>
  <c r="N3264" i="21"/>
  <c r="N3263" i="21"/>
  <c r="N3262" i="21"/>
  <c r="N3261" i="21"/>
  <c r="N3260" i="21"/>
  <c r="N3259" i="21"/>
  <c r="N3258" i="21"/>
  <c r="N3257" i="21"/>
  <c r="N3256" i="21"/>
  <c r="N3255" i="21"/>
  <c r="N3254" i="21"/>
  <c r="N3253" i="21"/>
  <c r="N3252" i="21"/>
  <c r="N3251" i="21"/>
  <c r="N3250" i="21"/>
  <c r="N3249" i="21"/>
  <c r="N3248" i="21"/>
  <c r="N3247" i="21"/>
  <c r="N3246" i="21"/>
  <c r="N3245" i="21"/>
  <c r="N3244" i="21"/>
  <c r="N3243" i="21"/>
  <c r="N3242" i="21"/>
  <c r="N3241" i="21"/>
  <c r="N3240" i="21"/>
  <c r="N3239" i="21"/>
  <c r="N3238" i="21"/>
  <c r="N3237" i="21"/>
  <c r="N3236" i="21"/>
  <c r="N3235" i="21"/>
  <c r="N3234" i="21"/>
  <c r="N3233" i="21"/>
  <c r="N3232" i="21"/>
  <c r="N3231" i="21"/>
  <c r="N3230" i="21"/>
  <c r="N3229" i="21"/>
  <c r="N3228" i="21"/>
  <c r="N3227" i="21"/>
  <c r="N3226" i="21"/>
  <c r="N3225" i="21"/>
  <c r="N3224" i="21"/>
  <c r="N3223" i="21"/>
  <c r="N3222" i="21"/>
  <c r="N3221" i="21"/>
  <c r="N3220" i="21"/>
  <c r="N3219" i="21"/>
  <c r="N3218" i="21"/>
  <c r="N3217" i="21"/>
  <c r="N3216" i="21"/>
  <c r="N3215" i="21"/>
  <c r="N3214" i="21"/>
  <c r="N3213" i="21"/>
  <c r="N3212" i="21"/>
  <c r="N3211" i="21"/>
  <c r="N3210" i="21"/>
  <c r="N3209" i="21"/>
  <c r="N3208" i="21"/>
  <c r="N3207" i="21"/>
  <c r="N3206" i="21"/>
  <c r="N3205" i="21"/>
  <c r="N3204" i="21"/>
  <c r="N3203" i="21"/>
  <c r="N3202" i="21"/>
  <c r="N3201" i="21"/>
  <c r="N3200" i="21"/>
  <c r="N3199" i="21"/>
  <c r="N3198" i="21"/>
  <c r="N3197" i="21"/>
  <c r="N3196" i="21"/>
  <c r="N3195" i="21"/>
  <c r="N3194" i="21"/>
  <c r="N3193" i="21"/>
  <c r="N3192" i="21"/>
  <c r="N3191" i="21"/>
  <c r="N3190" i="21"/>
  <c r="N3189" i="21"/>
  <c r="N3188" i="21"/>
  <c r="N3187" i="21"/>
  <c r="N3186" i="21"/>
  <c r="N3185" i="21"/>
  <c r="N3184" i="21"/>
  <c r="N3183" i="21"/>
  <c r="N3182" i="21"/>
  <c r="N3181" i="21"/>
  <c r="N3180" i="21"/>
  <c r="N3179" i="21"/>
  <c r="N3178" i="21"/>
  <c r="N3177" i="21"/>
  <c r="N3176" i="21"/>
  <c r="N3175" i="21"/>
  <c r="N3174" i="21"/>
  <c r="N3173" i="21"/>
  <c r="N3172" i="21"/>
  <c r="N3171" i="21"/>
  <c r="N3170" i="21"/>
  <c r="N3169" i="21"/>
  <c r="N3168" i="21"/>
  <c r="N3167" i="21"/>
  <c r="N3166" i="21"/>
  <c r="N3165" i="21"/>
  <c r="N3164" i="21"/>
  <c r="N3163" i="21"/>
  <c r="N3162" i="21"/>
  <c r="N3161" i="21"/>
  <c r="N3160" i="21"/>
  <c r="N3159" i="21"/>
  <c r="N3158" i="21"/>
  <c r="N3157" i="21"/>
  <c r="N3156" i="21"/>
  <c r="N3155" i="21"/>
  <c r="N3154" i="21"/>
  <c r="N3153" i="21"/>
  <c r="N3152" i="21"/>
  <c r="N3151" i="21"/>
  <c r="N3150" i="21"/>
  <c r="N3149" i="21"/>
  <c r="N3148" i="21"/>
  <c r="N3147" i="21"/>
  <c r="N3146" i="21"/>
  <c r="N3145" i="21"/>
  <c r="N3144" i="21"/>
  <c r="N3143" i="21"/>
  <c r="N3142" i="21"/>
  <c r="N3141" i="21"/>
  <c r="N3140" i="21"/>
  <c r="N3139" i="21"/>
  <c r="N3138" i="21"/>
  <c r="N3137" i="21"/>
  <c r="N3136" i="21"/>
  <c r="N3135" i="21"/>
  <c r="N3134" i="21"/>
  <c r="N3133" i="21"/>
  <c r="N3132" i="21"/>
  <c r="N3131" i="21"/>
  <c r="N3130" i="21"/>
  <c r="N3129" i="21"/>
  <c r="N3128" i="21"/>
  <c r="N3127" i="21"/>
  <c r="N3126" i="21"/>
  <c r="N3125" i="21"/>
  <c r="N3124" i="21"/>
  <c r="N3123" i="21"/>
  <c r="N3122" i="21"/>
  <c r="N3121" i="21"/>
  <c r="N3120" i="21"/>
  <c r="N3119" i="21"/>
  <c r="N3118" i="21"/>
  <c r="N3117" i="21"/>
  <c r="N3116" i="21"/>
  <c r="N3115" i="21"/>
  <c r="N3114" i="21"/>
  <c r="N3113" i="21"/>
  <c r="N3112" i="21"/>
  <c r="N3111" i="21"/>
  <c r="N3110" i="21"/>
  <c r="N3109" i="21"/>
  <c r="N3108" i="21"/>
  <c r="N3107" i="21"/>
  <c r="N3106" i="21"/>
  <c r="N3105" i="21"/>
  <c r="N3104" i="21"/>
  <c r="N3103" i="21"/>
  <c r="N3102" i="21"/>
  <c r="N3101" i="21"/>
  <c r="N3100" i="21"/>
  <c r="N3099" i="21"/>
  <c r="N3098" i="21"/>
  <c r="N3097" i="21"/>
  <c r="N3096" i="21"/>
  <c r="N3095" i="21"/>
  <c r="N3094" i="21"/>
  <c r="N3093" i="21"/>
  <c r="N3092" i="21"/>
  <c r="N3091" i="21"/>
  <c r="N3090" i="21"/>
  <c r="N3089" i="21"/>
  <c r="N3088" i="21"/>
  <c r="N3087" i="21"/>
  <c r="N3086" i="21"/>
  <c r="N3085" i="21"/>
  <c r="N3084" i="21"/>
  <c r="N3083" i="21"/>
  <c r="N3082" i="21"/>
  <c r="N3081" i="21"/>
  <c r="N3080" i="21"/>
  <c r="N3079" i="21"/>
  <c r="N3078" i="21"/>
  <c r="N3077" i="21"/>
  <c r="N3076" i="21"/>
  <c r="N3075" i="21"/>
  <c r="N3074" i="21"/>
  <c r="N3073" i="21"/>
  <c r="N3072" i="21"/>
  <c r="N3071" i="21"/>
  <c r="N3070" i="21"/>
  <c r="N3069" i="21"/>
  <c r="N3068" i="21"/>
  <c r="N3067" i="21"/>
  <c r="N3066" i="21"/>
  <c r="N3065" i="21"/>
  <c r="N3064" i="21"/>
  <c r="N3063" i="21"/>
  <c r="N3062" i="21"/>
  <c r="N3061" i="21"/>
  <c r="N3060" i="21"/>
  <c r="N3059" i="21"/>
  <c r="N3058" i="21"/>
  <c r="N3057" i="21"/>
  <c r="N3056" i="21"/>
  <c r="N3055" i="21"/>
  <c r="N3054" i="21"/>
  <c r="N3053" i="21"/>
  <c r="N3052" i="21"/>
  <c r="N3051" i="21"/>
  <c r="N3050" i="21"/>
  <c r="N3049" i="21"/>
  <c r="N3048" i="21"/>
  <c r="N3047" i="21"/>
  <c r="N3046" i="21"/>
  <c r="N3045" i="21"/>
  <c r="N3044" i="21"/>
  <c r="N3043" i="21"/>
  <c r="N3042" i="21"/>
  <c r="N3041" i="21"/>
  <c r="N3040" i="21"/>
  <c r="N3039" i="21"/>
  <c r="N3038" i="21"/>
  <c r="N3037" i="21"/>
  <c r="N3036" i="21"/>
  <c r="N3035" i="21"/>
  <c r="N3034" i="21"/>
  <c r="N3033" i="21"/>
  <c r="N3032" i="21"/>
  <c r="N3031" i="21"/>
  <c r="N3030" i="21"/>
  <c r="N3029" i="21"/>
  <c r="N3028" i="21"/>
  <c r="N3027" i="21"/>
  <c r="N3026" i="21"/>
  <c r="N3025" i="21"/>
  <c r="N3024" i="21"/>
  <c r="N3023" i="21"/>
  <c r="N3022" i="21"/>
  <c r="N3021" i="21"/>
  <c r="N3020" i="21"/>
  <c r="N3019" i="21"/>
  <c r="N3018" i="21"/>
  <c r="N3017" i="21"/>
  <c r="N3016" i="21"/>
  <c r="N3015" i="21"/>
  <c r="N3014" i="21"/>
  <c r="N3013" i="21"/>
  <c r="N3012" i="21"/>
  <c r="N3011" i="21"/>
  <c r="N3010" i="21"/>
  <c r="N3009" i="21"/>
  <c r="N3008" i="21"/>
  <c r="N3007" i="21"/>
  <c r="N3006" i="21"/>
  <c r="N3005" i="21"/>
  <c r="N3004" i="21"/>
  <c r="N3003" i="21"/>
  <c r="N3002" i="21"/>
  <c r="N3001" i="21"/>
  <c r="N3000" i="21"/>
  <c r="N2999" i="21"/>
  <c r="N2998" i="21"/>
  <c r="N2997" i="21"/>
  <c r="N2996" i="21"/>
  <c r="N2995" i="21"/>
  <c r="N2994" i="21"/>
  <c r="N2993" i="21"/>
  <c r="N2992" i="21"/>
  <c r="N2991" i="21"/>
  <c r="N2990" i="21"/>
  <c r="N2989" i="21"/>
  <c r="N2988" i="21"/>
  <c r="N2987" i="21"/>
  <c r="N2986" i="21"/>
  <c r="N2985" i="21"/>
  <c r="N2984" i="21"/>
  <c r="N2983" i="21"/>
  <c r="N2982" i="21"/>
  <c r="N2981" i="21"/>
  <c r="N2980" i="21"/>
  <c r="N2979" i="21"/>
  <c r="N2978" i="21"/>
  <c r="N2977" i="21"/>
  <c r="N2976" i="21"/>
  <c r="N2975" i="21"/>
  <c r="N2974" i="21"/>
  <c r="N2973" i="21"/>
  <c r="N2972" i="21"/>
  <c r="N2971" i="21"/>
  <c r="N2970" i="21"/>
  <c r="N2969" i="21"/>
  <c r="N2968" i="21"/>
  <c r="N2967" i="21"/>
  <c r="N2966" i="21"/>
  <c r="N2965" i="21"/>
  <c r="N2964" i="21"/>
  <c r="N2963" i="21"/>
  <c r="N2962" i="21"/>
  <c r="N2961" i="21"/>
  <c r="N2960" i="21"/>
  <c r="N2959" i="21"/>
  <c r="N2958" i="21"/>
  <c r="N2957" i="21"/>
  <c r="N2956" i="21"/>
  <c r="N2955" i="21"/>
  <c r="N2954" i="21"/>
  <c r="N2953" i="21"/>
  <c r="N2952" i="21"/>
  <c r="N2951" i="21"/>
  <c r="N2950" i="21"/>
  <c r="N2949" i="21"/>
  <c r="N2948" i="21"/>
  <c r="N2947" i="21"/>
  <c r="N2946" i="21"/>
  <c r="N2945" i="21"/>
  <c r="N2944" i="21"/>
  <c r="N2943" i="21"/>
  <c r="N2942" i="21"/>
  <c r="N2941" i="21"/>
  <c r="N2940" i="21"/>
  <c r="N2939" i="21"/>
  <c r="N2938" i="21"/>
  <c r="N2937" i="21"/>
  <c r="N2936" i="21"/>
  <c r="N2935" i="21"/>
  <c r="N2934" i="21"/>
  <c r="N2933" i="21"/>
  <c r="N2932" i="21"/>
  <c r="N2931" i="21"/>
  <c r="N2930" i="21"/>
  <c r="N2929" i="21"/>
  <c r="N2928" i="21"/>
  <c r="N2927" i="21"/>
  <c r="N2926" i="21"/>
  <c r="N2925" i="21"/>
  <c r="N2924" i="21"/>
  <c r="N2923" i="21"/>
  <c r="N2922" i="21"/>
  <c r="N2921" i="21"/>
  <c r="N2920" i="21"/>
  <c r="N2919" i="21"/>
  <c r="N2918" i="21"/>
  <c r="N2917" i="21"/>
  <c r="N2916" i="21"/>
  <c r="N2915" i="21"/>
  <c r="N2914" i="21"/>
  <c r="N2913" i="21"/>
  <c r="N2912" i="21"/>
  <c r="N2911" i="21"/>
  <c r="N2910" i="21"/>
  <c r="N2909" i="21"/>
  <c r="N2908" i="21"/>
  <c r="N2907" i="21"/>
  <c r="N2906" i="21"/>
  <c r="N2905" i="21"/>
  <c r="N2904" i="21"/>
  <c r="N2903" i="21"/>
  <c r="N2902" i="21"/>
  <c r="N2901" i="21"/>
  <c r="N2900" i="21"/>
  <c r="N2899" i="21"/>
  <c r="N2898" i="21"/>
  <c r="N2897" i="21"/>
  <c r="N2896" i="21"/>
  <c r="N2895" i="21"/>
  <c r="N2894" i="21"/>
  <c r="N2893" i="21"/>
  <c r="N2892" i="21"/>
  <c r="N2891" i="21"/>
  <c r="N2890" i="21"/>
  <c r="N2889" i="21"/>
  <c r="N2888" i="21"/>
  <c r="N2887" i="21"/>
  <c r="N2886" i="21"/>
  <c r="N2885" i="21"/>
  <c r="N2884" i="21"/>
  <c r="N2883" i="21"/>
  <c r="N2882" i="21"/>
  <c r="N2881" i="21"/>
  <c r="N2880" i="21"/>
  <c r="N2879" i="21"/>
  <c r="N2878" i="21"/>
  <c r="N2877" i="21"/>
  <c r="N2876" i="21"/>
  <c r="N2875" i="21"/>
  <c r="N2874" i="21"/>
  <c r="N2873" i="21"/>
  <c r="N2872" i="21"/>
  <c r="N2871" i="21"/>
  <c r="N2870" i="21"/>
  <c r="N2869" i="21"/>
  <c r="N2868" i="21"/>
  <c r="N2867" i="21"/>
  <c r="N2866" i="21"/>
  <c r="N2865" i="21"/>
  <c r="N2864" i="21"/>
  <c r="N2863" i="21"/>
  <c r="N2862" i="21"/>
  <c r="N2861" i="21"/>
  <c r="N2860" i="21"/>
  <c r="N2859" i="21"/>
  <c r="N2858" i="21"/>
  <c r="N2857" i="21"/>
  <c r="N2856" i="21"/>
  <c r="N2855" i="21"/>
  <c r="N2854" i="21"/>
  <c r="N2853" i="21"/>
  <c r="N2852" i="21"/>
  <c r="N2851" i="21"/>
  <c r="N2850" i="21"/>
  <c r="N2849" i="21"/>
  <c r="N2848" i="21"/>
  <c r="N2847" i="21"/>
  <c r="N2846" i="21"/>
  <c r="N2845" i="21"/>
  <c r="N2844" i="21"/>
  <c r="N2843" i="21"/>
  <c r="N2842" i="21"/>
  <c r="N2841" i="21"/>
  <c r="N2840" i="21"/>
  <c r="N2839" i="21"/>
  <c r="N2838" i="21"/>
  <c r="N2837" i="21"/>
  <c r="N2836" i="21"/>
  <c r="N2835" i="21"/>
  <c r="N2834" i="21"/>
  <c r="N2833" i="21"/>
  <c r="N2832" i="21"/>
  <c r="N2831" i="21"/>
  <c r="N2830" i="21"/>
  <c r="N2829" i="21"/>
  <c r="N2828" i="21"/>
  <c r="N2827" i="21"/>
  <c r="N2826" i="21"/>
  <c r="N2825" i="21"/>
  <c r="N2824" i="21"/>
  <c r="N2823" i="21"/>
  <c r="N2822" i="21"/>
  <c r="N2821" i="21"/>
  <c r="N2820" i="21"/>
  <c r="N2819" i="21"/>
  <c r="N2818" i="21"/>
  <c r="N2817" i="21"/>
  <c r="N2816" i="21"/>
  <c r="N2815" i="21"/>
  <c r="N2814" i="21"/>
  <c r="N2813" i="21"/>
  <c r="N2812" i="21"/>
  <c r="N2811" i="21"/>
  <c r="N2810" i="21"/>
  <c r="N2809" i="21"/>
  <c r="N2808" i="21"/>
  <c r="N2807" i="21"/>
  <c r="N2806" i="21"/>
  <c r="N2805" i="21"/>
  <c r="N2804" i="21"/>
  <c r="N2803" i="21"/>
  <c r="N2802" i="21"/>
  <c r="N2801" i="21"/>
  <c r="N2800" i="21"/>
  <c r="N2799" i="21"/>
  <c r="N2798" i="21"/>
  <c r="N2797" i="21"/>
  <c r="N2796" i="21"/>
  <c r="N2795" i="21"/>
  <c r="N2794" i="21"/>
  <c r="N2793" i="21"/>
  <c r="N2792" i="21"/>
  <c r="N2791" i="21"/>
  <c r="N2790" i="21"/>
  <c r="N2789" i="21"/>
  <c r="N2788" i="21"/>
  <c r="N2787" i="21"/>
  <c r="N2786" i="21"/>
  <c r="N2785" i="21"/>
  <c r="N2784" i="21"/>
  <c r="N2783" i="21"/>
  <c r="N2782" i="21"/>
  <c r="N2781" i="21"/>
  <c r="N2780" i="21"/>
  <c r="N2779" i="21"/>
  <c r="N2778" i="21"/>
  <c r="N2777" i="21"/>
  <c r="N2776" i="21"/>
  <c r="N2775" i="21"/>
  <c r="N2774" i="21"/>
  <c r="N2773" i="21"/>
  <c r="N2772" i="21"/>
  <c r="N2771" i="21"/>
  <c r="N2770" i="21"/>
  <c r="N2769" i="21"/>
  <c r="N2768" i="21"/>
  <c r="N2767" i="21"/>
  <c r="N2766" i="21"/>
  <c r="N2765" i="21"/>
  <c r="N2764" i="21"/>
  <c r="N2763" i="21"/>
  <c r="N2762" i="21"/>
  <c r="N2761" i="21"/>
  <c r="N2760" i="21"/>
  <c r="N2759" i="21"/>
  <c r="N2758" i="21"/>
  <c r="N2757" i="21"/>
  <c r="N2756" i="21"/>
  <c r="N2755" i="21"/>
  <c r="N2754" i="21"/>
  <c r="N2753" i="21"/>
  <c r="N2752" i="21"/>
  <c r="N2751" i="21"/>
  <c r="N2750" i="21"/>
  <c r="N2749" i="21"/>
  <c r="N2748" i="21"/>
  <c r="N2747" i="21"/>
  <c r="N2746" i="21"/>
  <c r="N2745" i="21"/>
  <c r="N2744" i="21"/>
  <c r="N2743" i="21"/>
  <c r="N2742" i="21"/>
  <c r="N2741" i="21"/>
  <c r="N2740" i="21"/>
  <c r="N2739" i="21"/>
  <c r="N2738" i="21"/>
  <c r="N2737" i="21"/>
  <c r="N2736" i="21"/>
  <c r="N2735" i="21"/>
  <c r="N2734" i="21"/>
  <c r="N2733" i="21"/>
  <c r="N2732" i="21"/>
  <c r="N2731" i="21"/>
  <c r="N2730" i="21"/>
  <c r="N2729" i="21"/>
  <c r="N2728" i="21"/>
  <c r="N2727" i="21"/>
  <c r="N2726" i="21"/>
  <c r="N2725" i="21"/>
  <c r="N2724" i="21"/>
  <c r="N2723" i="21"/>
  <c r="N2722" i="21"/>
  <c r="N2721" i="21"/>
  <c r="N2720" i="21"/>
  <c r="N2719" i="21"/>
  <c r="N2718" i="21"/>
  <c r="N2717" i="21"/>
  <c r="N2716" i="21"/>
  <c r="N2715" i="21"/>
  <c r="N2714" i="21"/>
  <c r="N2713" i="21"/>
  <c r="N2712" i="21"/>
  <c r="N2711" i="21"/>
  <c r="N2710" i="21"/>
  <c r="N2709" i="21"/>
  <c r="N2708" i="21"/>
  <c r="N2707" i="21"/>
  <c r="N2706" i="21"/>
  <c r="N2705" i="21"/>
  <c r="N2704" i="21"/>
  <c r="N2703" i="21"/>
  <c r="N2702" i="21"/>
  <c r="N2701" i="21"/>
  <c r="N2700" i="21"/>
  <c r="N2699" i="21"/>
  <c r="N2698" i="21"/>
  <c r="N2697" i="21"/>
  <c r="N2696" i="21"/>
  <c r="N2695" i="21"/>
  <c r="N2694" i="21"/>
  <c r="N2693" i="21"/>
  <c r="N2692" i="21"/>
  <c r="N2691" i="21"/>
  <c r="N2690" i="21"/>
  <c r="N2689" i="21"/>
  <c r="N2688" i="21"/>
  <c r="N2687" i="21"/>
  <c r="N2686" i="21"/>
  <c r="N2685" i="21"/>
  <c r="N2684" i="21"/>
  <c r="N2683" i="21"/>
  <c r="N2682" i="21"/>
  <c r="N2681" i="21"/>
  <c r="N2680" i="21"/>
  <c r="N2679" i="21"/>
  <c r="N2678" i="21"/>
  <c r="N2677" i="21"/>
  <c r="N2676" i="21"/>
  <c r="N2675" i="21"/>
  <c r="N2674" i="21"/>
  <c r="N2673" i="21"/>
  <c r="N2672" i="21"/>
  <c r="N2671" i="21"/>
  <c r="N2670" i="21"/>
  <c r="N2669" i="21"/>
  <c r="N2668" i="21"/>
  <c r="N2667" i="21"/>
  <c r="N2666" i="21"/>
  <c r="N2665" i="21"/>
  <c r="N2664" i="21"/>
  <c r="N2663" i="21"/>
  <c r="N2662" i="21"/>
  <c r="N2661" i="21"/>
  <c r="N2660" i="21"/>
  <c r="N2659" i="21"/>
  <c r="N2658" i="21"/>
  <c r="N2657" i="21"/>
  <c r="N2656" i="21"/>
  <c r="N2655" i="21"/>
  <c r="N2654" i="21"/>
  <c r="N2653" i="21"/>
  <c r="N2652" i="21"/>
  <c r="N2651" i="21"/>
  <c r="N2650" i="21"/>
  <c r="N2649" i="21"/>
  <c r="N2648" i="21"/>
  <c r="N2647" i="21"/>
  <c r="N2646" i="21"/>
  <c r="N2645" i="21"/>
  <c r="N2644" i="21"/>
  <c r="N2643" i="21"/>
  <c r="N2642" i="21"/>
  <c r="N2641" i="21"/>
  <c r="N2640" i="21"/>
  <c r="N2639" i="21"/>
  <c r="N2638" i="21"/>
  <c r="N2637" i="21"/>
  <c r="N2636" i="21"/>
  <c r="N2635" i="21"/>
  <c r="N2634" i="21"/>
  <c r="N2633" i="21"/>
  <c r="N2632" i="21"/>
  <c r="N2631" i="21"/>
  <c r="N2630" i="21"/>
  <c r="N2629" i="21"/>
  <c r="N2628" i="21"/>
  <c r="N2627" i="21"/>
  <c r="N2626" i="21"/>
  <c r="N2625" i="21"/>
  <c r="N2624" i="21"/>
  <c r="N2623" i="21"/>
  <c r="N2622" i="21"/>
  <c r="N2621" i="21"/>
  <c r="N2620" i="21"/>
  <c r="N2619" i="21"/>
  <c r="N2618" i="21"/>
  <c r="N2617" i="21"/>
  <c r="N2616" i="21"/>
  <c r="N2615" i="21"/>
  <c r="N2614" i="21"/>
  <c r="N2613" i="21"/>
  <c r="N2612" i="21"/>
  <c r="N2611" i="21"/>
  <c r="N2610" i="21"/>
  <c r="N2609" i="21"/>
  <c r="N2608" i="21"/>
  <c r="N2607" i="21"/>
  <c r="N2606" i="21"/>
  <c r="N2605" i="21"/>
  <c r="N2604" i="21"/>
  <c r="N2603" i="21"/>
  <c r="N2602" i="21"/>
  <c r="N2601" i="21"/>
  <c r="N2600" i="21"/>
  <c r="N2599" i="21"/>
  <c r="N2598" i="21"/>
  <c r="N2597" i="21"/>
  <c r="N2596" i="21"/>
  <c r="N2595" i="21"/>
  <c r="N2594" i="21"/>
  <c r="N2593" i="21"/>
  <c r="N2592" i="21"/>
  <c r="N2591" i="21"/>
  <c r="N2590" i="21"/>
  <c r="N2589" i="21"/>
  <c r="N2588" i="21"/>
  <c r="N2587" i="21"/>
  <c r="N2586" i="21"/>
  <c r="N2585" i="21"/>
  <c r="N2584" i="21"/>
  <c r="N2583" i="21"/>
  <c r="N2582" i="21"/>
  <c r="N2581" i="21"/>
  <c r="N2580" i="21"/>
  <c r="N2579" i="21"/>
  <c r="N2578" i="21"/>
  <c r="N2577" i="21"/>
  <c r="N2576" i="21"/>
  <c r="N2575" i="21"/>
  <c r="N2574" i="21"/>
  <c r="N2573" i="21"/>
  <c r="N2572" i="21"/>
  <c r="N2571" i="21"/>
  <c r="N2570" i="21"/>
  <c r="N2569" i="21"/>
  <c r="N2568" i="21"/>
  <c r="N2567" i="21"/>
  <c r="N2566" i="21"/>
  <c r="N2565" i="21"/>
  <c r="N2564" i="21"/>
  <c r="N2563" i="21"/>
  <c r="N2562" i="21"/>
  <c r="N2561" i="21"/>
  <c r="N2560" i="21"/>
  <c r="N2559" i="21"/>
  <c r="N2558" i="21"/>
  <c r="N2557" i="21"/>
  <c r="N2556" i="21"/>
  <c r="N2555" i="21"/>
  <c r="N2554" i="21"/>
  <c r="N2553" i="21"/>
  <c r="N2552" i="21"/>
  <c r="N2551" i="21"/>
  <c r="N2550" i="21"/>
  <c r="N2549" i="21"/>
  <c r="N2548" i="21"/>
  <c r="N2547" i="21"/>
  <c r="N2546" i="21"/>
  <c r="N2545" i="21"/>
  <c r="N2544" i="21"/>
  <c r="N2543" i="21"/>
  <c r="N2542" i="21"/>
  <c r="N2541" i="21"/>
  <c r="N2540" i="21"/>
  <c r="N2539" i="21"/>
  <c r="N2538" i="21"/>
  <c r="N2537" i="21"/>
  <c r="N2536" i="21"/>
  <c r="N2535" i="21"/>
  <c r="N2534" i="21"/>
  <c r="N2533" i="21"/>
  <c r="N2532" i="21"/>
  <c r="N2531" i="21"/>
  <c r="N2530" i="21"/>
  <c r="N2529" i="21"/>
  <c r="N2528" i="21"/>
  <c r="N2527" i="21"/>
  <c r="N2526" i="21"/>
  <c r="N2525" i="21"/>
  <c r="N2524" i="21"/>
  <c r="N2523" i="21"/>
  <c r="N2522" i="21"/>
  <c r="N2521" i="21"/>
  <c r="N2520" i="21"/>
  <c r="N2519" i="21"/>
  <c r="N2518" i="21"/>
  <c r="N2517" i="21"/>
  <c r="N2516" i="21"/>
  <c r="N2515" i="21"/>
  <c r="N2514" i="21"/>
  <c r="N2513" i="21"/>
  <c r="N2512" i="21"/>
  <c r="N2511" i="21"/>
  <c r="N2510" i="21"/>
  <c r="N2509" i="21"/>
  <c r="N2508" i="21"/>
  <c r="N2507" i="21"/>
  <c r="N2506" i="21"/>
  <c r="N2505" i="21"/>
  <c r="N2504" i="21"/>
  <c r="N2503" i="21"/>
  <c r="N2502" i="21"/>
  <c r="N2501" i="21"/>
  <c r="N2500" i="21"/>
  <c r="N2499" i="21"/>
  <c r="N2498" i="21"/>
  <c r="N2497" i="21"/>
  <c r="N2496" i="21"/>
  <c r="N2495" i="21"/>
  <c r="N2494" i="21"/>
  <c r="N2493" i="21"/>
  <c r="N2492" i="21"/>
  <c r="N2491" i="21"/>
  <c r="N2490" i="21"/>
  <c r="N2489" i="21"/>
  <c r="N2488" i="21"/>
  <c r="N2487" i="21"/>
  <c r="N2486" i="21"/>
  <c r="N2485" i="21"/>
  <c r="N2484" i="21"/>
  <c r="N2483" i="21"/>
  <c r="N2482" i="21"/>
  <c r="N2481" i="21"/>
  <c r="N2480" i="21"/>
  <c r="N2479" i="21"/>
  <c r="N2478" i="21"/>
  <c r="N2477" i="21"/>
  <c r="N2476" i="21"/>
  <c r="N2475" i="21"/>
  <c r="N2474" i="21"/>
  <c r="N2473" i="21"/>
  <c r="N2472" i="21"/>
  <c r="N2471" i="21"/>
  <c r="N2470" i="21"/>
  <c r="N2469" i="21"/>
  <c r="N2468" i="21"/>
  <c r="N2467" i="21"/>
  <c r="N2466" i="21"/>
  <c r="N2465" i="21"/>
  <c r="N2464" i="21"/>
  <c r="N2463" i="21"/>
  <c r="N2462" i="21"/>
  <c r="N2461" i="21"/>
  <c r="N2460" i="21"/>
  <c r="N2459" i="21"/>
  <c r="N2458" i="21"/>
  <c r="N2457" i="21"/>
  <c r="N2456" i="21"/>
  <c r="N2455" i="21"/>
  <c r="N2454" i="21"/>
  <c r="N2453" i="21"/>
  <c r="N2452" i="21"/>
  <c r="N2451" i="21"/>
  <c r="N2450" i="21"/>
  <c r="N2449" i="21"/>
  <c r="N2448" i="21"/>
  <c r="N2447" i="21"/>
  <c r="N2446" i="21"/>
  <c r="N2445" i="21"/>
  <c r="N2444" i="21"/>
  <c r="N2443" i="21"/>
  <c r="N2442" i="21"/>
  <c r="N2441" i="21"/>
  <c r="N2440" i="21"/>
  <c r="N2439" i="21"/>
  <c r="N2438" i="21"/>
  <c r="N2437" i="21"/>
  <c r="N2436" i="21"/>
  <c r="N2435" i="21"/>
  <c r="N2434" i="21"/>
  <c r="N2433" i="21"/>
  <c r="N2432" i="21"/>
  <c r="N2431" i="21"/>
  <c r="N2430" i="21"/>
  <c r="N2429" i="21"/>
  <c r="N2428" i="21"/>
  <c r="N2427" i="21"/>
  <c r="N2426" i="21"/>
  <c r="N2425" i="21"/>
  <c r="N2424" i="21"/>
  <c r="N2423" i="21"/>
  <c r="N2422" i="21"/>
  <c r="N2421" i="21"/>
  <c r="N2420" i="21"/>
  <c r="N2419" i="21"/>
  <c r="N2418" i="21"/>
  <c r="N2417" i="21"/>
  <c r="N2416" i="21"/>
  <c r="N2415" i="21"/>
  <c r="N2414" i="21"/>
  <c r="N2413" i="21"/>
  <c r="N2412" i="21"/>
  <c r="N2411" i="21"/>
  <c r="N2410" i="21"/>
  <c r="N2409" i="21"/>
  <c r="N2408" i="21"/>
  <c r="N2407" i="21"/>
  <c r="N2406" i="21"/>
  <c r="N2405" i="21"/>
  <c r="N2404" i="21"/>
  <c r="N2403" i="21"/>
  <c r="N2402" i="21"/>
  <c r="N2401" i="21"/>
  <c r="N2400" i="21"/>
  <c r="N2399" i="21"/>
  <c r="N2398" i="21"/>
  <c r="N2397" i="21"/>
  <c r="N2396" i="21"/>
  <c r="N2395" i="21"/>
  <c r="N2394" i="21"/>
  <c r="N2393" i="21"/>
  <c r="N2392" i="21"/>
  <c r="N2391" i="21"/>
  <c r="N2390" i="21"/>
  <c r="N2389" i="21"/>
  <c r="N2388" i="21"/>
  <c r="N2387" i="21"/>
  <c r="N2386" i="21"/>
  <c r="N2385" i="21"/>
  <c r="N2384" i="21"/>
  <c r="N2383" i="21"/>
  <c r="N2382" i="21"/>
  <c r="N2381" i="21"/>
  <c r="N2380" i="21"/>
  <c r="N2379" i="21"/>
  <c r="N2378" i="21"/>
  <c r="N2377" i="21"/>
  <c r="N2376" i="21"/>
  <c r="N2375" i="21"/>
  <c r="N2374" i="21"/>
  <c r="N2373" i="21"/>
  <c r="N2372" i="21"/>
  <c r="N2371" i="21"/>
  <c r="N2370" i="21"/>
  <c r="N2369" i="21"/>
  <c r="N2368" i="21"/>
  <c r="N2367" i="21"/>
  <c r="N2366" i="21"/>
  <c r="N2365" i="21"/>
  <c r="N2364" i="21"/>
  <c r="N2363" i="21"/>
  <c r="N2362" i="21"/>
  <c r="N2361" i="21"/>
  <c r="N2360" i="21"/>
  <c r="N2359" i="21"/>
  <c r="N2358" i="21"/>
  <c r="N2357" i="21"/>
  <c r="N2356" i="21"/>
  <c r="N2355" i="21"/>
  <c r="N2354" i="21"/>
  <c r="N2353" i="21"/>
  <c r="N2352" i="21"/>
  <c r="N2351" i="21"/>
  <c r="N2350" i="21"/>
  <c r="N2349" i="21"/>
  <c r="N2348" i="21"/>
  <c r="N2347" i="21"/>
  <c r="N2346" i="21"/>
  <c r="N2345" i="21"/>
  <c r="N2344" i="21"/>
  <c r="N2343" i="21"/>
  <c r="N2342" i="21"/>
  <c r="N2341" i="21"/>
  <c r="N2340" i="21"/>
  <c r="N2339" i="21"/>
  <c r="N2338" i="21"/>
  <c r="N2337" i="21"/>
  <c r="N2336" i="21"/>
  <c r="N2335" i="21"/>
  <c r="N2334" i="21"/>
  <c r="N2333" i="21"/>
  <c r="N2332" i="21"/>
  <c r="N2331" i="21"/>
  <c r="N2330" i="21"/>
  <c r="N2329" i="21"/>
  <c r="N2328" i="21"/>
  <c r="N2327" i="21"/>
  <c r="N2326" i="21"/>
  <c r="N2325" i="21"/>
  <c r="N2324" i="21"/>
  <c r="N2323" i="21"/>
  <c r="N2322" i="21"/>
  <c r="N2321" i="21"/>
  <c r="N2320" i="21"/>
  <c r="N2319" i="21"/>
  <c r="N2318" i="21"/>
  <c r="N2317" i="21"/>
  <c r="N2316" i="21"/>
  <c r="N2315" i="21"/>
  <c r="N2314" i="21"/>
  <c r="N2313" i="21"/>
  <c r="N2312" i="21"/>
  <c r="N2311" i="21"/>
  <c r="N2310" i="21"/>
  <c r="N2309" i="21"/>
  <c r="N2308" i="21"/>
  <c r="N2307" i="21"/>
  <c r="N2306" i="21"/>
  <c r="N2305" i="21"/>
  <c r="N2304" i="21"/>
  <c r="N2303" i="21"/>
  <c r="N2302" i="21"/>
  <c r="N2301" i="21"/>
  <c r="N2300" i="21"/>
  <c r="N2299" i="21"/>
  <c r="N2298" i="21"/>
  <c r="N2297" i="21"/>
  <c r="N2296" i="21"/>
  <c r="N2295" i="21"/>
  <c r="N2294" i="21"/>
  <c r="N2293" i="21"/>
  <c r="N2292" i="21"/>
  <c r="N2291" i="21"/>
  <c r="N2290" i="21"/>
  <c r="N2289" i="21"/>
  <c r="N2288" i="21"/>
  <c r="N2287" i="21"/>
  <c r="N2286" i="21"/>
  <c r="N2285" i="21"/>
  <c r="N2284" i="21"/>
  <c r="N2283" i="21"/>
  <c r="N2282" i="21"/>
  <c r="N2281" i="21"/>
  <c r="N2280" i="21"/>
  <c r="N2279" i="21"/>
  <c r="N2278" i="21"/>
  <c r="N2277" i="21"/>
  <c r="N2276" i="21"/>
  <c r="N2275" i="21"/>
  <c r="N2274" i="21"/>
  <c r="N2273" i="21"/>
  <c r="N2272" i="21"/>
  <c r="N2271" i="21"/>
  <c r="N2270" i="21"/>
  <c r="N2269" i="21"/>
  <c r="N2268" i="21"/>
  <c r="N2267" i="21"/>
  <c r="N2266" i="21"/>
  <c r="N2265" i="21"/>
  <c r="N2264" i="21"/>
  <c r="N2263" i="21"/>
  <c r="N2262" i="21"/>
  <c r="N2261" i="21"/>
  <c r="N2260" i="21"/>
  <c r="N2259" i="21"/>
  <c r="N2258" i="21"/>
  <c r="N2257" i="21"/>
  <c r="N2256" i="21"/>
  <c r="N2255" i="21"/>
  <c r="N2254" i="21"/>
  <c r="N2253" i="21"/>
  <c r="N2252" i="21"/>
  <c r="N2251" i="21"/>
  <c r="N2250" i="21"/>
  <c r="N2249" i="21"/>
  <c r="N2248" i="21"/>
  <c r="N2247" i="21"/>
  <c r="N2246" i="21"/>
  <c r="N2245" i="21"/>
  <c r="N2244" i="21"/>
  <c r="N2243" i="21"/>
  <c r="N2242" i="21"/>
  <c r="N2241" i="21"/>
  <c r="N2240" i="21"/>
  <c r="N2239" i="21"/>
  <c r="N2238" i="21"/>
  <c r="N2237" i="21"/>
  <c r="N2236" i="21"/>
  <c r="N2235" i="21"/>
  <c r="N2234" i="21"/>
  <c r="N2233" i="21"/>
  <c r="N2232" i="21"/>
  <c r="N2231" i="21"/>
  <c r="N2230" i="21"/>
  <c r="N2229" i="21"/>
  <c r="N2228" i="21"/>
  <c r="N2227" i="21"/>
  <c r="N2226" i="21"/>
  <c r="N2225" i="21"/>
  <c r="N2224" i="21"/>
  <c r="N2223" i="21"/>
  <c r="N2222" i="21"/>
  <c r="N2221" i="21"/>
  <c r="N2220" i="21"/>
  <c r="N2219" i="21"/>
  <c r="N2218" i="21"/>
  <c r="N2217" i="21"/>
  <c r="N2216" i="21"/>
  <c r="N2215" i="21"/>
  <c r="N2214" i="21"/>
  <c r="N2213" i="21"/>
  <c r="N2212" i="21"/>
  <c r="N2211" i="21"/>
  <c r="N2210" i="21"/>
  <c r="N2209" i="21"/>
  <c r="N2208" i="21"/>
  <c r="N2207" i="21"/>
  <c r="N2206" i="21"/>
  <c r="N2205" i="21"/>
  <c r="N2204" i="21"/>
  <c r="N2203" i="21"/>
  <c r="N2202" i="21"/>
  <c r="N2201" i="21"/>
  <c r="N2200" i="21"/>
  <c r="N2199" i="21"/>
  <c r="N2198" i="21"/>
  <c r="N2197" i="21"/>
  <c r="N2196" i="21"/>
  <c r="N2195" i="21"/>
  <c r="N2194" i="21"/>
  <c r="N2193" i="21"/>
  <c r="N2192" i="21"/>
  <c r="N2191" i="21"/>
  <c r="N2190" i="21"/>
  <c r="N2189" i="21"/>
  <c r="N2188" i="21"/>
  <c r="N2187" i="21"/>
  <c r="N2186" i="21"/>
  <c r="N2185" i="21"/>
  <c r="N2184" i="21"/>
  <c r="N2183" i="21"/>
  <c r="N2182" i="21"/>
  <c r="N2181" i="21"/>
  <c r="N2180" i="21"/>
  <c r="N2179" i="21"/>
  <c r="N2178" i="21"/>
  <c r="N2177" i="21"/>
  <c r="N2176" i="21"/>
  <c r="N2175" i="21"/>
  <c r="N2174" i="21"/>
  <c r="N2173" i="21"/>
  <c r="N2172" i="21"/>
  <c r="N2171" i="21"/>
  <c r="N2170" i="21"/>
  <c r="N2169" i="21"/>
  <c r="N2168" i="21"/>
  <c r="N2167" i="21"/>
  <c r="N2166" i="21"/>
  <c r="N2165" i="21"/>
  <c r="N2164" i="21"/>
  <c r="N2163" i="21"/>
  <c r="N2162" i="21"/>
  <c r="N2161" i="21"/>
  <c r="N2160" i="21"/>
  <c r="N2159" i="21"/>
  <c r="N2158" i="21"/>
  <c r="N2157" i="21"/>
  <c r="N2156" i="21"/>
  <c r="N2155" i="21"/>
  <c r="N2154" i="21"/>
  <c r="N2153" i="21"/>
  <c r="N2152" i="21"/>
  <c r="N2151" i="21"/>
  <c r="N2150" i="21"/>
  <c r="N2149" i="21"/>
  <c r="N2148" i="21"/>
  <c r="N2147" i="21"/>
  <c r="N2146" i="21"/>
  <c r="N2145" i="21"/>
  <c r="N2144" i="21"/>
  <c r="N2143" i="21"/>
  <c r="N2142" i="21"/>
  <c r="N2141" i="21"/>
  <c r="N2140" i="21"/>
  <c r="N2139" i="21"/>
  <c r="N2138" i="21"/>
  <c r="N2137" i="21"/>
  <c r="N2136" i="21"/>
  <c r="N2135" i="21"/>
  <c r="N2134" i="21"/>
  <c r="N2133" i="21"/>
  <c r="N2132" i="21"/>
  <c r="N2131" i="21"/>
  <c r="N2130" i="21"/>
  <c r="N2129" i="21"/>
  <c r="N2128" i="21"/>
  <c r="N2127" i="21"/>
  <c r="N2126" i="21"/>
  <c r="N2125" i="21"/>
  <c r="N2124" i="21"/>
  <c r="N2123" i="21"/>
  <c r="N2122" i="21"/>
  <c r="N2121" i="21"/>
  <c r="N2120" i="21"/>
  <c r="N2119" i="21"/>
  <c r="N2118" i="21"/>
  <c r="N2117" i="21"/>
  <c r="N2116" i="21"/>
  <c r="N2115" i="21"/>
  <c r="N2114" i="21"/>
  <c r="N2113" i="21"/>
  <c r="N2112" i="21"/>
  <c r="N2111" i="21"/>
  <c r="N2110" i="21"/>
  <c r="N2109" i="21"/>
  <c r="N2108" i="21"/>
  <c r="N2107" i="21"/>
  <c r="N2106" i="21"/>
  <c r="N2105" i="21"/>
  <c r="N2104" i="21"/>
  <c r="N2103" i="21"/>
  <c r="N2102" i="21"/>
  <c r="N2101" i="21"/>
  <c r="N2100" i="21"/>
  <c r="N2099" i="21"/>
  <c r="N2098" i="21"/>
  <c r="N2097" i="21"/>
  <c r="N2096" i="21"/>
  <c r="N2095" i="21"/>
  <c r="N2094" i="21"/>
  <c r="N2093" i="21"/>
  <c r="N2092" i="21"/>
  <c r="N2091" i="21"/>
  <c r="N2090" i="21"/>
  <c r="N2089" i="21"/>
  <c r="N2088" i="21"/>
  <c r="N2087" i="21"/>
  <c r="N2086" i="21"/>
  <c r="N2085" i="21"/>
  <c r="N2084" i="21"/>
  <c r="N2083" i="21"/>
  <c r="N2082" i="21"/>
  <c r="N2081" i="21"/>
  <c r="N2080" i="21"/>
  <c r="N2079" i="21"/>
  <c r="N2078" i="21"/>
  <c r="N2077" i="21"/>
  <c r="N2076" i="21"/>
  <c r="N2075" i="21"/>
  <c r="N2074" i="21"/>
  <c r="N2073" i="21"/>
  <c r="N2072" i="21"/>
  <c r="N2071" i="21"/>
  <c r="N2070" i="21"/>
  <c r="N2069" i="21"/>
  <c r="N2068" i="21"/>
  <c r="N2067" i="21"/>
  <c r="N2066" i="21"/>
  <c r="N2065" i="21"/>
  <c r="N2064" i="21"/>
  <c r="N2063" i="21"/>
  <c r="N2062" i="21"/>
  <c r="N2061" i="21"/>
  <c r="N2060" i="21"/>
  <c r="N2059" i="21"/>
  <c r="N2058" i="21"/>
  <c r="N2057" i="21"/>
  <c r="N2056" i="21"/>
  <c r="N2055" i="21"/>
  <c r="N2054" i="21"/>
  <c r="N2053" i="21"/>
  <c r="N2052" i="21"/>
  <c r="N2051" i="21"/>
  <c r="N2050" i="21"/>
  <c r="N2049" i="21"/>
  <c r="N2048" i="21"/>
  <c r="N2047" i="21"/>
  <c r="N2046" i="21"/>
  <c r="N2045" i="21"/>
  <c r="N2044" i="21"/>
  <c r="N2043" i="21"/>
  <c r="N2042" i="21"/>
  <c r="N2041" i="21"/>
  <c r="N2040" i="21"/>
  <c r="N2039" i="21"/>
  <c r="N2038" i="21"/>
  <c r="N2037" i="21"/>
  <c r="N2036" i="21"/>
  <c r="N2035" i="21"/>
  <c r="N2034" i="21"/>
  <c r="N2033" i="21"/>
  <c r="N2032" i="21"/>
  <c r="N2031" i="21"/>
  <c r="N2030" i="21"/>
  <c r="N2029" i="21"/>
  <c r="N2028" i="21"/>
  <c r="N2027" i="21"/>
  <c r="N2026" i="21"/>
  <c r="N2025" i="21"/>
  <c r="N2024" i="21"/>
  <c r="N2023" i="21"/>
  <c r="N2022" i="21"/>
  <c r="N2021" i="21"/>
  <c r="N2020" i="21"/>
  <c r="N2019" i="21"/>
  <c r="N2018" i="21"/>
  <c r="N2017" i="21"/>
  <c r="N2016" i="21"/>
  <c r="N2015" i="21"/>
  <c r="N2014" i="21"/>
  <c r="N2013" i="21"/>
  <c r="N2012" i="21"/>
  <c r="N2011" i="21"/>
  <c r="N2010" i="21"/>
  <c r="N2009" i="21"/>
  <c r="N2008" i="21"/>
  <c r="N2007" i="21"/>
  <c r="N2006" i="21"/>
  <c r="N2005" i="21"/>
  <c r="N2004" i="21"/>
  <c r="N2003" i="21"/>
  <c r="N2002" i="21"/>
  <c r="N2001" i="21"/>
  <c r="N2000" i="21"/>
  <c r="N1999" i="21"/>
  <c r="N1998" i="21"/>
  <c r="N1997" i="21"/>
  <c r="N1996" i="21"/>
  <c r="N1995" i="21"/>
  <c r="N1994" i="21"/>
  <c r="N1993" i="21"/>
  <c r="N1992" i="21"/>
  <c r="N1991" i="21"/>
  <c r="N1990" i="21"/>
  <c r="N1989" i="21"/>
  <c r="N1988" i="21"/>
  <c r="N1987" i="21"/>
  <c r="N1986" i="21"/>
  <c r="N1985" i="21"/>
  <c r="N1984" i="21"/>
  <c r="N1983" i="21"/>
  <c r="N1982" i="21"/>
  <c r="N1981" i="21"/>
  <c r="N1980" i="21"/>
  <c r="N1979" i="21"/>
  <c r="N1978" i="21"/>
  <c r="N1977" i="21"/>
  <c r="N1976" i="21"/>
  <c r="N1975" i="21"/>
  <c r="N1974" i="21"/>
  <c r="N1973" i="21"/>
  <c r="N1972" i="21"/>
  <c r="N1971" i="21"/>
  <c r="N1970" i="21"/>
  <c r="N1969" i="21"/>
  <c r="N1968" i="21"/>
  <c r="N1967" i="21"/>
  <c r="N1966" i="21"/>
  <c r="N1965" i="21"/>
  <c r="N1964" i="21"/>
  <c r="N1963" i="21"/>
  <c r="N1962" i="21"/>
  <c r="N1961" i="21"/>
  <c r="N1960" i="21"/>
  <c r="N1959" i="21"/>
  <c r="N1958" i="21"/>
  <c r="N1957" i="21"/>
  <c r="N1956" i="21"/>
  <c r="N1955" i="21"/>
  <c r="N1954" i="21"/>
  <c r="N1953" i="21"/>
  <c r="N1952" i="21"/>
  <c r="N1951" i="21"/>
  <c r="N1950" i="21"/>
  <c r="N1949" i="21"/>
  <c r="N1948" i="21"/>
  <c r="N1947" i="21"/>
  <c r="N1946" i="21"/>
  <c r="N1945" i="21"/>
  <c r="N1944" i="21"/>
  <c r="N1943" i="21"/>
  <c r="N1942" i="21"/>
  <c r="N1941" i="21"/>
  <c r="N1940" i="21"/>
  <c r="N1939" i="21"/>
  <c r="N1938" i="21"/>
  <c r="N1937" i="21"/>
  <c r="N1936" i="21"/>
  <c r="N1935" i="21"/>
  <c r="N1934" i="21"/>
  <c r="N1933" i="21"/>
  <c r="N1932" i="21"/>
  <c r="N1931" i="21"/>
  <c r="N1930" i="21"/>
  <c r="N1929" i="21"/>
  <c r="N1928" i="21"/>
  <c r="N1927" i="21"/>
  <c r="N1926" i="21"/>
  <c r="N1925" i="21"/>
  <c r="N1924" i="21"/>
  <c r="N1923" i="21"/>
  <c r="N1922" i="21"/>
  <c r="N1921" i="21"/>
  <c r="N1920" i="21"/>
  <c r="N1919" i="21"/>
  <c r="N1918" i="21"/>
  <c r="N1917" i="21"/>
  <c r="N1916" i="21"/>
  <c r="N1915" i="21"/>
  <c r="N1914" i="21"/>
  <c r="N1913" i="21"/>
  <c r="N1912" i="21"/>
  <c r="N1911" i="21"/>
  <c r="N1910" i="21"/>
  <c r="N1909" i="21"/>
  <c r="N1908" i="21"/>
  <c r="N1907" i="21"/>
  <c r="N1906" i="21"/>
  <c r="N1905" i="21"/>
  <c r="N1904" i="21"/>
  <c r="N1903" i="21"/>
  <c r="N1902" i="21"/>
  <c r="N1901" i="21"/>
  <c r="N1900" i="21"/>
  <c r="N1899" i="21"/>
  <c r="N1898" i="21"/>
  <c r="N1897" i="21"/>
  <c r="N1896" i="21"/>
  <c r="N1895" i="21"/>
  <c r="N1894" i="21"/>
  <c r="N1893" i="21"/>
  <c r="N1892" i="21"/>
  <c r="N1891" i="21"/>
  <c r="N1890" i="21"/>
  <c r="N1889" i="21"/>
  <c r="N1888" i="21"/>
  <c r="N1887" i="21"/>
  <c r="N1886" i="21"/>
  <c r="N1885" i="21"/>
  <c r="N1884" i="21"/>
  <c r="N1883" i="21"/>
  <c r="N1882" i="21"/>
  <c r="N1881" i="21"/>
  <c r="N1880" i="21"/>
  <c r="N1879" i="21"/>
  <c r="N1878" i="21"/>
  <c r="N1877" i="21"/>
  <c r="N1876" i="21"/>
  <c r="N1875" i="21"/>
  <c r="N1874" i="21"/>
  <c r="N1873" i="21"/>
  <c r="N1872" i="21"/>
  <c r="N1871" i="21"/>
  <c r="N1870" i="21"/>
  <c r="N1869" i="21"/>
  <c r="N1868" i="21"/>
  <c r="N1867" i="21"/>
  <c r="N1866" i="21"/>
  <c r="N1865" i="21"/>
  <c r="N1864" i="21"/>
  <c r="N1863" i="21"/>
  <c r="N1862" i="21"/>
  <c r="N1861" i="21"/>
  <c r="N1860" i="21"/>
  <c r="N1859" i="21"/>
  <c r="N1858" i="21"/>
  <c r="N1857" i="21"/>
  <c r="N1856" i="21"/>
  <c r="N1855" i="21"/>
  <c r="N1854" i="21"/>
  <c r="N1853" i="21"/>
  <c r="N1852" i="21"/>
  <c r="N1851" i="21"/>
  <c r="N1850" i="21"/>
  <c r="N1849" i="21"/>
  <c r="N1848" i="21"/>
  <c r="N1847" i="21"/>
  <c r="N1846" i="21"/>
  <c r="N1845" i="21"/>
  <c r="N1844" i="21"/>
  <c r="N1843" i="21"/>
  <c r="N1842" i="21"/>
  <c r="N1841" i="21"/>
  <c r="N1840" i="21"/>
  <c r="N1839" i="21"/>
  <c r="N1838" i="21"/>
  <c r="N1837" i="21"/>
  <c r="N1836" i="21"/>
  <c r="N1835" i="21"/>
  <c r="N1834" i="21"/>
  <c r="N1833" i="21"/>
  <c r="N1832" i="21"/>
  <c r="N1831" i="21"/>
  <c r="N1830" i="21"/>
  <c r="N1829" i="21"/>
  <c r="N1828" i="21"/>
  <c r="N1827" i="21"/>
  <c r="N1826" i="21"/>
  <c r="N1825" i="21"/>
  <c r="N1824" i="21"/>
  <c r="N1823" i="21"/>
  <c r="N1822" i="21"/>
  <c r="N1821" i="21"/>
  <c r="N1820" i="21"/>
  <c r="N1819" i="21"/>
  <c r="N1818" i="21"/>
  <c r="N1817" i="21"/>
  <c r="N1816" i="21"/>
  <c r="N1815" i="21"/>
  <c r="N1814" i="21"/>
  <c r="N1813" i="21"/>
  <c r="N1812" i="21"/>
  <c r="N1811" i="21"/>
  <c r="N1810" i="21"/>
  <c r="N1809" i="21"/>
  <c r="N1808" i="21"/>
  <c r="N1807" i="21"/>
  <c r="N1806" i="21"/>
  <c r="N1805" i="21"/>
  <c r="N1804" i="21"/>
  <c r="N1803" i="21"/>
  <c r="N1802" i="21"/>
  <c r="N1801" i="21"/>
  <c r="N1800" i="21"/>
  <c r="N1799" i="21"/>
  <c r="N1798" i="21"/>
  <c r="N1797" i="21"/>
  <c r="N1796" i="21"/>
  <c r="N1795" i="21"/>
  <c r="N1794" i="21"/>
  <c r="N1793" i="21"/>
  <c r="N1792" i="21"/>
  <c r="N1791" i="21"/>
  <c r="N1790" i="21"/>
  <c r="N1789" i="21"/>
  <c r="N1788" i="21"/>
  <c r="N1787" i="21"/>
  <c r="N1786" i="21"/>
  <c r="N1785" i="21"/>
  <c r="N1784" i="21"/>
  <c r="N1783" i="21"/>
  <c r="N1782" i="21"/>
  <c r="N1781" i="21"/>
  <c r="N1780" i="21"/>
  <c r="N1779" i="21"/>
  <c r="N1778" i="21"/>
  <c r="N1777" i="21"/>
  <c r="N1776" i="21"/>
  <c r="N1775" i="21"/>
  <c r="N1774" i="21"/>
  <c r="N1773" i="21"/>
  <c r="N1772" i="21"/>
  <c r="N1771" i="21"/>
  <c r="N1770" i="21"/>
  <c r="N1769" i="21"/>
  <c r="N1768" i="21"/>
  <c r="N1767" i="21"/>
  <c r="N1766" i="21"/>
  <c r="N1765" i="21"/>
  <c r="N1764" i="21"/>
  <c r="N1763" i="21"/>
  <c r="N1762" i="21"/>
  <c r="N1761" i="21"/>
  <c r="N1760" i="21"/>
  <c r="N1759" i="21"/>
  <c r="N1758" i="21"/>
  <c r="N1757" i="21"/>
  <c r="N1756" i="21"/>
  <c r="N1755" i="21"/>
  <c r="N1754" i="21"/>
  <c r="N1753" i="21"/>
  <c r="N1752" i="21"/>
  <c r="N1751" i="21"/>
  <c r="N1750" i="21"/>
  <c r="N1749" i="21"/>
  <c r="N1748" i="21"/>
  <c r="N1747" i="21"/>
  <c r="N1746" i="21"/>
  <c r="N1745" i="21"/>
  <c r="N1744" i="21"/>
  <c r="N1743" i="21"/>
  <c r="N1742" i="21"/>
  <c r="N1741" i="21"/>
  <c r="N1740" i="21"/>
  <c r="N1739" i="21"/>
  <c r="N1738" i="21"/>
  <c r="N1737" i="21"/>
  <c r="N1736" i="21"/>
  <c r="N1735" i="21"/>
  <c r="N1734" i="21"/>
  <c r="N1733" i="21"/>
  <c r="N1732" i="21"/>
  <c r="N1731" i="21"/>
  <c r="N1730" i="21"/>
  <c r="N1729" i="21"/>
  <c r="N1728" i="21"/>
  <c r="N1727" i="21"/>
  <c r="N1726" i="21"/>
  <c r="N1725" i="21"/>
  <c r="N1724" i="21"/>
  <c r="N1723" i="21"/>
  <c r="N1722" i="21"/>
  <c r="N1721" i="21"/>
  <c r="N1720" i="21"/>
  <c r="N1719" i="21"/>
  <c r="N1718" i="21"/>
  <c r="N1717" i="21"/>
  <c r="N1716" i="21"/>
  <c r="N1715" i="21"/>
  <c r="N1714" i="21"/>
  <c r="N1713" i="21"/>
  <c r="N1712" i="21"/>
  <c r="N1711" i="21"/>
  <c r="N1710" i="21"/>
  <c r="N1709" i="21"/>
  <c r="N1708" i="21"/>
  <c r="N1707" i="21"/>
  <c r="N1706" i="21"/>
  <c r="N1705" i="21"/>
  <c r="N1704" i="21"/>
  <c r="N1703" i="21"/>
  <c r="N1702" i="21"/>
  <c r="N1701" i="21"/>
  <c r="N1700" i="21"/>
  <c r="N1699" i="21"/>
  <c r="N1698" i="21"/>
  <c r="N1697" i="21"/>
  <c r="N1696" i="21"/>
  <c r="N1695" i="21"/>
  <c r="N1694" i="21"/>
  <c r="N1693" i="21"/>
  <c r="N1692" i="21"/>
  <c r="N1691" i="21"/>
  <c r="N1690" i="21"/>
  <c r="N1689" i="21"/>
  <c r="N1688" i="21"/>
  <c r="N1687" i="21"/>
  <c r="N1686" i="21"/>
  <c r="N1685" i="21"/>
  <c r="N1684" i="21"/>
  <c r="N1683" i="21"/>
  <c r="N1682" i="21"/>
  <c r="N1681" i="21"/>
  <c r="N1680" i="21"/>
  <c r="N1679" i="21"/>
  <c r="N1678" i="21"/>
  <c r="N1677" i="21"/>
  <c r="N1676" i="21"/>
  <c r="N1675" i="21"/>
  <c r="N1674" i="21"/>
  <c r="N1673" i="21"/>
  <c r="N1672" i="21"/>
  <c r="N1671" i="21"/>
  <c r="N1670" i="21"/>
  <c r="N1669" i="21"/>
  <c r="N1668" i="21"/>
  <c r="N1667" i="21"/>
  <c r="N1666" i="21"/>
  <c r="N1665" i="21"/>
  <c r="N1664" i="21"/>
  <c r="N1663" i="21"/>
  <c r="N1662" i="21"/>
  <c r="N1661" i="21"/>
  <c r="N1660" i="21"/>
  <c r="N1659" i="21"/>
  <c r="N1658" i="21"/>
  <c r="N1657" i="21"/>
  <c r="N1656" i="21"/>
  <c r="N1655" i="21"/>
  <c r="N1654" i="21"/>
  <c r="N1653" i="21"/>
  <c r="N1652" i="21"/>
  <c r="N1651" i="21"/>
  <c r="N1650" i="21"/>
  <c r="N1649" i="21"/>
  <c r="N1648" i="21"/>
  <c r="N1647" i="21"/>
  <c r="N1646" i="21"/>
  <c r="N1645" i="21"/>
  <c r="N1644" i="21"/>
  <c r="N1643" i="21"/>
  <c r="N1642" i="21"/>
  <c r="N1641" i="21"/>
  <c r="N1640" i="21"/>
  <c r="N1639" i="21"/>
  <c r="N1638" i="21"/>
  <c r="N1637" i="21"/>
  <c r="N1636" i="21"/>
  <c r="N1635" i="21"/>
  <c r="N1634" i="21"/>
  <c r="N1633" i="21"/>
  <c r="N1632" i="21"/>
  <c r="N1631" i="21"/>
  <c r="N1630" i="21"/>
  <c r="N1629" i="21"/>
  <c r="N1628" i="21"/>
  <c r="N1627" i="21"/>
  <c r="N1626" i="21"/>
  <c r="N1625" i="21"/>
  <c r="N1624" i="21"/>
  <c r="N1623" i="21"/>
  <c r="N1622" i="21"/>
  <c r="N1621" i="21"/>
  <c r="N1620" i="21"/>
  <c r="N1619" i="21"/>
  <c r="N1618" i="21"/>
  <c r="N1617" i="21"/>
  <c r="N1616" i="21"/>
  <c r="N1615" i="21"/>
  <c r="N1614" i="21"/>
  <c r="N1613" i="21"/>
  <c r="N1612" i="21"/>
  <c r="N1611" i="21"/>
  <c r="N1610" i="21"/>
  <c r="N1609" i="21"/>
  <c r="N1608" i="21"/>
  <c r="N1607" i="21"/>
  <c r="N1606" i="21"/>
  <c r="N1605" i="21"/>
  <c r="N1604" i="21"/>
  <c r="N1603" i="21"/>
  <c r="N1602" i="21"/>
  <c r="N1601" i="21"/>
  <c r="N1600" i="21"/>
  <c r="N1599" i="21"/>
  <c r="N1598" i="21"/>
  <c r="N1597" i="21"/>
  <c r="N1596" i="21"/>
  <c r="N1595" i="21"/>
  <c r="N1594" i="21"/>
  <c r="N1593" i="21"/>
  <c r="N1592" i="21"/>
  <c r="N1591" i="21"/>
  <c r="N1590" i="21"/>
  <c r="N1589" i="21"/>
  <c r="N1588" i="21"/>
  <c r="N1587" i="21"/>
  <c r="N1586" i="21"/>
  <c r="N1585" i="21"/>
  <c r="N1584" i="21"/>
  <c r="N1583" i="21"/>
  <c r="N1582" i="21"/>
  <c r="N1581" i="21"/>
  <c r="N1580" i="21"/>
  <c r="N1579" i="21"/>
  <c r="N1578" i="21"/>
  <c r="N1577" i="21"/>
  <c r="N1576" i="21"/>
  <c r="N1575" i="21"/>
  <c r="N1574" i="21"/>
  <c r="N1573" i="21"/>
  <c r="N1572" i="21"/>
  <c r="N1571" i="21"/>
  <c r="N1570" i="21"/>
  <c r="N1569" i="21"/>
  <c r="N1568" i="21"/>
  <c r="N1567" i="21"/>
  <c r="N1566" i="21"/>
  <c r="N1565" i="21"/>
  <c r="N1564" i="21"/>
  <c r="N1563" i="21"/>
  <c r="N1562" i="21"/>
  <c r="N1561" i="21"/>
  <c r="N1560" i="21"/>
  <c r="N1559" i="21"/>
  <c r="N1558" i="21"/>
  <c r="N1557" i="21"/>
  <c r="N1556" i="21"/>
  <c r="N1555" i="21"/>
  <c r="N1554" i="21"/>
  <c r="N1553" i="21"/>
  <c r="N1552" i="21"/>
  <c r="N1551" i="21"/>
  <c r="N1550" i="21"/>
  <c r="N1549" i="21"/>
  <c r="N1548" i="21"/>
  <c r="N1547" i="21"/>
  <c r="N1546" i="21"/>
  <c r="N1545" i="21"/>
  <c r="N1544" i="21"/>
  <c r="N1543" i="21"/>
  <c r="N1542" i="21"/>
  <c r="N1541" i="21"/>
  <c r="N1540" i="21"/>
  <c r="N1539" i="21"/>
  <c r="N1538" i="21"/>
  <c r="N1537" i="21"/>
  <c r="N1536" i="21"/>
  <c r="N1535" i="21"/>
  <c r="N1534" i="21"/>
  <c r="N1533" i="21"/>
  <c r="N1532" i="21"/>
  <c r="N1531" i="21"/>
  <c r="N1530" i="21"/>
  <c r="N1529" i="21"/>
  <c r="N1528" i="21"/>
  <c r="N1527" i="21"/>
  <c r="N1526" i="21"/>
  <c r="N1525" i="21"/>
  <c r="N1524" i="21"/>
  <c r="N1523" i="21"/>
  <c r="N1522" i="21"/>
  <c r="N1521" i="21"/>
  <c r="N1520" i="21"/>
  <c r="N1519" i="21"/>
  <c r="N1518" i="21"/>
  <c r="N1517" i="21"/>
  <c r="N1516" i="21"/>
  <c r="N1515" i="21"/>
  <c r="N1514" i="21"/>
  <c r="N1513" i="21"/>
  <c r="N1512" i="21"/>
  <c r="N1511" i="21"/>
  <c r="N1510" i="21"/>
  <c r="N1509" i="21"/>
  <c r="N1508" i="21"/>
  <c r="N1507" i="21"/>
  <c r="N1506" i="21"/>
  <c r="N1505" i="21"/>
  <c r="N1504" i="21"/>
  <c r="N1503" i="21"/>
  <c r="N1502" i="21"/>
  <c r="N1501" i="21"/>
  <c r="N1500" i="21"/>
  <c r="N1499" i="21"/>
  <c r="N1498" i="21"/>
  <c r="N1497" i="21"/>
  <c r="N1496" i="21"/>
  <c r="N1495" i="21"/>
  <c r="N1494" i="21"/>
  <c r="N1493" i="21"/>
  <c r="N1492" i="21"/>
  <c r="N1491" i="21"/>
  <c r="N1490" i="21"/>
  <c r="N1489" i="21"/>
  <c r="N1488" i="21"/>
  <c r="N1487" i="21"/>
  <c r="N1486" i="21"/>
  <c r="N1485" i="21"/>
  <c r="N1484" i="21"/>
  <c r="N1483" i="21"/>
  <c r="N1482" i="21"/>
  <c r="N1481" i="21"/>
  <c r="N1480" i="21"/>
  <c r="N1479" i="21"/>
  <c r="N1478" i="21"/>
  <c r="N1477" i="21"/>
  <c r="N1476" i="21"/>
  <c r="N1475" i="21"/>
  <c r="N1474" i="21"/>
  <c r="N1473" i="21"/>
  <c r="N1472" i="21"/>
  <c r="N1471" i="21"/>
  <c r="N1470" i="21"/>
  <c r="N1469" i="21"/>
  <c r="N1468" i="21"/>
  <c r="N1467" i="21"/>
  <c r="N1466" i="21"/>
  <c r="N1465" i="21"/>
  <c r="N1464" i="21"/>
  <c r="N1463" i="21"/>
  <c r="N1462" i="21"/>
  <c r="N1461" i="21"/>
  <c r="N1460" i="21"/>
  <c r="N1459" i="21"/>
  <c r="N1458" i="21"/>
  <c r="N1457" i="21"/>
  <c r="N1456" i="21"/>
  <c r="N1455" i="21"/>
  <c r="N1454" i="21"/>
  <c r="N1453" i="21"/>
  <c r="N1452" i="21"/>
  <c r="N1451" i="21"/>
  <c r="N1450" i="21"/>
  <c r="N1449" i="21"/>
  <c r="N1448" i="21"/>
  <c r="N1447" i="21"/>
  <c r="N1446" i="21"/>
  <c r="N1445" i="21"/>
  <c r="N1444" i="21"/>
  <c r="N1443" i="21"/>
  <c r="N1442" i="21"/>
  <c r="N1441" i="21"/>
  <c r="N1440" i="21"/>
  <c r="N1439" i="21"/>
  <c r="N1438" i="21"/>
  <c r="N1437" i="21"/>
  <c r="N1436" i="21"/>
  <c r="N1435" i="21"/>
  <c r="N1434" i="21"/>
  <c r="N1433" i="21"/>
  <c r="N1432" i="21"/>
  <c r="N1431" i="21"/>
  <c r="N1430" i="21"/>
  <c r="N1429" i="21"/>
  <c r="N1428" i="21"/>
  <c r="N1427" i="21"/>
  <c r="N1426" i="21"/>
  <c r="N1425" i="21"/>
  <c r="N1424" i="21"/>
  <c r="N1423" i="21"/>
  <c r="N1422" i="21"/>
  <c r="N1421" i="21"/>
  <c r="N1420" i="21"/>
  <c r="N1419" i="21"/>
  <c r="N1418" i="21"/>
  <c r="N1417" i="21"/>
  <c r="N1416" i="21"/>
  <c r="N1415" i="21"/>
  <c r="N1414" i="21"/>
  <c r="N1413" i="21"/>
  <c r="N1412" i="21"/>
  <c r="N1411" i="21"/>
  <c r="N1410" i="21"/>
  <c r="N1409" i="21"/>
  <c r="N1408" i="21"/>
  <c r="N1407" i="21"/>
  <c r="N1406" i="21"/>
  <c r="N1405" i="21"/>
  <c r="N1404" i="21"/>
  <c r="N1403" i="21"/>
  <c r="N1402" i="21"/>
  <c r="N1401" i="21"/>
  <c r="N1400" i="21"/>
  <c r="N1399" i="21"/>
  <c r="N1398" i="21"/>
  <c r="N1397" i="21"/>
  <c r="N1396" i="21"/>
  <c r="N1395" i="21"/>
  <c r="N1394" i="21"/>
  <c r="N1393" i="21"/>
  <c r="N1392" i="21"/>
  <c r="N1391" i="21"/>
  <c r="N1390" i="21"/>
  <c r="N1389" i="21"/>
  <c r="N1388" i="21"/>
  <c r="N1387" i="21"/>
  <c r="N1386" i="21"/>
  <c r="N1385" i="21"/>
  <c r="N1384" i="21"/>
  <c r="N1383" i="21"/>
  <c r="N1382" i="21"/>
  <c r="N1381" i="21"/>
  <c r="N1380" i="21"/>
  <c r="N1379" i="21"/>
  <c r="N1378" i="21"/>
  <c r="N1377" i="21"/>
  <c r="N1376" i="21"/>
  <c r="N1375" i="21"/>
  <c r="N1374" i="21"/>
  <c r="N1373" i="21"/>
  <c r="N1372" i="21"/>
  <c r="N1371" i="21"/>
  <c r="N1370" i="21"/>
  <c r="N1369" i="21"/>
  <c r="N1368" i="21"/>
  <c r="N1367" i="21"/>
  <c r="N1366" i="21"/>
  <c r="N1365" i="21"/>
  <c r="N1364" i="21"/>
  <c r="N1363" i="21"/>
  <c r="N1362" i="21"/>
  <c r="N1361" i="21"/>
  <c r="N1360" i="21"/>
  <c r="N1359" i="21"/>
  <c r="N1358" i="21"/>
  <c r="N1357" i="21"/>
  <c r="N1356" i="21"/>
  <c r="N1355" i="21"/>
  <c r="N1354" i="21"/>
  <c r="N1353" i="21"/>
  <c r="N1352" i="21"/>
  <c r="N1351" i="21"/>
  <c r="N1350" i="21"/>
  <c r="N1349" i="21"/>
  <c r="N1348" i="21"/>
  <c r="N1347" i="21"/>
  <c r="N1346" i="21"/>
  <c r="N1345" i="21"/>
  <c r="N1344" i="21"/>
  <c r="N1343" i="21"/>
  <c r="N1342" i="21"/>
  <c r="N1341" i="21"/>
  <c r="N1340" i="21"/>
  <c r="N1339" i="21"/>
  <c r="N1338" i="21"/>
  <c r="N1337" i="21"/>
  <c r="N1336" i="21"/>
  <c r="N1335" i="21"/>
  <c r="N1334" i="21"/>
  <c r="N1333" i="21"/>
  <c r="N1332" i="21"/>
  <c r="N1331" i="21"/>
  <c r="N1330" i="21"/>
  <c r="N1329" i="21"/>
  <c r="N1328" i="21"/>
  <c r="N1327" i="21"/>
  <c r="N1326" i="21"/>
  <c r="N1325" i="21"/>
  <c r="N1324" i="21"/>
  <c r="N1323" i="21"/>
  <c r="N1322" i="21"/>
  <c r="N1321" i="21"/>
  <c r="N1320" i="21"/>
  <c r="N1319" i="21"/>
  <c r="N1318" i="21"/>
  <c r="N1317" i="21"/>
  <c r="N1316" i="21"/>
  <c r="N1315" i="21"/>
  <c r="N1314" i="21"/>
  <c r="N1313" i="21"/>
  <c r="N1312" i="21"/>
  <c r="N1311" i="21"/>
  <c r="N1310" i="21"/>
  <c r="N1309" i="21"/>
  <c r="N1308" i="21"/>
  <c r="N1307" i="21"/>
  <c r="N1306" i="21"/>
  <c r="N1305" i="21"/>
  <c r="N1304" i="21"/>
  <c r="N1303" i="21"/>
  <c r="N1302" i="21"/>
  <c r="N1301" i="21"/>
  <c r="N1300" i="21"/>
  <c r="N1299" i="21"/>
  <c r="N1298" i="21"/>
  <c r="N1297" i="21"/>
  <c r="N1296" i="21"/>
  <c r="N1295" i="21"/>
  <c r="N1294" i="21"/>
  <c r="N1293" i="21"/>
  <c r="N1292" i="21"/>
  <c r="N1291" i="21"/>
  <c r="N1290" i="21"/>
  <c r="N1289" i="21"/>
  <c r="N1288" i="21"/>
  <c r="N1287" i="21"/>
  <c r="N1286" i="21"/>
  <c r="N1285" i="21"/>
  <c r="N1284" i="21"/>
  <c r="N1283" i="21"/>
  <c r="N1282" i="21"/>
  <c r="N1281" i="21"/>
  <c r="N1280" i="21"/>
  <c r="N1279" i="21"/>
  <c r="N1278" i="21"/>
  <c r="N1277" i="21"/>
  <c r="N1276" i="21"/>
  <c r="N1275" i="21"/>
  <c r="N1274" i="21"/>
  <c r="N1273" i="21"/>
  <c r="N1272" i="21"/>
  <c r="N1271" i="21"/>
  <c r="N1270" i="21"/>
  <c r="N1269" i="21"/>
  <c r="N1268" i="21"/>
  <c r="N1267" i="21"/>
  <c r="N1266" i="21"/>
  <c r="N1265" i="21"/>
  <c r="N1264" i="21"/>
  <c r="N1263" i="21"/>
  <c r="N1262" i="21"/>
  <c r="N1261" i="21"/>
  <c r="N1260" i="21"/>
  <c r="N1259" i="21"/>
  <c r="N1258" i="21"/>
  <c r="N1257" i="21"/>
  <c r="N1256" i="21"/>
  <c r="N1255" i="21"/>
  <c r="N1254" i="21"/>
  <c r="N1253" i="21"/>
  <c r="N1252" i="21"/>
  <c r="N1251" i="21"/>
  <c r="N1250" i="21"/>
  <c r="N1249" i="21"/>
  <c r="N1248" i="21"/>
  <c r="N1247" i="21"/>
  <c r="N1246" i="21"/>
  <c r="N1245" i="21"/>
  <c r="N1244" i="21"/>
  <c r="N1243" i="21"/>
  <c r="N1242" i="21"/>
  <c r="N1241" i="21"/>
  <c r="N1240" i="21"/>
  <c r="N1239" i="21"/>
  <c r="N1238" i="21"/>
  <c r="N1237" i="21"/>
  <c r="N1236" i="21"/>
  <c r="N1235" i="21"/>
  <c r="N1234" i="21"/>
  <c r="N1233" i="21"/>
  <c r="N1232" i="21"/>
  <c r="N1231" i="21"/>
  <c r="N1230" i="21"/>
  <c r="N1229" i="21"/>
  <c r="N1228" i="21"/>
  <c r="N1227" i="21"/>
  <c r="N1226" i="21"/>
  <c r="N1225" i="21"/>
  <c r="N1224" i="21"/>
  <c r="N1223" i="21"/>
  <c r="N1222" i="21"/>
  <c r="N1221" i="21"/>
  <c r="N1220" i="21"/>
  <c r="N1219" i="21"/>
  <c r="N1218" i="21"/>
  <c r="N1217" i="21"/>
  <c r="N1216" i="21"/>
  <c r="N1215" i="21"/>
  <c r="N1214" i="21"/>
  <c r="N1213" i="21"/>
  <c r="N1212" i="21"/>
  <c r="N1211" i="21"/>
  <c r="N1210" i="21"/>
  <c r="N1209" i="21"/>
  <c r="N1208" i="21"/>
  <c r="N1207" i="21"/>
  <c r="N1206" i="21"/>
  <c r="N1205" i="21"/>
  <c r="N1204" i="21"/>
  <c r="N1203" i="21"/>
  <c r="N1202" i="21"/>
  <c r="N1201" i="21"/>
  <c r="N1200" i="21"/>
  <c r="N1199" i="21"/>
  <c r="N1198" i="21"/>
  <c r="N1197" i="21"/>
  <c r="N1196" i="21"/>
  <c r="N1195" i="21"/>
  <c r="N1194" i="21"/>
  <c r="N1193" i="21"/>
  <c r="N1192" i="21"/>
  <c r="N1191" i="21"/>
  <c r="N1190" i="21"/>
  <c r="N1189" i="21"/>
  <c r="N1188" i="21"/>
  <c r="N1187" i="21"/>
  <c r="N1186" i="21"/>
  <c r="N1185" i="21"/>
  <c r="N1184" i="21"/>
  <c r="N1183" i="21"/>
  <c r="N1182" i="21"/>
  <c r="N1181" i="21"/>
  <c r="N1180" i="21"/>
  <c r="N1179" i="21"/>
  <c r="N1178" i="21"/>
  <c r="N1177" i="21"/>
  <c r="N1176" i="21"/>
  <c r="N1175" i="21"/>
  <c r="N1174" i="21"/>
  <c r="N1173" i="21"/>
  <c r="N1172" i="21"/>
  <c r="N1171" i="21"/>
  <c r="N1170" i="21"/>
  <c r="N1169" i="21"/>
  <c r="N1168" i="21"/>
  <c r="N1167" i="21"/>
  <c r="N1166" i="21"/>
  <c r="N1165" i="21"/>
  <c r="N1164" i="21"/>
  <c r="N1163" i="21"/>
  <c r="N1162" i="21"/>
  <c r="N1161" i="21"/>
  <c r="N1160" i="21"/>
  <c r="N1159" i="21"/>
  <c r="N1158" i="21"/>
  <c r="N1157" i="21"/>
  <c r="N1156" i="21"/>
  <c r="N1155" i="21"/>
  <c r="N1154" i="21"/>
  <c r="N1153" i="21"/>
  <c r="N1152" i="21"/>
  <c r="N1151" i="21"/>
  <c r="N1150" i="21"/>
  <c r="N1149" i="21"/>
  <c r="N1148" i="21"/>
  <c r="N1147" i="21"/>
  <c r="N1146" i="21"/>
  <c r="N1145" i="21"/>
  <c r="N1144" i="21"/>
  <c r="N1143" i="21"/>
  <c r="N1142" i="21"/>
  <c r="N1141" i="21"/>
  <c r="N1140" i="21"/>
  <c r="N1139" i="21"/>
  <c r="N1138" i="21"/>
  <c r="N1137" i="21"/>
  <c r="N1136" i="21"/>
  <c r="N1135" i="21"/>
  <c r="N1134" i="21"/>
  <c r="N1133" i="21"/>
  <c r="N1132" i="21"/>
  <c r="N1131" i="21"/>
  <c r="N1130" i="21"/>
  <c r="N1129" i="21"/>
  <c r="N1128" i="21"/>
  <c r="N1127" i="21"/>
  <c r="N1126" i="21"/>
  <c r="N1125" i="21"/>
  <c r="N1124" i="21"/>
  <c r="N1123" i="21"/>
  <c r="N1122" i="21"/>
  <c r="N1121" i="21"/>
  <c r="N1120" i="21"/>
  <c r="N1119" i="21"/>
  <c r="N1118" i="21"/>
  <c r="N1117" i="21"/>
  <c r="N1116" i="21"/>
  <c r="N1115" i="21"/>
  <c r="N1114" i="21"/>
  <c r="N1113" i="21"/>
  <c r="N1112" i="21"/>
  <c r="N1111" i="21"/>
  <c r="N1110" i="21"/>
  <c r="N1109" i="21"/>
  <c r="N1108" i="21"/>
  <c r="N1107" i="21"/>
  <c r="N1106" i="21"/>
  <c r="N1105" i="21"/>
  <c r="N1104" i="21"/>
  <c r="N1103" i="21"/>
  <c r="N1102" i="21"/>
  <c r="N1101" i="21"/>
  <c r="N1100" i="21"/>
  <c r="N1099" i="21"/>
  <c r="N1098" i="21"/>
  <c r="N1097" i="21"/>
  <c r="N1096" i="21"/>
  <c r="N1095" i="21"/>
  <c r="N1094" i="21"/>
  <c r="N1093" i="21"/>
  <c r="N1092" i="21"/>
  <c r="N1091" i="21"/>
  <c r="N1090" i="21"/>
  <c r="N1089" i="21"/>
  <c r="N1088" i="21"/>
  <c r="N1087" i="21"/>
  <c r="N1086" i="21"/>
  <c r="N1085" i="21"/>
  <c r="N1084" i="21"/>
  <c r="N1083" i="21"/>
  <c r="N1082" i="21"/>
  <c r="N1081" i="21"/>
  <c r="N1080" i="21"/>
  <c r="N1079" i="21"/>
  <c r="N1078" i="21"/>
  <c r="N1077" i="21"/>
  <c r="N1076" i="21"/>
  <c r="N1075" i="21"/>
  <c r="N1074" i="21"/>
  <c r="N1073" i="21"/>
  <c r="N1072" i="21"/>
  <c r="N1071" i="21"/>
  <c r="N1070" i="21"/>
  <c r="N1069" i="21"/>
  <c r="N1068" i="21"/>
  <c r="N1067" i="21"/>
  <c r="N1066" i="21"/>
  <c r="N1065" i="21"/>
  <c r="N1064" i="21"/>
  <c r="N1063" i="21"/>
  <c r="N1062" i="21"/>
  <c r="N1061" i="21"/>
  <c r="N1060" i="21"/>
  <c r="N1059" i="21"/>
  <c r="N1058" i="21"/>
  <c r="N1057" i="21"/>
  <c r="N1056" i="21"/>
  <c r="N1055" i="21"/>
  <c r="N1054" i="21"/>
  <c r="N1053" i="21"/>
  <c r="N1052" i="21"/>
  <c r="N1051" i="21"/>
  <c r="N1050" i="21"/>
  <c r="N1049" i="21"/>
  <c r="N1048" i="21"/>
  <c r="N1047" i="21"/>
  <c r="N1046" i="21"/>
  <c r="N1045" i="21"/>
  <c r="N1044" i="21"/>
  <c r="N1043" i="21"/>
  <c r="N1042" i="21"/>
  <c r="N1041" i="21"/>
  <c r="N1040" i="21"/>
  <c r="N1039" i="21"/>
  <c r="N1038" i="21"/>
  <c r="N1037" i="21"/>
  <c r="N1036" i="21"/>
  <c r="N1035" i="21"/>
  <c r="N1034" i="21"/>
  <c r="N1033" i="21"/>
  <c r="N1032" i="21"/>
  <c r="N1031" i="21"/>
  <c r="N1030" i="21"/>
  <c r="N1029" i="21"/>
  <c r="N1028" i="21"/>
  <c r="N1027" i="21"/>
  <c r="N1026" i="21"/>
  <c r="N1025" i="21"/>
  <c r="N1024" i="21"/>
  <c r="N1023" i="21"/>
  <c r="N1022" i="21"/>
  <c r="N1021" i="21"/>
  <c r="N1020" i="21"/>
  <c r="N1019" i="21"/>
  <c r="N1018" i="21"/>
  <c r="N1017" i="21"/>
  <c r="N1016" i="21"/>
  <c r="N1015" i="21"/>
  <c r="N1014" i="21"/>
  <c r="N1013" i="21"/>
  <c r="N1012" i="21"/>
  <c r="N1011" i="21"/>
  <c r="N1010" i="21"/>
  <c r="N1009" i="21"/>
  <c r="N1008" i="21"/>
  <c r="N1007" i="21"/>
  <c r="N1006" i="21"/>
  <c r="N1005" i="21"/>
  <c r="N1004" i="21"/>
  <c r="N1003" i="21"/>
  <c r="N1002" i="21"/>
  <c r="N1001" i="21"/>
  <c r="N1000" i="21"/>
  <c r="N999" i="21"/>
  <c r="N998" i="21"/>
  <c r="N997" i="21"/>
  <c r="N996" i="21"/>
  <c r="N995" i="21"/>
  <c r="N994" i="21"/>
  <c r="N993" i="21"/>
  <c r="N992" i="21"/>
  <c r="N991" i="21"/>
  <c r="N990" i="21"/>
  <c r="N989" i="21"/>
  <c r="N988" i="21"/>
  <c r="N987" i="21"/>
  <c r="N986" i="21"/>
  <c r="N985" i="21"/>
  <c r="N984" i="21"/>
  <c r="N983" i="21"/>
  <c r="N982" i="21"/>
  <c r="N981" i="21"/>
  <c r="N980" i="21"/>
  <c r="N979" i="21"/>
  <c r="N978" i="21"/>
  <c r="N977" i="21"/>
  <c r="N976" i="21"/>
  <c r="N975" i="21"/>
  <c r="N974" i="21"/>
  <c r="N973" i="21"/>
  <c r="N972" i="21"/>
  <c r="N971" i="21"/>
  <c r="N970" i="21"/>
  <c r="N969" i="21"/>
  <c r="N968" i="21"/>
  <c r="N967" i="21"/>
  <c r="N966" i="21"/>
  <c r="N965" i="21"/>
  <c r="N964" i="21"/>
  <c r="N963" i="21"/>
  <c r="N962" i="21"/>
  <c r="N961" i="21"/>
  <c r="N960" i="21"/>
  <c r="N959" i="21"/>
  <c r="N958" i="21"/>
  <c r="N957" i="21"/>
  <c r="N956" i="21"/>
  <c r="N955" i="21"/>
  <c r="N954" i="21"/>
  <c r="N953" i="21"/>
  <c r="N952" i="21"/>
  <c r="N951" i="21"/>
  <c r="N950" i="21"/>
  <c r="N949" i="21"/>
  <c r="N948" i="21"/>
  <c r="N947" i="21"/>
  <c r="N946" i="21"/>
  <c r="N945" i="21"/>
  <c r="N944" i="21"/>
  <c r="N943" i="21"/>
  <c r="N942" i="21"/>
  <c r="N941" i="21"/>
  <c r="N940" i="21"/>
  <c r="N939" i="21"/>
  <c r="N938" i="21"/>
  <c r="N937" i="21"/>
  <c r="N936" i="21"/>
  <c r="N935" i="21"/>
  <c r="N934" i="21"/>
  <c r="N933" i="21"/>
  <c r="N932" i="21"/>
  <c r="N931" i="21"/>
  <c r="N930" i="21"/>
  <c r="N929" i="21"/>
  <c r="N928" i="21"/>
  <c r="N927" i="21"/>
  <c r="N926" i="21"/>
  <c r="N925" i="21"/>
  <c r="N924" i="21"/>
  <c r="N923" i="21"/>
  <c r="N922" i="21"/>
  <c r="N921" i="21"/>
  <c r="N920" i="21"/>
  <c r="N919" i="21"/>
  <c r="N918" i="21"/>
  <c r="N917" i="21"/>
  <c r="N916" i="21"/>
  <c r="N915" i="21"/>
  <c r="N914" i="21"/>
  <c r="N913" i="21"/>
  <c r="N912" i="21"/>
  <c r="N911" i="21"/>
  <c r="N910" i="21"/>
  <c r="N909" i="21"/>
  <c r="N908" i="21"/>
  <c r="N907" i="21"/>
  <c r="N906" i="21"/>
  <c r="N905" i="21"/>
  <c r="N904" i="21"/>
  <c r="N903" i="21"/>
  <c r="N902" i="21"/>
  <c r="N901" i="21"/>
  <c r="N900" i="21"/>
  <c r="N899" i="21"/>
  <c r="N898" i="21"/>
  <c r="N897" i="21"/>
  <c r="N896" i="21"/>
  <c r="N895" i="21"/>
  <c r="N894" i="21"/>
  <c r="N893" i="21"/>
  <c r="N892" i="21"/>
  <c r="N891" i="21"/>
  <c r="N890" i="21"/>
  <c r="N889" i="21"/>
  <c r="N888" i="21"/>
  <c r="N887" i="21"/>
  <c r="N886" i="21"/>
  <c r="N885" i="21"/>
  <c r="N884" i="21"/>
  <c r="N883" i="21"/>
  <c r="N882" i="21"/>
  <c r="N881" i="21"/>
  <c r="N880" i="21"/>
  <c r="N879" i="21"/>
  <c r="N878" i="21"/>
  <c r="N877" i="21"/>
  <c r="N876" i="21"/>
  <c r="N875" i="21"/>
  <c r="N874" i="21"/>
  <c r="N873" i="21"/>
  <c r="N872" i="21"/>
  <c r="N871" i="21"/>
  <c r="N870" i="21"/>
  <c r="N869" i="21"/>
  <c r="N868" i="21"/>
  <c r="N867" i="21"/>
  <c r="N866" i="21"/>
  <c r="N865" i="21"/>
  <c r="N864" i="21"/>
  <c r="N863" i="21"/>
  <c r="N862" i="21"/>
  <c r="N861" i="21"/>
  <c r="N860" i="21"/>
  <c r="N859" i="21"/>
  <c r="N858" i="21"/>
  <c r="N857" i="21"/>
  <c r="N856" i="21"/>
  <c r="N855" i="21"/>
  <c r="N854" i="21"/>
  <c r="N853" i="21"/>
  <c r="N852" i="21"/>
  <c r="N851" i="21"/>
  <c r="N850" i="21"/>
  <c r="N849" i="21"/>
  <c r="N848" i="21"/>
  <c r="N847" i="21"/>
  <c r="N846" i="21"/>
  <c r="N845" i="21"/>
  <c r="N844" i="21"/>
  <c r="N843" i="21"/>
  <c r="N842" i="21"/>
  <c r="N841" i="21"/>
  <c r="N840" i="21"/>
  <c r="N839" i="21"/>
  <c r="N838" i="21"/>
  <c r="N837" i="21"/>
  <c r="N836" i="21"/>
  <c r="N835" i="21"/>
  <c r="N834" i="21"/>
  <c r="N833" i="21"/>
  <c r="N832" i="21"/>
  <c r="N831" i="21"/>
  <c r="N830" i="21"/>
  <c r="N829" i="21"/>
  <c r="N828" i="21"/>
  <c r="N827" i="21"/>
  <c r="N826" i="21"/>
  <c r="N825" i="21"/>
  <c r="N824" i="21"/>
  <c r="N823" i="21"/>
  <c r="N822" i="21"/>
  <c r="N821" i="21"/>
  <c r="N820" i="21"/>
  <c r="N819" i="21"/>
  <c r="N818" i="21"/>
  <c r="N817" i="21"/>
  <c r="N816" i="21"/>
  <c r="N815" i="21"/>
  <c r="N814" i="21"/>
  <c r="N813" i="21"/>
  <c r="N812" i="21"/>
  <c r="N811" i="21"/>
  <c r="N810" i="21"/>
  <c r="N809" i="21"/>
  <c r="N808" i="21"/>
  <c r="N807" i="21"/>
  <c r="N806" i="21"/>
  <c r="N805" i="21"/>
  <c r="N804" i="21"/>
  <c r="N803" i="21"/>
  <c r="N802" i="21"/>
  <c r="N801" i="21"/>
  <c r="N800" i="21"/>
  <c r="N799" i="21"/>
  <c r="N798" i="21"/>
  <c r="N797" i="21"/>
  <c r="N796" i="21"/>
  <c r="N795" i="21"/>
  <c r="N794" i="21"/>
  <c r="N793" i="21"/>
  <c r="N792" i="21"/>
  <c r="N791" i="21"/>
  <c r="N790" i="21"/>
  <c r="N789" i="21"/>
  <c r="N788" i="21"/>
  <c r="N787" i="21"/>
  <c r="N786" i="21"/>
  <c r="N785" i="21"/>
  <c r="N784" i="21"/>
  <c r="N783" i="21"/>
  <c r="N782" i="21"/>
  <c r="N781" i="21"/>
  <c r="N780" i="21"/>
  <c r="N779" i="21"/>
  <c r="N778" i="21"/>
  <c r="N777" i="21"/>
  <c r="N776" i="21"/>
  <c r="N775" i="21"/>
  <c r="N774" i="21"/>
  <c r="N773" i="21"/>
  <c r="N772" i="21"/>
  <c r="N771" i="21"/>
  <c r="N770" i="21"/>
  <c r="N769" i="21"/>
  <c r="N768" i="21"/>
  <c r="N767" i="21"/>
  <c r="N766" i="21"/>
  <c r="N765" i="21"/>
  <c r="N764" i="21"/>
  <c r="N763" i="21"/>
  <c r="N762" i="21"/>
  <c r="N761" i="21"/>
  <c r="N760" i="21"/>
  <c r="N759" i="21"/>
  <c r="N758" i="21"/>
  <c r="N757" i="21"/>
  <c r="N756" i="21"/>
  <c r="N755" i="21"/>
  <c r="N754" i="21"/>
  <c r="N753" i="21"/>
  <c r="N752" i="21"/>
  <c r="N751" i="21"/>
  <c r="N750" i="21"/>
  <c r="N749" i="21"/>
  <c r="N748" i="21"/>
  <c r="N747" i="21"/>
  <c r="N746" i="21"/>
  <c r="N745" i="21"/>
  <c r="N744" i="21"/>
  <c r="N743" i="21"/>
  <c r="N742" i="21"/>
  <c r="N741" i="21"/>
  <c r="N740" i="21"/>
  <c r="N739" i="21"/>
  <c r="N738" i="21"/>
  <c r="N737" i="21"/>
  <c r="N736" i="21"/>
  <c r="N735" i="21"/>
  <c r="N734" i="21"/>
  <c r="N733" i="21"/>
  <c r="N732" i="21"/>
  <c r="N731" i="21"/>
  <c r="N730" i="21"/>
  <c r="N729" i="21"/>
  <c r="N728" i="21"/>
  <c r="N727" i="21"/>
  <c r="N726" i="21"/>
  <c r="N725" i="21"/>
  <c r="N724" i="21"/>
  <c r="N723" i="21"/>
  <c r="N722" i="21"/>
  <c r="N721" i="21"/>
  <c r="N720" i="21"/>
  <c r="N719" i="21"/>
  <c r="N718" i="21"/>
  <c r="N717" i="21"/>
  <c r="N716" i="21"/>
  <c r="N715" i="21"/>
  <c r="N714" i="21"/>
  <c r="N713" i="21"/>
  <c r="N712" i="21"/>
  <c r="N711" i="21"/>
  <c r="N710" i="21"/>
  <c r="N709" i="21"/>
  <c r="N708" i="21"/>
  <c r="N707" i="21"/>
  <c r="N706" i="21"/>
  <c r="N705" i="21"/>
  <c r="N704" i="21"/>
  <c r="N703" i="21"/>
  <c r="N702" i="21"/>
  <c r="N701" i="21"/>
  <c r="N700" i="21"/>
  <c r="N699" i="21"/>
  <c r="N698" i="21"/>
  <c r="N697" i="21"/>
  <c r="N696" i="21"/>
  <c r="N695" i="21"/>
  <c r="N694" i="21"/>
  <c r="N693" i="21"/>
  <c r="N692" i="21"/>
  <c r="N691" i="21"/>
  <c r="N690" i="21"/>
  <c r="N689" i="21"/>
  <c r="N688" i="21"/>
  <c r="N687" i="21"/>
  <c r="N686" i="21"/>
  <c r="N685" i="21"/>
  <c r="N684" i="21"/>
  <c r="N683" i="21"/>
  <c r="N682" i="21"/>
  <c r="N681" i="21"/>
  <c r="N680" i="21"/>
  <c r="N679" i="21"/>
  <c r="N678" i="21"/>
  <c r="N677" i="21"/>
  <c r="N676" i="21"/>
  <c r="N675" i="21"/>
  <c r="N674" i="21"/>
  <c r="N673" i="21"/>
  <c r="N672" i="21"/>
  <c r="N671" i="21"/>
  <c r="N670" i="21"/>
  <c r="N669" i="21"/>
  <c r="N668" i="21"/>
  <c r="N667" i="21"/>
  <c r="N666" i="21"/>
  <c r="N665" i="21"/>
  <c r="N664" i="21"/>
  <c r="N663" i="21"/>
  <c r="N662" i="21"/>
  <c r="N661" i="21"/>
  <c r="N660" i="21"/>
  <c r="N659" i="21"/>
  <c r="N658" i="21"/>
  <c r="N657" i="21"/>
  <c r="N656" i="21"/>
  <c r="N655" i="21"/>
  <c r="N654" i="21"/>
  <c r="N653" i="21"/>
  <c r="N652" i="21"/>
  <c r="N651" i="21"/>
  <c r="N650" i="21"/>
  <c r="N649" i="21"/>
  <c r="N648" i="21"/>
  <c r="N647" i="21"/>
  <c r="N646" i="21"/>
  <c r="N645" i="21"/>
  <c r="N644" i="21"/>
  <c r="N643" i="21"/>
  <c r="N642" i="21"/>
  <c r="N641" i="21"/>
  <c r="N640" i="21"/>
  <c r="N639" i="21"/>
  <c r="N638" i="21"/>
  <c r="N637" i="21"/>
  <c r="N636" i="21"/>
  <c r="N635" i="21"/>
  <c r="N634" i="21"/>
  <c r="N633" i="21"/>
  <c r="N632" i="21"/>
  <c r="N631" i="21"/>
  <c r="N630" i="21"/>
  <c r="N629" i="21"/>
  <c r="N628" i="21"/>
  <c r="N627" i="21"/>
  <c r="N626" i="21"/>
  <c r="N625" i="21"/>
  <c r="N624" i="21"/>
  <c r="N623" i="21"/>
  <c r="N622" i="21"/>
  <c r="N621" i="21"/>
  <c r="N620" i="21"/>
  <c r="N619" i="21"/>
  <c r="N618" i="21"/>
  <c r="N617" i="21"/>
  <c r="N616" i="21"/>
  <c r="N615" i="21"/>
  <c r="N614" i="21"/>
  <c r="N613" i="21"/>
  <c r="N612" i="21"/>
  <c r="N611" i="21"/>
  <c r="N610" i="21"/>
  <c r="N609" i="21"/>
  <c r="N608" i="21"/>
  <c r="N607" i="21"/>
  <c r="N606" i="21"/>
  <c r="N605" i="21"/>
  <c r="N604" i="21"/>
  <c r="N603" i="21"/>
  <c r="N602" i="21"/>
  <c r="N601" i="21"/>
  <c r="N600" i="21"/>
  <c r="N599" i="21"/>
  <c r="N598" i="21"/>
  <c r="N597" i="21"/>
  <c r="N596" i="21"/>
  <c r="N595" i="21"/>
  <c r="N594" i="21"/>
  <c r="N593" i="21"/>
  <c r="N592" i="21"/>
  <c r="N591" i="21"/>
  <c r="N590" i="21"/>
  <c r="N589" i="21"/>
  <c r="N588" i="21"/>
  <c r="N587" i="21"/>
  <c r="N586" i="21"/>
  <c r="N585" i="21"/>
  <c r="N584" i="21"/>
  <c r="N583" i="21"/>
  <c r="N582" i="21"/>
  <c r="N581" i="21"/>
  <c r="N580" i="21"/>
  <c r="N579" i="21"/>
  <c r="N578" i="21"/>
  <c r="N577" i="21"/>
  <c r="N576" i="21"/>
  <c r="N575" i="21"/>
  <c r="N574" i="21"/>
  <c r="N573" i="21"/>
  <c r="N572" i="21"/>
  <c r="N571" i="21"/>
  <c r="N570" i="21"/>
  <c r="N569" i="21"/>
  <c r="N568" i="21"/>
  <c r="N567" i="21"/>
  <c r="N566" i="21"/>
  <c r="N565" i="21"/>
  <c r="N564" i="21"/>
  <c r="N563" i="21"/>
  <c r="N562" i="21"/>
  <c r="N561" i="21"/>
  <c r="N560" i="21"/>
  <c r="N559" i="21"/>
  <c r="N558" i="21"/>
  <c r="N557" i="21"/>
  <c r="N556" i="21"/>
  <c r="N555" i="21"/>
  <c r="N554" i="21"/>
  <c r="N553" i="21"/>
  <c r="N552" i="21"/>
  <c r="N551" i="21"/>
  <c r="N550" i="21"/>
  <c r="N549" i="21"/>
  <c r="N548" i="21"/>
  <c r="N547" i="21"/>
  <c r="N546" i="21"/>
  <c r="N545" i="21"/>
  <c r="N544" i="21"/>
  <c r="N543" i="21"/>
  <c r="N542" i="21"/>
  <c r="N541" i="21"/>
  <c r="N540" i="21"/>
  <c r="N539" i="21"/>
  <c r="N538" i="21"/>
  <c r="N537" i="21"/>
  <c r="N536" i="21"/>
  <c r="N535" i="21"/>
  <c r="N534" i="21"/>
  <c r="N533" i="21"/>
  <c r="N532" i="21"/>
  <c r="N531" i="21"/>
  <c r="N530" i="21"/>
  <c r="N529" i="21"/>
  <c r="N528" i="21"/>
  <c r="N527" i="21"/>
  <c r="N526" i="21"/>
  <c r="N525" i="21"/>
  <c r="N524" i="21"/>
  <c r="N523" i="21"/>
  <c r="N522" i="21"/>
  <c r="N521" i="21"/>
  <c r="N520" i="21"/>
  <c r="N519" i="21"/>
  <c r="N518" i="21"/>
  <c r="N517" i="21"/>
  <c r="N516" i="21"/>
  <c r="N515" i="21"/>
  <c r="N514" i="21"/>
  <c r="N513" i="21"/>
  <c r="N512" i="21"/>
  <c r="N511" i="21"/>
  <c r="N510" i="21"/>
  <c r="N509" i="21"/>
  <c r="N508" i="21"/>
  <c r="N507" i="21"/>
  <c r="N506" i="21"/>
  <c r="N505" i="21"/>
  <c r="N504" i="21"/>
  <c r="N503" i="21"/>
  <c r="N502" i="21"/>
  <c r="N501" i="21"/>
  <c r="N500" i="21"/>
  <c r="N499" i="21"/>
  <c r="N498" i="21"/>
  <c r="N497" i="21"/>
  <c r="N496" i="21"/>
  <c r="N495" i="21"/>
  <c r="N494" i="21"/>
  <c r="N493" i="21"/>
  <c r="N492" i="21"/>
  <c r="N491" i="21"/>
  <c r="N490" i="21"/>
  <c r="N489" i="21"/>
  <c r="N488" i="21"/>
  <c r="N487" i="21"/>
  <c r="N486" i="21"/>
  <c r="N485" i="21"/>
  <c r="N484" i="21"/>
  <c r="N483" i="21"/>
  <c r="N482" i="21"/>
  <c r="N481" i="21"/>
  <c r="N480" i="21"/>
  <c r="N479" i="21"/>
  <c r="N478" i="21"/>
  <c r="N477" i="21"/>
  <c r="N476" i="21"/>
  <c r="N475" i="21"/>
  <c r="N474" i="21"/>
  <c r="N473" i="21"/>
  <c r="N472" i="21"/>
  <c r="N471" i="21"/>
  <c r="N470" i="21"/>
  <c r="N469" i="21"/>
  <c r="N468" i="21"/>
  <c r="N467" i="21"/>
  <c r="N466" i="21"/>
  <c r="N465" i="21"/>
  <c r="N464" i="21"/>
  <c r="N463" i="21"/>
  <c r="N462" i="21"/>
  <c r="N461" i="21"/>
  <c r="N460" i="21"/>
  <c r="N459" i="21"/>
  <c r="N458" i="21"/>
  <c r="N457" i="21"/>
  <c r="N456" i="21"/>
  <c r="N455" i="21"/>
  <c r="N454" i="21"/>
  <c r="N453" i="21"/>
  <c r="N452" i="21"/>
  <c r="N451" i="21"/>
  <c r="N450" i="21"/>
  <c r="N449" i="21"/>
  <c r="N448" i="21"/>
  <c r="N447" i="21"/>
  <c r="N446" i="21"/>
  <c r="N445" i="21"/>
  <c r="N444" i="21"/>
  <c r="N443" i="21"/>
  <c r="N442" i="21"/>
  <c r="N441" i="21"/>
  <c r="N440" i="21"/>
  <c r="N439" i="21"/>
  <c r="N438" i="21"/>
  <c r="N437" i="21"/>
  <c r="N436" i="21"/>
  <c r="N435" i="21"/>
  <c r="N434" i="21"/>
  <c r="N433" i="21"/>
  <c r="N432" i="21"/>
  <c r="N431" i="21"/>
  <c r="N430" i="21"/>
  <c r="N429" i="21"/>
  <c r="N428" i="21"/>
  <c r="N427" i="21"/>
  <c r="N426" i="21"/>
  <c r="N425" i="21"/>
  <c r="N424" i="21"/>
  <c r="N423" i="21"/>
  <c r="N422" i="21"/>
  <c r="N421" i="21"/>
  <c r="N420" i="21"/>
  <c r="N419" i="21"/>
  <c r="N418" i="21"/>
  <c r="N417" i="21"/>
  <c r="N416" i="21"/>
  <c r="N415" i="21"/>
  <c r="N414" i="21"/>
  <c r="N413" i="21"/>
  <c r="N412" i="21"/>
  <c r="N411" i="21"/>
  <c r="N410" i="21"/>
  <c r="N409" i="21"/>
  <c r="N408" i="21"/>
  <c r="N407" i="21"/>
  <c r="N406" i="21"/>
  <c r="N405" i="21"/>
  <c r="N404" i="21"/>
  <c r="N403" i="21"/>
  <c r="N402" i="21"/>
  <c r="N401" i="21"/>
  <c r="N400" i="21"/>
  <c r="N399" i="21"/>
  <c r="N398" i="21"/>
  <c r="N397" i="21"/>
  <c r="N396" i="21"/>
  <c r="N395" i="21"/>
  <c r="N394" i="21"/>
  <c r="N393" i="21"/>
  <c r="N392" i="21"/>
  <c r="N391" i="21"/>
  <c r="N390" i="21"/>
  <c r="N389" i="21"/>
  <c r="N388" i="21"/>
  <c r="N387" i="21"/>
  <c r="N386" i="21"/>
  <c r="N385" i="21"/>
  <c r="N384" i="21"/>
  <c r="N383" i="21"/>
  <c r="N382" i="21"/>
  <c r="N381" i="21"/>
  <c r="N380" i="21"/>
  <c r="N379" i="21"/>
  <c r="N378" i="21"/>
  <c r="N377" i="21"/>
  <c r="N376" i="21"/>
  <c r="N375" i="21"/>
  <c r="N374" i="21"/>
  <c r="N373" i="21"/>
  <c r="N372" i="21"/>
  <c r="N371" i="21"/>
  <c r="N370" i="21"/>
  <c r="N369" i="21"/>
  <c r="N368" i="21"/>
  <c r="N367" i="21"/>
  <c r="N366" i="21"/>
  <c r="N365" i="21"/>
  <c r="N364" i="21"/>
  <c r="N363" i="21"/>
  <c r="N362" i="21"/>
  <c r="N361" i="21"/>
  <c r="N360" i="21"/>
  <c r="N359" i="21"/>
  <c r="N358" i="21"/>
  <c r="N357" i="21"/>
  <c r="N356" i="21"/>
  <c r="N355" i="21"/>
  <c r="N354" i="21"/>
  <c r="N353" i="21"/>
  <c r="N352" i="21"/>
  <c r="N351" i="21"/>
  <c r="N350" i="21"/>
  <c r="N349" i="21"/>
  <c r="N348" i="21"/>
  <c r="N347" i="21"/>
  <c r="N346" i="21"/>
  <c r="N345" i="21"/>
  <c r="N344" i="21"/>
  <c r="N343" i="21"/>
  <c r="N342" i="21"/>
  <c r="N341" i="21"/>
  <c r="N340" i="21"/>
  <c r="N339" i="21"/>
  <c r="N338" i="21"/>
  <c r="N337" i="21"/>
  <c r="N336" i="21"/>
  <c r="N335" i="21"/>
  <c r="N334" i="21"/>
  <c r="N333" i="21"/>
  <c r="N332" i="21"/>
  <c r="N331" i="21"/>
  <c r="N330" i="21"/>
  <c r="N329" i="21"/>
  <c r="N328" i="21"/>
  <c r="N327" i="21"/>
  <c r="N326" i="21"/>
  <c r="N325" i="21"/>
  <c r="N324" i="21"/>
  <c r="N323" i="21"/>
  <c r="N322" i="21"/>
  <c r="N321" i="21"/>
  <c r="N320" i="21"/>
  <c r="N319" i="21"/>
  <c r="N318" i="21"/>
  <c r="N317" i="21"/>
  <c r="N316" i="21"/>
  <c r="N315" i="21"/>
  <c r="N314" i="21"/>
  <c r="N313" i="21"/>
  <c r="N312" i="21"/>
  <c r="N311" i="21"/>
  <c r="N310" i="21"/>
  <c r="N309" i="21"/>
  <c r="N308" i="21"/>
  <c r="N307" i="21"/>
  <c r="N306" i="21"/>
  <c r="N305" i="21"/>
  <c r="N304" i="21"/>
  <c r="N303" i="21"/>
  <c r="N302" i="21"/>
  <c r="N301" i="21"/>
  <c r="N300" i="21"/>
  <c r="N299" i="21"/>
  <c r="N298" i="21"/>
  <c r="N297" i="21"/>
  <c r="N296" i="21"/>
  <c r="N295" i="21"/>
  <c r="N294" i="21"/>
  <c r="N293" i="21"/>
  <c r="N292" i="21"/>
  <c r="N291" i="21"/>
  <c r="N290" i="21"/>
  <c r="N289" i="21"/>
  <c r="N288" i="21"/>
  <c r="N287" i="21"/>
  <c r="N286" i="21"/>
  <c r="N285" i="21"/>
  <c r="N284" i="21"/>
  <c r="N283" i="21"/>
  <c r="N282" i="21"/>
  <c r="N281" i="21"/>
  <c r="N280" i="21"/>
  <c r="N279" i="21"/>
  <c r="N278" i="21"/>
  <c r="N277" i="21"/>
  <c r="N276" i="21"/>
  <c r="N275" i="21"/>
  <c r="N274" i="21"/>
  <c r="N273" i="21"/>
  <c r="N272" i="21"/>
  <c r="N271" i="21"/>
  <c r="N270" i="21"/>
  <c r="N269" i="21"/>
  <c r="N268" i="21"/>
  <c r="N267" i="21"/>
  <c r="N266" i="21"/>
  <c r="N265" i="21"/>
  <c r="N264" i="21"/>
  <c r="N263" i="21"/>
  <c r="N262" i="21"/>
  <c r="N261" i="21"/>
  <c r="N260" i="21"/>
  <c r="N259" i="21"/>
  <c r="N258" i="21"/>
  <c r="N257" i="21"/>
  <c r="N256" i="21"/>
  <c r="N255" i="21"/>
  <c r="N254" i="21"/>
  <c r="N253" i="21"/>
  <c r="N252" i="21"/>
  <c r="N251" i="21"/>
  <c r="N250" i="21"/>
  <c r="N249" i="21"/>
  <c r="N248" i="21"/>
  <c r="N247" i="21"/>
  <c r="N246" i="21"/>
  <c r="N245" i="21"/>
  <c r="N244" i="21"/>
  <c r="N243" i="21"/>
  <c r="N242" i="21"/>
  <c r="N241" i="21"/>
  <c r="N240" i="21"/>
  <c r="N239" i="21"/>
  <c r="N238" i="21"/>
  <c r="N237" i="21"/>
  <c r="N236" i="21"/>
  <c r="N235" i="21"/>
  <c r="N234" i="21"/>
  <c r="N233" i="21"/>
  <c r="N232" i="21"/>
  <c r="N231" i="21"/>
  <c r="N230" i="21"/>
  <c r="N229" i="21"/>
  <c r="N228" i="21"/>
  <c r="N227" i="21"/>
  <c r="N226" i="21"/>
  <c r="N225" i="21"/>
  <c r="N224" i="21"/>
  <c r="N223" i="21"/>
  <c r="N222" i="21"/>
  <c r="N221" i="21"/>
  <c r="N220" i="21"/>
  <c r="N219" i="21"/>
  <c r="N218" i="21"/>
  <c r="N217" i="21"/>
  <c r="N216" i="21"/>
  <c r="N215" i="21"/>
  <c r="N214" i="21"/>
  <c r="N213" i="21"/>
  <c r="N212" i="21"/>
  <c r="N211" i="21"/>
  <c r="N210" i="21"/>
  <c r="N209" i="21"/>
  <c r="N208" i="21"/>
  <c r="N207" i="21"/>
  <c r="N206" i="21"/>
  <c r="N205" i="21"/>
  <c r="N204" i="21"/>
  <c r="N203" i="21"/>
  <c r="N202" i="21"/>
  <c r="N201" i="21"/>
  <c r="N200" i="21"/>
  <c r="N199" i="21"/>
  <c r="N198" i="21"/>
  <c r="N197" i="21"/>
  <c r="N196" i="21"/>
  <c r="N195" i="21"/>
  <c r="N194" i="21"/>
  <c r="N193" i="21"/>
  <c r="N192" i="21"/>
  <c r="N191" i="21"/>
  <c r="N190" i="21"/>
  <c r="N189" i="21"/>
  <c r="N188" i="21"/>
  <c r="N187" i="21"/>
  <c r="N186" i="21"/>
  <c r="N185" i="21"/>
  <c r="N184" i="21"/>
  <c r="N183" i="21"/>
  <c r="N182" i="21"/>
  <c r="N181" i="21"/>
  <c r="N180" i="21"/>
  <c r="N179" i="21"/>
  <c r="N178" i="21"/>
  <c r="N177" i="21"/>
  <c r="N176" i="21"/>
  <c r="N175" i="21"/>
  <c r="N174" i="21"/>
  <c r="N173" i="21"/>
  <c r="N172" i="21"/>
  <c r="N171" i="21"/>
  <c r="N170" i="21"/>
  <c r="N169" i="21"/>
  <c r="N168" i="21"/>
  <c r="N167" i="21"/>
  <c r="N166" i="21"/>
  <c r="N165" i="21"/>
  <c r="N164" i="21"/>
  <c r="N163" i="21"/>
  <c r="N162" i="21"/>
  <c r="N161" i="21"/>
  <c r="N160" i="21"/>
  <c r="N159" i="21"/>
  <c r="N158" i="21"/>
  <c r="N157" i="21"/>
  <c r="N156" i="21"/>
  <c r="N155" i="21"/>
  <c r="N154" i="21"/>
  <c r="N153" i="21"/>
  <c r="N152" i="21"/>
  <c r="N151" i="21"/>
  <c r="N150" i="21"/>
  <c r="N149" i="21"/>
  <c r="N148" i="21"/>
  <c r="N147" i="21"/>
  <c r="N146" i="21"/>
  <c r="N145" i="21"/>
  <c r="N144" i="21"/>
  <c r="N143" i="21"/>
  <c r="N142" i="21"/>
  <c r="N141" i="21"/>
  <c r="N140" i="21"/>
  <c r="N139" i="21"/>
  <c r="N138" i="21"/>
  <c r="N137" i="21"/>
  <c r="N136" i="21"/>
  <c r="N135" i="21"/>
  <c r="N134" i="21"/>
  <c r="N133" i="21"/>
  <c r="N132" i="21"/>
  <c r="N131" i="21"/>
  <c r="N130" i="21"/>
  <c r="N129" i="21"/>
  <c r="N128" i="21"/>
  <c r="N127" i="21"/>
  <c r="N126" i="21"/>
  <c r="N125" i="21"/>
  <c r="N124" i="21"/>
  <c r="N123" i="21"/>
  <c r="N122" i="21"/>
  <c r="N121" i="21"/>
  <c r="N120" i="21"/>
  <c r="N119" i="21"/>
  <c r="N118" i="21"/>
  <c r="N117" i="21"/>
  <c r="N116" i="21"/>
  <c r="N115" i="21"/>
  <c r="N114" i="21"/>
  <c r="N113" i="21"/>
  <c r="N112" i="21"/>
  <c r="N111" i="21"/>
  <c r="N110" i="21"/>
  <c r="N109" i="21"/>
  <c r="N108" i="21"/>
  <c r="N107" i="21"/>
  <c r="N106" i="21"/>
  <c r="N105" i="21"/>
  <c r="N104" i="21"/>
  <c r="N103" i="21"/>
  <c r="N102" i="21"/>
  <c r="N101" i="21"/>
  <c r="N100" i="21"/>
  <c r="N99" i="21"/>
  <c r="N98" i="21"/>
  <c r="N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N71" i="21"/>
  <c r="N70" i="21"/>
  <c r="N69" i="21"/>
  <c r="N68" i="21"/>
  <c r="N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N41" i="21"/>
  <c r="N40" i="21"/>
  <c r="N39" i="21"/>
  <c r="N38" i="21"/>
  <c r="N37" i="21"/>
  <c r="N36" i="21"/>
  <c r="N35" i="21"/>
  <c r="N34" i="21"/>
  <c r="N33" i="21"/>
  <c r="N32" i="21"/>
  <c r="N31" i="21"/>
  <c r="N30" i="21"/>
  <c r="N29" i="21"/>
  <c r="N28" i="21"/>
  <c r="N27" i="21"/>
  <c r="N26" i="21"/>
  <c r="N25" i="21"/>
  <c r="N24" i="21"/>
  <c r="N23" i="21"/>
  <c r="N22" i="21"/>
  <c r="N21" i="21"/>
  <c r="N20" i="21"/>
  <c r="N19" i="21"/>
  <c r="N18" i="21"/>
  <c r="N17" i="21"/>
  <c r="N16" i="21"/>
  <c r="N15" i="21"/>
  <c r="N14" i="21"/>
  <c r="N13" i="21"/>
  <c r="N12" i="21"/>
  <c r="N11" i="21"/>
  <c r="N10" i="21"/>
  <c r="N9" i="21"/>
  <c r="N8" i="21"/>
  <c r="N7" i="21"/>
  <c r="D135" i="20"/>
  <c r="D106" i="20"/>
  <c r="D103" i="20"/>
  <c r="D95" i="20"/>
  <c r="D94" i="20"/>
  <c r="D89" i="20"/>
  <c r="D79" i="20"/>
  <c r="D71" i="20"/>
  <c r="D69" i="20"/>
  <c r="D63" i="20"/>
  <c r="D56" i="20"/>
  <c r="D55" i="20"/>
  <c r="D49" i="20"/>
  <c r="D29" i="20"/>
  <c r="D25" i="20"/>
  <c r="D22" i="20"/>
  <c r="D16" i="20"/>
  <c r="D15" i="20"/>
  <c r="D13" i="20"/>
  <c r="D8" i="20"/>
  <c r="E2222" i="19"/>
  <c r="D2222" i="19"/>
  <c r="E2217" i="19"/>
  <c r="D2217" i="19"/>
  <c r="C2217" i="19"/>
  <c r="E2209" i="19"/>
  <c r="D2209" i="19"/>
  <c r="D2206" i="19"/>
  <c r="E2206" i="19" s="1"/>
  <c r="D2204" i="19"/>
  <c r="E2204" i="19" s="1"/>
  <c r="C2204" i="19"/>
  <c r="D2196" i="19"/>
  <c r="E2196" i="19" s="1"/>
  <c r="D2195" i="19"/>
  <c r="C2194" i="19"/>
  <c r="E2193" i="19"/>
  <c r="D2193" i="19"/>
  <c r="C2191" i="19"/>
  <c r="D2191" i="19" s="1"/>
  <c r="E2191" i="19" s="1"/>
  <c r="E2184" i="19"/>
  <c r="D2184" i="19"/>
  <c r="E2181" i="19"/>
  <c r="D2181" i="19"/>
  <c r="D2179" i="19"/>
  <c r="E2179" i="19" s="1"/>
  <c r="D2170" i="19"/>
  <c r="E2167" i="19"/>
  <c r="D2167" i="19"/>
  <c r="E2165" i="19"/>
  <c r="D2165" i="19"/>
  <c r="D2156" i="19"/>
  <c r="E2156" i="19" s="1"/>
  <c r="D2155" i="19"/>
  <c r="C2154" i="19"/>
  <c r="D132" i="20" s="1"/>
  <c r="E2153" i="19"/>
  <c r="D2153" i="19"/>
  <c r="C2140" i="19"/>
  <c r="B2127" i="19"/>
  <c r="D2112" i="19"/>
  <c r="E2112" i="19" s="1"/>
  <c r="E2107" i="19"/>
  <c r="D2107" i="19"/>
  <c r="E2100" i="19"/>
  <c r="D2100" i="19"/>
  <c r="E2086" i="19"/>
  <c r="D2086" i="19"/>
  <c r="D2085" i="19"/>
  <c r="C2084" i="19"/>
  <c r="D128" i="20" s="1"/>
  <c r="D2071" i="19"/>
  <c r="E2071" i="19" s="1"/>
  <c r="E1996" i="19" s="1"/>
  <c r="E2066" i="19"/>
  <c r="D2066" i="19"/>
  <c r="E2057" i="19"/>
  <c r="D2057" i="19"/>
  <c r="D2052" i="19"/>
  <c r="E2052" i="19" s="1"/>
  <c r="D2044" i="19"/>
  <c r="E2044" i="19" s="1"/>
  <c r="E2041" i="19"/>
  <c r="D2041" i="19"/>
  <c r="E2039" i="19"/>
  <c r="D2039" i="19"/>
  <c r="D2029" i="19"/>
  <c r="E2029" i="19" s="1"/>
  <c r="D2024" i="19"/>
  <c r="E2024" i="19" s="1"/>
  <c r="E2013" i="19"/>
  <c r="D2013" i="19"/>
  <c r="E2012" i="19"/>
  <c r="E2011" i="19" s="1"/>
  <c r="D2012" i="19"/>
  <c r="D2011" i="19"/>
  <c r="C2011" i="19"/>
  <c r="D123" i="20" s="1"/>
  <c r="C1996" i="19"/>
  <c r="E1958" i="19"/>
  <c r="D1958" i="19"/>
  <c r="D1955" i="19"/>
  <c r="E1955" i="19" s="1"/>
  <c r="D1953" i="19"/>
  <c r="E1953" i="19" s="1"/>
  <c r="E1945" i="19"/>
  <c r="D1945" i="19"/>
  <c r="E1942" i="19"/>
  <c r="D1942" i="19"/>
  <c r="D1940" i="19"/>
  <c r="E1940" i="19" s="1"/>
  <c r="D1933" i="19"/>
  <c r="E1933" i="19" s="1"/>
  <c r="E1930" i="19"/>
  <c r="D1930" i="19"/>
  <c r="E1928" i="19"/>
  <c r="D1928" i="19"/>
  <c r="D1921" i="19"/>
  <c r="E1921" i="19" s="1"/>
  <c r="D1920" i="19"/>
  <c r="C1919" i="19"/>
  <c r="D118" i="20" s="1"/>
  <c r="E1918" i="19"/>
  <c r="D1918" i="19"/>
  <c r="D1916" i="19"/>
  <c r="E1916" i="19" s="1"/>
  <c r="D1909" i="19"/>
  <c r="E1909" i="19" s="1"/>
  <c r="D1906" i="19"/>
  <c r="E1906" i="19" s="1"/>
  <c r="D1896" i="19"/>
  <c r="E1896" i="19" s="1"/>
  <c r="D1893" i="19"/>
  <c r="E1893" i="19" s="1"/>
  <c r="E1882" i="19"/>
  <c r="D1882" i="19"/>
  <c r="D1879" i="19"/>
  <c r="E1879" i="19" s="1"/>
  <c r="C1867" i="19"/>
  <c r="D1864" i="19"/>
  <c r="C1864" i="19"/>
  <c r="E1834" i="19"/>
  <c r="D1834" i="19"/>
  <c r="D1833" i="19"/>
  <c r="C1832" i="19"/>
  <c r="C1835" i="19" s="1"/>
  <c r="C1734" i="19" s="1"/>
  <c r="C1735" i="19" s="1"/>
  <c r="E1831" i="19"/>
  <c r="D1831" i="19"/>
  <c r="D1830" i="19"/>
  <c r="E1830" i="19" s="1"/>
  <c r="D1829" i="19"/>
  <c r="D1828" i="19" s="1"/>
  <c r="C1828" i="19"/>
  <c r="D1821" i="19"/>
  <c r="E1821" i="19" s="1"/>
  <c r="D1818" i="19"/>
  <c r="E1818" i="19" s="1"/>
  <c r="E1816" i="19"/>
  <c r="D1816" i="19"/>
  <c r="E1806" i="19"/>
  <c r="D1806" i="19"/>
  <c r="D1803" i="19"/>
  <c r="E1803" i="19" s="1"/>
  <c r="D1801" i="19"/>
  <c r="E1801" i="19" s="1"/>
  <c r="E1793" i="19"/>
  <c r="D1793" i="19"/>
  <c r="E1788" i="19"/>
  <c r="D1788" i="19"/>
  <c r="D1779" i="19"/>
  <c r="E1779" i="19" s="1"/>
  <c r="D1774" i="19"/>
  <c r="E1774" i="19" s="1"/>
  <c r="E1765" i="19"/>
  <c r="D1765" i="19"/>
  <c r="D1749" i="19" s="1"/>
  <c r="E1749" i="19"/>
  <c r="C1749" i="19"/>
  <c r="D1714" i="19"/>
  <c r="E1714" i="19" s="1"/>
  <c r="D1711" i="19"/>
  <c r="E1711" i="19" s="1"/>
  <c r="D1702" i="19"/>
  <c r="E1702" i="19" s="1"/>
  <c r="E1688" i="19" s="1"/>
  <c r="D1701" i="19"/>
  <c r="C1700" i="19"/>
  <c r="D1688" i="19"/>
  <c r="C1688" i="19"/>
  <c r="E1675" i="19"/>
  <c r="D1675" i="19"/>
  <c r="D1666" i="19"/>
  <c r="E1666" i="19" s="1"/>
  <c r="D1661" i="19"/>
  <c r="E1661" i="19" s="1"/>
  <c r="E1653" i="19"/>
  <c r="D1653" i="19"/>
  <c r="D1652" i="19"/>
  <c r="C1651" i="19"/>
  <c r="D102" i="20" s="1"/>
  <c r="D1648" i="19"/>
  <c r="E1648" i="19" s="1"/>
  <c r="E1640" i="19"/>
  <c r="D1640" i="19"/>
  <c r="E1639" i="19"/>
  <c r="E1638" i="19" s="1"/>
  <c r="D1639" i="19"/>
  <c r="D1638" i="19" s="1"/>
  <c r="C1638" i="19"/>
  <c r="E1635" i="19"/>
  <c r="D1635" i="19"/>
  <c r="D1627" i="19"/>
  <c r="D1626" i="19"/>
  <c r="E1626" i="19" s="1"/>
  <c r="C1625" i="19"/>
  <c r="D101" i="20" s="1"/>
  <c r="C1612" i="19"/>
  <c r="E1584" i="19"/>
  <c r="D1584" i="19"/>
  <c r="D1583" i="19"/>
  <c r="E1583" i="19" s="1"/>
  <c r="E1582" i="19"/>
  <c r="D1582" i="19"/>
  <c r="C1582" i="19"/>
  <c r="D99" i="20" s="1"/>
  <c r="E1579" i="19"/>
  <c r="D1579" i="19"/>
  <c r="D1572" i="19"/>
  <c r="E1572" i="19" s="1"/>
  <c r="D1571" i="19"/>
  <c r="C1570" i="19"/>
  <c r="D98" i="20" s="1"/>
  <c r="E1567" i="19"/>
  <c r="D1567" i="19"/>
  <c r="D1559" i="19"/>
  <c r="E1559" i="19" s="1"/>
  <c r="E1558" i="19"/>
  <c r="E1557" i="19" s="1"/>
  <c r="D1558" i="19"/>
  <c r="D1557" i="19"/>
  <c r="C1557" i="19"/>
  <c r="D97" i="20" s="1"/>
  <c r="E1554" i="19"/>
  <c r="D1554" i="19"/>
  <c r="D1546" i="19"/>
  <c r="E1545" i="19"/>
  <c r="D1545" i="19"/>
  <c r="C1544" i="19"/>
  <c r="D96" i="20" s="1"/>
  <c r="D1541" i="19"/>
  <c r="E1541" i="19" s="1"/>
  <c r="E1532" i="19"/>
  <c r="D1532" i="19"/>
  <c r="D1531" i="19"/>
  <c r="C1530" i="19"/>
  <c r="D1527" i="19"/>
  <c r="E1527" i="19" s="1"/>
  <c r="E1519" i="19"/>
  <c r="D1519" i="19"/>
  <c r="E1518" i="19"/>
  <c r="E1517" i="19" s="1"/>
  <c r="D1518" i="19"/>
  <c r="D1517" i="19" s="1"/>
  <c r="C1517" i="19"/>
  <c r="D1514" i="19"/>
  <c r="E1514" i="19" s="1"/>
  <c r="C1514" i="19"/>
  <c r="E1506" i="19"/>
  <c r="D1506" i="19"/>
  <c r="E1501" i="19"/>
  <c r="D1501" i="19"/>
  <c r="D1492" i="19"/>
  <c r="E1492" i="19" s="1"/>
  <c r="C1477" i="19"/>
  <c r="D1477" i="19" s="1"/>
  <c r="E1477" i="19" s="1"/>
  <c r="E1445" i="19"/>
  <c r="D1445" i="19"/>
  <c r="D1444" i="19"/>
  <c r="E1444" i="19" s="1"/>
  <c r="E1443" i="19" s="1"/>
  <c r="D1443" i="19"/>
  <c r="C1443" i="19"/>
  <c r="D90" i="20" s="1"/>
  <c r="E1442" i="19"/>
  <c r="D1442" i="19"/>
  <c r="D1440" i="19"/>
  <c r="E1440" i="19" s="1"/>
  <c r="D1433" i="19"/>
  <c r="E1432" i="19"/>
  <c r="D1432" i="19"/>
  <c r="C1431" i="19"/>
  <c r="D1430" i="19"/>
  <c r="E1430" i="19" s="1"/>
  <c r="D1428" i="19"/>
  <c r="E1428" i="19" s="1"/>
  <c r="D1420" i="19"/>
  <c r="E1420" i="19" s="1"/>
  <c r="D1417" i="19"/>
  <c r="E1417" i="19" s="1"/>
  <c r="D1415" i="19"/>
  <c r="E1415" i="19" s="1"/>
  <c r="E1406" i="19"/>
  <c r="D1406" i="19"/>
  <c r="D1403" i="19"/>
  <c r="E1403" i="19" s="1"/>
  <c r="D1401" i="19"/>
  <c r="E1401" i="19" s="1"/>
  <c r="D1394" i="19"/>
  <c r="E1394" i="19" s="1"/>
  <c r="D1391" i="19"/>
  <c r="E1391" i="19" s="1"/>
  <c r="D1389" i="19"/>
  <c r="E1389" i="19" s="1"/>
  <c r="D1382" i="19"/>
  <c r="E1382" i="19" s="1"/>
  <c r="E1380" i="19" s="1"/>
  <c r="D1381" i="19"/>
  <c r="E1381" i="19" s="1"/>
  <c r="D1380" i="19"/>
  <c r="C1380" i="19"/>
  <c r="D85" i="20" s="1"/>
  <c r="E1379" i="19"/>
  <c r="D1379" i="19"/>
  <c r="E1377" i="19"/>
  <c r="D1377" i="19"/>
  <c r="D1369" i="19"/>
  <c r="E1369" i="19" s="1"/>
  <c r="E1366" i="19"/>
  <c r="D1366" i="19"/>
  <c r="E1364" i="19"/>
  <c r="D1364" i="19"/>
  <c r="D1355" i="19"/>
  <c r="E1355" i="19" s="1"/>
  <c r="D1352" i="19"/>
  <c r="E1352" i="19" s="1"/>
  <c r="E1350" i="19"/>
  <c r="D1350" i="19"/>
  <c r="E1342" i="19"/>
  <c r="D1342" i="19"/>
  <c r="D1341" i="19"/>
  <c r="E1341" i="19" s="1"/>
  <c r="E1340" i="19" s="1"/>
  <c r="D1340" i="19"/>
  <c r="C1340" i="19"/>
  <c r="D82" i="20" s="1"/>
  <c r="D1327" i="19"/>
  <c r="C1327" i="19"/>
  <c r="D1292" i="19"/>
  <c r="E1292" i="19" s="1"/>
  <c r="D1289" i="19"/>
  <c r="E1289" i="19" s="1"/>
  <c r="E1287" i="19"/>
  <c r="D1287" i="19"/>
  <c r="E1278" i="19"/>
  <c r="D1278" i="19"/>
  <c r="E1277" i="19"/>
  <c r="E1276" i="19" s="1"/>
  <c r="D1277" i="19"/>
  <c r="D1276" i="19"/>
  <c r="C1276" i="19"/>
  <c r="D1273" i="19"/>
  <c r="E1273" i="19" s="1"/>
  <c r="E1264" i="19"/>
  <c r="D1264" i="19"/>
  <c r="D1261" i="19"/>
  <c r="E1261" i="19" s="1"/>
  <c r="D1259" i="19"/>
  <c r="E1259" i="19" s="1"/>
  <c r="D1252" i="19"/>
  <c r="E1252" i="19" s="1"/>
  <c r="D1249" i="19"/>
  <c r="E1249" i="19" s="1"/>
  <c r="D1239" i="19"/>
  <c r="E1239" i="19" s="1"/>
  <c r="D1234" i="19"/>
  <c r="E1234" i="19" s="1"/>
  <c r="E1225" i="19"/>
  <c r="D1225" i="19"/>
  <c r="E1222" i="19"/>
  <c r="D1222" i="19"/>
  <c r="D1211" i="19"/>
  <c r="E1211" i="19" s="1"/>
  <c r="D1210" i="19"/>
  <c r="C1209" i="19"/>
  <c r="D74" i="20" s="1"/>
  <c r="E1206" i="19"/>
  <c r="D1206" i="19"/>
  <c r="D1197" i="19"/>
  <c r="E1197" i="19" s="1"/>
  <c r="E1194" i="19"/>
  <c r="D1194" i="19"/>
  <c r="D1192" i="19"/>
  <c r="E1192" i="19" s="1"/>
  <c r="E1183" i="19"/>
  <c r="D1183" i="19"/>
  <c r="D1178" i="19"/>
  <c r="E1178" i="19" s="1"/>
  <c r="E1169" i="19"/>
  <c r="D1169" i="19"/>
  <c r="D1168" i="19"/>
  <c r="C1167" i="19"/>
  <c r="D1166" i="19"/>
  <c r="E1166" i="19" s="1"/>
  <c r="E1164" i="19"/>
  <c r="D1164" i="19"/>
  <c r="E1156" i="19"/>
  <c r="D1156" i="19"/>
  <c r="D1153" i="19"/>
  <c r="E1153" i="19" s="1"/>
  <c r="D1142" i="19"/>
  <c r="E1141" i="19"/>
  <c r="D1141" i="19"/>
  <c r="C1140" i="19"/>
  <c r="C1127" i="19"/>
  <c r="E1089" i="19"/>
  <c r="D1089" i="19"/>
  <c r="E1084" i="19"/>
  <c r="D1084" i="19"/>
  <c r="D1077" i="19"/>
  <c r="E1077" i="19" s="1"/>
  <c r="D1076" i="19"/>
  <c r="C1075" i="19"/>
  <c r="D66" i="20" s="1"/>
  <c r="D1072" i="19"/>
  <c r="E1072" i="19" s="1"/>
  <c r="D1064" i="19"/>
  <c r="E1064" i="19" s="1"/>
  <c r="E1059" i="19"/>
  <c r="D1059" i="19"/>
  <c r="D1052" i="19"/>
  <c r="D1047" i="19"/>
  <c r="E1047" i="19" s="1"/>
  <c r="D1038" i="19"/>
  <c r="E1038" i="19" s="1"/>
  <c r="D1037" i="19"/>
  <c r="E1037" i="19" s="1"/>
  <c r="E1036" i="19" s="1"/>
  <c r="C1036" i="19"/>
  <c r="C1024" i="19"/>
  <c r="D995" i="19"/>
  <c r="E995" i="19" s="1"/>
  <c r="D981" i="19"/>
  <c r="E981" i="19" s="1"/>
  <c r="D980" i="19"/>
  <c r="E980" i="19" s="1"/>
  <c r="C979" i="19"/>
  <c r="D60" i="20" s="1"/>
  <c r="E978" i="19"/>
  <c r="D978" i="19"/>
  <c r="E976" i="19"/>
  <c r="D976" i="19"/>
  <c r="D969" i="19"/>
  <c r="E969" i="19" s="1"/>
  <c r="D968" i="19"/>
  <c r="C967" i="19"/>
  <c r="D59" i="20" s="1"/>
  <c r="D966" i="19"/>
  <c r="E966" i="19" s="1"/>
  <c r="D964" i="19"/>
  <c r="E964" i="19" s="1"/>
  <c r="D957" i="19"/>
  <c r="E957" i="19" s="1"/>
  <c r="D956" i="19"/>
  <c r="C955" i="19"/>
  <c r="D58" i="20" s="1"/>
  <c r="D954" i="19"/>
  <c r="E954" i="19" s="1"/>
  <c r="E952" i="19"/>
  <c r="D952" i="19"/>
  <c r="E945" i="19"/>
  <c r="D945" i="19"/>
  <c r="D944" i="19"/>
  <c r="E944" i="19" s="1"/>
  <c r="D943" i="19"/>
  <c r="C943" i="19"/>
  <c r="D57" i="20" s="1"/>
  <c r="D942" i="19"/>
  <c r="E942" i="19" s="1"/>
  <c r="D940" i="19"/>
  <c r="E940" i="19" s="1"/>
  <c r="D932" i="19"/>
  <c r="E932" i="19" s="1"/>
  <c r="E931" i="19"/>
  <c r="E930" i="19" s="1"/>
  <c r="D931" i="19"/>
  <c r="D930" i="19"/>
  <c r="C930" i="19"/>
  <c r="E929" i="19"/>
  <c r="D929" i="19"/>
  <c r="D927" i="19"/>
  <c r="E927" i="19" s="1"/>
  <c r="E919" i="19"/>
  <c r="D919" i="19"/>
  <c r="E918" i="19"/>
  <c r="D918" i="19"/>
  <c r="D917" i="19" s="1"/>
  <c r="C917" i="19"/>
  <c r="E916" i="19"/>
  <c r="D916" i="19"/>
  <c r="D914" i="19"/>
  <c r="E914" i="19" s="1"/>
  <c r="D906" i="19"/>
  <c r="E906" i="19" s="1"/>
  <c r="D903" i="19"/>
  <c r="E903" i="19" s="1"/>
  <c r="D901" i="19"/>
  <c r="E901" i="19" s="1"/>
  <c r="D893" i="19"/>
  <c r="E893" i="19" s="1"/>
  <c r="D877" i="19"/>
  <c r="E876" i="19"/>
  <c r="D876" i="19"/>
  <c r="C875" i="19"/>
  <c r="E874" i="19"/>
  <c r="D874" i="19"/>
  <c r="D873" i="19"/>
  <c r="E873" i="19" s="1"/>
  <c r="D872" i="19"/>
  <c r="C871" i="19"/>
  <c r="C878" i="19" s="1"/>
  <c r="C864" i="19"/>
  <c r="D863" i="19"/>
  <c r="E863" i="19" s="1"/>
  <c r="D862" i="19"/>
  <c r="E862" i="19" s="1"/>
  <c r="E861" i="19" s="1"/>
  <c r="C861" i="19"/>
  <c r="E860" i="19"/>
  <c r="D860" i="19"/>
  <c r="E859" i="19"/>
  <c r="D859" i="19"/>
  <c r="D858" i="19"/>
  <c r="E858" i="19" s="1"/>
  <c r="E857" i="19" s="1"/>
  <c r="E864" i="19" s="1"/>
  <c r="E747" i="19" s="1"/>
  <c r="D857" i="19"/>
  <c r="C857" i="19"/>
  <c r="D850" i="19"/>
  <c r="E850" i="19" s="1"/>
  <c r="C850" i="19"/>
  <c r="D845" i="19"/>
  <c r="E845" i="19" s="1"/>
  <c r="D838" i="19"/>
  <c r="E838" i="19" s="1"/>
  <c r="D837" i="19"/>
  <c r="E837" i="19" s="1"/>
  <c r="C836" i="19"/>
  <c r="E835" i="19"/>
  <c r="D835" i="19"/>
  <c r="E834" i="19"/>
  <c r="E755" i="19" s="1"/>
  <c r="D834" i="19"/>
  <c r="D833" i="19"/>
  <c r="E833" i="19" s="1"/>
  <c r="D832" i="19"/>
  <c r="C832" i="19"/>
  <c r="C839" i="19" s="1"/>
  <c r="C771" i="19" s="1"/>
  <c r="D825" i="19"/>
  <c r="E825" i="19" s="1"/>
  <c r="D824" i="19"/>
  <c r="E824" i="19" s="1"/>
  <c r="E823" i="19" s="1"/>
  <c r="C823" i="19"/>
  <c r="D51" i="20" s="1"/>
  <c r="E822" i="19"/>
  <c r="D822" i="19"/>
  <c r="E820" i="19"/>
  <c r="D820" i="19"/>
  <c r="D812" i="19"/>
  <c r="E812" i="19" s="1"/>
  <c r="D809" i="19"/>
  <c r="E809" i="19" s="1"/>
  <c r="E799" i="19"/>
  <c r="D799" i="19"/>
  <c r="C797" i="19"/>
  <c r="D796" i="19"/>
  <c r="E796" i="19" s="1"/>
  <c r="E794" i="19"/>
  <c r="D794" i="19"/>
  <c r="D786" i="19"/>
  <c r="E786" i="19" s="1"/>
  <c r="D755" i="19"/>
  <c r="E733" i="19"/>
  <c r="D733" i="19"/>
  <c r="D720" i="19"/>
  <c r="E720" i="19" s="1"/>
  <c r="D707" i="19"/>
  <c r="E707" i="19" s="1"/>
  <c r="E693" i="19"/>
  <c r="D693" i="19"/>
  <c r="E692" i="19"/>
  <c r="D692" i="19"/>
  <c r="D691" i="19" s="1"/>
  <c r="C691" i="19"/>
  <c r="D43" i="20" s="1"/>
  <c r="E678" i="19"/>
  <c r="D678" i="19"/>
  <c r="C678" i="19"/>
  <c r="E651" i="19"/>
  <c r="D651" i="19"/>
  <c r="D647" i="19"/>
  <c r="E647" i="19" s="1"/>
  <c r="D637" i="19"/>
  <c r="E637" i="19" s="1"/>
  <c r="E609" i="19"/>
  <c r="D609" i="19"/>
  <c r="E608" i="19"/>
  <c r="E607" i="19" s="1"/>
  <c r="D608" i="19"/>
  <c r="D607" i="19"/>
  <c r="C607" i="19"/>
  <c r="D38" i="20" s="1"/>
  <c r="D567" i="19"/>
  <c r="E567" i="19" s="1"/>
  <c r="D562" i="19"/>
  <c r="E562" i="19" s="1"/>
  <c r="D553" i="19"/>
  <c r="E553" i="19" s="1"/>
  <c r="D548" i="19"/>
  <c r="E548" i="19" s="1"/>
  <c r="D539" i="19"/>
  <c r="E539" i="19" s="1"/>
  <c r="D534" i="19"/>
  <c r="E534" i="19" s="1"/>
  <c r="D527" i="19"/>
  <c r="E527" i="19" s="1"/>
  <c r="D526" i="19"/>
  <c r="E526" i="19" s="1"/>
  <c r="E525" i="19" s="1"/>
  <c r="D525" i="19"/>
  <c r="C525" i="19"/>
  <c r="D33" i="20" s="1"/>
  <c r="E522" i="19"/>
  <c r="D522" i="19"/>
  <c r="D513" i="19"/>
  <c r="E513" i="19" s="1"/>
  <c r="D512" i="19"/>
  <c r="E512" i="19" s="1"/>
  <c r="C511" i="19"/>
  <c r="D32" i="20" s="1"/>
  <c r="C495" i="19"/>
  <c r="E465" i="19"/>
  <c r="D465" i="19"/>
  <c r="D452" i="19"/>
  <c r="E452" i="19" s="1"/>
  <c r="E439" i="19"/>
  <c r="D439" i="19"/>
  <c r="E426" i="19"/>
  <c r="D426" i="19"/>
  <c r="E413" i="19"/>
  <c r="D413" i="19"/>
  <c r="D400" i="19"/>
  <c r="E399" i="19"/>
  <c r="D399" i="19"/>
  <c r="D398" i="19" s="1"/>
  <c r="C398" i="19"/>
  <c r="C386" i="19"/>
  <c r="E359" i="19"/>
  <c r="D359" i="19"/>
  <c r="D358" i="19"/>
  <c r="C357" i="19"/>
  <c r="D354" i="19"/>
  <c r="E354" i="19" s="1"/>
  <c r="E345" i="19"/>
  <c r="D345" i="19"/>
  <c r="E331" i="19"/>
  <c r="D331" i="19"/>
  <c r="D330" i="19"/>
  <c r="E330" i="19" s="1"/>
  <c r="E329" i="19" s="1"/>
  <c r="D329" i="19"/>
  <c r="C329" i="19"/>
  <c r="D326" i="19"/>
  <c r="E326" i="19" s="1"/>
  <c r="D318" i="19"/>
  <c r="E318" i="19" s="1"/>
  <c r="D317" i="19"/>
  <c r="E317" i="19" s="1"/>
  <c r="E316" i="19" s="1"/>
  <c r="D316" i="19"/>
  <c r="C316" i="19"/>
  <c r="E313" i="19"/>
  <c r="D313" i="19"/>
  <c r="D305" i="19"/>
  <c r="E305" i="19" s="1"/>
  <c r="D304" i="19"/>
  <c r="C303" i="19"/>
  <c r="D300" i="19"/>
  <c r="E300" i="19" s="1"/>
  <c r="D292" i="19"/>
  <c r="E292" i="19" s="1"/>
  <c r="D291" i="19"/>
  <c r="E291" i="19" s="1"/>
  <c r="E290" i="19" s="1"/>
  <c r="D290" i="19"/>
  <c r="C290" i="19"/>
  <c r="D287" i="19"/>
  <c r="E287" i="19" s="1"/>
  <c r="D279" i="19"/>
  <c r="E279" i="19" s="1"/>
  <c r="E274" i="19"/>
  <c r="C274" i="19"/>
  <c r="D274" i="19" s="1"/>
  <c r="D266" i="19"/>
  <c r="E266" i="19" s="1"/>
  <c r="D265" i="19"/>
  <c r="E265" i="19" s="1"/>
  <c r="E264" i="19"/>
  <c r="D264" i="19"/>
  <c r="C264" i="19"/>
  <c r="D20" i="20" s="1"/>
  <c r="E261" i="19"/>
  <c r="D261" i="19"/>
  <c r="D253" i="19"/>
  <c r="E253" i="19" s="1"/>
  <c r="D252" i="19"/>
  <c r="C251" i="19"/>
  <c r="D19" i="20" s="1"/>
  <c r="D248" i="19"/>
  <c r="E248" i="19" s="1"/>
  <c r="D240" i="19"/>
  <c r="E240" i="19" s="1"/>
  <c r="D239" i="19"/>
  <c r="D238" i="19" s="1"/>
  <c r="C238" i="19"/>
  <c r="D18" i="20" s="1"/>
  <c r="E235" i="19"/>
  <c r="D235" i="19"/>
  <c r="D227" i="19"/>
  <c r="E226" i="19"/>
  <c r="D226" i="19"/>
  <c r="C225" i="19"/>
  <c r="D17" i="20" s="1"/>
  <c r="D222" i="19"/>
  <c r="E222" i="19" s="1"/>
  <c r="D213" i="19"/>
  <c r="E213" i="19" s="1"/>
  <c r="D212" i="19"/>
  <c r="C211" i="19"/>
  <c r="D208" i="19"/>
  <c r="E208" i="19" s="1"/>
  <c r="E199" i="19"/>
  <c r="D199" i="19"/>
  <c r="E198" i="19"/>
  <c r="D198" i="19"/>
  <c r="D197" i="19" s="1"/>
  <c r="C197" i="19"/>
  <c r="D194" i="19"/>
  <c r="E194" i="19" s="1"/>
  <c r="D185" i="19"/>
  <c r="E185" i="19" s="1"/>
  <c r="D184" i="19"/>
  <c r="E184" i="19" s="1"/>
  <c r="E183" i="19" s="1"/>
  <c r="C183" i="19"/>
  <c r="D14" i="20" s="1"/>
  <c r="E180" i="19"/>
  <c r="D180" i="19"/>
  <c r="E171" i="19"/>
  <c r="D171" i="19"/>
  <c r="D170" i="19"/>
  <c r="E170" i="19" s="1"/>
  <c r="E169" i="19" s="1"/>
  <c r="D169" i="19"/>
  <c r="C169" i="19"/>
  <c r="D23" i="20" s="1"/>
  <c r="D166" i="19"/>
  <c r="E166" i="19" s="1"/>
  <c r="D157" i="19"/>
  <c r="E157" i="19" s="1"/>
  <c r="D156" i="19"/>
  <c r="E156" i="19" s="1"/>
  <c r="E155" i="19"/>
  <c r="D155" i="19"/>
  <c r="C155" i="19"/>
  <c r="E152" i="19"/>
  <c r="D152" i="19"/>
  <c r="E143" i="19"/>
  <c r="D143" i="19"/>
  <c r="D142" i="19"/>
  <c r="C141" i="19"/>
  <c r="D12" i="20" s="1"/>
  <c r="D138" i="19"/>
  <c r="E138" i="19" s="1"/>
  <c r="D130" i="19"/>
  <c r="E130" i="19" s="1"/>
  <c r="E129" i="19"/>
  <c r="E128" i="19" s="1"/>
  <c r="D129" i="19"/>
  <c r="D128" i="19" s="1"/>
  <c r="C128" i="19"/>
  <c r="D11" i="20" s="1"/>
  <c r="D125" i="19"/>
  <c r="E125" i="19" s="1"/>
  <c r="D117" i="19"/>
  <c r="E117" i="19" s="1"/>
  <c r="E116" i="19"/>
  <c r="D116" i="19"/>
  <c r="D115" i="19" s="1"/>
  <c r="E115" i="19"/>
  <c r="C115" i="19"/>
  <c r="D10" i="20" s="1"/>
  <c r="E112" i="19"/>
  <c r="D112" i="19"/>
  <c r="E103" i="19"/>
  <c r="D103" i="19"/>
  <c r="D102" i="19"/>
  <c r="C101" i="19"/>
  <c r="D9" i="20" s="1"/>
  <c r="D89" i="19"/>
  <c r="E88" i="19"/>
  <c r="D88" i="19"/>
  <c r="C87" i="19"/>
  <c r="D84" i="19"/>
  <c r="E84" i="19" s="1"/>
  <c r="E75" i="19"/>
  <c r="D75" i="19"/>
  <c r="D61" i="19"/>
  <c r="C61" i="19"/>
  <c r="E41" i="19"/>
  <c r="D41" i="19"/>
  <c r="C41" i="19"/>
  <c r="B41" i="19"/>
  <c r="B40" i="19"/>
  <c r="B38" i="19"/>
  <c r="B39" i="19" s="1"/>
  <c r="B36" i="19"/>
  <c r="B37" i="19" s="1"/>
  <c r="B34" i="19"/>
  <c r="B35" i="19" s="1"/>
  <c r="B32" i="19"/>
  <c r="B33" i="19" s="1"/>
  <c r="B31" i="19"/>
  <c r="E28" i="19"/>
  <c r="E29" i="19" s="1"/>
  <c r="D28" i="19"/>
  <c r="D29" i="19" s="1"/>
  <c r="B28" i="19"/>
  <c r="B29" i="19" s="1"/>
  <c r="B25" i="19"/>
  <c r="E24" i="19"/>
  <c r="E25" i="19" s="1"/>
  <c r="D24" i="19"/>
  <c r="D25" i="19" s="1"/>
  <c r="B24" i="19"/>
  <c r="B22" i="19"/>
  <c r="B23" i="19" s="1"/>
  <c r="B19" i="19"/>
  <c r="B21" i="19" s="1"/>
  <c r="B18" i="19"/>
  <c r="B16" i="19"/>
  <c r="B14" i="19"/>
  <c r="B12" i="19"/>
  <c r="B9" i="19"/>
  <c r="B10" i="19" s="1"/>
  <c r="B7" i="19"/>
  <c r="B8" i="19" s="1"/>
  <c r="K21" i="18"/>
  <c r="I21" i="18"/>
  <c r="G32" i="17"/>
  <c r="G30" i="17"/>
  <c r="G28" i="17"/>
  <c r="G27" i="17"/>
  <c r="G26" i="17"/>
  <c r="G25" i="17"/>
  <c r="G24" i="17"/>
  <c r="G23" i="17"/>
  <c r="F22" i="17"/>
  <c r="G22" i="17" s="1"/>
  <c r="E22" i="17"/>
  <c r="D22" i="17"/>
  <c r="D31" i="17" s="1"/>
  <c r="D38" i="17" s="1"/>
  <c r="G21" i="17"/>
  <c r="G20" i="17"/>
  <c r="G19" i="17"/>
  <c r="G18" i="17"/>
  <c r="G17" i="17"/>
  <c r="G16" i="17"/>
  <c r="G15" i="17"/>
  <c r="G14" i="17"/>
  <c r="G13" i="17"/>
  <c r="G12" i="17"/>
  <c r="G11" i="17"/>
  <c r="G10" i="17"/>
  <c r="G9" i="17"/>
  <c r="G8" i="17"/>
  <c r="F6" i="17"/>
  <c r="E6" i="17"/>
  <c r="D6" i="17"/>
  <c r="G4" i="17"/>
  <c r="L5041" i="16"/>
  <c r="G5041" i="16"/>
  <c r="F5041" i="16"/>
  <c r="I5028" i="16"/>
  <c r="L5028" i="16" s="1"/>
  <c r="O5028" i="16" s="1"/>
  <c r="P5028" i="16" s="1"/>
  <c r="I5027" i="16"/>
  <c r="L5027" i="16" s="1"/>
  <c r="O5027" i="16" s="1"/>
  <c r="P5027" i="16" s="1"/>
  <c r="I5026" i="16"/>
  <c r="L5026" i="16" s="1"/>
  <c r="O5026" i="16" s="1"/>
  <c r="P5026" i="16" s="1"/>
  <c r="E5025" i="16"/>
  <c r="I5025" i="16" s="1"/>
  <c r="L5025" i="16" s="1"/>
  <c r="O5025" i="16" s="1"/>
  <c r="P5025" i="16" s="1"/>
  <c r="E5024" i="16"/>
  <c r="I5024" i="16" s="1"/>
  <c r="L5024" i="16" s="1"/>
  <c r="O5024" i="16" s="1"/>
  <c r="P5024" i="16" s="1"/>
  <c r="H5023" i="16"/>
  <c r="E5023" i="16"/>
  <c r="F5022" i="16"/>
  <c r="E5022" i="16"/>
  <c r="I5021" i="16"/>
  <c r="L5021" i="16" s="1"/>
  <c r="O5021" i="16" s="1"/>
  <c r="P5021" i="16" s="1"/>
  <c r="I5020" i="16"/>
  <c r="L5020" i="16" s="1"/>
  <c r="O5020" i="16" s="1"/>
  <c r="K5019" i="16"/>
  <c r="N5019" i="16" s="1"/>
  <c r="J5019" i="16"/>
  <c r="H5019" i="16"/>
  <c r="G5019" i="16"/>
  <c r="F5019" i="16"/>
  <c r="I5018" i="16"/>
  <c r="I5017" i="16" s="1"/>
  <c r="K5017" i="16"/>
  <c r="N5017" i="16" s="1"/>
  <c r="J5017" i="16"/>
  <c r="H5017" i="16"/>
  <c r="G5017" i="16"/>
  <c r="F5017" i="16"/>
  <c r="E5017" i="16"/>
  <c r="I5016" i="16"/>
  <c r="I5015" i="16"/>
  <c r="L5015" i="16" s="1"/>
  <c r="O5015" i="16" s="1"/>
  <c r="K5014" i="16"/>
  <c r="N5014" i="16" s="1"/>
  <c r="J5014" i="16"/>
  <c r="H5014" i="16"/>
  <c r="G5014" i="16"/>
  <c r="F5014" i="16"/>
  <c r="E5014" i="16"/>
  <c r="I5013" i="16"/>
  <c r="L5013" i="16" s="1"/>
  <c r="P5012" i="16"/>
  <c r="O5012" i="16"/>
  <c r="K5012" i="16"/>
  <c r="N5012" i="16" s="1"/>
  <c r="J5012" i="16"/>
  <c r="I5012" i="16"/>
  <c r="H5012" i="16"/>
  <c r="G5012" i="16"/>
  <c r="F5012" i="16"/>
  <c r="E5012" i="16"/>
  <c r="I5011" i="16"/>
  <c r="L5011" i="16" s="1"/>
  <c r="O5011" i="16" s="1"/>
  <c r="K5010" i="16"/>
  <c r="J5010" i="16"/>
  <c r="H5010" i="16"/>
  <c r="G5010" i="16"/>
  <c r="F5010" i="16"/>
  <c r="E5010" i="16"/>
  <c r="I5009" i="16"/>
  <c r="L5009" i="16" s="1"/>
  <c r="O5009" i="16" s="1"/>
  <c r="P5009" i="16" s="1"/>
  <c r="I5008" i="16"/>
  <c r="L5008" i="16" s="1"/>
  <c r="O5008" i="16" s="1"/>
  <c r="P5008" i="16" s="1"/>
  <c r="I5007" i="16"/>
  <c r="L5007" i="16" s="1"/>
  <c r="O5007" i="16" s="1"/>
  <c r="P5007" i="16" s="1"/>
  <c r="I5005" i="16"/>
  <c r="L5005" i="16" s="1"/>
  <c r="O5005" i="16" s="1"/>
  <c r="P5005" i="16" s="1"/>
  <c r="E5004" i="16"/>
  <c r="E5003" i="16" s="1"/>
  <c r="K5003" i="16"/>
  <c r="N5003" i="16" s="1"/>
  <c r="J5003" i="16"/>
  <c r="H5003" i="16"/>
  <c r="G5003" i="16"/>
  <c r="F5003" i="16"/>
  <c r="E5002" i="16"/>
  <c r="I5002" i="16" s="1"/>
  <c r="K5001" i="16"/>
  <c r="N5001" i="16" s="1"/>
  <c r="J5001" i="16"/>
  <c r="H5001" i="16"/>
  <c r="G5001" i="16"/>
  <c r="F5001" i="16"/>
  <c r="I5000" i="16"/>
  <c r="L5000" i="16" s="1"/>
  <c r="O5000" i="16" s="1"/>
  <c r="K4999" i="16"/>
  <c r="N4999" i="16" s="1"/>
  <c r="J4999" i="16"/>
  <c r="H4999" i="16"/>
  <c r="G4999" i="16"/>
  <c r="F4999" i="16"/>
  <c r="E4999" i="16"/>
  <c r="E4998" i="16"/>
  <c r="I4998" i="16" s="1"/>
  <c r="L4998" i="16" s="1"/>
  <c r="O4998" i="16" s="1"/>
  <c r="P4998" i="16" s="1"/>
  <c r="E4997" i="16"/>
  <c r="I4997" i="16" s="1"/>
  <c r="L4997" i="16" s="1"/>
  <c r="O4997" i="16" s="1"/>
  <c r="P4997" i="16" s="1"/>
  <c r="E4996" i="16"/>
  <c r="I4996" i="16" s="1"/>
  <c r="L4996" i="16" s="1"/>
  <c r="O4996" i="16" s="1"/>
  <c r="K4995" i="16"/>
  <c r="N4995" i="16" s="1"/>
  <c r="J4995" i="16"/>
  <c r="H4995" i="16"/>
  <c r="G4995" i="16"/>
  <c r="F4995" i="16"/>
  <c r="I4994" i="16"/>
  <c r="I4993" i="16" s="1"/>
  <c r="K4993" i="16"/>
  <c r="N4993" i="16" s="1"/>
  <c r="J4993" i="16"/>
  <c r="H4993" i="16"/>
  <c r="G4993" i="16"/>
  <c r="F4993" i="16"/>
  <c r="E4993" i="16"/>
  <c r="I4992" i="16"/>
  <c r="L4992" i="16" s="1"/>
  <c r="O4992" i="16" s="1"/>
  <c r="P4992" i="16" s="1"/>
  <c r="I4991" i="16"/>
  <c r="L4991" i="16" s="1"/>
  <c r="O4991" i="16" s="1"/>
  <c r="P4991" i="16" s="1"/>
  <c r="I4990" i="16"/>
  <c r="L4990" i="16" s="1"/>
  <c r="O4990" i="16" s="1"/>
  <c r="K4989" i="16"/>
  <c r="N4989" i="16" s="1"/>
  <c r="J4989" i="16"/>
  <c r="H4989" i="16"/>
  <c r="G4989" i="16"/>
  <c r="F4989" i="16"/>
  <c r="E4989" i="16"/>
  <c r="I4988" i="16"/>
  <c r="L4988" i="16" s="1"/>
  <c r="O4988" i="16" s="1"/>
  <c r="P4988" i="16" s="1"/>
  <c r="I4987" i="16"/>
  <c r="L4987" i="16" s="1"/>
  <c r="O4987" i="16" s="1"/>
  <c r="P4987" i="16" s="1"/>
  <c r="I4986" i="16"/>
  <c r="L4986" i="16" s="1"/>
  <c r="O4986" i="16" s="1"/>
  <c r="K4985" i="16"/>
  <c r="N4985" i="16" s="1"/>
  <c r="J4985" i="16"/>
  <c r="H4985" i="16"/>
  <c r="G4985" i="16"/>
  <c r="F4985" i="16"/>
  <c r="E4985" i="16"/>
  <c r="E4984" i="16"/>
  <c r="I4984" i="16" s="1"/>
  <c r="L4984" i="16" s="1"/>
  <c r="O4984" i="16" s="1"/>
  <c r="P4984" i="16" s="1"/>
  <c r="E4983" i="16"/>
  <c r="E4982" i="16"/>
  <c r="I4982" i="16" s="1"/>
  <c r="K4981" i="16"/>
  <c r="N4981" i="16" s="1"/>
  <c r="J4981" i="16"/>
  <c r="H4981" i="16"/>
  <c r="G4981" i="16"/>
  <c r="F4981" i="16"/>
  <c r="I4980" i="16"/>
  <c r="L4980" i="16" s="1"/>
  <c r="O4980" i="16" s="1"/>
  <c r="P4980" i="16" s="1"/>
  <c r="I4979" i="16"/>
  <c r="L4979" i="16" s="1"/>
  <c r="O4979" i="16" s="1"/>
  <c r="P4979" i="16" s="1"/>
  <c r="I4978" i="16"/>
  <c r="L4978" i="16" s="1"/>
  <c r="O4978" i="16" s="1"/>
  <c r="K4977" i="16"/>
  <c r="N4977" i="16" s="1"/>
  <c r="J4977" i="16"/>
  <c r="H4977" i="16"/>
  <c r="G4977" i="16"/>
  <c r="F4977" i="16"/>
  <c r="E4977" i="16"/>
  <c r="I4976" i="16"/>
  <c r="L4976" i="16" s="1"/>
  <c r="O4976" i="16" s="1"/>
  <c r="P4976" i="16" s="1"/>
  <c r="I4975" i="16"/>
  <c r="L4975" i="16" s="1"/>
  <c r="O4975" i="16" s="1"/>
  <c r="P4975" i="16" s="1"/>
  <c r="I4974" i="16"/>
  <c r="L4974" i="16" s="1"/>
  <c r="O4974" i="16" s="1"/>
  <c r="P4974" i="16" s="1"/>
  <c r="I4973" i="16"/>
  <c r="L4973" i="16" s="1"/>
  <c r="O4973" i="16" s="1"/>
  <c r="P4973" i="16" s="1"/>
  <c r="I4970" i="16"/>
  <c r="L4970" i="16" s="1"/>
  <c r="O4970" i="16" s="1"/>
  <c r="P4970" i="16" s="1"/>
  <c r="I4969" i="16"/>
  <c r="L4969" i="16" s="1"/>
  <c r="O4969" i="16" s="1"/>
  <c r="P4969" i="16" s="1"/>
  <c r="I4968" i="16"/>
  <c r="L4968" i="16" s="1"/>
  <c r="O4968" i="16" s="1"/>
  <c r="K4967" i="16" a="1"/>
  <c r="K4967" i="16" s="1"/>
  <c r="K4971" i="16" s="1"/>
  <c r="N4971" i="16" s="1"/>
  <c r="J4967" i="16" a="1"/>
  <c r="J4967" i="16" s="1"/>
  <c r="J4971" i="16" s="1"/>
  <c r="H4967" i="16" a="1"/>
  <c r="H4967" i="16" s="1"/>
  <c r="H4971" i="16" s="1"/>
  <c r="G4967" i="16" a="1"/>
  <c r="G4967" i="16" s="1"/>
  <c r="G4971" i="16" s="1"/>
  <c r="F4967" i="16" a="1"/>
  <c r="F4967" i="16" s="1"/>
  <c r="F4971" i="16" s="1"/>
  <c r="E4967" i="16" a="1"/>
  <c r="E4967" i="16" s="1"/>
  <c r="E4971" i="16" s="1"/>
  <c r="I4966" i="16"/>
  <c r="L4966" i="16" s="1"/>
  <c r="O4966" i="16" s="1"/>
  <c r="P4966" i="16" s="1"/>
  <c r="I4965" i="16"/>
  <c r="L4965" i="16" s="1"/>
  <c r="O4965" i="16" s="1"/>
  <c r="P4965" i="16" s="1"/>
  <c r="I4963" i="16"/>
  <c r="E4962" i="16"/>
  <c r="I4962" i="16" s="1"/>
  <c r="L4962" i="16" s="1"/>
  <c r="O4962" i="16" s="1"/>
  <c r="P4962" i="16" s="1"/>
  <c r="K4961" i="16"/>
  <c r="N4961" i="16" s="1"/>
  <c r="J4961" i="16"/>
  <c r="H4961" i="16"/>
  <c r="G4961" i="16"/>
  <c r="F4961" i="16"/>
  <c r="E4960" i="16"/>
  <c r="K4959" i="16"/>
  <c r="N4959" i="16" s="1"/>
  <c r="J4959" i="16"/>
  <c r="H4959" i="16"/>
  <c r="G4959" i="16"/>
  <c r="F4959" i="16"/>
  <c r="I4958" i="16"/>
  <c r="K4957" i="16"/>
  <c r="N4957" i="16" s="1"/>
  <c r="J4957" i="16"/>
  <c r="H4957" i="16"/>
  <c r="G4957" i="16"/>
  <c r="F4957" i="16"/>
  <c r="E4957" i="16"/>
  <c r="I4956" i="16"/>
  <c r="L4956" i="16" s="1"/>
  <c r="O4956" i="16" s="1"/>
  <c r="P4956" i="16" s="1"/>
  <c r="E4955" i="16"/>
  <c r="I4955" i="16" s="1"/>
  <c r="L4955" i="16" s="1"/>
  <c r="O4955" i="16" s="1"/>
  <c r="P4955" i="16" s="1"/>
  <c r="I4954" i="16"/>
  <c r="L4954" i="16" s="1"/>
  <c r="O4954" i="16" s="1"/>
  <c r="P4954" i="16" s="1"/>
  <c r="K4953" i="16"/>
  <c r="N4953" i="16" s="1"/>
  <c r="J4953" i="16"/>
  <c r="H4953" i="16"/>
  <c r="G4953" i="16"/>
  <c r="F4953" i="16"/>
  <c r="I4952" i="16"/>
  <c r="L4952" i="16" s="1"/>
  <c r="O4952" i="16" s="1"/>
  <c r="P4952" i="16" s="1"/>
  <c r="I4951" i="16"/>
  <c r="L4951" i="16" s="1"/>
  <c r="O4951" i="16" s="1"/>
  <c r="P4951" i="16" s="1"/>
  <c r="E4950" i="16"/>
  <c r="E4949" i="16" s="1"/>
  <c r="K4949" i="16"/>
  <c r="N4949" i="16" s="1"/>
  <c r="J4949" i="16"/>
  <c r="H4949" i="16"/>
  <c r="G4949" i="16"/>
  <c r="F4949" i="16"/>
  <c r="E4948" i="16"/>
  <c r="I4947" i="16"/>
  <c r="L4947" i="16" s="1"/>
  <c r="O4947" i="16" s="1"/>
  <c r="P4947" i="16" s="1"/>
  <c r="E4946" i="16"/>
  <c r="I4946" i="16" s="1"/>
  <c r="K4945" i="16"/>
  <c r="N4945" i="16" s="1"/>
  <c r="J4945" i="16"/>
  <c r="H4945" i="16"/>
  <c r="G4945" i="16"/>
  <c r="F4945" i="16"/>
  <c r="E4944" i="16"/>
  <c r="I4944" i="16" s="1"/>
  <c r="L4944" i="16" s="1"/>
  <c r="O4944" i="16" s="1"/>
  <c r="P4944" i="16" s="1"/>
  <c r="E4943" i="16"/>
  <c r="I4943" i="16" s="1"/>
  <c r="L4943" i="16" s="1"/>
  <c r="O4943" i="16" s="1"/>
  <c r="P4943" i="16" s="1"/>
  <c r="E4942" i="16"/>
  <c r="I4942" i="16" s="1"/>
  <c r="L4942" i="16" s="1"/>
  <c r="O4942" i="16" s="1"/>
  <c r="K4941" i="16"/>
  <c r="N4941" i="16" s="1"/>
  <c r="J4941" i="16"/>
  <c r="H4941" i="16"/>
  <c r="G4941" i="16"/>
  <c r="F4941" i="16"/>
  <c r="I4940" i="16"/>
  <c r="L4940" i="16" s="1"/>
  <c r="O4940" i="16" s="1"/>
  <c r="P4940" i="16" s="1"/>
  <c r="I4939" i="16"/>
  <c r="L4939" i="16" s="1"/>
  <c r="O4939" i="16" s="1"/>
  <c r="P4939" i="16" s="1"/>
  <c r="I4938" i="16"/>
  <c r="L4938" i="16" s="1"/>
  <c r="O4938" i="16" s="1"/>
  <c r="K4937" i="16"/>
  <c r="N4937" i="16" s="1"/>
  <c r="J4937" i="16"/>
  <c r="H4937" i="16"/>
  <c r="G4937" i="16"/>
  <c r="F4937" i="16"/>
  <c r="E4937" i="16"/>
  <c r="I4936" i="16"/>
  <c r="L4936" i="16" s="1"/>
  <c r="C2219" i="19" s="1"/>
  <c r="I4935" i="16"/>
  <c r="L4935" i="16" s="1"/>
  <c r="O4935" i="16" s="1"/>
  <c r="P4935" i="16" s="1"/>
  <c r="I4934" i="16"/>
  <c r="L4934" i="16" s="1"/>
  <c r="O4934" i="16" s="1"/>
  <c r="P4934" i="16" s="1"/>
  <c r="I4933" i="16"/>
  <c r="L4933" i="16" s="1"/>
  <c r="O4933" i="16" s="1"/>
  <c r="P4933" i="16" s="1"/>
  <c r="I4932" i="16"/>
  <c r="L4932" i="16" s="1"/>
  <c r="O4932" i="16" s="1"/>
  <c r="P4932" i="16" s="1"/>
  <c r="E4929" i="16"/>
  <c r="E4928" i="16" s="1"/>
  <c r="K4928" i="16"/>
  <c r="N4928" i="16" s="1"/>
  <c r="J4928" i="16"/>
  <c r="H4928" i="16"/>
  <c r="G4928" i="16"/>
  <c r="F4928" i="16"/>
  <c r="I4927" i="16"/>
  <c r="I4926" i="16" s="1"/>
  <c r="K4926" i="16"/>
  <c r="N4926" i="16" s="1"/>
  <c r="J4926" i="16"/>
  <c r="H4926" i="16"/>
  <c r="G4926" i="16"/>
  <c r="F4926" i="16"/>
  <c r="E4926" i="16"/>
  <c r="I4925" i="16"/>
  <c r="L4925" i="16" s="1"/>
  <c r="O4925" i="16" s="1"/>
  <c r="P4925" i="16" s="1"/>
  <c r="I4924" i="16"/>
  <c r="L4924" i="16" s="1"/>
  <c r="O4924" i="16" s="1"/>
  <c r="H4923" i="16"/>
  <c r="H4922" i="16" s="1"/>
  <c r="K4922" i="16"/>
  <c r="N4922" i="16" s="1"/>
  <c r="J4922" i="16"/>
  <c r="G4922" i="16"/>
  <c r="F4922" i="16"/>
  <c r="E4922" i="16"/>
  <c r="I4921" i="16"/>
  <c r="L4921" i="16" s="1"/>
  <c r="O4921" i="16" s="1"/>
  <c r="P4921" i="16" s="1"/>
  <c r="I4920" i="16"/>
  <c r="L4920" i="16" s="1"/>
  <c r="O4920" i="16" s="1"/>
  <c r="P4920" i="16" s="1"/>
  <c r="E4918" i="16"/>
  <c r="I4918" i="16" s="1"/>
  <c r="L4918" i="16" s="1"/>
  <c r="O4918" i="16" s="1"/>
  <c r="P4918" i="16" s="1"/>
  <c r="I4917" i="16"/>
  <c r="L4917" i="16" s="1"/>
  <c r="O4917" i="16" s="1"/>
  <c r="K4916" i="16" a="1"/>
  <c r="K4916" i="16" s="1"/>
  <c r="N4916" i="16" s="1"/>
  <c r="J4916" i="16" a="1"/>
  <c r="J4916" i="16" s="1"/>
  <c r="H4916" i="16" a="1"/>
  <c r="H4916" i="16" s="1"/>
  <c r="G4916" i="16" a="1"/>
  <c r="G4916" i="16" s="1"/>
  <c r="F4916" i="16" a="1"/>
  <c r="F4916" i="16" s="1"/>
  <c r="I4915" i="16"/>
  <c r="L4915" i="16" s="1"/>
  <c r="O4915" i="16" s="1"/>
  <c r="P4915" i="16" s="1"/>
  <c r="E4914" i="16"/>
  <c r="I4914" i="16" s="1"/>
  <c r="L4914" i="16" s="1"/>
  <c r="O4914" i="16" s="1"/>
  <c r="P4914" i="16" s="1"/>
  <c r="K4913" i="16"/>
  <c r="N4913" i="16" s="1"/>
  <c r="J4913" i="16"/>
  <c r="H4913" i="16"/>
  <c r="G4913" i="16"/>
  <c r="F4913" i="16"/>
  <c r="E4913" i="16"/>
  <c r="I4912" i="16"/>
  <c r="L4912" i="16" s="1"/>
  <c r="O4912" i="16" s="1"/>
  <c r="P4912" i="16" s="1"/>
  <c r="P4911" i="16" s="1"/>
  <c r="K4911" i="16"/>
  <c r="N4911" i="16" s="1"/>
  <c r="J4911" i="16"/>
  <c r="H4911" i="16"/>
  <c r="G4911" i="16"/>
  <c r="F4911" i="16"/>
  <c r="E4911" i="16"/>
  <c r="I4910" i="16"/>
  <c r="L4910" i="16" s="1"/>
  <c r="O4910" i="16" s="1"/>
  <c r="K4909" i="16"/>
  <c r="N4909" i="16" s="1"/>
  <c r="J4909" i="16"/>
  <c r="H4909" i="16"/>
  <c r="G4909" i="16"/>
  <c r="F4909" i="16"/>
  <c r="E4909" i="16"/>
  <c r="I4908" i="16"/>
  <c r="L4908" i="16" s="1"/>
  <c r="O4908" i="16" s="1"/>
  <c r="P4908" i="16" s="1"/>
  <c r="E4907" i="16"/>
  <c r="E4905" i="16" s="1"/>
  <c r="I4906" i="16"/>
  <c r="L4906" i="16" s="1"/>
  <c r="O4906" i="16" s="1"/>
  <c r="P4906" i="16" s="1"/>
  <c r="K4905" i="16"/>
  <c r="N4905" i="16" s="1"/>
  <c r="J4905" i="16"/>
  <c r="H4905" i="16"/>
  <c r="G4905" i="16"/>
  <c r="F4905" i="16"/>
  <c r="I4904" i="16"/>
  <c r="I4903" i="16" s="1"/>
  <c r="K4903" i="16"/>
  <c r="N4903" i="16" s="1"/>
  <c r="J4903" i="16"/>
  <c r="H4903" i="16"/>
  <c r="G4903" i="16"/>
  <c r="F4903" i="16"/>
  <c r="E4903" i="16"/>
  <c r="I4902" i="16"/>
  <c r="L4902" i="16" s="1"/>
  <c r="O4902" i="16" s="1"/>
  <c r="P4902" i="16" s="1"/>
  <c r="I4901" i="16"/>
  <c r="L4901" i="16" s="1"/>
  <c r="O4901" i="16" s="1"/>
  <c r="P4901" i="16" s="1"/>
  <c r="I4900" i="16"/>
  <c r="K4899" i="16"/>
  <c r="N4899" i="16" s="1"/>
  <c r="J4899" i="16"/>
  <c r="H4899" i="16"/>
  <c r="G4899" i="16"/>
  <c r="F4899" i="16"/>
  <c r="E4899" i="16"/>
  <c r="E4898" i="16"/>
  <c r="I4898" i="16" s="1"/>
  <c r="L4898" i="16" s="1"/>
  <c r="O4898" i="16" s="1"/>
  <c r="P4898" i="16" s="1"/>
  <c r="I4897" i="16"/>
  <c r="L4897" i="16" s="1"/>
  <c r="O4897" i="16" s="1"/>
  <c r="P4897" i="16" s="1"/>
  <c r="I4896" i="16"/>
  <c r="L4896" i="16" s="1"/>
  <c r="O4896" i="16" s="1"/>
  <c r="K4895" i="16"/>
  <c r="N4895" i="16" s="1"/>
  <c r="J4895" i="16"/>
  <c r="H4895" i="16"/>
  <c r="G4895" i="16"/>
  <c r="F4895" i="16"/>
  <c r="E4895" i="16"/>
  <c r="E4894" i="16"/>
  <c r="I4894" i="16" s="1"/>
  <c r="L4894" i="16" s="1"/>
  <c r="O4894" i="16" s="1"/>
  <c r="P4894" i="16" s="1"/>
  <c r="I4893" i="16"/>
  <c r="L4893" i="16" s="1"/>
  <c r="O4893" i="16" s="1"/>
  <c r="P4893" i="16" s="1"/>
  <c r="E4892" i="16"/>
  <c r="I4892" i="16" s="1"/>
  <c r="L4892" i="16" s="1"/>
  <c r="O4892" i="16" s="1"/>
  <c r="P4892" i="16" s="1"/>
  <c r="K4891" i="16"/>
  <c r="N4891" i="16" s="1"/>
  <c r="J4891" i="16"/>
  <c r="H4891" i="16"/>
  <c r="G4891" i="16"/>
  <c r="F4891" i="16"/>
  <c r="I4890" i="16"/>
  <c r="L4890" i="16" s="1"/>
  <c r="O4890" i="16" s="1"/>
  <c r="P4890" i="16" s="1"/>
  <c r="E4889" i="16"/>
  <c r="I4889" i="16" s="1"/>
  <c r="L4889" i="16" s="1"/>
  <c r="O4889" i="16" s="1"/>
  <c r="P4889" i="16" s="1"/>
  <c r="I4888" i="16"/>
  <c r="K4887" i="16"/>
  <c r="N4887" i="16" s="1"/>
  <c r="J4887" i="16"/>
  <c r="H4887" i="16"/>
  <c r="G4887" i="16"/>
  <c r="F4887" i="16"/>
  <c r="I4886" i="16"/>
  <c r="L4886" i="16" s="1"/>
  <c r="O4886" i="16" s="1"/>
  <c r="P4886" i="16" s="1"/>
  <c r="I4885" i="16"/>
  <c r="L4885" i="16" s="1"/>
  <c r="O4885" i="16" s="1"/>
  <c r="P4885" i="16" s="1"/>
  <c r="I4884" i="16"/>
  <c r="L4884" i="16" s="1"/>
  <c r="O4884" i="16" s="1"/>
  <c r="P4884" i="16" s="1"/>
  <c r="I4881" i="16"/>
  <c r="I4880" i="16" s="1"/>
  <c r="K4880" i="16"/>
  <c r="N4880" i="16" s="1"/>
  <c r="J4880" i="16"/>
  <c r="H4880" i="16"/>
  <c r="G4880" i="16"/>
  <c r="F4880" i="16"/>
  <c r="E4880" i="16"/>
  <c r="I4879" i="16"/>
  <c r="L4879" i="16" s="1"/>
  <c r="O4879" i="16" s="1"/>
  <c r="P4879" i="16" s="1"/>
  <c r="I4878" i="16"/>
  <c r="L4878" i="16" s="1"/>
  <c r="O4878" i="16" s="1"/>
  <c r="K4877" i="16"/>
  <c r="N4877" i="16" s="1"/>
  <c r="J4877" i="16"/>
  <c r="H4877" i="16"/>
  <c r="G4877" i="16"/>
  <c r="F4877" i="16"/>
  <c r="E4877" i="16"/>
  <c r="I4876" i="16"/>
  <c r="I4875" i="16" s="1"/>
  <c r="K4875" i="16"/>
  <c r="N4875" i="16" s="1"/>
  <c r="J4875" i="16"/>
  <c r="H4875" i="16"/>
  <c r="G4875" i="16"/>
  <c r="F4875" i="16"/>
  <c r="E4875" i="16"/>
  <c r="I4874" i="16"/>
  <c r="L4874" i="16" s="1"/>
  <c r="O4874" i="16" s="1"/>
  <c r="P4874" i="16" s="1"/>
  <c r="I4873" i="16"/>
  <c r="L4873" i="16" s="1"/>
  <c r="O4873" i="16" s="1"/>
  <c r="P4873" i="16" s="1"/>
  <c r="I4872" i="16"/>
  <c r="L4872" i="16" s="1"/>
  <c r="O4872" i="16" s="1"/>
  <c r="K4871" i="16"/>
  <c r="N4871" i="16" s="1"/>
  <c r="J4871" i="16"/>
  <c r="H4871" i="16"/>
  <c r="G4871" i="16"/>
  <c r="F4871" i="16"/>
  <c r="E4871" i="16"/>
  <c r="I4870" i="16"/>
  <c r="L4870" i="16" s="1"/>
  <c r="O4870" i="16" s="1"/>
  <c r="P4870" i="16" s="1"/>
  <c r="E4869" i="16"/>
  <c r="I4869" i="16" s="1"/>
  <c r="L4869" i="16" s="1"/>
  <c r="O4869" i="16" s="1"/>
  <c r="P4869" i="16" s="1"/>
  <c r="I4868" i="16"/>
  <c r="L4868" i="16" s="1"/>
  <c r="O4868" i="16" s="1"/>
  <c r="K4867" i="16"/>
  <c r="N4867" i="16" s="1"/>
  <c r="J4867" i="16"/>
  <c r="H4867" i="16"/>
  <c r="G4867" i="16"/>
  <c r="F4867" i="16"/>
  <c r="I4866" i="16"/>
  <c r="L4866" i="16" s="1"/>
  <c r="O4866" i="16" s="1"/>
  <c r="K4865" i="16"/>
  <c r="N4865" i="16" s="1"/>
  <c r="J4865" i="16"/>
  <c r="H4865" i="16"/>
  <c r="G4865" i="16"/>
  <c r="F4865" i="16"/>
  <c r="E4865" i="16"/>
  <c r="I4864" i="16"/>
  <c r="L4864" i="16" s="1"/>
  <c r="O4864" i="16" s="1"/>
  <c r="P4864" i="16" s="1"/>
  <c r="I4863" i="16"/>
  <c r="L4863" i="16" s="1"/>
  <c r="O4863" i="16" s="1"/>
  <c r="P4863" i="16" s="1"/>
  <c r="I4862" i="16"/>
  <c r="L4862" i="16" s="1"/>
  <c r="O4862" i="16" s="1"/>
  <c r="K4861" i="16"/>
  <c r="N4861" i="16" s="1"/>
  <c r="J4861" i="16"/>
  <c r="H4861" i="16"/>
  <c r="G4861" i="16"/>
  <c r="F4861" i="16"/>
  <c r="E4861" i="16"/>
  <c r="E4860" i="16"/>
  <c r="I4860" i="16" s="1"/>
  <c r="L4860" i="16" s="1"/>
  <c r="O4860" i="16" s="1"/>
  <c r="P4860" i="16" s="1"/>
  <c r="I4859" i="16"/>
  <c r="L4859" i="16" s="1"/>
  <c r="O4859" i="16" s="1"/>
  <c r="P4859" i="16" s="1"/>
  <c r="E4858" i="16"/>
  <c r="I4858" i="16" s="1"/>
  <c r="K4857" i="16"/>
  <c r="N4857" i="16" s="1"/>
  <c r="J4857" i="16"/>
  <c r="H4857" i="16"/>
  <c r="G4857" i="16"/>
  <c r="F4857" i="16"/>
  <c r="E4856" i="16"/>
  <c r="I4856" i="16" s="1"/>
  <c r="L4856" i="16" s="1"/>
  <c r="O4856" i="16" s="1"/>
  <c r="P4856" i="16" s="1"/>
  <c r="E4855" i="16"/>
  <c r="I4855" i="16" s="1"/>
  <c r="L4855" i="16" s="1"/>
  <c r="O4855" i="16" s="1"/>
  <c r="P4855" i="16" s="1"/>
  <c r="I4854" i="16"/>
  <c r="L4854" i="16" s="1"/>
  <c r="O4854" i="16" s="1"/>
  <c r="K4853" i="16"/>
  <c r="N4853" i="16" s="1"/>
  <c r="J4853" i="16"/>
  <c r="H4853" i="16"/>
  <c r="G4853" i="16"/>
  <c r="F4853" i="16"/>
  <c r="I4852" i="16"/>
  <c r="L4852" i="16" s="1"/>
  <c r="O4852" i="16" s="1"/>
  <c r="P4852" i="16" s="1"/>
  <c r="I4851" i="16"/>
  <c r="I4850" i="16"/>
  <c r="L4850" i="16" s="1"/>
  <c r="O4850" i="16" s="1"/>
  <c r="K4849" i="16"/>
  <c r="N4849" i="16" s="1"/>
  <c r="J4849" i="16"/>
  <c r="H4849" i="16"/>
  <c r="G4849" i="16"/>
  <c r="F4849" i="16"/>
  <c r="E4849" i="16"/>
  <c r="I4848" i="16"/>
  <c r="L4848" i="16" s="1"/>
  <c r="O4848" i="16" s="1"/>
  <c r="P4848" i="16" s="1"/>
  <c r="I4847" i="16"/>
  <c r="L4847" i="16" s="1"/>
  <c r="O4847" i="16" s="1"/>
  <c r="P4847" i="16" s="1"/>
  <c r="I4846" i="16"/>
  <c r="L4846" i="16" s="1"/>
  <c r="O4846" i="16" s="1"/>
  <c r="P4846" i="16" s="1"/>
  <c r="I4845" i="16"/>
  <c r="L4845" i="16" s="1"/>
  <c r="O4845" i="16" s="1"/>
  <c r="P4845" i="16" s="1"/>
  <c r="I4844" i="16"/>
  <c r="L4844" i="16" s="1"/>
  <c r="O4844" i="16" s="1"/>
  <c r="P4844" i="16" s="1"/>
  <c r="E4841" i="16"/>
  <c r="I4841" i="16" s="1"/>
  <c r="L4841" i="16" s="1"/>
  <c r="O4841" i="16" s="1"/>
  <c r="P4841" i="16" s="1"/>
  <c r="E4840" i="16"/>
  <c r="I4840" i="16" s="1"/>
  <c r="L4840" i="16" s="1"/>
  <c r="O4840" i="16" s="1"/>
  <c r="P4840" i="16" s="1"/>
  <c r="E4839" i="16"/>
  <c r="I4839" i="16" s="1"/>
  <c r="L4839" i="16" s="1"/>
  <c r="O4839" i="16" s="1"/>
  <c r="P4839" i="16" s="1"/>
  <c r="E4838" i="16"/>
  <c r="I4838" i="16" s="1"/>
  <c r="L4838" i="16" s="1"/>
  <c r="O4838" i="16" s="1"/>
  <c r="P4838" i="16" s="1"/>
  <c r="E4837" i="16"/>
  <c r="I4837" i="16" s="1"/>
  <c r="K4836" i="16"/>
  <c r="N4836" i="16" s="1"/>
  <c r="J4836" i="16"/>
  <c r="H4836" i="16"/>
  <c r="G4836" i="16"/>
  <c r="F4836" i="16"/>
  <c r="I4835" i="16"/>
  <c r="L4835" i="16" s="1"/>
  <c r="O4835" i="16" s="1"/>
  <c r="P4835" i="16" s="1"/>
  <c r="I4834" i="16"/>
  <c r="L4834" i="16" s="1"/>
  <c r="O4834" i="16" s="1"/>
  <c r="P4834" i="16" s="1"/>
  <c r="I4833" i="16"/>
  <c r="L4833" i="16" s="1"/>
  <c r="O4833" i="16" s="1"/>
  <c r="P4833" i="16" s="1"/>
  <c r="I4831" i="16"/>
  <c r="L4831" i="16" s="1"/>
  <c r="O4831" i="16" s="1"/>
  <c r="P4831" i="16" s="1"/>
  <c r="I4830" i="16"/>
  <c r="L4830" i="16" s="1"/>
  <c r="O4830" i="16" s="1"/>
  <c r="P4830" i="16" s="1"/>
  <c r="I4829" i="16"/>
  <c r="L4829" i="16" s="1"/>
  <c r="O4829" i="16" s="1"/>
  <c r="P4829" i="16" s="1"/>
  <c r="K4828" i="16"/>
  <c r="N4828" i="16" s="1"/>
  <c r="J4828" i="16"/>
  <c r="H4828" i="16"/>
  <c r="G4828" i="16"/>
  <c r="F4828" i="16"/>
  <c r="E4828" i="16"/>
  <c r="I4827" i="16"/>
  <c r="L4827" i="16" s="1"/>
  <c r="O4827" i="16" s="1"/>
  <c r="P4827" i="16" s="1"/>
  <c r="E4826" i="16"/>
  <c r="E4824" i="16" s="1"/>
  <c r="I4825" i="16"/>
  <c r="L4825" i="16" s="1"/>
  <c r="O4825" i="16" s="1"/>
  <c r="P4825" i="16" s="1"/>
  <c r="K4824" i="16"/>
  <c r="N4824" i="16" s="1"/>
  <c r="J4824" i="16"/>
  <c r="H4824" i="16"/>
  <c r="G4824" i="16"/>
  <c r="F4824" i="16"/>
  <c r="I4823" i="16"/>
  <c r="I4822" i="16" s="1"/>
  <c r="K4822" i="16"/>
  <c r="N4822" i="16" s="1"/>
  <c r="J4822" i="16"/>
  <c r="H4822" i="16"/>
  <c r="G4822" i="16"/>
  <c r="F4822" i="16"/>
  <c r="E4822" i="16"/>
  <c r="I4821" i="16"/>
  <c r="L4821" i="16" s="1"/>
  <c r="O4821" i="16" s="1"/>
  <c r="P4821" i="16" s="1"/>
  <c r="I4820" i="16"/>
  <c r="L4820" i="16" s="1"/>
  <c r="O4820" i="16" s="1"/>
  <c r="P4820" i="16" s="1"/>
  <c r="I4819" i="16"/>
  <c r="K4818" i="16"/>
  <c r="N4818" i="16" s="1"/>
  <c r="J4818" i="16"/>
  <c r="H4818" i="16"/>
  <c r="G4818" i="16"/>
  <c r="F4818" i="16"/>
  <c r="E4818" i="16"/>
  <c r="I4817" i="16"/>
  <c r="K4816" i="16"/>
  <c r="N4816" i="16" s="1"/>
  <c r="J4816" i="16"/>
  <c r="H4816" i="16"/>
  <c r="G4816" i="16"/>
  <c r="F4816" i="16"/>
  <c r="E4816" i="16"/>
  <c r="I4815" i="16"/>
  <c r="L4815" i="16" s="1"/>
  <c r="O4815" i="16" s="1"/>
  <c r="P4815" i="16" s="1"/>
  <c r="I4814" i="16"/>
  <c r="I4813" i="16" s="1"/>
  <c r="K4813" i="16"/>
  <c r="N4813" i="16" s="1"/>
  <c r="J4813" i="16"/>
  <c r="H4813" i="16"/>
  <c r="G4813" i="16"/>
  <c r="F4813" i="16"/>
  <c r="E4813" i="16"/>
  <c r="I4812" i="16"/>
  <c r="L4812" i="16" s="1"/>
  <c r="O4812" i="16" s="1"/>
  <c r="P4812" i="16" s="1"/>
  <c r="I4811" i="16"/>
  <c r="L4811" i="16" s="1"/>
  <c r="O4811" i="16" s="1"/>
  <c r="P4811" i="16" s="1"/>
  <c r="I4810" i="16"/>
  <c r="L4810" i="16" s="1"/>
  <c r="O4810" i="16" s="1"/>
  <c r="P4810" i="16" s="1"/>
  <c r="I4809" i="16"/>
  <c r="L4809" i="16" s="1"/>
  <c r="O4809" i="16" s="1"/>
  <c r="P4809" i="16" s="1"/>
  <c r="I4808" i="16"/>
  <c r="L4808" i="16" s="1"/>
  <c r="O4808" i="16" s="1"/>
  <c r="P4808" i="16" s="1"/>
  <c r="I4805" i="16"/>
  <c r="L4805" i="16" s="1"/>
  <c r="O4805" i="16" s="1"/>
  <c r="K4804" i="16"/>
  <c r="N4804" i="16" s="1"/>
  <c r="J4804" i="16"/>
  <c r="H4804" i="16"/>
  <c r="G4804" i="16"/>
  <c r="F4804" i="16"/>
  <c r="E4804" i="16"/>
  <c r="I4803" i="16"/>
  <c r="L4803" i="16" s="1"/>
  <c r="O4803" i="16" s="1"/>
  <c r="O4802" i="16" s="1"/>
  <c r="K4802" i="16"/>
  <c r="N4802" i="16" s="1"/>
  <c r="H4802" i="16"/>
  <c r="G4802" i="16"/>
  <c r="F4802" i="16"/>
  <c r="E4802" i="16"/>
  <c r="I4801" i="16"/>
  <c r="L4801" i="16" s="1"/>
  <c r="O4801" i="16" s="1"/>
  <c r="P4801" i="16" s="1"/>
  <c r="I4800" i="16"/>
  <c r="K4799" i="16"/>
  <c r="N4799" i="16" s="1"/>
  <c r="H4799" i="16"/>
  <c r="G4799" i="16"/>
  <c r="F4799" i="16"/>
  <c r="E4799" i="16"/>
  <c r="I4798" i="16"/>
  <c r="L4798" i="16" s="1"/>
  <c r="O4798" i="16" s="1"/>
  <c r="P4798" i="16" s="1"/>
  <c r="E4797" i="16"/>
  <c r="I4797" i="16" s="1"/>
  <c r="L4797" i="16" s="1"/>
  <c r="O4797" i="16" s="1"/>
  <c r="P4797" i="16" s="1"/>
  <c r="I4796" i="16"/>
  <c r="I4795" i="16"/>
  <c r="L4795" i="16" s="1"/>
  <c r="O4795" i="16" s="1"/>
  <c r="P4795" i="16" s="1"/>
  <c r="K4794" i="16"/>
  <c r="N4794" i="16" s="1"/>
  <c r="J4794" i="16"/>
  <c r="H4794" i="16"/>
  <c r="G4794" i="16"/>
  <c r="F4794" i="16"/>
  <c r="E4794" i="16"/>
  <c r="I4793" i="16"/>
  <c r="L4793" i="16" s="1"/>
  <c r="O4793" i="16" s="1"/>
  <c r="P4793" i="16" s="1"/>
  <c r="E4792" i="16"/>
  <c r="I4792" i="16" s="1"/>
  <c r="L4792" i="16" s="1"/>
  <c r="O4792" i="16" s="1"/>
  <c r="P4792" i="16" s="1"/>
  <c r="E4791" i="16"/>
  <c r="I4791" i="16" s="1"/>
  <c r="L4791" i="16" s="1"/>
  <c r="O4791" i="16" s="1"/>
  <c r="K4790" i="16"/>
  <c r="N4790" i="16" s="1"/>
  <c r="J4790" i="16"/>
  <c r="H4790" i="16"/>
  <c r="G4790" i="16"/>
  <c r="F4790" i="16"/>
  <c r="I4789" i="16"/>
  <c r="L4789" i="16" s="1"/>
  <c r="O4789" i="16" s="1"/>
  <c r="K4788" i="16"/>
  <c r="N4788" i="16" s="1"/>
  <c r="J4788" i="16"/>
  <c r="H4788" i="16"/>
  <c r="G4788" i="16"/>
  <c r="F4788" i="16"/>
  <c r="E4788" i="16"/>
  <c r="I4787" i="16"/>
  <c r="L4787" i="16" s="1"/>
  <c r="O4787" i="16" s="1"/>
  <c r="P4787" i="16" s="1"/>
  <c r="I4786" i="16"/>
  <c r="L4786" i="16" s="1"/>
  <c r="O4786" i="16" s="1"/>
  <c r="P4786" i="16" s="1"/>
  <c r="I4785" i="16"/>
  <c r="L4785" i="16" s="1"/>
  <c r="O4785" i="16" s="1"/>
  <c r="K4784" i="16"/>
  <c r="N4784" i="16" s="1"/>
  <c r="J4784" i="16"/>
  <c r="H4784" i="16"/>
  <c r="G4784" i="16"/>
  <c r="F4784" i="16"/>
  <c r="E4784" i="16"/>
  <c r="I4783" i="16"/>
  <c r="L4783" i="16" s="1"/>
  <c r="O4783" i="16" s="1"/>
  <c r="P4783" i="16" s="1"/>
  <c r="I4782" i="16"/>
  <c r="L4782" i="16" s="1"/>
  <c r="O4782" i="16" s="1"/>
  <c r="P4782" i="16" s="1"/>
  <c r="I4781" i="16"/>
  <c r="L4781" i="16" s="1"/>
  <c r="O4781" i="16" s="1"/>
  <c r="K4780" i="16"/>
  <c r="N4780" i="16" s="1"/>
  <c r="J4780" i="16"/>
  <c r="H4780" i="16"/>
  <c r="G4780" i="16"/>
  <c r="F4780" i="16"/>
  <c r="E4780" i="16"/>
  <c r="E4779" i="16"/>
  <c r="I4779" i="16" s="1"/>
  <c r="L4779" i="16" s="1"/>
  <c r="O4779" i="16" s="1"/>
  <c r="P4779" i="16" s="1"/>
  <c r="E4778" i="16"/>
  <c r="I4778" i="16" s="1"/>
  <c r="L4778" i="16" s="1"/>
  <c r="O4778" i="16" s="1"/>
  <c r="P4778" i="16" s="1"/>
  <c r="I4777" i="16"/>
  <c r="L4777" i="16" s="1"/>
  <c r="O4777" i="16" s="1"/>
  <c r="K4776" i="16"/>
  <c r="N4776" i="16" s="1"/>
  <c r="J4776" i="16"/>
  <c r="H4776" i="16"/>
  <c r="G4776" i="16"/>
  <c r="F4776" i="16"/>
  <c r="I4775" i="16"/>
  <c r="L4775" i="16" s="1"/>
  <c r="O4775" i="16" s="1"/>
  <c r="P4775" i="16" s="1"/>
  <c r="I4774" i="16"/>
  <c r="L4774" i="16" s="1"/>
  <c r="O4774" i="16" s="1"/>
  <c r="P4774" i="16" s="1"/>
  <c r="I4773" i="16"/>
  <c r="L4773" i="16" s="1"/>
  <c r="O4773" i="16" s="1"/>
  <c r="K4772" i="16"/>
  <c r="N4772" i="16" s="1"/>
  <c r="J4772" i="16"/>
  <c r="H4772" i="16"/>
  <c r="G4772" i="16"/>
  <c r="F4772" i="16"/>
  <c r="E4772" i="16"/>
  <c r="I4771" i="16"/>
  <c r="L4771" i="16" s="1"/>
  <c r="O4771" i="16" s="1"/>
  <c r="P4771" i="16" s="1"/>
  <c r="I4770" i="16"/>
  <c r="L4770" i="16" s="1"/>
  <c r="O4770" i="16" s="1"/>
  <c r="K4769" i="16"/>
  <c r="N4769" i="16" s="1"/>
  <c r="J4769" i="16"/>
  <c r="H4769" i="16"/>
  <c r="G4769" i="16"/>
  <c r="F4769" i="16"/>
  <c r="E4769" i="16"/>
  <c r="I4768" i="16"/>
  <c r="K4767" i="16"/>
  <c r="N4767" i="16" s="1"/>
  <c r="J4767" i="16"/>
  <c r="H4767" i="16"/>
  <c r="G4767" i="16"/>
  <c r="F4767" i="16"/>
  <c r="E4767" i="16"/>
  <c r="I4766" i="16"/>
  <c r="L4766" i="16" s="1"/>
  <c r="O4766" i="16" s="1"/>
  <c r="P4766" i="16" s="1"/>
  <c r="O4765" i="16"/>
  <c r="I4765" i="16"/>
  <c r="O4764" i="16"/>
  <c r="I4764" i="16"/>
  <c r="O4763" i="16"/>
  <c r="I4763" i="16"/>
  <c r="I4754" i="16"/>
  <c r="L4754" i="16" s="1"/>
  <c r="O4754" i="16" s="1"/>
  <c r="P4754" i="16" s="1"/>
  <c r="I4753" i="16"/>
  <c r="K4752" i="16"/>
  <c r="N4752" i="16" s="1"/>
  <c r="J4752" i="16"/>
  <c r="H4752" i="16"/>
  <c r="G4752" i="16"/>
  <c r="F4752" i="16"/>
  <c r="E4752" i="16"/>
  <c r="E4751" i="16"/>
  <c r="I4751" i="16" s="1"/>
  <c r="K4750" i="16"/>
  <c r="J4750" i="16"/>
  <c r="H4750" i="16"/>
  <c r="G4750" i="16"/>
  <c r="F4750" i="16"/>
  <c r="I4749" i="16"/>
  <c r="L4749" i="16" s="1"/>
  <c r="O4749" i="16" s="1"/>
  <c r="P4749" i="16" s="1"/>
  <c r="I4748" i="16"/>
  <c r="L4748" i="16" s="1"/>
  <c r="O4748" i="16" s="1"/>
  <c r="P4748" i="16" s="1"/>
  <c r="I4747" i="16"/>
  <c r="L4747" i="16" s="1"/>
  <c r="O4747" i="16" s="1"/>
  <c r="P4747" i="16" s="1"/>
  <c r="E4745" i="16"/>
  <c r="E4744" i="16" s="1"/>
  <c r="K4744" i="16"/>
  <c r="N4744" i="16" s="1"/>
  <c r="J4744" i="16"/>
  <c r="H4744" i="16"/>
  <c r="G4744" i="16"/>
  <c r="F4744" i="16"/>
  <c r="I4743" i="16"/>
  <c r="K4742" i="16"/>
  <c r="N4742" i="16" s="1"/>
  <c r="J4742" i="16"/>
  <c r="H4742" i="16"/>
  <c r="G4742" i="16"/>
  <c r="F4742" i="16"/>
  <c r="E4742" i="16"/>
  <c r="I4741" i="16"/>
  <c r="I4740" i="16" s="1"/>
  <c r="K4740" i="16"/>
  <c r="N4740" i="16" s="1"/>
  <c r="J4740" i="16"/>
  <c r="H4740" i="16"/>
  <c r="G4740" i="16"/>
  <c r="F4740" i="16"/>
  <c r="E4740" i="16"/>
  <c r="I4739" i="16"/>
  <c r="L4739" i="16" s="1"/>
  <c r="O4739" i="16" s="1"/>
  <c r="P4739" i="16" s="1"/>
  <c r="I4738" i="16"/>
  <c r="L4738" i="16" s="1"/>
  <c r="O4738" i="16" s="1"/>
  <c r="P4738" i="16" s="1"/>
  <c r="I4737" i="16"/>
  <c r="L4737" i="16" s="1"/>
  <c r="O4737" i="16" s="1"/>
  <c r="K4736" i="16"/>
  <c r="N4736" i="16" s="1"/>
  <c r="J4736" i="16"/>
  <c r="H4736" i="16"/>
  <c r="G4736" i="16"/>
  <c r="F4736" i="16"/>
  <c r="E4736" i="16"/>
  <c r="I4735" i="16"/>
  <c r="I4734" i="16" s="1"/>
  <c r="K4734" i="16"/>
  <c r="N4734" i="16" s="1"/>
  <c r="J4734" i="16"/>
  <c r="H4734" i="16"/>
  <c r="G4734" i="16"/>
  <c r="F4734" i="16"/>
  <c r="E4734" i="16"/>
  <c r="I4733" i="16"/>
  <c r="L4733" i="16" s="1"/>
  <c r="O4733" i="16" s="1"/>
  <c r="K4732" i="16"/>
  <c r="N4732" i="16" s="1"/>
  <c r="J4732" i="16"/>
  <c r="H4732" i="16"/>
  <c r="G4732" i="16"/>
  <c r="F4732" i="16"/>
  <c r="E4732" i="16"/>
  <c r="I4731" i="16"/>
  <c r="L4731" i="16" s="1"/>
  <c r="O4731" i="16" s="1"/>
  <c r="P4731" i="16" s="1"/>
  <c r="I4730" i="16"/>
  <c r="L4730" i="16" s="1"/>
  <c r="O4730" i="16" s="1"/>
  <c r="K4729" i="16"/>
  <c r="N4729" i="16" s="1"/>
  <c r="J4729" i="16"/>
  <c r="H4729" i="16"/>
  <c r="G4729" i="16"/>
  <c r="F4729" i="16"/>
  <c r="E4729" i="16"/>
  <c r="I4728" i="16"/>
  <c r="L4728" i="16" s="1"/>
  <c r="O4728" i="16" s="1"/>
  <c r="P4728" i="16" s="1"/>
  <c r="I4727" i="16"/>
  <c r="L4727" i="16" s="1"/>
  <c r="O4727" i="16" s="1"/>
  <c r="K4726" i="16"/>
  <c r="N4726" i="16" s="1"/>
  <c r="J4726" i="16"/>
  <c r="H4726" i="16"/>
  <c r="G4726" i="16"/>
  <c r="F4726" i="16"/>
  <c r="E4726" i="16"/>
  <c r="I4725" i="16"/>
  <c r="L4725" i="16" s="1"/>
  <c r="O4725" i="16" s="1"/>
  <c r="P4725" i="16" s="1"/>
  <c r="I4724" i="16"/>
  <c r="L4724" i="16" s="1"/>
  <c r="O4724" i="16" s="1"/>
  <c r="P4724" i="16" s="1"/>
  <c r="I4723" i="16"/>
  <c r="L4723" i="16" s="1"/>
  <c r="O4723" i="16" s="1"/>
  <c r="K4722" i="16"/>
  <c r="N4722" i="16" s="1"/>
  <c r="J4722" i="16"/>
  <c r="H4722" i="16"/>
  <c r="G4722" i="16"/>
  <c r="F4722" i="16"/>
  <c r="E4722" i="16"/>
  <c r="I4721" i="16"/>
  <c r="K4720" i="16"/>
  <c r="N4720" i="16" s="1"/>
  <c r="J4720" i="16"/>
  <c r="H4720" i="16"/>
  <c r="G4720" i="16"/>
  <c r="F4720" i="16"/>
  <c r="E4720" i="16"/>
  <c r="I4719" i="16"/>
  <c r="L4719" i="16" s="1"/>
  <c r="O4719" i="16" s="1"/>
  <c r="P4719" i="16" s="1"/>
  <c r="I4718" i="16"/>
  <c r="L4718" i="16" s="1"/>
  <c r="O4718" i="16" s="1"/>
  <c r="K4717" i="16"/>
  <c r="N4717" i="16" s="1"/>
  <c r="J4717" i="16"/>
  <c r="H4717" i="16"/>
  <c r="G4717" i="16"/>
  <c r="F4717" i="16"/>
  <c r="E4717" i="16"/>
  <c r="I4716" i="16"/>
  <c r="L4716" i="16" s="1"/>
  <c r="O4716" i="16" s="1"/>
  <c r="P4716" i="16" s="1"/>
  <c r="I4715" i="16"/>
  <c r="L4715" i="16" s="1"/>
  <c r="O4715" i="16" s="1"/>
  <c r="I4714" i="16"/>
  <c r="L4714" i="16" s="1"/>
  <c r="O4714" i="16" s="1"/>
  <c r="P4714" i="16" s="1"/>
  <c r="E4711" i="16"/>
  <c r="K4710" i="16"/>
  <c r="J4710" i="16"/>
  <c r="H4710" i="16"/>
  <c r="G4710" i="16"/>
  <c r="F4710" i="16"/>
  <c r="I4709" i="16"/>
  <c r="K4708" i="16"/>
  <c r="N4708" i="16" s="1"/>
  <c r="J4708" i="16"/>
  <c r="H4708" i="16"/>
  <c r="G4708" i="16"/>
  <c r="F4708" i="16"/>
  <c r="E4708" i="16"/>
  <c r="I4707" i="16"/>
  <c r="I4706" i="16" s="1"/>
  <c r="K4706" i="16"/>
  <c r="N4706" i="16" s="1"/>
  <c r="J4706" i="16"/>
  <c r="H4706" i="16"/>
  <c r="G4706" i="16"/>
  <c r="F4706" i="16"/>
  <c r="E4706" i="16"/>
  <c r="I4705" i="16"/>
  <c r="L4705" i="16" s="1"/>
  <c r="O4705" i="16" s="1"/>
  <c r="P4705" i="16" s="1"/>
  <c r="I4704" i="16"/>
  <c r="L4704" i="16" s="1"/>
  <c r="O4704" i="16" s="1"/>
  <c r="P4704" i="16" s="1"/>
  <c r="I4703" i="16"/>
  <c r="L4703" i="16" s="1"/>
  <c r="O4703" i="16" s="1"/>
  <c r="P4703" i="16" s="1"/>
  <c r="E4701" i="16"/>
  <c r="I4701" i="16" s="1"/>
  <c r="K4700" i="16"/>
  <c r="N4700" i="16" s="1"/>
  <c r="J4700" i="16"/>
  <c r="H4700" i="16"/>
  <c r="G4700" i="16"/>
  <c r="F4700" i="16"/>
  <c r="I4699" i="16"/>
  <c r="L4699" i="16" s="1"/>
  <c r="O4699" i="16" s="1"/>
  <c r="P4699" i="16" s="1"/>
  <c r="I4698" i="16"/>
  <c r="L4698" i="16" s="1"/>
  <c r="O4698" i="16" s="1"/>
  <c r="P4698" i="16" s="1"/>
  <c r="I4697" i="16"/>
  <c r="L4697" i="16" s="1"/>
  <c r="O4697" i="16" s="1"/>
  <c r="K4696" i="16"/>
  <c r="N4696" i="16" s="1"/>
  <c r="J4696" i="16"/>
  <c r="H4696" i="16"/>
  <c r="G4696" i="16"/>
  <c r="F4696" i="16"/>
  <c r="E4696" i="16"/>
  <c r="I4695" i="16"/>
  <c r="K4694" i="16"/>
  <c r="N4694" i="16" s="1"/>
  <c r="J4694" i="16"/>
  <c r="H4694" i="16"/>
  <c r="G4694" i="16"/>
  <c r="F4694" i="16"/>
  <c r="E4694" i="16"/>
  <c r="I4693" i="16"/>
  <c r="L4693" i="16" s="1"/>
  <c r="O4693" i="16" s="1"/>
  <c r="P4693" i="16" s="1"/>
  <c r="P4692" i="16" s="1"/>
  <c r="K4692" i="16"/>
  <c r="N4692" i="16" s="1"/>
  <c r="J4692" i="16"/>
  <c r="H4692" i="16"/>
  <c r="G4692" i="16"/>
  <c r="F4692" i="16"/>
  <c r="E4692" i="16"/>
  <c r="I4691" i="16"/>
  <c r="L4691" i="16" s="1"/>
  <c r="O4691" i="16" s="1"/>
  <c r="K4690" i="16"/>
  <c r="N4690" i="16" s="1"/>
  <c r="J4690" i="16"/>
  <c r="H4690" i="16"/>
  <c r="G4690" i="16"/>
  <c r="F4690" i="16"/>
  <c r="E4690" i="16"/>
  <c r="I4689" i="16"/>
  <c r="L4689" i="16" s="1"/>
  <c r="O4689" i="16" s="1"/>
  <c r="P4689" i="16" s="1"/>
  <c r="I4688" i="16"/>
  <c r="L4688" i="16" s="1"/>
  <c r="O4688" i="16" s="1"/>
  <c r="P4688" i="16" s="1"/>
  <c r="I4687" i="16"/>
  <c r="K4686" i="16"/>
  <c r="N4686" i="16" s="1"/>
  <c r="J4686" i="16"/>
  <c r="H4686" i="16"/>
  <c r="G4686" i="16"/>
  <c r="F4686" i="16"/>
  <c r="E4686" i="16"/>
  <c r="I4685" i="16"/>
  <c r="K4684" i="16"/>
  <c r="N4684" i="16" s="1"/>
  <c r="J4684" i="16"/>
  <c r="H4684" i="16"/>
  <c r="G4684" i="16"/>
  <c r="F4684" i="16"/>
  <c r="E4684" i="16"/>
  <c r="I4683" i="16"/>
  <c r="L4683" i="16" s="1"/>
  <c r="O4683" i="16" s="1"/>
  <c r="P4683" i="16" s="1"/>
  <c r="P4682" i="16" s="1"/>
  <c r="K4682" i="16"/>
  <c r="N4682" i="16" s="1"/>
  <c r="J4682" i="16"/>
  <c r="H4682" i="16"/>
  <c r="G4682" i="16"/>
  <c r="F4682" i="16"/>
  <c r="E4682" i="16"/>
  <c r="I4681" i="16"/>
  <c r="L4681" i="16" s="1"/>
  <c r="O4681" i="16" s="1"/>
  <c r="P4681" i="16" s="1"/>
  <c r="I4680" i="16"/>
  <c r="I4679" i="16"/>
  <c r="L4679" i="16" s="1"/>
  <c r="O4679" i="16" s="1"/>
  <c r="K4678" i="16"/>
  <c r="N4678" i="16" s="1"/>
  <c r="J4678" i="16"/>
  <c r="H4678" i="16"/>
  <c r="G4678" i="16"/>
  <c r="F4678" i="16"/>
  <c r="E4678" i="16"/>
  <c r="I4677" i="16"/>
  <c r="L4677" i="16" s="1"/>
  <c r="O4677" i="16" s="1"/>
  <c r="K4676" i="16"/>
  <c r="N4676" i="16" s="1"/>
  <c r="J4676" i="16"/>
  <c r="H4676" i="16"/>
  <c r="G4676" i="16"/>
  <c r="F4676" i="16"/>
  <c r="E4676" i="16"/>
  <c r="I4675" i="16"/>
  <c r="L4675" i="16" s="1"/>
  <c r="O4675" i="16" s="1"/>
  <c r="P4675" i="16" s="1"/>
  <c r="I4674" i="16"/>
  <c r="L4674" i="16" s="1"/>
  <c r="O4674" i="16" s="1"/>
  <c r="P4674" i="16" s="1"/>
  <c r="I4673" i="16"/>
  <c r="L4673" i="16" s="1"/>
  <c r="O4673" i="16" s="1"/>
  <c r="P4673" i="16" s="1"/>
  <c r="K4672" i="16"/>
  <c r="N4672" i="16" s="1"/>
  <c r="J4672" i="16"/>
  <c r="H4672" i="16"/>
  <c r="G4672" i="16"/>
  <c r="F4672" i="16"/>
  <c r="E4672" i="16"/>
  <c r="I4671" i="16"/>
  <c r="L4671" i="16" s="1"/>
  <c r="O4671" i="16" s="1"/>
  <c r="P4671" i="16" s="1"/>
  <c r="I4670" i="16"/>
  <c r="L4670" i="16" s="1"/>
  <c r="O4670" i="16" s="1"/>
  <c r="K4669" i="16"/>
  <c r="N4669" i="16" s="1"/>
  <c r="J4669" i="16"/>
  <c r="H4669" i="16"/>
  <c r="G4669" i="16"/>
  <c r="F4669" i="16"/>
  <c r="E4669" i="16"/>
  <c r="I4668" i="16"/>
  <c r="L4668" i="16" s="1"/>
  <c r="O4668" i="16" s="1"/>
  <c r="P4668" i="16" s="1"/>
  <c r="I4667" i="16"/>
  <c r="L4667" i="16" s="1"/>
  <c r="O4667" i="16" s="1"/>
  <c r="P4667" i="16" s="1"/>
  <c r="K4666" i="16"/>
  <c r="N4666" i="16" s="1"/>
  <c r="J4666" i="16"/>
  <c r="H4666" i="16"/>
  <c r="G4666" i="16"/>
  <c r="F4666" i="16"/>
  <c r="E4666" i="16"/>
  <c r="L4665" i="16"/>
  <c r="I4664" i="16"/>
  <c r="L4664" i="16" s="1"/>
  <c r="O4664" i="16" s="1"/>
  <c r="P4664" i="16" s="1"/>
  <c r="I4663" i="16"/>
  <c r="L4663" i="16" s="1"/>
  <c r="O4663" i="16" s="1"/>
  <c r="P4663" i="16" s="1"/>
  <c r="I4662" i="16"/>
  <c r="L4662" i="16" s="1"/>
  <c r="O4662" i="16" s="1"/>
  <c r="P4662" i="16" s="1"/>
  <c r="I4661" i="16"/>
  <c r="L4661" i="16" s="1"/>
  <c r="O4661" i="16" s="1"/>
  <c r="P4661" i="16" s="1"/>
  <c r="I4659" i="16"/>
  <c r="L4659" i="16" s="1"/>
  <c r="O4659" i="16" s="1"/>
  <c r="I4658" i="16"/>
  <c r="L4658" i="16" s="1"/>
  <c r="O4658" i="16" s="1"/>
  <c r="P4658" i="16" s="1"/>
  <c r="K4657" i="16"/>
  <c r="N4657" i="16" s="1"/>
  <c r="J4657" i="16"/>
  <c r="H4657" i="16"/>
  <c r="G4657" i="16"/>
  <c r="F4657" i="16"/>
  <c r="E4657" i="16"/>
  <c r="I4656" i="16"/>
  <c r="I4655" i="16" s="1"/>
  <c r="K4655" i="16"/>
  <c r="N4655" i="16" s="1"/>
  <c r="J4655" i="16"/>
  <c r="H4655" i="16"/>
  <c r="G4655" i="16"/>
  <c r="F4655" i="16"/>
  <c r="E4655" i="16"/>
  <c r="E4654" i="16"/>
  <c r="I4654" i="16" s="1"/>
  <c r="K4653" i="16"/>
  <c r="N4653" i="16" s="1"/>
  <c r="J4653" i="16"/>
  <c r="H4653" i="16"/>
  <c r="G4653" i="16"/>
  <c r="F4653" i="16"/>
  <c r="I4652" i="16"/>
  <c r="I4651" i="16" s="1"/>
  <c r="K4651" i="16"/>
  <c r="N4651" i="16" s="1"/>
  <c r="J4651" i="16"/>
  <c r="H4651" i="16"/>
  <c r="G4651" i="16"/>
  <c r="F4651" i="16"/>
  <c r="E4651" i="16"/>
  <c r="I4650" i="16"/>
  <c r="L4650" i="16" s="1"/>
  <c r="O4650" i="16" s="1"/>
  <c r="P4650" i="16" s="1"/>
  <c r="I4649" i="16"/>
  <c r="L4649" i="16" s="1"/>
  <c r="O4649" i="16" s="1"/>
  <c r="P4649" i="16" s="1"/>
  <c r="I4648" i="16"/>
  <c r="L4648" i="16" s="1"/>
  <c r="O4648" i="16" s="1"/>
  <c r="K4647" i="16"/>
  <c r="N4647" i="16" s="1"/>
  <c r="J4647" i="16"/>
  <c r="H4647" i="16"/>
  <c r="G4647" i="16"/>
  <c r="F4647" i="16"/>
  <c r="E4647" i="16"/>
  <c r="I4646" i="16"/>
  <c r="L4646" i="16" s="1"/>
  <c r="O4646" i="16" s="1"/>
  <c r="P4646" i="16" s="1"/>
  <c r="I4645" i="16"/>
  <c r="L4645" i="16" s="1"/>
  <c r="O4645" i="16" s="1"/>
  <c r="P4645" i="16" s="1"/>
  <c r="K4644" i="16"/>
  <c r="N4644" i="16" s="1"/>
  <c r="J4644" i="16"/>
  <c r="H4644" i="16"/>
  <c r="G4644" i="16"/>
  <c r="F4644" i="16"/>
  <c r="E4644" i="16"/>
  <c r="I4643" i="16"/>
  <c r="L4643" i="16" s="1"/>
  <c r="O4643" i="16" s="1"/>
  <c r="P4643" i="16" s="1"/>
  <c r="I4642" i="16"/>
  <c r="L4642" i="16" s="1"/>
  <c r="O4642" i="16" s="1"/>
  <c r="P4642" i="16" s="1"/>
  <c r="I4641" i="16"/>
  <c r="L4641" i="16" s="1"/>
  <c r="O4641" i="16" s="1"/>
  <c r="P4641" i="16" s="1"/>
  <c r="I4640" i="16"/>
  <c r="K4639" i="16"/>
  <c r="N4639" i="16" s="1"/>
  <c r="J4639" i="16"/>
  <c r="H4639" i="16"/>
  <c r="G4639" i="16"/>
  <c r="F4639" i="16"/>
  <c r="E4639" i="16"/>
  <c r="I4638" i="16"/>
  <c r="L4638" i="16" s="1"/>
  <c r="O4638" i="16" s="1"/>
  <c r="P4638" i="16" s="1"/>
  <c r="I4637" i="16"/>
  <c r="L4637" i="16" s="1"/>
  <c r="O4637" i="16" s="1"/>
  <c r="P4637" i="16" s="1"/>
  <c r="I4636" i="16"/>
  <c r="L4636" i="16" s="1"/>
  <c r="O4636" i="16" s="1"/>
  <c r="K4635" i="16"/>
  <c r="N4635" i="16" s="1"/>
  <c r="J4635" i="16"/>
  <c r="H4635" i="16"/>
  <c r="G4635" i="16"/>
  <c r="F4635" i="16"/>
  <c r="E4635" i="16"/>
  <c r="I4634" i="16"/>
  <c r="L4634" i="16" s="1"/>
  <c r="O4634" i="16" s="1"/>
  <c r="P4634" i="16" s="1"/>
  <c r="I4633" i="16"/>
  <c r="L4633" i="16" s="1"/>
  <c r="O4633" i="16" s="1"/>
  <c r="P4633" i="16" s="1"/>
  <c r="I4632" i="16"/>
  <c r="L4632" i="16" s="1"/>
  <c r="O4632" i="16" s="1"/>
  <c r="K4631" i="16"/>
  <c r="N4631" i="16" s="1"/>
  <c r="J4631" i="16"/>
  <c r="H4631" i="16"/>
  <c r="G4631" i="16"/>
  <c r="F4631" i="16"/>
  <c r="E4631" i="16"/>
  <c r="I4630" i="16"/>
  <c r="L4630" i="16" s="1"/>
  <c r="O4630" i="16" s="1"/>
  <c r="P4630" i="16" s="1"/>
  <c r="I4629" i="16"/>
  <c r="L4629" i="16" s="1"/>
  <c r="O4629" i="16" s="1"/>
  <c r="P4629" i="16" s="1"/>
  <c r="I4628" i="16"/>
  <c r="L4628" i="16" s="1"/>
  <c r="O4628" i="16" s="1"/>
  <c r="K4627" i="16"/>
  <c r="N4627" i="16" s="1"/>
  <c r="J4627" i="16"/>
  <c r="H4627" i="16"/>
  <c r="G4627" i="16"/>
  <c r="F4627" i="16"/>
  <c r="E4627" i="16"/>
  <c r="I4626" i="16"/>
  <c r="L4626" i="16" s="1"/>
  <c r="O4626" i="16" s="1"/>
  <c r="P4626" i="16" s="1"/>
  <c r="I4625" i="16"/>
  <c r="L4625" i="16" s="1"/>
  <c r="O4625" i="16" s="1"/>
  <c r="K4624" i="16"/>
  <c r="N4624" i="16" s="1"/>
  <c r="J4624" i="16"/>
  <c r="H4624" i="16"/>
  <c r="G4624" i="16"/>
  <c r="F4624" i="16"/>
  <c r="E4624" i="16"/>
  <c r="I4623" i="16"/>
  <c r="L4623" i="16" s="1"/>
  <c r="O4623" i="16" s="1"/>
  <c r="P4623" i="16" s="1"/>
  <c r="I4622" i="16"/>
  <c r="L4622" i="16" s="1"/>
  <c r="O4622" i="16" s="1"/>
  <c r="P4622" i="16" s="1"/>
  <c r="K4621" i="16"/>
  <c r="N4621" i="16" s="1"/>
  <c r="J4621" i="16"/>
  <c r="H4621" i="16"/>
  <c r="G4621" i="16"/>
  <c r="F4621" i="16"/>
  <c r="E4621" i="16"/>
  <c r="E4620" i="16"/>
  <c r="K4619" i="16"/>
  <c r="N4619" i="16" s="1"/>
  <c r="J4619" i="16"/>
  <c r="H4619" i="16"/>
  <c r="G4619" i="16"/>
  <c r="F4619" i="16"/>
  <c r="I4618" i="16"/>
  <c r="L4618" i="16" s="1"/>
  <c r="O4618" i="16" s="1"/>
  <c r="I4617" i="16"/>
  <c r="L4617" i="16" s="1"/>
  <c r="O4617" i="16" s="1"/>
  <c r="P4617" i="16" s="1"/>
  <c r="P4616" i="16" s="1"/>
  <c r="I4616" i="16"/>
  <c r="L4616" i="16" s="1"/>
  <c r="O4616" i="16" s="1"/>
  <c r="E4611" i="16"/>
  <c r="I4611" i="16" s="1"/>
  <c r="L4611" i="16" s="1"/>
  <c r="O4611" i="16" s="1"/>
  <c r="P4611" i="16" s="1"/>
  <c r="E4610" i="16"/>
  <c r="K4609" i="16"/>
  <c r="K4612" i="16" s="1"/>
  <c r="N4612" i="16" s="1"/>
  <c r="J4609" i="16"/>
  <c r="J4612" i="16" s="1"/>
  <c r="H4609" i="16"/>
  <c r="H4612" i="16" s="1"/>
  <c r="G4609" i="16"/>
  <c r="G4612" i="16" s="1"/>
  <c r="F4609" i="16"/>
  <c r="F4612" i="16" s="1"/>
  <c r="I4608" i="16"/>
  <c r="L4608" i="16" s="1"/>
  <c r="O4608" i="16" s="1"/>
  <c r="I4607" i="16"/>
  <c r="L4607" i="16" s="1"/>
  <c r="O4607" i="16" s="1"/>
  <c r="P4607" i="16" s="1"/>
  <c r="P4606" i="16" s="1"/>
  <c r="I4606" i="16"/>
  <c r="L4606" i="16" s="1"/>
  <c r="O4606" i="16" s="1"/>
  <c r="I4604" i="16"/>
  <c r="I4603" i="16" s="1"/>
  <c r="K4603" i="16"/>
  <c r="N4603" i="16" s="1"/>
  <c r="J4603" i="16"/>
  <c r="H4603" i="16"/>
  <c r="G4603" i="16"/>
  <c r="F4603" i="16"/>
  <c r="E4603" i="16"/>
  <c r="I4602" i="16"/>
  <c r="L4602" i="16" s="1"/>
  <c r="O4602" i="16" s="1"/>
  <c r="P4602" i="16" s="1"/>
  <c r="I4601" i="16"/>
  <c r="I4600" i="16"/>
  <c r="L4600" i="16" s="1"/>
  <c r="O4600" i="16" s="1"/>
  <c r="P4600" i="16" s="1"/>
  <c r="K4599" i="16"/>
  <c r="N4599" i="16" s="1"/>
  <c r="J4599" i="16"/>
  <c r="H4599" i="16"/>
  <c r="G4599" i="16"/>
  <c r="F4599" i="16"/>
  <c r="E4599" i="16"/>
  <c r="I4598" i="16"/>
  <c r="L4598" i="16" s="1"/>
  <c r="O4598" i="16" s="1"/>
  <c r="K4597" i="16"/>
  <c r="N4597" i="16" s="1"/>
  <c r="J4597" i="16"/>
  <c r="H4597" i="16"/>
  <c r="G4597" i="16"/>
  <c r="F4597" i="16"/>
  <c r="E4597" i="16"/>
  <c r="I4596" i="16"/>
  <c r="L4596" i="16" s="1"/>
  <c r="O4596" i="16" s="1"/>
  <c r="P4596" i="16" s="1"/>
  <c r="P4595" i="16" s="1"/>
  <c r="K4595" i="16"/>
  <c r="N4595" i="16" s="1"/>
  <c r="J4595" i="16"/>
  <c r="H4595" i="16"/>
  <c r="G4595" i="16"/>
  <c r="F4595" i="16"/>
  <c r="E4595" i="16"/>
  <c r="I4594" i="16"/>
  <c r="K4593" i="16"/>
  <c r="N4593" i="16" s="1"/>
  <c r="J4593" i="16"/>
  <c r="H4593" i="16"/>
  <c r="G4593" i="16"/>
  <c r="F4593" i="16"/>
  <c r="E4593" i="16"/>
  <c r="I4592" i="16"/>
  <c r="L4592" i="16" s="1"/>
  <c r="O4592" i="16" s="1"/>
  <c r="P4592" i="16" s="1"/>
  <c r="I4591" i="16"/>
  <c r="L4591" i="16" s="1"/>
  <c r="O4591" i="16" s="1"/>
  <c r="P4591" i="16" s="1"/>
  <c r="I4590" i="16"/>
  <c r="L4590" i="16" s="1"/>
  <c r="O4590" i="16" s="1"/>
  <c r="P4590" i="16" s="1"/>
  <c r="K4589" i="16"/>
  <c r="N4589" i="16" s="1"/>
  <c r="J4589" i="16"/>
  <c r="H4589" i="16"/>
  <c r="G4589" i="16"/>
  <c r="F4589" i="16"/>
  <c r="E4589" i="16"/>
  <c r="I4588" i="16"/>
  <c r="L4588" i="16" s="1"/>
  <c r="O4588" i="16" s="1"/>
  <c r="K4587" i="16"/>
  <c r="N4587" i="16" s="1"/>
  <c r="J4587" i="16"/>
  <c r="H4587" i="16"/>
  <c r="G4587" i="16"/>
  <c r="F4587" i="16"/>
  <c r="E4587" i="16"/>
  <c r="I4586" i="16"/>
  <c r="I4585" i="16" s="1"/>
  <c r="K4585" i="16"/>
  <c r="N4585" i="16" s="1"/>
  <c r="J4585" i="16"/>
  <c r="H4585" i="16"/>
  <c r="G4585" i="16"/>
  <c r="F4585" i="16"/>
  <c r="E4585" i="16"/>
  <c r="I4584" i="16"/>
  <c r="L4584" i="16" s="1"/>
  <c r="O4584" i="16" s="1"/>
  <c r="P4584" i="16" s="1"/>
  <c r="I4583" i="16"/>
  <c r="L4583" i="16" s="1"/>
  <c r="O4583" i="16" s="1"/>
  <c r="P4583" i="16" s="1"/>
  <c r="I4582" i="16"/>
  <c r="K4581" i="16"/>
  <c r="N4581" i="16" s="1"/>
  <c r="J4581" i="16"/>
  <c r="H4581" i="16"/>
  <c r="G4581" i="16"/>
  <c r="F4581" i="16"/>
  <c r="E4581" i="16"/>
  <c r="I4580" i="16"/>
  <c r="L4580" i="16" s="1"/>
  <c r="O4580" i="16" s="1"/>
  <c r="P4580" i="16" s="1"/>
  <c r="I4579" i="16"/>
  <c r="K4578" i="16"/>
  <c r="N4578" i="16" s="1"/>
  <c r="J4578" i="16"/>
  <c r="H4578" i="16"/>
  <c r="G4578" i="16"/>
  <c r="F4578" i="16"/>
  <c r="E4578" i="16"/>
  <c r="I4577" i="16"/>
  <c r="L4577" i="16" s="1"/>
  <c r="O4577" i="16" s="1"/>
  <c r="P4577" i="16" s="1"/>
  <c r="I4576" i="16"/>
  <c r="L4576" i="16" s="1"/>
  <c r="O4576" i="16" s="1"/>
  <c r="P4576" i="16" s="1"/>
  <c r="I4575" i="16"/>
  <c r="K4574" i="16"/>
  <c r="N4574" i="16" s="1"/>
  <c r="J4574" i="16"/>
  <c r="H4574" i="16"/>
  <c r="G4574" i="16"/>
  <c r="F4574" i="16"/>
  <c r="E4574" i="16"/>
  <c r="I4573" i="16"/>
  <c r="L4573" i="16" s="1"/>
  <c r="O4573" i="16" s="1"/>
  <c r="K4572" i="16"/>
  <c r="N4572" i="16" s="1"/>
  <c r="J4572" i="16"/>
  <c r="H4572" i="16"/>
  <c r="G4572" i="16"/>
  <c r="F4572" i="16"/>
  <c r="E4572" i="16"/>
  <c r="I4571" i="16"/>
  <c r="L4571" i="16" s="1"/>
  <c r="O4571" i="16" s="1"/>
  <c r="P4571" i="16" s="1"/>
  <c r="I4570" i="16"/>
  <c r="K4569" i="16"/>
  <c r="N4569" i="16" s="1"/>
  <c r="J4569" i="16"/>
  <c r="H4569" i="16"/>
  <c r="G4569" i="16"/>
  <c r="F4569" i="16"/>
  <c r="E4569" i="16"/>
  <c r="I4568" i="16"/>
  <c r="L4568" i="16" s="1"/>
  <c r="O4568" i="16" s="1"/>
  <c r="P4568" i="16" s="1"/>
  <c r="I4567" i="16"/>
  <c r="L4567" i="16" s="1"/>
  <c r="O4567" i="16" s="1"/>
  <c r="P4567" i="16" s="1"/>
  <c r="I4566" i="16"/>
  <c r="L4566" i="16" s="1"/>
  <c r="O4566" i="16" s="1"/>
  <c r="I4565" i="16"/>
  <c r="L4565" i="16" s="1"/>
  <c r="O4565" i="16" s="1"/>
  <c r="P4565" i="16" s="1"/>
  <c r="I4562" i="16"/>
  <c r="I4561" i="16" s="1"/>
  <c r="K4561" i="16"/>
  <c r="N4561" i="16" s="1"/>
  <c r="J4561" i="16"/>
  <c r="H4561" i="16"/>
  <c r="G4561" i="16"/>
  <c r="F4561" i="16"/>
  <c r="E4561" i="16"/>
  <c r="E4560" i="16"/>
  <c r="I4560" i="16" s="1"/>
  <c r="K4559" i="16"/>
  <c r="N4559" i="16" s="1"/>
  <c r="J4559" i="16"/>
  <c r="H4559" i="16"/>
  <c r="G4559" i="16"/>
  <c r="F4559" i="16"/>
  <c r="E4558" i="16"/>
  <c r="I4558" i="16" s="1"/>
  <c r="L4558" i="16" s="1"/>
  <c r="O4558" i="16" s="1"/>
  <c r="P4558" i="16" s="1"/>
  <c r="H4557" i="16"/>
  <c r="H4556" i="16" s="1"/>
  <c r="E4557" i="16"/>
  <c r="K4556" i="16"/>
  <c r="N4556" i="16" s="1"/>
  <c r="J4556" i="16"/>
  <c r="G4556" i="16"/>
  <c r="F4556" i="16"/>
  <c r="I4555" i="16"/>
  <c r="L4555" i="16" s="1"/>
  <c r="O4555" i="16" s="1"/>
  <c r="I4554" i="16"/>
  <c r="L4554" i="16" s="1"/>
  <c r="O4554" i="16" s="1"/>
  <c r="P4554" i="16" s="1"/>
  <c r="E4553" i="16"/>
  <c r="E4552" i="16" s="1"/>
  <c r="K4552" i="16"/>
  <c r="N4552" i="16" s="1"/>
  <c r="J4552" i="16"/>
  <c r="H4552" i="16"/>
  <c r="G4552" i="16"/>
  <c r="F4552" i="16"/>
  <c r="H4551" i="16"/>
  <c r="H4550" i="16" s="1"/>
  <c r="E4551" i="16"/>
  <c r="G4550" i="16"/>
  <c r="F4550" i="16"/>
  <c r="I4549" i="16"/>
  <c r="L4549" i="16" s="1"/>
  <c r="O4549" i="16" s="1"/>
  <c r="P4549" i="16" s="1"/>
  <c r="I4548" i="16"/>
  <c r="L4548" i="16" s="1"/>
  <c r="O4548" i="16" s="1"/>
  <c r="P4548" i="16" s="1"/>
  <c r="I4546" i="16"/>
  <c r="I4545" i="16" s="1"/>
  <c r="K4545" i="16"/>
  <c r="N4545" i="16" s="1"/>
  <c r="J4545" i="16"/>
  <c r="H4545" i="16"/>
  <c r="G4545" i="16"/>
  <c r="F4545" i="16"/>
  <c r="E4545" i="16"/>
  <c r="E4544" i="16"/>
  <c r="I4544" i="16" s="1"/>
  <c r="L4544" i="16" s="1"/>
  <c r="O4544" i="16" s="1"/>
  <c r="P4544" i="16" s="1"/>
  <c r="E4543" i="16"/>
  <c r="I4543" i="16" s="1"/>
  <c r="K4542" i="16"/>
  <c r="N4542" i="16" s="1"/>
  <c r="J4542" i="16"/>
  <c r="H4542" i="16"/>
  <c r="G4542" i="16"/>
  <c r="F4542" i="16"/>
  <c r="I4541" i="16"/>
  <c r="I4540" i="16" s="1"/>
  <c r="K4540" i="16"/>
  <c r="N4540" i="16" s="1"/>
  <c r="J4540" i="16"/>
  <c r="H4540" i="16"/>
  <c r="G4540" i="16"/>
  <c r="F4540" i="16"/>
  <c r="E4540" i="16"/>
  <c r="I4539" i="16"/>
  <c r="L4539" i="16" s="1"/>
  <c r="O4539" i="16" s="1"/>
  <c r="P4539" i="16" s="1"/>
  <c r="I4538" i="16"/>
  <c r="L4538" i="16" s="1"/>
  <c r="O4538" i="16" s="1"/>
  <c r="P4538" i="16" s="1"/>
  <c r="E4537" i="16"/>
  <c r="I4537" i="16" s="1"/>
  <c r="L4537" i="16" s="1"/>
  <c r="O4537" i="16" s="1"/>
  <c r="P4537" i="16" s="1"/>
  <c r="I4536" i="16"/>
  <c r="K4535" i="16"/>
  <c r="N4535" i="16" s="1"/>
  <c r="J4535" i="16"/>
  <c r="H4535" i="16"/>
  <c r="G4535" i="16"/>
  <c r="F4535" i="16"/>
  <c r="I4534" i="16"/>
  <c r="L4534" i="16" s="1"/>
  <c r="O4534" i="16" s="1"/>
  <c r="P4534" i="16" s="1"/>
  <c r="P4533" i="16" s="1"/>
  <c r="K4533" i="16"/>
  <c r="N4533" i="16" s="1"/>
  <c r="J4533" i="16"/>
  <c r="H4533" i="16"/>
  <c r="G4533" i="16"/>
  <c r="F4533" i="16"/>
  <c r="E4533" i="16"/>
  <c r="I4532" i="16"/>
  <c r="L4532" i="16" s="1"/>
  <c r="O4532" i="16" s="1"/>
  <c r="K4531" i="16"/>
  <c r="N4531" i="16" s="1"/>
  <c r="J4531" i="16"/>
  <c r="H4531" i="16"/>
  <c r="G4531" i="16"/>
  <c r="F4531" i="16"/>
  <c r="E4531" i="16"/>
  <c r="E4530" i="16"/>
  <c r="I4530" i="16" s="1"/>
  <c r="K4529" i="16"/>
  <c r="N4529" i="16" s="1"/>
  <c r="J4529" i="16"/>
  <c r="H4529" i="16"/>
  <c r="G4529" i="16"/>
  <c r="F4529" i="16"/>
  <c r="I4528" i="16"/>
  <c r="L4528" i="16" s="1"/>
  <c r="O4528" i="16" s="1"/>
  <c r="P4528" i="16" s="1"/>
  <c r="E4527" i="16"/>
  <c r="I4527" i="16" s="1"/>
  <c r="L4527" i="16" s="1"/>
  <c r="O4527" i="16" s="1"/>
  <c r="P4527" i="16" s="1"/>
  <c r="E4526" i="16"/>
  <c r="I4526" i="16" s="1"/>
  <c r="K4525" i="16"/>
  <c r="N4525" i="16" s="1"/>
  <c r="J4525" i="16"/>
  <c r="H4525" i="16"/>
  <c r="G4525" i="16"/>
  <c r="F4525" i="16"/>
  <c r="I4524" i="16"/>
  <c r="L4524" i="16" s="1"/>
  <c r="O4524" i="16" s="1"/>
  <c r="P4524" i="16" s="1"/>
  <c r="I4523" i="16"/>
  <c r="L4523" i="16" s="1"/>
  <c r="O4523" i="16" s="1"/>
  <c r="P4523" i="16" s="1"/>
  <c r="I4522" i="16"/>
  <c r="L4522" i="16" s="1"/>
  <c r="O4522" i="16" s="1"/>
  <c r="K4521" i="16"/>
  <c r="N4521" i="16" s="1"/>
  <c r="J4521" i="16"/>
  <c r="H4521" i="16"/>
  <c r="G4521" i="16"/>
  <c r="F4521" i="16"/>
  <c r="E4521" i="16"/>
  <c r="I4520" i="16"/>
  <c r="I4519" i="16" s="1"/>
  <c r="K4519" i="16"/>
  <c r="N4519" i="16" s="1"/>
  <c r="J4519" i="16"/>
  <c r="H4519" i="16"/>
  <c r="G4519" i="16"/>
  <c r="F4519" i="16"/>
  <c r="E4519" i="16"/>
  <c r="I4518" i="16"/>
  <c r="L4518" i="16" s="1"/>
  <c r="O4518" i="16" s="1"/>
  <c r="P4518" i="16" s="1"/>
  <c r="I4517" i="16"/>
  <c r="L4517" i="16" s="1"/>
  <c r="O4517" i="16" s="1"/>
  <c r="P4517" i="16" s="1"/>
  <c r="I4516" i="16"/>
  <c r="K4515" i="16"/>
  <c r="N4515" i="16" s="1"/>
  <c r="J4515" i="16"/>
  <c r="H4515" i="16"/>
  <c r="G4515" i="16"/>
  <c r="F4515" i="16"/>
  <c r="E4515" i="16"/>
  <c r="I4514" i="16"/>
  <c r="H4513" i="16"/>
  <c r="G4513" i="16"/>
  <c r="F4513" i="16"/>
  <c r="E4513" i="16"/>
  <c r="I4512" i="16"/>
  <c r="I4511" i="16" s="1"/>
  <c r="K4511" i="16"/>
  <c r="N4511" i="16" s="1"/>
  <c r="J4511" i="16"/>
  <c r="H4511" i="16"/>
  <c r="G4511" i="16"/>
  <c r="F4511" i="16"/>
  <c r="E4511" i="16"/>
  <c r="I4510" i="16"/>
  <c r="L4510" i="16" s="1"/>
  <c r="O4510" i="16" s="1"/>
  <c r="P4510" i="16" s="1"/>
  <c r="I4509" i="16"/>
  <c r="L4509" i="16" s="1"/>
  <c r="O4509" i="16" s="1"/>
  <c r="P4509" i="16" s="1"/>
  <c r="I4508" i="16"/>
  <c r="K4507" i="16"/>
  <c r="N4507" i="16" s="1"/>
  <c r="J4507" i="16"/>
  <c r="H4507" i="16"/>
  <c r="G4507" i="16"/>
  <c r="F4507" i="16"/>
  <c r="E4507" i="16"/>
  <c r="I4506" i="16"/>
  <c r="L4506" i="16" s="1"/>
  <c r="O4506" i="16" s="1"/>
  <c r="P4506" i="16" s="1"/>
  <c r="I4505" i="16"/>
  <c r="L4505" i="16" s="1"/>
  <c r="O4505" i="16" s="1"/>
  <c r="P4505" i="16" s="1"/>
  <c r="I4504" i="16"/>
  <c r="L4504" i="16" s="1"/>
  <c r="O4504" i="16" s="1"/>
  <c r="K4503" i="16"/>
  <c r="N4503" i="16" s="1"/>
  <c r="J4503" i="16"/>
  <c r="H4503" i="16"/>
  <c r="G4503" i="16"/>
  <c r="F4503" i="16"/>
  <c r="E4503" i="16"/>
  <c r="I4502" i="16"/>
  <c r="L4502" i="16" s="1"/>
  <c r="O4502" i="16" s="1"/>
  <c r="P4502" i="16" s="1"/>
  <c r="I4501" i="16"/>
  <c r="K4500" i="16"/>
  <c r="N4500" i="16" s="1"/>
  <c r="J4500" i="16"/>
  <c r="H4500" i="16"/>
  <c r="G4500" i="16"/>
  <c r="F4500" i="16"/>
  <c r="E4500" i="16"/>
  <c r="I4499" i="16"/>
  <c r="L4499" i="16" s="1"/>
  <c r="O4499" i="16" s="1"/>
  <c r="K4498" i="16"/>
  <c r="N4498" i="16" s="1"/>
  <c r="J4498" i="16"/>
  <c r="H4498" i="16"/>
  <c r="G4498" i="16"/>
  <c r="F4498" i="16"/>
  <c r="E4498" i="16"/>
  <c r="I4497" i="16"/>
  <c r="L4497" i="16" s="1"/>
  <c r="O4497" i="16" s="1"/>
  <c r="P4497" i="16" s="1"/>
  <c r="I4496" i="16"/>
  <c r="L4496" i="16" s="1"/>
  <c r="O4496" i="16" s="1"/>
  <c r="P4496" i="16" s="1"/>
  <c r="I4493" i="16"/>
  <c r="I4492" i="16"/>
  <c r="L4492" i="16" s="1"/>
  <c r="O4492" i="16" s="1"/>
  <c r="K4491" i="16"/>
  <c r="N4491" i="16" s="1"/>
  <c r="J4491" i="16"/>
  <c r="H4491" i="16"/>
  <c r="G4491" i="16"/>
  <c r="F4491" i="16"/>
  <c r="E4491" i="16"/>
  <c r="I4490" i="16"/>
  <c r="I4489" i="16" s="1"/>
  <c r="K4489" i="16"/>
  <c r="N4489" i="16" s="1"/>
  <c r="J4489" i="16"/>
  <c r="H4489" i="16"/>
  <c r="G4489" i="16"/>
  <c r="F4489" i="16"/>
  <c r="E4489" i="16"/>
  <c r="E4488" i="16"/>
  <c r="I4488" i="16" s="1"/>
  <c r="K4487" i="16"/>
  <c r="N4487" i="16" s="1"/>
  <c r="J4487" i="16"/>
  <c r="H4487" i="16"/>
  <c r="G4487" i="16"/>
  <c r="F4487" i="16"/>
  <c r="I4486" i="16"/>
  <c r="L4486" i="16" s="1"/>
  <c r="O4486" i="16" s="1"/>
  <c r="P4486" i="16" s="1"/>
  <c r="P4485" i="16" s="1"/>
  <c r="I4485" i="16"/>
  <c r="L4485" i="16" s="1"/>
  <c r="O4485" i="16" s="1"/>
  <c r="I4484" i="16"/>
  <c r="L4484" i="16" s="1"/>
  <c r="O4484" i="16" s="1"/>
  <c r="P4484" i="16" s="1"/>
  <c r="I4482" i="16"/>
  <c r="L4482" i="16" s="1"/>
  <c r="O4482" i="16" s="1"/>
  <c r="P4482" i="16" s="1"/>
  <c r="E4481" i="16"/>
  <c r="I4481" i="16" s="1"/>
  <c r="K4480" i="16"/>
  <c r="N4480" i="16" s="1"/>
  <c r="J4480" i="16"/>
  <c r="H4480" i="16"/>
  <c r="G4480" i="16"/>
  <c r="F4480" i="16"/>
  <c r="I4479" i="16"/>
  <c r="K4478" i="16"/>
  <c r="N4478" i="16" s="1"/>
  <c r="J4478" i="16"/>
  <c r="H4478" i="16"/>
  <c r="G4478" i="16"/>
  <c r="F4478" i="16"/>
  <c r="E4478" i="16"/>
  <c r="I4477" i="16"/>
  <c r="K4476" i="16"/>
  <c r="N4476" i="16" s="1"/>
  <c r="J4476" i="16"/>
  <c r="H4476" i="16"/>
  <c r="G4476" i="16"/>
  <c r="F4476" i="16"/>
  <c r="E4476" i="16"/>
  <c r="E4475" i="16"/>
  <c r="I4474" i="16"/>
  <c r="L4474" i="16" s="1"/>
  <c r="O4474" i="16" s="1"/>
  <c r="K4473" i="16"/>
  <c r="N4473" i="16" s="1"/>
  <c r="J4473" i="16"/>
  <c r="H4473" i="16"/>
  <c r="G4473" i="16"/>
  <c r="F4473" i="16"/>
  <c r="I4472" i="16"/>
  <c r="L4472" i="16" s="1"/>
  <c r="O4472" i="16" s="1"/>
  <c r="P4472" i="16" s="1"/>
  <c r="I4471" i="16"/>
  <c r="L4471" i="16" s="1"/>
  <c r="O4471" i="16" s="1"/>
  <c r="P4471" i="16" s="1"/>
  <c r="I4470" i="16"/>
  <c r="K4469" i="16"/>
  <c r="N4469" i="16" s="1"/>
  <c r="J4469" i="16"/>
  <c r="H4469" i="16"/>
  <c r="G4469" i="16"/>
  <c r="F4469" i="16"/>
  <c r="E4469" i="16"/>
  <c r="I4468" i="16"/>
  <c r="L4468" i="16" s="1"/>
  <c r="O4468" i="16" s="1"/>
  <c r="P4468" i="16" s="1"/>
  <c r="I4467" i="16"/>
  <c r="L4467" i="16" s="1"/>
  <c r="O4467" i="16" s="1"/>
  <c r="K4466" i="16"/>
  <c r="N4466" i="16" s="1"/>
  <c r="J4466" i="16"/>
  <c r="H4466" i="16"/>
  <c r="G4466" i="16"/>
  <c r="F4466" i="16"/>
  <c r="E4466" i="16"/>
  <c r="I4465" i="16"/>
  <c r="L4465" i="16" s="1"/>
  <c r="O4465" i="16" s="1"/>
  <c r="P4465" i="16" s="1"/>
  <c r="I4464" i="16"/>
  <c r="L4464" i="16" s="1"/>
  <c r="O4464" i="16" s="1"/>
  <c r="P4464" i="16" s="1"/>
  <c r="I4463" i="16"/>
  <c r="L4463" i="16" s="1"/>
  <c r="O4463" i="16" s="1"/>
  <c r="P4463" i="16" s="1"/>
  <c r="I4462" i="16"/>
  <c r="L4462" i="16" s="1"/>
  <c r="O4462" i="16" s="1"/>
  <c r="K4461" i="16"/>
  <c r="N4461" i="16" s="1"/>
  <c r="J4461" i="16"/>
  <c r="H4461" i="16"/>
  <c r="G4461" i="16"/>
  <c r="F4461" i="16"/>
  <c r="E4461" i="16"/>
  <c r="I4460" i="16"/>
  <c r="L4460" i="16" s="1"/>
  <c r="O4460" i="16" s="1"/>
  <c r="K4459" i="16"/>
  <c r="N4459" i="16" s="1"/>
  <c r="J4459" i="16"/>
  <c r="H4459" i="16"/>
  <c r="G4459" i="16"/>
  <c r="F4459" i="16"/>
  <c r="E4459" i="16"/>
  <c r="I4458" i="16"/>
  <c r="L4458" i="16" s="1"/>
  <c r="O4458" i="16" s="1"/>
  <c r="P4458" i="16" s="1"/>
  <c r="I4457" i="16"/>
  <c r="K4456" i="16"/>
  <c r="N4456" i="16" s="1"/>
  <c r="J4456" i="16"/>
  <c r="H4456" i="16"/>
  <c r="G4456" i="16"/>
  <c r="F4456" i="16"/>
  <c r="E4456" i="16"/>
  <c r="I4455" i="16"/>
  <c r="I4454" i="16" s="1"/>
  <c r="L4454" i="16" s="1"/>
  <c r="H4454" i="16"/>
  <c r="G4454" i="16"/>
  <c r="F4454" i="16"/>
  <c r="E4454" i="16"/>
  <c r="I4453" i="16"/>
  <c r="L4453" i="16" s="1"/>
  <c r="O4453" i="16" s="1"/>
  <c r="P4453" i="16" s="1"/>
  <c r="I4452" i="16"/>
  <c r="L4452" i="16" s="1"/>
  <c r="O4452" i="16" s="1"/>
  <c r="P4452" i="16" s="1"/>
  <c r="I4451" i="16"/>
  <c r="L4451" i="16" s="1"/>
  <c r="O4451" i="16" s="1"/>
  <c r="P4451" i="16" s="1"/>
  <c r="E4448" i="16"/>
  <c r="I4448" i="16" s="1"/>
  <c r="K4447" i="16"/>
  <c r="N4447" i="16" s="1"/>
  <c r="J4447" i="16"/>
  <c r="H4447" i="16"/>
  <c r="G4447" i="16"/>
  <c r="F4447" i="16"/>
  <c r="I4446" i="16"/>
  <c r="I4445" i="16" s="1"/>
  <c r="P4445" i="16"/>
  <c r="K4445" i="16"/>
  <c r="N4445" i="16" s="1"/>
  <c r="J4445" i="16"/>
  <c r="H4445" i="16"/>
  <c r="G4445" i="16"/>
  <c r="F4445" i="16"/>
  <c r="E4445" i="16"/>
  <c r="I4444" i="16"/>
  <c r="L4444" i="16" s="1"/>
  <c r="I4443" i="16"/>
  <c r="L4443" i="16" s="1"/>
  <c r="O4443" i="16" s="1"/>
  <c r="K4442" i="16"/>
  <c r="N4442" i="16" s="1"/>
  <c r="J4442" i="16"/>
  <c r="H4442" i="16"/>
  <c r="G4442" i="16"/>
  <c r="F4442" i="16"/>
  <c r="E4442" i="16"/>
  <c r="E4441" i="16"/>
  <c r="I4441" i="16" s="1"/>
  <c r="K4440" i="16"/>
  <c r="N4440" i="16" s="1"/>
  <c r="J4440" i="16"/>
  <c r="H4440" i="16"/>
  <c r="G4440" i="16"/>
  <c r="F4440" i="16"/>
  <c r="I4439" i="16"/>
  <c r="L4439" i="16" s="1"/>
  <c r="O4439" i="16" s="1"/>
  <c r="P4439" i="16" s="1"/>
  <c r="I4438" i="16"/>
  <c r="L4438" i="16" s="1"/>
  <c r="O4438" i="16" s="1"/>
  <c r="P4438" i="16" s="1"/>
  <c r="I4437" i="16"/>
  <c r="L4437" i="16" s="1"/>
  <c r="O4437" i="16" s="1"/>
  <c r="P4437" i="16" s="1"/>
  <c r="I4436" i="16"/>
  <c r="L4436" i="16" s="1"/>
  <c r="O4436" i="16" s="1"/>
  <c r="P4436" i="16" s="1"/>
  <c r="E4434" i="16"/>
  <c r="E4433" i="16" s="1"/>
  <c r="K4433" i="16"/>
  <c r="N4433" i="16" s="1"/>
  <c r="J4433" i="16"/>
  <c r="H4433" i="16"/>
  <c r="G4433" i="16"/>
  <c r="F4433" i="16"/>
  <c r="I4432" i="16"/>
  <c r="L4432" i="16" s="1"/>
  <c r="O4432" i="16" s="1"/>
  <c r="K4431" i="16"/>
  <c r="N4431" i="16" s="1"/>
  <c r="J4431" i="16"/>
  <c r="H4431" i="16"/>
  <c r="G4431" i="16"/>
  <c r="F4431" i="16"/>
  <c r="E4431" i="16"/>
  <c r="I4430" i="16"/>
  <c r="K4429" i="16"/>
  <c r="N4429" i="16" s="1"/>
  <c r="J4429" i="16"/>
  <c r="H4429" i="16"/>
  <c r="G4429" i="16"/>
  <c r="F4429" i="16"/>
  <c r="E4429" i="16"/>
  <c r="I4428" i="16"/>
  <c r="L4428" i="16" s="1"/>
  <c r="O4428" i="16" s="1"/>
  <c r="P4428" i="16" s="1"/>
  <c r="I4427" i="16"/>
  <c r="L4427" i="16" s="1"/>
  <c r="O4427" i="16" s="1"/>
  <c r="P4427" i="16" s="1"/>
  <c r="E4426" i="16"/>
  <c r="K4425" i="16"/>
  <c r="N4425" i="16" s="1"/>
  <c r="J4425" i="16"/>
  <c r="H4425" i="16"/>
  <c r="G4425" i="16"/>
  <c r="F4425" i="16"/>
  <c r="I4424" i="16"/>
  <c r="L4424" i="16" s="1"/>
  <c r="O4424" i="16" s="1"/>
  <c r="K4423" i="16"/>
  <c r="N4423" i="16" s="1"/>
  <c r="J4423" i="16"/>
  <c r="H4423" i="16"/>
  <c r="G4423" i="16"/>
  <c r="F4423" i="16"/>
  <c r="E4423" i="16"/>
  <c r="I4422" i="16"/>
  <c r="L4422" i="16" s="1"/>
  <c r="O4422" i="16" s="1"/>
  <c r="P4422" i="16" s="1"/>
  <c r="I4421" i="16"/>
  <c r="L4421" i="16" s="1"/>
  <c r="O4421" i="16" s="1"/>
  <c r="H4420" i="16"/>
  <c r="G4420" i="16"/>
  <c r="F4420" i="16"/>
  <c r="E4420" i="16"/>
  <c r="I4419" i="16"/>
  <c r="L4419" i="16" s="1"/>
  <c r="O4419" i="16" s="1"/>
  <c r="P4419" i="16" s="1"/>
  <c r="I4418" i="16"/>
  <c r="L4418" i="16" s="1"/>
  <c r="O4418" i="16" s="1"/>
  <c r="P4418" i="16" s="1"/>
  <c r="I4417" i="16"/>
  <c r="L4417" i="16" s="1"/>
  <c r="O4417" i="16" s="1"/>
  <c r="K4416" i="16"/>
  <c r="N4416" i="16" s="1"/>
  <c r="J4416" i="16"/>
  <c r="H4416" i="16"/>
  <c r="G4416" i="16"/>
  <c r="F4416" i="16"/>
  <c r="E4416" i="16"/>
  <c r="I4415" i="16"/>
  <c r="L4415" i="16" s="1"/>
  <c r="O4415" i="16" s="1"/>
  <c r="P4415" i="16" s="1"/>
  <c r="I4414" i="16"/>
  <c r="L4414" i="16" s="1"/>
  <c r="O4414" i="16" s="1"/>
  <c r="P4414" i="16" s="1"/>
  <c r="I4413" i="16"/>
  <c r="L4413" i="16" s="1"/>
  <c r="O4413" i="16" s="1"/>
  <c r="P4413" i="16" s="1"/>
  <c r="I4411" i="16"/>
  <c r="L4411" i="16" s="1"/>
  <c r="O4411" i="16" s="1"/>
  <c r="K4410" i="16"/>
  <c r="N4410" i="16" s="1"/>
  <c r="J4410" i="16"/>
  <c r="H4410" i="16"/>
  <c r="G4410" i="16"/>
  <c r="F4410" i="16"/>
  <c r="E4410" i="16"/>
  <c r="E4409" i="16"/>
  <c r="I4409" i="16" s="1"/>
  <c r="L4409" i="16" s="1"/>
  <c r="O4409" i="16" s="1"/>
  <c r="P4409" i="16" s="1"/>
  <c r="P4408" i="16" s="1"/>
  <c r="I4407" i="16"/>
  <c r="L4407" i="16" s="1"/>
  <c r="O4407" i="16" s="1"/>
  <c r="K4406" i="16"/>
  <c r="N4406" i="16" s="1"/>
  <c r="J4406" i="16"/>
  <c r="H4406" i="16"/>
  <c r="G4406" i="16"/>
  <c r="F4406" i="16"/>
  <c r="E4406" i="16"/>
  <c r="I4405" i="16"/>
  <c r="I4404" i="16"/>
  <c r="L4404" i="16" s="1"/>
  <c r="O4404" i="16" s="1"/>
  <c r="P4404" i="16" s="1"/>
  <c r="K4403" i="16"/>
  <c r="N4403" i="16" s="1"/>
  <c r="J4403" i="16"/>
  <c r="H4403" i="16"/>
  <c r="G4403" i="16"/>
  <c r="F4403" i="16"/>
  <c r="E4403" i="16"/>
  <c r="I4402" i="16"/>
  <c r="L4402" i="16" s="1"/>
  <c r="O4402" i="16" s="1"/>
  <c r="O4401" i="16" s="1"/>
  <c r="K4401" i="16"/>
  <c r="N4401" i="16" s="1"/>
  <c r="J4401" i="16"/>
  <c r="H4401" i="16"/>
  <c r="G4401" i="16"/>
  <c r="F4401" i="16"/>
  <c r="E4401" i="16"/>
  <c r="I4400" i="16"/>
  <c r="L4400" i="16" s="1"/>
  <c r="O4400" i="16" s="1"/>
  <c r="K4399" i="16"/>
  <c r="N4399" i="16" s="1"/>
  <c r="J4399" i="16"/>
  <c r="H4399" i="16"/>
  <c r="G4399" i="16"/>
  <c r="F4399" i="16"/>
  <c r="E4399" i="16"/>
  <c r="I4398" i="16"/>
  <c r="L4398" i="16" s="1"/>
  <c r="O4398" i="16" s="1"/>
  <c r="P4398" i="16" s="1"/>
  <c r="I4397" i="16"/>
  <c r="L4397" i="16" s="1"/>
  <c r="O4397" i="16" s="1"/>
  <c r="P4397" i="16" s="1"/>
  <c r="I4396" i="16"/>
  <c r="L4396" i="16" s="1"/>
  <c r="O4396" i="16" s="1"/>
  <c r="P4396" i="16" s="1"/>
  <c r="K4395" i="16"/>
  <c r="N4395" i="16" s="1"/>
  <c r="J4395" i="16"/>
  <c r="H4395" i="16"/>
  <c r="G4395" i="16"/>
  <c r="F4395" i="16"/>
  <c r="E4395" i="16"/>
  <c r="I4394" i="16"/>
  <c r="L4394" i="16" s="1"/>
  <c r="O4394" i="16" s="1"/>
  <c r="P4394" i="16" s="1"/>
  <c r="I4393" i="16"/>
  <c r="L4393" i="16" s="1"/>
  <c r="O4393" i="16" s="1"/>
  <c r="K4392" i="16"/>
  <c r="N4392" i="16" s="1"/>
  <c r="J4392" i="16"/>
  <c r="H4392" i="16"/>
  <c r="G4392" i="16"/>
  <c r="F4392" i="16"/>
  <c r="E4392" i="16"/>
  <c r="I4391" i="16"/>
  <c r="L4391" i="16" s="1"/>
  <c r="O4391" i="16" s="1"/>
  <c r="P4391" i="16" s="1"/>
  <c r="I4390" i="16"/>
  <c r="L4390" i="16" s="1"/>
  <c r="O4390" i="16" s="1"/>
  <c r="P4390" i="16" s="1"/>
  <c r="I4389" i="16"/>
  <c r="L4389" i="16" s="1"/>
  <c r="O4389" i="16" s="1"/>
  <c r="P4389" i="16" s="1"/>
  <c r="I4388" i="16"/>
  <c r="L4388" i="16" s="1"/>
  <c r="O4388" i="16" s="1"/>
  <c r="K4387" i="16"/>
  <c r="N4387" i="16" s="1"/>
  <c r="J4387" i="16"/>
  <c r="H4387" i="16"/>
  <c r="G4387" i="16"/>
  <c r="F4387" i="16"/>
  <c r="E4387" i="16"/>
  <c r="I4386" i="16"/>
  <c r="L4386" i="16" s="1"/>
  <c r="O4386" i="16" s="1"/>
  <c r="P4386" i="16" s="1"/>
  <c r="I4385" i="16"/>
  <c r="L4385" i="16" s="1"/>
  <c r="O4385" i="16" s="1"/>
  <c r="P4385" i="16" s="1"/>
  <c r="I4384" i="16"/>
  <c r="L4384" i="16" s="1"/>
  <c r="O4384" i="16" s="1"/>
  <c r="K4383" i="16"/>
  <c r="N4383" i="16" s="1"/>
  <c r="J4383" i="16"/>
  <c r="H4383" i="16"/>
  <c r="G4383" i="16"/>
  <c r="F4383" i="16"/>
  <c r="E4383" i="16"/>
  <c r="I4382" i="16"/>
  <c r="L4382" i="16" s="1"/>
  <c r="O4382" i="16" s="1"/>
  <c r="P4382" i="16" s="1"/>
  <c r="I4381" i="16"/>
  <c r="L4381" i="16" s="1"/>
  <c r="O4381" i="16" s="1"/>
  <c r="P4381" i="16" s="1"/>
  <c r="I4380" i="16"/>
  <c r="L4380" i="16" s="1"/>
  <c r="O4380" i="16" s="1"/>
  <c r="P4380" i="16" s="1"/>
  <c r="K4379" i="16"/>
  <c r="N4379" i="16" s="1"/>
  <c r="J4379" i="16"/>
  <c r="H4379" i="16"/>
  <c r="G4379" i="16"/>
  <c r="F4379" i="16"/>
  <c r="E4379" i="16"/>
  <c r="E4378" i="16"/>
  <c r="I4378" i="16" s="1"/>
  <c r="I4377" i="16"/>
  <c r="L4377" i="16" s="1"/>
  <c r="O4377" i="16" s="1"/>
  <c r="P4377" i="16" s="1"/>
  <c r="I4376" i="16"/>
  <c r="L4376" i="16" s="1"/>
  <c r="O4376" i="16" s="1"/>
  <c r="K4375" i="16"/>
  <c r="N4375" i="16" s="1"/>
  <c r="J4375" i="16"/>
  <c r="H4375" i="16"/>
  <c r="G4375" i="16"/>
  <c r="F4375" i="16"/>
  <c r="I4374" i="16"/>
  <c r="L4374" i="16" s="1"/>
  <c r="O4374" i="16" s="1"/>
  <c r="P4374" i="16" s="1"/>
  <c r="I4373" i="16"/>
  <c r="L4373" i="16" s="1"/>
  <c r="O4373" i="16" s="1"/>
  <c r="K4372" i="16"/>
  <c r="N4372" i="16" s="1"/>
  <c r="J4372" i="16"/>
  <c r="H4372" i="16"/>
  <c r="G4372" i="16"/>
  <c r="F4372" i="16"/>
  <c r="E4372" i="16"/>
  <c r="I4371" i="16"/>
  <c r="L4371" i="16" s="1"/>
  <c r="O4371" i="16" s="1"/>
  <c r="P4371" i="16" s="1"/>
  <c r="I4370" i="16"/>
  <c r="H4369" i="16"/>
  <c r="G4369" i="16"/>
  <c r="F4369" i="16"/>
  <c r="E4369" i="16"/>
  <c r="I4368" i="16"/>
  <c r="L4368" i="16" s="1"/>
  <c r="O4368" i="16" s="1"/>
  <c r="K4367" i="16"/>
  <c r="N4367" i="16" s="1"/>
  <c r="J4367" i="16"/>
  <c r="H4367" i="16"/>
  <c r="G4367" i="16"/>
  <c r="F4367" i="16"/>
  <c r="E4367" i="16"/>
  <c r="I4366" i="16"/>
  <c r="L4366" i="16" s="1"/>
  <c r="O4366" i="16" s="1"/>
  <c r="P4366" i="16" s="1"/>
  <c r="I4365" i="16"/>
  <c r="L4365" i="16" s="1"/>
  <c r="O4365" i="16" s="1"/>
  <c r="P4365" i="16" s="1"/>
  <c r="O4364" i="16"/>
  <c r="I4364" i="16"/>
  <c r="O4363" i="16"/>
  <c r="I4363" i="16"/>
  <c r="O4362" i="16"/>
  <c r="I4362" i="16"/>
  <c r="K4356" i="16"/>
  <c r="K4355" i="16" s="1"/>
  <c r="K4357" i="16" s="1"/>
  <c r="N4357" i="16" s="1"/>
  <c r="I4356" i="16"/>
  <c r="I4355" i="16" s="1"/>
  <c r="J4355" i="16"/>
  <c r="J4357" i="16" s="1"/>
  <c r="H4355" i="16"/>
  <c r="H4357" i="16" s="1"/>
  <c r="G4355" i="16"/>
  <c r="G4357" i="16" s="1"/>
  <c r="F4355" i="16"/>
  <c r="F4357" i="16" s="1"/>
  <c r="E4355" i="16"/>
  <c r="E4357" i="16" s="1"/>
  <c r="I4354" i="16"/>
  <c r="L4354" i="16" s="1"/>
  <c r="O4354" i="16" s="1"/>
  <c r="P4354" i="16" s="1"/>
  <c r="I4353" i="16"/>
  <c r="L4353" i="16" s="1"/>
  <c r="O4353" i="16" s="1"/>
  <c r="P4353" i="16" s="1"/>
  <c r="I4350" i="16"/>
  <c r="L4350" i="16" s="1"/>
  <c r="O4350" i="16" s="1"/>
  <c r="P4350" i="16" s="1"/>
  <c r="I4349" i="16"/>
  <c r="L4349" i="16" s="1"/>
  <c r="O4349" i="16" s="1"/>
  <c r="P4349" i="16" s="1"/>
  <c r="I4348" i="16"/>
  <c r="L4348" i="16" s="1"/>
  <c r="O4348" i="16" s="1"/>
  <c r="K4347" i="16"/>
  <c r="N4347" i="16" s="1"/>
  <c r="J4347" i="16"/>
  <c r="H4347" i="16"/>
  <c r="G4347" i="16"/>
  <c r="F4347" i="16"/>
  <c r="E4347" i="16"/>
  <c r="I4346" i="16"/>
  <c r="L4346" i="16" s="1"/>
  <c r="O4346" i="16" s="1"/>
  <c r="K4345" i="16"/>
  <c r="N4345" i="16" s="1"/>
  <c r="J4345" i="16"/>
  <c r="H4345" i="16"/>
  <c r="G4345" i="16"/>
  <c r="F4345" i="16"/>
  <c r="E4345" i="16"/>
  <c r="I4344" i="16"/>
  <c r="L4344" i="16" s="1"/>
  <c r="O4344" i="16" s="1"/>
  <c r="P4344" i="16" s="1"/>
  <c r="I4343" i="16"/>
  <c r="L4343" i="16" s="1"/>
  <c r="O4343" i="16" s="1"/>
  <c r="P4343" i="16" s="1"/>
  <c r="I4342" i="16"/>
  <c r="L4342" i="16" s="1"/>
  <c r="O4342" i="16" s="1"/>
  <c r="K4341" i="16"/>
  <c r="N4341" i="16" s="1"/>
  <c r="J4341" i="16"/>
  <c r="H4341" i="16"/>
  <c r="G4341" i="16"/>
  <c r="F4341" i="16"/>
  <c r="E4341" i="16"/>
  <c r="I4340" i="16"/>
  <c r="L4340" i="16" s="1"/>
  <c r="O4340" i="16" s="1"/>
  <c r="P4340" i="16" s="1"/>
  <c r="I4339" i="16"/>
  <c r="L4339" i="16" s="1"/>
  <c r="O4339" i="16" s="1"/>
  <c r="K4338" i="16"/>
  <c r="N4338" i="16" s="1"/>
  <c r="J4338" i="16"/>
  <c r="H4338" i="16"/>
  <c r="G4338" i="16"/>
  <c r="F4338" i="16"/>
  <c r="E4338" i="16"/>
  <c r="I4337" i="16"/>
  <c r="L4337" i="16" s="1"/>
  <c r="O4337" i="16" s="1"/>
  <c r="P4337" i="16" s="1"/>
  <c r="I4336" i="16"/>
  <c r="L4336" i="16" s="1"/>
  <c r="O4336" i="16" s="1"/>
  <c r="P4336" i="16" s="1"/>
  <c r="I4335" i="16"/>
  <c r="L4335" i="16" s="1"/>
  <c r="O4335" i="16" s="1"/>
  <c r="P4335" i="16" s="1"/>
  <c r="I4332" i="16"/>
  <c r="L4332" i="16" s="1"/>
  <c r="O4332" i="16" s="1"/>
  <c r="I4331" i="16"/>
  <c r="L4331" i="16" s="1"/>
  <c r="O4331" i="16" s="1"/>
  <c r="P4331" i="16" s="1"/>
  <c r="I4330" i="16"/>
  <c r="L4330" i="16" s="1"/>
  <c r="O4330" i="16" s="1"/>
  <c r="K4329" i="16"/>
  <c r="N4329" i="16" s="1"/>
  <c r="J4329" i="16"/>
  <c r="H4329" i="16"/>
  <c r="G4329" i="16"/>
  <c r="F4329" i="16"/>
  <c r="E4329" i="16"/>
  <c r="I4328" i="16"/>
  <c r="I4327" i="16" s="1"/>
  <c r="K4327" i="16"/>
  <c r="N4327" i="16" s="1"/>
  <c r="J4327" i="16"/>
  <c r="H4327" i="16"/>
  <c r="G4327" i="16"/>
  <c r="F4327" i="16"/>
  <c r="E4327" i="16"/>
  <c r="I4326" i="16"/>
  <c r="L4326" i="16" s="1"/>
  <c r="O4326" i="16" s="1"/>
  <c r="P4326" i="16" s="1"/>
  <c r="I4325" i="16"/>
  <c r="L4325" i="16" s="1"/>
  <c r="O4325" i="16" s="1"/>
  <c r="P4325" i="16" s="1"/>
  <c r="I4322" i="16"/>
  <c r="L4322" i="16" s="1"/>
  <c r="O4322" i="16" s="1"/>
  <c r="K4321" i="16"/>
  <c r="N4321" i="16" s="1"/>
  <c r="J4321" i="16"/>
  <c r="H4321" i="16"/>
  <c r="G4321" i="16"/>
  <c r="F4321" i="16"/>
  <c r="E4321" i="16"/>
  <c r="I4320" i="16"/>
  <c r="I4319" i="16" s="1"/>
  <c r="K4319" i="16"/>
  <c r="N4319" i="16" s="1"/>
  <c r="J4319" i="16"/>
  <c r="H4319" i="16"/>
  <c r="G4319" i="16"/>
  <c r="F4319" i="16"/>
  <c r="E4319" i="16"/>
  <c r="I4318" i="16"/>
  <c r="L4318" i="16" s="1"/>
  <c r="O4318" i="16" s="1"/>
  <c r="P4318" i="16" s="1"/>
  <c r="I4317" i="16"/>
  <c r="K4316" i="16"/>
  <c r="N4316" i="16" s="1"/>
  <c r="J4316" i="16"/>
  <c r="H4316" i="16"/>
  <c r="G4316" i="16"/>
  <c r="F4316" i="16"/>
  <c r="E4316" i="16"/>
  <c r="I4315" i="16"/>
  <c r="L4315" i="16" s="1"/>
  <c r="O4315" i="16" s="1"/>
  <c r="P4315" i="16" s="1"/>
  <c r="I4314" i="16"/>
  <c r="L4314" i="16" s="1"/>
  <c r="O4314" i="16" s="1"/>
  <c r="P4314" i="16" s="1"/>
  <c r="I4313" i="16"/>
  <c r="L4313" i="16" s="1"/>
  <c r="O4313" i="16" s="1"/>
  <c r="K4312" i="16"/>
  <c r="N4312" i="16" s="1"/>
  <c r="J4312" i="16"/>
  <c r="H4312" i="16"/>
  <c r="G4312" i="16"/>
  <c r="F4312" i="16"/>
  <c r="E4312" i="16"/>
  <c r="I4311" i="16"/>
  <c r="L4311" i="16" s="1"/>
  <c r="O4311" i="16" s="1"/>
  <c r="P4311" i="16" s="1"/>
  <c r="I4310" i="16"/>
  <c r="L4310" i="16" s="1"/>
  <c r="O4310" i="16" s="1"/>
  <c r="P4310" i="16" s="1"/>
  <c r="I4309" i="16"/>
  <c r="L4309" i="16" s="1"/>
  <c r="O4309" i="16" s="1"/>
  <c r="K4308" i="16"/>
  <c r="N4308" i="16" s="1"/>
  <c r="J4308" i="16"/>
  <c r="H4308" i="16"/>
  <c r="G4308" i="16"/>
  <c r="F4308" i="16"/>
  <c r="E4308" i="16"/>
  <c r="I4307" i="16"/>
  <c r="L4307" i="16" s="1"/>
  <c r="O4307" i="16" s="1"/>
  <c r="P4307" i="16" s="1"/>
  <c r="I4306" i="16"/>
  <c r="L4306" i="16" s="1"/>
  <c r="O4306" i="16" s="1"/>
  <c r="P4306" i="16" s="1"/>
  <c r="I4305" i="16"/>
  <c r="L4305" i="16" s="1"/>
  <c r="O4305" i="16" s="1"/>
  <c r="P4305" i="16" s="1"/>
  <c r="I4302" i="16"/>
  <c r="K4301" i="16"/>
  <c r="K4303" i="16" s="1"/>
  <c r="N4303" i="16" s="1"/>
  <c r="J4301" i="16"/>
  <c r="J4303" i="16" s="1"/>
  <c r="H4301" i="16"/>
  <c r="H4303" i="16" s="1"/>
  <c r="G4301" i="16"/>
  <c r="G4303" i="16" s="1"/>
  <c r="F4301" i="16"/>
  <c r="F4303" i="16" s="1"/>
  <c r="E4301" i="16"/>
  <c r="E4303" i="16" s="1"/>
  <c r="I4300" i="16"/>
  <c r="L4300" i="16" s="1"/>
  <c r="O4300" i="16" s="1"/>
  <c r="P4300" i="16" s="1"/>
  <c r="I4299" i="16"/>
  <c r="L4299" i="16" s="1"/>
  <c r="O4299" i="16" s="1"/>
  <c r="P4299" i="16" s="1"/>
  <c r="I4296" i="16"/>
  <c r="L4296" i="16" s="1"/>
  <c r="O4296" i="16" s="1"/>
  <c r="P4296" i="16" s="1"/>
  <c r="I4295" i="16"/>
  <c r="L4295" i="16" s="1"/>
  <c r="O4295" i="16" s="1"/>
  <c r="P4295" i="16" s="1"/>
  <c r="I4294" i="16"/>
  <c r="L4294" i="16" s="1"/>
  <c r="O4294" i="16" s="1"/>
  <c r="K4293" i="16"/>
  <c r="K4297" i="16" s="1"/>
  <c r="K4298" i="16" s="1"/>
  <c r="J4293" i="16"/>
  <c r="J4297" i="16" s="1"/>
  <c r="J4298" i="16" s="1"/>
  <c r="H4293" i="16"/>
  <c r="H4297" i="16" s="1"/>
  <c r="H4298" i="16" s="1"/>
  <c r="G4293" i="16"/>
  <c r="G4297" i="16" s="1"/>
  <c r="G4298" i="16" s="1"/>
  <c r="F4293" i="16"/>
  <c r="F4297" i="16" s="1"/>
  <c r="F4298" i="16" s="1"/>
  <c r="E4293" i="16"/>
  <c r="E4297" i="16" s="1"/>
  <c r="E4298" i="16" s="1"/>
  <c r="I4292" i="16"/>
  <c r="L4292" i="16" s="1"/>
  <c r="O4292" i="16" s="1"/>
  <c r="P4292" i="16" s="1"/>
  <c r="I4291" i="16"/>
  <c r="L4291" i="16" s="1"/>
  <c r="O4291" i="16" s="1"/>
  <c r="P4291" i="16" s="1"/>
  <c r="I4287" i="16"/>
  <c r="I4286" i="16" s="1"/>
  <c r="K4286" i="16"/>
  <c r="N4286" i="16" s="1"/>
  <c r="J4286" i="16"/>
  <c r="H4286" i="16"/>
  <c r="G4286" i="16"/>
  <c r="F4286" i="16"/>
  <c r="E4286" i="16"/>
  <c r="I4285" i="16"/>
  <c r="L4285" i="16" s="1"/>
  <c r="O4285" i="16" s="1"/>
  <c r="I4284" i="16"/>
  <c r="L4284" i="16" s="1"/>
  <c r="O4284" i="16" s="1"/>
  <c r="P4284" i="16" s="1"/>
  <c r="K4283" i="16"/>
  <c r="N4283" i="16" s="1"/>
  <c r="J4283" i="16"/>
  <c r="H4283" i="16"/>
  <c r="G4283" i="16"/>
  <c r="F4283" i="16"/>
  <c r="E4283" i="16"/>
  <c r="I4282" i="16"/>
  <c r="L4282" i="16" s="1"/>
  <c r="O4282" i="16" s="1"/>
  <c r="P4282" i="16" s="1"/>
  <c r="I4281" i="16"/>
  <c r="L4281" i="16" s="1"/>
  <c r="O4281" i="16" s="1"/>
  <c r="P4281" i="16" s="1"/>
  <c r="I4280" i="16"/>
  <c r="K4279" i="16"/>
  <c r="N4279" i="16" s="1"/>
  <c r="J4279" i="16"/>
  <c r="H4279" i="16"/>
  <c r="G4279" i="16"/>
  <c r="F4279" i="16"/>
  <c r="E4279" i="16"/>
  <c r="I4278" i="16"/>
  <c r="L4278" i="16" s="1"/>
  <c r="O4278" i="16" s="1"/>
  <c r="P4278" i="16" s="1"/>
  <c r="I4277" i="16"/>
  <c r="L4277" i="16" s="1"/>
  <c r="O4277" i="16" s="1"/>
  <c r="P4277" i="16" s="1"/>
  <c r="H4274" i="16"/>
  <c r="I4274" i="16" s="1"/>
  <c r="I4273" i="16"/>
  <c r="L4273" i="16" s="1"/>
  <c r="O4273" i="16" s="1"/>
  <c r="P4273" i="16" s="1"/>
  <c r="K4272" i="16"/>
  <c r="J4272" i="16"/>
  <c r="G4272" i="16"/>
  <c r="F4272" i="16"/>
  <c r="E4272" i="16"/>
  <c r="I4271" i="16"/>
  <c r="I4270" i="16" s="1"/>
  <c r="K4270" i="16"/>
  <c r="N4270" i="16" s="1"/>
  <c r="J4270" i="16"/>
  <c r="H4270" i="16"/>
  <c r="G4270" i="16"/>
  <c r="F4270" i="16"/>
  <c r="E4270" i="16"/>
  <c r="I4269" i="16"/>
  <c r="L4269" i="16" s="1"/>
  <c r="O4269" i="16" s="1"/>
  <c r="P4269" i="16" s="1"/>
  <c r="I4268" i="16"/>
  <c r="L4268" i="16" s="1"/>
  <c r="O4268" i="16" s="1"/>
  <c r="P4268" i="16" s="1"/>
  <c r="I4265" i="16"/>
  <c r="I4264" i="16" s="1"/>
  <c r="K4264" i="16"/>
  <c r="N4264" i="16" s="1"/>
  <c r="J4264" i="16"/>
  <c r="H4264" i="16"/>
  <c r="G4264" i="16"/>
  <c r="F4264" i="16"/>
  <c r="E4264" i="16"/>
  <c r="L4263" i="16"/>
  <c r="I4262" i="16"/>
  <c r="I4261" i="16" s="1"/>
  <c r="K4261" i="16"/>
  <c r="N4261" i="16" s="1"/>
  <c r="J4261" i="16"/>
  <c r="H4261" i="16"/>
  <c r="G4261" i="16"/>
  <c r="F4261" i="16"/>
  <c r="E4261" i="16"/>
  <c r="I4260" i="16"/>
  <c r="L4260" i="16" s="1"/>
  <c r="O4260" i="16" s="1"/>
  <c r="K4259" i="16"/>
  <c r="N4259" i="16" s="1"/>
  <c r="J4259" i="16"/>
  <c r="H4259" i="16"/>
  <c r="G4259" i="16"/>
  <c r="F4259" i="16"/>
  <c r="E4259" i="16"/>
  <c r="I4258" i="16"/>
  <c r="L4258" i="16" s="1"/>
  <c r="O4258" i="16" s="1"/>
  <c r="O4257" i="16" s="1"/>
  <c r="K4257" i="16"/>
  <c r="N4257" i="16" s="1"/>
  <c r="J4257" i="16"/>
  <c r="H4257" i="16"/>
  <c r="G4257" i="16"/>
  <c r="F4257" i="16"/>
  <c r="E4257" i="16"/>
  <c r="I4256" i="16"/>
  <c r="L4256" i="16" s="1"/>
  <c r="O4256" i="16" s="1"/>
  <c r="P4256" i="16" s="1"/>
  <c r="I4255" i="16"/>
  <c r="L4255" i="16" s="1"/>
  <c r="O4255" i="16" s="1"/>
  <c r="K4254" i="16"/>
  <c r="N4254" i="16" s="1"/>
  <c r="J4254" i="16"/>
  <c r="H4254" i="16"/>
  <c r="G4254" i="16"/>
  <c r="F4254" i="16"/>
  <c r="E4254" i="16"/>
  <c r="I4253" i="16"/>
  <c r="L4253" i="16" s="1"/>
  <c r="O4253" i="16" s="1"/>
  <c r="P4253" i="16" s="1"/>
  <c r="I4252" i="16"/>
  <c r="L4252" i="16" s="1"/>
  <c r="O4252" i="16" s="1"/>
  <c r="P4252" i="16" s="1"/>
  <c r="I4251" i="16"/>
  <c r="I4250" i="16"/>
  <c r="L4250" i="16" s="1"/>
  <c r="O4250" i="16" s="1"/>
  <c r="P4250" i="16" s="1"/>
  <c r="I4249" i="16"/>
  <c r="L4249" i="16" s="1"/>
  <c r="O4249" i="16" s="1"/>
  <c r="K4248" i="16"/>
  <c r="N4248" i="16" s="1"/>
  <c r="J4248" i="16"/>
  <c r="H4248" i="16"/>
  <c r="G4248" i="16"/>
  <c r="F4248" i="16"/>
  <c r="E4248" i="16"/>
  <c r="I4247" i="16"/>
  <c r="L4247" i="16" s="1"/>
  <c r="O4247" i="16" s="1"/>
  <c r="P4247" i="16" s="1"/>
  <c r="I4246" i="16"/>
  <c r="L4246" i="16" s="1"/>
  <c r="O4246" i="16" s="1"/>
  <c r="P4246" i="16" s="1"/>
  <c r="I4245" i="16"/>
  <c r="K4244" i="16"/>
  <c r="N4244" i="16" s="1"/>
  <c r="J4244" i="16"/>
  <c r="H4244" i="16"/>
  <c r="G4244" i="16"/>
  <c r="F4244" i="16"/>
  <c r="E4244" i="16"/>
  <c r="I4242" i="16"/>
  <c r="L4242" i="16" s="1"/>
  <c r="O4242" i="16" s="1"/>
  <c r="P4242" i="16" s="1"/>
  <c r="I4241" i="16"/>
  <c r="L4241" i="16" s="1"/>
  <c r="O4241" i="16" s="1"/>
  <c r="K4240" i="16"/>
  <c r="N4240" i="16" s="1"/>
  <c r="J4240" i="16"/>
  <c r="H4240" i="16"/>
  <c r="G4240" i="16"/>
  <c r="F4240" i="16"/>
  <c r="E4240" i="16"/>
  <c r="I4239" i="16"/>
  <c r="L4239" i="16" s="1"/>
  <c r="O4239" i="16" s="1"/>
  <c r="P4239" i="16" s="1"/>
  <c r="I4238" i="16"/>
  <c r="L4238" i="16" s="1"/>
  <c r="O4238" i="16" s="1"/>
  <c r="K4237" i="16"/>
  <c r="N4237" i="16" s="1"/>
  <c r="J4237" i="16"/>
  <c r="H4237" i="16"/>
  <c r="G4237" i="16"/>
  <c r="F4237" i="16"/>
  <c r="E4237" i="16"/>
  <c r="I4236" i="16"/>
  <c r="L4236" i="16" s="1"/>
  <c r="O4236" i="16" s="1"/>
  <c r="K4235" i="16"/>
  <c r="N4235" i="16" s="1"/>
  <c r="J4235" i="16"/>
  <c r="H4235" i="16"/>
  <c r="G4235" i="16"/>
  <c r="F4235" i="16"/>
  <c r="E4235" i="16"/>
  <c r="I4234" i="16"/>
  <c r="L4234" i="16" s="1"/>
  <c r="O4234" i="16" s="1"/>
  <c r="P4234" i="16" s="1"/>
  <c r="I4233" i="16"/>
  <c r="L4233" i="16" s="1"/>
  <c r="O4233" i="16" s="1"/>
  <c r="P4233" i="16" s="1"/>
  <c r="I4232" i="16"/>
  <c r="L4232" i="16" s="1"/>
  <c r="O4232" i="16" s="1"/>
  <c r="P4232" i="16" s="1"/>
  <c r="I4229" i="16"/>
  <c r="L4229" i="16" s="1"/>
  <c r="O4229" i="16" s="1"/>
  <c r="O4228" i="16" s="1"/>
  <c r="K4228" i="16"/>
  <c r="N4228" i="16" s="1"/>
  <c r="J4228" i="16"/>
  <c r="H4228" i="16"/>
  <c r="G4228" i="16"/>
  <c r="F4228" i="16"/>
  <c r="F4230" i="16" s="1"/>
  <c r="E4228" i="16"/>
  <c r="E4227" i="16"/>
  <c r="E4226" i="16" s="1"/>
  <c r="K4226" i="16"/>
  <c r="J4226" i="16"/>
  <c r="H4226" i="16"/>
  <c r="G4226" i="16"/>
  <c r="F4226" i="16"/>
  <c r="I4225" i="16"/>
  <c r="L4225" i="16" s="1"/>
  <c r="O4225" i="16" s="1"/>
  <c r="P4225" i="16" s="1"/>
  <c r="I4224" i="16"/>
  <c r="L4224" i="16" s="1"/>
  <c r="O4224" i="16" s="1"/>
  <c r="P4224" i="16" s="1"/>
  <c r="I4221" i="16"/>
  <c r="I4220" i="16" s="1"/>
  <c r="K4220" i="16"/>
  <c r="N4220" i="16" s="1"/>
  <c r="J4220" i="16"/>
  <c r="H4220" i="16"/>
  <c r="G4220" i="16"/>
  <c r="F4220" i="16"/>
  <c r="E4220" i="16"/>
  <c r="I4219" i="16"/>
  <c r="K4218" i="16"/>
  <c r="N4218" i="16" s="1"/>
  <c r="J4218" i="16"/>
  <c r="H4218" i="16"/>
  <c r="G4218" i="16"/>
  <c r="F4218" i="16"/>
  <c r="E4218" i="16"/>
  <c r="I4217" i="16"/>
  <c r="L4217" i="16" s="1"/>
  <c r="O4217" i="16" s="1"/>
  <c r="P4217" i="16" s="1"/>
  <c r="I4216" i="16"/>
  <c r="K4215" i="16"/>
  <c r="N4215" i="16" s="1"/>
  <c r="J4215" i="16"/>
  <c r="H4215" i="16"/>
  <c r="G4215" i="16"/>
  <c r="F4215" i="16"/>
  <c r="E4215" i="16"/>
  <c r="I4214" i="16"/>
  <c r="L4214" i="16" s="1"/>
  <c r="O4214" i="16" s="1"/>
  <c r="P4214" i="16" s="1"/>
  <c r="I4213" i="16"/>
  <c r="L4213" i="16" s="1"/>
  <c r="O4213" i="16" s="1"/>
  <c r="P4213" i="16" s="1"/>
  <c r="I4212" i="16"/>
  <c r="L4212" i="16" s="1"/>
  <c r="O4212" i="16" s="1"/>
  <c r="P4212" i="16" s="1"/>
  <c r="I4211" i="16"/>
  <c r="K4210" i="16"/>
  <c r="N4210" i="16" s="1"/>
  <c r="J4210" i="16"/>
  <c r="H4210" i="16"/>
  <c r="G4210" i="16"/>
  <c r="F4210" i="16"/>
  <c r="E4210" i="16"/>
  <c r="I4209" i="16"/>
  <c r="I4208" i="16" s="1"/>
  <c r="K4208" i="16"/>
  <c r="N4208" i="16" s="1"/>
  <c r="J4208" i="16"/>
  <c r="H4208" i="16"/>
  <c r="G4208" i="16"/>
  <c r="F4208" i="16"/>
  <c r="E4208" i="16"/>
  <c r="I4207" i="16"/>
  <c r="L4207" i="16" s="1"/>
  <c r="O4207" i="16" s="1"/>
  <c r="P4207" i="16" s="1"/>
  <c r="I4206" i="16"/>
  <c r="L4206" i="16" s="1"/>
  <c r="O4206" i="16" s="1"/>
  <c r="P4206" i="16" s="1"/>
  <c r="I4205" i="16"/>
  <c r="L4205" i="16" s="1"/>
  <c r="O4205" i="16" s="1"/>
  <c r="K4204" i="16"/>
  <c r="N4204" i="16" s="1"/>
  <c r="J4204" i="16"/>
  <c r="H4204" i="16"/>
  <c r="G4204" i="16"/>
  <c r="F4204" i="16"/>
  <c r="E4204" i="16"/>
  <c r="I4203" i="16"/>
  <c r="L4203" i="16" s="1"/>
  <c r="O4203" i="16" s="1"/>
  <c r="P4203" i="16" s="1"/>
  <c r="I4202" i="16"/>
  <c r="K4201" i="16"/>
  <c r="N4201" i="16" s="1"/>
  <c r="J4201" i="16"/>
  <c r="H4201" i="16"/>
  <c r="G4201" i="16"/>
  <c r="F4201" i="16"/>
  <c r="E4201" i="16"/>
  <c r="I4199" i="16"/>
  <c r="L4199" i="16" s="1"/>
  <c r="O4199" i="16" s="1"/>
  <c r="P4199" i="16" s="1"/>
  <c r="I4198" i="16"/>
  <c r="K4197" i="16"/>
  <c r="N4197" i="16" s="1"/>
  <c r="J4197" i="16"/>
  <c r="H4197" i="16"/>
  <c r="G4197" i="16"/>
  <c r="F4197" i="16"/>
  <c r="E4197" i="16"/>
  <c r="I4196" i="16"/>
  <c r="L4196" i="16" s="1"/>
  <c r="O4196" i="16" s="1"/>
  <c r="P4196" i="16" s="1"/>
  <c r="I4195" i="16"/>
  <c r="L4195" i="16" s="1"/>
  <c r="O4195" i="16" s="1"/>
  <c r="K4194" i="16"/>
  <c r="N4194" i="16" s="1"/>
  <c r="J4194" i="16"/>
  <c r="H4194" i="16"/>
  <c r="G4194" i="16"/>
  <c r="F4194" i="16"/>
  <c r="E4194" i="16"/>
  <c r="I4193" i="16"/>
  <c r="L4193" i="16" s="1"/>
  <c r="O4193" i="16" s="1"/>
  <c r="P4193" i="16" s="1"/>
  <c r="P4192" i="16" s="1"/>
  <c r="K4192" i="16"/>
  <c r="N4192" i="16" s="1"/>
  <c r="J4192" i="16"/>
  <c r="H4192" i="16"/>
  <c r="G4192" i="16"/>
  <c r="F4192" i="16"/>
  <c r="E4192" i="16"/>
  <c r="I4191" i="16"/>
  <c r="L4191" i="16" s="1"/>
  <c r="O4191" i="16" s="1"/>
  <c r="P4191" i="16" s="1"/>
  <c r="I4190" i="16"/>
  <c r="L4190" i="16" s="1"/>
  <c r="O4190" i="16" s="1"/>
  <c r="P4190" i="16" s="1"/>
  <c r="I4189" i="16"/>
  <c r="L4189" i="16" s="1"/>
  <c r="O4189" i="16" s="1"/>
  <c r="P4189" i="16" s="1"/>
  <c r="I4186" i="16"/>
  <c r="I4185" i="16" s="1"/>
  <c r="K4185" i="16"/>
  <c r="K4187" i="16" s="1"/>
  <c r="N4187" i="16" s="1"/>
  <c r="J4185" i="16"/>
  <c r="J4187" i="16" s="1"/>
  <c r="H4185" i="16"/>
  <c r="H4187" i="16" s="1"/>
  <c r="G4185" i="16"/>
  <c r="G4187" i="16" s="1"/>
  <c r="F4185" i="16"/>
  <c r="F4187" i="16" s="1"/>
  <c r="E4185" i="16"/>
  <c r="E4187" i="16" s="1"/>
  <c r="I4184" i="16"/>
  <c r="L4184" i="16" s="1"/>
  <c r="O4184" i="16" s="1"/>
  <c r="P4184" i="16" s="1"/>
  <c r="I4183" i="16"/>
  <c r="L4183" i="16" s="1"/>
  <c r="O4183" i="16" s="1"/>
  <c r="P4183" i="16" s="1"/>
  <c r="I4180" i="16"/>
  <c r="I4179" i="16" s="1"/>
  <c r="K4179" i="16"/>
  <c r="N4179" i="16" s="1"/>
  <c r="J4179" i="16"/>
  <c r="H4179" i="16"/>
  <c r="G4179" i="16"/>
  <c r="F4179" i="16"/>
  <c r="E4179" i="16"/>
  <c r="I4178" i="16"/>
  <c r="L4178" i="16" s="1"/>
  <c r="O4178" i="16" s="1"/>
  <c r="P4178" i="16" s="1"/>
  <c r="I4177" i="16"/>
  <c r="L4177" i="16" s="1"/>
  <c r="O4177" i="16" s="1"/>
  <c r="K4176" i="16"/>
  <c r="N4176" i="16" s="1"/>
  <c r="J4176" i="16"/>
  <c r="H4176" i="16"/>
  <c r="G4176" i="16"/>
  <c r="F4176" i="16"/>
  <c r="E4176" i="16"/>
  <c r="I4175" i="16"/>
  <c r="K4174" i="16"/>
  <c r="N4174" i="16" s="1"/>
  <c r="J4174" i="16"/>
  <c r="H4174" i="16"/>
  <c r="G4174" i="16"/>
  <c r="F4174" i="16"/>
  <c r="E4174" i="16"/>
  <c r="I4173" i="16"/>
  <c r="L4173" i="16" s="1"/>
  <c r="O4173" i="16" s="1"/>
  <c r="P4173" i="16" s="1"/>
  <c r="I4172" i="16"/>
  <c r="L4172" i="16" s="1"/>
  <c r="O4172" i="16" s="1"/>
  <c r="P4172" i="16" s="1"/>
  <c r="I4171" i="16"/>
  <c r="K4170" i="16"/>
  <c r="N4170" i="16" s="1"/>
  <c r="J4170" i="16"/>
  <c r="H4170" i="16"/>
  <c r="G4170" i="16"/>
  <c r="F4170" i="16"/>
  <c r="E4170" i="16"/>
  <c r="I4169" i="16"/>
  <c r="L4169" i="16" s="1"/>
  <c r="O4169" i="16" s="1"/>
  <c r="P4169" i="16" s="1"/>
  <c r="I4168" i="16"/>
  <c r="L4168" i="16" s="1"/>
  <c r="O4168" i="16" s="1"/>
  <c r="P4168" i="16" s="1"/>
  <c r="K4167" i="16"/>
  <c r="N4167" i="16" s="1"/>
  <c r="J4167" i="16"/>
  <c r="H4167" i="16"/>
  <c r="G4167" i="16"/>
  <c r="F4167" i="16"/>
  <c r="E4167" i="16"/>
  <c r="I4166" i="16"/>
  <c r="L4166" i="16" s="1"/>
  <c r="O4166" i="16" s="1"/>
  <c r="P4166" i="16" s="1"/>
  <c r="I4165" i="16"/>
  <c r="L4165" i="16" s="1"/>
  <c r="O4165" i="16" s="1"/>
  <c r="K4164" i="16"/>
  <c r="N4164" i="16" s="1"/>
  <c r="J4164" i="16"/>
  <c r="H4164" i="16"/>
  <c r="G4164" i="16"/>
  <c r="F4164" i="16"/>
  <c r="E4164" i="16"/>
  <c r="I4163" i="16"/>
  <c r="L4163" i="16" s="1"/>
  <c r="O4163" i="16" s="1"/>
  <c r="P4163" i="16" s="1"/>
  <c r="I4162" i="16"/>
  <c r="L4162" i="16" s="1"/>
  <c r="O4162" i="16" s="1"/>
  <c r="P4162" i="16" s="1"/>
  <c r="I4161" i="16"/>
  <c r="K4160" i="16"/>
  <c r="N4160" i="16" s="1"/>
  <c r="J4160" i="16"/>
  <c r="H4160" i="16"/>
  <c r="G4160" i="16"/>
  <c r="F4160" i="16"/>
  <c r="E4160" i="16"/>
  <c r="I4159" i="16"/>
  <c r="L4159" i="16" s="1"/>
  <c r="O4159" i="16" s="1"/>
  <c r="P4159" i="16" s="1"/>
  <c r="I4158" i="16"/>
  <c r="L4158" i="16" s="1"/>
  <c r="O4158" i="16" s="1"/>
  <c r="P4158" i="16" s="1"/>
  <c r="I4157" i="16"/>
  <c r="L4157" i="16" s="1"/>
  <c r="O4157" i="16" s="1"/>
  <c r="P4157" i="16" s="1"/>
  <c r="I4156" i="16"/>
  <c r="L4156" i="16" s="1"/>
  <c r="O4156" i="16" s="1"/>
  <c r="K4155" i="16"/>
  <c r="N4155" i="16" s="1"/>
  <c r="J4155" i="16"/>
  <c r="H4155" i="16"/>
  <c r="G4155" i="16"/>
  <c r="F4155" i="16"/>
  <c r="E4155" i="16"/>
  <c r="I4154" i="16"/>
  <c r="L4154" i="16" s="1"/>
  <c r="O4154" i="16" s="1"/>
  <c r="P4154" i="16" s="1"/>
  <c r="I4153" i="16"/>
  <c r="L4153" i="16" s="1"/>
  <c r="O4153" i="16" s="1"/>
  <c r="P4153" i="16" s="1"/>
  <c r="I4152" i="16"/>
  <c r="K4151" i="16"/>
  <c r="N4151" i="16" s="1"/>
  <c r="J4151" i="16"/>
  <c r="H4151" i="16"/>
  <c r="G4151" i="16"/>
  <c r="F4151" i="16"/>
  <c r="E4151" i="16"/>
  <c r="I4150" i="16"/>
  <c r="L4150" i="16" s="1"/>
  <c r="O4150" i="16" s="1"/>
  <c r="P4150" i="16" s="1"/>
  <c r="I4149" i="16"/>
  <c r="L4149" i="16" s="1"/>
  <c r="O4149" i="16" s="1"/>
  <c r="P4149" i="16" s="1"/>
  <c r="I4148" i="16"/>
  <c r="K4147" i="16"/>
  <c r="N4147" i="16" s="1"/>
  <c r="J4147" i="16"/>
  <c r="H4147" i="16"/>
  <c r="G4147" i="16"/>
  <c r="F4147" i="16"/>
  <c r="E4147" i="16"/>
  <c r="I4146" i="16"/>
  <c r="L4146" i="16" s="1"/>
  <c r="O4146" i="16" s="1"/>
  <c r="P4146" i="16" s="1"/>
  <c r="I4145" i="16"/>
  <c r="L4145" i="16" s="1"/>
  <c r="O4145" i="16" s="1"/>
  <c r="P4145" i="16" s="1"/>
  <c r="K4144" i="16"/>
  <c r="N4144" i="16" s="1"/>
  <c r="J4144" i="16"/>
  <c r="H4144" i="16"/>
  <c r="G4144" i="16"/>
  <c r="F4144" i="16"/>
  <c r="E4144" i="16"/>
  <c r="I4142" i="16"/>
  <c r="L4142" i="16" s="1"/>
  <c r="O4142" i="16" s="1"/>
  <c r="P4142" i="16" s="1"/>
  <c r="I4141" i="16"/>
  <c r="K4140" i="16"/>
  <c r="N4140" i="16" s="1"/>
  <c r="J4140" i="16"/>
  <c r="H4140" i="16"/>
  <c r="G4140" i="16"/>
  <c r="F4140" i="16"/>
  <c r="E4140" i="16"/>
  <c r="I4139" i="16"/>
  <c r="L4139" i="16" s="1"/>
  <c r="O4139" i="16" s="1"/>
  <c r="P4139" i="16" s="1"/>
  <c r="I4138" i="16"/>
  <c r="K4137" i="16"/>
  <c r="N4137" i="16" s="1"/>
  <c r="J4137" i="16"/>
  <c r="H4137" i="16"/>
  <c r="G4137" i="16"/>
  <c r="F4137" i="16"/>
  <c r="E4137" i="16"/>
  <c r="I4136" i="16"/>
  <c r="I4135" i="16" s="1"/>
  <c r="K4135" i="16"/>
  <c r="N4135" i="16" s="1"/>
  <c r="J4135" i="16"/>
  <c r="H4135" i="16"/>
  <c r="G4135" i="16"/>
  <c r="F4135" i="16"/>
  <c r="E4135" i="16"/>
  <c r="I4134" i="16"/>
  <c r="I4133" i="16" s="1"/>
  <c r="K4133" i="16"/>
  <c r="N4133" i="16" s="1"/>
  <c r="J4133" i="16"/>
  <c r="H4133" i="16"/>
  <c r="G4133" i="16"/>
  <c r="F4133" i="16"/>
  <c r="E4133" i="16"/>
  <c r="I4132" i="16"/>
  <c r="L4132" i="16" s="1"/>
  <c r="O4132" i="16" s="1"/>
  <c r="P4132" i="16" s="1"/>
  <c r="L4131" i="16"/>
  <c r="O4130" i="16"/>
  <c r="P4130" i="16" s="1"/>
  <c r="I4130" i="16"/>
  <c r="O4129" i="16"/>
  <c r="P4129" i="16" s="1"/>
  <c r="I4129" i="16"/>
  <c r="O4128" i="16"/>
  <c r="P4128" i="16" s="1"/>
  <c r="I4128" i="16"/>
  <c r="E4122" i="16"/>
  <c r="E4120" i="16" s="1"/>
  <c r="I4121" i="16"/>
  <c r="L4121" i="16" s="1"/>
  <c r="O4121" i="16" s="1"/>
  <c r="K4120" i="16"/>
  <c r="N4120" i="16" s="1"/>
  <c r="J4120" i="16"/>
  <c r="H4120" i="16"/>
  <c r="G4120" i="16"/>
  <c r="F4120" i="16"/>
  <c r="I4119" i="16"/>
  <c r="I4118" i="16" s="1"/>
  <c r="K4118" i="16"/>
  <c r="N4118" i="16" s="1"/>
  <c r="J4118" i="16"/>
  <c r="H4118" i="16"/>
  <c r="G4118" i="16"/>
  <c r="F4118" i="16"/>
  <c r="E4118" i="16"/>
  <c r="I4117" i="16"/>
  <c r="L4117" i="16" s="1"/>
  <c r="O4117" i="16" s="1"/>
  <c r="P4117" i="16" s="1"/>
  <c r="I4116" i="16"/>
  <c r="L4116" i="16" s="1"/>
  <c r="O4116" i="16" s="1"/>
  <c r="K4115" i="16"/>
  <c r="J4115" i="16"/>
  <c r="H4115" i="16"/>
  <c r="G4115" i="16"/>
  <c r="F4115" i="16"/>
  <c r="E4115" i="16"/>
  <c r="I4114" i="16"/>
  <c r="L4114" i="16" s="1"/>
  <c r="O4114" i="16" s="1"/>
  <c r="P4114" i="16" s="1"/>
  <c r="I4113" i="16"/>
  <c r="L4113" i="16" s="1"/>
  <c r="O4113" i="16" s="1"/>
  <c r="P4113" i="16" s="1"/>
  <c r="I4111" i="16"/>
  <c r="L4111" i="16" s="1"/>
  <c r="O4111" i="16" s="1"/>
  <c r="P4111" i="16" s="1"/>
  <c r="I4110" i="16"/>
  <c r="K4109" i="16"/>
  <c r="N4109" i="16" s="1"/>
  <c r="J4109" i="16"/>
  <c r="H4109" i="16"/>
  <c r="G4109" i="16"/>
  <c r="F4109" i="16"/>
  <c r="E4109" i="16"/>
  <c r="I4108" i="16"/>
  <c r="I4107" i="16" s="1"/>
  <c r="K4107" i="16"/>
  <c r="N4107" i="16" s="1"/>
  <c r="J4107" i="16"/>
  <c r="H4107" i="16"/>
  <c r="G4107" i="16"/>
  <c r="F4107" i="16"/>
  <c r="E4107" i="16"/>
  <c r="I4106" i="16"/>
  <c r="L4106" i="16" s="1"/>
  <c r="O4106" i="16" s="1"/>
  <c r="K4105" i="16"/>
  <c r="N4105" i="16" s="1"/>
  <c r="J4105" i="16"/>
  <c r="H4105" i="16"/>
  <c r="G4105" i="16"/>
  <c r="F4105" i="16"/>
  <c r="E4105" i="16"/>
  <c r="I4104" i="16"/>
  <c r="L4104" i="16" s="1"/>
  <c r="O4104" i="16" s="1"/>
  <c r="P4104" i="16" s="1"/>
  <c r="I4103" i="16"/>
  <c r="L4103" i="16" s="1"/>
  <c r="O4103" i="16" s="1"/>
  <c r="P4103" i="16" s="1"/>
  <c r="K4102" i="16"/>
  <c r="N4102" i="16" s="1"/>
  <c r="J4102" i="16"/>
  <c r="H4102" i="16"/>
  <c r="G4102" i="16"/>
  <c r="F4102" i="16"/>
  <c r="E4102" i="16"/>
  <c r="I4101" i="16"/>
  <c r="L4101" i="16" s="1"/>
  <c r="O4101" i="16" s="1"/>
  <c r="K4100" i="16"/>
  <c r="N4100" i="16" s="1"/>
  <c r="J4100" i="16"/>
  <c r="H4100" i="16"/>
  <c r="G4100" i="16"/>
  <c r="F4100" i="16"/>
  <c r="E4100" i="16"/>
  <c r="I4099" i="16"/>
  <c r="L4099" i="16" s="1"/>
  <c r="O4099" i="16" s="1"/>
  <c r="P4099" i="16" s="1"/>
  <c r="I4098" i="16"/>
  <c r="L4098" i="16" s="1"/>
  <c r="O4098" i="16" s="1"/>
  <c r="P4098" i="16" s="1"/>
  <c r="I4097" i="16"/>
  <c r="L4097" i="16" s="1"/>
  <c r="O4097" i="16" s="1"/>
  <c r="K4096" i="16"/>
  <c r="N4096" i="16" s="1"/>
  <c r="J4096" i="16"/>
  <c r="H4096" i="16"/>
  <c r="G4096" i="16"/>
  <c r="F4096" i="16"/>
  <c r="E4096" i="16"/>
  <c r="I4095" i="16"/>
  <c r="K4094" i="16"/>
  <c r="N4094" i="16" s="1"/>
  <c r="J4094" i="16"/>
  <c r="H4094" i="16"/>
  <c r="G4094" i="16"/>
  <c r="F4094" i="16"/>
  <c r="E4094" i="16"/>
  <c r="I4093" i="16"/>
  <c r="I4092" i="16" s="1"/>
  <c r="K4092" i="16"/>
  <c r="N4092" i="16" s="1"/>
  <c r="J4092" i="16"/>
  <c r="H4092" i="16"/>
  <c r="G4092" i="16"/>
  <c r="F4092" i="16"/>
  <c r="E4092" i="16"/>
  <c r="I4091" i="16"/>
  <c r="L4091" i="16" s="1"/>
  <c r="O4091" i="16" s="1"/>
  <c r="P4091" i="16" s="1"/>
  <c r="I4090" i="16"/>
  <c r="L4090" i="16" s="1"/>
  <c r="O4090" i="16" s="1"/>
  <c r="P4090" i="16" s="1"/>
  <c r="I4089" i="16"/>
  <c r="L4089" i="16" s="1"/>
  <c r="O4089" i="16" s="1"/>
  <c r="P4089" i="16" s="1"/>
  <c r="I4086" i="16"/>
  <c r="L4086" i="16" s="1"/>
  <c r="O4086" i="16" s="1"/>
  <c r="K4085" i="16"/>
  <c r="N4085" i="16" s="1"/>
  <c r="J4085" i="16"/>
  <c r="H4085" i="16"/>
  <c r="G4085" i="16"/>
  <c r="F4085" i="16"/>
  <c r="E4085" i="16"/>
  <c r="E4084" i="16"/>
  <c r="E4082" i="16" s="1"/>
  <c r="I4083" i="16"/>
  <c r="L4083" i="16" s="1"/>
  <c r="O4083" i="16" s="1"/>
  <c r="K4082" i="16"/>
  <c r="K4087" i="16" s="1"/>
  <c r="N4087" i="16" s="1"/>
  <c r="J4082" i="16"/>
  <c r="H4082" i="16"/>
  <c r="G4082" i="16"/>
  <c r="F4082" i="16"/>
  <c r="I4081" i="16"/>
  <c r="L4081" i="16" s="1"/>
  <c r="O4081" i="16" s="1"/>
  <c r="P4081" i="16" s="1"/>
  <c r="I4080" i="16"/>
  <c r="L4080" i="16" s="1"/>
  <c r="O4080" i="16" s="1"/>
  <c r="P4080" i="16" s="1"/>
  <c r="I4078" i="16"/>
  <c r="L4078" i="16" s="1"/>
  <c r="O4078" i="16" s="1"/>
  <c r="K4077" i="16"/>
  <c r="N4077" i="16" s="1"/>
  <c r="J4077" i="16"/>
  <c r="H4077" i="16"/>
  <c r="G4077" i="16"/>
  <c r="F4077" i="16"/>
  <c r="E4077" i="16"/>
  <c r="I4076" i="16"/>
  <c r="K4075" i="16"/>
  <c r="N4075" i="16" s="1"/>
  <c r="J4075" i="16"/>
  <c r="H4075" i="16"/>
  <c r="G4075" i="16"/>
  <c r="F4075" i="16"/>
  <c r="E4075" i="16"/>
  <c r="I4074" i="16"/>
  <c r="I4073" i="16" s="1"/>
  <c r="K4073" i="16"/>
  <c r="N4073" i="16" s="1"/>
  <c r="J4073" i="16"/>
  <c r="H4073" i="16"/>
  <c r="G4073" i="16"/>
  <c r="F4073" i="16"/>
  <c r="E4073" i="16"/>
  <c r="I4072" i="16"/>
  <c r="L4072" i="16" s="1"/>
  <c r="O4072" i="16" s="1"/>
  <c r="K4071" i="16"/>
  <c r="N4071" i="16" s="1"/>
  <c r="J4071" i="16"/>
  <c r="H4071" i="16"/>
  <c r="G4071" i="16"/>
  <c r="F4071" i="16"/>
  <c r="E4071" i="16"/>
  <c r="I4070" i="16"/>
  <c r="L4070" i="16" s="1"/>
  <c r="O4070" i="16" s="1"/>
  <c r="K4069" i="16"/>
  <c r="N4069" i="16" s="1"/>
  <c r="J4069" i="16"/>
  <c r="H4069" i="16"/>
  <c r="G4069" i="16"/>
  <c r="F4069" i="16"/>
  <c r="E4069" i="16"/>
  <c r="I4068" i="16"/>
  <c r="I4067" i="16" s="1"/>
  <c r="K4067" i="16"/>
  <c r="N4067" i="16" s="1"/>
  <c r="J4067" i="16"/>
  <c r="H4067" i="16"/>
  <c r="G4067" i="16"/>
  <c r="F4067" i="16"/>
  <c r="E4067" i="16"/>
  <c r="I4066" i="16"/>
  <c r="L4066" i="16" s="1"/>
  <c r="O4066" i="16" s="1"/>
  <c r="P4066" i="16" s="1"/>
  <c r="I4065" i="16"/>
  <c r="L4065" i="16" s="1"/>
  <c r="O4065" i="16" s="1"/>
  <c r="P4065" i="16" s="1"/>
  <c r="I4064" i="16"/>
  <c r="K4063" i="16"/>
  <c r="N4063" i="16" s="1"/>
  <c r="J4063" i="16"/>
  <c r="H4063" i="16"/>
  <c r="G4063" i="16"/>
  <c r="F4063" i="16"/>
  <c r="E4063" i="16"/>
  <c r="I4062" i="16"/>
  <c r="L4062" i="16" s="1"/>
  <c r="O4062" i="16" s="1"/>
  <c r="K4061" i="16"/>
  <c r="N4061" i="16" s="1"/>
  <c r="J4061" i="16"/>
  <c r="H4061" i="16"/>
  <c r="G4061" i="16"/>
  <c r="F4061" i="16"/>
  <c r="E4061" i="16"/>
  <c r="I4060" i="16"/>
  <c r="I4059" i="16" s="1"/>
  <c r="K4059" i="16"/>
  <c r="N4059" i="16" s="1"/>
  <c r="J4059" i="16"/>
  <c r="H4059" i="16"/>
  <c r="G4059" i="16"/>
  <c r="F4059" i="16"/>
  <c r="E4059" i="16"/>
  <c r="I4058" i="16"/>
  <c r="L4058" i="16" s="1"/>
  <c r="O4058" i="16" s="1"/>
  <c r="P4058" i="16" s="1"/>
  <c r="I4057" i="16"/>
  <c r="L4057" i="16" s="1"/>
  <c r="O4057" i="16" s="1"/>
  <c r="P4057" i="16" s="1"/>
  <c r="I4056" i="16"/>
  <c r="L4056" i="16" s="1"/>
  <c r="O4056" i="16" s="1"/>
  <c r="P4056" i="16" s="1"/>
  <c r="E4053" i="16"/>
  <c r="I4053" i="16" s="1"/>
  <c r="K4052" i="16"/>
  <c r="N4052" i="16" s="1"/>
  <c r="J4052" i="16"/>
  <c r="H4052" i="16"/>
  <c r="G4052" i="16"/>
  <c r="F4052" i="16"/>
  <c r="I4051" i="16"/>
  <c r="K4050" i="16"/>
  <c r="N4050" i="16" s="1"/>
  <c r="J4050" i="16"/>
  <c r="H4050" i="16"/>
  <c r="G4050" i="16"/>
  <c r="F4050" i="16"/>
  <c r="E4050" i="16"/>
  <c r="E4049" i="16"/>
  <c r="E4047" i="16" s="1"/>
  <c r="I4048" i="16"/>
  <c r="L4048" i="16" s="1"/>
  <c r="O4048" i="16" s="1"/>
  <c r="K4047" i="16"/>
  <c r="N4047" i="16" s="1"/>
  <c r="J4047" i="16"/>
  <c r="H4047" i="16"/>
  <c r="G4047" i="16"/>
  <c r="F4047" i="16"/>
  <c r="I4046" i="16"/>
  <c r="L4046" i="16" s="1"/>
  <c r="O4046" i="16" s="1"/>
  <c r="P4046" i="16" s="1"/>
  <c r="I4045" i="16"/>
  <c r="L4045" i="16" s="1"/>
  <c r="O4045" i="16" s="1"/>
  <c r="P4045" i="16" s="1"/>
  <c r="K4044" i="16"/>
  <c r="N4044" i="16" s="1"/>
  <c r="J4044" i="16"/>
  <c r="H4044" i="16"/>
  <c r="G4044" i="16"/>
  <c r="F4044" i="16"/>
  <c r="E4044" i="16"/>
  <c r="I4043" i="16"/>
  <c r="L4043" i="16" s="1"/>
  <c r="O4043" i="16" s="1"/>
  <c r="P4043" i="16" s="1"/>
  <c r="I4042" i="16"/>
  <c r="L4042" i="16" s="1"/>
  <c r="O4042" i="16" s="1"/>
  <c r="P4042" i="16" s="1"/>
  <c r="I4040" i="16"/>
  <c r="K4039" i="16"/>
  <c r="N4039" i="16" s="1"/>
  <c r="J4039" i="16"/>
  <c r="H4039" i="16"/>
  <c r="G4039" i="16"/>
  <c r="F4039" i="16"/>
  <c r="E4039" i="16"/>
  <c r="I4038" i="16"/>
  <c r="L4038" i="16" s="1"/>
  <c r="O4038" i="16" s="1"/>
  <c r="K4037" i="16"/>
  <c r="N4037" i="16" s="1"/>
  <c r="J4037" i="16"/>
  <c r="H4037" i="16"/>
  <c r="G4037" i="16"/>
  <c r="F4037" i="16"/>
  <c r="E4037" i="16"/>
  <c r="I4036" i="16"/>
  <c r="L4036" i="16" s="1"/>
  <c r="O4036" i="16" s="1"/>
  <c r="K4035" i="16"/>
  <c r="N4035" i="16" s="1"/>
  <c r="J4035" i="16"/>
  <c r="H4035" i="16"/>
  <c r="G4035" i="16"/>
  <c r="F4035" i="16"/>
  <c r="E4035" i="16"/>
  <c r="I4034" i="16"/>
  <c r="L4034" i="16" s="1"/>
  <c r="I4033" i="16"/>
  <c r="L4033" i="16" s="1"/>
  <c r="O4033" i="16" s="1"/>
  <c r="K4032" i="16"/>
  <c r="N4032" i="16" s="1"/>
  <c r="J4032" i="16"/>
  <c r="H4032" i="16"/>
  <c r="G4032" i="16"/>
  <c r="F4032" i="16"/>
  <c r="E4032" i="16"/>
  <c r="I4031" i="16"/>
  <c r="K4030" i="16"/>
  <c r="N4030" i="16" s="1"/>
  <c r="J4030" i="16"/>
  <c r="H4030" i="16"/>
  <c r="G4030" i="16"/>
  <c r="F4030" i="16"/>
  <c r="E4030" i="16"/>
  <c r="I4029" i="16"/>
  <c r="L4029" i="16" s="1"/>
  <c r="O4029" i="16" s="1"/>
  <c r="P4029" i="16" s="1"/>
  <c r="I4028" i="16"/>
  <c r="L4028" i="16" s="1"/>
  <c r="O4028" i="16" s="1"/>
  <c r="I4027" i="16"/>
  <c r="K4026" i="16"/>
  <c r="N4026" i="16" s="1"/>
  <c r="J4026" i="16"/>
  <c r="H4026" i="16"/>
  <c r="G4026" i="16"/>
  <c r="F4026" i="16"/>
  <c r="E4026" i="16"/>
  <c r="I4025" i="16"/>
  <c r="L4025" i="16" s="1"/>
  <c r="O4025" i="16" s="1"/>
  <c r="P4025" i="16" s="1"/>
  <c r="I4024" i="16"/>
  <c r="K4023" i="16"/>
  <c r="N4023" i="16" s="1"/>
  <c r="J4023" i="16"/>
  <c r="H4023" i="16"/>
  <c r="G4023" i="16"/>
  <c r="F4023" i="16"/>
  <c r="E4023" i="16"/>
  <c r="I4022" i="16"/>
  <c r="L4022" i="16" s="1"/>
  <c r="O4022" i="16" s="1"/>
  <c r="P4022" i="16" s="1"/>
  <c r="I4021" i="16"/>
  <c r="L4021" i="16" s="1"/>
  <c r="O4021" i="16" s="1"/>
  <c r="P4021" i="16" s="1"/>
  <c r="I4020" i="16"/>
  <c r="L4020" i="16" s="1"/>
  <c r="O4020" i="16" s="1"/>
  <c r="P4020" i="16" s="1"/>
  <c r="I4017" i="16"/>
  <c r="L4017" i="16" s="1"/>
  <c r="O4017" i="16" s="1"/>
  <c r="P4017" i="16" s="1"/>
  <c r="I4016" i="16"/>
  <c r="L4016" i="16" s="1"/>
  <c r="O4016" i="16" s="1"/>
  <c r="K4015" i="16"/>
  <c r="N4015" i="16" s="1"/>
  <c r="J4015" i="16"/>
  <c r="J4018" i="16" s="1"/>
  <c r="H4015" i="16"/>
  <c r="H4018" i="16" s="1"/>
  <c r="G4015" i="16"/>
  <c r="G4018" i="16" s="1"/>
  <c r="F4015" i="16"/>
  <c r="F4018" i="16" s="1"/>
  <c r="E4015" i="16"/>
  <c r="E4018" i="16" s="1"/>
  <c r="I4014" i="16"/>
  <c r="L4014" i="16" s="1"/>
  <c r="O4014" i="16" s="1"/>
  <c r="P4014" i="16" s="1"/>
  <c r="I4013" i="16"/>
  <c r="L4013" i="16" s="1"/>
  <c r="O4013" i="16" s="1"/>
  <c r="P4013" i="16" s="1"/>
  <c r="I4011" i="16"/>
  <c r="L4011" i="16" s="1"/>
  <c r="O4011" i="16" s="1"/>
  <c r="K4010" i="16"/>
  <c r="N4010" i="16" s="1"/>
  <c r="J4010" i="16"/>
  <c r="H4010" i="16"/>
  <c r="G4010" i="16"/>
  <c r="F4010" i="16"/>
  <c r="E4010" i="16"/>
  <c r="I4009" i="16"/>
  <c r="K4008" i="16"/>
  <c r="N4008" i="16" s="1"/>
  <c r="J4008" i="16"/>
  <c r="H4008" i="16"/>
  <c r="G4008" i="16"/>
  <c r="F4008" i="16"/>
  <c r="E4008" i="16"/>
  <c r="I4007" i="16"/>
  <c r="L4007" i="16" s="1"/>
  <c r="O4007" i="16" s="1"/>
  <c r="P4007" i="16" s="1"/>
  <c r="P4006" i="16" s="1"/>
  <c r="K4006" i="16"/>
  <c r="N4006" i="16" s="1"/>
  <c r="J4006" i="16"/>
  <c r="H4006" i="16"/>
  <c r="G4006" i="16"/>
  <c r="F4006" i="16"/>
  <c r="E4006" i="16"/>
  <c r="I4005" i="16"/>
  <c r="K4004" i="16"/>
  <c r="N4004" i="16" s="1"/>
  <c r="J4004" i="16"/>
  <c r="H4004" i="16"/>
  <c r="G4004" i="16"/>
  <c r="F4004" i="16"/>
  <c r="E4004" i="16"/>
  <c r="I4003" i="16"/>
  <c r="L4003" i="16" s="1"/>
  <c r="O4003" i="16" s="1"/>
  <c r="I4002" i="16"/>
  <c r="L4002" i="16" s="1"/>
  <c r="O4002" i="16" s="1"/>
  <c r="P4002" i="16" s="1"/>
  <c r="K4001" i="16"/>
  <c r="N4001" i="16" s="1"/>
  <c r="J4001" i="16"/>
  <c r="H4001" i="16"/>
  <c r="G4001" i="16"/>
  <c r="F4001" i="16"/>
  <c r="E4001" i="16"/>
  <c r="I4000" i="16"/>
  <c r="I3999" i="16" s="1"/>
  <c r="K3999" i="16"/>
  <c r="N3999" i="16" s="1"/>
  <c r="J3999" i="16"/>
  <c r="H3999" i="16"/>
  <c r="G3999" i="16"/>
  <c r="F3999" i="16"/>
  <c r="E3999" i="16"/>
  <c r="I3998" i="16"/>
  <c r="L3998" i="16" s="1"/>
  <c r="O3998" i="16" s="1"/>
  <c r="K3997" i="16"/>
  <c r="N3997" i="16" s="1"/>
  <c r="J3997" i="16"/>
  <c r="H3997" i="16"/>
  <c r="G3997" i="16"/>
  <c r="F3997" i="16"/>
  <c r="E3997" i="16"/>
  <c r="I3996" i="16"/>
  <c r="L3996" i="16" s="1"/>
  <c r="O3996" i="16" s="1"/>
  <c r="P3996" i="16" s="1"/>
  <c r="I3995" i="16"/>
  <c r="L3995" i="16" s="1"/>
  <c r="O3995" i="16" s="1"/>
  <c r="P3995" i="16" s="1"/>
  <c r="I3994" i="16"/>
  <c r="K3993" i="16"/>
  <c r="N3993" i="16" s="1"/>
  <c r="J3993" i="16"/>
  <c r="H3993" i="16"/>
  <c r="G3993" i="16"/>
  <c r="F3993" i="16"/>
  <c r="E3993" i="16"/>
  <c r="I3992" i="16"/>
  <c r="L3992" i="16" s="1"/>
  <c r="O3992" i="16" s="1"/>
  <c r="P3992" i="16" s="1"/>
  <c r="I3991" i="16"/>
  <c r="K3990" i="16"/>
  <c r="N3990" i="16" s="1"/>
  <c r="J3990" i="16"/>
  <c r="H3990" i="16"/>
  <c r="G3990" i="16"/>
  <c r="F3990" i="16"/>
  <c r="E3990" i="16"/>
  <c r="I3989" i="16"/>
  <c r="L3989" i="16" s="1"/>
  <c r="O3989" i="16" s="1"/>
  <c r="P3989" i="16" s="1"/>
  <c r="I3988" i="16"/>
  <c r="L3988" i="16" s="1"/>
  <c r="O3988" i="16" s="1"/>
  <c r="P3988" i="16" s="1"/>
  <c r="I3987" i="16"/>
  <c r="K3986" i="16"/>
  <c r="N3986" i="16" s="1"/>
  <c r="J3986" i="16"/>
  <c r="H3986" i="16"/>
  <c r="G3986" i="16"/>
  <c r="F3986" i="16"/>
  <c r="E3986" i="16"/>
  <c r="I3985" i="16"/>
  <c r="I3984" i="16" s="1"/>
  <c r="K3984" i="16"/>
  <c r="N3984" i="16" s="1"/>
  <c r="J3984" i="16"/>
  <c r="H3984" i="16"/>
  <c r="G3984" i="16"/>
  <c r="F3984" i="16"/>
  <c r="E3984" i="16"/>
  <c r="I3983" i="16"/>
  <c r="I3982" i="16" s="1"/>
  <c r="K3982" i="16"/>
  <c r="N3982" i="16" s="1"/>
  <c r="J3982" i="16"/>
  <c r="H3982" i="16"/>
  <c r="G3982" i="16"/>
  <c r="F3982" i="16"/>
  <c r="E3982" i="16"/>
  <c r="I3981" i="16"/>
  <c r="L3981" i="16" s="1"/>
  <c r="O3981" i="16" s="1"/>
  <c r="P3981" i="16" s="1"/>
  <c r="I3980" i="16"/>
  <c r="L3980" i="16" s="1"/>
  <c r="O3980" i="16" s="1"/>
  <c r="P3980" i="16" s="1"/>
  <c r="I3977" i="16"/>
  <c r="K3976" i="16"/>
  <c r="N3976" i="16" s="1"/>
  <c r="J3976" i="16"/>
  <c r="H3976" i="16"/>
  <c r="G3976" i="16"/>
  <c r="F3976" i="16"/>
  <c r="E3976" i="16"/>
  <c r="I3975" i="16"/>
  <c r="L3975" i="16" s="1"/>
  <c r="O3975" i="16" s="1"/>
  <c r="P3975" i="16" s="1"/>
  <c r="E3974" i="16"/>
  <c r="I3974" i="16" s="1"/>
  <c r="K3973" i="16"/>
  <c r="N3973" i="16" s="1"/>
  <c r="J3973" i="16"/>
  <c r="H3973" i="16"/>
  <c r="G3973" i="16"/>
  <c r="F3973" i="16"/>
  <c r="F3978" i="16" s="1"/>
  <c r="I3972" i="16"/>
  <c r="L3972" i="16" s="1"/>
  <c r="O3972" i="16" s="1"/>
  <c r="P3972" i="16" s="1"/>
  <c r="I3971" i="16"/>
  <c r="L3971" i="16" s="1"/>
  <c r="O3971" i="16" s="1"/>
  <c r="P3971" i="16" s="1"/>
  <c r="I3969" i="16"/>
  <c r="I3968" i="16" s="1"/>
  <c r="K3968" i="16"/>
  <c r="N3968" i="16" s="1"/>
  <c r="J3968" i="16"/>
  <c r="H3968" i="16"/>
  <c r="G3968" i="16"/>
  <c r="F3968" i="16"/>
  <c r="E3968" i="16"/>
  <c r="I3967" i="16"/>
  <c r="L3967" i="16" s="1"/>
  <c r="O3967" i="16" s="1"/>
  <c r="P3967" i="16" s="1"/>
  <c r="I3966" i="16"/>
  <c r="L3966" i="16" s="1"/>
  <c r="O3966" i="16" s="1"/>
  <c r="I3965" i="16"/>
  <c r="L3965" i="16" s="1"/>
  <c r="O3965" i="16" s="1"/>
  <c r="P3965" i="16" s="1"/>
  <c r="K3964" i="16"/>
  <c r="N3964" i="16" s="1"/>
  <c r="J3964" i="16"/>
  <c r="H3964" i="16"/>
  <c r="G3964" i="16"/>
  <c r="F3964" i="16"/>
  <c r="E3964" i="16"/>
  <c r="I3963" i="16"/>
  <c r="L3963" i="16" s="1"/>
  <c r="O3963" i="16" s="1"/>
  <c r="K3962" i="16"/>
  <c r="N3962" i="16" s="1"/>
  <c r="J3962" i="16"/>
  <c r="H3962" i="16"/>
  <c r="G3962" i="16"/>
  <c r="F3962" i="16"/>
  <c r="E3962" i="16"/>
  <c r="I3961" i="16"/>
  <c r="I3960" i="16" s="1"/>
  <c r="K3960" i="16"/>
  <c r="N3960" i="16" s="1"/>
  <c r="J3960" i="16"/>
  <c r="H3960" i="16"/>
  <c r="G3960" i="16"/>
  <c r="F3960" i="16"/>
  <c r="E3960" i="16"/>
  <c r="I3959" i="16"/>
  <c r="I3958" i="16"/>
  <c r="L3958" i="16" s="1"/>
  <c r="O3958" i="16" s="1"/>
  <c r="P3958" i="16" s="1"/>
  <c r="I3957" i="16"/>
  <c r="L3957" i="16" s="1"/>
  <c r="O3957" i="16" s="1"/>
  <c r="P3957" i="16" s="1"/>
  <c r="K3956" i="16"/>
  <c r="N3956" i="16" s="1"/>
  <c r="J3956" i="16"/>
  <c r="H3956" i="16"/>
  <c r="G3956" i="16"/>
  <c r="F3956" i="16"/>
  <c r="E3956" i="16"/>
  <c r="I3955" i="16"/>
  <c r="L3955" i="16" s="1"/>
  <c r="O3955" i="16" s="1"/>
  <c r="I3954" i="16"/>
  <c r="K3953" i="16"/>
  <c r="N3953" i="16" s="1"/>
  <c r="J3953" i="16"/>
  <c r="H3953" i="16"/>
  <c r="G3953" i="16"/>
  <c r="F3953" i="16"/>
  <c r="E3953" i="16"/>
  <c r="I3952" i="16"/>
  <c r="L3952" i="16" s="1"/>
  <c r="O3952" i="16" s="1"/>
  <c r="I3951" i="16"/>
  <c r="L3951" i="16" s="1"/>
  <c r="O3951" i="16" s="1"/>
  <c r="P3951" i="16" s="1"/>
  <c r="K3950" i="16"/>
  <c r="N3950" i="16" s="1"/>
  <c r="J3950" i="16"/>
  <c r="H3950" i="16"/>
  <c r="G3950" i="16"/>
  <c r="F3950" i="16"/>
  <c r="E3950" i="16"/>
  <c r="I3949" i="16"/>
  <c r="K3948" i="16"/>
  <c r="N3948" i="16" s="1"/>
  <c r="J3948" i="16"/>
  <c r="H3948" i="16"/>
  <c r="G3948" i="16"/>
  <c r="F3948" i="16"/>
  <c r="E3948" i="16"/>
  <c r="I3947" i="16"/>
  <c r="L3947" i="16" s="1"/>
  <c r="O3947" i="16" s="1"/>
  <c r="P3947" i="16" s="1"/>
  <c r="I3946" i="16"/>
  <c r="L3946" i="16" s="1"/>
  <c r="O3946" i="16" s="1"/>
  <c r="K3945" i="16"/>
  <c r="N3945" i="16" s="1"/>
  <c r="J3945" i="16"/>
  <c r="H3945" i="16"/>
  <c r="G3945" i="16"/>
  <c r="F3945" i="16"/>
  <c r="E3945" i="16"/>
  <c r="I3944" i="16"/>
  <c r="L3944" i="16" s="1"/>
  <c r="O3944" i="16" s="1"/>
  <c r="I3943" i="16"/>
  <c r="L3943" i="16" s="1"/>
  <c r="O3943" i="16" s="1"/>
  <c r="P3943" i="16" s="1"/>
  <c r="L3942" i="16"/>
  <c r="O3942" i="16" s="1"/>
  <c r="P3942" i="16" s="1"/>
  <c r="I3942" i="16"/>
  <c r="K3941" i="16"/>
  <c r="N3941" i="16" s="1"/>
  <c r="J3941" i="16"/>
  <c r="H3941" i="16"/>
  <c r="G3941" i="16"/>
  <c r="F3941" i="16"/>
  <c r="E3941" i="16"/>
  <c r="I3940" i="16"/>
  <c r="L3940" i="16" s="1"/>
  <c r="O3940" i="16" s="1"/>
  <c r="I3939" i="16"/>
  <c r="L3939" i="16" s="1"/>
  <c r="O3939" i="16" s="1"/>
  <c r="P3939" i="16" s="1"/>
  <c r="K3938" i="16"/>
  <c r="N3938" i="16" s="1"/>
  <c r="J3938" i="16"/>
  <c r="H3938" i="16"/>
  <c r="G3938" i="16"/>
  <c r="F3938" i="16"/>
  <c r="E3938" i="16"/>
  <c r="I3937" i="16"/>
  <c r="I3936" i="16" s="1"/>
  <c r="K3936" i="16"/>
  <c r="N3936" i="16" s="1"/>
  <c r="J3936" i="16"/>
  <c r="H3936" i="16"/>
  <c r="G3936" i="16"/>
  <c r="F3936" i="16"/>
  <c r="E3936" i="16"/>
  <c r="I3935" i="16"/>
  <c r="I3934" i="16" s="1"/>
  <c r="K3934" i="16"/>
  <c r="N3934" i="16" s="1"/>
  <c r="J3934" i="16"/>
  <c r="H3934" i="16"/>
  <c r="G3934" i="16"/>
  <c r="F3934" i="16"/>
  <c r="E3934" i="16"/>
  <c r="I3933" i="16"/>
  <c r="L3933" i="16" s="1"/>
  <c r="O3933" i="16" s="1"/>
  <c r="P3933" i="16" s="1"/>
  <c r="I3932" i="16"/>
  <c r="L3932" i="16" s="1"/>
  <c r="O3932" i="16" s="1"/>
  <c r="P3932" i="16" s="1"/>
  <c r="O3931" i="16"/>
  <c r="P3931" i="16" s="1"/>
  <c r="I3931" i="16"/>
  <c r="O3930" i="16"/>
  <c r="P3930" i="16" s="1"/>
  <c r="I3930" i="16"/>
  <c r="O3929" i="16"/>
  <c r="P3929" i="16" s="1"/>
  <c r="I3929" i="16"/>
  <c r="I3924" i="16"/>
  <c r="H3923" i="16"/>
  <c r="G3923" i="16"/>
  <c r="F3923" i="16"/>
  <c r="E3923" i="16"/>
  <c r="H3922" i="16"/>
  <c r="I3922" i="16" s="1"/>
  <c r="K3921" i="16"/>
  <c r="K3925" i="16" s="1"/>
  <c r="K3927" i="16" s="1"/>
  <c r="N3927" i="16" s="1"/>
  <c r="J3921" i="16"/>
  <c r="J3925" i="16" s="1"/>
  <c r="J3927" i="16" s="1"/>
  <c r="G3921" i="16"/>
  <c r="F3921" i="16"/>
  <c r="E3921" i="16"/>
  <c r="I3920" i="16"/>
  <c r="L3920" i="16" s="1"/>
  <c r="O3920" i="16" s="1"/>
  <c r="P3920" i="16" s="1"/>
  <c r="I3919" i="16"/>
  <c r="L3919" i="16" s="1"/>
  <c r="O3919" i="16" s="1"/>
  <c r="P3919" i="16" s="1"/>
  <c r="I3917" i="16"/>
  <c r="L3917" i="16" s="1"/>
  <c r="O3917" i="16" s="1"/>
  <c r="P3917" i="16" s="1"/>
  <c r="E3916" i="16"/>
  <c r="I3916" i="16" s="1"/>
  <c r="L3916" i="16" s="1"/>
  <c r="O3916" i="16" s="1"/>
  <c r="P3916" i="16" s="1"/>
  <c r="I3915" i="16"/>
  <c r="L3915" i="16" s="1"/>
  <c r="O3915" i="16" s="1"/>
  <c r="P3915" i="16" s="1"/>
  <c r="I3914" i="16"/>
  <c r="L3914" i="16" s="1"/>
  <c r="O3914" i="16" s="1"/>
  <c r="I3913" i="16"/>
  <c r="L3913" i="16" s="1"/>
  <c r="O3913" i="16" s="1"/>
  <c r="P3913" i="16" s="1"/>
  <c r="H3912" i="16"/>
  <c r="G3912" i="16"/>
  <c r="F3912" i="16"/>
  <c r="E3912" i="16"/>
  <c r="I3911" i="16"/>
  <c r="I3910" i="16" s="1"/>
  <c r="L3910" i="16" s="1"/>
  <c r="H3910" i="16"/>
  <c r="G3910" i="16"/>
  <c r="F3910" i="16"/>
  <c r="E3910" i="16"/>
  <c r="I3909" i="16"/>
  <c r="L3909" i="16" s="1"/>
  <c r="O3909" i="16" s="1"/>
  <c r="P3909" i="16" s="1"/>
  <c r="I3908" i="16"/>
  <c r="L3908" i="16" s="1"/>
  <c r="O3908" i="16" s="1"/>
  <c r="P3908" i="16" s="1"/>
  <c r="I3907" i="16"/>
  <c r="L3907" i="16" s="1"/>
  <c r="O3907" i="16" s="1"/>
  <c r="P3907" i="16" s="1"/>
  <c r="I3906" i="16"/>
  <c r="L3906" i="16" s="1"/>
  <c r="O3906" i="16" s="1"/>
  <c r="P3906" i="16" s="1"/>
  <c r="I3905" i="16"/>
  <c r="L3905" i="16" s="1"/>
  <c r="O3905" i="16" s="1"/>
  <c r="P3905" i="16" s="1"/>
  <c r="I3904" i="16"/>
  <c r="L3904" i="16" s="1"/>
  <c r="O3904" i="16" s="1"/>
  <c r="P3904" i="16" s="1"/>
  <c r="I3903" i="16"/>
  <c r="L3903" i="16" s="1"/>
  <c r="O3903" i="16" s="1"/>
  <c r="H3902" i="16"/>
  <c r="G3902" i="16"/>
  <c r="F3902" i="16"/>
  <c r="E3902" i="16"/>
  <c r="I3901" i="16"/>
  <c r="I3900" i="16" s="1"/>
  <c r="L3900" i="16" s="1"/>
  <c r="H3900" i="16"/>
  <c r="G3900" i="16"/>
  <c r="F3900" i="16"/>
  <c r="E3900" i="16"/>
  <c r="I3899" i="16"/>
  <c r="L3899" i="16" s="1"/>
  <c r="O3899" i="16" s="1"/>
  <c r="P3899" i="16" s="1"/>
  <c r="I3898" i="16"/>
  <c r="L3898" i="16" s="1"/>
  <c r="O3898" i="16" s="1"/>
  <c r="P3898" i="16" s="1"/>
  <c r="I3897" i="16"/>
  <c r="L3897" i="16" s="1"/>
  <c r="O3897" i="16" s="1"/>
  <c r="P3897" i="16" s="1"/>
  <c r="I3896" i="16"/>
  <c r="L3896" i="16" s="1"/>
  <c r="O3896" i="16" s="1"/>
  <c r="P3896" i="16" s="1"/>
  <c r="I3895" i="16"/>
  <c r="L3895" i="16" s="1"/>
  <c r="O3895" i="16" s="1"/>
  <c r="H3894" i="16"/>
  <c r="G3894" i="16"/>
  <c r="F3894" i="16"/>
  <c r="E3894" i="16"/>
  <c r="I3893" i="16"/>
  <c r="L3893" i="16" s="1"/>
  <c r="O3893" i="16" s="1"/>
  <c r="P3893" i="16" s="1"/>
  <c r="I3892" i="16"/>
  <c r="L3892" i="16" s="1"/>
  <c r="O3892" i="16" s="1"/>
  <c r="P3892" i="16" s="1"/>
  <c r="I3891" i="16"/>
  <c r="L3891" i="16" s="1"/>
  <c r="O3891" i="16" s="1"/>
  <c r="P3891" i="16" s="1"/>
  <c r="I3890" i="16"/>
  <c r="L3890" i="16" s="1"/>
  <c r="O3890" i="16" s="1"/>
  <c r="P3890" i="16" s="1"/>
  <c r="I3889" i="16"/>
  <c r="H3888" i="16"/>
  <c r="G3888" i="16"/>
  <c r="F3888" i="16"/>
  <c r="E3888" i="16"/>
  <c r="I3887" i="16"/>
  <c r="L3887" i="16" s="1"/>
  <c r="O3887" i="16" s="1"/>
  <c r="P3887" i="16" s="1"/>
  <c r="I3886" i="16"/>
  <c r="L3886" i="16" s="1"/>
  <c r="O3886" i="16" s="1"/>
  <c r="P3886" i="16" s="1"/>
  <c r="I3885" i="16"/>
  <c r="L3885" i="16" s="1"/>
  <c r="O3885" i="16" s="1"/>
  <c r="P3885" i="16" s="1"/>
  <c r="I3884" i="16"/>
  <c r="L3884" i="16" s="1"/>
  <c r="O3884" i="16" s="1"/>
  <c r="P3884" i="16" s="1"/>
  <c r="I3883" i="16"/>
  <c r="L3883" i="16" s="1"/>
  <c r="O3883" i="16" s="1"/>
  <c r="H3882" i="16"/>
  <c r="G3882" i="16"/>
  <c r="F3882" i="16"/>
  <c r="E3882" i="16"/>
  <c r="I3881" i="16"/>
  <c r="L3881" i="16" s="1"/>
  <c r="O3881" i="16" s="1"/>
  <c r="P3881" i="16" s="1"/>
  <c r="I3880" i="16"/>
  <c r="L3880" i="16" s="1"/>
  <c r="O3880" i="16" s="1"/>
  <c r="H3879" i="16"/>
  <c r="G3879" i="16"/>
  <c r="F3879" i="16"/>
  <c r="E3879" i="16"/>
  <c r="I3878" i="16"/>
  <c r="L3878" i="16" s="1"/>
  <c r="O3878" i="16" s="1"/>
  <c r="P3878" i="16" s="1"/>
  <c r="I3877" i="16"/>
  <c r="L3877" i="16" s="1"/>
  <c r="O3877" i="16" s="1"/>
  <c r="P3877" i="16" s="1"/>
  <c r="I3876" i="16"/>
  <c r="H3875" i="16"/>
  <c r="G3875" i="16"/>
  <c r="F3875" i="16"/>
  <c r="E3875" i="16"/>
  <c r="I3874" i="16"/>
  <c r="L3874" i="16" s="1"/>
  <c r="O3874" i="16" s="1"/>
  <c r="P3874" i="16" s="1"/>
  <c r="I3873" i="16"/>
  <c r="L3873" i="16" s="1"/>
  <c r="O3873" i="16" s="1"/>
  <c r="P3873" i="16" s="1"/>
  <c r="I3872" i="16"/>
  <c r="L3872" i="16" s="1"/>
  <c r="O3872" i="16" s="1"/>
  <c r="H3871" i="16"/>
  <c r="G3871" i="16"/>
  <c r="F3871" i="16"/>
  <c r="E3871" i="16"/>
  <c r="I3870" i="16"/>
  <c r="L3870" i="16" s="1"/>
  <c r="O3870" i="16" s="1"/>
  <c r="P3870" i="16" s="1"/>
  <c r="I3869" i="16"/>
  <c r="L3869" i="16" s="1"/>
  <c r="O3869" i="16" s="1"/>
  <c r="P3869" i="16" s="1"/>
  <c r="I3868" i="16"/>
  <c r="L3868" i="16" s="1"/>
  <c r="O3868" i="16" s="1"/>
  <c r="P3868" i="16" s="1"/>
  <c r="I3867" i="16"/>
  <c r="L3867" i="16" s="1"/>
  <c r="O3867" i="16" s="1"/>
  <c r="H3866" i="16"/>
  <c r="G3866" i="16"/>
  <c r="F3866" i="16"/>
  <c r="E3866" i="16"/>
  <c r="I3865" i="16"/>
  <c r="L3865" i="16" s="1"/>
  <c r="O3865" i="16" s="1"/>
  <c r="P3865" i="16" s="1"/>
  <c r="I3864" i="16"/>
  <c r="L3864" i="16" s="1"/>
  <c r="O3864" i="16" s="1"/>
  <c r="H3863" i="16"/>
  <c r="G3863" i="16"/>
  <c r="F3863" i="16"/>
  <c r="E3863" i="16"/>
  <c r="I3862" i="16"/>
  <c r="L3862" i="16" s="1"/>
  <c r="O3862" i="16" s="1"/>
  <c r="P3862" i="16" s="1"/>
  <c r="I3861" i="16"/>
  <c r="L3861" i="16" s="1"/>
  <c r="O3861" i="16" s="1"/>
  <c r="P3861" i="16" s="1"/>
  <c r="I3860" i="16"/>
  <c r="L3860" i="16" s="1"/>
  <c r="O3860" i="16" s="1"/>
  <c r="P3860" i="16" s="1"/>
  <c r="I3859" i="16"/>
  <c r="L3859" i="16" s="1"/>
  <c r="O3859" i="16" s="1"/>
  <c r="P3859" i="16" s="1"/>
  <c r="I3858" i="16"/>
  <c r="H3857" i="16"/>
  <c r="G3857" i="16"/>
  <c r="F3857" i="16"/>
  <c r="E3857" i="16"/>
  <c r="I3856" i="16"/>
  <c r="L3856" i="16" s="1"/>
  <c r="O3856" i="16" s="1"/>
  <c r="P3856" i="16" s="1"/>
  <c r="I3855" i="16"/>
  <c r="K3854" i="16"/>
  <c r="K3918" i="16" s="1"/>
  <c r="N3918" i="16" s="1"/>
  <c r="J3854" i="16"/>
  <c r="J3918" i="16" s="1"/>
  <c r="H3854" i="16"/>
  <c r="G3854" i="16"/>
  <c r="F3854" i="16"/>
  <c r="E3854" i="16"/>
  <c r="I3853" i="16"/>
  <c r="L3853" i="16" s="1"/>
  <c r="O3853" i="16" s="1"/>
  <c r="P3853" i="16" s="1"/>
  <c r="I3852" i="16"/>
  <c r="L3852" i="16" s="1"/>
  <c r="O3852" i="16" s="1"/>
  <c r="P3852" i="16" s="1"/>
  <c r="I3851" i="16"/>
  <c r="L3851" i="16" s="1"/>
  <c r="O3851" i="16" s="1"/>
  <c r="P3851" i="16" s="1"/>
  <c r="I3849" i="16"/>
  <c r="L3849" i="16" s="1"/>
  <c r="O3849" i="16" s="1"/>
  <c r="K3848" i="16"/>
  <c r="N3848" i="16" s="1"/>
  <c r="J3848" i="16"/>
  <c r="H3848" i="16"/>
  <c r="G3848" i="16"/>
  <c r="F3848" i="16"/>
  <c r="E3848" i="16"/>
  <c r="I3847" i="16"/>
  <c r="L3847" i="16" s="1"/>
  <c r="O3847" i="16" s="1"/>
  <c r="P3847" i="16" s="1"/>
  <c r="I3846" i="16"/>
  <c r="L3846" i="16" s="1"/>
  <c r="O3846" i="16" s="1"/>
  <c r="P3846" i="16" s="1"/>
  <c r="I3845" i="16"/>
  <c r="L3845" i="16" s="1"/>
  <c r="O3845" i="16" s="1"/>
  <c r="K3844" i="16"/>
  <c r="N3844" i="16" s="1"/>
  <c r="J3844" i="16"/>
  <c r="H3844" i="16"/>
  <c r="G3844" i="16"/>
  <c r="F3844" i="16"/>
  <c r="E3844" i="16"/>
  <c r="I3843" i="16"/>
  <c r="L3843" i="16" s="1"/>
  <c r="O3843" i="16" s="1"/>
  <c r="P3843" i="16" s="1"/>
  <c r="I3842" i="16"/>
  <c r="L3842" i="16" s="1"/>
  <c r="O3842" i="16" s="1"/>
  <c r="P3842" i="16" s="1"/>
  <c r="I3841" i="16"/>
  <c r="K3840" i="16"/>
  <c r="N3840" i="16" s="1"/>
  <c r="J3840" i="16"/>
  <c r="H3840" i="16"/>
  <c r="G3840" i="16"/>
  <c r="F3840" i="16"/>
  <c r="E3840" i="16"/>
  <c r="I3839" i="16"/>
  <c r="I3838" i="16" s="1"/>
  <c r="K3838" i="16"/>
  <c r="N3838" i="16" s="1"/>
  <c r="J3838" i="16"/>
  <c r="H3838" i="16"/>
  <c r="G3838" i="16"/>
  <c r="F3838" i="16"/>
  <c r="E3838" i="16"/>
  <c r="I3837" i="16"/>
  <c r="L3837" i="16" s="1"/>
  <c r="O3837" i="16" s="1"/>
  <c r="K3836" i="16"/>
  <c r="N3836" i="16" s="1"/>
  <c r="J3836" i="16"/>
  <c r="H3836" i="16"/>
  <c r="G3836" i="16"/>
  <c r="F3836" i="16"/>
  <c r="E3836" i="16"/>
  <c r="I3835" i="16"/>
  <c r="I3834" i="16"/>
  <c r="L3834" i="16" s="1"/>
  <c r="O3834" i="16" s="1"/>
  <c r="P3834" i="16" s="1"/>
  <c r="K3833" i="16"/>
  <c r="N3833" i="16" s="1"/>
  <c r="J3833" i="16"/>
  <c r="H3833" i="16"/>
  <c r="G3833" i="16"/>
  <c r="F3833" i="16"/>
  <c r="E3833" i="16"/>
  <c r="I3832" i="16"/>
  <c r="L3832" i="16" s="1"/>
  <c r="O3832" i="16" s="1"/>
  <c r="P3832" i="16" s="1"/>
  <c r="I3831" i="16"/>
  <c r="L3831" i="16" s="1"/>
  <c r="O3831" i="16" s="1"/>
  <c r="P3831" i="16" s="1"/>
  <c r="I3830" i="16"/>
  <c r="L3830" i="16" s="1"/>
  <c r="O3830" i="16" s="1"/>
  <c r="K3829" i="16"/>
  <c r="N3829" i="16" s="1"/>
  <c r="J3829" i="16"/>
  <c r="H3829" i="16"/>
  <c r="G3829" i="16"/>
  <c r="F3829" i="16"/>
  <c r="E3829" i="16"/>
  <c r="I3828" i="16"/>
  <c r="I3827" i="16" s="1"/>
  <c r="K3827" i="16"/>
  <c r="N3827" i="16" s="1"/>
  <c r="J3827" i="16"/>
  <c r="H3827" i="16"/>
  <c r="G3827" i="16"/>
  <c r="F3827" i="16"/>
  <c r="E3827" i="16"/>
  <c r="I3826" i="16"/>
  <c r="L3826" i="16" s="1"/>
  <c r="O3826" i="16" s="1"/>
  <c r="P3826" i="16" s="1"/>
  <c r="I3825" i="16"/>
  <c r="L3825" i="16" s="1"/>
  <c r="O3825" i="16" s="1"/>
  <c r="P3825" i="16" s="1"/>
  <c r="I3824" i="16"/>
  <c r="L3824" i="16" s="1"/>
  <c r="O3824" i="16" s="1"/>
  <c r="P3824" i="16" s="1"/>
  <c r="I3823" i="16"/>
  <c r="L3823" i="16" s="1"/>
  <c r="O3823" i="16" s="1"/>
  <c r="P3823" i="16" s="1"/>
  <c r="I3822" i="16"/>
  <c r="L3822" i="16" s="1"/>
  <c r="O3822" i="16" s="1"/>
  <c r="P3822" i="16" s="1"/>
  <c r="I3821" i="16"/>
  <c r="L3821" i="16" s="1"/>
  <c r="O3821" i="16" s="1"/>
  <c r="P3821" i="16" s="1"/>
  <c r="I3820" i="16"/>
  <c r="K3819" i="16"/>
  <c r="N3819" i="16" s="1"/>
  <c r="J3819" i="16"/>
  <c r="H3819" i="16"/>
  <c r="G3819" i="16"/>
  <c r="F3819" i="16"/>
  <c r="E3819" i="16"/>
  <c r="I3818" i="16"/>
  <c r="I3817" i="16" s="1"/>
  <c r="K3817" i="16"/>
  <c r="N3817" i="16" s="1"/>
  <c r="J3817" i="16"/>
  <c r="H3817" i="16"/>
  <c r="G3817" i="16"/>
  <c r="F3817" i="16"/>
  <c r="E3817" i="16"/>
  <c r="I3816" i="16"/>
  <c r="L3816" i="16" s="1"/>
  <c r="O3816" i="16" s="1"/>
  <c r="P3816" i="16" s="1"/>
  <c r="I3815" i="16"/>
  <c r="L3815" i="16" s="1"/>
  <c r="O3815" i="16" s="1"/>
  <c r="P3815" i="16" s="1"/>
  <c r="I3814" i="16"/>
  <c r="L3814" i="16" s="1"/>
  <c r="O3814" i="16" s="1"/>
  <c r="K3813" i="16"/>
  <c r="N3813" i="16" s="1"/>
  <c r="J3813" i="16"/>
  <c r="H3813" i="16"/>
  <c r="G3813" i="16"/>
  <c r="F3813" i="16"/>
  <c r="E3813" i="16"/>
  <c r="I3812" i="16"/>
  <c r="L3812" i="16" s="1"/>
  <c r="O3812" i="16" s="1"/>
  <c r="O3811" i="16" s="1"/>
  <c r="K3811" i="16"/>
  <c r="N3811" i="16" s="1"/>
  <c r="J3811" i="16"/>
  <c r="H3811" i="16"/>
  <c r="G3811" i="16"/>
  <c r="F3811" i="16"/>
  <c r="E3811" i="16"/>
  <c r="I3810" i="16"/>
  <c r="L3810" i="16" s="1"/>
  <c r="O3810" i="16" s="1"/>
  <c r="P3810" i="16" s="1"/>
  <c r="I3809" i="16"/>
  <c r="L3809" i="16" s="1"/>
  <c r="O3809" i="16" s="1"/>
  <c r="P3809" i="16" s="1"/>
  <c r="I3808" i="16"/>
  <c r="L3808" i="16" s="1"/>
  <c r="O3808" i="16" s="1"/>
  <c r="P3808" i="16" s="1"/>
  <c r="I3807" i="16"/>
  <c r="L3807" i="16" s="1"/>
  <c r="O3807" i="16" s="1"/>
  <c r="P3807" i="16" s="1"/>
  <c r="I3806" i="16"/>
  <c r="K3805" i="16"/>
  <c r="N3805" i="16" s="1"/>
  <c r="J3805" i="16"/>
  <c r="H3805" i="16"/>
  <c r="G3805" i="16"/>
  <c r="F3805" i="16"/>
  <c r="E3805" i="16"/>
  <c r="I3804" i="16"/>
  <c r="L3804" i="16" s="1"/>
  <c r="O3804" i="16" s="1"/>
  <c r="P3804" i="16" s="1"/>
  <c r="I3803" i="16"/>
  <c r="L3803" i="16" s="1"/>
  <c r="O3803" i="16" s="1"/>
  <c r="P3803" i="16" s="1"/>
  <c r="I3802" i="16"/>
  <c r="L3802" i="16" s="1"/>
  <c r="O3802" i="16" s="1"/>
  <c r="I3801" i="16"/>
  <c r="L3801" i="16" s="1"/>
  <c r="O3801" i="16" s="1"/>
  <c r="P3801" i="16" s="1"/>
  <c r="I3800" i="16"/>
  <c r="L3800" i="16" s="1"/>
  <c r="O3800" i="16" s="1"/>
  <c r="P3800" i="16" s="1"/>
  <c r="I3799" i="16"/>
  <c r="K3798" i="16"/>
  <c r="N3798" i="16" s="1"/>
  <c r="J3798" i="16"/>
  <c r="H3798" i="16"/>
  <c r="G3798" i="16"/>
  <c r="F3798" i="16"/>
  <c r="E3798" i="16"/>
  <c r="I3797" i="16"/>
  <c r="L3797" i="16" s="1"/>
  <c r="O3797" i="16" s="1"/>
  <c r="P3797" i="16" s="1"/>
  <c r="I3796" i="16"/>
  <c r="L3796" i="16" s="1"/>
  <c r="O3796" i="16" s="1"/>
  <c r="P3796" i="16" s="1"/>
  <c r="I3795" i="16"/>
  <c r="L3795" i="16" s="1"/>
  <c r="O3795" i="16" s="1"/>
  <c r="P3795" i="16" s="1"/>
  <c r="I3794" i="16"/>
  <c r="L3794" i="16" s="1"/>
  <c r="O3794" i="16" s="1"/>
  <c r="P3794" i="16" s="1"/>
  <c r="I3793" i="16"/>
  <c r="L3793" i="16" s="1"/>
  <c r="O3793" i="16" s="1"/>
  <c r="K3792" i="16"/>
  <c r="N3792" i="16" s="1"/>
  <c r="J3792" i="16"/>
  <c r="H3792" i="16"/>
  <c r="G3792" i="16"/>
  <c r="F3792" i="16"/>
  <c r="E3792" i="16"/>
  <c r="I3791" i="16"/>
  <c r="I3790" i="16" s="1"/>
  <c r="K3790" i="16"/>
  <c r="N3790" i="16" s="1"/>
  <c r="J3790" i="16"/>
  <c r="H3790" i="16"/>
  <c r="G3790" i="16"/>
  <c r="F3790" i="16"/>
  <c r="E3790" i="16"/>
  <c r="I3789" i="16"/>
  <c r="L3789" i="16" s="1"/>
  <c r="O3789" i="16" s="1"/>
  <c r="P3789" i="16" s="1"/>
  <c r="I3788" i="16"/>
  <c r="L3788" i="16" s="1"/>
  <c r="O3788" i="16" s="1"/>
  <c r="P3788" i="16" s="1"/>
  <c r="I3787" i="16"/>
  <c r="L3787" i="16" s="1"/>
  <c r="O3787" i="16" s="1"/>
  <c r="K3786" i="16"/>
  <c r="N3786" i="16" s="1"/>
  <c r="J3786" i="16"/>
  <c r="H3786" i="16"/>
  <c r="G3786" i="16"/>
  <c r="F3786" i="16"/>
  <c r="E3786" i="16"/>
  <c r="I3785" i="16"/>
  <c r="L3785" i="16" s="1"/>
  <c r="O3785" i="16" s="1"/>
  <c r="P3785" i="16" s="1"/>
  <c r="I3784" i="16"/>
  <c r="L3784" i="16" s="1"/>
  <c r="O3784" i="16" s="1"/>
  <c r="P3784" i="16" s="1"/>
  <c r="I3783" i="16"/>
  <c r="L3783" i="16" s="1"/>
  <c r="O3783" i="16" s="1"/>
  <c r="K3782" i="16"/>
  <c r="N3782" i="16" s="1"/>
  <c r="J3782" i="16"/>
  <c r="H3782" i="16"/>
  <c r="G3782" i="16"/>
  <c r="F3782" i="16"/>
  <c r="E3782" i="16"/>
  <c r="I3781" i="16"/>
  <c r="L3781" i="16" s="1"/>
  <c r="O3781" i="16" s="1"/>
  <c r="P3781" i="16" s="1"/>
  <c r="I3780" i="16"/>
  <c r="L3780" i="16" s="1"/>
  <c r="O3780" i="16" s="1"/>
  <c r="P3780" i="16" s="1"/>
  <c r="I3779" i="16"/>
  <c r="L3779" i="16" s="1"/>
  <c r="O3779" i="16" s="1"/>
  <c r="P3779" i="16" s="1"/>
  <c r="I3778" i="16"/>
  <c r="L3778" i="16" s="1"/>
  <c r="O3778" i="16" s="1"/>
  <c r="K3777" i="16"/>
  <c r="N3777" i="16" s="1"/>
  <c r="J3777" i="16"/>
  <c r="H3777" i="16"/>
  <c r="G3777" i="16"/>
  <c r="F3777" i="16"/>
  <c r="E3777" i="16"/>
  <c r="I3776" i="16"/>
  <c r="L3776" i="16" s="1"/>
  <c r="O3776" i="16" s="1"/>
  <c r="P3776" i="16" s="1"/>
  <c r="I3775" i="16"/>
  <c r="L3775" i="16" s="1"/>
  <c r="O3775" i="16" s="1"/>
  <c r="K3774" i="16"/>
  <c r="N3774" i="16" s="1"/>
  <c r="J3774" i="16"/>
  <c r="H3774" i="16"/>
  <c r="G3774" i="16"/>
  <c r="F3774" i="16"/>
  <c r="E3774" i="16"/>
  <c r="I3773" i="16"/>
  <c r="I3772" i="16"/>
  <c r="L3772" i="16" s="1"/>
  <c r="O3772" i="16" s="1"/>
  <c r="K3771" i="16"/>
  <c r="N3771" i="16" s="1"/>
  <c r="J3771" i="16"/>
  <c r="H3771" i="16"/>
  <c r="G3771" i="16"/>
  <c r="F3771" i="16"/>
  <c r="E3771" i="16"/>
  <c r="I3770" i="16"/>
  <c r="L3770" i="16" s="1"/>
  <c r="O3770" i="16" s="1"/>
  <c r="O3769" i="16" s="1"/>
  <c r="P3769" i="16"/>
  <c r="K3769" i="16"/>
  <c r="N3769" i="16" s="1"/>
  <c r="J3769" i="16"/>
  <c r="H3769" i="16"/>
  <c r="G3769" i="16"/>
  <c r="F3769" i="16"/>
  <c r="E3769" i="16"/>
  <c r="I3768" i="16"/>
  <c r="L3768" i="16" s="1"/>
  <c r="O3768" i="16" s="1"/>
  <c r="O3767" i="16" s="1"/>
  <c r="K3767" i="16"/>
  <c r="N3767" i="16" s="1"/>
  <c r="J3767" i="16"/>
  <c r="H3767" i="16"/>
  <c r="G3767" i="16"/>
  <c r="F3767" i="16"/>
  <c r="E3767" i="16"/>
  <c r="I3766" i="16"/>
  <c r="L3766" i="16" s="1"/>
  <c r="O3766" i="16" s="1"/>
  <c r="P3766" i="16" s="1"/>
  <c r="I3765" i="16"/>
  <c r="L3765" i="16" s="1"/>
  <c r="O3765" i="16" s="1"/>
  <c r="K3764" i="16"/>
  <c r="N3764" i="16" s="1"/>
  <c r="J3764" i="16"/>
  <c r="H3764" i="16"/>
  <c r="G3764" i="16"/>
  <c r="F3764" i="16"/>
  <c r="E3764" i="16"/>
  <c r="I3763" i="16"/>
  <c r="L3763" i="16" s="1"/>
  <c r="O3763" i="16" s="1"/>
  <c r="O3762" i="16"/>
  <c r="I3762" i="16"/>
  <c r="O3761" i="16"/>
  <c r="I3761" i="16"/>
  <c r="O3760" i="16"/>
  <c r="I3760" i="16"/>
  <c r="E3754" i="16"/>
  <c r="E3753" i="16" s="1"/>
  <c r="E3758" i="16" s="1"/>
  <c r="K3753" i="16"/>
  <c r="K3755" i="16" s="1"/>
  <c r="N3755" i="16" s="1"/>
  <c r="J3753" i="16"/>
  <c r="J3758" i="16" s="1"/>
  <c r="H3753" i="16"/>
  <c r="G3753" i="16"/>
  <c r="G3758" i="16" s="1"/>
  <c r="F3753" i="16"/>
  <c r="I3752" i="16"/>
  <c r="L3752" i="16" s="1"/>
  <c r="O3752" i="16" s="1"/>
  <c r="P3752" i="16" s="1"/>
  <c r="I3750" i="16"/>
  <c r="I3749" i="16" s="1"/>
  <c r="K3749" i="16"/>
  <c r="N3749" i="16" s="1"/>
  <c r="J3749" i="16"/>
  <c r="H3749" i="16"/>
  <c r="G3749" i="16"/>
  <c r="F3749" i="16"/>
  <c r="E3749" i="16"/>
  <c r="I3748" i="16"/>
  <c r="I3747" i="16" s="1"/>
  <c r="K3747" i="16"/>
  <c r="N3747" i="16" s="1"/>
  <c r="J3747" i="16"/>
  <c r="H3747" i="16"/>
  <c r="G3747" i="16"/>
  <c r="F3747" i="16"/>
  <c r="E3747" i="16"/>
  <c r="I3746" i="16"/>
  <c r="I3745" i="16"/>
  <c r="L3745" i="16" s="1"/>
  <c r="O3745" i="16" s="1"/>
  <c r="P3745" i="16" s="1"/>
  <c r="I3744" i="16"/>
  <c r="L3744" i="16" s="1"/>
  <c r="O3744" i="16" s="1"/>
  <c r="P3744" i="16" s="1"/>
  <c r="K3743" i="16"/>
  <c r="N3743" i="16" s="1"/>
  <c r="J3743" i="16"/>
  <c r="H3743" i="16"/>
  <c r="G3743" i="16"/>
  <c r="F3743" i="16"/>
  <c r="E3743" i="16"/>
  <c r="I3742" i="16"/>
  <c r="L3742" i="16" s="1"/>
  <c r="O3742" i="16" s="1"/>
  <c r="K3741" i="16"/>
  <c r="N3741" i="16" s="1"/>
  <c r="J3741" i="16"/>
  <c r="H3741" i="16"/>
  <c r="G3741" i="16"/>
  <c r="F3741" i="16"/>
  <c r="E3741" i="16"/>
  <c r="I3740" i="16"/>
  <c r="K3739" i="16"/>
  <c r="N3739" i="16" s="1"/>
  <c r="J3739" i="16"/>
  <c r="H3739" i="16"/>
  <c r="G3739" i="16"/>
  <c r="F3739" i="16"/>
  <c r="E3739" i="16"/>
  <c r="I3738" i="16"/>
  <c r="L3738" i="16" s="1"/>
  <c r="O3738" i="16" s="1"/>
  <c r="P3738" i="16" s="1"/>
  <c r="I3737" i="16"/>
  <c r="L3737" i="16" s="1"/>
  <c r="O3737" i="16" s="1"/>
  <c r="K3736" i="16"/>
  <c r="N3736" i="16" s="1"/>
  <c r="J3736" i="16"/>
  <c r="H3736" i="16"/>
  <c r="G3736" i="16"/>
  <c r="F3736" i="16"/>
  <c r="E3736" i="16"/>
  <c r="I3735" i="16"/>
  <c r="L3735" i="16" s="1"/>
  <c r="O3735" i="16" s="1"/>
  <c r="I3734" i="16"/>
  <c r="L3734" i="16" s="1"/>
  <c r="O3734" i="16" s="1"/>
  <c r="P3734" i="16" s="1"/>
  <c r="I3733" i="16"/>
  <c r="I3732" i="16"/>
  <c r="L3732" i="16" s="1"/>
  <c r="O3732" i="16" s="1"/>
  <c r="P3732" i="16" s="1"/>
  <c r="I3731" i="16"/>
  <c r="L3731" i="16" s="1"/>
  <c r="O3731" i="16" s="1"/>
  <c r="P3731" i="16" s="1"/>
  <c r="I3730" i="16"/>
  <c r="L3730" i="16" s="1"/>
  <c r="O3730" i="16" s="1"/>
  <c r="P3730" i="16" s="1"/>
  <c r="I3729" i="16"/>
  <c r="L3729" i="16" s="1"/>
  <c r="O3729" i="16" s="1"/>
  <c r="P3729" i="16" s="1"/>
  <c r="K3728" i="16"/>
  <c r="N3728" i="16" s="1"/>
  <c r="J3728" i="16"/>
  <c r="H3728" i="16"/>
  <c r="G3728" i="16"/>
  <c r="F3728" i="16"/>
  <c r="E3728" i="16"/>
  <c r="I3727" i="16"/>
  <c r="I3726" i="16" s="1"/>
  <c r="K3726" i="16"/>
  <c r="N3726" i="16" s="1"/>
  <c r="J3726" i="16"/>
  <c r="H3726" i="16"/>
  <c r="G3726" i="16"/>
  <c r="F3726" i="16"/>
  <c r="E3726" i="16"/>
  <c r="I3725" i="16"/>
  <c r="L3725" i="16" s="1"/>
  <c r="O3725" i="16" s="1"/>
  <c r="P3725" i="16" s="1"/>
  <c r="I3724" i="16"/>
  <c r="L3724" i="16" s="1"/>
  <c r="O3724" i="16" s="1"/>
  <c r="P3724" i="16" s="1"/>
  <c r="I3723" i="16"/>
  <c r="L3723" i="16" s="1"/>
  <c r="O3723" i="16" s="1"/>
  <c r="K3722" i="16"/>
  <c r="N3722" i="16" s="1"/>
  <c r="J3722" i="16"/>
  <c r="H3722" i="16"/>
  <c r="G3722" i="16"/>
  <c r="F3722" i="16"/>
  <c r="E3722" i="16"/>
  <c r="I3721" i="16"/>
  <c r="L3721" i="16" s="1"/>
  <c r="O3721" i="16" s="1"/>
  <c r="P3721" i="16" s="1"/>
  <c r="I3720" i="16"/>
  <c r="L3720" i="16" s="1"/>
  <c r="O3720" i="16" s="1"/>
  <c r="P3720" i="16" s="1"/>
  <c r="I3719" i="16"/>
  <c r="L3719" i="16" s="1"/>
  <c r="O3719" i="16" s="1"/>
  <c r="K3718" i="16"/>
  <c r="N3718" i="16" s="1"/>
  <c r="J3718" i="16"/>
  <c r="H3718" i="16"/>
  <c r="G3718" i="16"/>
  <c r="F3718" i="16"/>
  <c r="E3718" i="16"/>
  <c r="I3717" i="16"/>
  <c r="L3717" i="16" s="1"/>
  <c r="O3717" i="16" s="1"/>
  <c r="P3717" i="16" s="1"/>
  <c r="I3716" i="16"/>
  <c r="L3716" i="16" s="1"/>
  <c r="O3716" i="16" s="1"/>
  <c r="P3716" i="16" s="1"/>
  <c r="I3715" i="16"/>
  <c r="K3714" i="16"/>
  <c r="N3714" i="16" s="1"/>
  <c r="J3714" i="16"/>
  <c r="H3714" i="16"/>
  <c r="G3714" i="16"/>
  <c r="F3714" i="16"/>
  <c r="E3714" i="16"/>
  <c r="I3713" i="16"/>
  <c r="L3713" i="16" s="1"/>
  <c r="O3713" i="16" s="1"/>
  <c r="P3713" i="16" s="1"/>
  <c r="I3712" i="16"/>
  <c r="L3712" i="16" s="1"/>
  <c r="O3712" i="16" s="1"/>
  <c r="P3712" i="16" s="1"/>
  <c r="I3711" i="16"/>
  <c r="L3711" i="16" s="1"/>
  <c r="O3711" i="16" s="1"/>
  <c r="P3711" i="16" s="1"/>
  <c r="E3709" i="16"/>
  <c r="I3708" i="16"/>
  <c r="L3708" i="16" s="1"/>
  <c r="O3708" i="16" s="1"/>
  <c r="K3707" i="16"/>
  <c r="N3707" i="16" s="1"/>
  <c r="J3707" i="16"/>
  <c r="H3707" i="16"/>
  <c r="G3707" i="16"/>
  <c r="F3707" i="16"/>
  <c r="I3706" i="16"/>
  <c r="L3706" i="16" s="1"/>
  <c r="O3706" i="16" s="1"/>
  <c r="P3706" i="16" s="1"/>
  <c r="E3705" i="16"/>
  <c r="I3705" i="16" s="1"/>
  <c r="L3705" i="16" s="1"/>
  <c r="O3705" i="16" s="1"/>
  <c r="P3705" i="16" s="1"/>
  <c r="I3704" i="16"/>
  <c r="L3704" i="16" s="1"/>
  <c r="O3704" i="16" s="1"/>
  <c r="P3704" i="16" s="1"/>
  <c r="I3703" i="16"/>
  <c r="I3702" i="16"/>
  <c r="L3702" i="16" s="1"/>
  <c r="O3702" i="16" s="1"/>
  <c r="K3701" i="16"/>
  <c r="N3701" i="16" s="1"/>
  <c r="J3701" i="16"/>
  <c r="H3701" i="16"/>
  <c r="G3701" i="16"/>
  <c r="F3701" i="16"/>
  <c r="E3701" i="16"/>
  <c r="I3700" i="16"/>
  <c r="I3699" i="16" s="1"/>
  <c r="K3699" i="16"/>
  <c r="N3699" i="16" s="1"/>
  <c r="J3699" i="16"/>
  <c r="H3699" i="16"/>
  <c r="G3699" i="16"/>
  <c r="F3699" i="16"/>
  <c r="E3699" i="16"/>
  <c r="I3698" i="16"/>
  <c r="L3698" i="16" s="1"/>
  <c r="O3698" i="16" s="1"/>
  <c r="P3698" i="16" s="1"/>
  <c r="I3697" i="16"/>
  <c r="L3697" i="16" s="1"/>
  <c r="O3697" i="16" s="1"/>
  <c r="P3697" i="16" s="1"/>
  <c r="I3696" i="16"/>
  <c r="K3695" i="16"/>
  <c r="N3695" i="16" s="1"/>
  <c r="J3695" i="16"/>
  <c r="H3695" i="16"/>
  <c r="G3695" i="16"/>
  <c r="F3695" i="16"/>
  <c r="E3695" i="16"/>
  <c r="I3694" i="16"/>
  <c r="L3694" i="16" s="1"/>
  <c r="O3694" i="16" s="1"/>
  <c r="K3693" i="16"/>
  <c r="N3693" i="16" s="1"/>
  <c r="J3693" i="16"/>
  <c r="H3693" i="16"/>
  <c r="G3693" i="16"/>
  <c r="F3693" i="16"/>
  <c r="E3693" i="16"/>
  <c r="I3692" i="16"/>
  <c r="L3692" i="16" s="1"/>
  <c r="O3692" i="16" s="1"/>
  <c r="P3692" i="16" s="1"/>
  <c r="I3691" i="16"/>
  <c r="L3691" i="16" s="1"/>
  <c r="O3691" i="16" s="1"/>
  <c r="P3691" i="16" s="1"/>
  <c r="I3690" i="16"/>
  <c r="L3690" i="16" s="1"/>
  <c r="O3690" i="16" s="1"/>
  <c r="K3689" i="16"/>
  <c r="N3689" i="16" s="1"/>
  <c r="J3689" i="16"/>
  <c r="H3689" i="16"/>
  <c r="G3689" i="16"/>
  <c r="F3689" i="16"/>
  <c r="E3689" i="16"/>
  <c r="I3688" i="16"/>
  <c r="L3688" i="16" s="1"/>
  <c r="O3688" i="16" s="1"/>
  <c r="P3688" i="16" s="1"/>
  <c r="I3687" i="16"/>
  <c r="L3687" i="16" s="1"/>
  <c r="O3687" i="16" s="1"/>
  <c r="K3686" i="16"/>
  <c r="N3686" i="16" s="1"/>
  <c r="J3686" i="16"/>
  <c r="H3686" i="16"/>
  <c r="G3686" i="16"/>
  <c r="F3686" i="16"/>
  <c r="E3686" i="16"/>
  <c r="I3685" i="16"/>
  <c r="L3685" i="16" s="1"/>
  <c r="O3685" i="16" s="1"/>
  <c r="P3685" i="16" s="1"/>
  <c r="I3684" i="16"/>
  <c r="L3684" i="16" s="1"/>
  <c r="O3684" i="16" s="1"/>
  <c r="P3684" i="16" s="1"/>
  <c r="I3683" i="16"/>
  <c r="L3683" i="16" s="1"/>
  <c r="O3683" i="16" s="1"/>
  <c r="P3683" i="16" s="1"/>
  <c r="I3682" i="16"/>
  <c r="L3682" i="16" s="1"/>
  <c r="O3682" i="16" s="1"/>
  <c r="P3682" i="16" s="1"/>
  <c r="I3681" i="16"/>
  <c r="L3681" i="16" s="1"/>
  <c r="O3681" i="16" s="1"/>
  <c r="P3681" i="16" s="1"/>
  <c r="I3680" i="16"/>
  <c r="L3680" i="16" s="1"/>
  <c r="O3680" i="16" s="1"/>
  <c r="P3680" i="16" s="1"/>
  <c r="I3679" i="16"/>
  <c r="K3678" i="16"/>
  <c r="N3678" i="16" s="1"/>
  <c r="J3678" i="16"/>
  <c r="H3678" i="16"/>
  <c r="G3678" i="16"/>
  <c r="F3678" i="16"/>
  <c r="E3678" i="16"/>
  <c r="I3677" i="16"/>
  <c r="I3676" i="16" s="1"/>
  <c r="K3676" i="16"/>
  <c r="N3676" i="16" s="1"/>
  <c r="J3676" i="16"/>
  <c r="H3676" i="16"/>
  <c r="G3676" i="16"/>
  <c r="F3676" i="16"/>
  <c r="E3676" i="16"/>
  <c r="I3675" i="16"/>
  <c r="L3675" i="16" s="1"/>
  <c r="O3675" i="16" s="1"/>
  <c r="I3674" i="16"/>
  <c r="I3673" i="16"/>
  <c r="L3673" i="16" s="1"/>
  <c r="O3673" i="16" s="1"/>
  <c r="P3673" i="16" s="1"/>
  <c r="K3672" i="16"/>
  <c r="N3672" i="16" s="1"/>
  <c r="J3672" i="16"/>
  <c r="H3672" i="16"/>
  <c r="G3672" i="16"/>
  <c r="F3672" i="16"/>
  <c r="E3672" i="16"/>
  <c r="I3671" i="16"/>
  <c r="L3671" i="16" s="1"/>
  <c r="O3671" i="16" s="1"/>
  <c r="P3671" i="16" s="1"/>
  <c r="E3670" i="16"/>
  <c r="E3668" i="16" s="1"/>
  <c r="I3669" i="16"/>
  <c r="L3669" i="16" s="1"/>
  <c r="O3669" i="16" s="1"/>
  <c r="K3668" i="16"/>
  <c r="N3668" i="16" s="1"/>
  <c r="J3668" i="16"/>
  <c r="H3668" i="16"/>
  <c r="G3668" i="16"/>
  <c r="F3668" i="16"/>
  <c r="I3667" i="16"/>
  <c r="L3667" i="16" s="1"/>
  <c r="O3667" i="16" s="1"/>
  <c r="P3667" i="16" s="1"/>
  <c r="I3666" i="16"/>
  <c r="L3666" i="16" s="1"/>
  <c r="O3666" i="16" s="1"/>
  <c r="K3665" i="16"/>
  <c r="N3665" i="16" s="1"/>
  <c r="J3665" i="16"/>
  <c r="H3665" i="16"/>
  <c r="G3665" i="16"/>
  <c r="F3665" i="16"/>
  <c r="E3665" i="16"/>
  <c r="I3664" i="16"/>
  <c r="L3664" i="16" s="1"/>
  <c r="O3664" i="16" s="1"/>
  <c r="P3664" i="16" s="1"/>
  <c r="I3663" i="16"/>
  <c r="K3662" i="16"/>
  <c r="N3662" i="16" s="1"/>
  <c r="J3662" i="16"/>
  <c r="H3662" i="16"/>
  <c r="G3662" i="16"/>
  <c r="F3662" i="16"/>
  <c r="E3662" i="16"/>
  <c r="I3661" i="16"/>
  <c r="L3661" i="16" s="1"/>
  <c r="O3661" i="16" s="1"/>
  <c r="P3661" i="16" s="1"/>
  <c r="I3660" i="16"/>
  <c r="L3660" i="16" s="1"/>
  <c r="O3660" i="16" s="1"/>
  <c r="P3660" i="16" s="1"/>
  <c r="I3659" i="16"/>
  <c r="L3659" i="16" s="1"/>
  <c r="O3659" i="16" s="1"/>
  <c r="P3659" i="16" s="1"/>
  <c r="I3657" i="16"/>
  <c r="L3657" i="16" s="1"/>
  <c r="O3657" i="16" s="1"/>
  <c r="P3657" i="16" s="1"/>
  <c r="I3656" i="16"/>
  <c r="L3656" i="16" s="1"/>
  <c r="O3656" i="16" s="1"/>
  <c r="P3656" i="16" s="1"/>
  <c r="I3655" i="16"/>
  <c r="L3655" i="16" s="1"/>
  <c r="O3655" i="16" s="1"/>
  <c r="K3654" i="16"/>
  <c r="N3654" i="16" s="1"/>
  <c r="J3654" i="16"/>
  <c r="H3654" i="16"/>
  <c r="G3654" i="16"/>
  <c r="F3654" i="16"/>
  <c r="E3654" i="16"/>
  <c r="I3653" i="16"/>
  <c r="L3653" i="16" s="1"/>
  <c r="O3653" i="16" s="1"/>
  <c r="P3653" i="16" s="1"/>
  <c r="E3652" i="16"/>
  <c r="I3652" i="16" s="1"/>
  <c r="L3652" i="16" s="1"/>
  <c r="O3652" i="16" s="1"/>
  <c r="P3652" i="16" s="1"/>
  <c r="I3651" i="16"/>
  <c r="L3651" i="16" s="1"/>
  <c r="O3651" i="16" s="1"/>
  <c r="P3651" i="16" s="1"/>
  <c r="I3650" i="16"/>
  <c r="K3649" i="16"/>
  <c r="N3649" i="16" s="1"/>
  <c r="J3649" i="16"/>
  <c r="H3649" i="16"/>
  <c r="G3649" i="16"/>
  <c r="F3649" i="16"/>
  <c r="E3649" i="16"/>
  <c r="I3648" i="16"/>
  <c r="K3647" i="16"/>
  <c r="N3647" i="16" s="1"/>
  <c r="J3647" i="16"/>
  <c r="H3647" i="16"/>
  <c r="G3647" i="16"/>
  <c r="F3647" i="16"/>
  <c r="E3647" i="16"/>
  <c r="I3646" i="16"/>
  <c r="L3646" i="16" s="1"/>
  <c r="O3646" i="16" s="1"/>
  <c r="P3646" i="16" s="1"/>
  <c r="E3645" i="16"/>
  <c r="E3643" i="16" s="1"/>
  <c r="I3644" i="16"/>
  <c r="L3644" i="16" s="1"/>
  <c r="O3644" i="16" s="1"/>
  <c r="K3643" i="16"/>
  <c r="N3643" i="16" s="1"/>
  <c r="J3643" i="16"/>
  <c r="H3643" i="16"/>
  <c r="G3643" i="16"/>
  <c r="F3643" i="16"/>
  <c r="I3642" i="16"/>
  <c r="L3642" i="16" s="1"/>
  <c r="O3642" i="16" s="1"/>
  <c r="O3641" i="16" s="1"/>
  <c r="K3641" i="16"/>
  <c r="N3641" i="16" s="1"/>
  <c r="J3641" i="16"/>
  <c r="H3641" i="16"/>
  <c r="G3641" i="16"/>
  <c r="F3641" i="16"/>
  <c r="E3641" i="16"/>
  <c r="I3640" i="16"/>
  <c r="L3640" i="16" s="1"/>
  <c r="O3640" i="16" s="1"/>
  <c r="P3640" i="16" s="1"/>
  <c r="I3639" i="16"/>
  <c r="L3639" i="16" s="1"/>
  <c r="O3639" i="16" s="1"/>
  <c r="P3639" i="16" s="1"/>
  <c r="I3638" i="16"/>
  <c r="L3638" i="16" s="1"/>
  <c r="O3638" i="16" s="1"/>
  <c r="K3637" i="16"/>
  <c r="N3637" i="16" s="1"/>
  <c r="J3637" i="16"/>
  <c r="H3637" i="16"/>
  <c r="G3637" i="16"/>
  <c r="F3637" i="16"/>
  <c r="E3637" i="16"/>
  <c r="I3636" i="16"/>
  <c r="K3635" i="16"/>
  <c r="N3635" i="16" s="1"/>
  <c r="J3635" i="16"/>
  <c r="H3635" i="16"/>
  <c r="G3635" i="16"/>
  <c r="F3635" i="16"/>
  <c r="E3635" i="16"/>
  <c r="E3634" i="16"/>
  <c r="I3634" i="16" s="1"/>
  <c r="I3633" i="16"/>
  <c r="L3633" i="16" s="1"/>
  <c r="O3633" i="16" s="1"/>
  <c r="P3633" i="16" s="1"/>
  <c r="K3632" i="16"/>
  <c r="N3632" i="16" s="1"/>
  <c r="J3632" i="16"/>
  <c r="H3632" i="16"/>
  <c r="G3632" i="16"/>
  <c r="F3632" i="16"/>
  <c r="I3631" i="16"/>
  <c r="I3630" i="16"/>
  <c r="L3630" i="16" s="1"/>
  <c r="O3630" i="16" s="1"/>
  <c r="P3630" i="16" s="1"/>
  <c r="I3629" i="16"/>
  <c r="L3629" i="16" s="1"/>
  <c r="O3629" i="16" s="1"/>
  <c r="P3629" i="16" s="1"/>
  <c r="I3628" i="16"/>
  <c r="L3628" i="16" s="1"/>
  <c r="O3628" i="16" s="1"/>
  <c r="P3628" i="16" s="1"/>
  <c r="I3627" i="16"/>
  <c r="L3627" i="16" s="1"/>
  <c r="O3627" i="16" s="1"/>
  <c r="P3627" i="16" s="1"/>
  <c r="I3626" i="16"/>
  <c r="L3626" i="16" s="1"/>
  <c r="O3626" i="16" s="1"/>
  <c r="P3626" i="16" s="1"/>
  <c r="I3625" i="16"/>
  <c r="L3625" i="16" s="1"/>
  <c r="O3625" i="16" s="1"/>
  <c r="P3625" i="16" s="1"/>
  <c r="K3624" i="16"/>
  <c r="N3624" i="16" s="1"/>
  <c r="J3624" i="16"/>
  <c r="H3624" i="16"/>
  <c r="G3624" i="16"/>
  <c r="F3624" i="16"/>
  <c r="E3624" i="16"/>
  <c r="E3623" i="16"/>
  <c r="I3623" i="16" s="1"/>
  <c r="L3623" i="16" s="1"/>
  <c r="O3623" i="16" s="1"/>
  <c r="P3623" i="16" s="1"/>
  <c r="P3622" i="16" s="1"/>
  <c r="I3621" i="16"/>
  <c r="L3621" i="16" s="1"/>
  <c r="O3621" i="16" s="1"/>
  <c r="P3621" i="16" s="1"/>
  <c r="I3620" i="16"/>
  <c r="L3620" i="16" s="1"/>
  <c r="O3620" i="16" s="1"/>
  <c r="P3620" i="16" s="1"/>
  <c r="I3619" i="16"/>
  <c r="K3618" i="16"/>
  <c r="N3618" i="16" s="1"/>
  <c r="J3618" i="16"/>
  <c r="H3618" i="16"/>
  <c r="G3618" i="16"/>
  <c r="F3618" i="16"/>
  <c r="E3618" i="16"/>
  <c r="I3617" i="16"/>
  <c r="L3617" i="16" s="1"/>
  <c r="O3617" i="16" s="1"/>
  <c r="P3617" i="16" s="1"/>
  <c r="I3616" i="16"/>
  <c r="L3616" i="16" s="1"/>
  <c r="O3616" i="16" s="1"/>
  <c r="P3616" i="16" s="1"/>
  <c r="I3615" i="16"/>
  <c r="L3615" i="16" s="1"/>
  <c r="O3615" i="16" s="1"/>
  <c r="K3614" i="16"/>
  <c r="N3614" i="16" s="1"/>
  <c r="J3614" i="16"/>
  <c r="H3614" i="16"/>
  <c r="G3614" i="16"/>
  <c r="F3614" i="16"/>
  <c r="E3614" i="16"/>
  <c r="I3613" i="16"/>
  <c r="I3612" i="16"/>
  <c r="L3612" i="16" s="1"/>
  <c r="O3612" i="16" s="1"/>
  <c r="P3612" i="16" s="1"/>
  <c r="K3611" i="16"/>
  <c r="N3611" i="16" s="1"/>
  <c r="J3611" i="16"/>
  <c r="H3611" i="16"/>
  <c r="G3611" i="16"/>
  <c r="F3611" i="16"/>
  <c r="E3611" i="16"/>
  <c r="I3610" i="16"/>
  <c r="L3610" i="16" s="1"/>
  <c r="O3610" i="16" s="1"/>
  <c r="P3610" i="16" s="1"/>
  <c r="I3609" i="16"/>
  <c r="L3609" i="16" s="1"/>
  <c r="O3609" i="16" s="1"/>
  <c r="P3609" i="16" s="1"/>
  <c r="I3608" i="16"/>
  <c r="L3608" i="16" s="1"/>
  <c r="O3608" i="16" s="1"/>
  <c r="P3608" i="16" s="1"/>
  <c r="I3605" i="16"/>
  <c r="L3605" i="16" s="1"/>
  <c r="O3605" i="16" s="1"/>
  <c r="P3605" i="16" s="1"/>
  <c r="I3604" i="16"/>
  <c r="I3603" i="16"/>
  <c r="L3603" i="16" s="1"/>
  <c r="O3603" i="16" s="1"/>
  <c r="K3602" i="16"/>
  <c r="N3602" i="16" s="1"/>
  <c r="J3602" i="16"/>
  <c r="H3602" i="16"/>
  <c r="G3602" i="16"/>
  <c r="F3602" i="16"/>
  <c r="E3602" i="16"/>
  <c r="I3601" i="16"/>
  <c r="K3600" i="16"/>
  <c r="N3600" i="16" s="1"/>
  <c r="J3600" i="16"/>
  <c r="H3600" i="16"/>
  <c r="G3600" i="16"/>
  <c r="F3600" i="16"/>
  <c r="E3600" i="16"/>
  <c r="I3599" i="16"/>
  <c r="L3599" i="16" s="1"/>
  <c r="O3599" i="16" s="1"/>
  <c r="P3599" i="16" s="1"/>
  <c r="I3598" i="16"/>
  <c r="L3598" i="16" s="1"/>
  <c r="O3598" i="16" s="1"/>
  <c r="K3597" i="16"/>
  <c r="N3597" i="16" s="1"/>
  <c r="J3597" i="16"/>
  <c r="H3597" i="16"/>
  <c r="G3597" i="16"/>
  <c r="F3597" i="16"/>
  <c r="E3597" i="16"/>
  <c r="I3596" i="16"/>
  <c r="K3595" i="16"/>
  <c r="N3595" i="16" s="1"/>
  <c r="J3595" i="16"/>
  <c r="H3595" i="16"/>
  <c r="G3595" i="16"/>
  <c r="F3595" i="16"/>
  <c r="E3595" i="16"/>
  <c r="I3594" i="16"/>
  <c r="L3594" i="16" s="1"/>
  <c r="O3594" i="16" s="1"/>
  <c r="P3594" i="16" s="1"/>
  <c r="I3593" i="16"/>
  <c r="L3593" i="16" s="1"/>
  <c r="O3593" i="16" s="1"/>
  <c r="P3593" i="16" s="1"/>
  <c r="I3592" i="16"/>
  <c r="K3591" i="16"/>
  <c r="N3591" i="16" s="1"/>
  <c r="J3591" i="16"/>
  <c r="H3591" i="16"/>
  <c r="G3591" i="16"/>
  <c r="F3591" i="16"/>
  <c r="E3591" i="16"/>
  <c r="I3590" i="16"/>
  <c r="K3589" i="16"/>
  <c r="N3589" i="16" s="1"/>
  <c r="J3589" i="16"/>
  <c r="H3589" i="16"/>
  <c r="G3589" i="16"/>
  <c r="F3589" i="16"/>
  <c r="E3589" i="16"/>
  <c r="I3588" i="16"/>
  <c r="L3588" i="16" s="1"/>
  <c r="O3588" i="16" s="1"/>
  <c r="P3588" i="16" s="1"/>
  <c r="I3587" i="16"/>
  <c r="L3587" i="16" s="1"/>
  <c r="O3587" i="16" s="1"/>
  <c r="P3587" i="16" s="1"/>
  <c r="I3586" i="16"/>
  <c r="L3586" i="16" s="1"/>
  <c r="O3586" i="16" s="1"/>
  <c r="K3585" i="16"/>
  <c r="N3585" i="16" s="1"/>
  <c r="J3585" i="16"/>
  <c r="H3585" i="16"/>
  <c r="G3585" i="16"/>
  <c r="F3585" i="16"/>
  <c r="E3585" i="16"/>
  <c r="I3584" i="16"/>
  <c r="K3583" i="16"/>
  <c r="N3583" i="16" s="1"/>
  <c r="J3583" i="16"/>
  <c r="H3583" i="16"/>
  <c r="G3583" i="16"/>
  <c r="F3583" i="16"/>
  <c r="E3583" i="16"/>
  <c r="I3582" i="16"/>
  <c r="I3581" i="16"/>
  <c r="L3581" i="16" s="1"/>
  <c r="O3581" i="16" s="1"/>
  <c r="K3580" i="16"/>
  <c r="N3580" i="16" s="1"/>
  <c r="J3580" i="16"/>
  <c r="H3580" i="16"/>
  <c r="G3580" i="16"/>
  <c r="F3580" i="16"/>
  <c r="E3580" i="16"/>
  <c r="I3579" i="16"/>
  <c r="I3578" i="16"/>
  <c r="L3578" i="16" s="1"/>
  <c r="O3578" i="16" s="1"/>
  <c r="P3578" i="16" s="1"/>
  <c r="I3577" i="16"/>
  <c r="L3577" i="16" s="1"/>
  <c r="O3577" i="16" s="1"/>
  <c r="P3577" i="16" s="1"/>
  <c r="I3576" i="16"/>
  <c r="L3576" i="16" s="1"/>
  <c r="O3576" i="16" s="1"/>
  <c r="P3576" i="16" s="1"/>
  <c r="I3575" i="16"/>
  <c r="L3575" i="16" s="1"/>
  <c r="O3575" i="16" s="1"/>
  <c r="P3575" i="16" s="1"/>
  <c r="I3574" i="16"/>
  <c r="L3574" i="16" s="1"/>
  <c r="O3574" i="16" s="1"/>
  <c r="P3574" i="16" s="1"/>
  <c r="K3573" i="16"/>
  <c r="N3573" i="16" s="1"/>
  <c r="J3573" i="16"/>
  <c r="H3573" i="16"/>
  <c r="G3573" i="16"/>
  <c r="F3573" i="16"/>
  <c r="E3573" i="16"/>
  <c r="I3572" i="16"/>
  <c r="L3572" i="16" s="1"/>
  <c r="O3572" i="16" s="1"/>
  <c r="K3571" i="16"/>
  <c r="N3571" i="16" s="1"/>
  <c r="J3571" i="16"/>
  <c r="H3571" i="16"/>
  <c r="G3571" i="16"/>
  <c r="F3571" i="16"/>
  <c r="E3571" i="16"/>
  <c r="I3570" i="16"/>
  <c r="I3569" i="16"/>
  <c r="L3569" i="16" s="1"/>
  <c r="O3569" i="16" s="1"/>
  <c r="P3569" i="16" s="1"/>
  <c r="I3568" i="16"/>
  <c r="L3568" i="16" s="1"/>
  <c r="O3568" i="16" s="1"/>
  <c r="P3568" i="16" s="1"/>
  <c r="K3567" i="16"/>
  <c r="N3567" i="16" s="1"/>
  <c r="J3567" i="16"/>
  <c r="H3567" i="16"/>
  <c r="G3567" i="16"/>
  <c r="F3567" i="16"/>
  <c r="E3567" i="16"/>
  <c r="I3566" i="16"/>
  <c r="L3566" i="16" s="1"/>
  <c r="O3566" i="16" s="1"/>
  <c r="I3565" i="16"/>
  <c r="L3565" i="16" s="1"/>
  <c r="O3565" i="16" s="1"/>
  <c r="P3565" i="16" s="1"/>
  <c r="I3564" i="16"/>
  <c r="L3564" i="16" s="1"/>
  <c r="O3564" i="16" s="1"/>
  <c r="P3564" i="16" s="1"/>
  <c r="K3563" i="16"/>
  <c r="N3563" i="16" s="1"/>
  <c r="J3563" i="16"/>
  <c r="H3563" i="16"/>
  <c r="G3563" i="16"/>
  <c r="F3563" i="16"/>
  <c r="E3563" i="16"/>
  <c r="I3562" i="16"/>
  <c r="L3562" i="16" s="1"/>
  <c r="O3562" i="16" s="1"/>
  <c r="P3562" i="16" s="1"/>
  <c r="I3561" i="16"/>
  <c r="L3561" i="16" s="1"/>
  <c r="O3561" i="16" s="1"/>
  <c r="P3561" i="16" s="1"/>
  <c r="I3560" i="16"/>
  <c r="K3559" i="16"/>
  <c r="N3559" i="16" s="1"/>
  <c r="J3559" i="16"/>
  <c r="H3559" i="16"/>
  <c r="G3559" i="16"/>
  <c r="F3559" i="16"/>
  <c r="E3559" i="16"/>
  <c r="I3558" i="16"/>
  <c r="L3558" i="16" s="1"/>
  <c r="O3558" i="16" s="1"/>
  <c r="P3558" i="16" s="1"/>
  <c r="I3557" i="16"/>
  <c r="I3556" i="16"/>
  <c r="L3556" i="16" s="1"/>
  <c r="O3556" i="16" s="1"/>
  <c r="K3555" i="16"/>
  <c r="N3555" i="16" s="1"/>
  <c r="J3555" i="16"/>
  <c r="H3555" i="16"/>
  <c r="G3555" i="16"/>
  <c r="F3555" i="16"/>
  <c r="E3555" i="16"/>
  <c r="I3554" i="16"/>
  <c r="L3554" i="16" s="1"/>
  <c r="O3554" i="16" s="1"/>
  <c r="P3554" i="16" s="1"/>
  <c r="I3553" i="16"/>
  <c r="K3552" i="16"/>
  <c r="N3552" i="16" s="1"/>
  <c r="J3552" i="16"/>
  <c r="H3552" i="16"/>
  <c r="G3552" i="16"/>
  <c r="F3552" i="16"/>
  <c r="E3552" i="16"/>
  <c r="I3551" i="16"/>
  <c r="L3551" i="16" s="1"/>
  <c r="O3551" i="16" s="1"/>
  <c r="P3551" i="16" s="1"/>
  <c r="P3550" i="16" s="1"/>
  <c r="K3550" i="16"/>
  <c r="N3550" i="16" s="1"/>
  <c r="J3550" i="16"/>
  <c r="H3550" i="16"/>
  <c r="G3550" i="16"/>
  <c r="F3550" i="16"/>
  <c r="E3550" i="16"/>
  <c r="I3549" i="16"/>
  <c r="L3549" i="16" s="1"/>
  <c r="O3549" i="16" s="1"/>
  <c r="P3549" i="16" s="1"/>
  <c r="I3548" i="16"/>
  <c r="L3548" i="16" s="1"/>
  <c r="O3548" i="16" s="1"/>
  <c r="P3548" i="16" s="1"/>
  <c r="O3547" i="16"/>
  <c r="I3547" i="16"/>
  <c r="O3546" i="16"/>
  <c r="I3546" i="16"/>
  <c r="O3545" i="16"/>
  <c r="I3545" i="16"/>
  <c r="I3538" i="16"/>
  <c r="K3537" i="16"/>
  <c r="N3537" i="16" s="1"/>
  <c r="J3537" i="16"/>
  <c r="H3537" i="16"/>
  <c r="G3537" i="16"/>
  <c r="F3537" i="16"/>
  <c r="E3537" i="16"/>
  <c r="I3536" i="16"/>
  <c r="L3536" i="16" s="1"/>
  <c r="O3536" i="16" s="1"/>
  <c r="O3535" i="16" s="1"/>
  <c r="H3535" i="16"/>
  <c r="G3535" i="16"/>
  <c r="F3535" i="16"/>
  <c r="E3535" i="16"/>
  <c r="I3534" i="16"/>
  <c r="I3533" i="16" s="1"/>
  <c r="K3533" i="16"/>
  <c r="N3533" i="16" s="1"/>
  <c r="J3533" i="16"/>
  <c r="H3533" i="16"/>
  <c r="G3533" i="16"/>
  <c r="F3533" i="16"/>
  <c r="E3533" i="16"/>
  <c r="I3532" i="16"/>
  <c r="L3532" i="16" s="1"/>
  <c r="O3532" i="16" s="1"/>
  <c r="P3532" i="16" s="1"/>
  <c r="I3531" i="16"/>
  <c r="I3530" i="16"/>
  <c r="L3530" i="16" s="1"/>
  <c r="O3530" i="16" s="1"/>
  <c r="K3529" i="16"/>
  <c r="N3529" i="16" s="1"/>
  <c r="J3529" i="16"/>
  <c r="H3529" i="16"/>
  <c r="G3529" i="16"/>
  <c r="F3529" i="16"/>
  <c r="E3529" i="16"/>
  <c r="I3528" i="16"/>
  <c r="L3528" i="16" s="1"/>
  <c r="O3528" i="16" s="1"/>
  <c r="P3528" i="16" s="1"/>
  <c r="E3527" i="16"/>
  <c r="I3527" i="16" s="1"/>
  <c r="L3527" i="16" s="1"/>
  <c r="O3527" i="16" s="1"/>
  <c r="P3527" i="16" s="1"/>
  <c r="I3526" i="16"/>
  <c r="L3526" i="16" s="1"/>
  <c r="O3526" i="16" s="1"/>
  <c r="P3526" i="16" s="1"/>
  <c r="K3525" i="16"/>
  <c r="N3525" i="16" s="1"/>
  <c r="J3525" i="16"/>
  <c r="H3525" i="16"/>
  <c r="G3525" i="16"/>
  <c r="F3525" i="16"/>
  <c r="I3524" i="16"/>
  <c r="L3524" i="16" s="1"/>
  <c r="O3524" i="16" s="1"/>
  <c r="K3523" i="16"/>
  <c r="N3523" i="16" s="1"/>
  <c r="J3523" i="16"/>
  <c r="H3523" i="16"/>
  <c r="G3523" i="16"/>
  <c r="F3523" i="16"/>
  <c r="E3523" i="16"/>
  <c r="E3522" i="16"/>
  <c r="I3522" i="16" s="1"/>
  <c r="L3522" i="16" s="1"/>
  <c r="O3522" i="16" s="1"/>
  <c r="P3522" i="16" s="1"/>
  <c r="I3521" i="16"/>
  <c r="L3521" i="16" s="1"/>
  <c r="O3521" i="16" s="1"/>
  <c r="P3521" i="16" s="1"/>
  <c r="I3520" i="16"/>
  <c r="L3520" i="16" s="1"/>
  <c r="O3520" i="16" s="1"/>
  <c r="K3519" i="16"/>
  <c r="N3519" i="16" s="1"/>
  <c r="J3519" i="16"/>
  <c r="H3519" i="16"/>
  <c r="G3519" i="16"/>
  <c r="F3519" i="16"/>
  <c r="E3519" i="16"/>
  <c r="I3518" i="16"/>
  <c r="I3517" i="16" s="1"/>
  <c r="K3517" i="16"/>
  <c r="J3517" i="16"/>
  <c r="H3517" i="16"/>
  <c r="G3517" i="16"/>
  <c r="F3517" i="16"/>
  <c r="E3517" i="16"/>
  <c r="L3516" i="16"/>
  <c r="I3515" i="16"/>
  <c r="L3515" i="16" s="1"/>
  <c r="O3515" i="16" s="1"/>
  <c r="P3515" i="16" s="1"/>
  <c r="I3514" i="16"/>
  <c r="L3514" i="16" s="1"/>
  <c r="O3514" i="16" s="1"/>
  <c r="P3514" i="16" s="1"/>
  <c r="I3512" i="16"/>
  <c r="L3512" i="16" s="1"/>
  <c r="O3512" i="16" s="1"/>
  <c r="P3512" i="16" s="1"/>
  <c r="I3511" i="16"/>
  <c r="L3511" i="16" s="1"/>
  <c r="O3511" i="16" s="1"/>
  <c r="P3511" i="16" s="1"/>
  <c r="I3510" i="16"/>
  <c r="L3510" i="16" s="1"/>
  <c r="O3510" i="16" s="1"/>
  <c r="P3510" i="16" s="1"/>
  <c r="E3509" i="16"/>
  <c r="I3509" i="16" s="1"/>
  <c r="K3508" i="16"/>
  <c r="N3508" i="16" s="1"/>
  <c r="J3508" i="16"/>
  <c r="H3508" i="16"/>
  <c r="G3508" i="16"/>
  <c r="F3508" i="16"/>
  <c r="I3507" i="16"/>
  <c r="L3507" i="16" s="1"/>
  <c r="O3507" i="16" s="1"/>
  <c r="P3507" i="16" s="1"/>
  <c r="I3506" i="16"/>
  <c r="L3506" i="16" s="1"/>
  <c r="O3506" i="16" s="1"/>
  <c r="P3506" i="16" s="1"/>
  <c r="I3505" i="16"/>
  <c r="L3505" i="16" s="1"/>
  <c r="O3505" i="16" s="1"/>
  <c r="K3504" i="16"/>
  <c r="N3504" i="16" s="1"/>
  <c r="J3504" i="16"/>
  <c r="H3504" i="16"/>
  <c r="G3504" i="16"/>
  <c r="F3504" i="16"/>
  <c r="E3504" i="16"/>
  <c r="I3503" i="16"/>
  <c r="I3502" i="16" s="1"/>
  <c r="K3502" i="16"/>
  <c r="N3502" i="16" s="1"/>
  <c r="J3502" i="16"/>
  <c r="H3502" i="16"/>
  <c r="G3502" i="16"/>
  <c r="F3502" i="16"/>
  <c r="E3502" i="16"/>
  <c r="I3501" i="16"/>
  <c r="L3501" i="16" s="1"/>
  <c r="O3501" i="16" s="1"/>
  <c r="P3501" i="16" s="1"/>
  <c r="I3500" i="16"/>
  <c r="L3500" i="16" s="1"/>
  <c r="O3500" i="16" s="1"/>
  <c r="P3500" i="16" s="1"/>
  <c r="I3499" i="16"/>
  <c r="K3498" i="16"/>
  <c r="N3498" i="16" s="1"/>
  <c r="J3498" i="16"/>
  <c r="H3498" i="16"/>
  <c r="G3498" i="16"/>
  <c r="F3498" i="16"/>
  <c r="E3498" i="16"/>
  <c r="I3497" i="16"/>
  <c r="L3497" i="16" s="1"/>
  <c r="O3497" i="16" s="1"/>
  <c r="P3497" i="16" s="1"/>
  <c r="I3496" i="16"/>
  <c r="L3496" i="16" s="1"/>
  <c r="O3496" i="16" s="1"/>
  <c r="K3495" i="16"/>
  <c r="N3495" i="16" s="1"/>
  <c r="J3495" i="16"/>
  <c r="H3495" i="16"/>
  <c r="G3495" i="16"/>
  <c r="F3495" i="16"/>
  <c r="E3495" i="16"/>
  <c r="I3494" i="16"/>
  <c r="L3494" i="16" s="1"/>
  <c r="O3494" i="16" s="1"/>
  <c r="P3494" i="16" s="1"/>
  <c r="E3493" i="16"/>
  <c r="I3493" i="16" s="1"/>
  <c r="L3493" i="16" s="1"/>
  <c r="O3493" i="16" s="1"/>
  <c r="P3493" i="16" s="1"/>
  <c r="E3492" i="16"/>
  <c r="I3492" i="16" s="1"/>
  <c r="L3492" i="16" s="1"/>
  <c r="O3492" i="16" s="1"/>
  <c r="K3491" i="16"/>
  <c r="N3491" i="16" s="1"/>
  <c r="J3491" i="16"/>
  <c r="H3491" i="16"/>
  <c r="G3491" i="16"/>
  <c r="F3491" i="16"/>
  <c r="E3490" i="16"/>
  <c r="I3489" i="16"/>
  <c r="L3489" i="16" s="1"/>
  <c r="O3489" i="16" s="1"/>
  <c r="K3488" i="16"/>
  <c r="N3488" i="16" s="1"/>
  <c r="J3488" i="16"/>
  <c r="H3488" i="16"/>
  <c r="G3488" i="16"/>
  <c r="F3488" i="16"/>
  <c r="I3487" i="16"/>
  <c r="L3487" i="16" s="1"/>
  <c r="O3487" i="16" s="1"/>
  <c r="P3487" i="16" s="1"/>
  <c r="E3486" i="16"/>
  <c r="I3486" i="16" s="1"/>
  <c r="L3486" i="16" s="1"/>
  <c r="O3486" i="16" s="1"/>
  <c r="P3486" i="16" s="1"/>
  <c r="E3485" i="16"/>
  <c r="I3485" i="16" s="1"/>
  <c r="I3484" i="16"/>
  <c r="L3484" i="16" s="1"/>
  <c r="O3484" i="16" s="1"/>
  <c r="K3483" i="16"/>
  <c r="N3483" i="16" s="1"/>
  <c r="J3483" i="16"/>
  <c r="H3483" i="16"/>
  <c r="G3483" i="16"/>
  <c r="F3483" i="16"/>
  <c r="I3482" i="16"/>
  <c r="L3482" i="16" s="1"/>
  <c r="O3482" i="16" s="1"/>
  <c r="P3482" i="16" s="1"/>
  <c r="I3481" i="16"/>
  <c r="L3481" i="16" s="1"/>
  <c r="O3481" i="16" s="1"/>
  <c r="P3481" i="16" s="1"/>
  <c r="I3480" i="16"/>
  <c r="L3480" i="16" s="1"/>
  <c r="O3480" i="16" s="1"/>
  <c r="K3479" i="16"/>
  <c r="N3479" i="16" s="1"/>
  <c r="J3479" i="16"/>
  <c r="H3479" i="16"/>
  <c r="G3479" i="16"/>
  <c r="F3479" i="16"/>
  <c r="E3479" i="16"/>
  <c r="I3478" i="16"/>
  <c r="L3478" i="16" s="1"/>
  <c r="O3478" i="16" s="1"/>
  <c r="P3478" i="16" s="1"/>
  <c r="E3477" i="16"/>
  <c r="I3477" i="16" s="1"/>
  <c r="L3477" i="16" s="1"/>
  <c r="O3477" i="16" s="1"/>
  <c r="P3477" i="16" s="1"/>
  <c r="E3476" i="16"/>
  <c r="I3476" i="16" s="1"/>
  <c r="L3476" i="16" s="1"/>
  <c r="O3476" i="16" s="1"/>
  <c r="P3476" i="16" s="1"/>
  <c r="E3475" i="16"/>
  <c r="K3474" i="16"/>
  <c r="N3474" i="16" s="1"/>
  <c r="J3474" i="16"/>
  <c r="H3474" i="16"/>
  <c r="G3474" i="16"/>
  <c r="F3474" i="16"/>
  <c r="I3473" i="16"/>
  <c r="I3472" i="16"/>
  <c r="L3472" i="16" s="1"/>
  <c r="O3472" i="16" s="1"/>
  <c r="K3471" i="16"/>
  <c r="N3471" i="16" s="1"/>
  <c r="J3471" i="16"/>
  <c r="H3471" i="16"/>
  <c r="G3471" i="16"/>
  <c r="F3471" i="16"/>
  <c r="E3471" i="16"/>
  <c r="I3470" i="16"/>
  <c r="L3470" i="16" s="1"/>
  <c r="O3470" i="16" s="1"/>
  <c r="P3470" i="16" s="1"/>
  <c r="I3469" i="16"/>
  <c r="L3469" i="16" s="1"/>
  <c r="O3469" i="16" s="1"/>
  <c r="P3469" i="16" s="1"/>
  <c r="I3466" i="16"/>
  <c r="L3466" i="16" s="1"/>
  <c r="O3466" i="16" s="1"/>
  <c r="P3466" i="16" s="1"/>
  <c r="I3465" i="16"/>
  <c r="K3464" i="16"/>
  <c r="N3464" i="16" s="1"/>
  <c r="J3464" i="16"/>
  <c r="H3464" i="16"/>
  <c r="G3464" i="16"/>
  <c r="F3464" i="16"/>
  <c r="E3464" i="16"/>
  <c r="I3463" i="16"/>
  <c r="L3463" i="16" s="1"/>
  <c r="O3463" i="16" s="1"/>
  <c r="K3462" i="16"/>
  <c r="N3462" i="16" s="1"/>
  <c r="J3462" i="16"/>
  <c r="H3462" i="16"/>
  <c r="G3462" i="16"/>
  <c r="F3462" i="16"/>
  <c r="E3462" i="16"/>
  <c r="I3461" i="16"/>
  <c r="I3460" i="16" s="1"/>
  <c r="K3460" i="16"/>
  <c r="N3460" i="16" s="1"/>
  <c r="J3460" i="16"/>
  <c r="H3460" i="16"/>
  <c r="G3460" i="16"/>
  <c r="F3460" i="16"/>
  <c r="E3460" i="16"/>
  <c r="I3459" i="16"/>
  <c r="I3458" i="16"/>
  <c r="L3458" i="16" s="1"/>
  <c r="O3458" i="16" s="1"/>
  <c r="K3457" i="16"/>
  <c r="N3457" i="16" s="1"/>
  <c r="J3457" i="16"/>
  <c r="H3457" i="16"/>
  <c r="G3457" i="16"/>
  <c r="F3457" i="16"/>
  <c r="E3457" i="16"/>
  <c r="I3456" i="16"/>
  <c r="L3456" i="16" s="1"/>
  <c r="O3456" i="16" s="1"/>
  <c r="P3456" i="16" s="1"/>
  <c r="I3455" i="16"/>
  <c r="K3454" i="16"/>
  <c r="N3454" i="16" s="1"/>
  <c r="J3454" i="16"/>
  <c r="H3454" i="16"/>
  <c r="G3454" i="16"/>
  <c r="F3454" i="16"/>
  <c r="E3454" i="16"/>
  <c r="I3453" i="16"/>
  <c r="L3453" i="16" s="1"/>
  <c r="O3453" i="16" s="1"/>
  <c r="P3453" i="16" s="1"/>
  <c r="I3452" i="16"/>
  <c r="L3452" i="16" s="1"/>
  <c r="O3452" i="16" s="1"/>
  <c r="P3452" i="16" s="1"/>
  <c r="I3451" i="16"/>
  <c r="I3450" i="16" s="1"/>
  <c r="K3450" i="16"/>
  <c r="N3450" i="16" s="1"/>
  <c r="J3450" i="16"/>
  <c r="H3450" i="16"/>
  <c r="G3450" i="16"/>
  <c r="F3450" i="16"/>
  <c r="E3450" i="16"/>
  <c r="I3449" i="16"/>
  <c r="I3448" i="16" s="1"/>
  <c r="K3448" i="16"/>
  <c r="N3448" i="16" s="1"/>
  <c r="J3448" i="16"/>
  <c r="H3448" i="16"/>
  <c r="G3448" i="16"/>
  <c r="F3448" i="16"/>
  <c r="E3448" i="16"/>
  <c r="I3447" i="16"/>
  <c r="L3447" i="16" s="1"/>
  <c r="O3447" i="16" s="1"/>
  <c r="P3447" i="16" s="1"/>
  <c r="E3446" i="16"/>
  <c r="I3446" i="16" s="1"/>
  <c r="L3446" i="16" s="1"/>
  <c r="O3446" i="16" s="1"/>
  <c r="P3446" i="16" s="1"/>
  <c r="I3445" i="16"/>
  <c r="L3445" i="16" s="1"/>
  <c r="O3445" i="16" s="1"/>
  <c r="K3444" i="16"/>
  <c r="N3444" i="16" s="1"/>
  <c r="J3444" i="16"/>
  <c r="H3444" i="16"/>
  <c r="G3444" i="16"/>
  <c r="F3444" i="16"/>
  <c r="I3443" i="16"/>
  <c r="I3442" i="16" s="1"/>
  <c r="K3442" i="16"/>
  <c r="N3442" i="16" s="1"/>
  <c r="J3442" i="16"/>
  <c r="H3442" i="16"/>
  <c r="G3442" i="16"/>
  <c r="F3442" i="16"/>
  <c r="E3442" i="16"/>
  <c r="L3441" i="16"/>
  <c r="I3440" i="16"/>
  <c r="L3440" i="16" s="1"/>
  <c r="O3440" i="16" s="1"/>
  <c r="P3440" i="16" s="1"/>
  <c r="I3437" i="16"/>
  <c r="L3437" i="16" s="1"/>
  <c r="O3437" i="16" s="1"/>
  <c r="P3437" i="16" s="1"/>
  <c r="I3436" i="16"/>
  <c r="L3436" i="16" s="1"/>
  <c r="O3436" i="16" s="1"/>
  <c r="P3436" i="16" s="1"/>
  <c r="I3435" i="16"/>
  <c r="L3435" i="16" s="1"/>
  <c r="O3435" i="16" s="1"/>
  <c r="P3435" i="16" s="1"/>
  <c r="I3434" i="16"/>
  <c r="L3434" i="16" s="1"/>
  <c r="O3434" i="16" s="1"/>
  <c r="K3433" i="16"/>
  <c r="N3433" i="16" s="1"/>
  <c r="J3433" i="16"/>
  <c r="H3433" i="16"/>
  <c r="G3433" i="16"/>
  <c r="F3433" i="16"/>
  <c r="E3433" i="16"/>
  <c r="I3432" i="16"/>
  <c r="L3432" i="16" s="1"/>
  <c r="O3432" i="16" s="1"/>
  <c r="P3432" i="16" s="1"/>
  <c r="E3431" i="16"/>
  <c r="I3431" i="16" s="1"/>
  <c r="L3431" i="16" s="1"/>
  <c r="G3430" i="16"/>
  <c r="I3430" i="16" s="1"/>
  <c r="L3430" i="16" s="1"/>
  <c r="O3430" i="16" s="1"/>
  <c r="I3429" i="16"/>
  <c r="L3429" i="16" s="1"/>
  <c r="O3429" i="16" s="1"/>
  <c r="P3429" i="16" s="1"/>
  <c r="I3428" i="16"/>
  <c r="L3428" i="16" s="1"/>
  <c r="O3428" i="16" s="1"/>
  <c r="K3427" i="16"/>
  <c r="N3427" i="16" s="1"/>
  <c r="J3427" i="16"/>
  <c r="H3427" i="16"/>
  <c r="F3427" i="16"/>
  <c r="E3427" i="16"/>
  <c r="I3426" i="16"/>
  <c r="L3426" i="16" s="1"/>
  <c r="O3426" i="16" s="1"/>
  <c r="P3426" i="16" s="1"/>
  <c r="I3425" i="16"/>
  <c r="L3425" i="16" s="1"/>
  <c r="O3425" i="16" s="1"/>
  <c r="K3424" i="16"/>
  <c r="N3424" i="16" s="1"/>
  <c r="J3424" i="16"/>
  <c r="H3424" i="16"/>
  <c r="G3424" i="16"/>
  <c r="F3424" i="16"/>
  <c r="E3424" i="16"/>
  <c r="H3423" i="16"/>
  <c r="H3420" i="16" s="1"/>
  <c r="E3423" i="16"/>
  <c r="E3420" i="16" s="1"/>
  <c r="I3422" i="16"/>
  <c r="L3422" i="16" s="1"/>
  <c r="O3422" i="16" s="1"/>
  <c r="P3422" i="16" s="1"/>
  <c r="I3421" i="16"/>
  <c r="L3421" i="16" s="1"/>
  <c r="O3421" i="16" s="1"/>
  <c r="K3420" i="16"/>
  <c r="N3420" i="16" s="1"/>
  <c r="J3420" i="16"/>
  <c r="G3420" i="16"/>
  <c r="F3420" i="16"/>
  <c r="E3419" i="16"/>
  <c r="E3418" i="16" s="1"/>
  <c r="K3418" i="16"/>
  <c r="N3418" i="16" s="1"/>
  <c r="J3418" i="16"/>
  <c r="H3418" i="16"/>
  <c r="G3418" i="16"/>
  <c r="F3418" i="16"/>
  <c r="I3417" i="16"/>
  <c r="L3417" i="16" s="1"/>
  <c r="O3417" i="16" s="1"/>
  <c r="P3417" i="16" s="1"/>
  <c r="I3416" i="16"/>
  <c r="L3416" i="16" s="1"/>
  <c r="O3416" i="16" s="1"/>
  <c r="P3416" i="16" s="1"/>
  <c r="I3415" i="16"/>
  <c r="K3414" i="16"/>
  <c r="N3414" i="16" s="1"/>
  <c r="J3414" i="16"/>
  <c r="H3414" i="16"/>
  <c r="G3414" i="16"/>
  <c r="F3414" i="16"/>
  <c r="E3414" i="16"/>
  <c r="I3413" i="16"/>
  <c r="L3413" i="16" s="1"/>
  <c r="O3413" i="16" s="1"/>
  <c r="K3412" i="16"/>
  <c r="N3412" i="16" s="1"/>
  <c r="J3412" i="16"/>
  <c r="H3412" i="16"/>
  <c r="G3412" i="16"/>
  <c r="F3412" i="16"/>
  <c r="E3412" i="16"/>
  <c r="I3411" i="16"/>
  <c r="L3411" i="16" s="1"/>
  <c r="O3411" i="16" s="1"/>
  <c r="P3411" i="16" s="1"/>
  <c r="I3410" i="16"/>
  <c r="I3409" i="16"/>
  <c r="L3409" i="16" s="1"/>
  <c r="O3409" i="16" s="1"/>
  <c r="K3408" i="16"/>
  <c r="N3408" i="16" s="1"/>
  <c r="J3408" i="16"/>
  <c r="H3408" i="16"/>
  <c r="G3408" i="16"/>
  <c r="F3408" i="16"/>
  <c r="E3408" i="16"/>
  <c r="I3407" i="16"/>
  <c r="L3407" i="16" s="1"/>
  <c r="O3407" i="16" s="1"/>
  <c r="P3407" i="16" s="1"/>
  <c r="I3406" i="16"/>
  <c r="L3406" i="16" s="1"/>
  <c r="O3406" i="16" s="1"/>
  <c r="P3406" i="16" s="1"/>
  <c r="E3405" i="16"/>
  <c r="E3404" i="16" s="1"/>
  <c r="K3404" i="16"/>
  <c r="N3404" i="16" s="1"/>
  <c r="J3404" i="16"/>
  <c r="H3404" i="16"/>
  <c r="G3404" i="16"/>
  <c r="F3404" i="16"/>
  <c r="E3403" i="16"/>
  <c r="I3403" i="16" s="1"/>
  <c r="L3403" i="16" s="1"/>
  <c r="O3403" i="16" s="1"/>
  <c r="P3403" i="16" s="1"/>
  <c r="I3402" i="16"/>
  <c r="L3402" i="16" s="1"/>
  <c r="O3402" i="16" s="1"/>
  <c r="P3402" i="16" s="1"/>
  <c r="E3401" i="16"/>
  <c r="I3401" i="16" s="1"/>
  <c r="L3401" i="16" s="1"/>
  <c r="O3401" i="16" s="1"/>
  <c r="P3401" i="16" s="1"/>
  <c r="E3400" i="16"/>
  <c r="I3400" i="16" s="1"/>
  <c r="L3400" i="16" s="1"/>
  <c r="O3400" i="16" s="1"/>
  <c r="P3400" i="16" s="1"/>
  <c r="E3399" i="16"/>
  <c r="I3399" i="16" s="1"/>
  <c r="L3399" i="16" s="1"/>
  <c r="O3399" i="16" s="1"/>
  <c r="K3398" i="16"/>
  <c r="N3398" i="16" s="1"/>
  <c r="J3398" i="16"/>
  <c r="H3398" i="16"/>
  <c r="G3398" i="16"/>
  <c r="F3398" i="16"/>
  <c r="I3397" i="16"/>
  <c r="I3396" i="16" s="1"/>
  <c r="K3396" i="16"/>
  <c r="N3396" i="16" s="1"/>
  <c r="J3396" i="16"/>
  <c r="H3396" i="16"/>
  <c r="G3396" i="16"/>
  <c r="F3396" i="16"/>
  <c r="E3396" i="16"/>
  <c r="I3395" i="16"/>
  <c r="I3394" i="16" s="1"/>
  <c r="L3394" i="16" s="1"/>
  <c r="H3394" i="16"/>
  <c r="G3394" i="16"/>
  <c r="F3394" i="16"/>
  <c r="E3394" i="16"/>
  <c r="I3393" i="16"/>
  <c r="L3393" i="16" s="1"/>
  <c r="O3393" i="16" s="1"/>
  <c r="P3393" i="16" s="1"/>
  <c r="I3392" i="16"/>
  <c r="L3392" i="16" s="1"/>
  <c r="O3392" i="16" s="1"/>
  <c r="P3392" i="16" s="1"/>
  <c r="I3391" i="16"/>
  <c r="L3391" i="16" s="1"/>
  <c r="O3391" i="16" s="1"/>
  <c r="P3391" i="16" s="1"/>
  <c r="I3390" i="16"/>
  <c r="L3390" i="16" s="1"/>
  <c r="O3390" i="16" s="1"/>
  <c r="P3390" i="16" s="1"/>
  <c r="I3389" i="16"/>
  <c r="L3389" i="16" s="1"/>
  <c r="O3389" i="16" s="1"/>
  <c r="P3389" i="16" s="1"/>
  <c r="I3388" i="16"/>
  <c r="L3388" i="16" s="1"/>
  <c r="O3388" i="16" s="1"/>
  <c r="P3388" i="16" s="1"/>
  <c r="I3384" i="16"/>
  <c r="I3383" i="16" s="1"/>
  <c r="K3383" i="16"/>
  <c r="N3383" i="16" s="1"/>
  <c r="J3383" i="16"/>
  <c r="H3383" i="16"/>
  <c r="G3383" i="16"/>
  <c r="F3383" i="16"/>
  <c r="E3383" i="16"/>
  <c r="I3382" i="16"/>
  <c r="I3381" i="16"/>
  <c r="L3381" i="16" s="1"/>
  <c r="O3381" i="16" s="1"/>
  <c r="P3381" i="16" s="1"/>
  <c r="K3380" i="16"/>
  <c r="N3380" i="16" s="1"/>
  <c r="J3380" i="16"/>
  <c r="H3380" i="16"/>
  <c r="G3380" i="16"/>
  <c r="F3380" i="16"/>
  <c r="E3380" i="16"/>
  <c r="I3379" i="16"/>
  <c r="I3378" i="16" s="1"/>
  <c r="K3378" i="16"/>
  <c r="N3378" i="16" s="1"/>
  <c r="J3378" i="16"/>
  <c r="H3378" i="16"/>
  <c r="G3378" i="16"/>
  <c r="F3378" i="16"/>
  <c r="E3378" i="16"/>
  <c r="I3377" i="16"/>
  <c r="L3377" i="16" s="1"/>
  <c r="O3377" i="16" s="1"/>
  <c r="P3377" i="16" s="1"/>
  <c r="I3376" i="16"/>
  <c r="L3376" i="16" s="1"/>
  <c r="O3376" i="16" s="1"/>
  <c r="K3375" i="16"/>
  <c r="N3375" i="16" s="1"/>
  <c r="J3375" i="16"/>
  <c r="H3375" i="16"/>
  <c r="G3375" i="16"/>
  <c r="F3375" i="16"/>
  <c r="E3375" i="16"/>
  <c r="I3374" i="16"/>
  <c r="L3374" i="16" s="1"/>
  <c r="O3374" i="16" s="1"/>
  <c r="P3374" i="16" s="1"/>
  <c r="I3373" i="16"/>
  <c r="L3373" i="16" s="1"/>
  <c r="O3373" i="16" s="1"/>
  <c r="P3373" i="16" s="1"/>
  <c r="I3372" i="16"/>
  <c r="L3372" i="16" s="1"/>
  <c r="O3372" i="16" s="1"/>
  <c r="P3372" i="16" s="1"/>
  <c r="I3371" i="16"/>
  <c r="K3370" i="16"/>
  <c r="N3370" i="16" s="1"/>
  <c r="J3370" i="16"/>
  <c r="H3370" i="16"/>
  <c r="G3370" i="16"/>
  <c r="F3370" i="16"/>
  <c r="E3370" i="16"/>
  <c r="I3369" i="16"/>
  <c r="L3369" i="16" s="1"/>
  <c r="O3369" i="16" s="1"/>
  <c r="P3369" i="16" s="1"/>
  <c r="I3368" i="16"/>
  <c r="L3368" i="16" s="1"/>
  <c r="O3368" i="16" s="1"/>
  <c r="P3368" i="16" s="1"/>
  <c r="I3367" i="16"/>
  <c r="H3366" i="16"/>
  <c r="G3366" i="16"/>
  <c r="F3366" i="16"/>
  <c r="E3366" i="16"/>
  <c r="I3365" i="16"/>
  <c r="L3365" i="16" s="1"/>
  <c r="O3365" i="16" s="1"/>
  <c r="P3365" i="16" s="1"/>
  <c r="I3364" i="16"/>
  <c r="L3364" i="16" s="1"/>
  <c r="O3364" i="16" s="1"/>
  <c r="P3364" i="16" s="1"/>
  <c r="E3363" i="16"/>
  <c r="I3363" i="16" s="1"/>
  <c r="I3362" i="16"/>
  <c r="L3362" i="16" s="1"/>
  <c r="O3362" i="16" s="1"/>
  <c r="K3361" i="16"/>
  <c r="N3361" i="16" s="1"/>
  <c r="J3361" i="16"/>
  <c r="H3361" i="16"/>
  <c r="G3361" i="16"/>
  <c r="F3361" i="16"/>
  <c r="I3360" i="16"/>
  <c r="I3359" i="16" s="1"/>
  <c r="K3359" i="16"/>
  <c r="N3359" i="16" s="1"/>
  <c r="J3359" i="16"/>
  <c r="H3359" i="16"/>
  <c r="G3359" i="16"/>
  <c r="F3359" i="16"/>
  <c r="E3359" i="16"/>
  <c r="I3358" i="16"/>
  <c r="L3358" i="16" s="1"/>
  <c r="O3358" i="16" s="1"/>
  <c r="P3358" i="16" s="1"/>
  <c r="I3357" i="16"/>
  <c r="L3357" i="16" s="1"/>
  <c r="O3357" i="16" s="1"/>
  <c r="P3357" i="16" s="1"/>
  <c r="E3354" i="16"/>
  <c r="I3354" i="16" s="1"/>
  <c r="H3353" i="16"/>
  <c r="G3353" i="16"/>
  <c r="F3353" i="16"/>
  <c r="I3352" i="16"/>
  <c r="I3351" i="16" s="1"/>
  <c r="K3351" i="16"/>
  <c r="N3351" i="16" s="1"/>
  <c r="J3351" i="16"/>
  <c r="H3351" i="16"/>
  <c r="G3351" i="16"/>
  <c r="F3351" i="16"/>
  <c r="E3351" i="16"/>
  <c r="I3350" i="16"/>
  <c r="I3349" i="16" s="1"/>
  <c r="K3349" i="16"/>
  <c r="N3349" i="16" s="1"/>
  <c r="J3349" i="16"/>
  <c r="H3349" i="16"/>
  <c r="G3349" i="16"/>
  <c r="F3349" i="16"/>
  <c r="E3349" i="16"/>
  <c r="I3348" i="16"/>
  <c r="L3348" i="16" s="1"/>
  <c r="O3348" i="16" s="1"/>
  <c r="P3348" i="16" s="1"/>
  <c r="I3347" i="16"/>
  <c r="K3346" i="16"/>
  <c r="N3346" i="16" s="1"/>
  <c r="J3346" i="16"/>
  <c r="H3346" i="16"/>
  <c r="G3346" i="16"/>
  <c r="F3346" i="16"/>
  <c r="E3346" i="16"/>
  <c r="E3345" i="16"/>
  <c r="I3345" i="16" s="1"/>
  <c r="I3344" i="16"/>
  <c r="L3344" i="16" s="1"/>
  <c r="O3344" i="16" s="1"/>
  <c r="K3343" i="16"/>
  <c r="N3343" i="16" s="1"/>
  <c r="J3343" i="16"/>
  <c r="H3343" i="16"/>
  <c r="G3343" i="16"/>
  <c r="F3343" i="16"/>
  <c r="I3342" i="16"/>
  <c r="L3342" i="16" s="1"/>
  <c r="O3342" i="16" s="1"/>
  <c r="P3342" i="16" s="1"/>
  <c r="I3341" i="16"/>
  <c r="L3341" i="16" s="1"/>
  <c r="O3341" i="16" s="1"/>
  <c r="P3341" i="16" s="1"/>
  <c r="I3340" i="16"/>
  <c r="L3340" i="16" s="1"/>
  <c r="O3340" i="16" s="1"/>
  <c r="P3340" i="16" s="1"/>
  <c r="I3339" i="16"/>
  <c r="K3338" i="16"/>
  <c r="N3338" i="16" s="1"/>
  <c r="J3338" i="16"/>
  <c r="H3338" i="16"/>
  <c r="G3338" i="16"/>
  <c r="F3338" i="16"/>
  <c r="E3338" i="16"/>
  <c r="I3337" i="16"/>
  <c r="L3337" i="16" s="1"/>
  <c r="O3337" i="16" s="1"/>
  <c r="P3337" i="16" s="1"/>
  <c r="I3336" i="16"/>
  <c r="L3336" i="16" s="1"/>
  <c r="O3336" i="16" s="1"/>
  <c r="K3335" i="16"/>
  <c r="N3335" i="16" s="1"/>
  <c r="J3335" i="16"/>
  <c r="H3335" i="16"/>
  <c r="G3335" i="16"/>
  <c r="F3335" i="16"/>
  <c r="E3335" i="16"/>
  <c r="I3334" i="16"/>
  <c r="L3334" i="16" s="1"/>
  <c r="O3334" i="16" s="1"/>
  <c r="P3334" i="16" s="1"/>
  <c r="I3333" i="16"/>
  <c r="L3333" i="16" s="1"/>
  <c r="O3333" i="16" s="1"/>
  <c r="P3333" i="16" s="1"/>
  <c r="I3332" i="16"/>
  <c r="L3332" i="16" s="1"/>
  <c r="O3332" i="16" s="1"/>
  <c r="P3332" i="16" s="1"/>
  <c r="I3331" i="16"/>
  <c r="K3330" i="16"/>
  <c r="N3330" i="16" s="1"/>
  <c r="J3330" i="16"/>
  <c r="H3330" i="16"/>
  <c r="G3330" i="16"/>
  <c r="F3330" i="16"/>
  <c r="E3330" i="16"/>
  <c r="I3329" i="16"/>
  <c r="L3329" i="16" s="1"/>
  <c r="O3329" i="16" s="1"/>
  <c r="K3328" i="16"/>
  <c r="N3328" i="16" s="1"/>
  <c r="J3328" i="16"/>
  <c r="H3328" i="16"/>
  <c r="G3328" i="16"/>
  <c r="F3328" i="16"/>
  <c r="E3328" i="16"/>
  <c r="I3327" i="16"/>
  <c r="L3327" i="16" s="1"/>
  <c r="O3327" i="16" s="1"/>
  <c r="P3327" i="16" s="1"/>
  <c r="I3326" i="16"/>
  <c r="L3326" i="16" s="1"/>
  <c r="O3326" i="16" s="1"/>
  <c r="P3326" i="16" s="1"/>
  <c r="K3325" i="16"/>
  <c r="N3325" i="16" s="1"/>
  <c r="J3325" i="16"/>
  <c r="G3325" i="16"/>
  <c r="E3325" i="16"/>
  <c r="H3324" i="16"/>
  <c r="H3323" i="16"/>
  <c r="F3323" i="16"/>
  <c r="F3325" i="16" s="1"/>
  <c r="I3322" i="16"/>
  <c r="L3322" i="16" s="1"/>
  <c r="O3322" i="16" s="1"/>
  <c r="I3321" i="16"/>
  <c r="L3321" i="16" s="1"/>
  <c r="O3321" i="16" s="1"/>
  <c r="P3321" i="16" s="1"/>
  <c r="I3319" i="16"/>
  <c r="L3319" i="16" s="1"/>
  <c r="O3319" i="16" s="1"/>
  <c r="I3318" i="16"/>
  <c r="L3318" i="16" s="1"/>
  <c r="O3318" i="16" s="1"/>
  <c r="I3317" i="16"/>
  <c r="L3317" i="16" s="1"/>
  <c r="O3317" i="16" s="1"/>
  <c r="I3316" i="16"/>
  <c r="L3316" i="16" s="1"/>
  <c r="O3316" i="16" s="1"/>
  <c r="E3315" i="16"/>
  <c r="E3314" i="16" s="1"/>
  <c r="K3314" i="16"/>
  <c r="N3314" i="16" s="1"/>
  <c r="J3314" i="16"/>
  <c r="H3314" i="16"/>
  <c r="G3314" i="16"/>
  <c r="F3314" i="16"/>
  <c r="I3313" i="16"/>
  <c r="I3312" i="16" s="1"/>
  <c r="L3312" i="16" s="1"/>
  <c r="H3312" i="16"/>
  <c r="G3312" i="16"/>
  <c r="F3312" i="16"/>
  <c r="E3312" i="16"/>
  <c r="I3311" i="16"/>
  <c r="K3310" i="16"/>
  <c r="N3310" i="16" s="1"/>
  <c r="J3310" i="16"/>
  <c r="H3310" i="16"/>
  <c r="G3310" i="16"/>
  <c r="F3310" i="16"/>
  <c r="E3310" i="16"/>
  <c r="I3309" i="16"/>
  <c r="L3309" i="16" s="1"/>
  <c r="O3309" i="16" s="1"/>
  <c r="P3309" i="16" s="1"/>
  <c r="I3308" i="16"/>
  <c r="K3307" i="16"/>
  <c r="N3307" i="16" s="1"/>
  <c r="J3307" i="16"/>
  <c r="H3307" i="16"/>
  <c r="G3307" i="16"/>
  <c r="F3307" i="16"/>
  <c r="E3307" i="16"/>
  <c r="I3306" i="16"/>
  <c r="I3305" i="16" s="1"/>
  <c r="L3305" i="16" s="1"/>
  <c r="H3305" i="16"/>
  <c r="G3305" i="16"/>
  <c r="F3305" i="16"/>
  <c r="E3305" i="16"/>
  <c r="I3304" i="16"/>
  <c r="L3304" i="16" s="1"/>
  <c r="O3304" i="16" s="1"/>
  <c r="K3303" i="16"/>
  <c r="N3303" i="16" s="1"/>
  <c r="J3303" i="16"/>
  <c r="H3303" i="16"/>
  <c r="G3303" i="16"/>
  <c r="F3303" i="16"/>
  <c r="E3303" i="16"/>
  <c r="I3302" i="16"/>
  <c r="L3302" i="16" s="1"/>
  <c r="O3302" i="16" s="1"/>
  <c r="P3302" i="16" s="1"/>
  <c r="I3301" i="16"/>
  <c r="L3301" i="16" s="1"/>
  <c r="O3301" i="16" s="1"/>
  <c r="P3301" i="16" s="1"/>
  <c r="I3300" i="16"/>
  <c r="K3299" i="16"/>
  <c r="N3299" i="16" s="1"/>
  <c r="J3299" i="16"/>
  <c r="H3299" i="16"/>
  <c r="G3299" i="16"/>
  <c r="F3299" i="16"/>
  <c r="E3299" i="16"/>
  <c r="I3298" i="16"/>
  <c r="L3298" i="16" s="1"/>
  <c r="O3298" i="16" s="1"/>
  <c r="P3298" i="16" s="1"/>
  <c r="I3297" i="16"/>
  <c r="L3297" i="16" s="1"/>
  <c r="O3297" i="16" s="1"/>
  <c r="P3297" i="16" s="1"/>
  <c r="I3296" i="16"/>
  <c r="L3296" i="16" s="1"/>
  <c r="O3296" i="16" s="1"/>
  <c r="P3296" i="16" s="1"/>
  <c r="I3295" i="16"/>
  <c r="L3295" i="16" s="1"/>
  <c r="O3295" i="16" s="1"/>
  <c r="P3295" i="16" s="1"/>
  <c r="I3294" i="16"/>
  <c r="K3293" i="16"/>
  <c r="N3293" i="16" s="1"/>
  <c r="J3293" i="16"/>
  <c r="H3293" i="16"/>
  <c r="G3293" i="16"/>
  <c r="F3293" i="16"/>
  <c r="E3293" i="16"/>
  <c r="I3292" i="16"/>
  <c r="L3292" i="16" s="1"/>
  <c r="O3292" i="16" s="1"/>
  <c r="P3292" i="16" s="1"/>
  <c r="I3291" i="16"/>
  <c r="L3291" i="16" s="1"/>
  <c r="O3291" i="16" s="1"/>
  <c r="P3291" i="16" s="1"/>
  <c r="E3290" i="16"/>
  <c r="I3290" i="16" s="1"/>
  <c r="K3289" i="16"/>
  <c r="N3289" i="16" s="1"/>
  <c r="J3289" i="16"/>
  <c r="H3289" i="16"/>
  <c r="G3289" i="16"/>
  <c r="F3289" i="16"/>
  <c r="I3288" i="16"/>
  <c r="L3288" i="16" s="1"/>
  <c r="O3288" i="16" s="1"/>
  <c r="P3288" i="16" s="1"/>
  <c r="E3287" i="16"/>
  <c r="I3287" i="16" s="1"/>
  <c r="L3287" i="16" s="1"/>
  <c r="O3287" i="16" s="1"/>
  <c r="P3287" i="16" s="1"/>
  <c r="E3286" i="16"/>
  <c r="I3286" i="16" s="1"/>
  <c r="L3286" i="16" s="1"/>
  <c r="O3286" i="16" s="1"/>
  <c r="P3286" i="16" s="1"/>
  <c r="E3285" i="16"/>
  <c r="I3285" i="16" s="1"/>
  <c r="L3285" i="16" s="1"/>
  <c r="O3285" i="16" s="1"/>
  <c r="K3284" i="16"/>
  <c r="N3284" i="16" s="1"/>
  <c r="J3284" i="16"/>
  <c r="H3284" i="16"/>
  <c r="G3284" i="16"/>
  <c r="F3284" i="16"/>
  <c r="I3283" i="16"/>
  <c r="L3283" i="16" s="1"/>
  <c r="O3283" i="16" s="1"/>
  <c r="H3282" i="16"/>
  <c r="G3282" i="16"/>
  <c r="F3282" i="16"/>
  <c r="E3282" i="16"/>
  <c r="I3281" i="16"/>
  <c r="L3281" i="16" s="1"/>
  <c r="O3281" i="16" s="1"/>
  <c r="P3281" i="16" s="1"/>
  <c r="I3280" i="16"/>
  <c r="K3279" i="16"/>
  <c r="N3279" i="16" s="1"/>
  <c r="J3279" i="16"/>
  <c r="H3279" i="16"/>
  <c r="G3279" i="16"/>
  <c r="F3279" i="16"/>
  <c r="E3279" i="16"/>
  <c r="L3278" i="16"/>
  <c r="I3277" i="16"/>
  <c r="L3277" i="16" s="1"/>
  <c r="O3277" i="16" s="1"/>
  <c r="P3277" i="16" s="1"/>
  <c r="I3276" i="16"/>
  <c r="L3276" i="16" s="1"/>
  <c r="O3276" i="16" s="1"/>
  <c r="P3276" i="16" s="1"/>
  <c r="I3275" i="16"/>
  <c r="L3275" i="16" s="1"/>
  <c r="O3275" i="16" s="1"/>
  <c r="K3273" i="16"/>
  <c r="N3273" i="16" s="1"/>
  <c r="J3273" i="16"/>
  <c r="G3273" i="16"/>
  <c r="F3273" i="16"/>
  <c r="E3273" i="16"/>
  <c r="H3272" i="16"/>
  <c r="I3272" i="16" s="1"/>
  <c r="L3272" i="16" s="1"/>
  <c r="O3272" i="16" s="1"/>
  <c r="P3272" i="16" s="1"/>
  <c r="H3271" i="16"/>
  <c r="I3270" i="16"/>
  <c r="L3270" i="16" s="1"/>
  <c r="O3270" i="16" s="1"/>
  <c r="P3270" i="16" s="1"/>
  <c r="I3269" i="16"/>
  <c r="L3269" i="16" s="1"/>
  <c r="O3269" i="16" s="1"/>
  <c r="I3268" i="16"/>
  <c r="L3268" i="16" s="1"/>
  <c r="O3268" i="16" s="1"/>
  <c r="E3266" i="16"/>
  <c r="I3266" i="16" s="1"/>
  <c r="Q3265" i="16"/>
  <c r="K3265" i="16"/>
  <c r="N3265" i="16" s="1"/>
  <c r="J3265" i="16"/>
  <c r="H3265" i="16"/>
  <c r="G3265" i="16"/>
  <c r="F3265" i="16"/>
  <c r="I3264" i="16"/>
  <c r="L3264" i="16" s="1"/>
  <c r="O3264" i="16" s="1"/>
  <c r="P3264" i="16" s="1"/>
  <c r="I3263" i="16"/>
  <c r="L3263" i="16" s="1"/>
  <c r="O3263" i="16" s="1"/>
  <c r="P3263" i="16" s="1"/>
  <c r="E3262" i="16"/>
  <c r="I3262" i="16" s="1"/>
  <c r="K3261" i="16"/>
  <c r="N3261" i="16" s="1"/>
  <c r="J3261" i="16"/>
  <c r="H3261" i="16"/>
  <c r="G3261" i="16"/>
  <c r="F3261" i="16"/>
  <c r="I3260" i="16"/>
  <c r="L3260" i="16" s="1"/>
  <c r="O3260" i="16" s="1"/>
  <c r="P3260" i="16" s="1"/>
  <c r="K3259" i="16"/>
  <c r="N3259" i="16" s="1"/>
  <c r="J3259" i="16"/>
  <c r="H3259" i="16"/>
  <c r="G3259" i="16"/>
  <c r="F3259" i="16"/>
  <c r="E3259" i="16"/>
  <c r="I3258" i="16"/>
  <c r="K3257" i="16"/>
  <c r="N3257" i="16" s="1"/>
  <c r="J3257" i="16"/>
  <c r="H3257" i="16"/>
  <c r="G3257" i="16"/>
  <c r="F3257" i="16"/>
  <c r="E3257" i="16"/>
  <c r="I3256" i="16"/>
  <c r="L3256" i="16" s="1"/>
  <c r="O3256" i="16" s="1"/>
  <c r="P3256" i="16" s="1"/>
  <c r="E3255" i="16"/>
  <c r="E3254" i="16" s="1"/>
  <c r="K3254" i="16"/>
  <c r="N3254" i="16" s="1"/>
  <c r="J3254" i="16"/>
  <c r="H3254" i="16"/>
  <c r="G3254" i="16"/>
  <c r="F3254" i="16"/>
  <c r="I3253" i="16"/>
  <c r="I3252" i="16" s="1"/>
  <c r="K3252" i="16"/>
  <c r="N3252" i="16" s="1"/>
  <c r="J3252" i="16"/>
  <c r="H3252" i="16"/>
  <c r="G3252" i="16"/>
  <c r="F3252" i="16"/>
  <c r="E3252" i="16"/>
  <c r="E3251" i="16"/>
  <c r="K3250" i="16"/>
  <c r="N3250" i="16" s="1"/>
  <c r="J3250" i="16"/>
  <c r="H3250" i="16"/>
  <c r="G3250" i="16"/>
  <c r="F3250" i="16"/>
  <c r="I3249" i="16"/>
  <c r="L3249" i="16" s="1"/>
  <c r="O3249" i="16" s="1"/>
  <c r="P3249" i="16" s="1"/>
  <c r="I3248" i="16"/>
  <c r="L3248" i="16" s="1"/>
  <c r="O3248" i="16" s="1"/>
  <c r="P3248" i="16" s="1"/>
  <c r="E3247" i="16"/>
  <c r="I3247" i="16" s="1"/>
  <c r="H3246" i="16"/>
  <c r="G3246" i="16"/>
  <c r="F3246" i="16"/>
  <c r="E3245" i="16"/>
  <c r="E3243" i="16" s="1"/>
  <c r="I3244" i="16"/>
  <c r="K3243" i="16"/>
  <c r="N3243" i="16" s="1"/>
  <c r="J3243" i="16"/>
  <c r="H3243" i="16"/>
  <c r="G3243" i="16"/>
  <c r="F3243" i="16"/>
  <c r="E3242" i="16"/>
  <c r="I3242" i="16" s="1"/>
  <c r="L3242" i="16" s="1"/>
  <c r="O3242" i="16" s="1"/>
  <c r="P3242" i="16" s="1"/>
  <c r="I3241" i="16"/>
  <c r="L3241" i="16" s="1"/>
  <c r="O3241" i="16" s="1"/>
  <c r="P3241" i="16" s="1"/>
  <c r="I3240" i="16"/>
  <c r="L3240" i="16" s="1"/>
  <c r="O3240" i="16" s="1"/>
  <c r="P3240" i="16" s="1"/>
  <c r="I3239" i="16"/>
  <c r="L3239" i="16" s="1"/>
  <c r="O3239" i="16" s="1"/>
  <c r="P3239" i="16" s="1"/>
  <c r="E3238" i="16"/>
  <c r="K3237" i="16"/>
  <c r="N3237" i="16" s="1"/>
  <c r="J3237" i="16"/>
  <c r="H3237" i="16"/>
  <c r="G3237" i="16"/>
  <c r="F3237" i="16"/>
  <c r="E3236" i="16"/>
  <c r="I3236" i="16" s="1"/>
  <c r="L3236" i="16" s="1"/>
  <c r="O3236" i="16" s="1"/>
  <c r="P3236" i="16" s="1"/>
  <c r="E3235" i="16"/>
  <c r="I3235" i="16" s="1"/>
  <c r="L3235" i="16" s="1"/>
  <c r="O3235" i="16" s="1"/>
  <c r="P3235" i="16" s="1"/>
  <c r="E3234" i="16"/>
  <c r="I3234" i="16" s="1"/>
  <c r="K3233" i="16"/>
  <c r="N3233" i="16" s="1"/>
  <c r="J3233" i="16"/>
  <c r="H3233" i="16"/>
  <c r="G3233" i="16"/>
  <c r="F3233" i="16"/>
  <c r="I3232" i="16"/>
  <c r="I3231" i="16" s="1"/>
  <c r="K3231" i="16"/>
  <c r="N3231" i="16" s="1"/>
  <c r="J3231" i="16"/>
  <c r="H3231" i="16"/>
  <c r="G3231" i="16"/>
  <c r="F3231" i="16"/>
  <c r="E3231" i="16"/>
  <c r="I3230" i="16"/>
  <c r="L3230" i="16" s="1"/>
  <c r="O3230" i="16" s="1"/>
  <c r="P3230" i="16" s="1"/>
  <c r="E3229" i="16"/>
  <c r="I3229" i="16" s="1"/>
  <c r="L3229" i="16" s="1"/>
  <c r="O3229" i="16" s="1"/>
  <c r="P3229" i="16" s="1"/>
  <c r="E3228" i="16"/>
  <c r="I3228" i="16" s="1"/>
  <c r="L3228" i="16" s="1"/>
  <c r="O3228" i="16" s="1"/>
  <c r="P3228" i="16" s="1"/>
  <c r="E3227" i="16"/>
  <c r="I3227" i="16" s="1"/>
  <c r="K3226" i="16"/>
  <c r="N3226" i="16" s="1"/>
  <c r="J3226" i="16"/>
  <c r="H3226" i="16"/>
  <c r="G3226" i="16"/>
  <c r="F3226" i="16"/>
  <c r="I3225" i="16"/>
  <c r="L3225" i="16" s="1"/>
  <c r="O3225" i="16" s="1"/>
  <c r="P3225" i="16" s="1"/>
  <c r="I3224" i="16"/>
  <c r="L3224" i="16" s="1"/>
  <c r="O3224" i="16" s="1"/>
  <c r="P3224" i="16" s="1"/>
  <c r="I3223" i="16"/>
  <c r="L3223" i="16" s="1"/>
  <c r="O3223" i="16" s="1"/>
  <c r="K3222" i="16"/>
  <c r="N3222" i="16" s="1"/>
  <c r="J3222" i="16"/>
  <c r="H3222" i="16"/>
  <c r="G3222" i="16"/>
  <c r="F3222" i="16"/>
  <c r="E3222" i="16"/>
  <c r="I3221" i="16"/>
  <c r="L3221" i="16" s="1"/>
  <c r="O3221" i="16" s="1"/>
  <c r="P3221" i="16" s="1"/>
  <c r="I3220" i="16"/>
  <c r="K3219" i="16"/>
  <c r="N3219" i="16" s="1"/>
  <c r="J3219" i="16"/>
  <c r="H3219" i="16"/>
  <c r="G3219" i="16"/>
  <c r="F3219" i="16"/>
  <c r="E3219" i="16"/>
  <c r="I3218" i="16"/>
  <c r="L3218" i="16" s="1"/>
  <c r="O3218" i="16" s="1"/>
  <c r="K3217" i="16"/>
  <c r="N3217" i="16" s="1"/>
  <c r="J3217" i="16"/>
  <c r="H3217" i="16"/>
  <c r="G3217" i="16"/>
  <c r="F3217" i="16"/>
  <c r="E3217" i="16"/>
  <c r="I3216" i="16"/>
  <c r="K3215" i="16"/>
  <c r="N3215" i="16" s="1"/>
  <c r="J3215" i="16"/>
  <c r="H3215" i="16"/>
  <c r="G3215" i="16"/>
  <c r="F3215" i="16"/>
  <c r="E3215" i="16"/>
  <c r="I3214" i="16"/>
  <c r="L3214" i="16" s="1"/>
  <c r="O3214" i="16" s="1"/>
  <c r="P3214" i="16" s="1"/>
  <c r="I3213" i="16"/>
  <c r="L3213" i="16" s="1"/>
  <c r="O3213" i="16" s="1"/>
  <c r="P3213" i="16" s="1"/>
  <c r="O3212" i="16"/>
  <c r="I3212" i="16"/>
  <c r="O3211" i="16"/>
  <c r="I3211" i="16"/>
  <c r="O3210" i="16"/>
  <c r="I3210" i="16"/>
  <c r="I3204" i="16"/>
  <c r="L3204" i="16" s="1"/>
  <c r="O3204" i="16" s="1"/>
  <c r="P3204" i="16" s="1"/>
  <c r="I3202" i="16"/>
  <c r="I3201" i="16" s="1"/>
  <c r="K3201" i="16"/>
  <c r="N3201" i="16" s="1"/>
  <c r="J3201" i="16"/>
  <c r="H3201" i="16"/>
  <c r="G3201" i="16"/>
  <c r="F3201" i="16"/>
  <c r="E3201" i="16"/>
  <c r="I3200" i="16"/>
  <c r="L3200" i="16" s="1"/>
  <c r="O3200" i="16" s="1"/>
  <c r="P3200" i="16" s="1"/>
  <c r="I3199" i="16"/>
  <c r="K3198" i="16"/>
  <c r="N3198" i="16" s="1"/>
  <c r="J3198" i="16"/>
  <c r="H3198" i="16"/>
  <c r="G3198" i="16"/>
  <c r="F3198" i="16"/>
  <c r="E3198" i="16"/>
  <c r="I3197" i="16"/>
  <c r="L3197" i="16" s="1"/>
  <c r="O3197" i="16" s="1"/>
  <c r="K3196" i="16"/>
  <c r="N3196" i="16" s="1"/>
  <c r="J3196" i="16"/>
  <c r="H3196" i="16"/>
  <c r="G3196" i="16"/>
  <c r="F3196" i="16"/>
  <c r="E3196" i="16"/>
  <c r="I3195" i="16"/>
  <c r="L3195" i="16" s="1"/>
  <c r="O3195" i="16" s="1"/>
  <c r="P3195" i="16" s="1"/>
  <c r="I3194" i="16"/>
  <c r="K3193" i="16"/>
  <c r="N3193" i="16" s="1"/>
  <c r="J3193" i="16"/>
  <c r="H3193" i="16"/>
  <c r="G3193" i="16"/>
  <c r="F3193" i="16"/>
  <c r="E3193" i="16"/>
  <c r="I3192" i="16"/>
  <c r="I3191" i="16" s="1"/>
  <c r="K3191" i="16"/>
  <c r="N3191" i="16" s="1"/>
  <c r="J3191" i="16"/>
  <c r="H3191" i="16"/>
  <c r="G3191" i="16"/>
  <c r="F3191" i="16"/>
  <c r="E3191" i="16"/>
  <c r="I3190" i="16"/>
  <c r="I3189" i="16" s="1"/>
  <c r="K3189" i="16"/>
  <c r="N3189" i="16" s="1"/>
  <c r="J3189" i="16"/>
  <c r="H3189" i="16"/>
  <c r="G3189" i="16"/>
  <c r="F3189" i="16"/>
  <c r="E3189" i="16"/>
  <c r="I3188" i="16"/>
  <c r="L3188" i="16" s="1"/>
  <c r="O3188" i="16" s="1"/>
  <c r="P3188" i="16" s="1"/>
  <c r="I3187" i="16"/>
  <c r="L3187" i="16" s="1"/>
  <c r="O3187" i="16" s="1"/>
  <c r="P3187" i="16" s="1"/>
  <c r="I3184" i="16"/>
  <c r="L3184" i="16" s="1"/>
  <c r="O3184" i="16" s="1"/>
  <c r="O3183" i="16" s="1"/>
  <c r="K3183" i="16"/>
  <c r="N3183" i="16" s="1"/>
  <c r="J3183" i="16"/>
  <c r="H3183" i="16"/>
  <c r="G3183" i="16"/>
  <c r="F3183" i="16"/>
  <c r="E3183" i="16"/>
  <c r="I3182" i="16"/>
  <c r="L3182" i="16" s="1"/>
  <c r="O3182" i="16" s="1"/>
  <c r="P3182" i="16" s="1"/>
  <c r="I3181" i="16"/>
  <c r="K3180" i="16"/>
  <c r="N3180" i="16" s="1"/>
  <c r="J3180" i="16"/>
  <c r="H3180" i="16"/>
  <c r="G3180" i="16"/>
  <c r="F3180" i="16"/>
  <c r="E3180" i="16"/>
  <c r="E3179" i="16"/>
  <c r="I3179" i="16" s="1"/>
  <c r="L3179" i="16" s="1"/>
  <c r="O3179" i="16" s="1"/>
  <c r="P3179" i="16" s="1"/>
  <c r="E3178" i="16"/>
  <c r="I3178" i="16" s="1"/>
  <c r="K3177" i="16"/>
  <c r="N3177" i="16" s="1"/>
  <c r="J3177" i="16"/>
  <c r="H3177" i="16"/>
  <c r="G3177" i="16"/>
  <c r="F3177" i="16"/>
  <c r="I3176" i="16"/>
  <c r="L3176" i="16" s="1"/>
  <c r="O3176" i="16" s="1"/>
  <c r="P3176" i="16" s="1"/>
  <c r="I3175" i="16"/>
  <c r="K3174" i="16"/>
  <c r="N3174" i="16" s="1"/>
  <c r="J3174" i="16"/>
  <c r="H3174" i="16"/>
  <c r="G3174" i="16"/>
  <c r="F3174" i="16"/>
  <c r="E3174" i="16"/>
  <c r="I3173" i="16"/>
  <c r="I3172" i="16" s="1"/>
  <c r="K3172" i="16"/>
  <c r="N3172" i="16" s="1"/>
  <c r="J3172" i="16"/>
  <c r="H3172" i="16"/>
  <c r="G3172" i="16"/>
  <c r="F3172" i="16"/>
  <c r="E3172" i="16"/>
  <c r="I3171" i="16"/>
  <c r="L3171" i="16" s="1"/>
  <c r="O3171" i="16" s="1"/>
  <c r="P3171" i="16" s="1"/>
  <c r="I3170" i="16"/>
  <c r="L3170" i="16" s="1"/>
  <c r="O3170" i="16" s="1"/>
  <c r="K3169" i="16"/>
  <c r="N3169" i="16" s="1"/>
  <c r="J3169" i="16"/>
  <c r="H3169" i="16"/>
  <c r="G3169" i="16"/>
  <c r="F3169" i="16"/>
  <c r="E3169" i="16"/>
  <c r="I3168" i="16"/>
  <c r="L3168" i="16" s="1"/>
  <c r="O3168" i="16" s="1"/>
  <c r="P3168" i="16" s="1"/>
  <c r="I3167" i="16"/>
  <c r="L3167" i="16" s="1"/>
  <c r="O3167" i="16" s="1"/>
  <c r="P3167" i="16" s="1"/>
  <c r="I3166" i="16"/>
  <c r="K3165" i="16"/>
  <c r="N3165" i="16" s="1"/>
  <c r="J3165" i="16"/>
  <c r="H3165" i="16"/>
  <c r="G3165" i="16"/>
  <c r="F3165" i="16"/>
  <c r="E3165" i="16"/>
  <c r="I3164" i="16"/>
  <c r="L3164" i="16" s="1"/>
  <c r="O3164" i="16" s="1"/>
  <c r="P3164" i="16" s="1"/>
  <c r="I3163" i="16"/>
  <c r="K3162" i="16"/>
  <c r="N3162" i="16" s="1"/>
  <c r="J3162" i="16"/>
  <c r="H3162" i="16"/>
  <c r="G3162" i="16"/>
  <c r="F3162" i="16"/>
  <c r="E3162" i="16"/>
  <c r="I3161" i="16"/>
  <c r="L3161" i="16" s="1"/>
  <c r="O3161" i="16" s="1"/>
  <c r="P3161" i="16" s="1"/>
  <c r="I3160" i="16"/>
  <c r="L3160" i="16" s="1"/>
  <c r="O3160" i="16" s="1"/>
  <c r="P3160" i="16" s="1"/>
  <c r="I3159" i="16"/>
  <c r="L3159" i="16" s="1"/>
  <c r="O3159" i="16" s="1"/>
  <c r="P3159" i="16" s="1"/>
  <c r="I3158" i="16"/>
  <c r="L3158" i="16" s="1"/>
  <c r="O3158" i="16" s="1"/>
  <c r="P3158" i="16" s="1"/>
  <c r="K3156" i="16"/>
  <c r="N3156" i="16" s="1"/>
  <c r="J3156" i="16"/>
  <c r="H3156" i="16"/>
  <c r="G3156" i="16"/>
  <c r="F3156" i="16"/>
  <c r="E3156" i="16"/>
  <c r="I3155" i="16"/>
  <c r="L3155" i="16" s="1"/>
  <c r="O3155" i="16" s="1"/>
  <c r="O3156" i="16" s="1"/>
  <c r="I3154" i="16"/>
  <c r="L3154" i="16" s="1"/>
  <c r="O3154" i="16" s="1"/>
  <c r="P3154" i="16" s="1"/>
  <c r="I3153" i="16"/>
  <c r="L3153" i="16" s="1"/>
  <c r="O3153" i="16" s="1"/>
  <c r="P3153" i="16" s="1"/>
  <c r="I3151" i="16"/>
  <c r="I3150" i="16" s="1"/>
  <c r="K3150" i="16"/>
  <c r="N3150" i="16" s="1"/>
  <c r="J3150" i="16"/>
  <c r="H3150" i="16"/>
  <c r="G3150" i="16"/>
  <c r="F3150" i="16"/>
  <c r="E3150" i="16"/>
  <c r="I3149" i="16"/>
  <c r="L3149" i="16" s="1"/>
  <c r="O3149" i="16" s="1"/>
  <c r="P3149" i="16" s="1"/>
  <c r="I3148" i="16"/>
  <c r="K3147" i="16"/>
  <c r="N3147" i="16" s="1"/>
  <c r="J3147" i="16"/>
  <c r="H3147" i="16"/>
  <c r="G3147" i="16"/>
  <c r="F3147" i="16"/>
  <c r="E3147" i="16"/>
  <c r="I3146" i="16"/>
  <c r="K3145" i="16"/>
  <c r="N3145" i="16" s="1"/>
  <c r="J3145" i="16"/>
  <c r="H3145" i="16"/>
  <c r="G3145" i="16"/>
  <c r="F3145" i="16"/>
  <c r="E3145" i="16"/>
  <c r="E3144" i="16"/>
  <c r="E3143" i="16" s="1"/>
  <c r="K3143" i="16"/>
  <c r="N3143" i="16" s="1"/>
  <c r="J3143" i="16"/>
  <c r="H3143" i="16"/>
  <c r="G3143" i="16"/>
  <c r="F3143" i="16"/>
  <c r="I3142" i="16"/>
  <c r="K3141" i="16"/>
  <c r="N3141" i="16" s="1"/>
  <c r="J3141" i="16"/>
  <c r="H3141" i="16"/>
  <c r="G3141" i="16"/>
  <c r="F3141" i="16"/>
  <c r="E3141" i="16"/>
  <c r="I3140" i="16"/>
  <c r="L3140" i="16" s="1"/>
  <c r="O3140" i="16" s="1"/>
  <c r="P3140" i="16" s="1"/>
  <c r="I3139" i="16"/>
  <c r="L3139" i="16" s="1"/>
  <c r="O3139" i="16" s="1"/>
  <c r="K3138" i="16"/>
  <c r="N3138" i="16" s="1"/>
  <c r="J3138" i="16"/>
  <c r="H3138" i="16"/>
  <c r="G3138" i="16"/>
  <c r="F3138" i="16"/>
  <c r="E3138" i="16"/>
  <c r="E3137" i="16"/>
  <c r="E3134" i="16" s="1"/>
  <c r="I3136" i="16"/>
  <c r="L3136" i="16" s="1"/>
  <c r="O3136" i="16" s="1"/>
  <c r="P3136" i="16" s="1"/>
  <c r="I3135" i="16"/>
  <c r="K3134" i="16"/>
  <c r="N3134" i="16" s="1"/>
  <c r="J3134" i="16"/>
  <c r="H3134" i="16"/>
  <c r="G3134" i="16"/>
  <c r="F3134" i="16"/>
  <c r="I3133" i="16"/>
  <c r="I3132" i="16" s="1"/>
  <c r="K3132" i="16"/>
  <c r="N3132" i="16" s="1"/>
  <c r="J3132" i="16"/>
  <c r="H3132" i="16"/>
  <c r="G3132" i="16"/>
  <c r="F3132" i="16"/>
  <c r="E3132" i="16"/>
  <c r="I3131" i="16"/>
  <c r="K3130" i="16"/>
  <c r="N3130" i="16" s="1"/>
  <c r="J3130" i="16"/>
  <c r="H3130" i="16"/>
  <c r="G3130" i="16"/>
  <c r="F3130" i="16"/>
  <c r="E3130" i="16"/>
  <c r="I3129" i="16"/>
  <c r="L3129" i="16" s="1"/>
  <c r="O3129" i="16" s="1"/>
  <c r="P3129" i="16" s="1"/>
  <c r="I3128" i="16"/>
  <c r="L3128" i="16" s="1"/>
  <c r="O3128" i="16" s="1"/>
  <c r="P3128" i="16" s="1"/>
  <c r="I3127" i="16"/>
  <c r="K3126" i="16"/>
  <c r="N3126" i="16" s="1"/>
  <c r="J3126" i="16"/>
  <c r="H3126" i="16"/>
  <c r="G3126" i="16"/>
  <c r="F3126" i="16"/>
  <c r="E3126" i="16"/>
  <c r="I3125" i="16"/>
  <c r="I3124" i="16" s="1"/>
  <c r="K3124" i="16"/>
  <c r="N3124" i="16" s="1"/>
  <c r="J3124" i="16"/>
  <c r="H3124" i="16"/>
  <c r="G3124" i="16"/>
  <c r="F3124" i="16"/>
  <c r="E3124" i="16"/>
  <c r="I3123" i="16"/>
  <c r="L3123" i="16" s="1"/>
  <c r="O3123" i="16" s="1"/>
  <c r="P3123" i="16" s="1"/>
  <c r="I3122" i="16"/>
  <c r="L3122" i="16" s="1"/>
  <c r="O3122" i="16" s="1"/>
  <c r="P3122" i="16" s="1"/>
  <c r="I3121" i="16"/>
  <c r="L3121" i="16" s="1"/>
  <c r="O3121" i="16" s="1"/>
  <c r="P3121" i="16" s="1"/>
  <c r="J3119" i="16"/>
  <c r="H3119" i="16"/>
  <c r="G3119" i="16"/>
  <c r="F3119" i="16"/>
  <c r="I3118" i="16"/>
  <c r="L3118" i="16" s="1"/>
  <c r="O3118" i="16" s="1"/>
  <c r="P3118" i="16" s="1"/>
  <c r="E3117" i="16"/>
  <c r="E3119" i="16" s="1"/>
  <c r="K3116" i="16"/>
  <c r="I3116" i="16"/>
  <c r="I3115" i="16"/>
  <c r="L3115" i="16" s="1"/>
  <c r="O3115" i="16" s="1"/>
  <c r="P3115" i="16" s="1"/>
  <c r="I3114" i="16"/>
  <c r="L3114" i="16" s="1"/>
  <c r="O3114" i="16" s="1"/>
  <c r="P3114" i="16" s="1"/>
  <c r="I3112" i="16"/>
  <c r="L3112" i="16" s="1"/>
  <c r="O3112" i="16" s="1"/>
  <c r="P3112" i="16" s="1"/>
  <c r="I3111" i="16"/>
  <c r="L3111" i="16" s="1"/>
  <c r="O3111" i="16" s="1"/>
  <c r="K3110" i="16"/>
  <c r="N3110" i="16" s="1"/>
  <c r="J3110" i="16"/>
  <c r="H3110" i="16"/>
  <c r="G3110" i="16"/>
  <c r="F3110" i="16"/>
  <c r="E3110" i="16"/>
  <c r="I3109" i="16"/>
  <c r="L3109" i="16" s="1"/>
  <c r="O3109" i="16" s="1"/>
  <c r="P3109" i="16" s="1"/>
  <c r="I3108" i="16"/>
  <c r="K3107" i="16"/>
  <c r="N3107" i="16" s="1"/>
  <c r="J3107" i="16"/>
  <c r="H3107" i="16"/>
  <c r="G3107" i="16"/>
  <c r="F3107" i="16"/>
  <c r="E3107" i="16"/>
  <c r="I3106" i="16"/>
  <c r="I3105" i="16" s="1"/>
  <c r="K3105" i="16"/>
  <c r="N3105" i="16" s="1"/>
  <c r="J3105" i="16"/>
  <c r="H3105" i="16"/>
  <c r="G3105" i="16"/>
  <c r="F3105" i="16"/>
  <c r="E3105" i="16"/>
  <c r="I3104" i="16"/>
  <c r="I3103" i="16" s="1"/>
  <c r="K3103" i="16"/>
  <c r="N3103" i="16" s="1"/>
  <c r="J3103" i="16"/>
  <c r="H3103" i="16"/>
  <c r="G3103" i="16"/>
  <c r="F3103" i="16"/>
  <c r="E3103" i="16"/>
  <c r="I3102" i="16"/>
  <c r="I3101" i="16" s="1"/>
  <c r="K3101" i="16"/>
  <c r="N3101" i="16" s="1"/>
  <c r="J3101" i="16"/>
  <c r="H3101" i="16"/>
  <c r="G3101" i="16"/>
  <c r="F3101" i="16"/>
  <c r="E3101" i="16"/>
  <c r="I3100" i="16"/>
  <c r="L3100" i="16" s="1"/>
  <c r="O3100" i="16" s="1"/>
  <c r="P3100" i="16" s="1"/>
  <c r="I3099" i="16"/>
  <c r="L3099" i="16" s="1"/>
  <c r="O3099" i="16" s="1"/>
  <c r="K3098" i="16"/>
  <c r="N3098" i="16" s="1"/>
  <c r="J3098" i="16"/>
  <c r="H3098" i="16"/>
  <c r="G3098" i="16"/>
  <c r="F3098" i="16"/>
  <c r="E3098" i="16"/>
  <c r="E3097" i="16"/>
  <c r="I3097" i="16" s="1"/>
  <c r="L3097" i="16" s="1"/>
  <c r="O3097" i="16" s="1"/>
  <c r="P3097" i="16" s="1"/>
  <c r="I3096" i="16"/>
  <c r="L3096" i="16" s="1"/>
  <c r="O3096" i="16" s="1"/>
  <c r="K3095" i="16"/>
  <c r="N3095" i="16" s="1"/>
  <c r="J3095" i="16"/>
  <c r="H3095" i="16"/>
  <c r="G3095" i="16"/>
  <c r="F3095" i="16"/>
  <c r="I3094" i="16"/>
  <c r="E3093" i="16"/>
  <c r="E3091" i="16" s="1"/>
  <c r="I3092" i="16"/>
  <c r="L3092" i="16" s="1"/>
  <c r="O3092" i="16" s="1"/>
  <c r="K3091" i="16"/>
  <c r="N3091" i="16" s="1"/>
  <c r="J3091" i="16"/>
  <c r="H3091" i="16"/>
  <c r="G3091" i="16"/>
  <c r="F3091" i="16"/>
  <c r="E3090" i="16"/>
  <c r="I3090" i="16" s="1"/>
  <c r="I3089" i="16"/>
  <c r="L3089" i="16" s="1"/>
  <c r="O3089" i="16" s="1"/>
  <c r="P3089" i="16" s="1"/>
  <c r="I3088" i="16"/>
  <c r="L3088" i="16" s="1"/>
  <c r="O3088" i="16" s="1"/>
  <c r="K3087" i="16"/>
  <c r="N3087" i="16" s="1"/>
  <c r="J3087" i="16"/>
  <c r="H3087" i="16"/>
  <c r="G3087" i="16"/>
  <c r="F3087" i="16"/>
  <c r="I3086" i="16"/>
  <c r="L3086" i="16" s="1"/>
  <c r="O3086" i="16" s="1"/>
  <c r="P3086" i="16" s="1"/>
  <c r="I3085" i="16"/>
  <c r="L3085" i="16" s="1"/>
  <c r="O3085" i="16" s="1"/>
  <c r="P3085" i="16" s="1"/>
  <c r="I3084" i="16"/>
  <c r="L3084" i="16" s="1"/>
  <c r="O3084" i="16" s="1"/>
  <c r="K3083" i="16"/>
  <c r="N3083" i="16" s="1"/>
  <c r="J3083" i="16"/>
  <c r="H3083" i="16"/>
  <c r="G3083" i="16"/>
  <c r="F3083" i="16"/>
  <c r="E3083" i="16"/>
  <c r="I3082" i="16"/>
  <c r="I3081" i="16" s="1"/>
  <c r="K3081" i="16"/>
  <c r="N3081" i="16" s="1"/>
  <c r="J3081" i="16"/>
  <c r="H3081" i="16"/>
  <c r="G3081" i="16"/>
  <c r="F3081" i="16"/>
  <c r="E3081" i="16"/>
  <c r="I3080" i="16"/>
  <c r="L3080" i="16" s="1"/>
  <c r="O3080" i="16" s="1"/>
  <c r="P3080" i="16" s="1"/>
  <c r="I3079" i="16"/>
  <c r="L3079" i="16" s="1"/>
  <c r="O3079" i="16" s="1"/>
  <c r="P3079" i="16" s="1"/>
  <c r="I3078" i="16"/>
  <c r="L3078" i="16" s="1"/>
  <c r="O3078" i="16" s="1"/>
  <c r="P3078" i="16" s="1"/>
  <c r="I3077" i="16"/>
  <c r="L3077" i="16" s="1"/>
  <c r="O3077" i="16" s="1"/>
  <c r="P3077" i="16" s="1"/>
  <c r="I3076" i="16"/>
  <c r="L3076" i="16" s="1"/>
  <c r="O3076" i="16" s="1"/>
  <c r="P3076" i="16" s="1"/>
  <c r="J3073" i="16"/>
  <c r="G3073" i="16"/>
  <c r="F3073" i="16"/>
  <c r="I3072" i="16"/>
  <c r="L3072" i="16" s="1"/>
  <c r="O3072" i="16" s="1"/>
  <c r="P3072" i="16" s="1"/>
  <c r="I3071" i="16"/>
  <c r="L3071" i="16" s="1"/>
  <c r="O3071" i="16" s="1"/>
  <c r="K3070" i="16"/>
  <c r="H3070" i="16"/>
  <c r="H3073" i="16" s="1"/>
  <c r="E3070" i="16"/>
  <c r="E3069" i="16"/>
  <c r="I3069" i="16" s="1"/>
  <c r="L3069" i="16" s="1"/>
  <c r="O3069" i="16" s="1"/>
  <c r="I3068" i="16"/>
  <c r="L3068" i="16" s="1"/>
  <c r="O3068" i="16" s="1"/>
  <c r="P3068" i="16" s="1"/>
  <c r="I3067" i="16"/>
  <c r="L3067" i="16" s="1"/>
  <c r="O3067" i="16" s="1"/>
  <c r="P3067" i="16" s="1"/>
  <c r="I3065" i="16"/>
  <c r="I3064" i="16" s="1"/>
  <c r="K3064" i="16"/>
  <c r="N3064" i="16" s="1"/>
  <c r="J3064" i="16"/>
  <c r="H3064" i="16"/>
  <c r="G3064" i="16"/>
  <c r="F3064" i="16"/>
  <c r="E3064" i="16"/>
  <c r="I3063" i="16"/>
  <c r="I3062" i="16" s="1"/>
  <c r="K3062" i="16"/>
  <c r="N3062" i="16" s="1"/>
  <c r="J3062" i="16"/>
  <c r="H3062" i="16"/>
  <c r="G3062" i="16"/>
  <c r="F3062" i="16"/>
  <c r="E3062" i="16"/>
  <c r="I3061" i="16"/>
  <c r="I3060" i="16" s="1"/>
  <c r="K3060" i="16"/>
  <c r="N3060" i="16" s="1"/>
  <c r="J3060" i="16"/>
  <c r="H3060" i="16"/>
  <c r="G3060" i="16"/>
  <c r="F3060" i="16"/>
  <c r="E3060" i="16"/>
  <c r="I3059" i="16"/>
  <c r="I3058" i="16" s="1"/>
  <c r="K3058" i="16"/>
  <c r="N3058" i="16" s="1"/>
  <c r="J3058" i="16"/>
  <c r="H3058" i="16"/>
  <c r="G3058" i="16"/>
  <c r="F3058" i="16"/>
  <c r="E3058" i="16"/>
  <c r="I3057" i="16"/>
  <c r="L3057" i="16" s="1"/>
  <c r="O3057" i="16" s="1"/>
  <c r="K3056" i="16"/>
  <c r="N3056" i="16" s="1"/>
  <c r="J3056" i="16"/>
  <c r="H3056" i="16"/>
  <c r="G3056" i="16"/>
  <c r="F3056" i="16"/>
  <c r="E3056" i="16"/>
  <c r="I3055" i="16"/>
  <c r="I3054" i="16" s="1"/>
  <c r="K3054" i="16"/>
  <c r="N3054" i="16" s="1"/>
  <c r="J3054" i="16"/>
  <c r="H3054" i="16"/>
  <c r="G3054" i="16"/>
  <c r="F3054" i="16"/>
  <c r="E3054" i="16"/>
  <c r="I3053" i="16"/>
  <c r="L3053" i="16" s="1"/>
  <c r="O3053" i="16" s="1"/>
  <c r="P3053" i="16" s="1"/>
  <c r="I3052" i="16"/>
  <c r="L3052" i="16" s="1"/>
  <c r="O3052" i="16" s="1"/>
  <c r="P3052" i="16" s="1"/>
  <c r="I3051" i="16"/>
  <c r="L3051" i="16" s="1"/>
  <c r="O3051" i="16" s="1"/>
  <c r="K3050" i="16"/>
  <c r="N3050" i="16" s="1"/>
  <c r="J3050" i="16"/>
  <c r="H3050" i="16"/>
  <c r="G3050" i="16"/>
  <c r="F3050" i="16"/>
  <c r="E3050" i="16"/>
  <c r="I3049" i="16"/>
  <c r="I3048" i="16" s="1"/>
  <c r="K3048" i="16"/>
  <c r="N3048" i="16" s="1"/>
  <c r="J3048" i="16"/>
  <c r="H3048" i="16"/>
  <c r="G3048" i="16"/>
  <c r="F3048" i="16"/>
  <c r="E3048" i="16"/>
  <c r="I3047" i="16"/>
  <c r="L3047" i="16" s="1"/>
  <c r="O3047" i="16" s="1"/>
  <c r="P3047" i="16" s="1"/>
  <c r="I3046" i="16"/>
  <c r="K3045" i="16"/>
  <c r="N3045" i="16" s="1"/>
  <c r="J3045" i="16"/>
  <c r="H3045" i="16"/>
  <c r="G3045" i="16"/>
  <c r="F3045" i="16"/>
  <c r="E3045" i="16"/>
  <c r="I3044" i="16"/>
  <c r="L3044" i="16" s="1"/>
  <c r="O3044" i="16" s="1"/>
  <c r="P3044" i="16" s="1"/>
  <c r="I3043" i="16"/>
  <c r="L3043" i="16" s="1"/>
  <c r="O3043" i="16" s="1"/>
  <c r="P3043" i="16" s="1"/>
  <c r="I3041" i="16"/>
  <c r="L3041" i="16" s="1"/>
  <c r="O3041" i="16" s="1"/>
  <c r="P3041" i="16" s="1"/>
  <c r="I3039" i="16"/>
  <c r="L3039" i="16" s="1"/>
  <c r="O3039" i="16" s="1"/>
  <c r="P3039" i="16" s="1"/>
  <c r="I3038" i="16"/>
  <c r="K3037" i="16"/>
  <c r="N3037" i="16" s="1"/>
  <c r="J3037" i="16"/>
  <c r="H3037" i="16"/>
  <c r="G3037" i="16"/>
  <c r="F3037" i="16"/>
  <c r="E3037" i="16"/>
  <c r="I3036" i="16"/>
  <c r="K3035" i="16"/>
  <c r="N3035" i="16" s="1"/>
  <c r="J3035" i="16"/>
  <c r="H3035" i="16"/>
  <c r="G3035" i="16"/>
  <c r="F3035" i="16"/>
  <c r="E3035" i="16"/>
  <c r="I3034" i="16"/>
  <c r="L3034" i="16" s="1"/>
  <c r="O3034" i="16" s="1"/>
  <c r="P3034" i="16" s="1"/>
  <c r="E3034" i="16"/>
  <c r="I3033" i="16"/>
  <c r="K3032" i="16"/>
  <c r="N3032" i="16" s="1"/>
  <c r="J3032" i="16"/>
  <c r="H3032" i="16"/>
  <c r="G3032" i="16"/>
  <c r="F3032" i="16"/>
  <c r="E3032" i="16"/>
  <c r="I3031" i="16"/>
  <c r="L3031" i="16" s="1"/>
  <c r="O3031" i="16" s="1"/>
  <c r="K3030" i="16"/>
  <c r="N3030" i="16" s="1"/>
  <c r="J3030" i="16"/>
  <c r="H3030" i="16"/>
  <c r="G3030" i="16"/>
  <c r="F3030" i="16"/>
  <c r="E3030" i="16"/>
  <c r="I3029" i="16"/>
  <c r="L3029" i="16" s="1"/>
  <c r="O3029" i="16" s="1"/>
  <c r="P3029" i="16" s="1"/>
  <c r="I3028" i="16"/>
  <c r="K3027" i="16"/>
  <c r="N3027" i="16" s="1"/>
  <c r="J3027" i="16"/>
  <c r="H3027" i="16"/>
  <c r="G3027" i="16"/>
  <c r="F3027" i="16"/>
  <c r="E3027" i="16"/>
  <c r="I3026" i="16"/>
  <c r="L3026" i="16" s="1"/>
  <c r="O3026" i="16" s="1"/>
  <c r="P3026" i="16" s="1"/>
  <c r="E3026" i="16"/>
  <c r="E3024" i="16" s="1"/>
  <c r="I3025" i="16"/>
  <c r="K3024" i="16"/>
  <c r="N3024" i="16" s="1"/>
  <c r="J3024" i="16"/>
  <c r="H3024" i="16"/>
  <c r="G3024" i="16"/>
  <c r="F3024" i="16"/>
  <c r="I3023" i="16"/>
  <c r="L3023" i="16" s="1"/>
  <c r="O3023" i="16" s="1"/>
  <c r="P3023" i="16" s="1"/>
  <c r="I3022" i="16"/>
  <c r="K3021" i="16"/>
  <c r="N3021" i="16" s="1"/>
  <c r="J3021" i="16"/>
  <c r="H3021" i="16"/>
  <c r="G3021" i="16"/>
  <c r="F3021" i="16"/>
  <c r="E3021" i="16"/>
  <c r="I3020" i="16"/>
  <c r="L3020" i="16" s="1"/>
  <c r="O3020" i="16" s="1"/>
  <c r="P3020" i="16" s="1"/>
  <c r="I3019" i="16"/>
  <c r="L3019" i="16" s="1"/>
  <c r="O3019" i="16" s="1"/>
  <c r="K3018" i="16"/>
  <c r="N3018" i="16" s="1"/>
  <c r="J3018" i="16"/>
  <c r="H3018" i="16"/>
  <c r="G3018" i="16"/>
  <c r="F3018" i="16"/>
  <c r="E3018" i="16"/>
  <c r="H3017" i="16"/>
  <c r="K3016" i="16"/>
  <c r="N3016" i="16" s="1"/>
  <c r="J3016" i="16"/>
  <c r="G3016" i="16"/>
  <c r="F3016" i="16"/>
  <c r="E3016" i="16"/>
  <c r="I3015" i="16"/>
  <c r="L3015" i="16" s="1"/>
  <c r="O3015" i="16" s="1"/>
  <c r="P3015" i="16" s="1"/>
  <c r="I3014" i="16"/>
  <c r="L3014" i="16" s="1"/>
  <c r="O3014" i="16" s="1"/>
  <c r="P3014" i="16" s="1"/>
  <c r="I3013" i="16"/>
  <c r="I3012" i="16"/>
  <c r="L3012" i="16" s="1"/>
  <c r="O3012" i="16" s="1"/>
  <c r="P3012" i="16" s="1"/>
  <c r="I3011" i="16"/>
  <c r="L3011" i="16" s="1"/>
  <c r="O3011" i="16" s="1"/>
  <c r="K3010" i="16"/>
  <c r="N3010" i="16" s="1"/>
  <c r="J3010" i="16"/>
  <c r="H3010" i="16"/>
  <c r="G3010" i="16"/>
  <c r="F3010" i="16"/>
  <c r="E3010" i="16"/>
  <c r="I3009" i="16"/>
  <c r="L3009" i="16" s="1"/>
  <c r="O3009" i="16" s="1"/>
  <c r="K3008" i="16"/>
  <c r="N3008" i="16" s="1"/>
  <c r="J3008" i="16"/>
  <c r="H3008" i="16"/>
  <c r="G3008" i="16"/>
  <c r="F3008" i="16"/>
  <c r="E3008" i="16"/>
  <c r="I3007" i="16"/>
  <c r="I3006" i="16" s="1"/>
  <c r="K3006" i="16"/>
  <c r="N3006" i="16" s="1"/>
  <c r="J3006" i="16"/>
  <c r="H3006" i="16"/>
  <c r="G3006" i="16"/>
  <c r="F3006" i="16"/>
  <c r="E3006" i="16"/>
  <c r="I3005" i="16"/>
  <c r="L3005" i="16" s="1"/>
  <c r="O3005" i="16" s="1"/>
  <c r="P3005" i="16" s="1"/>
  <c r="I3004" i="16"/>
  <c r="L3004" i="16" s="1"/>
  <c r="O3004" i="16" s="1"/>
  <c r="P3004" i="16" s="1"/>
  <c r="I3003" i="16"/>
  <c r="L3003" i="16" s="1"/>
  <c r="O3003" i="16" s="1"/>
  <c r="P3003" i="16" s="1"/>
  <c r="I3000" i="16"/>
  <c r="L3000" i="16" s="1"/>
  <c r="I2999" i="16"/>
  <c r="L2999" i="16" s="1"/>
  <c r="I2998" i="16"/>
  <c r="L2998" i="16" s="1"/>
  <c r="K2997" i="16"/>
  <c r="J2997" i="16"/>
  <c r="J3001" i="16" s="1"/>
  <c r="H2997" i="16"/>
  <c r="H3001" i="16" s="1"/>
  <c r="G2997" i="16"/>
  <c r="G3001" i="16" s="1"/>
  <c r="F2997" i="16"/>
  <c r="F3001" i="16" s="1"/>
  <c r="E2997" i="16"/>
  <c r="E3001" i="16" s="1"/>
  <c r="I2996" i="16"/>
  <c r="L2996" i="16" s="1"/>
  <c r="O2996" i="16" s="1"/>
  <c r="P2996" i="16" s="1"/>
  <c r="I2995" i="16"/>
  <c r="L2995" i="16" s="1"/>
  <c r="O2995" i="16" s="1"/>
  <c r="P2995" i="16" s="1"/>
  <c r="I2993" i="16"/>
  <c r="L2993" i="16" s="1"/>
  <c r="O2993" i="16" s="1"/>
  <c r="P2993" i="16" s="1"/>
  <c r="I2992" i="16"/>
  <c r="L2992" i="16" s="1"/>
  <c r="O2992" i="16" s="1"/>
  <c r="K2991" i="16"/>
  <c r="N2991" i="16" s="1"/>
  <c r="J2991" i="16"/>
  <c r="H2991" i="16"/>
  <c r="G2991" i="16"/>
  <c r="F2991" i="16"/>
  <c r="E2991" i="16"/>
  <c r="I2990" i="16"/>
  <c r="L2990" i="16" s="1"/>
  <c r="O2990" i="16" s="1"/>
  <c r="O2989" i="16" s="1"/>
  <c r="K2989" i="16"/>
  <c r="N2989" i="16" s="1"/>
  <c r="J2989" i="16"/>
  <c r="H2989" i="16"/>
  <c r="G2989" i="16"/>
  <c r="F2989" i="16"/>
  <c r="E2989" i="16"/>
  <c r="I2988" i="16"/>
  <c r="L2988" i="16" s="1"/>
  <c r="O2988" i="16" s="1"/>
  <c r="P2988" i="16" s="1"/>
  <c r="I2987" i="16"/>
  <c r="L2987" i="16" s="1"/>
  <c r="O2987" i="16" s="1"/>
  <c r="K2986" i="16"/>
  <c r="N2986" i="16" s="1"/>
  <c r="J2986" i="16"/>
  <c r="H2986" i="16"/>
  <c r="G2986" i="16"/>
  <c r="F2986" i="16"/>
  <c r="E2986" i="16"/>
  <c r="I2985" i="16"/>
  <c r="I2984" i="16" s="1"/>
  <c r="K2984" i="16"/>
  <c r="N2984" i="16" s="1"/>
  <c r="J2984" i="16"/>
  <c r="H2984" i="16"/>
  <c r="G2984" i="16"/>
  <c r="F2984" i="16"/>
  <c r="E2984" i="16"/>
  <c r="I2983" i="16"/>
  <c r="I2982" i="16" s="1"/>
  <c r="K2982" i="16"/>
  <c r="N2982" i="16" s="1"/>
  <c r="J2982" i="16"/>
  <c r="H2982" i="16"/>
  <c r="G2982" i="16"/>
  <c r="F2982" i="16"/>
  <c r="E2982" i="16"/>
  <c r="I2981" i="16"/>
  <c r="L2981" i="16" s="1"/>
  <c r="O2981" i="16" s="1"/>
  <c r="P2981" i="16" s="1"/>
  <c r="I2980" i="16"/>
  <c r="K2979" i="16"/>
  <c r="N2979" i="16" s="1"/>
  <c r="J2979" i="16"/>
  <c r="H2979" i="16"/>
  <c r="G2979" i="16"/>
  <c r="F2979" i="16"/>
  <c r="E2979" i="16"/>
  <c r="I2978" i="16"/>
  <c r="L2978" i="16" s="1"/>
  <c r="O2978" i="16" s="1"/>
  <c r="P2978" i="16" s="1"/>
  <c r="I2977" i="16"/>
  <c r="L2977" i="16" s="1"/>
  <c r="O2977" i="16" s="1"/>
  <c r="P2977" i="16" s="1"/>
  <c r="I2976" i="16"/>
  <c r="K2975" i="16"/>
  <c r="N2975" i="16" s="1"/>
  <c r="J2975" i="16"/>
  <c r="H2975" i="16"/>
  <c r="G2975" i="16"/>
  <c r="F2975" i="16"/>
  <c r="E2975" i="16"/>
  <c r="I2974" i="16"/>
  <c r="L2974" i="16" s="1"/>
  <c r="O2974" i="16" s="1"/>
  <c r="P2974" i="16" s="1"/>
  <c r="I2973" i="16"/>
  <c r="L2973" i="16" s="1"/>
  <c r="O2973" i="16" s="1"/>
  <c r="P2973" i="16" s="1"/>
  <c r="I2972" i="16"/>
  <c r="K2971" i="16"/>
  <c r="N2971" i="16" s="1"/>
  <c r="J2971" i="16"/>
  <c r="H2971" i="16"/>
  <c r="G2971" i="16"/>
  <c r="F2971" i="16"/>
  <c r="E2971" i="16"/>
  <c r="I2970" i="16"/>
  <c r="L2970" i="16" s="1"/>
  <c r="O2970" i="16" s="1"/>
  <c r="P2970" i="16" s="1"/>
  <c r="I2969" i="16"/>
  <c r="K2968" i="16"/>
  <c r="N2968" i="16" s="1"/>
  <c r="J2968" i="16"/>
  <c r="H2968" i="16"/>
  <c r="G2968" i="16"/>
  <c r="F2968" i="16"/>
  <c r="E2968" i="16"/>
  <c r="I2967" i="16"/>
  <c r="L2967" i="16" s="1"/>
  <c r="O2967" i="16" s="1"/>
  <c r="P2967" i="16" s="1"/>
  <c r="I2966" i="16"/>
  <c r="L2966" i="16" s="1"/>
  <c r="O2966" i="16" s="1"/>
  <c r="P2966" i="16" s="1"/>
  <c r="I2965" i="16"/>
  <c r="L2965" i="16" s="1"/>
  <c r="O2965" i="16" s="1"/>
  <c r="P2965" i="16" s="1"/>
  <c r="J2963" i="16"/>
  <c r="H2963" i="16"/>
  <c r="G2963" i="16"/>
  <c r="F2963" i="16"/>
  <c r="E2963" i="16"/>
  <c r="K2962" i="16"/>
  <c r="I2962" i="16"/>
  <c r="I2961" i="16"/>
  <c r="L2961" i="16" s="1"/>
  <c r="O2961" i="16" s="1"/>
  <c r="I2960" i="16"/>
  <c r="L2960" i="16" s="1"/>
  <c r="O2960" i="16" s="1"/>
  <c r="P2960" i="16" s="1"/>
  <c r="I2958" i="16"/>
  <c r="L2958" i="16" s="1"/>
  <c r="O2958" i="16" s="1"/>
  <c r="K2957" i="16"/>
  <c r="N2957" i="16" s="1"/>
  <c r="J2957" i="16"/>
  <c r="H2957" i="16"/>
  <c r="G2957" i="16"/>
  <c r="F2957" i="16"/>
  <c r="E2957" i="16"/>
  <c r="I2956" i="16"/>
  <c r="L2956" i="16" s="1"/>
  <c r="O2956" i="16" s="1"/>
  <c r="P2956" i="16" s="1"/>
  <c r="I2955" i="16"/>
  <c r="L2955" i="16" s="1"/>
  <c r="O2955" i="16" s="1"/>
  <c r="P2955" i="16" s="1"/>
  <c r="I2954" i="16"/>
  <c r="K2953" i="16"/>
  <c r="N2953" i="16" s="1"/>
  <c r="J2953" i="16"/>
  <c r="H2953" i="16"/>
  <c r="G2953" i="16"/>
  <c r="F2953" i="16"/>
  <c r="E2953" i="16"/>
  <c r="I2952" i="16"/>
  <c r="I2951" i="16" s="1"/>
  <c r="K2951" i="16"/>
  <c r="N2951" i="16" s="1"/>
  <c r="J2951" i="16"/>
  <c r="H2951" i="16"/>
  <c r="G2951" i="16"/>
  <c r="F2951" i="16"/>
  <c r="E2951" i="16"/>
  <c r="I2950" i="16"/>
  <c r="K2949" i="16"/>
  <c r="N2949" i="16" s="1"/>
  <c r="J2949" i="16"/>
  <c r="H2949" i="16"/>
  <c r="G2949" i="16"/>
  <c r="F2949" i="16"/>
  <c r="E2949" i="16"/>
  <c r="I2948" i="16"/>
  <c r="L2948" i="16" s="1"/>
  <c r="O2948" i="16" s="1"/>
  <c r="K2947" i="16"/>
  <c r="N2947" i="16" s="1"/>
  <c r="J2947" i="16"/>
  <c r="H2947" i="16"/>
  <c r="G2947" i="16"/>
  <c r="F2947" i="16"/>
  <c r="E2947" i="16"/>
  <c r="I2946" i="16"/>
  <c r="I2945" i="16" s="1"/>
  <c r="K2945" i="16"/>
  <c r="N2945" i="16" s="1"/>
  <c r="J2945" i="16"/>
  <c r="H2945" i="16"/>
  <c r="G2945" i="16"/>
  <c r="F2945" i="16"/>
  <c r="E2945" i="16"/>
  <c r="I2944" i="16"/>
  <c r="L2944" i="16" s="1"/>
  <c r="O2944" i="16" s="1"/>
  <c r="P2944" i="16" s="1"/>
  <c r="I2943" i="16"/>
  <c r="L2943" i="16" s="1"/>
  <c r="O2943" i="16" s="1"/>
  <c r="P2943" i="16" s="1"/>
  <c r="I2942" i="16"/>
  <c r="K2941" i="16"/>
  <c r="N2941" i="16" s="1"/>
  <c r="J2941" i="16"/>
  <c r="H2941" i="16"/>
  <c r="G2941" i="16"/>
  <c r="F2941" i="16"/>
  <c r="E2941" i="16"/>
  <c r="I2940" i="16"/>
  <c r="L2940" i="16" s="1"/>
  <c r="O2940" i="16" s="1"/>
  <c r="P2940" i="16" s="1"/>
  <c r="I2939" i="16"/>
  <c r="L2939" i="16" s="1"/>
  <c r="O2939" i="16" s="1"/>
  <c r="P2939" i="16" s="1"/>
  <c r="I2938" i="16"/>
  <c r="L2938" i="16" s="1"/>
  <c r="O2938" i="16" s="1"/>
  <c r="P2938" i="16" s="1"/>
  <c r="I2937" i="16"/>
  <c r="L2937" i="16" s="1"/>
  <c r="O2937" i="16" s="1"/>
  <c r="K2936" i="16"/>
  <c r="N2936" i="16" s="1"/>
  <c r="J2936" i="16"/>
  <c r="H2936" i="16"/>
  <c r="G2936" i="16"/>
  <c r="F2936" i="16"/>
  <c r="E2936" i="16"/>
  <c r="I2935" i="16"/>
  <c r="L2935" i="16" s="1"/>
  <c r="O2935" i="16" s="1"/>
  <c r="P2935" i="16" s="1"/>
  <c r="I2934" i="16"/>
  <c r="L2934" i="16" s="1"/>
  <c r="O2934" i="16" s="1"/>
  <c r="P2934" i="16" s="1"/>
  <c r="H2933" i="16"/>
  <c r="I2933" i="16" s="1"/>
  <c r="L2933" i="16" s="1"/>
  <c r="O2933" i="16" s="1"/>
  <c r="I2932" i="16"/>
  <c r="L2932" i="16" s="1"/>
  <c r="O2932" i="16" s="1"/>
  <c r="P2932" i="16" s="1"/>
  <c r="I2931" i="16"/>
  <c r="L2931" i="16" s="1"/>
  <c r="O2931" i="16" s="1"/>
  <c r="P2931" i="16" s="1"/>
  <c r="I2930" i="16"/>
  <c r="L2930" i="16" s="1"/>
  <c r="O2930" i="16" s="1"/>
  <c r="P2930" i="16" s="1"/>
  <c r="I2929" i="16"/>
  <c r="K2928" i="16"/>
  <c r="N2928" i="16" s="1"/>
  <c r="J2928" i="16"/>
  <c r="G2928" i="16"/>
  <c r="F2928" i="16"/>
  <c r="E2928" i="16"/>
  <c r="I2927" i="16"/>
  <c r="L2927" i="16" s="1"/>
  <c r="O2927" i="16" s="1"/>
  <c r="P2927" i="16" s="1"/>
  <c r="I2926" i="16"/>
  <c r="I2925" i="16"/>
  <c r="L2925" i="16" s="1"/>
  <c r="O2925" i="16" s="1"/>
  <c r="K2924" i="16"/>
  <c r="N2924" i="16" s="1"/>
  <c r="J2924" i="16"/>
  <c r="H2924" i="16"/>
  <c r="G2924" i="16"/>
  <c r="F2924" i="16"/>
  <c r="E2924" i="16"/>
  <c r="I2923" i="16"/>
  <c r="L2923" i="16" s="1"/>
  <c r="O2923" i="16" s="1"/>
  <c r="P2923" i="16" s="1"/>
  <c r="I2922" i="16"/>
  <c r="L2922" i="16" s="1"/>
  <c r="O2922" i="16" s="1"/>
  <c r="P2922" i="16" s="1"/>
  <c r="I2921" i="16"/>
  <c r="L2921" i="16" s="1"/>
  <c r="O2921" i="16" s="1"/>
  <c r="K2920" i="16"/>
  <c r="N2920" i="16" s="1"/>
  <c r="J2920" i="16"/>
  <c r="H2920" i="16"/>
  <c r="G2920" i="16"/>
  <c r="F2920" i="16"/>
  <c r="E2920" i="16"/>
  <c r="I2919" i="16"/>
  <c r="L2919" i="16" s="1"/>
  <c r="O2919" i="16" s="1"/>
  <c r="P2919" i="16" s="1"/>
  <c r="I2918" i="16"/>
  <c r="L2918" i="16" s="1"/>
  <c r="O2918" i="16" s="1"/>
  <c r="P2918" i="16" s="1"/>
  <c r="I2917" i="16"/>
  <c r="K2916" i="16"/>
  <c r="N2916" i="16" s="1"/>
  <c r="J2916" i="16"/>
  <c r="H2916" i="16"/>
  <c r="G2916" i="16"/>
  <c r="F2916" i="16"/>
  <c r="E2916" i="16"/>
  <c r="I2915" i="16"/>
  <c r="L2915" i="16" s="1"/>
  <c r="O2915" i="16" s="1"/>
  <c r="P2915" i="16" s="1"/>
  <c r="I2914" i="16"/>
  <c r="L2914" i="16" s="1"/>
  <c r="O2914" i="16" s="1"/>
  <c r="K2913" i="16"/>
  <c r="N2913" i="16" s="1"/>
  <c r="J2913" i="16"/>
  <c r="H2913" i="16"/>
  <c r="G2913" i="16"/>
  <c r="F2913" i="16"/>
  <c r="E2913" i="16"/>
  <c r="I2912" i="16"/>
  <c r="L2912" i="16" s="1"/>
  <c r="O2912" i="16" s="1"/>
  <c r="P2912" i="16" s="1"/>
  <c r="I2911" i="16"/>
  <c r="L2911" i="16" s="1"/>
  <c r="O2911" i="16" s="1"/>
  <c r="P2911" i="16" s="1"/>
  <c r="I2910" i="16"/>
  <c r="L2910" i="16" s="1"/>
  <c r="O2910" i="16" s="1"/>
  <c r="P2910" i="16" s="1"/>
  <c r="I2908" i="16"/>
  <c r="I2907" i="16" s="1"/>
  <c r="K2907" i="16"/>
  <c r="N2907" i="16" s="1"/>
  <c r="J2907" i="16"/>
  <c r="H2907" i="16"/>
  <c r="G2907" i="16"/>
  <c r="F2907" i="16"/>
  <c r="E2907" i="16"/>
  <c r="I2906" i="16"/>
  <c r="L2906" i="16" s="1"/>
  <c r="O2906" i="16" s="1"/>
  <c r="K2905" i="16"/>
  <c r="N2905" i="16" s="1"/>
  <c r="J2905" i="16"/>
  <c r="H2905" i="16"/>
  <c r="G2905" i="16"/>
  <c r="F2905" i="16"/>
  <c r="E2905" i="16"/>
  <c r="L2904" i="16"/>
  <c r="P2903" i="16"/>
  <c r="O2903" i="16"/>
  <c r="K2903" i="16"/>
  <c r="N2903" i="16" s="1"/>
  <c r="J2903" i="16"/>
  <c r="H2903" i="16"/>
  <c r="G2903" i="16"/>
  <c r="F2903" i="16"/>
  <c r="K2902" i="16"/>
  <c r="I2902" i="16"/>
  <c r="J2901" i="16"/>
  <c r="H2901" i="16"/>
  <c r="G2901" i="16"/>
  <c r="F2901" i="16"/>
  <c r="E2901" i="16"/>
  <c r="I2900" i="16"/>
  <c r="L2900" i="16" s="1"/>
  <c r="O2900" i="16" s="1"/>
  <c r="P2900" i="16" s="1"/>
  <c r="I2899" i="16"/>
  <c r="K2898" i="16"/>
  <c r="N2898" i="16" s="1"/>
  <c r="J2898" i="16"/>
  <c r="H2898" i="16"/>
  <c r="G2898" i="16"/>
  <c r="F2898" i="16"/>
  <c r="E2898" i="16"/>
  <c r="I2897" i="16"/>
  <c r="L2897" i="16" s="1"/>
  <c r="O2897" i="16" s="1"/>
  <c r="P2897" i="16" s="1"/>
  <c r="I2896" i="16"/>
  <c r="L2896" i="16" s="1"/>
  <c r="O2896" i="16" s="1"/>
  <c r="K2895" i="16"/>
  <c r="N2895" i="16" s="1"/>
  <c r="J2895" i="16"/>
  <c r="H2895" i="16"/>
  <c r="G2895" i="16"/>
  <c r="F2895" i="16"/>
  <c r="E2895" i="16"/>
  <c r="K2894" i="16"/>
  <c r="N2894" i="16" s="1"/>
  <c r="I2894" i="16"/>
  <c r="I2893" i="16"/>
  <c r="L2893" i="16" s="1"/>
  <c r="O2893" i="16" s="1"/>
  <c r="P2893" i="16" s="1"/>
  <c r="I2892" i="16"/>
  <c r="L2892" i="16" s="1"/>
  <c r="O2892" i="16" s="1"/>
  <c r="P2892" i="16" s="1"/>
  <c r="I2891" i="16"/>
  <c r="L2891" i="16" s="1"/>
  <c r="O2891" i="16" s="1"/>
  <c r="J2890" i="16"/>
  <c r="H2890" i="16"/>
  <c r="G2890" i="16"/>
  <c r="F2890" i="16"/>
  <c r="E2890" i="16"/>
  <c r="I2889" i="16"/>
  <c r="L2889" i="16" s="1"/>
  <c r="O2889" i="16" s="1"/>
  <c r="P2889" i="16" s="1"/>
  <c r="E2888" i="16"/>
  <c r="E2886" i="16" s="1"/>
  <c r="I2887" i="16"/>
  <c r="K2886" i="16"/>
  <c r="N2886" i="16" s="1"/>
  <c r="J2886" i="16"/>
  <c r="H2886" i="16"/>
  <c r="G2886" i="16"/>
  <c r="F2886" i="16"/>
  <c r="I2885" i="16"/>
  <c r="L2885" i="16" s="1"/>
  <c r="O2885" i="16" s="1"/>
  <c r="P2885" i="16" s="1"/>
  <c r="I2884" i="16"/>
  <c r="L2884" i="16" s="1"/>
  <c r="O2884" i="16" s="1"/>
  <c r="P2884" i="16" s="1"/>
  <c r="I2883" i="16"/>
  <c r="L2883" i="16" s="1"/>
  <c r="O2883" i="16" s="1"/>
  <c r="K2882" i="16"/>
  <c r="N2882" i="16" s="1"/>
  <c r="J2882" i="16"/>
  <c r="H2882" i="16"/>
  <c r="G2882" i="16"/>
  <c r="F2882" i="16"/>
  <c r="E2882" i="16"/>
  <c r="K2881" i="16"/>
  <c r="I2881" i="16"/>
  <c r="I2880" i="16"/>
  <c r="L2880" i="16" s="1"/>
  <c r="O2880" i="16" s="1"/>
  <c r="P2880" i="16" s="1"/>
  <c r="I2879" i="16"/>
  <c r="L2879" i="16" s="1"/>
  <c r="O2879" i="16" s="1"/>
  <c r="P2879" i="16" s="1"/>
  <c r="I2878" i="16"/>
  <c r="J2877" i="16"/>
  <c r="H2877" i="16"/>
  <c r="G2877" i="16"/>
  <c r="F2877" i="16"/>
  <c r="E2877" i="16"/>
  <c r="I2876" i="16"/>
  <c r="L2876" i="16" s="1"/>
  <c r="O2876" i="16" s="1"/>
  <c r="P2876" i="16" s="1"/>
  <c r="K2875" i="16"/>
  <c r="N2875" i="16" s="1"/>
  <c r="I2875" i="16"/>
  <c r="J2874" i="16"/>
  <c r="H2874" i="16"/>
  <c r="G2874" i="16"/>
  <c r="F2874" i="16"/>
  <c r="E2874" i="16"/>
  <c r="I2873" i="16"/>
  <c r="L2873" i="16" s="1"/>
  <c r="O2873" i="16" s="1"/>
  <c r="P2873" i="16" s="1"/>
  <c r="I2872" i="16"/>
  <c r="K2871" i="16"/>
  <c r="N2871" i="16" s="1"/>
  <c r="J2871" i="16"/>
  <c r="H2871" i="16"/>
  <c r="G2871" i="16"/>
  <c r="F2871" i="16"/>
  <c r="E2871" i="16"/>
  <c r="I2870" i="16"/>
  <c r="I2869" i="16" s="1"/>
  <c r="K2869" i="16"/>
  <c r="N2869" i="16" s="1"/>
  <c r="J2869" i="16"/>
  <c r="H2869" i="16"/>
  <c r="G2869" i="16"/>
  <c r="F2869" i="16"/>
  <c r="E2869" i="16"/>
  <c r="I2868" i="16"/>
  <c r="L2868" i="16" s="1"/>
  <c r="O2868" i="16" s="1"/>
  <c r="P2868" i="16" s="1"/>
  <c r="I2867" i="16"/>
  <c r="L2867" i="16" s="1"/>
  <c r="O2867" i="16" s="1"/>
  <c r="P2867" i="16" s="1"/>
  <c r="O2866" i="16"/>
  <c r="I2866" i="16"/>
  <c r="O2865" i="16"/>
  <c r="I2865" i="16"/>
  <c r="O2864" i="16"/>
  <c r="I2864" i="16"/>
  <c r="I2858" i="16"/>
  <c r="L2858" i="16" s="1"/>
  <c r="O2858" i="16" s="1"/>
  <c r="P2858" i="16" s="1"/>
  <c r="I2857" i="16"/>
  <c r="L2857" i="16" s="1"/>
  <c r="O2857" i="16" s="1"/>
  <c r="K2856" i="16"/>
  <c r="N2856" i="16" s="1"/>
  <c r="J2856" i="16"/>
  <c r="H2856" i="16"/>
  <c r="G2856" i="16"/>
  <c r="F2856" i="16"/>
  <c r="E2856" i="16"/>
  <c r="E2855" i="16"/>
  <c r="I2855" i="16" s="1"/>
  <c r="K2854" i="16"/>
  <c r="N2854" i="16" s="1"/>
  <c r="J2854" i="16"/>
  <c r="H2854" i="16"/>
  <c r="G2854" i="16"/>
  <c r="F2854" i="16"/>
  <c r="I2853" i="16"/>
  <c r="I2852" i="16" s="1"/>
  <c r="K2852" i="16"/>
  <c r="N2852" i="16" s="1"/>
  <c r="J2852" i="16"/>
  <c r="H2852" i="16"/>
  <c r="G2852" i="16"/>
  <c r="F2852" i="16"/>
  <c r="E2852" i="16"/>
  <c r="I2851" i="16"/>
  <c r="L2851" i="16" s="1"/>
  <c r="O2851" i="16" s="1"/>
  <c r="P2851" i="16" s="1"/>
  <c r="I2850" i="16"/>
  <c r="L2850" i="16" s="1"/>
  <c r="O2850" i="16" s="1"/>
  <c r="P2850" i="16" s="1"/>
  <c r="I2849" i="16"/>
  <c r="L2849" i="16" s="1"/>
  <c r="O2849" i="16" s="1"/>
  <c r="P2849" i="16" s="1"/>
  <c r="I2847" i="16"/>
  <c r="I2846" i="16" s="1"/>
  <c r="K2846" i="16"/>
  <c r="N2846" i="16" s="1"/>
  <c r="J2846" i="16"/>
  <c r="H2846" i="16"/>
  <c r="G2846" i="16"/>
  <c r="F2846" i="16"/>
  <c r="E2846" i="16"/>
  <c r="I2845" i="16"/>
  <c r="L2845" i="16" s="1"/>
  <c r="O2845" i="16" s="1"/>
  <c r="K2844" i="16"/>
  <c r="N2844" i="16" s="1"/>
  <c r="J2844" i="16"/>
  <c r="H2844" i="16"/>
  <c r="G2844" i="16"/>
  <c r="F2844" i="16"/>
  <c r="E2844" i="16"/>
  <c r="I2843" i="16"/>
  <c r="I2842" i="16" s="1"/>
  <c r="K2842" i="16"/>
  <c r="N2842" i="16" s="1"/>
  <c r="J2842" i="16"/>
  <c r="H2842" i="16"/>
  <c r="G2842" i="16"/>
  <c r="F2842" i="16"/>
  <c r="E2842" i="16"/>
  <c r="I2841" i="16"/>
  <c r="L2841" i="16" s="1"/>
  <c r="O2841" i="16" s="1"/>
  <c r="P2841" i="16" s="1"/>
  <c r="I2840" i="16"/>
  <c r="L2840" i="16" s="1"/>
  <c r="O2840" i="16" s="1"/>
  <c r="P2840" i="16" s="1"/>
  <c r="I2839" i="16"/>
  <c r="L2839" i="16" s="1"/>
  <c r="O2839" i="16" s="1"/>
  <c r="K2838" i="16"/>
  <c r="N2838" i="16" s="1"/>
  <c r="J2838" i="16"/>
  <c r="H2838" i="16"/>
  <c r="G2838" i="16"/>
  <c r="F2838" i="16"/>
  <c r="E2838" i="16"/>
  <c r="I2837" i="16"/>
  <c r="L2837" i="16" s="1"/>
  <c r="O2837" i="16" s="1"/>
  <c r="P2837" i="16" s="1"/>
  <c r="I2836" i="16"/>
  <c r="L2836" i="16" s="1"/>
  <c r="O2836" i="16" s="1"/>
  <c r="P2836" i="16" s="1"/>
  <c r="I2834" i="16"/>
  <c r="L2834" i="16" s="1"/>
  <c r="O2834" i="16" s="1"/>
  <c r="P2834" i="16" s="1"/>
  <c r="E2832" i="16"/>
  <c r="I2832" i="16" s="1"/>
  <c r="L2832" i="16" s="1"/>
  <c r="O2832" i="16" s="1"/>
  <c r="P2832" i="16" s="1"/>
  <c r="E2831" i="16"/>
  <c r="I2831" i="16" s="1"/>
  <c r="K2830" i="16"/>
  <c r="N2830" i="16" s="1"/>
  <c r="J2830" i="16"/>
  <c r="H2830" i="16"/>
  <c r="G2830" i="16"/>
  <c r="F2830" i="16"/>
  <c r="I2829" i="16"/>
  <c r="I2828" i="16"/>
  <c r="L2828" i="16" s="1"/>
  <c r="O2828" i="16" s="1"/>
  <c r="P2828" i="16" s="1"/>
  <c r="K2827" i="16"/>
  <c r="N2827" i="16" s="1"/>
  <c r="J2827" i="16"/>
  <c r="H2827" i="16"/>
  <c r="G2827" i="16"/>
  <c r="F2827" i="16"/>
  <c r="E2827" i="16"/>
  <c r="I2826" i="16"/>
  <c r="L2826" i="16" s="1"/>
  <c r="O2826" i="16" s="1"/>
  <c r="P2826" i="16" s="1"/>
  <c r="I2825" i="16"/>
  <c r="L2825" i="16" s="1"/>
  <c r="O2825" i="16" s="1"/>
  <c r="K2824" i="16"/>
  <c r="N2824" i="16" s="1"/>
  <c r="J2824" i="16"/>
  <c r="H2824" i="16"/>
  <c r="G2824" i="16"/>
  <c r="F2824" i="16"/>
  <c r="E2824" i="16"/>
  <c r="K2823" i="16"/>
  <c r="N2823" i="16" s="1"/>
  <c r="I2823" i="16"/>
  <c r="I2822" i="16" s="1"/>
  <c r="J2822" i="16"/>
  <c r="H2822" i="16"/>
  <c r="G2822" i="16"/>
  <c r="F2822" i="16"/>
  <c r="E2822" i="16"/>
  <c r="I2821" i="16"/>
  <c r="L2821" i="16" s="1"/>
  <c r="O2821" i="16" s="1"/>
  <c r="K2820" i="16"/>
  <c r="N2820" i="16" s="1"/>
  <c r="J2820" i="16"/>
  <c r="H2820" i="16"/>
  <c r="G2820" i="16"/>
  <c r="F2820" i="16"/>
  <c r="E2820" i="16"/>
  <c r="I2819" i="16"/>
  <c r="L2819" i="16" s="1"/>
  <c r="O2819" i="16" s="1"/>
  <c r="P2819" i="16" s="1"/>
  <c r="I2818" i="16"/>
  <c r="K2817" i="16"/>
  <c r="N2817" i="16" s="1"/>
  <c r="J2817" i="16"/>
  <c r="H2817" i="16"/>
  <c r="G2817" i="16"/>
  <c r="F2817" i="16"/>
  <c r="E2817" i="16"/>
  <c r="I2816" i="16"/>
  <c r="L2816" i="16" s="1"/>
  <c r="O2816" i="16" s="1"/>
  <c r="P2816" i="16" s="1"/>
  <c r="I2815" i="16"/>
  <c r="K2814" i="16"/>
  <c r="N2814" i="16" s="1"/>
  <c r="J2814" i="16"/>
  <c r="H2814" i="16"/>
  <c r="G2814" i="16"/>
  <c r="F2814" i="16"/>
  <c r="E2814" i="16"/>
  <c r="I2813" i="16"/>
  <c r="L2813" i="16" s="1"/>
  <c r="O2813" i="16" s="1"/>
  <c r="P2813" i="16" s="1"/>
  <c r="I2812" i="16"/>
  <c r="L2812" i="16" s="1"/>
  <c r="O2812" i="16" s="1"/>
  <c r="P2812" i="16" s="1"/>
  <c r="I2811" i="16"/>
  <c r="L2811" i="16" s="1"/>
  <c r="O2811" i="16" s="1"/>
  <c r="P2811" i="16" s="1"/>
  <c r="I2810" i="16"/>
  <c r="L2810" i="16" s="1"/>
  <c r="O2810" i="16" s="1"/>
  <c r="P2810" i="16" s="1"/>
  <c r="I2809" i="16"/>
  <c r="L2809" i="16" s="1"/>
  <c r="O2809" i="16" s="1"/>
  <c r="K2808" i="16"/>
  <c r="N2808" i="16" s="1"/>
  <c r="J2808" i="16"/>
  <c r="H2808" i="16"/>
  <c r="G2808" i="16"/>
  <c r="F2808" i="16"/>
  <c r="E2808" i="16"/>
  <c r="I2807" i="16"/>
  <c r="L2807" i="16" s="1"/>
  <c r="O2807" i="16" s="1"/>
  <c r="K2806" i="16"/>
  <c r="N2806" i="16" s="1"/>
  <c r="J2806" i="16"/>
  <c r="H2806" i="16"/>
  <c r="G2806" i="16"/>
  <c r="F2806" i="16"/>
  <c r="E2806" i="16"/>
  <c r="I2805" i="16"/>
  <c r="I2804" i="16"/>
  <c r="L2804" i="16" s="1"/>
  <c r="O2804" i="16" s="1"/>
  <c r="P2804" i="16" s="1"/>
  <c r="I2803" i="16"/>
  <c r="L2803" i="16" s="1"/>
  <c r="O2803" i="16" s="1"/>
  <c r="P2803" i="16" s="1"/>
  <c r="I2802" i="16"/>
  <c r="L2802" i="16" s="1"/>
  <c r="O2802" i="16" s="1"/>
  <c r="K2801" i="16"/>
  <c r="N2801" i="16" s="1"/>
  <c r="J2801" i="16"/>
  <c r="H2801" i="16"/>
  <c r="G2801" i="16"/>
  <c r="F2801" i="16"/>
  <c r="E2801" i="16"/>
  <c r="I2800" i="16"/>
  <c r="L2800" i="16" s="1"/>
  <c r="O2800" i="16" s="1"/>
  <c r="K2799" i="16"/>
  <c r="N2799" i="16" s="1"/>
  <c r="J2799" i="16"/>
  <c r="H2799" i="16"/>
  <c r="G2799" i="16"/>
  <c r="F2799" i="16"/>
  <c r="E2799" i="16"/>
  <c r="I2798" i="16"/>
  <c r="L2798" i="16" s="1"/>
  <c r="O2798" i="16" s="1"/>
  <c r="P2798" i="16" s="1"/>
  <c r="I2797" i="16"/>
  <c r="L2797" i="16" s="1"/>
  <c r="O2797" i="16" s="1"/>
  <c r="P2797" i="16" s="1"/>
  <c r="I2795" i="16"/>
  <c r="L2795" i="16" s="1"/>
  <c r="O2795" i="16" s="1"/>
  <c r="P2795" i="16" s="1"/>
  <c r="I2793" i="16"/>
  <c r="K2792" i="16"/>
  <c r="J2792" i="16"/>
  <c r="J2794" i="16" s="1"/>
  <c r="H2792" i="16"/>
  <c r="H2794" i="16" s="1"/>
  <c r="G2792" i="16"/>
  <c r="G2794" i="16" s="1"/>
  <c r="F2792" i="16"/>
  <c r="F2794" i="16" s="1"/>
  <c r="E2792" i="16"/>
  <c r="E2794" i="16" s="1"/>
  <c r="I2791" i="16"/>
  <c r="L2791" i="16" s="1"/>
  <c r="O2791" i="16" s="1"/>
  <c r="P2791" i="16" s="1"/>
  <c r="I2790" i="16"/>
  <c r="L2790" i="16" s="1"/>
  <c r="O2790" i="16" s="1"/>
  <c r="P2790" i="16" s="1"/>
  <c r="I2788" i="16"/>
  <c r="L2788" i="16" s="1"/>
  <c r="O2788" i="16" s="1"/>
  <c r="K2787" i="16"/>
  <c r="N2787" i="16" s="1"/>
  <c r="J2787" i="16"/>
  <c r="H2787" i="16"/>
  <c r="G2787" i="16"/>
  <c r="F2787" i="16"/>
  <c r="E2787" i="16"/>
  <c r="I2786" i="16"/>
  <c r="I2785" i="16" s="1"/>
  <c r="K2785" i="16"/>
  <c r="N2785" i="16" s="1"/>
  <c r="J2785" i="16"/>
  <c r="H2785" i="16"/>
  <c r="G2785" i="16"/>
  <c r="F2785" i="16"/>
  <c r="E2785" i="16"/>
  <c r="I2784" i="16"/>
  <c r="L2784" i="16" s="1"/>
  <c r="O2784" i="16" s="1"/>
  <c r="P2784" i="16" s="1"/>
  <c r="I2783" i="16"/>
  <c r="I2782" i="16"/>
  <c r="L2782" i="16" s="1"/>
  <c r="O2782" i="16" s="1"/>
  <c r="K2781" i="16"/>
  <c r="N2781" i="16" s="1"/>
  <c r="J2781" i="16"/>
  <c r="H2781" i="16"/>
  <c r="G2781" i="16"/>
  <c r="F2781" i="16"/>
  <c r="E2781" i="16"/>
  <c r="I2780" i="16"/>
  <c r="L2780" i="16" s="1"/>
  <c r="O2780" i="16" s="1"/>
  <c r="P2780" i="16" s="1"/>
  <c r="I2779" i="16"/>
  <c r="L2779" i="16" s="1"/>
  <c r="O2779" i="16" s="1"/>
  <c r="P2779" i="16" s="1"/>
  <c r="I2777" i="16"/>
  <c r="L2777" i="16" s="1"/>
  <c r="O2777" i="16" s="1"/>
  <c r="P2777" i="16" s="1"/>
  <c r="E2775" i="16"/>
  <c r="I2775" i="16" s="1"/>
  <c r="K2774" i="16"/>
  <c r="J2774" i="16"/>
  <c r="J2776" i="16" s="1"/>
  <c r="H2774" i="16"/>
  <c r="H2776" i="16" s="1"/>
  <c r="G2774" i="16"/>
  <c r="G2776" i="16" s="1"/>
  <c r="F2774" i="16"/>
  <c r="F2776" i="16" s="1"/>
  <c r="I2773" i="16"/>
  <c r="L2773" i="16" s="1"/>
  <c r="O2773" i="16" s="1"/>
  <c r="P2773" i="16" s="1"/>
  <c r="I2772" i="16"/>
  <c r="L2772" i="16" s="1"/>
  <c r="O2772" i="16" s="1"/>
  <c r="P2772" i="16" s="1"/>
  <c r="I2770" i="16"/>
  <c r="I2769" i="16" s="1"/>
  <c r="K2769" i="16"/>
  <c r="N2769" i="16" s="1"/>
  <c r="J2769" i="16"/>
  <c r="H2769" i="16"/>
  <c r="G2769" i="16"/>
  <c r="F2769" i="16"/>
  <c r="E2769" i="16"/>
  <c r="I2768" i="16"/>
  <c r="I2767" i="16"/>
  <c r="L2767" i="16" s="1"/>
  <c r="O2767" i="16" s="1"/>
  <c r="P2767" i="16" s="1"/>
  <c r="I2766" i="16"/>
  <c r="L2766" i="16" s="1"/>
  <c r="O2766" i="16" s="1"/>
  <c r="K2765" i="16"/>
  <c r="N2765" i="16" s="1"/>
  <c r="J2765" i="16"/>
  <c r="H2765" i="16"/>
  <c r="G2765" i="16"/>
  <c r="F2765" i="16"/>
  <c r="E2765" i="16"/>
  <c r="I2764" i="16"/>
  <c r="L2764" i="16" s="1"/>
  <c r="O2764" i="16" s="1"/>
  <c r="P2764" i="16" s="1"/>
  <c r="I2763" i="16"/>
  <c r="K2762" i="16"/>
  <c r="N2762" i="16" s="1"/>
  <c r="J2762" i="16"/>
  <c r="H2762" i="16"/>
  <c r="G2762" i="16"/>
  <c r="F2762" i="16"/>
  <c r="E2762" i="16"/>
  <c r="I2761" i="16"/>
  <c r="L2761" i="16" s="1"/>
  <c r="O2761" i="16" s="1"/>
  <c r="I2760" i="16"/>
  <c r="L2760" i="16" s="1"/>
  <c r="O2760" i="16" s="1"/>
  <c r="P2760" i="16" s="1"/>
  <c r="I2759" i="16"/>
  <c r="L2759" i="16" s="1"/>
  <c r="O2759" i="16" s="1"/>
  <c r="P2759" i="16" s="1"/>
  <c r="I2756" i="16"/>
  <c r="L2756" i="16" s="1"/>
  <c r="O2756" i="16" s="1"/>
  <c r="P2756" i="16" s="1"/>
  <c r="I2755" i="16"/>
  <c r="L2755" i="16" s="1"/>
  <c r="O2755" i="16" s="1"/>
  <c r="K2754" i="16"/>
  <c r="N2754" i="16" s="1"/>
  <c r="J2754" i="16"/>
  <c r="H2754" i="16"/>
  <c r="G2754" i="16"/>
  <c r="F2754" i="16"/>
  <c r="E2754" i="16"/>
  <c r="E2753" i="16"/>
  <c r="I2753" i="16" s="1"/>
  <c r="L2753" i="16" s="1"/>
  <c r="O2753" i="16" s="1"/>
  <c r="P2753" i="16" s="1"/>
  <c r="H2752" i="16"/>
  <c r="H2751" i="16" s="1"/>
  <c r="E2752" i="16"/>
  <c r="K2751" i="16"/>
  <c r="N2751" i="16" s="1"/>
  <c r="J2751" i="16"/>
  <c r="G2751" i="16"/>
  <c r="F2751" i="16"/>
  <c r="I2750" i="16"/>
  <c r="L2750" i="16" s="1"/>
  <c r="O2750" i="16" s="1"/>
  <c r="P2750" i="16" s="1"/>
  <c r="I2749" i="16"/>
  <c r="L2749" i="16" s="1"/>
  <c r="O2749" i="16" s="1"/>
  <c r="P2749" i="16" s="1"/>
  <c r="I2747" i="16"/>
  <c r="L2747" i="16" s="1"/>
  <c r="O2747" i="16" s="1"/>
  <c r="K2746" i="16"/>
  <c r="N2746" i="16" s="1"/>
  <c r="J2746" i="16"/>
  <c r="H2746" i="16"/>
  <c r="G2746" i="16"/>
  <c r="F2746" i="16"/>
  <c r="E2746" i="16"/>
  <c r="I2745" i="16"/>
  <c r="L2745" i="16" s="1"/>
  <c r="O2745" i="16" s="1"/>
  <c r="I2744" i="16"/>
  <c r="L2744" i="16" s="1"/>
  <c r="O2744" i="16" s="1"/>
  <c r="P2744" i="16" s="1"/>
  <c r="K2743" i="16"/>
  <c r="N2743" i="16" s="1"/>
  <c r="J2743" i="16"/>
  <c r="H2743" i="16"/>
  <c r="G2743" i="16"/>
  <c r="F2743" i="16"/>
  <c r="E2743" i="16"/>
  <c r="I2742" i="16"/>
  <c r="L2742" i="16" s="1"/>
  <c r="O2742" i="16" s="1"/>
  <c r="K2741" i="16"/>
  <c r="N2741" i="16" s="1"/>
  <c r="J2741" i="16"/>
  <c r="H2741" i="16"/>
  <c r="G2741" i="16"/>
  <c r="F2741" i="16"/>
  <c r="E2741" i="16"/>
  <c r="I2740" i="16"/>
  <c r="L2740" i="16" s="1"/>
  <c r="O2740" i="16" s="1"/>
  <c r="K2739" i="16"/>
  <c r="N2739" i="16" s="1"/>
  <c r="J2739" i="16"/>
  <c r="H2739" i="16"/>
  <c r="G2739" i="16"/>
  <c r="F2739" i="16"/>
  <c r="E2739" i="16"/>
  <c r="I2738" i="16"/>
  <c r="L2738" i="16" s="1"/>
  <c r="O2738" i="16" s="1"/>
  <c r="P2738" i="16" s="1"/>
  <c r="I2737" i="16"/>
  <c r="L2737" i="16" s="1"/>
  <c r="O2737" i="16" s="1"/>
  <c r="P2737" i="16" s="1"/>
  <c r="I2736" i="16"/>
  <c r="K2735" i="16"/>
  <c r="N2735" i="16" s="1"/>
  <c r="J2735" i="16"/>
  <c r="H2735" i="16"/>
  <c r="G2735" i="16"/>
  <c r="F2735" i="16"/>
  <c r="E2735" i="16"/>
  <c r="I2734" i="16"/>
  <c r="L2734" i="16" s="1"/>
  <c r="O2734" i="16" s="1"/>
  <c r="P2734" i="16" s="1"/>
  <c r="I2733" i="16"/>
  <c r="L2733" i="16" s="1"/>
  <c r="O2733" i="16" s="1"/>
  <c r="P2733" i="16" s="1"/>
  <c r="I2732" i="16"/>
  <c r="L2732" i="16" s="1"/>
  <c r="O2732" i="16" s="1"/>
  <c r="K2731" i="16"/>
  <c r="N2731" i="16" s="1"/>
  <c r="J2731" i="16"/>
  <c r="H2731" i="16"/>
  <c r="G2731" i="16"/>
  <c r="F2731" i="16"/>
  <c r="E2731" i="16"/>
  <c r="I2730" i="16"/>
  <c r="L2730" i="16" s="1"/>
  <c r="O2730" i="16" s="1"/>
  <c r="P2730" i="16" s="1"/>
  <c r="I2729" i="16"/>
  <c r="L2729" i="16" s="1"/>
  <c r="O2729" i="16" s="1"/>
  <c r="P2729" i="16" s="1"/>
  <c r="I2728" i="16"/>
  <c r="L2728" i="16" s="1"/>
  <c r="O2728" i="16" s="1"/>
  <c r="P2728" i="16" s="1"/>
  <c r="I2726" i="16"/>
  <c r="L2726" i="16" s="1"/>
  <c r="O2726" i="16" s="1"/>
  <c r="P2726" i="16" s="1"/>
  <c r="E2724" i="16"/>
  <c r="E2723" i="16" s="1"/>
  <c r="E2725" i="16" s="1"/>
  <c r="K2723" i="16"/>
  <c r="J2723" i="16"/>
  <c r="J2725" i="16" s="1"/>
  <c r="H2723" i="16"/>
  <c r="H2725" i="16" s="1"/>
  <c r="G2723" i="16"/>
  <c r="G2725" i="16" s="1"/>
  <c r="F2723" i="16"/>
  <c r="F2725" i="16" s="1"/>
  <c r="I2722" i="16"/>
  <c r="L2722" i="16" s="1"/>
  <c r="O2722" i="16" s="1"/>
  <c r="P2722" i="16" s="1"/>
  <c r="I2721" i="16"/>
  <c r="L2721" i="16" s="1"/>
  <c r="O2721" i="16" s="1"/>
  <c r="P2721" i="16" s="1"/>
  <c r="I2719" i="16"/>
  <c r="I2718" i="16" s="1"/>
  <c r="K2718" i="16"/>
  <c r="N2718" i="16" s="1"/>
  <c r="J2718" i="16"/>
  <c r="H2718" i="16"/>
  <c r="G2718" i="16"/>
  <c r="F2718" i="16"/>
  <c r="E2718" i="16"/>
  <c r="I2717" i="16"/>
  <c r="L2717" i="16" s="1"/>
  <c r="O2717" i="16" s="1"/>
  <c r="P2717" i="16" s="1"/>
  <c r="P2716" i="16" s="1"/>
  <c r="K2716" i="16"/>
  <c r="N2716" i="16" s="1"/>
  <c r="J2716" i="16"/>
  <c r="H2716" i="16"/>
  <c r="G2716" i="16"/>
  <c r="F2716" i="16"/>
  <c r="E2716" i="16"/>
  <c r="I2715" i="16"/>
  <c r="L2715" i="16" s="1"/>
  <c r="O2715" i="16" s="1"/>
  <c r="P2715" i="16" s="1"/>
  <c r="I2714" i="16"/>
  <c r="L2714" i="16" s="1"/>
  <c r="O2714" i="16" s="1"/>
  <c r="P2714" i="16" s="1"/>
  <c r="I2713" i="16"/>
  <c r="K2712" i="16"/>
  <c r="N2712" i="16" s="1"/>
  <c r="J2712" i="16"/>
  <c r="H2712" i="16"/>
  <c r="G2712" i="16"/>
  <c r="F2712" i="16"/>
  <c r="E2712" i="16"/>
  <c r="I2711" i="16"/>
  <c r="L2711" i="16" s="1"/>
  <c r="O2711" i="16" s="1"/>
  <c r="K2710" i="16"/>
  <c r="N2710" i="16" s="1"/>
  <c r="J2710" i="16"/>
  <c r="H2710" i="16"/>
  <c r="G2710" i="16"/>
  <c r="F2710" i="16"/>
  <c r="E2710" i="16"/>
  <c r="I2709" i="16"/>
  <c r="L2709" i="16" s="1"/>
  <c r="O2709" i="16" s="1"/>
  <c r="P2709" i="16" s="1"/>
  <c r="I2708" i="16"/>
  <c r="K2707" i="16"/>
  <c r="N2707" i="16" s="1"/>
  <c r="J2707" i="16"/>
  <c r="H2707" i="16"/>
  <c r="G2707" i="16"/>
  <c r="F2707" i="16"/>
  <c r="E2707" i="16"/>
  <c r="I2706" i="16"/>
  <c r="L2706" i="16" s="1"/>
  <c r="O2706" i="16" s="1"/>
  <c r="P2706" i="16" s="1"/>
  <c r="I2705" i="16"/>
  <c r="L2705" i="16" s="1"/>
  <c r="O2705" i="16" s="1"/>
  <c r="P2705" i="16" s="1"/>
  <c r="I2704" i="16"/>
  <c r="L2704" i="16" s="1"/>
  <c r="O2704" i="16" s="1"/>
  <c r="I2703" i="16"/>
  <c r="L2703" i="16" s="1"/>
  <c r="O2703" i="16" s="1"/>
  <c r="P2703" i="16" s="1"/>
  <c r="I2701" i="16"/>
  <c r="L2701" i="16" s="1"/>
  <c r="O2701" i="16" s="1"/>
  <c r="P2701" i="16" s="1"/>
  <c r="I2699" i="16"/>
  <c r="L2699" i="16" s="1"/>
  <c r="O2699" i="16" s="1"/>
  <c r="P2699" i="16" s="1"/>
  <c r="I2697" i="16"/>
  <c r="K2696" i="16"/>
  <c r="N2696" i="16" s="1"/>
  <c r="J2696" i="16"/>
  <c r="H2696" i="16"/>
  <c r="G2696" i="16"/>
  <c r="F2696" i="16"/>
  <c r="E2696" i="16"/>
  <c r="I2695" i="16"/>
  <c r="L2695" i="16" s="1"/>
  <c r="O2695" i="16" s="1"/>
  <c r="P2695" i="16" s="1"/>
  <c r="I2694" i="16"/>
  <c r="L2694" i="16" s="1"/>
  <c r="O2694" i="16" s="1"/>
  <c r="P2694" i="16" s="1"/>
  <c r="I2693" i="16"/>
  <c r="K2692" i="16"/>
  <c r="N2692" i="16" s="1"/>
  <c r="J2692" i="16"/>
  <c r="H2692" i="16"/>
  <c r="G2692" i="16"/>
  <c r="F2692" i="16"/>
  <c r="E2692" i="16"/>
  <c r="I2691" i="16"/>
  <c r="L2691" i="16" s="1"/>
  <c r="O2691" i="16" s="1"/>
  <c r="P2691" i="16" s="1"/>
  <c r="I2690" i="16"/>
  <c r="L2690" i="16" s="1"/>
  <c r="O2690" i="16" s="1"/>
  <c r="P2690" i="16" s="1"/>
  <c r="I2689" i="16"/>
  <c r="K2688" i="16"/>
  <c r="N2688" i="16" s="1"/>
  <c r="J2688" i="16"/>
  <c r="H2688" i="16"/>
  <c r="G2688" i="16"/>
  <c r="F2688" i="16"/>
  <c r="E2688" i="16"/>
  <c r="I2687" i="16"/>
  <c r="L2687" i="16" s="1"/>
  <c r="O2687" i="16" s="1"/>
  <c r="P2687" i="16" s="1"/>
  <c r="I2686" i="16"/>
  <c r="L2686" i="16" s="1"/>
  <c r="O2686" i="16" s="1"/>
  <c r="P2686" i="16" s="1"/>
  <c r="I2685" i="16"/>
  <c r="L2685" i="16" s="1"/>
  <c r="O2685" i="16" s="1"/>
  <c r="I2684" i="16"/>
  <c r="L2684" i="16" s="1"/>
  <c r="O2684" i="16" s="1"/>
  <c r="P2684" i="16" s="1"/>
  <c r="I2682" i="16"/>
  <c r="L2682" i="16" s="1"/>
  <c r="O2682" i="16" s="1"/>
  <c r="P2682" i="16" s="1"/>
  <c r="E2680" i="16"/>
  <c r="I2680" i="16" s="1"/>
  <c r="L2680" i="16" s="1"/>
  <c r="O2680" i="16" s="1"/>
  <c r="P2680" i="16" s="1"/>
  <c r="E2679" i="16"/>
  <c r="I2679" i="16" s="1"/>
  <c r="L2679" i="16" s="1"/>
  <c r="O2679" i="16" s="1"/>
  <c r="P2679" i="16" s="1"/>
  <c r="J2677" i="16"/>
  <c r="J2675" i="16" s="1"/>
  <c r="J2681" i="16" s="1"/>
  <c r="I2677" i="16"/>
  <c r="H2676" i="16"/>
  <c r="E2676" i="16"/>
  <c r="K2675" i="16"/>
  <c r="H2675" i="16"/>
  <c r="H2681" i="16" s="1"/>
  <c r="G2675" i="16"/>
  <c r="G2681" i="16" s="1"/>
  <c r="F2675" i="16"/>
  <c r="F2681" i="16" s="1"/>
  <c r="I2674" i="16"/>
  <c r="L2674" i="16" s="1"/>
  <c r="O2674" i="16" s="1"/>
  <c r="I2673" i="16"/>
  <c r="L2673" i="16" s="1"/>
  <c r="O2673" i="16" s="1"/>
  <c r="P2673" i="16" s="1"/>
  <c r="I2671" i="16"/>
  <c r="L2671" i="16" s="1"/>
  <c r="O2671" i="16" s="1"/>
  <c r="P2671" i="16" s="1"/>
  <c r="I2670" i="16"/>
  <c r="K2669" i="16"/>
  <c r="N2669" i="16" s="1"/>
  <c r="J2669" i="16"/>
  <c r="H2669" i="16"/>
  <c r="G2669" i="16"/>
  <c r="F2669" i="16"/>
  <c r="E2669" i="16"/>
  <c r="I2668" i="16"/>
  <c r="I2667" i="16" s="1"/>
  <c r="K2667" i="16"/>
  <c r="N2667" i="16" s="1"/>
  <c r="J2667" i="16"/>
  <c r="H2667" i="16"/>
  <c r="G2667" i="16"/>
  <c r="F2667" i="16"/>
  <c r="E2667" i="16"/>
  <c r="I2666" i="16"/>
  <c r="K2665" i="16"/>
  <c r="N2665" i="16" s="1"/>
  <c r="J2665" i="16"/>
  <c r="H2665" i="16"/>
  <c r="G2665" i="16"/>
  <c r="F2665" i="16"/>
  <c r="E2665" i="16"/>
  <c r="I2664" i="16"/>
  <c r="K2663" i="16"/>
  <c r="N2663" i="16" s="1"/>
  <c r="J2663" i="16"/>
  <c r="H2663" i="16"/>
  <c r="G2663" i="16"/>
  <c r="F2663" i="16"/>
  <c r="E2663" i="16"/>
  <c r="I2662" i="16"/>
  <c r="L2662" i="16" s="1"/>
  <c r="O2662" i="16" s="1"/>
  <c r="I2661" i="16"/>
  <c r="L2661" i="16" s="1"/>
  <c r="O2661" i="16" s="1"/>
  <c r="P2661" i="16" s="1"/>
  <c r="I2660" i="16"/>
  <c r="K2659" i="16"/>
  <c r="N2659" i="16" s="1"/>
  <c r="J2659" i="16"/>
  <c r="H2659" i="16"/>
  <c r="G2659" i="16"/>
  <c r="F2659" i="16"/>
  <c r="E2659" i="16"/>
  <c r="I2658" i="16"/>
  <c r="K2657" i="16"/>
  <c r="N2657" i="16" s="1"/>
  <c r="J2657" i="16"/>
  <c r="H2657" i="16"/>
  <c r="G2657" i="16"/>
  <c r="F2657" i="16"/>
  <c r="E2657" i="16"/>
  <c r="I2656" i="16"/>
  <c r="L2656" i="16" s="1"/>
  <c r="O2656" i="16" s="1"/>
  <c r="I2655" i="16"/>
  <c r="L2655" i="16" s="1"/>
  <c r="O2655" i="16" s="1"/>
  <c r="P2655" i="16" s="1"/>
  <c r="I2654" i="16"/>
  <c r="L2654" i="16" s="1"/>
  <c r="O2654" i="16" s="1"/>
  <c r="P2654" i="16" s="1"/>
  <c r="F2652" i="16"/>
  <c r="E2651" i="16"/>
  <c r="I2651" i="16" s="1"/>
  <c r="I2650" i="16"/>
  <c r="L2650" i="16" s="1"/>
  <c r="O2650" i="16" s="1"/>
  <c r="K2649" i="16"/>
  <c r="J2649" i="16"/>
  <c r="J2652" i="16" s="1"/>
  <c r="H2649" i="16"/>
  <c r="H2652" i="16" s="1"/>
  <c r="G2649" i="16"/>
  <c r="G2652" i="16" s="1"/>
  <c r="F2649" i="16"/>
  <c r="I2648" i="16"/>
  <c r="L2648" i="16" s="1"/>
  <c r="O2648" i="16" s="1"/>
  <c r="I2647" i="16"/>
  <c r="L2647" i="16" s="1"/>
  <c r="O2647" i="16" s="1"/>
  <c r="P2647" i="16" s="1"/>
  <c r="I2645" i="16"/>
  <c r="K2644" i="16"/>
  <c r="N2644" i="16" s="1"/>
  <c r="J2644" i="16"/>
  <c r="H2644" i="16"/>
  <c r="G2644" i="16"/>
  <c r="F2644" i="16"/>
  <c r="E2644" i="16"/>
  <c r="I2643" i="16"/>
  <c r="L2643" i="16" s="1"/>
  <c r="O2643" i="16" s="1"/>
  <c r="P2643" i="16" s="1"/>
  <c r="I2642" i="16"/>
  <c r="L2642" i="16" s="1"/>
  <c r="O2642" i="16" s="1"/>
  <c r="K2641" i="16"/>
  <c r="N2641" i="16" s="1"/>
  <c r="J2641" i="16"/>
  <c r="H2641" i="16"/>
  <c r="G2641" i="16"/>
  <c r="F2641" i="16"/>
  <c r="E2641" i="16"/>
  <c r="I2640" i="16"/>
  <c r="L2640" i="16" s="1"/>
  <c r="O2640" i="16" s="1"/>
  <c r="P2640" i="16" s="1"/>
  <c r="I2639" i="16"/>
  <c r="L2639" i="16" s="1"/>
  <c r="O2639" i="16" s="1"/>
  <c r="P2639" i="16" s="1"/>
  <c r="I2638" i="16"/>
  <c r="K2637" i="16"/>
  <c r="N2637" i="16" s="1"/>
  <c r="J2637" i="16"/>
  <c r="H2637" i="16"/>
  <c r="G2637" i="16"/>
  <c r="F2637" i="16"/>
  <c r="E2637" i="16"/>
  <c r="I2636" i="16"/>
  <c r="L2636" i="16" s="1"/>
  <c r="O2636" i="16" s="1"/>
  <c r="P2636" i="16" s="1"/>
  <c r="I2635" i="16"/>
  <c r="L2635" i="16" s="1"/>
  <c r="O2635" i="16" s="1"/>
  <c r="P2635" i="16" s="1"/>
  <c r="I2634" i="16"/>
  <c r="L2634" i="16" s="1"/>
  <c r="O2634" i="16" s="1"/>
  <c r="P2634" i="16" s="1"/>
  <c r="I2632" i="16"/>
  <c r="L2632" i="16" s="1"/>
  <c r="O2632" i="16" s="1"/>
  <c r="I2630" i="16"/>
  <c r="I2629" i="16" s="1"/>
  <c r="K2629" i="16"/>
  <c r="N2629" i="16" s="1"/>
  <c r="J2629" i="16"/>
  <c r="H2629" i="16"/>
  <c r="G2629" i="16"/>
  <c r="F2629" i="16"/>
  <c r="E2629" i="16"/>
  <c r="I2628" i="16"/>
  <c r="L2628" i="16" s="1"/>
  <c r="O2628" i="16" s="1"/>
  <c r="P2628" i="16" s="1"/>
  <c r="I2627" i="16"/>
  <c r="L2627" i="16" s="1"/>
  <c r="O2627" i="16" s="1"/>
  <c r="P2627" i="16" s="1"/>
  <c r="I2626" i="16"/>
  <c r="L2626" i="16" s="1"/>
  <c r="O2626" i="16" s="1"/>
  <c r="K2625" i="16"/>
  <c r="N2625" i="16" s="1"/>
  <c r="J2625" i="16"/>
  <c r="H2625" i="16"/>
  <c r="G2625" i="16"/>
  <c r="F2625" i="16"/>
  <c r="E2625" i="16"/>
  <c r="I2624" i="16"/>
  <c r="L2624" i="16" s="1"/>
  <c r="O2624" i="16" s="1"/>
  <c r="K2623" i="16"/>
  <c r="N2623" i="16" s="1"/>
  <c r="J2623" i="16"/>
  <c r="H2623" i="16"/>
  <c r="G2623" i="16"/>
  <c r="F2623" i="16"/>
  <c r="E2623" i="16"/>
  <c r="I2622" i="16"/>
  <c r="L2622" i="16" s="1"/>
  <c r="O2622" i="16" s="1"/>
  <c r="P2622" i="16" s="1"/>
  <c r="I2621" i="16"/>
  <c r="L2621" i="16" s="1"/>
  <c r="O2621" i="16" s="1"/>
  <c r="P2621" i="16" s="1"/>
  <c r="I2620" i="16"/>
  <c r="L2620" i="16" s="1"/>
  <c r="O2620" i="16" s="1"/>
  <c r="P2620" i="16" s="1"/>
  <c r="I2619" i="16"/>
  <c r="L2619" i="16" s="1"/>
  <c r="O2619" i="16" s="1"/>
  <c r="P2619" i="16" s="1"/>
  <c r="I2617" i="16"/>
  <c r="L2617" i="16" s="1"/>
  <c r="O2617" i="16" s="1"/>
  <c r="P2617" i="16" s="1"/>
  <c r="I2615" i="16"/>
  <c r="L2615" i="16" s="1"/>
  <c r="L2614" i="16" s="1"/>
  <c r="K2614" i="16"/>
  <c r="J2614" i="16"/>
  <c r="J2616" i="16" s="1"/>
  <c r="H2614" i="16"/>
  <c r="H2616" i="16" s="1"/>
  <c r="G2614" i="16"/>
  <c r="G2616" i="16" s="1"/>
  <c r="F2614" i="16"/>
  <c r="F2616" i="16" s="1"/>
  <c r="E2614" i="16"/>
  <c r="E2616" i="16" s="1"/>
  <c r="I2613" i="16"/>
  <c r="L2613" i="16" s="1"/>
  <c r="O2613" i="16" s="1"/>
  <c r="E2611" i="16"/>
  <c r="I2611" i="16" s="1"/>
  <c r="L2611" i="16" s="1"/>
  <c r="O2611" i="16" s="1"/>
  <c r="P2611" i="16" s="1"/>
  <c r="I2610" i="16"/>
  <c r="E2610" i="16"/>
  <c r="K2609" i="16"/>
  <c r="N2609" i="16" s="1"/>
  <c r="J2609" i="16"/>
  <c r="H2609" i="16"/>
  <c r="G2609" i="16"/>
  <c r="F2609" i="16"/>
  <c r="I2608" i="16"/>
  <c r="K2607" i="16"/>
  <c r="N2607" i="16" s="1"/>
  <c r="J2607" i="16"/>
  <c r="H2607" i="16"/>
  <c r="G2607" i="16"/>
  <c r="F2607" i="16"/>
  <c r="E2607" i="16"/>
  <c r="K2606" i="16"/>
  <c r="E2606" i="16"/>
  <c r="I2606" i="16" s="1"/>
  <c r="J2605" i="16"/>
  <c r="H2605" i="16"/>
  <c r="G2605" i="16"/>
  <c r="F2605" i="16"/>
  <c r="I2604" i="16"/>
  <c r="L2604" i="16" s="1"/>
  <c r="O2604" i="16" s="1"/>
  <c r="P2604" i="16" s="1"/>
  <c r="I2603" i="16"/>
  <c r="K2602" i="16"/>
  <c r="N2602" i="16" s="1"/>
  <c r="J2602" i="16"/>
  <c r="H2602" i="16"/>
  <c r="G2602" i="16"/>
  <c r="F2602" i="16"/>
  <c r="E2602" i="16"/>
  <c r="I2601" i="16"/>
  <c r="L2601" i="16" s="1"/>
  <c r="O2601" i="16" s="1"/>
  <c r="P2601" i="16" s="1"/>
  <c r="I2600" i="16"/>
  <c r="L2600" i="16" s="1"/>
  <c r="O2600" i="16" s="1"/>
  <c r="P2600" i="16" s="1"/>
  <c r="I2599" i="16"/>
  <c r="H2598" i="16"/>
  <c r="G2598" i="16"/>
  <c r="F2598" i="16"/>
  <c r="E2598" i="16"/>
  <c r="I2597" i="16"/>
  <c r="L2597" i="16" s="1"/>
  <c r="O2597" i="16" s="1"/>
  <c r="P2597" i="16" s="1"/>
  <c r="P2596" i="16" s="1"/>
  <c r="K2596" i="16"/>
  <c r="N2596" i="16" s="1"/>
  <c r="J2596" i="16"/>
  <c r="H2596" i="16"/>
  <c r="G2596" i="16"/>
  <c r="F2596" i="16"/>
  <c r="E2596" i="16"/>
  <c r="I2595" i="16"/>
  <c r="I2594" i="16" s="1"/>
  <c r="K2594" i="16"/>
  <c r="N2594" i="16" s="1"/>
  <c r="J2594" i="16"/>
  <c r="H2594" i="16"/>
  <c r="G2594" i="16"/>
  <c r="F2594" i="16"/>
  <c r="E2594" i="16"/>
  <c r="E2593" i="16"/>
  <c r="I2593" i="16" s="1"/>
  <c r="L2593" i="16" s="1"/>
  <c r="O2593" i="16" s="1"/>
  <c r="P2593" i="16" s="1"/>
  <c r="E2592" i="16"/>
  <c r="I2592" i="16" s="1"/>
  <c r="L2592" i="16" s="1"/>
  <c r="O2592" i="16" s="1"/>
  <c r="P2592" i="16" s="1"/>
  <c r="E2591" i="16"/>
  <c r="K2590" i="16"/>
  <c r="N2590" i="16" s="1"/>
  <c r="J2590" i="16"/>
  <c r="H2590" i="16"/>
  <c r="G2590" i="16"/>
  <c r="F2590" i="16"/>
  <c r="I2589" i="16"/>
  <c r="K2588" i="16"/>
  <c r="N2588" i="16" s="1"/>
  <c r="J2588" i="16"/>
  <c r="H2588" i="16"/>
  <c r="G2588" i="16"/>
  <c r="F2588" i="16"/>
  <c r="E2588" i="16"/>
  <c r="I2587" i="16"/>
  <c r="L2587" i="16" s="1"/>
  <c r="O2587" i="16" s="1"/>
  <c r="P2587" i="16" s="1"/>
  <c r="I2586" i="16"/>
  <c r="L2586" i="16" s="1"/>
  <c r="O2586" i="16" s="1"/>
  <c r="K2585" i="16"/>
  <c r="N2585" i="16" s="1"/>
  <c r="J2585" i="16"/>
  <c r="H2585" i="16"/>
  <c r="G2585" i="16"/>
  <c r="F2585" i="16"/>
  <c r="E2585" i="16"/>
  <c r="I2584" i="16"/>
  <c r="L2584" i="16" s="1"/>
  <c r="O2584" i="16" s="1"/>
  <c r="P2584" i="16" s="1"/>
  <c r="I2583" i="16"/>
  <c r="L2583" i="16" s="1"/>
  <c r="O2583" i="16" s="1"/>
  <c r="P2583" i="16" s="1"/>
  <c r="I2582" i="16"/>
  <c r="L2582" i="16" s="1"/>
  <c r="O2582" i="16" s="1"/>
  <c r="P2582" i="16" s="1"/>
  <c r="I2581" i="16"/>
  <c r="L2581" i="16" s="1"/>
  <c r="O2581" i="16" s="1"/>
  <c r="P2581" i="16" s="1"/>
  <c r="I2579" i="16"/>
  <c r="L2579" i="16" s="1"/>
  <c r="O2579" i="16" s="1"/>
  <c r="P2579" i="16" s="1"/>
  <c r="I2578" i="16"/>
  <c r="L2578" i="16" s="1"/>
  <c r="O2578" i="16" s="1"/>
  <c r="P2578" i="16" s="1"/>
  <c r="K2577" i="16"/>
  <c r="I2577" i="16"/>
  <c r="J2576" i="16"/>
  <c r="H2576" i="16"/>
  <c r="G2576" i="16"/>
  <c r="F2576" i="16"/>
  <c r="E2576" i="16"/>
  <c r="I2575" i="16"/>
  <c r="L2575" i="16" s="1"/>
  <c r="O2575" i="16" s="1"/>
  <c r="P2575" i="16" s="1"/>
  <c r="I2574" i="16"/>
  <c r="L2574" i="16" s="1"/>
  <c r="O2574" i="16" s="1"/>
  <c r="P2574" i="16" s="1"/>
  <c r="K2573" i="16"/>
  <c r="I2573" i="16"/>
  <c r="J2572" i="16"/>
  <c r="H2572" i="16"/>
  <c r="G2572" i="16"/>
  <c r="F2572" i="16"/>
  <c r="E2572" i="16"/>
  <c r="I2571" i="16"/>
  <c r="L2571" i="16" s="1"/>
  <c r="O2571" i="16" s="1"/>
  <c r="P2571" i="16" s="1"/>
  <c r="I2570" i="16"/>
  <c r="K2569" i="16"/>
  <c r="N2569" i="16" s="1"/>
  <c r="J2569" i="16"/>
  <c r="H2569" i="16"/>
  <c r="G2569" i="16"/>
  <c r="F2569" i="16"/>
  <c r="E2569" i="16"/>
  <c r="I2568" i="16"/>
  <c r="K2567" i="16"/>
  <c r="N2567" i="16" s="1"/>
  <c r="J2567" i="16"/>
  <c r="H2567" i="16"/>
  <c r="G2567" i="16"/>
  <c r="F2567" i="16"/>
  <c r="E2567" i="16"/>
  <c r="I2566" i="16"/>
  <c r="K2565" i="16"/>
  <c r="N2565" i="16" s="1"/>
  <c r="J2565" i="16"/>
  <c r="H2565" i="16"/>
  <c r="G2565" i="16"/>
  <c r="F2565" i="16"/>
  <c r="E2565" i="16"/>
  <c r="I2564" i="16"/>
  <c r="L2564" i="16" s="1"/>
  <c r="O2564" i="16" s="1"/>
  <c r="P2564" i="16" s="1"/>
  <c r="I2563" i="16"/>
  <c r="L2563" i="16" s="1"/>
  <c r="O2563" i="16" s="1"/>
  <c r="P2563" i="16" s="1"/>
  <c r="I2562" i="16"/>
  <c r="L2562" i="16" s="1"/>
  <c r="O2562" i="16" s="1"/>
  <c r="P2562" i="16" s="1"/>
  <c r="I2561" i="16"/>
  <c r="K2560" i="16"/>
  <c r="N2560" i="16" s="1"/>
  <c r="J2560" i="16"/>
  <c r="H2560" i="16"/>
  <c r="G2560" i="16"/>
  <c r="F2560" i="16"/>
  <c r="E2560" i="16"/>
  <c r="K2559" i="16"/>
  <c r="I2559" i="16"/>
  <c r="J2558" i="16"/>
  <c r="H2558" i="16"/>
  <c r="G2558" i="16"/>
  <c r="F2558" i="16"/>
  <c r="E2558" i="16"/>
  <c r="I2557" i="16"/>
  <c r="L2557" i="16" s="1"/>
  <c r="O2557" i="16" s="1"/>
  <c r="P2557" i="16" s="1"/>
  <c r="I2556" i="16"/>
  <c r="K2555" i="16"/>
  <c r="N2555" i="16" s="1"/>
  <c r="J2555" i="16"/>
  <c r="H2555" i="16"/>
  <c r="G2555" i="16"/>
  <c r="F2555" i="16"/>
  <c r="E2555" i="16"/>
  <c r="I2554" i="16"/>
  <c r="L2554" i="16" s="1"/>
  <c r="O2554" i="16" s="1"/>
  <c r="P2554" i="16" s="1"/>
  <c r="I2553" i="16"/>
  <c r="L2553" i="16" s="1"/>
  <c r="O2553" i="16" s="1"/>
  <c r="P2553" i="16" s="1"/>
  <c r="I2552" i="16"/>
  <c r="K2551" i="16"/>
  <c r="N2551" i="16" s="1"/>
  <c r="J2551" i="16"/>
  <c r="H2551" i="16"/>
  <c r="G2551" i="16"/>
  <c r="F2551" i="16"/>
  <c r="E2551" i="16"/>
  <c r="I2550" i="16"/>
  <c r="L2550" i="16" s="1"/>
  <c r="O2550" i="16" s="1"/>
  <c r="I2549" i="16"/>
  <c r="L2549" i="16" s="1"/>
  <c r="O2549" i="16" s="1"/>
  <c r="P2549" i="16" s="1"/>
  <c r="K2548" i="16"/>
  <c r="N2548" i="16" s="1"/>
  <c r="J2548" i="16"/>
  <c r="H2548" i="16"/>
  <c r="G2548" i="16"/>
  <c r="F2548" i="16"/>
  <c r="E2548" i="16"/>
  <c r="I2547" i="16"/>
  <c r="L2547" i="16" s="1"/>
  <c r="O2547" i="16" s="1"/>
  <c r="P2547" i="16" s="1"/>
  <c r="I2546" i="16"/>
  <c r="L2546" i="16" s="1"/>
  <c r="O2546" i="16" s="1"/>
  <c r="P2546" i="16" s="1"/>
  <c r="I2545" i="16"/>
  <c r="L2545" i="16" s="1"/>
  <c r="O2545" i="16" s="1"/>
  <c r="P2545" i="16" s="1"/>
  <c r="I2544" i="16"/>
  <c r="L2544" i="16" s="1"/>
  <c r="O2544" i="16" s="1"/>
  <c r="P2544" i="16" s="1"/>
  <c r="K2543" i="16"/>
  <c r="N2543" i="16" s="1"/>
  <c r="J2543" i="16"/>
  <c r="H2543" i="16"/>
  <c r="G2543" i="16"/>
  <c r="F2543" i="16"/>
  <c r="E2543" i="16"/>
  <c r="K2542" i="16"/>
  <c r="N2542" i="16" s="1"/>
  <c r="I2542" i="16"/>
  <c r="L2542" i="16" s="1"/>
  <c r="O2542" i="16" s="1"/>
  <c r="K2541" i="16"/>
  <c r="N2541" i="16" s="1"/>
  <c r="I2541" i="16"/>
  <c r="K2540" i="16"/>
  <c r="N2540" i="16" s="1"/>
  <c r="I2540" i="16"/>
  <c r="J2539" i="16"/>
  <c r="H2539" i="16"/>
  <c r="G2539" i="16"/>
  <c r="F2539" i="16"/>
  <c r="E2539" i="16"/>
  <c r="K2538" i="16"/>
  <c r="I2538" i="16"/>
  <c r="I2537" i="16"/>
  <c r="L2537" i="16" s="1"/>
  <c r="O2537" i="16" s="1"/>
  <c r="P2537" i="16" s="1"/>
  <c r="I2536" i="16"/>
  <c r="L2536" i="16" s="1"/>
  <c r="O2536" i="16" s="1"/>
  <c r="P2536" i="16" s="1"/>
  <c r="J2535" i="16"/>
  <c r="H2535" i="16"/>
  <c r="G2535" i="16"/>
  <c r="F2535" i="16"/>
  <c r="E2535" i="16"/>
  <c r="I2534" i="16"/>
  <c r="L2534" i="16" s="1"/>
  <c r="O2534" i="16" s="1"/>
  <c r="P2534" i="16" s="1"/>
  <c r="I2533" i="16"/>
  <c r="L2533" i="16" s="1"/>
  <c r="O2533" i="16" s="1"/>
  <c r="P2533" i="16" s="1"/>
  <c r="K2532" i="16"/>
  <c r="N2532" i="16" s="1"/>
  <c r="J2532" i="16"/>
  <c r="H2532" i="16"/>
  <c r="G2532" i="16"/>
  <c r="F2532" i="16"/>
  <c r="E2532" i="16"/>
  <c r="I2531" i="16"/>
  <c r="L2531" i="16" s="1"/>
  <c r="O2531" i="16" s="1"/>
  <c r="P2531" i="16" s="1"/>
  <c r="I2530" i="16"/>
  <c r="L2530" i="16" s="1"/>
  <c r="O2530" i="16" s="1"/>
  <c r="P2530" i="16" s="1"/>
  <c r="K2529" i="16"/>
  <c r="N2529" i="16" s="1"/>
  <c r="J2529" i="16"/>
  <c r="H2529" i="16"/>
  <c r="G2529" i="16"/>
  <c r="F2529" i="16"/>
  <c r="E2529" i="16"/>
  <c r="I2528" i="16"/>
  <c r="L2528" i="16" s="1"/>
  <c r="O2528" i="16" s="1"/>
  <c r="P2528" i="16" s="1"/>
  <c r="I2527" i="16"/>
  <c r="L2527" i="16" s="1"/>
  <c r="O2527" i="16" s="1"/>
  <c r="P2527" i="16" s="1"/>
  <c r="K2526" i="16"/>
  <c r="N2526" i="16" s="1"/>
  <c r="J2526" i="16"/>
  <c r="H2526" i="16"/>
  <c r="G2526" i="16"/>
  <c r="F2526" i="16"/>
  <c r="E2526" i="16"/>
  <c r="I2525" i="16"/>
  <c r="L2525" i="16" s="1"/>
  <c r="O2525" i="16" s="1"/>
  <c r="P2525" i="16" s="1"/>
  <c r="I2524" i="16"/>
  <c r="L2524" i="16" s="1"/>
  <c r="O2524" i="16" s="1"/>
  <c r="P2524" i="16" s="1"/>
  <c r="I2523" i="16"/>
  <c r="L2523" i="16" s="1"/>
  <c r="O2523" i="16" s="1"/>
  <c r="P2523" i="16" s="1"/>
  <c r="O2522" i="16"/>
  <c r="I2522" i="16"/>
  <c r="O2521" i="16"/>
  <c r="I2521" i="16"/>
  <c r="O2520" i="16"/>
  <c r="I2520" i="16"/>
  <c r="I2514" i="16"/>
  <c r="I2513" i="16" s="1"/>
  <c r="I2515" i="16" s="1"/>
  <c r="K2513" i="16"/>
  <c r="J2513" i="16"/>
  <c r="J2515" i="16" s="1"/>
  <c r="H2513" i="16"/>
  <c r="G2513" i="16"/>
  <c r="G2515" i="16" s="1"/>
  <c r="F2513" i="16"/>
  <c r="F2515" i="16" s="1"/>
  <c r="E2513" i="16"/>
  <c r="E2515" i="16" s="1"/>
  <c r="I2512" i="16"/>
  <c r="L2512" i="16" s="1"/>
  <c r="O2512" i="16" s="1"/>
  <c r="I2511" i="16"/>
  <c r="L2511" i="16" s="1"/>
  <c r="O2511" i="16" s="1"/>
  <c r="I2509" i="16"/>
  <c r="L2509" i="16" s="1"/>
  <c r="O2509" i="16" s="1"/>
  <c r="K2508" i="16"/>
  <c r="N2508" i="16" s="1"/>
  <c r="J2508" i="16"/>
  <c r="H2508" i="16"/>
  <c r="G2508" i="16"/>
  <c r="F2508" i="16"/>
  <c r="E2508" i="16"/>
  <c r="I2507" i="16"/>
  <c r="I2506" i="16" s="1"/>
  <c r="K2506" i="16"/>
  <c r="N2506" i="16" s="1"/>
  <c r="J2506" i="16"/>
  <c r="H2506" i="16"/>
  <c r="G2506" i="16"/>
  <c r="F2506" i="16"/>
  <c r="E2506" i="16"/>
  <c r="I2505" i="16"/>
  <c r="I2504" i="16"/>
  <c r="L2504" i="16" s="1"/>
  <c r="O2504" i="16" s="1"/>
  <c r="K2503" i="16"/>
  <c r="N2503" i="16" s="1"/>
  <c r="J2503" i="16"/>
  <c r="H2503" i="16"/>
  <c r="G2503" i="16"/>
  <c r="F2503" i="16"/>
  <c r="E2503" i="16"/>
  <c r="I2502" i="16"/>
  <c r="L2502" i="16" s="1"/>
  <c r="O2502" i="16" s="1"/>
  <c r="P2502" i="16" s="1"/>
  <c r="E2501" i="16"/>
  <c r="I2501" i="16" s="1"/>
  <c r="K2500" i="16"/>
  <c r="N2500" i="16" s="1"/>
  <c r="J2500" i="16"/>
  <c r="H2500" i="16"/>
  <c r="G2500" i="16"/>
  <c r="F2500" i="16"/>
  <c r="I2499" i="16"/>
  <c r="L2499" i="16" s="1"/>
  <c r="O2499" i="16" s="1"/>
  <c r="K2498" i="16"/>
  <c r="N2498" i="16" s="1"/>
  <c r="J2498" i="16"/>
  <c r="I2498" i="16"/>
  <c r="H2498" i="16"/>
  <c r="G2498" i="16"/>
  <c r="F2498" i="16"/>
  <c r="E2498" i="16"/>
  <c r="I2497" i="16"/>
  <c r="I2496" i="16" s="1"/>
  <c r="K2496" i="16"/>
  <c r="N2496" i="16" s="1"/>
  <c r="J2496" i="16"/>
  <c r="H2496" i="16"/>
  <c r="G2496" i="16"/>
  <c r="F2496" i="16"/>
  <c r="E2496" i="16"/>
  <c r="I2495" i="16"/>
  <c r="L2495" i="16" s="1"/>
  <c r="O2495" i="16" s="1"/>
  <c r="P2495" i="16" s="1"/>
  <c r="I2494" i="16"/>
  <c r="L2494" i="16" s="1"/>
  <c r="O2494" i="16" s="1"/>
  <c r="P2494" i="16" s="1"/>
  <c r="K2493" i="16"/>
  <c r="N2493" i="16" s="1"/>
  <c r="J2493" i="16"/>
  <c r="H2493" i="16"/>
  <c r="G2493" i="16"/>
  <c r="F2493" i="16"/>
  <c r="E2493" i="16"/>
  <c r="I2492" i="16"/>
  <c r="L2492" i="16" s="1"/>
  <c r="O2492" i="16" s="1"/>
  <c r="P2492" i="16" s="1"/>
  <c r="I2491" i="16"/>
  <c r="L2491" i="16" s="1"/>
  <c r="O2491" i="16" s="1"/>
  <c r="P2491" i="16" s="1"/>
  <c r="I2490" i="16"/>
  <c r="L2490" i="16" s="1"/>
  <c r="O2490" i="16" s="1"/>
  <c r="K2489" i="16"/>
  <c r="N2489" i="16" s="1"/>
  <c r="J2489" i="16"/>
  <c r="H2489" i="16"/>
  <c r="G2489" i="16"/>
  <c r="F2489" i="16"/>
  <c r="E2489" i="16"/>
  <c r="I2488" i="16"/>
  <c r="L2488" i="16" s="1"/>
  <c r="O2488" i="16" s="1"/>
  <c r="P2488" i="16" s="1"/>
  <c r="I2487" i="16"/>
  <c r="L2487" i="16" s="1"/>
  <c r="O2487" i="16" s="1"/>
  <c r="P2487" i="16" s="1"/>
  <c r="I2486" i="16"/>
  <c r="K2485" i="16"/>
  <c r="N2485" i="16" s="1"/>
  <c r="J2485" i="16"/>
  <c r="H2485" i="16"/>
  <c r="G2485" i="16"/>
  <c r="F2485" i="16"/>
  <c r="E2485" i="16"/>
  <c r="I2484" i="16"/>
  <c r="L2484" i="16" s="1"/>
  <c r="O2484" i="16" s="1"/>
  <c r="P2484" i="16" s="1"/>
  <c r="I2483" i="16"/>
  <c r="K2482" i="16"/>
  <c r="N2482" i="16" s="1"/>
  <c r="J2482" i="16"/>
  <c r="H2482" i="16"/>
  <c r="G2482" i="16"/>
  <c r="F2482" i="16"/>
  <c r="E2482" i="16"/>
  <c r="I2481" i="16"/>
  <c r="L2481" i="16" s="1"/>
  <c r="O2481" i="16" s="1"/>
  <c r="P2481" i="16" s="1"/>
  <c r="I2480" i="16"/>
  <c r="L2480" i="16" s="1"/>
  <c r="O2480" i="16" s="1"/>
  <c r="P2480" i="16" s="1"/>
  <c r="I2479" i="16"/>
  <c r="K2478" i="16"/>
  <c r="N2478" i="16" s="1"/>
  <c r="J2478" i="16"/>
  <c r="H2478" i="16"/>
  <c r="G2478" i="16"/>
  <c r="F2478" i="16"/>
  <c r="E2478" i="16"/>
  <c r="I2477" i="16"/>
  <c r="I2476" i="16" s="1"/>
  <c r="K2476" i="16"/>
  <c r="N2476" i="16" s="1"/>
  <c r="J2476" i="16"/>
  <c r="H2476" i="16"/>
  <c r="G2476" i="16"/>
  <c r="F2476" i="16"/>
  <c r="E2476" i="16"/>
  <c r="I2475" i="16"/>
  <c r="L2475" i="16" s="1"/>
  <c r="O2475" i="16" s="1"/>
  <c r="I2474" i="16"/>
  <c r="L2474" i="16" s="1"/>
  <c r="O2474" i="16" s="1"/>
  <c r="P2474" i="16" s="1"/>
  <c r="E2472" i="16"/>
  <c r="I2472" i="16" s="1"/>
  <c r="L2472" i="16" s="1"/>
  <c r="O2472" i="16" s="1"/>
  <c r="K2471" i="16"/>
  <c r="N2471" i="16" s="1"/>
  <c r="J2471" i="16"/>
  <c r="H2471" i="16"/>
  <c r="G2471" i="16"/>
  <c r="F2471" i="16"/>
  <c r="I2470" i="16"/>
  <c r="L2470" i="16" s="1"/>
  <c r="O2470" i="16" s="1"/>
  <c r="P2470" i="16" s="1"/>
  <c r="I2469" i="16"/>
  <c r="K2468" i="16"/>
  <c r="N2468" i="16" s="1"/>
  <c r="J2468" i="16"/>
  <c r="H2468" i="16"/>
  <c r="G2468" i="16"/>
  <c r="F2468" i="16"/>
  <c r="E2468" i="16"/>
  <c r="I2467" i="16"/>
  <c r="L2467" i="16" s="1"/>
  <c r="O2467" i="16" s="1"/>
  <c r="P2467" i="16" s="1"/>
  <c r="I2466" i="16"/>
  <c r="L2466" i="16" s="1"/>
  <c r="O2466" i="16" s="1"/>
  <c r="K2465" i="16"/>
  <c r="N2465" i="16" s="1"/>
  <c r="J2465" i="16"/>
  <c r="H2465" i="16"/>
  <c r="G2465" i="16"/>
  <c r="F2465" i="16"/>
  <c r="E2465" i="16"/>
  <c r="I2464" i="16"/>
  <c r="L2464" i="16" s="1"/>
  <c r="O2464" i="16" s="1"/>
  <c r="P2464" i="16" s="1"/>
  <c r="I2463" i="16"/>
  <c r="L2463" i="16" s="1"/>
  <c r="O2463" i="16" s="1"/>
  <c r="K2462" i="16"/>
  <c r="N2462" i="16" s="1"/>
  <c r="J2462" i="16"/>
  <c r="H2462" i="16"/>
  <c r="G2462" i="16"/>
  <c r="F2462" i="16"/>
  <c r="E2462" i="16"/>
  <c r="I2461" i="16"/>
  <c r="I2460" i="16" s="1"/>
  <c r="K2460" i="16"/>
  <c r="N2460" i="16" s="1"/>
  <c r="J2460" i="16"/>
  <c r="H2460" i="16"/>
  <c r="G2460" i="16"/>
  <c r="F2460" i="16"/>
  <c r="E2460" i="16"/>
  <c r="I2459" i="16"/>
  <c r="I2458" i="16" s="1"/>
  <c r="K2458" i="16"/>
  <c r="N2458" i="16" s="1"/>
  <c r="J2458" i="16"/>
  <c r="H2458" i="16"/>
  <c r="G2458" i="16"/>
  <c r="F2458" i="16"/>
  <c r="E2458" i="16"/>
  <c r="I2457" i="16"/>
  <c r="L2457" i="16" s="1"/>
  <c r="O2457" i="16" s="1"/>
  <c r="P2457" i="16" s="1"/>
  <c r="I2456" i="16"/>
  <c r="L2456" i="16" s="1"/>
  <c r="O2456" i="16" s="1"/>
  <c r="P2456" i="16" s="1"/>
  <c r="I2455" i="16"/>
  <c r="K2454" i="16"/>
  <c r="N2454" i="16" s="1"/>
  <c r="J2454" i="16"/>
  <c r="H2454" i="16"/>
  <c r="G2454" i="16"/>
  <c r="F2454" i="16"/>
  <c r="E2454" i="16"/>
  <c r="E2453" i="16"/>
  <c r="I2453" i="16" s="1"/>
  <c r="L2453" i="16" s="1"/>
  <c r="O2453" i="16" s="1"/>
  <c r="P2453" i="16" s="1"/>
  <c r="I2452" i="16"/>
  <c r="L2452" i="16" s="1"/>
  <c r="O2452" i="16" s="1"/>
  <c r="P2452" i="16" s="1"/>
  <c r="I2451" i="16"/>
  <c r="L2451" i="16" s="1"/>
  <c r="O2451" i="16" s="1"/>
  <c r="P2451" i="16" s="1"/>
  <c r="K2450" i="16"/>
  <c r="I2450" i="16"/>
  <c r="J2449" i="16"/>
  <c r="H2449" i="16"/>
  <c r="G2449" i="16"/>
  <c r="F2449" i="16"/>
  <c r="I2448" i="16"/>
  <c r="L2448" i="16" s="1"/>
  <c r="O2448" i="16" s="1"/>
  <c r="P2448" i="16" s="1"/>
  <c r="I2447" i="16"/>
  <c r="L2447" i="16" s="1"/>
  <c r="O2447" i="16" s="1"/>
  <c r="P2447" i="16" s="1"/>
  <c r="I2446" i="16"/>
  <c r="K2445" i="16"/>
  <c r="N2445" i="16" s="1"/>
  <c r="J2445" i="16"/>
  <c r="H2445" i="16"/>
  <c r="G2445" i="16"/>
  <c r="F2445" i="16"/>
  <c r="E2445" i="16"/>
  <c r="I2444" i="16"/>
  <c r="L2444" i="16" s="1"/>
  <c r="O2444" i="16" s="1"/>
  <c r="P2444" i="16" s="1"/>
  <c r="I2443" i="16"/>
  <c r="K2442" i="16"/>
  <c r="N2442" i="16" s="1"/>
  <c r="J2442" i="16"/>
  <c r="H2442" i="16"/>
  <c r="G2442" i="16"/>
  <c r="F2442" i="16"/>
  <c r="E2442" i="16"/>
  <c r="I2441" i="16"/>
  <c r="L2441" i="16" s="1"/>
  <c r="O2441" i="16" s="1"/>
  <c r="P2441" i="16" s="1"/>
  <c r="I2440" i="16"/>
  <c r="L2440" i="16" s="1"/>
  <c r="O2440" i="16" s="1"/>
  <c r="P2440" i="16" s="1"/>
  <c r="I2439" i="16"/>
  <c r="K2438" i="16"/>
  <c r="N2438" i="16" s="1"/>
  <c r="J2438" i="16"/>
  <c r="H2438" i="16"/>
  <c r="G2438" i="16"/>
  <c r="F2438" i="16"/>
  <c r="E2438" i="16"/>
  <c r="I2437" i="16"/>
  <c r="L2437" i="16" s="1"/>
  <c r="O2437" i="16" s="1"/>
  <c r="P2437" i="16" s="1"/>
  <c r="I2436" i="16"/>
  <c r="L2436" i="16" s="1"/>
  <c r="O2436" i="16" s="1"/>
  <c r="K2435" i="16"/>
  <c r="N2435" i="16" s="1"/>
  <c r="J2435" i="16"/>
  <c r="H2435" i="16"/>
  <c r="G2435" i="16"/>
  <c r="F2435" i="16"/>
  <c r="E2435" i="16"/>
  <c r="I2434" i="16"/>
  <c r="L2434" i="16" s="1"/>
  <c r="O2434" i="16" s="1"/>
  <c r="P2434" i="16" s="1"/>
  <c r="I2433" i="16"/>
  <c r="L2433" i="16" s="1"/>
  <c r="O2433" i="16" s="1"/>
  <c r="K2432" i="16"/>
  <c r="N2432" i="16" s="1"/>
  <c r="J2432" i="16"/>
  <c r="H2432" i="16"/>
  <c r="G2432" i="16"/>
  <c r="F2432" i="16"/>
  <c r="E2432" i="16"/>
  <c r="I2431" i="16"/>
  <c r="L2431" i="16" s="1"/>
  <c r="O2431" i="16" s="1"/>
  <c r="I2430" i="16"/>
  <c r="L2430" i="16" s="1"/>
  <c r="O2430" i="16" s="1"/>
  <c r="P2430" i="16" s="1"/>
  <c r="I2429" i="16"/>
  <c r="L2429" i="16" s="1"/>
  <c r="O2429" i="16" s="1"/>
  <c r="P2429" i="16" s="1"/>
  <c r="I2428" i="16"/>
  <c r="L2428" i="16" s="1"/>
  <c r="O2428" i="16" s="1"/>
  <c r="I2425" i="16"/>
  <c r="L2425" i="16" s="1"/>
  <c r="O2425" i="16" s="1"/>
  <c r="P2425" i="16" s="1"/>
  <c r="H2424" i="16"/>
  <c r="I2424" i="16" s="1"/>
  <c r="L2424" i="16" s="1"/>
  <c r="O2424" i="16" s="1"/>
  <c r="P2424" i="16" s="1"/>
  <c r="H2423" i="16"/>
  <c r="I2423" i="16" s="1"/>
  <c r="K2422" i="16"/>
  <c r="N2422" i="16" s="1"/>
  <c r="J2422" i="16"/>
  <c r="G2422" i="16"/>
  <c r="F2422" i="16"/>
  <c r="E2422" i="16"/>
  <c r="I2421" i="16"/>
  <c r="L2421" i="16" s="1"/>
  <c r="O2421" i="16" s="1"/>
  <c r="P2421" i="16" s="1"/>
  <c r="I2420" i="16"/>
  <c r="L2420" i="16" s="1"/>
  <c r="O2420" i="16" s="1"/>
  <c r="P2420" i="16" s="1"/>
  <c r="I2419" i="16"/>
  <c r="K2418" i="16"/>
  <c r="N2418" i="16" s="1"/>
  <c r="J2418" i="16"/>
  <c r="H2418" i="16"/>
  <c r="G2418" i="16"/>
  <c r="F2418" i="16"/>
  <c r="E2418" i="16"/>
  <c r="I2417" i="16"/>
  <c r="L2417" i="16" s="1"/>
  <c r="O2417" i="16" s="1"/>
  <c r="P2417" i="16" s="1"/>
  <c r="I2416" i="16"/>
  <c r="L2416" i="16" s="1"/>
  <c r="O2416" i="16" s="1"/>
  <c r="P2416" i="16" s="1"/>
  <c r="I2415" i="16"/>
  <c r="L2415" i="16" s="1"/>
  <c r="O2415" i="16" s="1"/>
  <c r="P2415" i="16" s="1"/>
  <c r="I2413" i="16"/>
  <c r="L2413" i="16" s="1"/>
  <c r="O2413" i="16" s="1"/>
  <c r="I2412" i="16"/>
  <c r="L2412" i="16" s="1"/>
  <c r="O2412" i="16" s="1"/>
  <c r="P2412" i="16" s="1"/>
  <c r="I2411" i="16"/>
  <c r="K2410" i="16"/>
  <c r="N2410" i="16" s="1"/>
  <c r="J2410" i="16"/>
  <c r="H2410" i="16"/>
  <c r="G2410" i="16"/>
  <c r="F2410" i="16"/>
  <c r="E2410" i="16"/>
  <c r="E2409" i="16"/>
  <c r="I2409" i="16" s="1"/>
  <c r="K2408" i="16"/>
  <c r="N2408" i="16" s="1"/>
  <c r="J2408" i="16"/>
  <c r="H2408" i="16"/>
  <c r="G2408" i="16"/>
  <c r="F2408" i="16"/>
  <c r="I2407" i="16"/>
  <c r="I2406" i="16" s="1"/>
  <c r="K2406" i="16"/>
  <c r="N2406" i="16" s="1"/>
  <c r="J2406" i="16"/>
  <c r="H2406" i="16"/>
  <c r="G2406" i="16"/>
  <c r="F2406" i="16"/>
  <c r="E2406" i="16"/>
  <c r="I2405" i="16"/>
  <c r="L2405" i="16" s="1"/>
  <c r="O2405" i="16" s="1"/>
  <c r="P2405" i="16" s="1"/>
  <c r="I2404" i="16"/>
  <c r="L2404" i="16" s="1"/>
  <c r="O2404" i="16" s="1"/>
  <c r="K2403" i="16"/>
  <c r="N2403" i="16" s="1"/>
  <c r="J2403" i="16"/>
  <c r="H2403" i="16"/>
  <c r="G2403" i="16"/>
  <c r="F2403" i="16"/>
  <c r="E2403" i="16"/>
  <c r="I2402" i="16"/>
  <c r="I2401" i="16" s="1"/>
  <c r="K2401" i="16"/>
  <c r="N2401" i="16" s="1"/>
  <c r="J2401" i="16"/>
  <c r="H2401" i="16"/>
  <c r="G2401" i="16"/>
  <c r="F2401" i="16"/>
  <c r="E2401" i="16"/>
  <c r="I2400" i="16"/>
  <c r="L2400" i="16" s="1"/>
  <c r="O2400" i="16" s="1"/>
  <c r="P2400" i="16" s="1"/>
  <c r="I2399" i="16"/>
  <c r="L2399" i="16" s="1"/>
  <c r="O2399" i="16" s="1"/>
  <c r="K2398" i="16"/>
  <c r="N2398" i="16" s="1"/>
  <c r="J2398" i="16"/>
  <c r="H2398" i="16"/>
  <c r="G2398" i="16"/>
  <c r="F2398" i="16"/>
  <c r="E2398" i="16"/>
  <c r="I2397" i="16"/>
  <c r="L2397" i="16" s="1"/>
  <c r="O2397" i="16" s="1"/>
  <c r="P2397" i="16" s="1"/>
  <c r="I2396" i="16"/>
  <c r="K2395" i="16"/>
  <c r="N2395" i="16" s="1"/>
  <c r="J2395" i="16"/>
  <c r="H2395" i="16"/>
  <c r="G2395" i="16"/>
  <c r="F2395" i="16"/>
  <c r="E2395" i="16"/>
  <c r="I2394" i="16"/>
  <c r="L2394" i="16" s="1"/>
  <c r="O2394" i="16" s="1"/>
  <c r="P2394" i="16" s="1"/>
  <c r="I2393" i="16"/>
  <c r="L2393" i="16" s="1"/>
  <c r="O2393" i="16" s="1"/>
  <c r="K2392" i="16"/>
  <c r="N2392" i="16" s="1"/>
  <c r="J2392" i="16"/>
  <c r="H2392" i="16"/>
  <c r="G2392" i="16"/>
  <c r="F2392" i="16"/>
  <c r="E2392" i="16"/>
  <c r="I2391" i="16"/>
  <c r="L2391" i="16" s="1"/>
  <c r="O2391" i="16" s="1"/>
  <c r="P2391" i="16" s="1"/>
  <c r="I2390" i="16"/>
  <c r="L2390" i="16" s="1"/>
  <c r="O2390" i="16" s="1"/>
  <c r="P2390" i="16" s="1"/>
  <c r="I2389" i="16"/>
  <c r="L2389" i="16" s="1"/>
  <c r="O2389" i="16" s="1"/>
  <c r="P2389" i="16" s="1"/>
  <c r="I2388" i="16"/>
  <c r="K2387" i="16"/>
  <c r="N2387" i="16" s="1"/>
  <c r="J2387" i="16"/>
  <c r="H2387" i="16"/>
  <c r="G2387" i="16"/>
  <c r="F2387" i="16"/>
  <c r="E2387" i="16"/>
  <c r="I2386" i="16"/>
  <c r="I2385" i="16"/>
  <c r="L2385" i="16" s="1"/>
  <c r="O2385" i="16" s="1"/>
  <c r="K2384" i="16"/>
  <c r="N2384" i="16" s="1"/>
  <c r="J2384" i="16"/>
  <c r="H2384" i="16"/>
  <c r="G2384" i="16"/>
  <c r="F2384" i="16"/>
  <c r="E2384" i="16"/>
  <c r="E2383" i="16"/>
  <c r="I2383" i="16" s="1"/>
  <c r="L2383" i="16" s="1"/>
  <c r="O2383" i="16" s="1"/>
  <c r="P2383" i="16" s="1"/>
  <c r="I2382" i="16"/>
  <c r="L2382" i="16" s="1"/>
  <c r="O2382" i="16" s="1"/>
  <c r="P2382" i="16" s="1"/>
  <c r="E2381" i="16"/>
  <c r="K2380" i="16"/>
  <c r="N2380" i="16" s="1"/>
  <c r="J2380" i="16"/>
  <c r="H2380" i="16"/>
  <c r="G2380" i="16"/>
  <c r="F2380" i="16"/>
  <c r="I2379" i="16"/>
  <c r="I2378" i="16" s="1"/>
  <c r="K2378" i="16"/>
  <c r="N2378" i="16" s="1"/>
  <c r="J2378" i="16"/>
  <c r="H2378" i="16"/>
  <c r="G2378" i="16"/>
  <c r="F2378" i="16"/>
  <c r="E2378" i="16"/>
  <c r="I2377" i="16"/>
  <c r="L2377" i="16" s="1"/>
  <c r="O2377" i="16" s="1"/>
  <c r="P2377" i="16" s="1"/>
  <c r="I2376" i="16"/>
  <c r="L2376" i="16" s="1"/>
  <c r="O2376" i="16" s="1"/>
  <c r="K2375" i="16"/>
  <c r="N2375" i="16" s="1"/>
  <c r="J2375" i="16"/>
  <c r="H2375" i="16"/>
  <c r="G2375" i="16"/>
  <c r="F2375" i="16"/>
  <c r="E2375" i="16"/>
  <c r="I2374" i="16"/>
  <c r="L2374" i="16" s="1"/>
  <c r="O2374" i="16" s="1"/>
  <c r="P2374" i="16" s="1"/>
  <c r="I2373" i="16"/>
  <c r="L2373" i="16" s="1"/>
  <c r="E2370" i="16"/>
  <c r="I2370" i="16" s="1"/>
  <c r="K2369" i="16"/>
  <c r="N2369" i="16" s="1"/>
  <c r="J2369" i="16"/>
  <c r="H2369" i="16"/>
  <c r="G2369" i="16"/>
  <c r="F2369" i="16"/>
  <c r="I2368" i="16"/>
  <c r="K2367" i="16"/>
  <c r="N2367" i="16" s="1"/>
  <c r="J2367" i="16"/>
  <c r="H2367" i="16"/>
  <c r="G2367" i="16"/>
  <c r="F2367" i="16"/>
  <c r="E2367" i="16"/>
  <c r="E2366" i="16"/>
  <c r="I2366" i="16" s="1"/>
  <c r="K2365" i="16"/>
  <c r="N2365" i="16" s="1"/>
  <c r="J2365" i="16"/>
  <c r="H2365" i="16"/>
  <c r="G2365" i="16"/>
  <c r="F2365" i="16"/>
  <c r="I2364" i="16"/>
  <c r="L2364" i="16" s="1"/>
  <c r="O2364" i="16" s="1"/>
  <c r="P2364" i="16" s="1"/>
  <c r="H2363" i="16"/>
  <c r="H2362" i="16" s="1"/>
  <c r="E2363" i="16"/>
  <c r="E2362" i="16" s="1"/>
  <c r="K2362" i="16"/>
  <c r="N2362" i="16" s="1"/>
  <c r="J2362" i="16"/>
  <c r="G2362" i="16"/>
  <c r="F2362" i="16"/>
  <c r="I2361" i="16"/>
  <c r="L2361" i="16" s="1"/>
  <c r="O2361" i="16" s="1"/>
  <c r="P2361" i="16" s="1"/>
  <c r="I2360" i="16"/>
  <c r="L2360" i="16" s="1"/>
  <c r="O2360" i="16" s="1"/>
  <c r="P2360" i="16" s="1"/>
  <c r="E2358" i="16"/>
  <c r="E2357" i="16" s="1"/>
  <c r="K2357" i="16"/>
  <c r="N2357" i="16" s="1"/>
  <c r="J2357" i="16"/>
  <c r="H2357" i="16"/>
  <c r="G2357" i="16"/>
  <c r="F2357" i="16"/>
  <c r="I2356" i="16"/>
  <c r="I2355" i="16" s="1"/>
  <c r="K2355" i="16"/>
  <c r="N2355" i="16" s="1"/>
  <c r="J2355" i="16"/>
  <c r="H2355" i="16"/>
  <c r="G2355" i="16"/>
  <c r="F2355" i="16"/>
  <c r="E2355" i="16"/>
  <c r="E2354" i="16"/>
  <c r="I2353" i="16"/>
  <c r="L2353" i="16" s="1"/>
  <c r="O2353" i="16" s="1"/>
  <c r="K2352" i="16"/>
  <c r="N2352" i="16" s="1"/>
  <c r="J2352" i="16"/>
  <c r="H2352" i="16"/>
  <c r="G2352" i="16"/>
  <c r="F2352" i="16"/>
  <c r="I2351" i="16"/>
  <c r="I2350" i="16" s="1"/>
  <c r="K2350" i="16"/>
  <c r="N2350" i="16" s="1"/>
  <c r="J2350" i="16"/>
  <c r="H2350" i="16"/>
  <c r="G2350" i="16"/>
  <c r="F2350" i="16"/>
  <c r="E2350" i="16"/>
  <c r="I2349" i="16"/>
  <c r="L2349" i="16" s="1"/>
  <c r="O2349" i="16" s="1"/>
  <c r="K2348" i="16"/>
  <c r="N2348" i="16" s="1"/>
  <c r="J2348" i="16"/>
  <c r="H2348" i="16"/>
  <c r="G2348" i="16"/>
  <c r="F2348" i="16"/>
  <c r="E2348" i="16"/>
  <c r="I2347" i="16"/>
  <c r="I2346" i="16" s="1"/>
  <c r="K2346" i="16"/>
  <c r="N2346" i="16" s="1"/>
  <c r="J2346" i="16"/>
  <c r="H2346" i="16"/>
  <c r="G2346" i="16"/>
  <c r="F2346" i="16"/>
  <c r="E2346" i="16"/>
  <c r="I2345" i="16"/>
  <c r="L2345" i="16" s="1"/>
  <c r="O2345" i="16" s="1"/>
  <c r="K2344" i="16"/>
  <c r="N2344" i="16" s="1"/>
  <c r="J2344" i="16"/>
  <c r="H2344" i="16"/>
  <c r="G2344" i="16"/>
  <c r="F2344" i="16"/>
  <c r="E2344" i="16"/>
  <c r="I2343" i="16"/>
  <c r="L2343" i="16" s="1"/>
  <c r="O2343" i="16" s="1"/>
  <c r="P2343" i="16" s="1"/>
  <c r="I2342" i="16"/>
  <c r="K2341" i="16"/>
  <c r="N2341" i="16" s="1"/>
  <c r="J2341" i="16"/>
  <c r="H2341" i="16"/>
  <c r="G2341" i="16"/>
  <c r="F2341" i="16"/>
  <c r="E2341" i="16"/>
  <c r="I2340" i="16"/>
  <c r="L2340" i="16" s="1"/>
  <c r="O2340" i="16" s="1"/>
  <c r="P2340" i="16" s="1"/>
  <c r="I2339" i="16"/>
  <c r="L2339" i="16" s="1"/>
  <c r="O2339" i="16" s="1"/>
  <c r="K2338" i="16"/>
  <c r="N2338" i="16" s="1"/>
  <c r="J2338" i="16"/>
  <c r="H2338" i="16"/>
  <c r="G2338" i="16"/>
  <c r="F2338" i="16"/>
  <c r="E2338" i="16"/>
  <c r="I2337" i="16"/>
  <c r="L2337" i="16" s="1"/>
  <c r="O2337" i="16" s="1"/>
  <c r="P2337" i="16" s="1"/>
  <c r="I2336" i="16"/>
  <c r="I2335" i="16"/>
  <c r="L2335" i="16" s="1"/>
  <c r="O2335" i="16" s="1"/>
  <c r="P2335" i="16" s="1"/>
  <c r="E2335" i="16"/>
  <c r="I2334" i="16"/>
  <c r="L2334" i="16" s="1"/>
  <c r="O2334" i="16" s="1"/>
  <c r="P2334" i="16" s="1"/>
  <c r="I2333" i="16"/>
  <c r="L2333" i="16" s="1"/>
  <c r="O2333" i="16" s="1"/>
  <c r="K2332" i="16"/>
  <c r="N2332" i="16" s="1"/>
  <c r="J2332" i="16"/>
  <c r="H2332" i="16"/>
  <c r="G2332" i="16"/>
  <c r="F2332" i="16"/>
  <c r="E2332" i="16"/>
  <c r="E2331" i="16"/>
  <c r="I2331" i="16" s="1"/>
  <c r="L2331" i="16" s="1"/>
  <c r="O2331" i="16" s="1"/>
  <c r="P2331" i="16" s="1"/>
  <c r="E2330" i="16"/>
  <c r="I2330" i="16" s="1"/>
  <c r="L2330" i="16" s="1"/>
  <c r="O2330" i="16" s="1"/>
  <c r="K2329" i="16"/>
  <c r="N2329" i="16" s="1"/>
  <c r="J2329" i="16"/>
  <c r="H2329" i="16"/>
  <c r="G2329" i="16"/>
  <c r="F2329" i="16"/>
  <c r="I2328" i="16"/>
  <c r="L2328" i="16" s="1"/>
  <c r="O2328" i="16" s="1"/>
  <c r="P2328" i="16" s="1"/>
  <c r="I2327" i="16"/>
  <c r="L2327" i="16" s="1"/>
  <c r="O2327" i="16" s="1"/>
  <c r="P2327" i="16" s="1"/>
  <c r="I2326" i="16"/>
  <c r="L2326" i="16" s="1"/>
  <c r="O2326" i="16" s="1"/>
  <c r="P2326" i="16" s="1"/>
  <c r="I2325" i="16"/>
  <c r="L2325" i="16" s="1"/>
  <c r="O2325" i="16" s="1"/>
  <c r="K2324" i="16"/>
  <c r="N2324" i="16" s="1"/>
  <c r="J2324" i="16"/>
  <c r="H2324" i="16"/>
  <c r="G2324" i="16"/>
  <c r="F2324" i="16"/>
  <c r="E2324" i="16"/>
  <c r="I2323" i="16"/>
  <c r="K2322" i="16"/>
  <c r="N2322" i="16" s="1"/>
  <c r="J2322" i="16"/>
  <c r="H2322" i="16"/>
  <c r="G2322" i="16"/>
  <c r="F2322" i="16"/>
  <c r="E2322" i="16"/>
  <c r="I2321" i="16"/>
  <c r="L2321" i="16" s="1"/>
  <c r="O2321" i="16" s="1"/>
  <c r="P2321" i="16" s="1"/>
  <c r="I2320" i="16"/>
  <c r="L2320" i="16" s="1"/>
  <c r="O2320" i="16" s="1"/>
  <c r="K2319" i="16"/>
  <c r="N2319" i="16" s="1"/>
  <c r="J2319" i="16"/>
  <c r="H2319" i="16"/>
  <c r="G2319" i="16"/>
  <c r="F2319" i="16"/>
  <c r="E2319" i="16"/>
  <c r="I2318" i="16"/>
  <c r="L2318" i="16" s="1"/>
  <c r="O2318" i="16" s="1"/>
  <c r="P2318" i="16" s="1"/>
  <c r="I2317" i="16"/>
  <c r="L2317" i="16" s="1"/>
  <c r="O2317" i="16" s="1"/>
  <c r="P2317" i="16" s="1"/>
  <c r="I2316" i="16"/>
  <c r="L2316" i="16" s="1"/>
  <c r="O2316" i="16" s="1"/>
  <c r="P2316" i="16" s="1"/>
  <c r="I2315" i="16"/>
  <c r="L2315" i="16" s="1"/>
  <c r="O2315" i="16" s="1"/>
  <c r="P2315" i="16" s="1"/>
  <c r="I2313" i="16"/>
  <c r="L2313" i="16" s="1"/>
  <c r="O2313" i="16" s="1"/>
  <c r="P2313" i="16" s="1"/>
  <c r="E2312" i="16"/>
  <c r="E2310" i="16" s="1"/>
  <c r="I2311" i="16"/>
  <c r="K2310" i="16"/>
  <c r="N2310" i="16" s="1"/>
  <c r="J2310" i="16"/>
  <c r="H2310" i="16"/>
  <c r="G2310" i="16"/>
  <c r="F2310" i="16"/>
  <c r="I2309" i="16"/>
  <c r="L2309" i="16" s="1"/>
  <c r="O2309" i="16" s="1"/>
  <c r="K2308" i="16"/>
  <c r="N2308" i="16" s="1"/>
  <c r="J2308" i="16"/>
  <c r="H2308" i="16"/>
  <c r="G2308" i="16"/>
  <c r="F2308" i="16"/>
  <c r="E2308" i="16"/>
  <c r="E2307" i="16"/>
  <c r="I2307" i="16" s="1"/>
  <c r="I2306" i="16"/>
  <c r="L2306" i="16" s="1"/>
  <c r="O2306" i="16" s="1"/>
  <c r="K2305" i="16"/>
  <c r="N2305" i="16" s="1"/>
  <c r="J2305" i="16"/>
  <c r="H2305" i="16"/>
  <c r="G2305" i="16"/>
  <c r="F2305" i="16"/>
  <c r="E2305" i="16"/>
  <c r="I2304" i="16"/>
  <c r="L2304" i="16" s="1"/>
  <c r="O2304" i="16" s="1"/>
  <c r="K2303" i="16"/>
  <c r="N2303" i="16" s="1"/>
  <c r="J2303" i="16"/>
  <c r="H2303" i="16"/>
  <c r="G2303" i="16"/>
  <c r="F2303" i="16"/>
  <c r="E2303" i="16"/>
  <c r="I2302" i="16"/>
  <c r="I2301" i="16"/>
  <c r="L2301" i="16" s="1"/>
  <c r="O2301" i="16" s="1"/>
  <c r="P2301" i="16" s="1"/>
  <c r="K2300" i="16"/>
  <c r="N2300" i="16" s="1"/>
  <c r="J2300" i="16"/>
  <c r="H2300" i="16"/>
  <c r="G2300" i="16"/>
  <c r="F2300" i="16"/>
  <c r="E2300" i="16"/>
  <c r="I2299" i="16"/>
  <c r="L2299" i="16" s="1"/>
  <c r="O2299" i="16" s="1"/>
  <c r="K2298" i="16"/>
  <c r="N2298" i="16" s="1"/>
  <c r="J2298" i="16"/>
  <c r="H2298" i="16"/>
  <c r="G2298" i="16"/>
  <c r="F2298" i="16"/>
  <c r="E2298" i="16"/>
  <c r="I2297" i="16"/>
  <c r="L2297" i="16" s="1"/>
  <c r="O2297" i="16" s="1"/>
  <c r="P2297" i="16" s="1"/>
  <c r="I2296" i="16"/>
  <c r="L2296" i="16" s="1"/>
  <c r="O2296" i="16" s="1"/>
  <c r="P2296" i="16" s="1"/>
  <c r="E2295" i="16"/>
  <c r="I2295" i="16" s="1"/>
  <c r="K2294" i="16"/>
  <c r="N2294" i="16" s="1"/>
  <c r="J2294" i="16"/>
  <c r="H2294" i="16"/>
  <c r="G2294" i="16"/>
  <c r="F2294" i="16"/>
  <c r="I2293" i="16"/>
  <c r="I2292" i="16" s="1"/>
  <c r="K2292" i="16"/>
  <c r="N2292" i="16" s="1"/>
  <c r="J2292" i="16"/>
  <c r="H2292" i="16"/>
  <c r="G2292" i="16"/>
  <c r="F2292" i="16"/>
  <c r="E2292" i="16"/>
  <c r="E2291" i="16"/>
  <c r="I2291" i="16" s="1"/>
  <c r="K2290" i="16"/>
  <c r="N2290" i="16" s="1"/>
  <c r="J2290" i="16"/>
  <c r="H2290" i="16"/>
  <c r="G2290" i="16"/>
  <c r="F2290" i="16"/>
  <c r="K2289" i="16"/>
  <c r="N2289" i="16" s="1"/>
  <c r="I2289" i="16"/>
  <c r="I2288" i="16"/>
  <c r="L2288" i="16" s="1"/>
  <c r="O2288" i="16" s="1"/>
  <c r="J2287" i="16"/>
  <c r="H2287" i="16"/>
  <c r="G2287" i="16"/>
  <c r="F2287" i="16"/>
  <c r="E2287" i="16"/>
  <c r="E2286" i="16"/>
  <c r="I2286" i="16" s="1"/>
  <c r="L2286" i="16" s="1"/>
  <c r="O2286" i="16" s="1"/>
  <c r="P2286" i="16" s="1"/>
  <c r="E2285" i="16"/>
  <c r="I2285" i="16" s="1"/>
  <c r="I2284" i="16"/>
  <c r="L2284" i="16" s="1"/>
  <c r="O2284" i="16" s="1"/>
  <c r="P2284" i="16" s="1"/>
  <c r="I2283" i="16"/>
  <c r="L2283" i="16" s="1"/>
  <c r="O2283" i="16" s="1"/>
  <c r="P2283" i="16" s="1"/>
  <c r="I2282" i="16"/>
  <c r="L2282" i="16" s="1"/>
  <c r="O2282" i="16" s="1"/>
  <c r="K2281" i="16"/>
  <c r="N2281" i="16" s="1"/>
  <c r="J2281" i="16"/>
  <c r="H2281" i="16"/>
  <c r="G2281" i="16"/>
  <c r="F2281" i="16"/>
  <c r="I2280" i="16"/>
  <c r="I2279" i="16" s="1"/>
  <c r="K2279" i="16"/>
  <c r="N2279" i="16" s="1"/>
  <c r="J2279" i="16"/>
  <c r="H2279" i="16"/>
  <c r="G2279" i="16"/>
  <c r="F2279" i="16"/>
  <c r="E2279" i="16"/>
  <c r="I2278" i="16"/>
  <c r="L2278" i="16" s="1"/>
  <c r="O2278" i="16" s="1"/>
  <c r="P2278" i="16" s="1"/>
  <c r="I2277" i="16"/>
  <c r="L2277" i="16" s="1"/>
  <c r="O2277" i="16" s="1"/>
  <c r="P2277" i="16" s="1"/>
  <c r="I2276" i="16"/>
  <c r="I2275" i="16"/>
  <c r="L2275" i="16" s="1"/>
  <c r="O2275" i="16" s="1"/>
  <c r="K2274" i="16"/>
  <c r="N2274" i="16" s="1"/>
  <c r="J2274" i="16"/>
  <c r="H2274" i="16"/>
  <c r="G2274" i="16"/>
  <c r="F2274" i="16"/>
  <c r="E2274" i="16"/>
  <c r="I2273" i="16"/>
  <c r="L2273" i="16" s="1"/>
  <c r="O2273" i="16" s="1"/>
  <c r="P2273" i="16" s="1"/>
  <c r="I2272" i="16"/>
  <c r="L2272" i="16" s="1"/>
  <c r="O2272" i="16" s="1"/>
  <c r="P2272" i="16" s="1"/>
  <c r="I2271" i="16"/>
  <c r="L2271" i="16" s="1"/>
  <c r="O2271" i="16" s="1"/>
  <c r="P2271" i="16" s="1"/>
  <c r="E2270" i="16"/>
  <c r="E2269" i="16" s="1"/>
  <c r="K2269" i="16"/>
  <c r="N2269" i="16" s="1"/>
  <c r="J2269" i="16"/>
  <c r="H2269" i="16"/>
  <c r="G2269" i="16"/>
  <c r="F2269" i="16"/>
  <c r="I2268" i="16"/>
  <c r="L2268" i="16" s="1"/>
  <c r="O2268" i="16" s="1"/>
  <c r="P2268" i="16" s="1"/>
  <c r="I2267" i="16"/>
  <c r="L2267" i="16" s="1"/>
  <c r="O2267" i="16" s="1"/>
  <c r="P2267" i="16" s="1"/>
  <c r="E2266" i="16"/>
  <c r="I2266" i="16" s="1"/>
  <c r="L2266" i="16" s="1"/>
  <c r="O2266" i="16" s="1"/>
  <c r="P2266" i="16" s="1"/>
  <c r="E2265" i="16"/>
  <c r="E2264" i="16"/>
  <c r="I2264" i="16" s="1"/>
  <c r="K2263" i="16"/>
  <c r="N2263" i="16" s="1"/>
  <c r="J2263" i="16"/>
  <c r="H2263" i="16"/>
  <c r="G2263" i="16"/>
  <c r="F2263" i="16"/>
  <c r="I2262" i="16"/>
  <c r="L2262" i="16" s="1"/>
  <c r="O2262" i="16" s="1"/>
  <c r="P2262" i="16" s="1"/>
  <c r="I2261" i="16"/>
  <c r="L2261" i="16" s="1"/>
  <c r="O2261" i="16" s="1"/>
  <c r="P2261" i="16" s="1"/>
  <c r="I2260" i="16"/>
  <c r="L2260" i="16" s="1"/>
  <c r="O2260" i="16" s="1"/>
  <c r="P2260" i="16" s="1"/>
  <c r="I2259" i="16"/>
  <c r="K2258" i="16"/>
  <c r="N2258" i="16" s="1"/>
  <c r="J2258" i="16"/>
  <c r="H2258" i="16"/>
  <c r="G2258" i="16"/>
  <c r="F2258" i="16"/>
  <c r="E2258" i="16"/>
  <c r="I2257" i="16"/>
  <c r="L2257" i="16" s="1"/>
  <c r="O2257" i="16" s="1"/>
  <c r="P2257" i="16" s="1"/>
  <c r="I2256" i="16"/>
  <c r="L2256" i="16" s="1"/>
  <c r="O2256" i="16" s="1"/>
  <c r="K2255" i="16"/>
  <c r="N2255" i="16" s="1"/>
  <c r="J2255" i="16"/>
  <c r="H2255" i="16"/>
  <c r="G2255" i="16"/>
  <c r="F2255" i="16"/>
  <c r="E2255" i="16"/>
  <c r="I2254" i="16"/>
  <c r="I2253" i="16" s="1"/>
  <c r="K2253" i="16"/>
  <c r="N2253" i="16" s="1"/>
  <c r="J2253" i="16"/>
  <c r="H2253" i="16"/>
  <c r="G2253" i="16"/>
  <c r="F2253" i="16"/>
  <c r="E2253" i="16"/>
  <c r="I2252" i="16"/>
  <c r="L2252" i="16" s="1"/>
  <c r="O2252" i="16" s="1"/>
  <c r="P2252" i="16" s="1"/>
  <c r="I2251" i="16"/>
  <c r="I2250" i="16"/>
  <c r="I2249" i="16"/>
  <c r="I2243" i="16"/>
  <c r="L2243" i="16" s="1"/>
  <c r="E2242" i="16"/>
  <c r="I2242" i="16" s="1"/>
  <c r="L2242" i="16" s="1"/>
  <c r="O2242" i="16" s="1"/>
  <c r="P2242" i="16" s="1"/>
  <c r="I2241" i="16"/>
  <c r="L2241" i="16" s="1"/>
  <c r="O2241" i="16" s="1"/>
  <c r="P2241" i="16" s="1"/>
  <c r="E2240" i="16"/>
  <c r="I2240" i="16" s="1"/>
  <c r="K2239" i="16"/>
  <c r="N2239" i="16" s="1"/>
  <c r="J2239" i="16"/>
  <c r="H2239" i="16"/>
  <c r="G2239" i="16"/>
  <c r="F2239" i="16"/>
  <c r="I2238" i="16"/>
  <c r="L2238" i="16" s="1"/>
  <c r="K2237" i="16"/>
  <c r="L2236" i="16"/>
  <c r="L2235" i="16"/>
  <c r="L2234" i="16"/>
  <c r="K2233" i="16"/>
  <c r="K2232" i="16"/>
  <c r="I2231" i="16"/>
  <c r="L2231" i="16" s="1"/>
  <c r="I2230" i="16"/>
  <c r="L2230" i="16" s="1"/>
  <c r="I2229" i="16"/>
  <c r="L2229" i="16" s="1"/>
  <c r="I2228" i="16"/>
  <c r="L2228" i="16" s="1"/>
  <c r="I2227" i="16"/>
  <c r="L2227" i="16" s="1"/>
  <c r="I2226" i="16"/>
  <c r="L2226" i="16" s="1"/>
  <c r="K2225" i="16"/>
  <c r="N2225" i="16" s="1"/>
  <c r="E2225" i="16"/>
  <c r="I2225" i="16" s="1"/>
  <c r="I2224" i="16"/>
  <c r="L2224" i="16" s="1"/>
  <c r="O2224" i="16" s="1"/>
  <c r="P2224" i="16" s="1"/>
  <c r="K2223" i="16"/>
  <c r="E2223" i="16"/>
  <c r="I2223" i="16" s="1"/>
  <c r="E2222" i="16"/>
  <c r="I2222" i="16" s="1"/>
  <c r="L2222" i="16" s="1"/>
  <c r="O2222" i="16" s="1"/>
  <c r="P2222" i="16" s="1"/>
  <c r="I2221" i="16"/>
  <c r="L2221" i="16" s="1"/>
  <c r="O2221" i="16" s="1"/>
  <c r="P2221" i="16" s="1"/>
  <c r="I2220" i="16"/>
  <c r="L2220" i="16" s="1"/>
  <c r="O2220" i="16" s="1"/>
  <c r="P2220" i="16" s="1"/>
  <c r="E2219" i="16"/>
  <c r="I2219" i="16" s="1"/>
  <c r="L2219" i="16" s="1"/>
  <c r="O2219" i="16" s="1"/>
  <c r="P2219" i="16" s="1"/>
  <c r="I2218" i="16"/>
  <c r="L2218" i="16" s="1"/>
  <c r="O2218" i="16" s="1"/>
  <c r="P2218" i="16" s="1"/>
  <c r="I2217" i="16"/>
  <c r="L2217" i="16" s="1"/>
  <c r="O2217" i="16" s="1"/>
  <c r="P2217" i="16" s="1"/>
  <c r="I2216" i="16"/>
  <c r="L2216" i="16" s="1"/>
  <c r="O2216" i="16" s="1"/>
  <c r="P2216" i="16" s="1"/>
  <c r="I2215" i="16"/>
  <c r="L2215" i="16" s="1"/>
  <c r="O2215" i="16" s="1"/>
  <c r="P2215" i="16" s="1"/>
  <c r="I2214" i="16"/>
  <c r="L2214" i="16" s="1"/>
  <c r="O2214" i="16" s="1"/>
  <c r="P2214" i="16" s="1"/>
  <c r="I2213" i="16"/>
  <c r="J2212" i="16"/>
  <c r="H2212" i="16"/>
  <c r="G2212" i="16"/>
  <c r="F2212" i="16"/>
  <c r="I2211" i="16"/>
  <c r="L2211" i="16" s="1"/>
  <c r="O2211" i="16" s="1"/>
  <c r="P2211" i="16" s="1"/>
  <c r="I2210" i="16"/>
  <c r="L2210" i="16" s="1"/>
  <c r="O2210" i="16" s="1"/>
  <c r="P2210" i="16" s="1"/>
  <c r="I2208" i="16"/>
  <c r="L2208" i="16" s="1"/>
  <c r="O2208" i="16" s="1"/>
  <c r="P2208" i="16" s="1"/>
  <c r="I2207" i="16"/>
  <c r="L2207" i="16" s="1"/>
  <c r="O2207" i="16" s="1"/>
  <c r="K2206" i="16"/>
  <c r="N2206" i="16" s="1"/>
  <c r="J2206" i="16"/>
  <c r="H2206" i="16"/>
  <c r="G2206" i="16"/>
  <c r="F2206" i="16"/>
  <c r="E2206" i="16"/>
  <c r="E2205" i="16"/>
  <c r="I2205" i="16" s="1"/>
  <c r="L2205" i="16" s="1"/>
  <c r="O2205" i="16" s="1"/>
  <c r="P2205" i="16" s="1"/>
  <c r="E2204" i="16"/>
  <c r="I2204" i="16" s="1"/>
  <c r="K2203" i="16"/>
  <c r="N2203" i="16" s="1"/>
  <c r="J2203" i="16"/>
  <c r="H2203" i="16"/>
  <c r="G2203" i="16"/>
  <c r="F2203" i="16"/>
  <c r="E2202" i="16"/>
  <c r="I2201" i="16"/>
  <c r="L2201" i="16" s="1"/>
  <c r="O2201" i="16" s="1"/>
  <c r="K2200" i="16"/>
  <c r="N2200" i="16" s="1"/>
  <c r="J2200" i="16"/>
  <c r="H2200" i="16"/>
  <c r="G2200" i="16"/>
  <c r="F2200" i="16"/>
  <c r="I2199" i="16"/>
  <c r="I2198" i="16" s="1"/>
  <c r="K2198" i="16"/>
  <c r="N2198" i="16" s="1"/>
  <c r="J2198" i="16"/>
  <c r="H2198" i="16"/>
  <c r="G2198" i="16"/>
  <c r="F2198" i="16"/>
  <c r="E2198" i="16"/>
  <c r="E2197" i="16"/>
  <c r="I2197" i="16" s="1"/>
  <c r="L2197" i="16" s="1"/>
  <c r="O2197" i="16" s="1"/>
  <c r="P2197" i="16" s="1"/>
  <c r="I2196" i="16"/>
  <c r="L2196" i="16" s="1"/>
  <c r="O2196" i="16" s="1"/>
  <c r="P2196" i="16" s="1"/>
  <c r="I2195" i="16"/>
  <c r="K2194" i="16"/>
  <c r="N2194" i="16" s="1"/>
  <c r="J2194" i="16"/>
  <c r="H2194" i="16"/>
  <c r="G2194" i="16"/>
  <c r="F2194" i="16"/>
  <c r="I2193" i="16"/>
  <c r="L2193" i="16" s="1"/>
  <c r="K2192" i="16"/>
  <c r="N2192" i="16" s="1"/>
  <c r="E2192" i="16"/>
  <c r="I2192" i="16" s="1"/>
  <c r="K2191" i="16"/>
  <c r="G2191" i="16"/>
  <c r="G2190" i="16" s="1"/>
  <c r="E2191" i="16"/>
  <c r="J2190" i="16"/>
  <c r="H2190" i="16"/>
  <c r="F2190" i="16"/>
  <c r="I2189" i="16"/>
  <c r="L2189" i="16" s="1"/>
  <c r="O2189" i="16" s="1"/>
  <c r="P2189" i="16" s="1"/>
  <c r="E2188" i="16"/>
  <c r="I2188" i="16" s="1"/>
  <c r="L2188" i="16" s="1"/>
  <c r="O2188" i="16" s="1"/>
  <c r="P2188" i="16" s="1"/>
  <c r="K2187" i="16"/>
  <c r="E2187" i="16"/>
  <c r="E2186" i="16" s="1"/>
  <c r="J2186" i="16"/>
  <c r="H2186" i="16"/>
  <c r="G2186" i="16"/>
  <c r="F2186" i="16"/>
  <c r="K2185" i="16"/>
  <c r="N2185" i="16" s="1"/>
  <c r="I2185" i="16"/>
  <c r="L2185" i="16" s="1"/>
  <c r="O2185" i="16" s="1"/>
  <c r="P2185" i="16" s="1"/>
  <c r="E2185" i="16"/>
  <c r="I2184" i="16"/>
  <c r="L2184" i="16" s="1"/>
  <c r="O2184" i="16" s="1"/>
  <c r="P2184" i="16" s="1"/>
  <c r="K2183" i="16"/>
  <c r="N2183" i="16" s="1"/>
  <c r="I2183" i="16"/>
  <c r="K2182" i="16"/>
  <c r="N2182" i="16" s="1"/>
  <c r="I2182" i="16"/>
  <c r="K2181" i="16"/>
  <c r="N2181" i="16" s="1"/>
  <c r="I2181" i="16"/>
  <c r="E2181" i="16"/>
  <c r="E2180" i="16" s="1"/>
  <c r="J2180" i="16"/>
  <c r="H2180" i="16"/>
  <c r="G2180" i="16"/>
  <c r="F2180" i="16"/>
  <c r="I2179" i="16"/>
  <c r="L2179" i="16" s="1"/>
  <c r="O2179" i="16" s="1"/>
  <c r="P2179" i="16" s="1"/>
  <c r="E2178" i="16"/>
  <c r="K2177" i="16"/>
  <c r="N2177" i="16" s="1"/>
  <c r="J2177" i="16"/>
  <c r="H2177" i="16"/>
  <c r="G2177" i="16"/>
  <c r="F2177" i="16"/>
  <c r="E2176" i="16"/>
  <c r="I2176" i="16" s="1"/>
  <c r="L2176" i="16" s="1"/>
  <c r="O2176" i="16" s="1"/>
  <c r="P2176" i="16" s="1"/>
  <c r="E2175" i="16"/>
  <c r="I2175" i="16" s="1"/>
  <c r="K2174" i="16"/>
  <c r="N2174" i="16" s="1"/>
  <c r="J2174" i="16"/>
  <c r="H2174" i="16"/>
  <c r="G2174" i="16"/>
  <c r="F2174" i="16"/>
  <c r="E2173" i="16"/>
  <c r="I2173" i="16" s="1"/>
  <c r="L2173" i="16" s="1"/>
  <c r="O2173" i="16" s="1"/>
  <c r="P2173" i="16" s="1"/>
  <c r="K2172" i="16"/>
  <c r="N2172" i="16" s="1"/>
  <c r="I2172" i="16"/>
  <c r="K2171" i="16"/>
  <c r="N2171" i="16" s="1"/>
  <c r="E2171" i="16"/>
  <c r="I2171" i="16" s="1"/>
  <c r="J2170" i="16"/>
  <c r="H2170" i="16"/>
  <c r="G2170" i="16"/>
  <c r="F2170" i="16"/>
  <c r="I2169" i="16"/>
  <c r="L2169" i="16" s="1"/>
  <c r="O2169" i="16" s="1"/>
  <c r="P2169" i="16" s="1"/>
  <c r="I2168" i="16"/>
  <c r="K2167" i="16"/>
  <c r="N2167" i="16" s="1"/>
  <c r="J2167" i="16"/>
  <c r="H2167" i="16"/>
  <c r="G2167" i="16"/>
  <c r="F2167" i="16"/>
  <c r="E2167" i="16"/>
  <c r="I2166" i="16"/>
  <c r="L2166" i="16" s="1"/>
  <c r="O2166" i="16" s="1"/>
  <c r="P2166" i="16" s="1"/>
  <c r="P2165" i="16" s="1"/>
  <c r="K2165" i="16"/>
  <c r="N2165" i="16" s="1"/>
  <c r="J2165" i="16"/>
  <c r="H2165" i="16"/>
  <c r="G2165" i="16"/>
  <c r="F2165" i="16"/>
  <c r="E2165" i="16"/>
  <c r="L2164" i="16"/>
  <c r="I2163" i="16"/>
  <c r="I2162" i="16" s="1"/>
  <c r="K2162" i="16"/>
  <c r="N2162" i="16" s="1"/>
  <c r="J2162" i="16"/>
  <c r="H2162" i="16"/>
  <c r="G2162" i="16"/>
  <c r="F2162" i="16"/>
  <c r="E2162" i="16"/>
  <c r="I2161" i="16"/>
  <c r="L2161" i="16" s="1"/>
  <c r="O2161" i="16" s="1"/>
  <c r="P2161" i="16" s="1"/>
  <c r="I2160" i="16"/>
  <c r="L2160" i="16" s="1"/>
  <c r="O2160" i="16" s="1"/>
  <c r="P2160" i="16" s="1"/>
  <c r="I2159" i="16"/>
  <c r="L2159" i="16" s="1"/>
  <c r="O2159" i="16" s="1"/>
  <c r="P2159" i="16" s="1"/>
  <c r="I2158" i="16"/>
  <c r="L2158" i="16" s="1"/>
  <c r="O2158" i="16" s="1"/>
  <c r="P2158" i="16" s="1"/>
  <c r="I2157" i="16"/>
  <c r="L2157" i="16" s="1"/>
  <c r="O2157" i="16" s="1"/>
  <c r="P2157" i="16" s="1"/>
  <c r="L2153" i="16"/>
  <c r="I2150" i="16"/>
  <c r="K2149" i="16"/>
  <c r="N2149" i="16" s="1"/>
  <c r="J2149" i="16"/>
  <c r="H2149" i="16"/>
  <c r="G2149" i="16"/>
  <c r="F2149" i="16"/>
  <c r="E2149" i="16"/>
  <c r="I2148" i="16"/>
  <c r="L2148" i="16" s="1"/>
  <c r="O2148" i="16" s="1"/>
  <c r="P2148" i="16" s="1"/>
  <c r="I2147" i="16"/>
  <c r="L2147" i="16" s="1"/>
  <c r="O2147" i="16" s="1"/>
  <c r="P2147" i="16" s="1"/>
  <c r="E2146" i="16"/>
  <c r="I2146" i="16" s="1"/>
  <c r="K2145" i="16"/>
  <c r="N2145" i="16" s="1"/>
  <c r="J2145" i="16"/>
  <c r="H2145" i="16"/>
  <c r="G2145" i="16"/>
  <c r="F2145" i="16"/>
  <c r="I2144" i="16"/>
  <c r="L2144" i="16" s="1"/>
  <c r="O2144" i="16" s="1"/>
  <c r="P2144" i="16" s="1"/>
  <c r="I2143" i="16"/>
  <c r="L2143" i="16" s="1"/>
  <c r="O2143" i="16" s="1"/>
  <c r="P2143" i="16" s="1"/>
  <c r="I2141" i="16"/>
  <c r="I2140" i="16" s="1"/>
  <c r="K2140" i="16"/>
  <c r="N2140" i="16" s="1"/>
  <c r="J2140" i="16"/>
  <c r="H2140" i="16"/>
  <c r="G2140" i="16"/>
  <c r="F2140" i="16"/>
  <c r="E2140" i="16"/>
  <c r="E2139" i="16"/>
  <c r="I2139" i="16" s="1"/>
  <c r="L2139" i="16" s="1"/>
  <c r="O2139" i="16" s="1"/>
  <c r="P2139" i="16" s="1"/>
  <c r="I2138" i="16"/>
  <c r="L2138" i="16" s="1"/>
  <c r="O2138" i="16" s="1"/>
  <c r="P2138" i="16" s="1"/>
  <c r="I2137" i="16"/>
  <c r="L2137" i="16" s="1"/>
  <c r="O2137" i="16" s="1"/>
  <c r="P2137" i="16" s="1"/>
  <c r="K2136" i="16"/>
  <c r="N2136" i="16" s="1"/>
  <c r="J2136" i="16"/>
  <c r="H2136" i="16"/>
  <c r="G2136" i="16"/>
  <c r="F2136" i="16"/>
  <c r="E2136" i="16"/>
  <c r="I2135" i="16"/>
  <c r="K2134" i="16"/>
  <c r="N2134" i="16" s="1"/>
  <c r="J2134" i="16"/>
  <c r="H2134" i="16"/>
  <c r="G2134" i="16"/>
  <c r="F2134" i="16"/>
  <c r="E2134" i="16"/>
  <c r="I2133" i="16"/>
  <c r="L2133" i="16" s="1"/>
  <c r="O2133" i="16" s="1"/>
  <c r="P2133" i="16" s="1"/>
  <c r="I2132" i="16"/>
  <c r="L2132" i="16" s="1"/>
  <c r="O2132" i="16" s="1"/>
  <c r="P2132" i="16" s="1"/>
  <c r="I2129" i="16"/>
  <c r="L2129" i="16" s="1"/>
  <c r="O2129" i="16" s="1"/>
  <c r="P2129" i="16" s="1"/>
  <c r="P2128" i="16" s="1"/>
  <c r="K2128" i="16"/>
  <c r="N2128" i="16" s="1"/>
  <c r="J2128" i="16"/>
  <c r="H2128" i="16"/>
  <c r="G2128" i="16"/>
  <c r="F2128" i="16"/>
  <c r="E2128" i="16"/>
  <c r="I2127" i="16"/>
  <c r="L2127" i="16" s="1"/>
  <c r="O2127" i="16" s="1"/>
  <c r="P2127" i="16" s="1"/>
  <c r="E2126" i="16"/>
  <c r="I2126" i="16" s="1"/>
  <c r="I2125" i="16"/>
  <c r="L2125" i="16" s="1"/>
  <c r="O2125" i="16" s="1"/>
  <c r="P2125" i="16" s="1"/>
  <c r="K2124" i="16"/>
  <c r="N2124" i="16" s="1"/>
  <c r="J2124" i="16"/>
  <c r="H2124" i="16"/>
  <c r="G2124" i="16"/>
  <c r="F2124" i="16"/>
  <c r="E2124" i="16"/>
  <c r="I2123" i="16"/>
  <c r="L2123" i="16" s="1"/>
  <c r="O2123" i="16" s="1"/>
  <c r="P2123" i="16" s="1"/>
  <c r="I2122" i="16"/>
  <c r="L2122" i="16" s="1"/>
  <c r="O2122" i="16" s="1"/>
  <c r="P2122" i="16" s="1"/>
  <c r="E2120" i="16"/>
  <c r="I2120" i="16" s="1"/>
  <c r="L2120" i="16" s="1"/>
  <c r="O2120" i="16" s="1"/>
  <c r="K2119" i="16"/>
  <c r="N2119" i="16" s="1"/>
  <c r="J2119" i="16"/>
  <c r="H2119" i="16"/>
  <c r="G2119" i="16"/>
  <c r="F2119" i="16"/>
  <c r="E2118" i="16"/>
  <c r="E2117" i="16" s="1"/>
  <c r="K2117" i="16"/>
  <c r="N2117" i="16" s="1"/>
  <c r="J2117" i="16"/>
  <c r="H2117" i="16"/>
  <c r="G2117" i="16"/>
  <c r="F2117" i="16"/>
  <c r="I2116" i="16"/>
  <c r="K2115" i="16"/>
  <c r="N2115" i="16" s="1"/>
  <c r="J2115" i="16"/>
  <c r="H2115" i="16"/>
  <c r="G2115" i="16"/>
  <c r="F2115" i="16"/>
  <c r="E2115" i="16"/>
  <c r="I2114" i="16"/>
  <c r="I2113" i="16" s="1"/>
  <c r="K2113" i="16"/>
  <c r="N2113" i="16" s="1"/>
  <c r="J2113" i="16"/>
  <c r="H2113" i="16"/>
  <c r="G2113" i="16"/>
  <c r="F2113" i="16"/>
  <c r="E2113" i="16"/>
  <c r="I2112" i="16"/>
  <c r="L2112" i="16" s="1"/>
  <c r="O2112" i="16" s="1"/>
  <c r="P2112" i="16" s="1"/>
  <c r="I2111" i="16"/>
  <c r="L2111" i="16" s="1"/>
  <c r="O2111" i="16" s="1"/>
  <c r="P2111" i="16" s="1"/>
  <c r="I2108" i="16"/>
  <c r="K2107" i="16"/>
  <c r="N2107" i="16" s="1"/>
  <c r="J2107" i="16"/>
  <c r="H2107" i="16"/>
  <c r="G2107" i="16"/>
  <c r="F2107" i="16"/>
  <c r="E2107" i="16"/>
  <c r="I2106" i="16"/>
  <c r="L2106" i="16" s="1"/>
  <c r="O2106" i="16" s="1"/>
  <c r="P2106" i="16" s="1"/>
  <c r="I2105" i="16"/>
  <c r="L2105" i="16" s="1"/>
  <c r="O2105" i="16" s="1"/>
  <c r="P2105" i="16" s="1"/>
  <c r="I2104" i="16"/>
  <c r="L2104" i="16" s="1"/>
  <c r="O2104" i="16" s="1"/>
  <c r="K2103" i="16"/>
  <c r="N2103" i="16" s="1"/>
  <c r="J2103" i="16"/>
  <c r="H2103" i="16"/>
  <c r="G2103" i="16"/>
  <c r="F2103" i="16"/>
  <c r="E2103" i="16"/>
  <c r="I2102" i="16"/>
  <c r="K2101" i="16"/>
  <c r="N2101" i="16" s="1"/>
  <c r="J2101" i="16"/>
  <c r="H2101" i="16"/>
  <c r="G2101" i="16"/>
  <c r="F2101" i="16"/>
  <c r="E2101" i="16"/>
  <c r="I2100" i="16"/>
  <c r="L2100" i="16" s="1"/>
  <c r="O2100" i="16" s="1"/>
  <c r="P2100" i="16" s="1"/>
  <c r="I2099" i="16"/>
  <c r="L2099" i="16" s="1"/>
  <c r="I2097" i="16"/>
  <c r="L2097" i="16" s="1"/>
  <c r="O2097" i="16" s="1"/>
  <c r="P2097" i="16" s="1"/>
  <c r="I2096" i="16"/>
  <c r="L2096" i="16" s="1"/>
  <c r="O2096" i="16" s="1"/>
  <c r="K2095" i="16"/>
  <c r="J2095" i="16"/>
  <c r="H2095" i="16"/>
  <c r="G2095" i="16"/>
  <c r="F2095" i="16"/>
  <c r="E2095" i="16"/>
  <c r="I2094" i="16"/>
  <c r="K2093" i="16"/>
  <c r="N2093" i="16" s="1"/>
  <c r="J2093" i="16"/>
  <c r="H2093" i="16"/>
  <c r="G2093" i="16"/>
  <c r="F2093" i="16"/>
  <c r="E2093" i="16"/>
  <c r="I2092" i="16"/>
  <c r="L2092" i="16" s="1"/>
  <c r="O2092" i="16" s="1"/>
  <c r="K2091" i="16"/>
  <c r="N2091" i="16" s="1"/>
  <c r="J2091" i="16"/>
  <c r="H2091" i="16"/>
  <c r="G2091" i="16"/>
  <c r="F2091" i="16"/>
  <c r="E2091" i="16"/>
  <c r="I2090" i="16"/>
  <c r="L2090" i="16" s="1"/>
  <c r="O2090" i="16" s="1"/>
  <c r="P2090" i="16" s="1"/>
  <c r="I2089" i="16"/>
  <c r="L2089" i="16" s="1"/>
  <c r="O2089" i="16" s="1"/>
  <c r="P2089" i="16" s="1"/>
  <c r="I2088" i="16"/>
  <c r="L2088" i="16" s="1"/>
  <c r="O2088" i="16" s="1"/>
  <c r="P2088" i="16" s="1"/>
  <c r="K2087" i="16"/>
  <c r="N2087" i="16" s="1"/>
  <c r="J2087" i="16"/>
  <c r="H2087" i="16"/>
  <c r="G2087" i="16"/>
  <c r="F2087" i="16"/>
  <c r="E2087" i="16"/>
  <c r="I2086" i="16"/>
  <c r="I2087" i="16" s="1"/>
  <c r="I2085" i="16"/>
  <c r="L2085" i="16" s="1"/>
  <c r="O2085" i="16" s="1"/>
  <c r="P2085" i="16" s="1"/>
  <c r="I2084" i="16"/>
  <c r="L2084" i="16" s="1"/>
  <c r="O2084" i="16" s="1"/>
  <c r="P2084" i="16" s="1"/>
  <c r="I2083" i="16"/>
  <c r="L2083" i="16" s="1"/>
  <c r="I2081" i="16"/>
  <c r="I2080" i="16" s="1"/>
  <c r="K2080" i="16"/>
  <c r="N2080" i="16" s="1"/>
  <c r="J2080" i="16"/>
  <c r="H2080" i="16"/>
  <c r="G2080" i="16"/>
  <c r="F2080" i="16"/>
  <c r="E2080" i="16"/>
  <c r="I2079" i="16"/>
  <c r="K2078" i="16"/>
  <c r="N2078" i="16" s="1"/>
  <c r="J2078" i="16"/>
  <c r="H2078" i="16"/>
  <c r="G2078" i="16"/>
  <c r="F2078" i="16"/>
  <c r="E2078" i="16"/>
  <c r="I2077" i="16"/>
  <c r="L2077" i="16" s="1"/>
  <c r="O2077" i="16" s="1"/>
  <c r="P2077" i="16" s="1"/>
  <c r="I2076" i="16"/>
  <c r="L2076" i="16" s="1"/>
  <c r="O2076" i="16" s="1"/>
  <c r="P2076" i="16" s="1"/>
  <c r="I2075" i="16"/>
  <c r="K2074" i="16"/>
  <c r="J2074" i="16"/>
  <c r="H2074" i="16"/>
  <c r="G2074" i="16"/>
  <c r="F2074" i="16"/>
  <c r="E2074" i="16"/>
  <c r="I2073" i="16"/>
  <c r="L2073" i="16" s="1"/>
  <c r="I2072" i="16"/>
  <c r="L2072" i="16" s="1"/>
  <c r="L2069" i="16"/>
  <c r="L2068" i="16"/>
  <c r="I2067" i="16"/>
  <c r="L2067" i="16" s="1"/>
  <c r="I2066" i="16"/>
  <c r="L2066" i="16" s="1"/>
  <c r="I2065" i="16"/>
  <c r="L2065" i="16" s="1"/>
  <c r="O2065" i="16" s="1"/>
  <c r="P2065" i="16" s="1"/>
  <c r="I2064" i="16"/>
  <c r="L2064" i="16" s="1"/>
  <c r="O2064" i="16" s="1"/>
  <c r="P2064" i="16" s="1"/>
  <c r="K2063" i="16"/>
  <c r="N2063" i="16" s="1"/>
  <c r="E2063" i="16"/>
  <c r="J2062" i="16"/>
  <c r="H2062" i="16"/>
  <c r="G2062" i="16"/>
  <c r="F2062" i="16"/>
  <c r="I2061" i="16"/>
  <c r="L2061" i="16" s="1"/>
  <c r="O2061" i="16" s="1"/>
  <c r="P2061" i="16" s="1"/>
  <c r="I2060" i="16"/>
  <c r="L2060" i="16" s="1"/>
  <c r="O2060" i="16" s="1"/>
  <c r="P2060" i="16" s="1"/>
  <c r="K2059" i="16"/>
  <c r="N2059" i="16" s="1"/>
  <c r="I2059" i="16"/>
  <c r="I2058" i="16"/>
  <c r="L2058" i="16" s="1"/>
  <c r="O2058" i="16" s="1"/>
  <c r="P2058" i="16" s="1"/>
  <c r="J2057" i="16"/>
  <c r="H2057" i="16"/>
  <c r="G2057" i="16"/>
  <c r="F2057" i="16"/>
  <c r="E2057" i="16"/>
  <c r="I2056" i="16"/>
  <c r="L2056" i="16" s="1"/>
  <c r="I2055" i="16"/>
  <c r="L2055" i="16" s="1"/>
  <c r="O2055" i="16" s="1"/>
  <c r="P2055" i="16" s="1"/>
  <c r="I2053" i="16"/>
  <c r="L2053" i="16" s="1"/>
  <c r="O2053" i="16" s="1"/>
  <c r="P2053" i="16" s="1"/>
  <c r="I2052" i="16"/>
  <c r="K2051" i="16"/>
  <c r="N2051" i="16" s="1"/>
  <c r="J2051" i="16"/>
  <c r="H2051" i="16"/>
  <c r="G2051" i="16"/>
  <c r="F2051" i="16"/>
  <c r="E2051" i="16"/>
  <c r="E2050" i="16"/>
  <c r="K2049" i="16"/>
  <c r="N2049" i="16" s="1"/>
  <c r="J2049" i="16"/>
  <c r="H2049" i="16"/>
  <c r="G2049" i="16"/>
  <c r="F2049" i="16"/>
  <c r="I2048" i="16"/>
  <c r="I2047" i="16" s="1"/>
  <c r="K2047" i="16"/>
  <c r="N2047" i="16" s="1"/>
  <c r="J2047" i="16"/>
  <c r="H2047" i="16"/>
  <c r="G2047" i="16"/>
  <c r="F2047" i="16"/>
  <c r="E2047" i="16"/>
  <c r="K2046" i="16"/>
  <c r="I2046" i="16"/>
  <c r="J2045" i="16"/>
  <c r="H2045" i="16"/>
  <c r="G2045" i="16"/>
  <c r="F2045" i="16"/>
  <c r="E2045" i="16"/>
  <c r="I2044" i="16"/>
  <c r="L2044" i="16" s="1"/>
  <c r="O2044" i="16" s="1"/>
  <c r="P2044" i="16" s="1"/>
  <c r="E2043" i="16"/>
  <c r="K2042" i="16"/>
  <c r="N2042" i="16" s="1"/>
  <c r="J2042" i="16"/>
  <c r="H2042" i="16"/>
  <c r="G2042" i="16"/>
  <c r="F2042" i="16"/>
  <c r="K2041" i="16"/>
  <c r="I2041" i="16"/>
  <c r="J2040" i="16"/>
  <c r="H2040" i="16"/>
  <c r="G2040" i="16"/>
  <c r="F2040" i="16"/>
  <c r="E2040" i="16"/>
  <c r="E2039" i="16"/>
  <c r="I2039" i="16" s="1"/>
  <c r="I2038" i="16"/>
  <c r="L2038" i="16" s="1"/>
  <c r="O2038" i="16" s="1"/>
  <c r="P2038" i="16" s="1"/>
  <c r="I2037" i="16"/>
  <c r="L2037" i="16" s="1"/>
  <c r="O2037" i="16" s="1"/>
  <c r="K2036" i="16"/>
  <c r="N2036" i="16" s="1"/>
  <c r="J2036" i="16"/>
  <c r="H2036" i="16"/>
  <c r="G2036" i="16"/>
  <c r="F2036" i="16"/>
  <c r="I2035" i="16"/>
  <c r="K2034" i="16"/>
  <c r="N2034" i="16" s="1"/>
  <c r="J2034" i="16"/>
  <c r="H2034" i="16"/>
  <c r="G2034" i="16"/>
  <c r="F2034" i="16"/>
  <c r="E2034" i="16"/>
  <c r="I2033" i="16"/>
  <c r="L2033" i="16" s="1"/>
  <c r="O2033" i="16" s="1"/>
  <c r="P2033" i="16" s="1"/>
  <c r="E2032" i="16"/>
  <c r="I2032" i="16" s="1"/>
  <c r="I2031" i="16"/>
  <c r="L2031" i="16" s="1"/>
  <c r="O2031" i="16" s="1"/>
  <c r="P2031" i="16" s="1"/>
  <c r="I2030" i="16"/>
  <c r="L2030" i="16" s="1"/>
  <c r="O2030" i="16" s="1"/>
  <c r="P2030" i="16" s="1"/>
  <c r="I2029" i="16"/>
  <c r="L2029" i="16" s="1"/>
  <c r="O2029" i="16" s="1"/>
  <c r="P2029" i="16" s="1"/>
  <c r="K2028" i="16"/>
  <c r="N2028" i="16" s="1"/>
  <c r="J2028" i="16"/>
  <c r="H2028" i="16"/>
  <c r="G2028" i="16"/>
  <c r="F2028" i="16"/>
  <c r="I2027" i="16"/>
  <c r="L2027" i="16" s="1"/>
  <c r="O2027" i="16" s="1"/>
  <c r="P2027" i="16" s="1"/>
  <c r="I2026" i="16"/>
  <c r="K2025" i="16"/>
  <c r="N2025" i="16" s="1"/>
  <c r="J2025" i="16"/>
  <c r="H2025" i="16"/>
  <c r="G2025" i="16"/>
  <c r="F2025" i="16"/>
  <c r="E2025" i="16"/>
  <c r="I2024" i="16"/>
  <c r="L2024" i="16" s="1"/>
  <c r="O2024" i="16" s="1"/>
  <c r="P2024" i="16" s="1"/>
  <c r="I2023" i="16"/>
  <c r="K2022" i="16"/>
  <c r="N2022" i="16" s="1"/>
  <c r="J2022" i="16"/>
  <c r="H2022" i="16"/>
  <c r="G2022" i="16"/>
  <c r="F2022" i="16"/>
  <c r="E2022" i="16"/>
  <c r="I2021" i="16"/>
  <c r="L2021" i="16" s="1"/>
  <c r="O2021" i="16" s="1"/>
  <c r="P2021" i="16" s="1"/>
  <c r="E2020" i="16"/>
  <c r="I2020" i="16" s="1"/>
  <c r="L2020" i="16" s="1"/>
  <c r="O2020" i="16" s="1"/>
  <c r="K2019" i="16"/>
  <c r="N2019" i="16" s="1"/>
  <c r="J2019" i="16"/>
  <c r="H2019" i="16"/>
  <c r="G2019" i="16"/>
  <c r="F2019" i="16"/>
  <c r="I2018" i="16"/>
  <c r="L2018" i="16" s="1"/>
  <c r="O2018" i="16" s="1"/>
  <c r="P2018" i="16" s="1"/>
  <c r="I2017" i="16"/>
  <c r="K2016" i="16"/>
  <c r="N2016" i="16" s="1"/>
  <c r="J2016" i="16"/>
  <c r="H2016" i="16"/>
  <c r="G2016" i="16"/>
  <c r="F2016" i="16"/>
  <c r="E2016" i="16"/>
  <c r="E2015" i="16"/>
  <c r="I2015" i="16" s="1"/>
  <c r="L2015" i="16" s="1"/>
  <c r="O2015" i="16" s="1"/>
  <c r="K2014" i="16"/>
  <c r="N2014" i="16" s="1"/>
  <c r="J2014" i="16"/>
  <c r="H2014" i="16"/>
  <c r="G2014" i="16"/>
  <c r="F2014" i="16"/>
  <c r="I2013" i="16"/>
  <c r="K2012" i="16"/>
  <c r="N2012" i="16" s="1"/>
  <c r="J2012" i="16"/>
  <c r="H2012" i="16"/>
  <c r="G2012" i="16"/>
  <c r="F2012" i="16"/>
  <c r="E2012" i="16"/>
  <c r="I2011" i="16"/>
  <c r="L2011" i="16" s="1"/>
  <c r="O2011" i="16" s="1"/>
  <c r="P2011" i="16" s="1"/>
  <c r="I2010" i="16"/>
  <c r="L2010" i="16" s="1"/>
  <c r="O2010" i="16" s="1"/>
  <c r="P2010" i="16" s="1"/>
  <c r="I2009" i="16"/>
  <c r="L2009" i="16" s="1"/>
  <c r="O2009" i="16" s="1"/>
  <c r="P2009" i="16" s="1"/>
  <c r="I2008" i="16"/>
  <c r="L2008" i="16" s="1"/>
  <c r="O2008" i="16" s="1"/>
  <c r="P2008" i="16" s="1"/>
  <c r="I2004" i="16"/>
  <c r="L2004" i="16" s="1"/>
  <c r="K2003" i="16"/>
  <c r="N2003" i="16" s="1"/>
  <c r="J2003" i="16"/>
  <c r="H2003" i="16"/>
  <c r="G2003" i="16"/>
  <c r="F2003" i="16"/>
  <c r="E2003" i="16"/>
  <c r="I2002" i="16"/>
  <c r="I2003" i="16" s="1"/>
  <c r="I2001" i="16"/>
  <c r="L2001" i="16" s="1"/>
  <c r="I2000" i="16"/>
  <c r="L2000" i="16" s="1"/>
  <c r="N1999" i="16"/>
  <c r="I1998" i="16"/>
  <c r="L1998" i="16" s="1"/>
  <c r="O1998" i="16" s="1"/>
  <c r="P1998" i="16" s="1"/>
  <c r="I1996" i="16"/>
  <c r="I1995" i="16"/>
  <c r="L1995" i="16" s="1"/>
  <c r="I1994" i="16"/>
  <c r="L1994" i="16" s="1"/>
  <c r="E1993" i="16"/>
  <c r="I1993" i="16" s="1"/>
  <c r="L1993" i="16" s="1"/>
  <c r="O1993" i="16" s="1"/>
  <c r="P1993" i="16" s="1"/>
  <c r="E1992" i="16"/>
  <c r="I1992" i="16" s="1"/>
  <c r="L1992" i="16" s="1"/>
  <c r="O1992" i="16" s="1"/>
  <c r="P1992" i="16" s="1"/>
  <c r="E1991" i="16"/>
  <c r="I1991" i="16" s="1"/>
  <c r="L1991" i="16" s="1"/>
  <c r="O1991" i="16" s="1"/>
  <c r="P1991" i="16" s="1"/>
  <c r="E1990" i="16"/>
  <c r="I1990" i="16" s="1"/>
  <c r="L1990" i="16" s="1"/>
  <c r="O1990" i="16" s="1"/>
  <c r="P1990" i="16" s="1"/>
  <c r="E1989" i="16"/>
  <c r="I1989" i="16" s="1"/>
  <c r="L1989" i="16" s="1"/>
  <c r="O1989" i="16" s="1"/>
  <c r="P1989" i="16" s="1"/>
  <c r="E1988" i="16"/>
  <c r="I1988" i="16" s="1"/>
  <c r="L1988" i="16" s="1"/>
  <c r="O1988" i="16" s="1"/>
  <c r="P1988" i="16" s="1"/>
  <c r="E1987" i="16"/>
  <c r="I1987" i="16" s="1"/>
  <c r="L1987" i="16" s="1"/>
  <c r="O1987" i="16" s="1"/>
  <c r="P1987" i="16" s="1"/>
  <c r="E1986" i="16"/>
  <c r="I1986" i="16" s="1"/>
  <c r="L1986" i="16" s="1"/>
  <c r="O1986" i="16" s="1"/>
  <c r="P1986" i="16" s="1"/>
  <c r="E1985" i="16"/>
  <c r="I1985" i="16" s="1"/>
  <c r="L1985" i="16" s="1"/>
  <c r="O1985" i="16" s="1"/>
  <c r="P1985" i="16" s="1"/>
  <c r="E1984" i="16"/>
  <c r="I1984" i="16" s="1"/>
  <c r="L1984" i="16" s="1"/>
  <c r="O1984" i="16" s="1"/>
  <c r="P1984" i="16" s="1"/>
  <c r="E1983" i="16"/>
  <c r="I1983" i="16" s="1"/>
  <c r="L1983" i="16" s="1"/>
  <c r="O1983" i="16" s="1"/>
  <c r="P1983" i="16" s="1"/>
  <c r="E1982" i="16"/>
  <c r="I1982" i="16" s="1"/>
  <c r="L1982" i="16" s="1"/>
  <c r="O1982" i="16" s="1"/>
  <c r="P1982" i="16" s="1"/>
  <c r="E1981" i="16"/>
  <c r="I1981" i="16" s="1"/>
  <c r="L1981" i="16" s="1"/>
  <c r="O1981" i="16" s="1"/>
  <c r="P1981" i="16" s="1"/>
  <c r="E1980" i="16"/>
  <c r="I1980" i="16" s="1"/>
  <c r="L1980" i="16" s="1"/>
  <c r="O1980" i="16" s="1"/>
  <c r="P1980" i="16" s="1"/>
  <c r="E1979" i="16"/>
  <c r="I1979" i="16" s="1"/>
  <c r="L1979" i="16" s="1"/>
  <c r="O1979" i="16" s="1"/>
  <c r="P1979" i="16" s="1"/>
  <c r="E1978" i="16"/>
  <c r="I1978" i="16" s="1"/>
  <c r="L1978" i="16" s="1"/>
  <c r="O1978" i="16" s="1"/>
  <c r="P1978" i="16" s="1"/>
  <c r="E1977" i="16"/>
  <c r="I1977" i="16" s="1"/>
  <c r="K1976" i="16"/>
  <c r="N1976" i="16" s="1"/>
  <c r="J1976" i="16"/>
  <c r="H1976" i="16"/>
  <c r="G1976" i="16"/>
  <c r="F1976" i="16"/>
  <c r="I1975" i="16"/>
  <c r="L1975" i="16" s="1"/>
  <c r="O1975" i="16" s="1"/>
  <c r="P1975" i="16" s="1"/>
  <c r="I1974" i="16"/>
  <c r="L1974" i="16" s="1"/>
  <c r="O1974" i="16" s="1"/>
  <c r="P1974" i="16" s="1"/>
  <c r="I1973" i="16"/>
  <c r="L1973" i="16" s="1"/>
  <c r="O1973" i="16" s="1"/>
  <c r="P1973" i="16" s="1"/>
  <c r="I1972" i="16"/>
  <c r="L1972" i="16" s="1"/>
  <c r="O1972" i="16" s="1"/>
  <c r="P1972" i="16" s="1"/>
  <c r="E1969" i="16"/>
  <c r="K1968" i="16"/>
  <c r="J1968" i="16"/>
  <c r="J1970" i="16" s="1"/>
  <c r="J1971" i="16" s="1"/>
  <c r="H1968" i="16"/>
  <c r="H1970" i="16" s="1"/>
  <c r="H1971" i="16" s="1"/>
  <c r="G1968" i="16"/>
  <c r="G1970" i="16" s="1"/>
  <c r="G1971" i="16" s="1"/>
  <c r="F1968" i="16"/>
  <c r="F1970" i="16" s="1"/>
  <c r="F1971" i="16" s="1"/>
  <c r="L1967" i="16"/>
  <c r="I1966" i="16"/>
  <c r="L1966" i="16" s="1"/>
  <c r="O1966" i="16" s="1"/>
  <c r="P1966" i="16" s="1"/>
  <c r="L1964" i="16"/>
  <c r="O1964" i="16" s="1"/>
  <c r="P1964" i="16" s="1"/>
  <c r="L1963" i="16"/>
  <c r="I1960" i="16"/>
  <c r="L1960" i="16" s="1"/>
  <c r="I1959" i="16"/>
  <c r="I1958" i="16"/>
  <c r="L1958" i="16" s="1"/>
  <c r="O1958" i="16" s="1"/>
  <c r="K1957" i="16"/>
  <c r="N1957" i="16" s="1"/>
  <c r="J1957" i="16"/>
  <c r="H1957" i="16"/>
  <c r="G1957" i="16"/>
  <c r="F1957" i="16"/>
  <c r="E1957" i="16"/>
  <c r="E1956" i="16"/>
  <c r="I1956" i="16" s="1"/>
  <c r="K1955" i="16"/>
  <c r="N1955" i="16" s="1"/>
  <c r="J1955" i="16"/>
  <c r="H1955" i="16"/>
  <c r="G1955" i="16"/>
  <c r="F1955" i="16"/>
  <c r="I1954" i="16"/>
  <c r="L1954" i="16" s="1"/>
  <c r="I1953" i="16"/>
  <c r="L1953" i="16" s="1"/>
  <c r="I1952" i="16"/>
  <c r="L1952" i="16" s="1"/>
  <c r="O1952" i="16" s="1"/>
  <c r="P1952" i="16" s="1"/>
  <c r="J1951" i="16"/>
  <c r="G1951" i="16"/>
  <c r="I1951" i="16" s="1"/>
  <c r="J1950" i="16"/>
  <c r="G1950" i="16"/>
  <c r="H1949" i="16"/>
  <c r="H1931" i="16" s="1"/>
  <c r="E1949" i="16"/>
  <c r="E1948" i="16"/>
  <c r="I1948" i="16" s="1"/>
  <c r="L1948" i="16" s="1"/>
  <c r="O1948" i="16" s="1"/>
  <c r="P1948" i="16" s="1"/>
  <c r="I1947" i="16"/>
  <c r="L1947" i="16" s="1"/>
  <c r="O1947" i="16" s="1"/>
  <c r="P1947" i="16" s="1"/>
  <c r="I1946" i="16"/>
  <c r="L1946" i="16" s="1"/>
  <c r="O1946" i="16" s="1"/>
  <c r="P1946" i="16" s="1"/>
  <c r="I1945" i="16"/>
  <c r="L1945" i="16" s="1"/>
  <c r="O1945" i="16" s="1"/>
  <c r="P1945" i="16" s="1"/>
  <c r="E1944" i="16"/>
  <c r="I1944" i="16" s="1"/>
  <c r="L1944" i="16" s="1"/>
  <c r="O1944" i="16" s="1"/>
  <c r="P1944" i="16" s="1"/>
  <c r="I1943" i="16"/>
  <c r="L1943" i="16" s="1"/>
  <c r="O1943" i="16" s="1"/>
  <c r="P1943" i="16" s="1"/>
  <c r="E1942" i="16"/>
  <c r="I1942" i="16" s="1"/>
  <c r="L1942" i="16" s="1"/>
  <c r="O1942" i="16" s="1"/>
  <c r="P1942" i="16" s="1"/>
  <c r="I1941" i="16"/>
  <c r="L1941" i="16" s="1"/>
  <c r="O1941" i="16" s="1"/>
  <c r="P1941" i="16" s="1"/>
  <c r="E1940" i="16"/>
  <c r="I1940" i="16" s="1"/>
  <c r="L1940" i="16" s="1"/>
  <c r="O1940" i="16" s="1"/>
  <c r="P1940" i="16" s="1"/>
  <c r="I1939" i="16"/>
  <c r="L1939" i="16" s="1"/>
  <c r="O1939" i="16" s="1"/>
  <c r="P1939" i="16" s="1"/>
  <c r="J1938" i="16"/>
  <c r="E1938" i="16"/>
  <c r="I1938" i="16" s="1"/>
  <c r="L1938" i="16" s="1"/>
  <c r="O1938" i="16" s="1"/>
  <c r="P1938" i="16" s="1"/>
  <c r="E1937" i="16"/>
  <c r="I1937" i="16" s="1"/>
  <c r="L1937" i="16" s="1"/>
  <c r="O1937" i="16" s="1"/>
  <c r="P1937" i="16" s="1"/>
  <c r="E1936" i="16"/>
  <c r="I1936" i="16" s="1"/>
  <c r="L1936" i="16" s="1"/>
  <c r="O1936" i="16" s="1"/>
  <c r="P1936" i="16" s="1"/>
  <c r="E1935" i="16"/>
  <c r="I1935" i="16" s="1"/>
  <c r="L1935" i="16" s="1"/>
  <c r="O1935" i="16" s="1"/>
  <c r="P1935" i="16" s="1"/>
  <c r="E1934" i="16"/>
  <c r="I1934" i="16" s="1"/>
  <c r="L1934" i="16" s="1"/>
  <c r="O1934" i="16" s="1"/>
  <c r="P1934" i="16" s="1"/>
  <c r="E1933" i="16"/>
  <c r="I1933" i="16" s="1"/>
  <c r="L1933" i="16" s="1"/>
  <c r="O1933" i="16" s="1"/>
  <c r="P1933" i="16" s="1"/>
  <c r="I1932" i="16"/>
  <c r="L1932" i="16" s="1"/>
  <c r="O1932" i="16" s="1"/>
  <c r="K1931" i="16"/>
  <c r="N1931" i="16" s="1"/>
  <c r="F1931" i="16"/>
  <c r="I1930" i="16"/>
  <c r="L1930" i="16" s="1"/>
  <c r="O1930" i="16" s="1"/>
  <c r="P1930" i="16" s="1"/>
  <c r="I1929" i="16"/>
  <c r="L1929" i="16" s="1"/>
  <c r="O1929" i="16" s="1"/>
  <c r="P1929" i="16" s="1"/>
  <c r="E1927" i="16"/>
  <c r="E1926" i="16" s="1"/>
  <c r="K1926" i="16"/>
  <c r="N1926" i="16" s="1"/>
  <c r="J1926" i="16"/>
  <c r="H1926" i="16"/>
  <c r="G1926" i="16"/>
  <c r="F1926" i="16"/>
  <c r="I1925" i="16"/>
  <c r="L1925" i="16" s="1"/>
  <c r="O1925" i="16" s="1"/>
  <c r="P1925" i="16" s="1"/>
  <c r="I1924" i="16"/>
  <c r="L1924" i="16" s="1"/>
  <c r="O1924" i="16" s="1"/>
  <c r="I1923" i="16"/>
  <c r="L1923" i="16" s="1"/>
  <c r="O1923" i="16" s="1"/>
  <c r="P1923" i="16" s="1"/>
  <c r="K1922" i="16"/>
  <c r="N1922" i="16" s="1"/>
  <c r="J1922" i="16"/>
  <c r="H1922" i="16"/>
  <c r="G1922" i="16"/>
  <c r="F1922" i="16"/>
  <c r="E1922" i="16"/>
  <c r="I1921" i="16"/>
  <c r="L1921" i="16" s="1"/>
  <c r="O1921" i="16" s="1"/>
  <c r="P1921" i="16" s="1"/>
  <c r="I1920" i="16"/>
  <c r="L1920" i="16" s="1"/>
  <c r="O1920" i="16" s="1"/>
  <c r="P1920" i="16" s="1"/>
  <c r="K1919" i="16"/>
  <c r="N1919" i="16" s="1"/>
  <c r="J1919" i="16"/>
  <c r="H1919" i="16"/>
  <c r="G1919" i="16"/>
  <c r="F1919" i="16"/>
  <c r="E1919" i="16"/>
  <c r="I1918" i="16"/>
  <c r="L1918" i="16" s="1"/>
  <c r="O1918" i="16" s="1"/>
  <c r="P1918" i="16" s="1"/>
  <c r="I1917" i="16"/>
  <c r="L1917" i="16" s="1"/>
  <c r="O1917" i="16" s="1"/>
  <c r="P1917" i="16" s="1"/>
  <c r="I1916" i="16"/>
  <c r="L1916" i="16" s="1"/>
  <c r="O1916" i="16" s="1"/>
  <c r="P1916" i="16" s="1"/>
  <c r="I1915" i="16"/>
  <c r="K1914" i="16"/>
  <c r="N1914" i="16" s="1"/>
  <c r="J1914" i="16"/>
  <c r="H1914" i="16"/>
  <c r="G1914" i="16"/>
  <c r="F1914" i="16"/>
  <c r="E1914" i="16"/>
  <c r="I1913" i="16"/>
  <c r="L1913" i="16" s="1"/>
  <c r="O1913" i="16" s="1"/>
  <c r="K1912" i="16"/>
  <c r="N1912" i="16" s="1"/>
  <c r="J1912" i="16"/>
  <c r="H1912" i="16"/>
  <c r="G1912" i="16"/>
  <c r="F1912" i="16"/>
  <c r="E1912" i="16"/>
  <c r="I1911" i="16"/>
  <c r="L1911" i="16" s="1"/>
  <c r="O1911" i="16" s="1"/>
  <c r="P1911" i="16" s="1"/>
  <c r="I1910" i="16"/>
  <c r="L1910" i="16" s="1"/>
  <c r="O1910" i="16" s="1"/>
  <c r="P1910" i="16" s="1"/>
  <c r="I1909" i="16"/>
  <c r="L1909" i="16" s="1"/>
  <c r="O1909" i="16" s="1"/>
  <c r="P1909" i="16" s="1"/>
  <c r="I1907" i="16"/>
  <c r="L1907" i="16" s="1"/>
  <c r="O1907" i="16" s="1"/>
  <c r="O1906" i="16" s="1"/>
  <c r="O1908" i="16" s="1"/>
  <c r="K1906" i="16"/>
  <c r="N1906" i="16" s="1"/>
  <c r="J1906" i="16"/>
  <c r="J1908" i="16" s="1"/>
  <c r="H1906" i="16"/>
  <c r="H1908" i="16" s="1"/>
  <c r="G1906" i="16"/>
  <c r="G1908" i="16" s="1"/>
  <c r="F1906" i="16"/>
  <c r="F1908" i="16" s="1"/>
  <c r="E1906" i="16"/>
  <c r="E1908" i="16" s="1"/>
  <c r="I1905" i="16"/>
  <c r="L1905" i="16" s="1"/>
  <c r="O1905" i="16" s="1"/>
  <c r="P1905" i="16" s="1"/>
  <c r="I1904" i="16"/>
  <c r="L1904" i="16" s="1"/>
  <c r="O1904" i="16" s="1"/>
  <c r="P1904" i="16" s="1"/>
  <c r="I1903" i="16"/>
  <c r="L1903" i="16" s="1"/>
  <c r="O1903" i="16" s="1"/>
  <c r="P1903" i="16" s="1"/>
  <c r="I1902" i="16"/>
  <c r="L1902" i="16" s="1"/>
  <c r="O1902" i="16" s="1"/>
  <c r="P1902" i="16" s="1"/>
  <c r="I1899" i="16"/>
  <c r="L1899" i="16" s="1"/>
  <c r="O1899" i="16" s="1"/>
  <c r="K1898" i="16"/>
  <c r="J1898" i="16"/>
  <c r="J1900" i="16" s="1"/>
  <c r="H1898" i="16"/>
  <c r="H1900" i="16" s="1"/>
  <c r="G1898" i="16"/>
  <c r="G1900" i="16" s="1"/>
  <c r="F1898" i="16"/>
  <c r="F1900" i="16" s="1"/>
  <c r="E1898" i="16"/>
  <c r="E1900" i="16" s="1"/>
  <c r="I1897" i="16"/>
  <c r="L1897" i="16" s="1"/>
  <c r="O1897" i="16" s="1"/>
  <c r="P1897" i="16" s="1"/>
  <c r="I1896" i="16"/>
  <c r="L1896" i="16" s="1"/>
  <c r="O1896" i="16" s="1"/>
  <c r="P1896" i="16" s="1"/>
  <c r="I1894" i="16"/>
  <c r="L1894" i="16" s="1"/>
  <c r="E1893" i="16"/>
  <c r="I1893" i="16" s="1"/>
  <c r="L1893" i="16" s="1"/>
  <c r="O1893" i="16" s="1"/>
  <c r="P1893" i="16" s="1"/>
  <c r="E1892" i="16"/>
  <c r="I1892" i="16" s="1"/>
  <c r="K1891" i="16"/>
  <c r="N1891" i="16" s="1"/>
  <c r="J1891" i="16"/>
  <c r="H1891" i="16"/>
  <c r="G1891" i="16"/>
  <c r="F1891" i="16"/>
  <c r="I1890" i="16"/>
  <c r="K1889" i="16"/>
  <c r="N1889" i="16" s="1"/>
  <c r="J1889" i="16"/>
  <c r="H1889" i="16"/>
  <c r="G1889" i="16"/>
  <c r="F1889" i="16"/>
  <c r="E1889" i="16"/>
  <c r="E1888" i="16"/>
  <c r="I1887" i="16"/>
  <c r="L1887" i="16" s="1"/>
  <c r="O1887" i="16" s="1"/>
  <c r="P1887" i="16" s="1"/>
  <c r="I1886" i="16"/>
  <c r="L1886" i="16" s="1"/>
  <c r="O1886" i="16" s="1"/>
  <c r="K1885" i="16"/>
  <c r="N1885" i="16" s="1"/>
  <c r="J1885" i="16"/>
  <c r="H1885" i="16"/>
  <c r="G1885" i="16"/>
  <c r="F1885" i="16"/>
  <c r="I1884" i="16"/>
  <c r="L1884" i="16" s="1"/>
  <c r="O1884" i="16" s="1"/>
  <c r="P1884" i="16" s="1"/>
  <c r="I1883" i="16"/>
  <c r="L1883" i="16" s="1"/>
  <c r="O1883" i="16" s="1"/>
  <c r="K1882" i="16"/>
  <c r="N1882" i="16" s="1"/>
  <c r="J1882" i="16"/>
  <c r="H1882" i="16"/>
  <c r="G1882" i="16"/>
  <c r="F1882" i="16"/>
  <c r="E1882" i="16"/>
  <c r="I1881" i="16"/>
  <c r="L1881" i="16" s="1"/>
  <c r="O1881" i="16" s="1"/>
  <c r="K1880" i="16"/>
  <c r="N1880" i="16" s="1"/>
  <c r="J1880" i="16"/>
  <c r="H1880" i="16"/>
  <c r="G1880" i="16"/>
  <c r="F1880" i="16"/>
  <c r="E1880" i="16"/>
  <c r="I1879" i="16"/>
  <c r="L1879" i="16" s="1"/>
  <c r="O1879" i="16" s="1"/>
  <c r="P1879" i="16" s="1"/>
  <c r="I1878" i="16"/>
  <c r="L1878" i="16" s="1"/>
  <c r="O1878" i="16" s="1"/>
  <c r="P1878" i="16" s="1"/>
  <c r="I1877" i="16"/>
  <c r="K1876" i="16"/>
  <c r="N1876" i="16" s="1"/>
  <c r="J1876" i="16"/>
  <c r="H1876" i="16"/>
  <c r="G1876" i="16"/>
  <c r="F1876" i="16"/>
  <c r="E1876" i="16"/>
  <c r="I1875" i="16"/>
  <c r="L1875" i="16" s="1"/>
  <c r="O1875" i="16" s="1"/>
  <c r="P1875" i="16" s="1"/>
  <c r="I1874" i="16"/>
  <c r="I1873" i="16"/>
  <c r="L1873" i="16" s="1"/>
  <c r="O1873" i="16" s="1"/>
  <c r="P1873" i="16" s="1"/>
  <c r="K1872" i="16"/>
  <c r="N1872" i="16" s="1"/>
  <c r="J1872" i="16"/>
  <c r="H1872" i="16"/>
  <c r="G1872" i="16"/>
  <c r="F1872" i="16"/>
  <c r="E1872" i="16"/>
  <c r="I1871" i="16"/>
  <c r="L1871" i="16" s="1"/>
  <c r="O1871" i="16" s="1"/>
  <c r="P1871" i="16" s="1"/>
  <c r="E1870" i="16"/>
  <c r="I1870" i="16" s="1"/>
  <c r="L1870" i="16" s="1"/>
  <c r="O1870" i="16" s="1"/>
  <c r="P1870" i="16" s="1"/>
  <c r="I1869" i="16"/>
  <c r="L1869" i="16" s="1"/>
  <c r="O1869" i="16" s="1"/>
  <c r="P1869" i="16" s="1"/>
  <c r="I1868" i="16"/>
  <c r="L1868" i="16" s="1"/>
  <c r="O1868" i="16" s="1"/>
  <c r="P1868" i="16" s="1"/>
  <c r="E1867" i="16"/>
  <c r="I1867" i="16" s="1"/>
  <c r="K1866" i="16"/>
  <c r="N1866" i="16" s="1"/>
  <c r="J1866" i="16"/>
  <c r="H1866" i="16"/>
  <c r="G1866" i="16"/>
  <c r="F1866" i="16"/>
  <c r="E1865" i="16"/>
  <c r="I1865" i="16" s="1"/>
  <c r="I1864" i="16"/>
  <c r="L1864" i="16" s="1"/>
  <c r="O1864" i="16" s="1"/>
  <c r="K1863" i="16"/>
  <c r="N1863" i="16" s="1"/>
  <c r="H1863" i="16"/>
  <c r="G1863" i="16"/>
  <c r="F1863" i="16"/>
  <c r="I1862" i="16"/>
  <c r="L1862" i="16" s="1"/>
  <c r="O1862" i="16" s="1"/>
  <c r="P1862" i="16" s="1"/>
  <c r="I1861" i="16"/>
  <c r="L1861" i="16" s="1"/>
  <c r="O1861" i="16" s="1"/>
  <c r="K1860" i="16"/>
  <c r="N1860" i="16" s="1"/>
  <c r="J1860" i="16"/>
  <c r="H1860" i="16"/>
  <c r="G1860" i="16"/>
  <c r="F1860" i="16"/>
  <c r="E1860" i="16"/>
  <c r="I1859" i="16"/>
  <c r="L1859" i="16" s="1"/>
  <c r="O1859" i="16" s="1"/>
  <c r="P1859" i="16" s="1"/>
  <c r="I1858" i="16"/>
  <c r="L1858" i="16" s="1"/>
  <c r="O1858" i="16" s="1"/>
  <c r="P1858" i="16" s="1"/>
  <c r="I1857" i="16"/>
  <c r="L1857" i="16" s="1"/>
  <c r="O1857" i="16" s="1"/>
  <c r="K1856" i="16"/>
  <c r="N1856" i="16" s="1"/>
  <c r="J1856" i="16"/>
  <c r="H1856" i="16"/>
  <c r="G1856" i="16"/>
  <c r="F1856" i="16"/>
  <c r="E1856" i="16"/>
  <c r="E1855" i="16"/>
  <c r="I1855" i="16" s="1"/>
  <c r="L1855" i="16" s="1"/>
  <c r="O1855" i="16" s="1"/>
  <c r="P1855" i="16" s="1"/>
  <c r="E1854" i="16"/>
  <c r="I1853" i="16"/>
  <c r="L1853" i="16" s="1"/>
  <c r="O1853" i="16" s="1"/>
  <c r="K1852" i="16"/>
  <c r="N1852" i="16" s="1"/>
  <c r="J1852" i="16"/>
  <c r="H1852" i="16"/>
  <c r="G1852" i="16"/>
  <c r="F1852" i="16"/>
  <c r="G1851" i="16"/>
  <c r="G1850" i="16" s="1"/>
  <c r="E1851" i="16"/>
  <c r="E1850" i="16" s="1"/>
  <c r="K1850" i="16"/>
  <c r="N1850" i="16" s="1"/>
  <c r="J1850" i="16"/>
  <c r="H1850" i="16"/>
  <c r="F1850" i="16"/>
  <c r="G1849" i="16"/>
  <c r="G1848" i="16" s="1"/>
  <c r="E1849" i="16"/>
  <c r="E1848" i="16" s="1"/>
  <c r="K1848" i="16"/>
  <c r="N1848" i="16" s="1"/>
  <c r="J1848" i="16"/>
  <c r="H1848" i="16"/>
  <c r="F1848" i="16"/>
  <c r="I1847" i="16"/>
  <c r="L1847" i="16" s="1"/>
  <c r="O1847" i="16" s="1"/>
  <c r="P1847" i="16" s="1"/>
  <c r="I1846" i="16"/>
  <c r="L1846" i="16" s="1"/>
  <c r="O1846" i="16" s="1"/>
  <c r="P1846" i="16" s="1"/>
  <c r="I1845" i="16"/>
  <c r="L1845" i="16" s="1"/>
  <c r="O1845" i="16" s="1"/>
  <c r="P1845" i="16" s="1"/>
  <c r="I1844" i="16"/>
  <c r="I1843" i="16"/>
  <c r="I1842" i="16"/>
  <c r="E1836" i="16"/>
  <c r="I1836" i="16" s="1"/>
  <c r="L1836" i="16" s="1"/>
  <c r="O1836" i="16" s="1"/>
  <c r="P1836" i="16" s="1"/>
  <c r="H1835" i="16"/>
  <c r="I1835" i="16" s="1"/>
  <c r="H1834" i="16"/>
  <c r="E1834" i="16"/>
  <c r="K1833" i="16"/>
  <c r="N1833" i="16" s="1"/>
  <c r="J1833" i="16"/>
  <c r="G1833" i="16"/>
  <c r="F1833" i="16"/>
  <c r="H1832" i="16"/>
  <c r="H1830" i="16" s="1"/>
  <c r="E1831" i="16"/>
  <c r="E1830" i="16" s="1"/>
  <c r="K1830" i="16"/>
  <c r="N1830" i="16" s="1"/>
  <c r="J1830" i="16"/>
  <c r="G1830" i="16"/>
  <c r="F1830" i="16"/>
  <c r="G1829" i="16"/>
  <c r="I1829" i="16" s="1"/>
  <c r="K1828" i="16"/>
  <c r="N1828" i="16" s="1"/>
  <c r="J1828" i="16"/>
  <c r="H1828" i="16"/>
  <c r="F1828" i="16"/>
  <c r="E1828" i="16"/>
  <c r="I1827" i="16"/>
  <c r="E1826" i="16"/>
  <c r="I1826" i="16" s="1"/>
  <c r="L1826" i="16" s="1"/>
  <c r="O1826" i="16" s="1"/>
  <c r="P1826" i="16" s="1"/>
  <c r="K1825" i="16"/>
  <c r="N1825" i="16" s="1"/>
  <c r="J1825" i="16"/>
  <c r="H1825" i="16"/>
  <c r="G1825" i="16"/>
  <c r="F1825" i="16"/>
  <c r="E1824" i="16"/>
  <c r="I1824" i="16" s="1"/>
  <c r="K1823" i="16"/>
  <c r="N1823" i="16" s="1"/>
  <c r="J1823" i="16"/>
  <c r="H1823" i="16"/>
  <c r="G1823" i="16"/>
  <c r="F1823" i="16"/>
  <c r="I1822" i="16"/>
  <c r="I1821" i="16" s="1"/>
  <c r="K1821" i="16"/>
  <c r="N1821" i="16" s="1"/>
  <c r="J1821" i="16"/>
  <c r="H1821" i="16"/>
  <c r="G1821" i="16"/>
  <c r="F1821" i="16"/>
  <c r="E1821" i="16"/>
  <c r="I1820" i="16"/>
  <c r="L1820" i="16" s="1"/>
  <c r="O1820" i="16" s="1"/>
  <c r="P1820" i="16" s="1"/>
  <c r="I1819" i="16"/>
  <c r="L1819" i="16" s="1"/>
  <c r="O1819" i="16" s="1"/>
  <c r="P1819" i="16" s="1"/>
  <c r="I1817" i="16"/>
  <c r="L1817" i="16" s="1"/>
  <c r="O1817" i="16" s="1"/>
  <c r="P1817" i="16" s="1"/>
  <c r="I1816" i="16"/>
  <c r="L1816" i="16" s="1"/>
  <c r="O1816" i="16" s="1"/>
  <c r="K1815" i="16"/>
  <c r="N1815" i="16" s="1"/>
  <c r="J1815" i="16"/>
  <c r="H1815" i="16"/>
  <c r="G1815" i="16"/>
  <c r="F1815" i="16"/>
  <c r="E1815" i="16"/>
  <c r="I1814" i="16"/>
  <c r="L1814" i="16" s="1"/>
  <c r="O1814" i="16" s="1"/>
  <c r="P1814" i="16" s="1"/>
  <c r="I1813" i="16"/>
  <c r="L1813" i="16" s="1"/>
  <c r="O1813" i="16" s="1"/>
  <c r="K1812" i="16"/>
  <c r="N1812" i="16" s="1"/>
  <c r="J1812" i="16"/>
  <c r="H1812" i="16"/>
  <c r="G1812" i="16"/>
  <c r="F1812" i="16"/>
  <c r="E1812" i="16"/>
  <c r="I1811" i="16"/>
  <c r="L1811" i="16" s="1"/>
  <c r="O1811" i="16" s="1"/>
  <c r="K1810" i="16"/>
  <c r="N1810" i="16" s="1"/>
  <c r="J1810" i="16"/>
  <c r="H1810" i="16"/>
  <c r="G1810" i="16"/>
  <c r="F1810" i="16"/>
  <c r="E1810" i="16"/>
  <c r="I1809" i="16"/>
  <c r="L1809" i="16" s="1"/>
  <c r="O1809" i="16" s="1"/>
  <c r="P1809" i="16" s="1"/>
  <c r="E1808" i="16"/>
  <c r="I1808" i="16" s="1"/>
  <c r="K1807" i="16"/>
  <c r="N1807" i="16" s="1"/>
  <c r="J1807" i="16"/>
  <c r="H1807" i="16"/>
  <c r="G1807" i="16"/>
  <c r="F1807" i="16"/>
  <c r="E1806" i="16"/>
  <c r="I1805" i="16"/>
  <c r="L1805" i="16" s="1"/>
  <c r="O1805" i="16" s="1"/>
  <c r="K1804" i="16"/>
  <c r="N1804" i="16" s="1"/>
  <c r="J1804" i="16"/>
  <c r="H1804" i="16"/>
  <c r="G1804" i="16"/>
  <c r="F1804" i="16"/>
  <c r="I1803" i="16"/>
  <c r="L1803" i="16" s="1"/>
  <c r="O1803" i="16" s="1"/>
  <c r="P1803" i="16" s="1"/>
  <c r="I1802" i="16"/>
  <c r="L1802" i="16" s="1"/>
  <c r="O1802" i="16" s="1"/>
  <c r="K1801" i="16"/>
  <c r="N1801" i="16" s="1"/>
  <c r="J1801" i="16"/>
  <c r="H1801" i="16"/>
  <c r="G1801" i="16"/>
  <c r="F1801" i="16"/>
  <c r="E1801" i="16"/>
  <c r="E1800" i="16"/>
  <c r="I1800" i="16" s="1"/>
  <c r="K1799" i="16"/>
  <c r="N1799" i="16" s="1"/>
  <c r="J1799" i="16"/>
  <c r="H1799" i="16"/>
  <c r="G1799" i="16"/>
  <c r="F1799" i="16"/>
  <c r="I1798" i="16"/>
  <c r="L1798" i="16" s="1"/>
  <c r="O1798" i="16" s="1"/>
  <c r="P1798" i="16" s="1"/>
  <c r="I1797" i="16"/>
  <c r="L1797" i="16" s="1"/>
  <c r="O1797" i="16" s="1"/>
  <c r="P1797" i="16" s="1"/>
  <c r="I1796" i="16"/>
  <c r="K1795" i="16"/>
  <c r="N1795" i="16" s="1"/>
  <c r="J1795" i="16"/>
  <c r="H1795" i="16"/>
  <c r="G1795" i="16"/>
  <c r="F1795" i="16"/>
  <c r="E1795" i="16"/>
  <c r="I1794" i="16"/>
  <c r="L1794" i="16" s="1"/>
  <c r="O1794" i="16" s="1"/>
  <c r="P1794" i="16" s="1"/>
  <c r="I1793" i="16"/>
  <c r="L1793" i="16" s="1"/>
  <c r="O1793" i="16" s="1"/>
  <c r="P1793" i="16" s="1"/>
  <c r="E1792" i="16"/>
  <c r="I1792" i="16" s="1"/>
  <c r="K1791" i="16"/>
  <c r="N1791" i="16" s="1"/>
  <c r="J1791" i="16"/>
  <c r="H1791" i="16"/>
  <c r="G1791" i="16"/>
  <c r="F1791" i="16"/>
  <c r="I1790" i="16"/>
  <c r="L1790" i="16" s="1"/>
  <c r="O1790" i="16" s="1"/>
  <c r="P1790" i="16" s="1"/>
  <c r="I1789" i="16"/>
  <c r="L1789" i="16" s="1"/>
  <c r="O1789" i="16" s="1"/>
  <c r="K1788" i="16"/>
  <c r="N1788" i="16" s="1"/>
  <c r="J1788" i="16"/>
  <c r="H1788" i="16"/>
  <c r="G1788" i="16"/>
  <c r="F1788" i="16"/>
  <c r="E1788" i="16"/>
  <c r="P1787" i="16"/>
  <c r="O1787" i="16"/>
  <c r="E1787" i="16"/>
  <c r="E1782" i="16" s="1"/>
  <c r="I1786" i="16"/>
  <c r="L1786" i="16" s="1"/>
  <c r="O1786" i="16" s="1"/>
  <c r="P1786" i="16" s="1"/>
  <c r="I1785" i="16"/>
  <c r="L1785" i="16" s="1"/>
  <c r="O1785" i="16" s="1"/>
  <c r="P1785" i="16" s="1"/>
  <c r="I1784" i="16"/>
  <c r="L1784" i="16" s="1"/>
  <c r="O1784" i="16" s="1"/>
  <c r="P1784" i="16" s="1"/>
  <c r="I1783" i="16"/>
  <c r="L1783" i="16" s="1"/>
  <c r="O1783" i="16" s="1"/>
  <c r="K1782" i="16"/>
  <c r="N1782" i="16" s="1"/>
  <c r="J1782" i="16"/>
  <c r="H1782" i="16"/>
  <c r="G1782" i="16"/>
  <c r="F1782" i="16"/>
  <c r="I1781" i="16"/>
  <c r="L1781" i="16" s="1"/>
  <c r="O1781" i="16" s="1"/>
  <c r="P1781" i="16" s="1"/>
  <c r="I1780" i="16"/>
  <c r="L1780" i="16" s="1"/>
  <c r="O1780" i="16" s="1"/>
  <c r="P1780" i="16" s="1"/>
  <c r="E1779" i="16"/>
  <c r="I1779" i="16" s="1"/>
  <c r="K1778" i="16"/>
  <c r="N1778" i="16" s="1"/>
  <c r="J1778" i="16"/>
  <c r="H1778" i="16"/>
  <c r="G1778" i="16"/>
  <c r="F1778" i="16"/>
  <c r="I1777" i="16"/>
  <c r="L1777" i="16" s="1"/>
  <c r="O1777" i="16" s="1"/>
  <c r="P1777" i="16" s="1"/>
  <c r="E1776" i="16"/>
  <c r="E1774" i="16" s="1"/>
  <c r="I1775" i="16"/>
  <c r="L1775" i="16" s="1"/>
  <c r="O1775" i="16" s="1"/>
  <c r="K1774" i="16"/>
  <c r="N1774" i="16" s="1"/>
  <c r="J1774" i="16"/>
  <c r="H1774" i="16"/>
  <c r="G1774" i="16"/>
  <c r="F1774" i="16"/>
  <c r="I1773" i="16"/>
  <c r="L1773" i="16" s="1"/>
  <c r="O1773" i="16" s="1"/>
  <c r="P1773" i="16" s="1"/>
  <c r="I1772" i="16"/>
  <c r="L1772" i="16" s="1"/>
  <c r="O1772" i="16" s="1"/>
  <c r="P1772" i="16" s="1"/>
  <c r="I1771" i="16"/>
  <c r="L1771" i="16" s="1"/>
  <c r="O1771" i="16" s="1"/>
  <c r="K1770" i="16"/>
  <c r="N1770" i="16" s="1"/>
  <c r="J1770" i="16"/>
  <c r="H1770" i="16"/>
  <c r="G1770" i="16"/>
  <c r="F1770" i="16"/>
  <c r="E1770" i="16"/>
  <c r="I1769" i="16"/>
  <c r="L1769" i="16" s="1"/>
  <c r="O1769" i="16" s="1"/>
  <c r="P1769" i="16" s="1"/>
  <c r="L1768" i="16"/>
  <c r="C728" i="19" s="1"/>
  <c r="E1768" i="16"/>
  <c r="I1767" i="16"/>
  <c r="L1767" i="16" s="1"/>
  <c r="O1767" i="16" s="1"/>
  <c r="P1767" i="16" s="1"/>
  <c r="I1766" i="16"/>
  <c r="L1766" i="16" s="1"/>
  <c r="O1766" i="16" s="1"/>
  <c r="P1766" i="16" s="1"/>
  <c r="I1765" i="16"/>
  <c r="L1765" i="16" s="1"/>
  <c r="O1765" i="16" s="1"/>
  <c r="P1765" i="16" s="1"/>
  <c r="I1764" i="16"/>
  <c r="L1764" i="16" s="1"/>
  <c r="O1764" i="16" s="1"/>
  <c r="P1764" i="16" s="1"/>
  <c r="I1761" i="16"/>
  <c r="I1760" i="16" s="1"/>
  <c r="L1760" i="16" s="1"/>
  <c r="H1760" i="16"/>
  <c r="G1760" i="16"/>
  <c r="F1760" i="16"/>
  <c r="E1760" i="16"/>
  <c r="F1759" i="16"/>
  <c r="I1759" i="16" s="1"/>
  <c r="L1759" i="16" s="1"/>
  <c r="O1759" i="16" s="1"/>
  <c r="P1759" i="16" s="1"/>
  <c r="G1758" i="16"/>
  <c r="I1758" i="16" s="1"/>
  <c r="L1758" i="16" s="1"/>
  <c r="O1758" i="16" s="1"/>
  <c r="P1758" i="16" s="1"/>
  <c r="E1757" i="16"/>
  <c r="I1757" i="16" s="1"/>
  <c r="L1757" i="16" s="1"/>
  <c r="O1757" i="16" s="1"/>
  <c r="P1757" i="16" s="1"/>
  <c r="I1756" i="16"/>
  <c r="L1756" i="16" s="1"/>
  <c r="O1756" i="16" s="1"/>
  <c r="P1756" i="16" s="1"/>
  <c r="H1755" i="16"/>
  <c r="H1753" i="16" s="1"/>
  <c r="E1755" i="16"/>
  <c r="E1754" i="16"/>
  <c r="I1754" i="16" s="1"/>
  <c r="K1753" i="16"/>
  <c r="N1753" i="16" s="1"/>
  <c r="J1753" i="16"/>
  <c r="H1752" i="16"/>
  <c r="I1752" i="16" s="1"/>
  <c r="K1751" i="16"/>
  <c r="J1751" i="16"/>
  <c r="G1751" i="16"/>
  <c r="F1751" i="16"/>
  <c r="E1751" i="16"/>
  <c r="I1750" i="16"/>
  <c r="L1750" i="16" s="1"/>
  <c r="O1750" i="16" s="1"/>
  <c r="P1750" i="16" s="1"/>
  <c r="E1748" i="16"/>
  <c r="I1748" i="16" s="1"/>
  <c r="L1748" i="16" s="1"/>
  <c r="O1748" i="16" s="1"/>
  <c r="P1748" i="16" s="1"/>
  <c r="I1747" i="16"/>
  <c r="K1746" i="16"/>
  <c r="N1746" i="16" s="1"/>
  <c r="J1746" i="16"/>
  <c r="H1746" i="16"/>
  <c r="G1746" i="16"/>
  <c r="F1746" i="16"/>
  <c r="I1745" i="16"/>
  <c r="L1745" i="16" s="1"/>
  <c r="O1745" i="16" s="1"/>
  <c r="P1745" i="16" s="1"/>
  <c r="I1744" i="16"/>
  <c r="L1744" i="16" s="1"/>
  <c r="O1744" i="16" s="1"/>
  <c r="K1743" i="16"/>
  <c r="N1743" i="16" s="1"/>
  <c r="J1743" i="16"/>
  <c r="H1743" i="16"/>
  <c r="G1743" i="16"/>
  <c r="F1743" i="16"/>
  <c r="E1743" i="16"/>
  <c r="I1742" i="16"/>
  <c r="L1742" i="16" s="1"/>
  <c r="O1742" i="16" s="1"/>
  <c r="P1742" i="16" s="1"/>
  <c r="I1741" i="16"/>
  <c r="L1741" i="16" s="1"/>
  <c r="O1741" i="16" s="1"/>
  <c r="K1740" i="16"/>
  <c r="N1740" i="16" s="1"/>
  <c r="J1740" i="16"/>
  <c r="H1740" i="16"/>
  <c r="G1740" i="16"/>
  <c r="F1740" i="16"/>
  <c r="E1740" i="16"/>
  <c r="I1739" i="16"/>
  <c r="L1739" i="16" s="1"/>
  <c r="O1739" i="16" s="1"/>
  <c r="P1739" i="16" s="1"/>
  <c r="I1738" i="16"/>
  <c r="L1738" i="16" s="1"/>
  <c r="O1738" i="16" s="1"/>
  <c r="P1738" i="16" s="1"/>
  <c r="I1737" i="16"/>
  <c r="K1736" i="16"/>
  <c r="N1736" i="16" s="1"/>
  <c r="J1736" i="16"/>
  <c r="H1736" i="16"/>
  <c r="G1736" i="16"/>
  <c r="F1736" i="16"/>
  <c r="E1736" i="16"/>
  <c r="I1735" i="16"/>
  <c r="L1735" i="16" s="1"/>
  <c r="O1735" i="16" s="1"/>
  <c r="P1735" i="16" s="1"/>
  <c r="I1734" i="16"/>
  <c r="L1734" i="16" s="1"/>
  <c r="O1734" i="16" s="1"/>
  <c r="P1734" i="16" s="1"/>
  <c r="I1733" i="16"/>
  <c r="L1733" i="16" s="1"/>
  <c r="O1733" i="16" s="1"/>
  <c r="E1733" i="16"/>
  <c r="E1732" i="16" s="1"/>
  <c r="K1732" i="16"/>
  <c r="N1732" i="16" s="1"/>
  <c r="J1732" i="16"/>
  <c r="H1732" i="16"/>
  <c r="G1732" i="16"/>
  <c r="F1732" i="16"/>
  <c r="I1731" i="16"/>
  <c r="L1731" i="16" s="1"/>
  <c r="O1731" i="16" s="1"/>
  <c r="P1731" i="16" s="1"/>
  <c r="I1730" i="16"/>
  <c r="L1730" i="16" s="1"/>
  <c r="O1730" i="16" s="1"/>
  <c r="K1729" i="16"/>
  <c r="N1729" i="16" s="1"/>
  <c r="J1729" i="16"/>
  <c r="H1729" i="16"/>
  <c r="G1729" i="16"/>
  <c r="F1729" i="16"/>
  <c r="E1729" i="16"/>
  <c r="I1728" i="16"/>
  <c r="L1728" i="16" s="1"/>
  <c r="O1728" i="16" s="1"/>
  <c r="P1728" i="16" s="1"/>
  <c r="I1727" i="16"/>
  <c r="L1727" i="16" s="1"/>
  <c r="O1727" i="16" s="1"/>
  <c r="P1727" i="16" s="1"/>
  <c r="I1726" i="16"/>
  <c r="L1726" i="16" s="1"/>
  <c r="O1726" i="16" s="1"/>
  <c r="P1726" i="16" s="1"/>
  <c r="I1725" i="16"/>
  <c r="K1724" i="16"/>
  <c r="N1724" i="16" s="1"/>
  <c r="J1724" i="16"/>
  <c r="H1724" i="16"/>
  <c r="G1724" i="16"/>
  <c r="F1724" i="16"/>
  <c r="E1724" i="16"/>
  <c r="I1723" i="16"/>
  <c r="L1723" i="16" s="1"/>
  <c r="O1723" i="16" s="1"/>
  <c r="P1723" i="16" s="1"/>
  <c r="I1722" i="16"/>
  <c r="L1722" i="16" s="1"/>
  <c r="O1722" i="16" s="1"/>
  <c r="P1722" i="16" s="1"/>
  <c r="I1721" i="16"/>
  <c r="L1721" i="16" s="1"/>
  <c r="O1721" i="16" s="1"/>
  <c r="K1720" i="16"/>
  <c r="N1720" i="16" s="1"/>
  <c r="J1720" i="16"/>
  <c r="H1720" i="16"/>
  <c r="G1720" i="16"/>
  <c r="F1720" i="16"/>
  <c r="E1720" i="16"/>
  <c r="I1719" i="16"/>
  <c r="L1719" i="16" s="1"/>
  <c r="O1719" i="16" s="1"/>
  <c r="P1719" i="16" s="1"/>
  <c r="E1718" i="16"/>
  <c r="I1718" i="16" s="1"/>
  <c r="L1718" i="16" s="1"/>
  <c r="O1718" i="16" s="1"/>
  <c r="P1718" i="16" s="1"/>
  <c r="I1717" i="16"/>
  <c r="L1717" i="16" s="1"/>
  <c r="O1717" i="16" s="1"/>
  <c r="K1716" i="16"/>
  <c r="N1716" i="16" s="1"/>
  <c r="J1716" i="16"/>
  <c r="H1716" i="16"/>
  <c r="G1716" i="16"/>
  <c r="F1716" i="16"/>
  <c r="I1715" i="16"/>
  <c r="L1715" i="16" s="1"/>
  <c r="O1715" i="16" s="1"/>
  <c r="P1715" i="16" s="1"/>
  <c r="I1714" i="16"/>
  <c r="L1714" i="16" s="1"/>
  <c r="O1714" i="16" s="1"/>
  <c r="P1714" i="16" s="1"/>
  <c r="I1713" i="16"/>
  <c r="K1712" i="16"/>
  <c r="N1712" i="16" s="1"/>
  <c r="J1712" i="16"/>
  <c r="H1712" i="16"/>
  <c r="G1712" i="16"/>
  <c r="F1712" i="16"/>
  <c r="E1712" i="16"/>
  <c r="I1711" i="16"/>
  <c r="L1711" i="16" s="1"/>
  <c r="E1710" i="16"/>
  <c r="I1710" i="16" s="1"/>
  <c r="L1710" i="16" s="1"/>
  <c r="O1710" i="16" s="1"/>
  <c r="I1709" i="16"/>
  <c r="L1709" i="16" s="1"/>
  <c r="C715" i="19" s="1"/>
  <c r="I1708" i="16"/>
  <c r="L1708" i="16" s="1"/>
  <c r="O1708" i="16" s="1"/>
  <c r="P1708" i="16" s="1"/>
  <c r="I1707" i="16"/>
  <c r="L1707" i="16" s="1"/>
  <c r="O1707" i="16" s="1"/>
  <c r="P1707" i="16" s="1"/>
  <c r="I1706" i="16"/>
  <c r="L1706" i="16" s="1"/>
  <c r="O1706" i="16" s="1"/>
  <c r="P1706" i="16" s="1"/>
  <c r="I1703" i="16"/>
  <c r="L1703" i="16" s="1"/>
  <c r="P1702" i="16"/>
  <c r="O1702" i="16"/>
  <c r="K1702" i="16"/>
  <c r="N1702" i="16" s="1"/>
  <c r="J1702" i="16"/>
  <c r="E1702" i="16"/>
  <c r="I1702" i="16" s="1"/>
  <c r="I1701" i="16"/>
  <c r="I1700" i="16"/>
  <c r="L1700" i="16" s="1"/>
  <c r="O1700" i="16" s="1"/>
  <c r="K1699" i="16"/>
  <c r="N1699" i="16" s="1"/>
  <c r="J1699" i="16"/>
  <c r="H1699" i="16"/>
  <c r="G1699" i="16"/>
  <c r="F1699" i="16"/>
  <c r="E1699" i="16"/>
  <c r="I1698" i="16"/>
  <c r="I1697" i="16" s="1"/>
  <c r="K1697" i="16"/>
  <c r="N1697" i="16" s="1"/>
  <c r="J1697" i="16"/>
  <c r="H1697" i="16"/>
  <c r="G1697" i="16"/>
  <c r="F1697" i="16"/>
  <c r="E1697" i="16"/>
  <c r="I1696" i="16"/>
  <c r="L1696" i="16" s="1"/>
  <c r="I1695" i="16"/>
  <c r="L1695" i="16" s="1"/>
  <c r="E1693" i="16"/>
  <c r="I1693" i="16" s="1"/>
  <c r="I1692" i="16"/>
  <c r="L1692" i="16" s="1"/>
  <c r="O1692" i="16" s="1"/>
  <c r="P1692" i="16" s="1"/>
  <c r="K1691" i="16"/>
  <c r="N1691" i="16" s="1"/>
  <c r="J1691" i="16"/>
  <c r="H1691" i="16"/>
  <c r="G1691" i="16"/>
  <c r="F1691" i="16"/>
  <c r="I1690" i="16"/>
  <c r="L1690" i="16" s="1"/>
  <c r="O1690" i="16" s="1"/>
  <c r="P1690" i="16" s="1"/>
  <c r="I1689" i="16"/>
  <c r="K1688" i="16"/>
  <c r="N1688" i="16" s="1"/>
  <c r="J1688" i="16"/>
  <c r="H1688" i="16"/>
  <c r="G1688" i="16"/>
  <c r="F1688" i="16"/>
  <c r="E1688" i="16"/>
  <c r="I1687" i="16"/>
  <c r="L1687" i="16" s="1"/>
  <c r="O1687" i="16" s="1"/>
  <c r="P1687" i="16" s="1"/>
  <c r="I1686" i="16"/>
  <c r="L1686" i="16" s="1"/>
  <c r="O1686" i="16" s="1"/>
  <c r="K1685" i="16"/>
  <c r="N1685" i="16" s="1"/>
  <c r="J1685" i="16"/>
  <c r="H1685" i="16"/>
  <c r="G1685" i="16"/>
  <c r="F1685" i="16"/>
  <c r="E1685" i="16"/>
  <c r="I1684" i="16"/>
  <c r="L1684" i="16" s="1"/>
  <c r="O1684" i="16" s="1"/>
  <c r="P1684" i="16" s="1"/>
  <c r="I1683" i="16"/>
  <c r="L1683" i="16" s="1"/>
  <c r="O1683" i="16" s="1"/>
  <c r="P1683" i="16" s="1"/>
  <c r="I1682" i="16"/>
  <c r="K1681" i="16"/>
  <c r="N1681" i="16" s="1"/>
  <c r="J1681" i="16"/>
  <c r="H1681" i="16"/>
  <c r="G1681" i="16"/>
  <c r="F1681" i="16"/>
  <c r="E1681" i="16"/>
  <c r="I1680" i="16"/>
  <c r="L1680" i="16" s="1"/>
  <c r="O1680" i="16" s="1"/>
  <c r="P1680" i="16" s="1"/>
  <c r="I1679" i="16"/>
  <c r="L1679" i="16" s="1"/>
  <c r="O1679" i="16" s="1"/>
  <c r="K1678" i="16"/>
  <c r="N1678" i="16" s="1"/>
  <c r="J1678" i="16"/>
  <c r="H1678" i="16"/>
  <c r="G1678" i="16"/>
  <c r="F1678" i="16"/>
  <c r="E1678" i="16"/>
  <c r="I1677" i="16"/>
  <c r="L1677" i="16" s="1"/>
  <c r="O1677" i="16" s="1"/>
  <c r="P1677" i="16" s="1"/>
  <c r="I1676" i="16"/>
  <c r="L1676" i="16" s="1"/>
  <c r="O1676" i="16" s="1"/>
  <c r="P1676" i="16" s="1"/>
  <c r="I1675" i="16"/>
  <c r="L1675" i="16" s="1"/>
  <c r="O1675" i="16" s="1"/>
  <c r="P1675" i="16" s="1"/>
  <c r="I1674" i="16"/>
  <c r="L1674" i="16" s="1"/>
  <c r="O1674" i="16" s="1"/>
  <c r="K1673" i="16"/>
  <c r="N1673" i="16" s="1"/>
  <c r="J1673" i="16"/>
  <c r="H1673" i="16"/>
  <c r="G1673" i="16"/>
  <c r="F1673" i="16"/>
  <c r="E1673" i="16"/>
  <c r="I1672" i="16"/>
  <c r="L1672" i="16" s="1"/>
  <c r="I1671" i="16"/>
  <c r="L1671" i="16" s="1"/>
  <c r="O1671" i="16" s="1"/>
  <c r="P1671" i="16" s="1"/>
  <c r="I1670" i="16"/>
  <c r="K1669" i="16"/>
  <c r="N1669" i="16" s="1"/>
  <c r="J1669" i="16"/>
  <c r="H1669" i="16"/>
  <c r="G1669" i="16"/>
  <c r="F1669" i="16"/>
  <c r="E1669" i="16"/>
  <c r="I1668" i="16"/>
  <c r="L1668" i="16" s="1"/>
  <c r="E1667" i="16"/>
  <c r="I1667" i="16" s="1"/>
  <c r="L1667" i="16" s="1"/>
  <c r="O1667" i="16" s="1"/>
  <c r="P1667" i="16" s="1"/>
  <c r="I1666" i="16"/>
  <c r="L1666" i="16" s="1"/>
  <c r="O1666" i="16" s="1"/>
  <c r="K1665" i="16"/>
  <c r="N1665" i="16" s="1"/>
  <c r="J1665" i="16"/>
  <c r="H1665" i="16"/>
  <c r="G1665" i="16"/>
  <c r="F1665" i="16"/>
  <c r="I1664" i="16"/>
  <c r="L1664" i="16" s="1"/>
  <c r="O1664" i="16" s="1"/>
  <c r="P1664" i="16" s="1"/>
  <c r="I1663" i="16"/>
  <c r="L1663" i="16" s="1"/>
  <c r="O1663" i="16" s="1"/>
  <c r="P1663" i="16" s="1"/>
  <c r="I1662" i="16"/>
  <c r="K1661" i="16"/>
  <c r="N1661" i="16" s="1"/>
  <c r="J1661" i="16"/>
  <c r="H1661" i="16"/>
  <c r="G1661" i="16"/>
  <c r="F1661" i="16"/>
  <c r="E1661" i="16"/>
  <c r="I1660" i="16"/>
  <c r="L1660" i="16" s="1"/>
  <c r="I1659" i="16"/>
  <c r="I1658" i="16"/>
  <c r="L1658" i="16" s="1"/>
  <c r="I1657" i="16"/>
  <c r="L1657" i="16" s="1"/>
  <c r="O1657" i="16" s="1"/>
  <c r="I1656" i="16"/>
  <c r="L1656" i="16" s="1"/>
  <c r="O1656" i="16" s="1"/>
  <c r="P1656" i="16" s="1"/>
  <c r="I1655" i="16"/>
  <c r="L1655" i="16" s="1"/>
  <c r="O1655" i="16" s="1"/>
  <c r="P1655" i="16" s="1"/>
  <c r="I1653" i="16"/>
  <c r="L1653" i="16" s="1"/>
  <c r="O1653" i="16" s="1"/>
  <c r="P1653" i="16" s="1"/>
  <c r="I1652" i="16"/>
  <c r="L1652" i="16" s="1"/>
  <c r="O1652" i="16" s="1"/>
  <c r="P1652" i="16" s="1"/>
  <c r="E1651" i="16"/>
  <c r="K1650" i="16"/>
  <c r="N1650" i="16" s="1"/>
  <c r="J1650" i="16"/>
  <c r="H1650" i="16"/>
  <c r="G1650" i="16"/>
  <c r="F1650" i="16"/>
  <c r="I1649" i="16"/>
  <c r="L1649" i="16" s="1"/>
  <c r="O1649" i="16" s="1"/>
  <c r="P1649" i="16" s="1"/>
  <c r="I1648" i="16"/>
  <c r="K1647" i="16"/>
  <c r="N1647" i="16" s="1"/>
  <c r="J1647" i="16"/>
  <c r="H1647" i="16"/>
  <c r="G1647" i="16"/>
  <c r="F1647" i="16"/>
  <c r="E1647" i="16"/>
  <c r="I1646" i="16"/>
  <c r="L1646" i="16" s="1"/>
  <c r="O1646" i="16" s="1"/>
  <c r="P1646" i="16" s="1"/>
  <c r="E1645" i="16"/>
  <c r="I1645" i="16" s="1"/>
  <c r="L1645" i="16" s="1"/>
  <c r="O1645" i="16" s="1"/>
  <c r="P1645" i="16" s="1"/>
  <c r="I1644" i="16"/>
  <c r="L1644" i="16" s="1"/>
  <c r="O1644" i="16" s="1"/>
  <c r="P1644" i="16" s="1"/>
  <c r="I1643" i="16"/>
  <c r="L1643" i="16" s="1"/>
  <c r="O1643" i="16" s="1"/>
  <c r="K1642" i="16"/>
  <c r="N1642" i="16" s="1"/>
  <c r="J1642" i="16"/>
  <c r="H1642" i="16"/>
  <c r="G1642" i="16"/>
  <c r="F1642" i="16"/>
  <c r="E1642" i="16"/>
  <c r="E1641" i="16"/>
  <c r="I1641" i="16" s="1"/>
  <c r="I1640" i="16"/>
  <c r="L1640" i="16" s="1"/>
  <c r="O1640" i="16" s="1"/>
  <c r="P1640" i="16" s="1"/>
  <c r="I1639" i="16"/>
  <c r="L1639" i="16" s="1"/>
  <c r="O1639" i="16" s="1"/>
  <c r="K1638" i="16"/>
  <c r="N1638" i="16" s="1"/>
  <c r="J1638" i="16"/>
  <c r="H1638" i="16"/>
  <c r="G1638" i="16"/>
  <c r="F1638" i="16"/>
  <c r="E1638" i="16"/>
  <c r="I1637" i="16"/>
  <c r="L1637" i="16" s="1"/>
  <c r="O1637" i="16" s="1"/>
  <c r="P1637" i="16" s="1"/>
  <c r="I1636" i="16"/>
  <c r="L1636" i="16" s="1"/>
  <c r="O1636" i="16" s="1"/>
  <c r="P1636" i="16" s="1"/>
  <c r="I1635" i="16"/>
  <c r="K1634" i="16"/>
  <c r="N1634" i="16" s="1"/>
  <c r="J1634" i="16"/>
  <c r="H1634" i="16"/>
  <c r="G1634" i="16"/>
  <c r="F1634" i="16"/>
  <c r="E1634" i="16"/>
  <c r="I1633" i="16"/>
  <c r="L1633" i="16" s="1"/>
  <c r="O1633" i="16" s="1"/>
  <c r="P1633" i="16" s="1"/>
  <c r="I1632" i="16"/>
  <c r="L1632" i="16" s="1"/>
  <c r="O1632" i="16" s="1"/>
  <c r="P1632" i="16" s="1"/>
  <c r="I1631" i="16"/>
  <c r="K1630" i="16"/>
  <c r="N1630" i="16" s="1"/>
  <c r="J1630" i="16"/>
  <c r="H1630" i="16"/>
  <c r="G1630" i="16"/>
  <c r="F1630" i="16"/>
  <c r="E1630" i="16"/>
  <c r="I1629" i="16"/>
  <c r="L1629" i="16" s="1"/>
  <c r="O1629" i="16" s="1"/>
  <c r="P1629" i="16" s="1"/>
  <c r="I1628" i="16"/>
  <c r="L1628" i="16" s="1"/>
  <c r="O1628" i="16" s="1"/>
  <c r="P1628" i="16" s="1"/>
  <c r="I1627" i="16"/>
  <c r="K1626" i="16"/>
  <c r="N1626" i="16" s="1"/>
  <c r="J1626" i="16"/>
  <c r="H1626" i="16"/>
  <c r="G1626" i="16"/>
  <c r="F1626" i="16"/>
  <c r="E1626" i="16"/>
  <c r="E1625" i="16"/>
  <c r="I1625" i="16" s="1"/>
  <c r="L1625" i="16" s="1"/>
  <c r="O1625" i="16" s="1"/>
  <c r="P1625" i="16" s="1"/>
  <c r="E1624" i="16"/>
  <c r="K1623" i="16"/>
  <c r="N1623" i="16" s="1"/>
  <c r="J1623" i="16"/>
  <c r="H1623" i="16"/>
  <c r="G1623" i="16"/>
  <c r="F1623" i="16"/>
  <c r="E1622" i="16"/>
  <c r="K1621" i="16"/>
  <c r="N1621" i="16" s="1"/>
  <c r="J1621" i="16"/>
  <c r="H1621" i="16"/>
  <c r="G1621" i="16"/>
  <c r="F1621" i="16"/>
  <c r="I1620" i="16"/>
  <c r="L1620" i="16" s="1"/>
  <c r="O1620" i="16" s="1"/>
  <c r="P1620" i="16" s="1"/>
  <c r="I1619" i="16"/>
  <c r="L1619" i="16" s="1"/>
  <c r="O1619" i="16" s="1"/>
  <c r="K1618" i="16"/>
  <c r="N1618" i="16" s="1"/>
  <c r="J1618" i="16"/>
  <c r="H1618" i="16"/>
  <c r="G1618" i="16"/>
  <c r="F1618" i="16"/>
  <c r="E1618" i="16"/>
  <c r="I1617" i="16"/>
  <c r="L1617" i="16" s="1"/>
  <c r="O1617" i="16" s="1"/>
  <c r="P1617" i="16" s="1"/>
  <c r="I1616" i="16"/>
  <c r="L1616" i="16" s="1"/>
  <c r="O1616" i="16" s="1"/>
  <c r="P1616" i="16" s="1"/>
  <c r="I1615" i="16"/>
  <c r="I1614" i="16"/>
  <c r="I1613" i="16"/>
  <c r="I1607" i="16"/>
  <c r="K1606" i="16"/>
  <c r="J1606" i="16"/>
  <c r="J1608" i="16" s="1"/>
  <c r="H1606" i="16"/>
  <c r="H1608" i="16" s="1"/>
  <c r="G1606" i="16"/>
  <c r="G1608" i="16" s="1"/>
  <c r="F1606" i="16"/>
  <c r="F1608" i="16" s="1"/>
  <c r="E1606" i="16"/>
  <c r="E1608" i="16" s="1"/>
  <c r="I1605" i="16"/>
  <c r="L1605" i="16" s="1"/>
  <c r="I1603" i="16"/>
  <c r="L1603" i="16" s="1"/>
  <c r="O1603" i="16" s="1"/>
  <c r="K1602" i="16"/>
  <c r="N1602" i="16" s="1"/>
  <c r="J1602" i="16"/>
  <c r="H1602" i="16"/>
  <c r="G1602" i="16"/>
  <c r="F1602" i="16"/>
  <c r="E1602" i="16"/>
  <c r="I1601" i="16"/>
  <c r="K1600" i="16"/>
  <c r="N1600" i="16" s="1"/>
  <c r="J1600" i="16"/>
  <c r="H1600" i="16"/>
  <c r="G1600" i="16"/>
  <c r="F1600" i="16"/>
  <c r="E1600" i="16"/>
  <c r="I1599" i="16"/>
  <c r="L1599" i="16" s="1"/>
  <c r="O1599" i="16" s="1"/>
  <c r="P1599" i="16" s="1"/>
  <c r="I1598" i="16"/>
  <c r="L1598" i="16" s="1"/>
  <c r="O1598" i="16" s="1"/>
  <c r="P1598" i="16" s="1"/>
  <c r="I1597" i="16"/>
  <c r="L1597" i="16" s="1"/>
  <c r="O1597" i="16" s="1"/>
  <c r="P1597" i="16" s="1"/>
  <c r="K1596" i="16"/>
  <c r="N1596" i="16" s="1"/>
  <c r="J1596" i="16"/>
  <c r="H1596" i="16"/>
  <c r="G1596" i="16"/>
  <c r="F1596" i="16"/>
  <c r="E1596" i="16"/>
  <c r="I1595" i="16"/>
  <c r="L1595" i="16" s="1"/>
  <c r="I1594" i="16"/>
  <c r="L1594" i="16" s="1"/>
  <c r="O1594" i="16" s="1"/>
  <c r="P1594" i="16" s="1"/>
  <c r="I1593" i="16"/>
  <c r="L1593" i="16" s="1"/>
  <c r="O1593" i="16" s="1"/>
  <c r="P1593" i="16" s="1"/>
  <c r="I1592" i="16"/>
  <c r="L1592" i="16" s="1"/>
  <c r="O1592" i="16" s="1"/>
  <c r="P1592" i="16" s="1"/>
  <c r="F1589" i="16"/>
  <c r="F1585" i="16" s="1"/>
  <c r="I1588" i="16"/>
  <c r="L1588" i="16" s="1"/>
  <c r="O1588" i="16" s="1"/>
  <c r="P1588" i="16" s="1"/>
  <c r="E1587" i="16"/>
  <c r="I1586" i="16"/>
  <c r="L1586" i="16" s="1"/>
  <c r="O1586" i="16" s="1"/>
  <c r="K1585" i="16"/>
  <c r="N1585" i="16" s="1"/>
  <c r="J1585" i="16"/>
  <c r="H1585" i="16"/>
  <c r="G1585" i="16"/>
  <c r="I1584" i="16"/>
  <c r="G1583" i="16"/>
  <c r="E1583" i="16"/>
  <c r="E1582" i="16" s="1"/>
  <c r="K1582" i="16"/>
  <c r="N1582" i="16" s="1"/>
  <c r="J1582" i="16"/>
  <c r="H1582" i="16"/>
  <c r="G1582" i="16"/>
  <c r="F1582" i="16"/>
  <c r="I1581" i="16"/>
  <c r="L1581" i="16" s="1"/>
  <c r="O1581" i="16" s="1"/>
  <c r="P1581" i="16" s="1"/>
  <c r="I1580" i="16"/>
  <c r="L1580" i="16" s="1"/>
  <c r="O1580" i="16" s="1"/>
  <c r="P1580" i="16" s="1"/>
  <c r="I1578" i="16"/>
  <c r="K1577" i="16"/>
  <c r="N1577" i="16" s="1"/>
  <c r="J1577" i="16"/>
  <c r="H1577" i="16"/>
  <c r="G1577" i="16"/>
  <c r="F1577" i="16"/>
  <c r="E1577" i="16"/>
  <c r="I1576" i="16"/>
  <c r="L1576" i="16" s="1"/>
  <c r="O1576" i="16" s="1"/>
  <c r="P1576" i="16" s="1"/>
  <c r="I1575" i="16"/>
  <c r="K1574" i="16"/>
  <c r="N1574" i="16" s="1"/>
  <c r="J1574" i="16"/>
  <c r="H1574" i="16"/>
  <c r="G1574" i="16"/>
  <c r="F1574" i="16"/>
  <c r="E1574" i="16"/>
  <c r="I1573" i="16"/>
  <c r="L1573" i="16" s="1"/>
  <c r="O1573" i="16" s="1"/>
  <c r="K1572" i="16"/>
  <c r="N1572" i="16" s="1"/>
  <c r="J1572" i="16"/>
  <c r="H1572" i="16"/>
  <c r="G1572" i="16"/>
  <c r="F1572" i="16"/>
  <c r="E1572" i="16"/>
  <c r="I1571" i="16"/>
  <c r="I1570" i="16" s="1"/>
  <c r="K1570" i="16"/>
  <c r="N1570" i="16" s="1"/>
  <c r="J1570" i="16"/>
  <c r="H1570" i="16"/>
  <c r="G1570" i="16"/>
  <c r="F1570" i="16"/>
  <c r="E1570" i="16"/>
  <c r="I1569" i="16"/>
  <c r="L1569" i="16" s="1"/>
  <c r="O1569" i="16" s="1"/>
  <c r="K1568" i="16"/>
  <c r="N1568" i="16" s="1"/>
  <c r="J1568" i="16"/>
  <c r="H1568" i="16"/>
  <c r="G1568" i="16"/>
  <c r="F1568" i="16"/>
  <c r="E1568" i="16"/>
  <c r="I1567" i="16"/>
  <c r="K1566" i="16"/>
  <c r="N1566" i="16" s="1"/>
  <c r="J1566" i="16"/>
  <c r="H1566" i="16"/>
  <c r="G1566" i="16"/>
  <c r="F1566" i="16"/>
  <c r="E1566" i="16"/>
  <c r="I1565" i="16"/>
  <c r="L1565" i="16" s="1"/>
  <c r="O1565" i="16" s="1"/>
  <c r="P1565" i="16" s="1"/>
  <c r="I1564" i="16"/>
  <c r="L1564" i="16" s="1"/>
  <c r="O1564" i="16" s="1"/>
  <c r="I1563" i="16"/>
  <c r="L1563" i="16" s="1"/>
  <c r="O1563" i="16" s="1"/>
  <c r="P1563" i="16" s="1"/>
  <c r="K1562" i="16"/>
  <c r="N1562" i="16" s="1"/>
  <c r="J1562" i="16"/>
  <c r="H1562" i="16"/>
  <c r="G1562" i="16"/>
  <c r="F1562" i="16"/>
  <c r="E1562" i="16"/>
  <c r="I1561" i="16"/>
  <c r="L1561" i="16" s="1"/>
  <c r="O1561" i="16" s="1"/>
  <c r="P1561" i="16" s="1"/>
  <c r="I1560" i="16"/>
  <c r="K1559" i="16"/>
  <c r="N1559" i="16" s="1"/>
  <c r="J1559" i="16"/>
  <c r="H1559" i="16"/>
  <c r="G1559" i="16"/>
  <c r="F1559" i="16"/>
  <c r="E1559" i="16"/>
  <c r="I1558" i="16"/>
  <c r="I1557" i="16"/>
  <c r="L1557" i="16" s="1"/>
  <c r="O1557" i="16" s="1"/>
  <c r="P1557" i="16" s="1"/>
  <c r="I1556" i="16"/>
  <c r="L1556" i="16" s="1"/>
  <c r="O1556" i="16" s="1"/>
  <c r="P1556" i="16" s="1"/>
  <c r="I1555" i="16"/>
  <c r="L1555" i="16" s="1"/>
  <c r="O1555" i="16" s="1"/>
  <c r="P1555" i="16" s="1"/>
  <c r="K1554" i="16"/>
  <c r="N1554" i="16" s="1"/>
  <c r="J1554" i="16"/>
  <c r="H1554" i="16"/>
  <c r="G1554" i="16"/>
  <c r="F1554" i="16"/>
  <c r="E1554" i="16"/>
  <c r="I1553" i="16"/>
  <c r="L1553" i="16" s="1"/>
  <c r="O1553" i="16" s="1"/>
  <c r="P1553" i="16" s="1"/>
  <c r="E1552" i="16"/>
  <c r="I1551" i="16"/>
  <c r="L1551" i="16" s="1"/>
  <c r="O1551" i="16" s="1"/>
  <c r="P1551" i="16" s="1"/>
  <c r="I1550" i="16"/>
  <c r="L1550" i="16" s="1"/>
  <c r="O1550" i="16" s="1"/>
  <c r="K1549" i="16"/>
  <c r="N1549" i="16" s="1"/>
  <c r="J1549" i="16"/>
  <c r="H1549" i="16"/>
  <c r="G1549" i="16"/>
  <c r="F1549" i="16"/>
  <c r="I1548" i="16"/>
  <c r="L1548" i="16" s="1"/>
  <c r="O1548" i="16" s="1"/>
  <c r="P1548" i="16" s="1"/>
  <c r="I1547" i="16"/>
  <c r="L1547" i="16" s="1"/>
  <c r="O1547" i="16" s="1"/>
  <c r="K1546" i="16"/>
  <c r="N1546" i="16" s="1"/>
  <c r="J1546" i="16"/>
  <c r="H1546" i="16"/>
  <c r="G1546" i="16"/>
  <c r="F1546" i="16"/>
  <c r="E1546" i="16"/>
  <c r="I1545" i="16"/>
  <c r="L1545" i="16" s="1"/>
  <c r="O1545" i="16" s="1"/>
  <c r="P1545" i="16" s="1"/>
  <c r="E1544" i="16"/>
  <c r="I1544" i="16" s="1"/>
  <c r="L1544" i="16" s="1"/>
  <c r="O1544" i="16" s="1"/>
  <c r="P1544" i="16" s="1"/>
  <c r="E1543" i="16"/>
  <c r="I1542" i="16"/>
  <c r="K1541" i="16"/>
  <c r="N1541" i="16" s="1"/>
  <c r="J1541" i="16"/>
  <c r="H1541" i="16"/>
  <c r="G1541" i="16"/>
  <c r="F1541" i="16"/>
  <c r="I1540" i="16"/>
  <c r="L1540" i="16" s="1"/>
  <c r="O1540" i="16" s="1"/>
  <c r="P1540" i="16" s="1"/>
  <c r="I1539" i="16"/>
  <c r="L1539" i="16" s="1"/>
  <c r="O1539" i="16" s="1"/>
  <c r="P1539" i="16" s="1"/>
  <c r="I1538" i="16"/>
  <c r="L1538" i="16" s="1"/>
  <c r="O1538" i="16" s="1"/>
  <c r="P1538" i="16" s="1"/>
  <c r="K1537" i="16"/>
  <c r="N1537" i="16" s="1"/>
  <c r="J1537" i="16"/>
  <c r="H1537" i="16"/>
  <c r="G1537" i="16"/>
  <c r="F1537" i="16"/>
  <c r="E1537" i="16"/>
  <c r="P1536" i="16"/>
  <c r="I1536" i="16"/>
  <c r="L1536" i="16" s="1"/>
  <c r="E1535" i="16"/>
  <c r="I1535" i="16" s="1"/>
  <c r="L1535" i="16" s="1"/>
  <c r="O1535" i="16" s="1"/>
  <c r="P1535" i="16" s="1"/>
  <c r="I1534" i="16"/>
  <c r="I1533" i="16" s="1"/>
  <c r="K1533" i="16"/>
  <c r="N1533" i="16" s="1"/>
  <c r="J1533" i="16"/>
  <c r="H1533" i="16"/>
  <c r="G1533" i="16"/>
  <c r="F1533" i="16"/>
  <c r="E1533" i="16"/>
  <c r="I1532" i="16"/>
  <c r="L1532" i="16" s="1"/>
  <c r="O1532" i="16" s="1"/>
  <c r="P1532" i="16" s="1"/>
  <c r="I1531" i="16"/>
  <c r="L1531" i="16" s="1"/>
  <c r="O1531" i="16" s="1"/>
  <c r="P1531" i="16" s="1"/>
  <c r="I1530" i="16"/>
  <c r="L1530" i="16" s="1"/>
  <c r="O1530" i="16" s="1"/>
  <c r="P1530" i="16" s="1"/>
  <c r="I1529" i="16"/>
  <c r="L1529" i="16" s="1"/>
  <c r="O1529" i="16" s="1"/>
  <c r="P1529" i="16" s="1"/>
  <c r="I1528" i="16"/>
  <c r="L1528" i="16" s="1"/>
  <c r="O1528" i="16" s="1"/>
  <c r="P1528" i="16" s="1"/>
  <c r="E1525" i="16"/>
  <c r="I1525" i="16" s="1"/>
  <c r="I1524" i="16" s="1"/>
  <c r="K1524" i="16"/>
  <c r="N1524" i="16" s="1"/>
  <c r="J1524" i="16"/>
  <c r="H1524" i="16"/>
  <c r="G1524" i="16"/>
  <c r="F1524" i="16"/>
  <c r="E1523" i="16"/>
  <c r="I1523" i="16" s="1"/>
  <c r="L1523" i="16" s="1"/>
  <c r="O1523" i="16" s="1"/>
  <c r="P1523" i="16" s="1"/>
  <c r="E1522" i="16"/>
  <c r="I1522" i="16" s="1"/>
  <c r="L1522" i="16" s="1"/>
  <c r="O1522" i="16" s="1"/>
  <c r="P1522" i="16" s="1"/>
  <c r="E1521" i="16"/>
  <c r="I1520" i="16"/>
  <c r="L1520" i="16" s="1"/>
  <c r="O1520" i="16" s="1"/>
  <c r="P1520" i="16" s="1"/>
  <c r="K1519" i="16"/>
  <c r="N1519" i="16" s="1"/>
  <c r="J1519" i="16"/>
  <c r="H1519" i="16"/>
  <c r="G1519" i="16"/>
  <c r="F1519" i="16"/>
  <c r="I1518" i="16"/>
  <c r="I1517" i="16" s="1"/>
  <c r="K1517" i="16"/>
  <c r="N1517" i="16" s="1"/>
  <c r="J1517" i="16"/>
  <c r="H1517" i="16"/>
  <c r="G1517" i="16"/>
  <c r="F1517" i="16"/>
  <c r="E1517" i="16"/>
  <c r="I1516" i="16"/>
  <c r="L1516" i="16" s="1"/>
  <c r="O1516" i="16" s="1"/>
  <c r="P1516" i="16" s="1"/>
  <c r="I1515" i="16"/>
  <c r="L1515" i="16" s="1"/>
  <c r="O1515" i="16" s="1"/>
  <c r="P1515" i="16" s="1"/>
  <c r="E1513" i="16"/>
  <c r="I1513" i="16" s="1"/>
  <c r="L1513" i="16" s="1"/>
  <c r="O1513" i="16" s="1"/>
  <c r="K1512" i="16"/>
  <c r="N1512" i="16" s="1"/>
  <c r="J1512" i="16"/>
  <c r="H1512" i="16"/>
  <c r="G1512" i="16"/>
  <c r="F1512" i="16"/>
  <c r="I1511" i="16"/>
  <c r="I1510" i="16" s="1"/>
  <c r="K1510" i="16"/>
  <c r="N1510" i="16" s="1"/>
  <c r="J1510" i="16"/>
  <c r="H1510" i="16"/>
  <c r="G1510" i="16"/>
  <c r="F1510" i="16"/>
  <c r="E1510" i="16"/>
  <c r="E1509" i="16"/>
  <c r="I1509" i="16" s="1"/>
  <c r="L1509" i="16" s="1"/>
  <c r="O1509" i="16" s="1"/>
  <c r="E1508" i="16"/>
  <c r="I1508" i="16" s="1"/>
  <c r="K1507" i="16"/>
  <c r="N1507" i="16" s="1"/>
  <c r="J1507" i="16"/>
  <c r="H1507" i="16"/>
  <c r="G1507" i="16"/>
  <c r="F1507" i="16"/>
  <c r="I1506" i="16"/>
  <c r="L1506" i="16" s="1"/>
  <c r="O1506" i="16" s="1"/>
  <c r="K1505" i="16"/>
  <c r="N1505" i="16" s="1"/>
  <c r="J1505" i="16"/>
  <c r="H1505" i="16"/>
  <c r="G1505" i="16"/>
  <c r="F1505" i="16"/>
  <c r="E1505" i="16"/>
  <c r="I1504" i="16"/>
  <c r="L1504" i="16" s="1"/>
  <c r="O1504" i="16" s="1"/>
  <c r="K1503" i="16"/>
  <c r="N1503" i="16" s="1"/>
  <c r="J1503" i="16"/>
  <c r="H1503" i="16"/>
  <c r="G1503" i="16"/>
  <c r="F1503" i="16"/>
  <c r="E1503" i="16"/>
  <c r="I1502" i="16"/>
  <c r="L1502" i="16" s="1"/>
  <c r="O1502" i="16" s="1"/>
  <c r="E1501" i="16"/>
  <c r="E1500" i="16" s="1"/>
  <c r="K1500" i="16"/>
  <c r="N1500" i="16" s="1"/>
  <c r="J1500" i="16"/>
  <c r="H1500" i="16"/>
  <c r="G1500" i="16"/>
  <c r="F1500" i="16"/>
  <c r="I1499" i="16"/>
  <c r="I1498" i="16" s="1"/>
  <c r="K1498" i="16"/>
  <c r="N1498" i="16" s="1"/>
  <c r="J1498" i="16"/>
  <c r="H1498" i="16"/>
  <c r="G1498" i="16"/>
  <c r="F1498" i="16"/>
  <c r="E1498" i="16"/>
  <c r="I1497" i="16"/>
  <c r="L1497" i="16" s="1"/>
  <c r="O1497" i="16" s="1"/>
  <c r="P1497" i="16" s="1"/>
  <c r="I1496" i="16"/>
  <c r="L1496" i="16" s="1"/>
  <c r="O1496" i="16" s="1"/>
  <c r="P1496" i="16" s="1"/>
  <c r="I1495" i="16"/>
  <c r="L1495" i="16" s="1"/>
  <c r="O1495" i="16" s="1"/>
  <c r="K1494" i="16"/>
  <c r="N1494" i="16" s="1"/>
  <c r="J1494" i="16"/>
  <c r="H1494" i="16"/>
  <c r="G1494" i="16"/>
  <c r="F1494" i="16"/>
  <c r="E1494" i="16"/>
  <c r="I1493" i="16"/>
  <c r="L1493" i="16" s="1"/>
  <c r="O1493" i="16" s="1"/>
  <c r="P1493" i="16" s="1"/>
  <c r="I1492" i="16"/>
  <c r="K1491" i="16"/>
  <c r="N1491" i="16" s="1"/>
  <c r="J1491" i="16"/>
  <c r="H1491" i="16"/>
  <c r="G1491" i="16"/>
  <c r="F1491" i="16"/>
  <c r="E1491" i="16"/>
  <c r="I1490" i="16"/>
  <c r="L1490" i="16" s="1"/>
  <c r="O1490" i="16" s="1"/>
  <c r="P1490" i="16" s="1"/>
  <c r="E1489" i="16"/>
  <c r="I1489" i="16" s="1"/>
  <c r="L1489" i="16" s="1"/>
  <c r="O1489" i="16" s="1"/>
  <c r="P1489" i="16" s="1"/>
  <c r="I1488" i="16"/>
  <c r="L1488" i="16" s="1"/>
  <c r="O1488" i="16" s="1"/>
  <c r="P1488" i="16" s="1"/>
  <c r="I1487" i="16"/>
  <c r="L1487" i="16" s="1"/>
  <c r="O1487" i="16" s="1"/>
  <c r="P1487" i="16" s="1"/>
  <c r="E1486" i="16"/>
  <c r="I1486" i="16" s="1"/>
  <c r="K1485" i="16"/>
  <c r="N1485" i="16" s="1"/>
  <c r="J1485" i="16"/>
  <c r="H1485" i="16"/>
  <c r="G1485" i="16"/>
  <c r="F1485" i="16"/>
  <c r="I1484" i="16"/>
  <c r="L1484" i="16" s="1"/>
  <c r="O1484" i="16" s="1"/>
  <c r="P1484" i="16" s="1"/>
  <c r="I1483" i="16"/>
  <c r="L1483" i="16" s="1"/>
  <c r="O1483" i="16" s="1"/>
  <c r="P1483" i="16" s="1"/>
  <c r="I1482" i="16"/>
  <c r="L1482" i="16" s="1"/>
  <c r="O1482" i="16" s="1"/>
  <c r="K1481" i="16"/>
  <c r="N1481" i="16" s="1"/>
  <c r="J1481" i="16"/>
  <c r="H1481" i="16"/>
  <c r="G1481" i="16"/>
  <c r="F1481" i="16"/>
  <c r="E1481" i="16"/>
  <c r="I1480" i="16"/>
  <c r="L1480" i="16" s="1"/>
  <c r="O1480" i="16" s="1"/>
  <c r="P1480" i="16" s="1"/>
  <c r="I1479" i="16"/>
  <c r="K1478" i="16"/>
  <c r="N1478" i="16" s="1"/>
  <c r="J1478" i="16"/>
  <c r="H1478" i="16"/>
  <c r="G1478" i="16"/>
  <c r="F1478" i="16"/>
  <c r="E1478" i="16"/>
  <c r="K1477" i="16"/>
  <c r="N1477" i="16" s="1"/>
  <c r="I1477" i="16"/>
  <c r="K1476" i="16"/>
  <c r="N1476" i="16" s="1"/>
  <c r="I1476" i="16"/>
  <c r="K1475" i="16"/>
  <c r="N1475" i="16" s="1"/>
  <c r="I1475" i="16"/>
  <c r="J1474" i="16"/>
  <c r="H1474" i="16"/>
  <c r="G1474" i="16"/>
  <c r="F1474" i="16"/>
  <c r="E1474" i="16"/>
  <c r="I1473" i="16"/>
  <c r="K1472" i="16"/>
  <c r="N1472" i="16" s="1"/>
  <c r="J1472" i="16"/>
  <c r="H1472" i="16"/>
  <c r="G1472" i="16"/>
  <c r="F1472" i="16"/>
  <c r="E1472" i="16"/>
  <c r="I1471" i="16"/>
  <c r="L1471" i="16" s="1"/>
  <c r="O1471" i="16" s="1"/>
  <c r="H1470" i="16"/>
  <c r="G1470" i="16"/>
  <c r="F1470" i="16"/>
  <c r="E1470" i="16"/>
  <c r="I1469" i="16"/>
  <c r="L1469" i="16" s="1"/>
  <c r="O1469" i="16" s="1"/>
  <c r="P1469" i="16" s="1"/>
  <c r="I1468" i="16"/>
  <c r="L1468" i="16" s="1"/>
  <c r="O1468" i="16" s="1"/>
  <c r="P1468" i="16" s="1"/>
  <c r="I1467" i="16"/>
  <c r="L1467" i="16" s="1"/>
  <c r="O1467" i="16" s="1"/>
  <c r="P1467" i="16" s="1"/>
  <c r="I1466" i="16"/>
  <c r="L1466" i="16" s="1"/>
  <c r="O1466" i="16" s="1"/>
  <c r="P1466" i="16" s="1"/>
  <c r="I1465" i="16"/>
  <c r="L1465" i="16" s="1"/>
  <c r="O1465" i="16" s="1"/>
  <c r="P1465" i="16" s="1"/>
  <c r="I1463" i="16"/>
  <c r="L1463" i="16" s="1"/>
  <c r="O1463" i="16" s="1"/>
  <c r="P1463" i="16" s="1"/>
  <c r="P1462" i="16" s="1"/>
  <c r="K1462" i="16"/>
  <c r="N1462" i="16" s="1"/>
  <c r="J1462" i="16"/>
  <c r="H1462" i="16"/>
  <c r="G1462" i="16"/>
  <c r="F1462" i="16"/>
  <c r="E1462" i="16"/>
  <c r="I1461" i="16"/>
  <c r="L1461" i="16" s="1"/>
  <c r="O1461" i="16" s="1"/>
  <c r="K1460" i="16"/>
  <c r="N1460" i="16" s="1"/>
  <c r="J1460" i="16"/>
  <c r="H1460" i="16"/>
  <c r="G1460" i="16"/>
  <c r="F1460" i="16"/>
  <c r="E1460" i="16"/>
  <c r="I1459" i="16"/>
  <c r="L1459" i="16" s="1"/>
  <c r="O1459" i="16" s="1"/>
  <c r="P1459" i="16" s="1"/>
  <c r="P1458" i="16" s="1"/>
  <c r="K1458" i="16"/>
  <c r="N1458" i="16" s="1"/>
  <c r="J1458" i="16"/>
  <c r="H1458" i="16"/>
  <c r="G1458" i="16"/>
  <c r="F1458" i="16"/>
  <c r="E1458" i="16"/>
  <c r="I1457" i="16"/>
  <c r="I1456" i="16" s="1"/>
  <c r="E1457" i="16"/>
  <c r="K1456" i="16"/>
  <c r="N1456" i="16" s="1"/>
  <c r="J1456" i="16"/>
  <c r="H1456" i="16"/>
  <c r="G1456" i="16"/>
  <c r="F1456" i="16"/>
  <c r="E1456" i="16"/>
  <c r="I1455" i="16"/>
  <c r="I1454" i="16" s="1"/>
  <c r="E1455" i="16"/>
  <c r="E1454" i="16" s="1"/>
  <c r="K1454" i="16"/>
  <c r="N1454" i="16" s="1"/>
  <c r="J1454" i="16"/>
  <c r="H1454" i="16"/>
  <c r="G1454" i="16"/>
  <c r="F1454" i="16"/>
  <c r="I1453" i="16"/>
  <c r="L1453" i="16" s="1"/>
  <c r="O1453" i="16" s="1"/>
  <c r="K1452" i="16"/>
  <c r="N1452" i="16" s="1"/>
  <c r="J1452" i="16"/>
  <c r="H1452" i="16"/>
  <c r="G1452" i="16"/>
  <c r="F1452" i="16"/>
  <c r="E1452" i="16"/>
  <c r="I1451" i="16"/>
  <c r="I1450" i="16" s="1"/>
  <c r="K1450" i="16"/>
  <c r="N1450" i="16" s="1"/>
  <c r="J1450" i="16"/>
  <c r="H1450" i="16"/>
  <c r="G1450" i="16"/>
  <c r="F1450" i="16"/>
  <c r="E1450" i="16"/>
  <c r="I1449" i="16"/>
  <c r="L1449" i="16" s="1"/>
  <c r="O1449" i="16" s="1"/>
  <c r="P1449" i="16" s="1"/>
  <c r="I1448" i="16"/>
  <c r="L1448" i="16" s="1"/>
  <c r="O1448" i="16" s="1"/>
  <c r="K1447" i="16"/>
  <c r="N1447" i="16" s="1"/>
  <c r="J1447" i="16"/>
  <c r="H1447" i="16"/>
  <c r="G1447" i="16"/>
  <c r="F1447" i="16"/>
  <c r="E1447" i="16"/>
  <c r="I1446" i="16"/>
  <c r="L1446" i="16" s="1"/>
  <c r="O1446" i="16" s="1"/>
  <c r="P1446" i="16" s="1"/>
  <c r="I1445" i="16"/>
  <c r="L1445" i="16" s="1"/>
  <c r="O1445" i="16" s="1"/>
  <c r="P1445" i="16" s="1"/>
  <c r="I1444" i="16"/>
  <c r="L1444" i="16" s="1"/>
  <c r="O1444" i="16" s="1"/>
  <c r="P1444" i="16" s="1"/>
  <c r="I1443" i="16"/>
  <c r="L1443" i="16" s="1"/>
  <c r="O1443" i="16" s="1"/>
  <c r="K1442" i="16"/>
  <c r="N1442" i="16" s="1"/>
  <c r="J1442" i="16"/>
  <c r="H1442" i="16"/>
  <c r="G1442" i="16"/>
  <c r="F1442" i="16"/>
  <c r="E1442" i="16"/>
  <c r="I1441" i="16"/>
  <c r="L1441" i="16" s="1"/>
  <c r="O1441" i="16" s="1"/>
  <c r="P1441" i="16" s="1"/>
  <c r="I1440" i="16"/>
  <c r="L1440" i="16" s="1"/>
  <c r="O1440" i="16" s="1"/>
  <c r="P1440" i="16" s="1"/>
  <c r="I1439" i="16"/>
  <c r="L1439" i="16" s="1"/>
  <c r="O1439" i="16" s="1"/>
  <c r="I1438" i="16"/>
  <c r="L1438" i="16" s="1"/>
  <c r="O1438" i="16" s="1"/>
  <c r="P1438" i="16" s="1"/>
  <c r="K1437" i="16"/>
  <c r="N1437" i="16" s="1"/>
  <c r="J1437" i="16"/>
  <c r="H1437" i="16"/>
  <c r="G1437" i="16"/>
  <c r="F1437" i="16"/>
  <c r="E1437" i="16"/>
  <c r="I1436" i="16"/>
  <c r="L1436" i="16" s="1"/>
  <c r="O1436" i="16" s="1"/>
  <c r="P1436" i="16" s="1"/>
  <c r="I1435" i="16"/>
  <c r="K1434" i="16"/>
  <c r="N1434" i="16" s="1"/>
  <c r="J1434" i="16"/>
  <c r="H1434" i="16"/>
  <c r="G1434" i="16"/>
  <c r="F1434" i="16"/>
  <c r="E1434" i="16"/>
  <c r="K1433" i="16"/>
  <c r="N1433" i="16" s="1"/>
  <c r="E1433" i="16"/>
  <c r="I1433" i="16" s="1"/>
  <c r="K1432" i="16"/>
  <c r="N1432" i="16" s="1"/>
  <c r="E1432" i="16"/>
  <c r="I1432" i="16" s="1"/>
  <c r="E1431" i="16"/>
  <c r="J1430" i="16"/>
  <c r="H1430" i="16"/>
  <c r="G1430" i="16"/>
  <c r="F1430" i="16"/>
  <c r="I1429" i="16"/>
  <c r="K1428" i="16"/>
  <c r="N1428" i="16" s="1"/>
  <c r="J1428" i="16"/>
  <c r="H1428" i="16"/>
  <c r="G1428" i="16"/>
  <c r="F1428" i="16"/>
  <c r="E1428" i="16"/>
  <c r="I1427" i="16"/>
  <c r="L1427" i="16" s="1"/>
  <c r="O1427" i="16" s="1"/>
  <c r="P1427" i="16" s="1"/>
  <c r="I1426" i="16"/>
  <c r="L1426" i="16" s="1"/>
  <c r="O1426" i="16" s="1"/>
  <c r="P1426" i="16" s="1"/>
  <c r="K1425" i="16"/>
  <c r="N1425" i="16" s="1"/>
  <c r="J1425" i="16"/>
  <c r="H1425" i="16"/>
  <c r="G1425" i="16"/>
  <c r="F1425" i="16"/>
  <c r="E1425" i="16"/>
  <c r="I1424" i="16"/>
  <c r="L1424" i="16" s="1"/>
  <c r="O1424" i="16" s="1"/>
  <c r="P1424" i="16" s="1"/>
  <c r="E1423" i="16"/>
  <c r="I1423" i="16" s="1"/>
  <c r="L1423" i="16" s="1"/>
  <c r="O1423" i="16" s="1"/>
  <c r="O1422" i="16" s="1"/>
  <c r="K1422" i="16"/>
  <c r="N1422" i="16" s="1"/>
  <c r="J1422" i="16"/>
  <c r="H1422" i="16"/>
  <c r="G1422" i="16"/>
  <c r="F1422" i="16"/>
  <c r="I1421" i="16"/>
  <c r="L1421" i="16" s="1"/>
  <c r="O1421" i="16" s="1"/>
  <c r="P1421" i="16" s="1"/>
  <c r="I1420" i="16"/>
  <c r="I1419" i="16"/>
  <c r="I1418" i="16"/>
  <c r="E1412" i="16"/>
  <c r="I1411" i="16"/>
  <c r="L1411" i="16" s="1"/>
  <c r="O1411" i="16" s="1"/>
  <c r="P1411" i="16" s="1"/>
  <c r="E1410" i="16"/>
  <c r="I1410" i="16" s="1"/>
  <c r="L1410" i="16" s="1"/>
  <c r="O1410" i="16" s="1"/>
  <c r="P1410" i="16" s="1"/>
  <c r="G1409" i="16"/>
  <c r="I1409" i="16" s="1"/>
  <c r="L1409" i="16" s="1"/>
  <c r="O1409" i="16" s="1"/>
  <c r="P1409" i="16" s="1"/>
  <c r="K1408" i="16"/>
  <c r="J1408" i="16"/>
  <c r="J1413" i="16" s="1"/>
  <c r="H1408" i="16"/>
  <c r="H1413" i="16" s="1"/>
  <c r="F1408" i="16"/>
  <c r="F1413" i="16" s="1"/>
  <c r="I1407" i="16"/>
  <c r="L1407" i="16" s="1"/>
  <c r="O1407" i="16" s="1"/>
  <c r="P1407" i="16" s="1"/>
  <c r="I1406" i="16"/>
  <c r="L1406" i="16" s="1"/>
  <c r="O1406" i="16" s="1"/>
  <c r="P1406" i="16" s="1"/>
  <c r="E1404" i="16"/>
  <c r="I1404" i="16" s="1"/>
  <c r="I1403" i="16" s="1"/>
  <c r="K1403" i="16"/>
  <c r="N1403" i="16" s="1"/>
  <c r="J1403" i="16"/>
  <c r="H1403" i="16"/>
  <c r="G1403" i="16"/>
  <c r="F1403" i="16"/>
  <c r="I1402" i="16"/>
  <c r="L1402" i="16" s="1"/>
  <c r="O1402" i="16" s="1"/>
  <c r="K1401" i="16"/>
  <c r="N1401" i="16" s="1"/>
  <c r="J1401" i="16"/>
  <c r="H1401" i="16"/>
  <c r="G1401" i="16"/>
  <c r="F1401" i="16"/>
  <c r="E1401" i="16"/>
  <c r="E1400" i="16"/>
  <c r="E1399" i="16" s="1"/>
  <c r="K1399" i="16"/>
  <c r="N1399" i="16" s="1"/>
  <c r="J1399" i="16"/>
  <c r="H1399" i="16"/>
  <c r="G1399" i="16"/>
  <c r="F1399" i="16"/>
  <c r="I1398" i="16"/>
  <c r="L1398" i="16" s="1"/>
  <c r="O1398" i="16" s="1"/>
  <c r="O1397" i="16" s="1"/>
  <c r="K1397" i="16"/>
  <c r="N1397" i="16" s="1"/>
  <c r="J1397" i="16"/>
  <c r="I1397" i="16"/>
  <c r="H1397" i="16"/>
  <c r="G1397" i="16"/>
  <c r="F1397" i="16"/>
  <c r="E1397" i="16"/>
  <c r="I1396" i="16"/>
  <c r="L1396" i="16" s="1"/>
  <c r="O1396" i="16" s="1"/>
  <c r="P1396" i="16" s="1"/>
  <c r="I1395" i="16"/>
  <c r="L1395" i="16" s="1"/>
  <c r="O1395" i="16" s="1"/>
  <c r="P1395" i="16" s="1"/>
  <c r="I1394" i="16"/>
  <c r="I1393" i="16"/>
  <c r="L1393" i="16" s="1"/>
  <c r="O1393" i="16" s="1"/>
  <c r="P1393" i="16" s="1"/>
  <c r="K1392" i="16"/>
  <c r="N1392" i="16" s="1"/>
  <c r="J1392" i="16"/>
  <c r="H1392" i="16"/>
  <c r="G1392" i="16"/>
  <c r="F1392" i="16"/>
  <c r="E1392" i="16"/>
  <c r="I1391" i="16"/>
  <c r="K1390" i="16"/>
  <c r="N1390" i="16" s="1"/>
  <c r="J1390" i="16"/>
  <c r="H1390" i="16"/>
  <c r="G1390" i="16"/>
  <c r="F1390" i="16"/>
  <c r="E1390" i="16"/>
  <c r="I1389" i="16"/>
  <c r="L1389" i="16" s="1"/>
  <c r="O1389" i="16" s="1"/>
  <c r="K1388" i="16"/>
  <c r="N1388" i="16" s="1"/>
  <c r="J1388" i="16"/>
  <c r="H1388" i="16"/>
  <c r="G1388" i="16"/>
  <c r="F1388" i="16"/>
  <c r="E1388" i="16"/>
  <c r="I1387" i="16"/>
  <c r="L1387" i="16" s="1"/>
  <c r="O1387" i="16" s="1"/>
  <c r="P1387" i="16" s="1"/>
  <c r="I1386" i="16"/>
  <c r="L1386" i="16" s="1"/>
  <c r="O1386" i="16" s="1"/>
  <c r="P1386" i="16" s="1"/>
  <c r="I1385" i="16"/>
  <c r="I1384" i="16"/>
  <c r="L1384" i="16" s="1"/>
  <c r="O1384" i="16" s="1"/>
  <c r="K1383" i="16"/>
  <c r="N1383" i="16" s="1"/>
  <c r="J1383" i="16"/>
  <c r="H1383" i="16"/>
  <c r="G1383" i="16"/>
  <c r="F1383" i="16"/>
  <c r="E1383" i="16"/>
  <c r="E1382" i="16"/>
  <c r="I1382" i="16" s="1"/>
  <c r="K1381" i="16"/>
  <c r="N1381" i="16" s="1"/>
  <c r="J1381" i="16"/>
  <c r="H1381" i="16"/>
  <c r="G1381" i="16"/>
  <c r="F1381" i="16"/>
  <c r="E1380" i="16"/>
  <c r="I1380" i="16" s="1"/>
  <c r="L1380" i="16" s="1"/>
  <c r="O1380" i="16" s="1"/>
  <c r="P1380" i="16" s="1"/>
  <c r="I1379" i="16"/>
  <c r="L1379" i="16" s="1"/>
  <c r="O1379" i="16" s="1"/>
  <c r="P1379" i="16" s="1"/>
  <c r="E1378" i="16"/>
  <c r="K1377" i="16"/>
  <c r="N1377" i="16" s="1"/>
  <c r="J1377" i="16"/>
  <c r="H1377" i="16"/>
  <c r="G1377" i="16"/>
  <c r="F1377" i="16"/>
  <c r="I1376" i="16"/>
  <c r="K1375" i="16"/>
  <c r="N1375" i="16" s="1"/>
  <c r="J1375" i="16"/>
  <c r="H1375" i="16"/>
  <c r="G1375" i="16"/>
  <c r="F1375" i="16"/>
  <c r="E1375" i="16"/>
  <c r="I1374" i="16"/>
  <c r="L1374" i="16" s="1"/>
  <c r="O1374" i="16" s="1"/>
  <c r="P1374" i="16" s="1"/>
  <c r="I1373" i="16"/>
  <c r="I1372" i="16" s="1"/>
  <c r="K1372" i="16"/>
  <c r="N1372" i="16" s="1"/>
  <c r="J1372" i="16"/>
  <c r="H1372" i="16"/>
  <c r="G1372" i="16"/>
  <c r="F1372" i="16"/>
  <c r="E1372" i="16"/>
  <c r="I1371" i="16"/>
  <c r="L1371" i="16" s="1"/>
  <c r="O1371" i="16" s="1"/>
  <c r="P1371" i="16" s="1"/>
  <c r="I1370" i="16"/>
  <c r="L1370" i="16" s="1"/>
  <c r="O1370" i="16" s="1"/>
  <c r="P1370" i="16" s="1"/>
  <c r="I1369" i="16"/>
  <c r="L1369" i="16" s="1"/>
  <c r="O1369" i="16" s="1"/>
  <c r="P1369" i="16" s="1"/>
  <c r="I1368" i="16"/>
  <c r="L1368" i="16" s="1"/>
  <c r="O1368" i="16" s="1"/>
  <c r="P1368" i="16" s="1"/>
  <c r="E1364" i="16"/>
  <c r="I1364" i="16" s="1"/>
  <c r="L1364" i="16" s="1"/>
  <c r="O1364" i="16" s="1"/>
  <c r="I1363" i="16"/>
  <c r="L1363" i="16" s="1"/>
  <c r="O1363" i="16" s="1"/>
  <c r="P1363" i="16" s="1"/>
  <c r="I1362" i="16"/>
  <c r="L1362" i="16" s="1"/>
  <c r="O1362" i="16" s="1"/>
  <c r="P1362" i="16" s="1"/>
  <c r="J1361" i="16"/>
  <c r="J1360" i="16" s="1"/>
  <c r="I1361" i="16"/>
  <c r="K1360" i="16"/>
  <c r="H1360" i="16"/>
  <c r="G1360" i="16"/>
  <c r="F1360" i="16"/>
  <c r="E1360" i="16"/>
  <c r="I1359" i="16"/>
  <c r="L1359" i="16" s="1"/>
  <c r="O1359" i="16" s="1"/>
  <c r="I1358" i="16"/>
  <c r="K1357" i="16"/>
  <c r="N1357" i="16" s="1"/>
  <c r="J1357" i="16"/>
  <c r="H1357" i="16"/>
  <c r="G1357" i="16"/>
  <c r="F1357" i="16"/>
  <c r="E1357" i="16"/>
  <c r="I1356" i="16"/>
  <c r="L1356" i="16" s="1"/>
  <c r="O1356" i="16" s="1"/>
  <c r="P1356" i="16" s="1"/>
  <c r="I1355" i="16"/>
  <c r="L1355" i="16" s="1"/>
  <c r="O1355" i="16" s="1"/>
  <c r="P1355" i="16" s="1"/>
  <c r="E1353" i="16"/>
  <c r="E1352" i="16" s="1"/>
  <c r="K1352" i="16"/>
  <c r="N1352" i="16" s="1"/>
  <c r="J1352" i="16"/>
  <c r="H1352" i="16"/>
  <c r="G1352" i="16"/>
  <c r="F1352" i="16"/>
  <c r="I1351" i="16"/>
  <c r="L1351" i="16" s="1"/>
  <c r="O1351" i="16" s="1"/>
  <c r="O1350" i="16" s="1"/>
  <c r="K1350" i="16"/>
  <c r="N1350" i="16" s="1"/>
  <c r="J1350" i="16"/>
  <c r="H1350" i="16"/>
  <c r="G1350" i="16"/>
  <c r="F1350" i="16"/>
  <c r="E1350" i="16"/>
  <c r="I1349" i="16"/>
  <c r="I1348" i="16" s="1"/>
  <c r="K1348" i="16"/>
  <c r="N1348" i="16" s="1"/>
  <c r="J1348" i="16"/>
  <c r="H1348" i="16"/>
  <c r="G1348" i="16"/>
  <c r="F1348" i="16"/>
  <c r="E1348" i="16"/>
  <c r="I1347" i="16"/>
  <c r="K1346" i="16"/>
  <c r="N1346" i="16" s="1"/>
  <c r="J1346" i="16"/>
  <c r="H1346" i="16"/>
  <c r="G1346" i="16"/>
  <c r="F1346" i="16"/>
  <c r="E1346" i="16"/>
  <c r="I1345" i="16"/>
  <c r="L1345" i="16" s="1"/>
  <c r="O1345" i="16" s="1"/>
  <c r="P1345" i="16" s="1"/>
  <c r="I1344" i="16"/>
  <c r="L1344" i="16" s="1"/>
  <c r="O1344" i="16" s="1"/>
  <c r="P1344" i="16" s="1"/>
  <c r="I1343" i="16"/>
  <c r="L1343" i="16" s="1"/>
  <c r="O1343" i="16" s="1"/>
  <c r="K1342" i="16"/>
  <c r="N1342" i="16" s="1"/>
  <c r="J1342" i="16"/>
  <c r="H1342" i="16"/>
  <c r="G1342" i="16"/>
  <c r="F1342" i="16"/>
  <c r="E1342" i="16"/>
  <c r="I1341" i="16"/>
  <c r="L1341" i="16" s="1"/>
  <c r="O1341" i="16" s="1"/>
  <c r="P1341" i="16" s="1"/>
  <c r="I1340" i="16"/>
  <c r="L1340" i="16" s="1"/>
  <c r="O1340" i="16" s="1"/>
  <c r="P1340" i="16" s="1"/>
  <c r="E1339" i="16"/>
  <c r="E1338" i="16" s="1"/>
  <c r="K1338" i="16"/>
  <c r="N1338" i="16" s="1"/>
  <c r="J1338" i="16"/>
  <c r="H1338" i="16"/>
  <c r="G1338" i="16"/>
  <c r="F1338" i="16"/>
  <c r="I1337" i="16"/>
  <c r="L1337" i="16" s="1"/>
  <c r="O1337" i="16" s="1"/>
  <c r="P1337" i="16" s="1"/>
  <c r="I1336" i="16"/>
  <c r="L1336" i="16" s="1"/>
  <c r="O1336" i="16" s="1"/>
  <c r="K1335" i="16"/>
  <c r="N1335" i="16" s="1"/>
  <c r="J1335" i="16"/>
  <c r="H1335" i="16"/>
  <c r="G1335" i="16"/>
  <c r="F1335" i="16"/>
  <c r="E1335" i="16"/>
  <c r="I1334" i="16"/>
  <c r="I1333" i="16"/>
  <c r="L1333" i="16" s="1"/>
  <c r="O1333" i="16" s="1"/>
  <c r="K1332" i="16"/>
  <c r="N1332" i="16" s="1"/>
  <c r="J1332" i="16"/>
  <c r="H1332" i="16"/>
  <c r="G1332" i="16"/>
  <c r="F1332" i="16"/>
  <c r="E1332" i="16"/>
  <c r="I1331" i="16"/>
  <c r="L1331" i="16" s="1"/>
  <c r="O1331" i="16" s="1"/>
  <c r="P1331" i="16" s="1"/>
  <c r="I1330" i="16"/>
  <c r="L1330" i="16" s="1"/>
  <c r="O1330" i="16" s="1"/>
  <c r="P1330" i="16" s="1"/>
  <c r="I1329" i="16"/>
  <c r="L1329" i="16" s="1"/>
  <c r="O1329" i="16" s="1"/>
  <c r="P1329" i="16" s="1"/>
  <c r="J1326" i="16"/>
  <c r="J1325" i="16" s="1"/>
  <c r="J1327" i="16" s="1"/>
  <c r="E1326" i="16"/>
  <c r="I1326" i="16" s="1"/>
  <c r="K1325" i="16"/>
  <c r="H1325" i="16"/>
  <c r="H1327" i="16" s="1"/>
  <c r="G1325" i="16"/>
  <c r="G1327" i="16" s="1"/>
  <c r="F1325" i="16"/>
  <c r="F1327" i="16" s="1"/>
  <c r="I1324" i="16"/>
  <c r="L1324" i="16" s="1"/>
  <c r="O1324" i="16" s="1"/>
  <c r="P1324" i="16" s="1"/>
  <c r="I1323" i="16"/>
  <c r="L1323" i="16" s="1"/>
  <c r="O1323" i="16" s="1"/>
  <c r="P1323" i="16" s="1"/>
  <c r="E1321" i="16"/>
  <c r="I1321" i="16" s="1"/>
  <c r="K1320" i="16"/>
  <c r="N1320" i="16" s="1"/>
  <c r="J1320" i="16"/>
  <c r="H1320" i="16"/>
  <c r="G1320" i="16"/>
  <c r="F1320" i="16"/>
  <c r="I1319" i="16"/>
  <c r="I1318" i="16" s="1"/>
  <c r="K1318" i="16"/>
  <c r="N1318" i="16" s="1"/>
  <c r="J1318" i="16"/>
  <c r="H1318" i="16"/>
  <c r="G1318" i="16"/>
  <c r="F1318" i="16"/>
  <c r="E1318" i="16"/>
  <c r="I1317" i="16"/>
  <c r="I1316" i="16" s="1"/>
  <c r="K1316" i="16"/>
  <c r="N1316" i="16" s="1"/>
  <c r="J1316" i="16"/>
  <c r="H1316" i="16"/>
  <c r="G1316" i="16"/>
  <c r="F1316" i="16"/>
  <c r="E1316" i="16"/>
  <c r="I1315" i="16"/>
  <c r="L1315" i="16" s="1"/>
  <c r="O1315" i="16" s="1"/>
  <c r="P1315" i="16" s="1"/>
  <c r="I1314" i="16"/>
  <c r="L1314" i="16" s="1"/>
  <c r="O1314" i="16" s="1"/>
  <c r="P1314" i="16" s="1"/>
  <c r="I1313" i="16"/>
  <c r="L1313" i="16" s="1"/>
  <c r="O1313" i="16" s="1"/>
  <c r="P1313" i="16" s="1"/>
  <c r="E1312" i="16"/>
  <c r="I1312" i="16" s="1"/>
  <c r="K1311" i="16"/>
  <c r="N1311" i="16" s="1"/>
  <c r="J1311" i="16"/>
  <c r="H1311" i="16"/>
  <c r="G1311" i="16"/>
  <c r="F1311" i="16"/>
  <c r="I1310" i="16"/>
  <c r="K1309" i="16"/>
  <c r="N1309" i="16" s="1"/>
  <c r="J1309" i="16"/>
  <c r="H1309" i="16"/>
  <c r="G1309" i="16"/>
  <c r="F1309" i="16"/>
  <c r="E1309" i="16"/>
  <c r="I1308" i="16"/>
  <c r="I1307" i="16" s="1"/>
  <c r="K1307" i="16"/>
  <c r="N1307" i="16" s="1"/>
  <c r="J1307" i="16"/>
  <c r="H1307" i="16"/>
  <c r="G1307" i="16"/>
  <c r="F1307" i="16"/>
  <c r="E1307" i="16"/>
  <c r="I1306" i="16"/>
  <c r="L1306" i="16" s="1"/>
  <c r="O1306" i="16" s="1"/>
  <c r="P1306" i="16" s="1"/>
  <c r="I1305" i="16"/>
  <c r="L1305" i="16" s="1"/>
  <c r="O1305" i="16" s="1"/>
  <c r="P1305" i="16" s="1"/>
  <c r="I1304" i="16"/>
  <c r="K1303" i="16"/>
  <c r="N1303" i="16" s="1"/>
  <c r="J1303" i="16"/>
  <c r="H1303" i="16"/>
  <c r="G1303" i="16"/>
  <c r="F1303" i="16"/>
  <c r="E1303" i="16"/>
  <c r="I1302" i="16"/>
  <c r="L1302" i="16" s="1"/>
  <c r="O1302" i="16" s="1"/>
  <c r="P1302" i="16" s="1"/>
  <c r="I1301" i="16"/>
  <c r="I1300" i="16"/>
  <c r="L1300" i="16" s="1"/>
  <c r="O1300" i="16" s="1"/>
  <c r="K1299" i="16"/>
  <c r="N1299" i="16" s="1"/>
  <c r="J1299" i="16"/>
  <c r="H1299" i="16"/>
  <c r="G1299" i="16"/>
  <c r="F1299" i="16"/>
  <c r="E1299" i="16"/>
  <c r="I1298" i="16"/>
  <c r="L1298" i="16" s="1"/>
  <c r="O1298" i="16" s="1"/>
  <c r="K1297" i="16"/>
  <c r="N1297" i="16" s="1"/>
  <c r="J1297" i="16"/>
  <c r="H1297" i="16"/>
  <c r="G1297" i="16"/>
  <c r="F1297" i="16"/>
  <c r="E1297" i="16"/>
  <c r="I1296" i="16"/>
  <c r="L1296" i="16" s="1"/>
  <c r="O1296" i="16" s="1"/>
  <c r="P1296" i="16" s="1"/>
  <c r="I1295" i="16"/>
  <c r="L1295" i="16" s="1"/>
  <c r="O1295" i="16" s="1"/>
  <c r="P1295" i="16" s="1"/>
  <c r="E1294" i="16"/>
  <c r="E1293" i="16" s="1"/>
  <c r="K1293" i="16"/>
  <c r="N1293" i="16" s="1"/>
  <c r="J1293" i="16"/>
  <c r="H1293" i="16"/>
  <c r="G1293" i="16"/>
  <c r="F1293" i="16"/>
  <c r="I1292" i="16"/>
  <c r="L1292" i="16" s="1"/>
  <c r="O1292" i="16" s="1"/>
  <c r="P1292" i="16" s="1"/>
  <c r="I1291" i="16"/>
  <c r="L1291" i="16" s="1"/>
  <c r="O1291" i="16" s="1"/>
  <c r="K1290" i="16"/>
  <c r="N1290" i="16" s="1"/>
  <c r="J1290" i="16"/>
  <c r="H1290" i="16"/>
  <c r="G1290" i="16"/>
  <c r="F1290" i="16"/>
  <c r="E1290" i="16"/>
  <c r="I1289" i="16"/>
  <c r="L1289" i="16" s="1"/>
  <c r="O1289" i="16" s="1"/>
  <c r="P1289" i="16" s="1"/>
  <c r="I1288" i="16"/>
  <c r="K1287" i="16"/>
  <c r="N1287" i="16" s="1"/>
  <c r="J1287" i="16"/>
  <c r="H1287" i="16"/>
  <c r="G1287" i="16"/>
  <c r="F1287" i="16"/>
  <c r="E1287" i="16"/>
  <c r="I1286" i="16"/>
  <c r="L1286" i="16" s="1"/>
  <c r="O1286" i="16" s="1"/>
  <c r="P1286" i="16" s="1"/>
  <c r="I1285" i="16"/>
  <c r="L1285" i="16" s="1"/>
  <c r="O1285" i="16" s="1"/>
  <c r="P1285" i="16" s="1"/>
  <c r="I1284" i="16"/>
  <c r="L1284" i="16" s="1"/>
  <c r="O1284" i="16" s="1"/>
  <c r="P1284" i="16" s="1"/>
  <c r="E1282" i="16"/>
  <c r="I1282" i="16" s="1"/>
  <c r="K1281" i="16"/>
  <c r="N1281" i="16" s="1"/>
  <c r="J1281" i="16"/>
  <c r="H1281" i="16"/>
  <c r="G1281" i="16"/>
  <c r="F1281" i="16"/>
  <c r="I1280" i="16"/>
  <c r="I1279" i="16" s="1"/>
  <c r="K1279" i="16"/>
  <c r="N1279" i="16" s="1"/>
  <c r="J1279" i="16"/>
  <c r="H1279" i="16"/>
  <c r="G1279" i="16"/>
  <c r="F1279" i="16"/>
  <c r="E1279" i="16"/>
  <c r="I1278" i="16"/>
  <c r="I1277" i="16" s="1"/>
  <c r="K1277" i="16"/>
  <c r="N1277" i="16" s="1"/>
  <c r="J1277" i="16"/>
  <c r="H1277" i="16"/>
  <c r="G1277" i="16"/>
  <c r="F1277" i="16"/>
  <c r="E1277" i="16"/>
  <c r="I1276" i="16"/>
  <c r="K1275" i="16"/>
  <c r="N1275" i="16" s="1"/>
  <c r="J1275" i="16"/>
  <c r="H1275" i="16"/>
  <c r="G1275" i="16"/>
  <c r="F1275" i="16"/>
  <c r="E1275" i="16"/>
  <c r="E1274" i="16"/>
  <c r="I1274" i="16" s="1"/>
  <c r="L1274" i="16" s="1"/>
  <c r="O1274" i="16" s="1"/>
  <c r="K1273" i="16"/>
  <c r="N1273" i="16" s="1"/>
  <c r="J1273" i="16"/>
  <c r="H1273" i="16"/>
  <c r="G1273" i="16"/>
  <c r="F1273" i="16"/>
  <c r="I1272" i="16"/>
  <c r="L1272" i="16" s="1"/>
  <c r="O1272" i="16" s="1"/>
  <c r="P1272" i="16" s="1"/>
  <c r="I1271" i="16"/>
  <c r="L1271" i="16" s="1"/>
  <c r="O1271" i="16" s="1"/>
  <c r="P1271" i="16" s="1"/>
  <c r="I1270" i="16"/>
  <c r="K1269" i="16"/>
  <c r="N1269" i="16" s="1"/>
  <c r="J1269" i="16"/>
  <c r="H1269" i="16"/>
  <c r="G1269" i="16"/>
  <c r="F1269" i="16"/>
  <c r="E1269" i="16"/>
  <c r="I1268" i="16"/>
  <c r="K1267" i="16"/>
  <c r="N1267" i="16" s="1"/>
  <c r="J1267" i="16"/>
  <c r="H1267" i="16"/>
  <c r="G1267" i="16"/>
  <c r="F1267" i="16"/>
  <c r="E1267" i="16"/>
  <c r="I1266" i="16"/>
  <c r="L1266" i="16" s="1"/>
  <c r="O1266" i="16" s="1"/>
  <c r="P1266" i="16" s="1"/>
  <c r="I1265" i="16"/>
  <c r="L1265" i="16" s="1"/>
  <c r="O1265" i="16" s="1"/>
  <c r="P1265" i="16" s="1"/>
  <c r="I1264" i="16"/>
  <c r="L1264" i="16" s="1"/>
  <c r="O1264" i="16" s="1"/>
  <c r="P1264" i="16" s="1"/>
  <c r="I1263" i="16"/>
  <c r="L1263" i="16" s="1"/>
  <c r="O1263" i="16" s="1"/>
  <c r="P1263" i="16" s="1"/>
  <c r="I1262" i="16"/>
  <c r="K1261" i="16"/>
  <c r="N1261" i="16" s="1"/>
  <c r="J1261" i="16"/>
  <c r="H1261" i="16"/>
  <c r="G1261" i="16"/>
  <c r="F1261" i="16"/>
  <c r="E1261" i="16"/>
  <c r="E1260" i="16"/>
  <c r="I1260" i="16" s="1"/>
  <c r="L1260" i="16" s="1"/>
  <c r="O1260" i="16" s="1"/>
  <c r="P1260" i="16" s="1"/>
  <c r="E1259" i="16"/>
  <c r="I1259" i="16" s="1"/>
  <c r="L1259" i="16" s="1"/>
  <c r="O1259" i="16" s="1"/>
  <c r="P1259" i="16" s="1"/>
  <c r="E1258" i="16"/>
  <c r="I1258" i="16" s="1"/>
  <c r="K1257" i="16"/>
  <c r="N1257" i="16" s="1"/>
  <c r="J1257" i="16"/>
  <c r="H1257" i="16"/>
  <c r="G1257" i="16"/>
  <c r="F1257" i="16"/>
  <c r="I1256" i="16"/>
  <c r="L1256" i="16" s="1"/>
  <c r="O1256" i="16" s="1"/>
  <c r="P1256" i="16" s="1"/>
  <c r="I1255" i="16"/>
  <c r="K1254" i="16"/>
  <c r="N1254" i="16" s="1"/>
  <c r="J1254" i="16"/>
  <c r="H1254" i="16"/>
  <c r="G1254" i="16"/>
  <c r="F1254" i="16"/>
  <c r="E1254" i="16"/>
  <c r="I1253" i="16"/>
  <c r="L1253" i="16" s="1"/>
  <c r="O1253" i="16" s="1"/>
  <c r="P1253" i="16" s="1"/>
  <c r="I1252" i="16"/>
  <c r="L1252" i="16" s="1"/>
  <c r="O1252" i="16" s="1"/>
  <c r="K1251" i="16"/>
  <c r="N1251" i="16" s="1"/>
  <c r="J1251" i="16"/>
  <c r="H1251" i="16"/>
  <c r="G1251" i="16"/>
  <c r="F1251" i="16"/>
  <c r="E1251" i="16"/>
  <c r="I1250" i="16"/>
  <c r="L1250" i="16" s="1"/>
  <c r="O1250" i="16" s="1"/>
  <c r="P1250" i="16" s="1"/>
  <c r="I1249" i="16"/>
  <c r="L1249" i="16" s="1"/>
  <c r="O1249" i="16" s="1"/>
  <c r="P1249" i="16" s="1"/>
  <c r="I1248" i="16"/>
  <c r="L1248" i="16" s="1"/>
  <c r="O1248" i="16" s="1"/>
  <c r="P1248" i="16" s="1"/>
  <c r="I1246" i="16"/>
  <c r="I1245" i="16" s="1"/>
  <c r="K1245" i="16"/>
  <c r="N1245" i="16" s="1"/>
  <c r="J1245" i="16"/>
  <c r="H1245" i="16"/>
  <c r="G1245" i="16"/>
  <c r="F1245" i="16"/>
  <c r="E1245" i="16"/>
  <c r="I1244" i="16"/>
  <c r="K1243" i="16"/>
  <c r="N1243" i="16" s="1"/>
  <c r="J1243" i="16"/>
  <c r="H1243" i="16"/>
  <c r="G1243" i="16"/>
  <c r="F1243" i="16"/>
  <c r="E1243" i="16"/>
  <c r="I1242" i="16"/>
  <c r="K1241" i="16"/>
  <c r="N1241" i="16" s="1"/>
  <c r="J1241" i="16"/>
  <c r="H1241" i="16"/>
  <c r="G1241" i="16"/>
  <c r="F1241" i="16"/>
  <c r="E1241" i="16"/>
  <c r="E1240" i="16"/>
  <c r="K1239" i="16"/>
  <c r="N1239" i="16" s="1"/>
  <c r="J1239" i="16"/>
  <c r="H1239" i="16"/>
  <c r="G1239" i="16"/>
  <c r="F1239" i="16"/>
  <c r="I1238" i="16"/>
  <c r="L1238" i="16" s="1"/>
  <c r="O1238" i="16" s="1"/>
  <c r="P1238" i="16" s="1"/>
  <c r="I1237" i="16"/>
  <c r="L1237" i="16" s="1"/>
  <c r="O1237" i="16" s="1"/>
  <c r="K1236" i="16"/>
  <c r="N1236" i="16" s="1"/>
  <c r="J1236" i="16"/>
  <c r="H1236" i="16"/>
  <c r="G1236" i="16"/>
  <c r="F1236" i="16"/>
  <c r="E1236" i="16"/>
  <c r="I1235" i="16"/>
  <c r="K1234" i="16"/>
  <c r="N1234" i="16" s="1"/>
  <c r="J1234" i="16"/>
  <c r="H1234" i="16"/>
  <c r="G1234" i="16"/>
  <c r="F1234" i="16"/>
  <c r="E1234" i="16"/>
  <c r="I1233" i="16"/>
  <c r="L1233" i="16" s="1"/>
  <c r="O1233" i="16" s="1"/>
  <c r="P1233" i="16" s="1"/>
  <c r="I1232" i="16"/>
  <c r="L1232" i="16" s="1"/>
  <c r="O1232" i="16" s="1"/>
  <c r="K1231" i="16"/>
  <c r="N1231" i="16" s="1"/>
  <c r="J1231" i="16"/>
  <c r="H1231" i="16"/>
  <c r="G1231" i="16"/>
  <c r="F1231" i="16"/>
  <c r="E1231" i="16"/>
  <c r="I1230" i="16"/>
  <c r="L1230" i="16" s="1"/>
  <c r="O1230" i="16" s="1"/>
  <c r="P1230" i="16" s="1"/>
  <c r="I1229" i="16"/>
  <c r="L1229" i="16" s="1"/>
  <c r="O1229" i="16" s="1"/>
  <c r="P1229" i="16" s="1"/>
  <c r="I1228" i="16"/>
  <c r="L1228" i="16" s="1"/>
  <c r="O1228" i="16" s="1"/>
  <c r="P1228" i="16" s="1"/>
  <c r="I1227" i="16"/>
  <c r="K1226" i="16"/>
  <c r="N1226" i="16" s="1"/>
  <c r="J1226" i="16"/>
  <c r="H1226" i="16"/>
  <c r="G1226" i="16"/>
  <c r="F1226" i="16"/>
  <c r="E1226" i="16"/>
  <c r="I1225" i="16"/>
  <c r="L1225" i="16" s="1"/>
  <c r="O1225" i="16" s="1"/>
  <c r="P1225" i="16" s="1"/>
  <c r="I1224" i="16"/>
  <c r="L1224" i="16" s="1"/>
  <c r="O1224" i="16" s="1"/>
  <c r="P1224" i="16" s="1"/>
  <c r="I1223" i="16"/>
  <c r="L1223" i="16" s="1"/>
  <c r="O1223" i="16" s="1"/>
  <c r="K1222" i="16"/>
  <c r="N1222" i="16" s="1"/>
  <c r="J1222" i="16"/>
  <c r="H1222" i="16"/>
  <c r="G1222" i="16"/>
  <c r="F1222" i="16"/>
  <c r="E1222" i="16"/>
  <c r="I1221" i="16"/>
  <c r="L1221" i="16" s="1"/>
  <c r="O1221" i="16" s="1"/>
  <c r="P1221" i="16" s="1"/>
  <c r="I1220" i="16"/>
  <c r="L1220" i="16" s="1"/>
  <c r="O1220" i="16" s="1"/>
  <c r="P1220" i="16" s="1"/>
  <c r="I1219" i="16"/>
  <c r="L1219" i="16" s="1"/>
  <c r="O1219" i="16" s="1"/>
  <c r="K1218" i="16"/>
  <c r="N1218" i="16" s="1"/>
  <c r="J1218" i="16"/>
  <c r="H1218" i="16"/>
  <c r="G1218" i="16"/>
  <c r="F1218" i="16"/>
  <c r="E1218" i="16"/>
  <c r="I1217" i="16"/>
  <c r="L1217" i="16" s="1"/>
  <c r="O1217" i="16" s="1"/>
  <c r="P1217" i="16" s="1"/>
  <c r="I1216" i="16"/>
  <c r="L1216" i="16" s="1"/>
  <c r="O1216" i="16" s="1"/>
  <c r="P1216" i="16" s="1"/>
  <c r="I1215" i="16"/>
  <c r="K1214" i="16"/>
  <c r="N1214" i="16" s="1"/>
  <c r="J1214" i="16"/>
  <c r="H1214" i="16"/>
  <c r="G1214" i="16"/>
  <c r="F1214" i="16"/>
  <c r="E1214" i="16"/>
  <c r="I1213" i="16"/>
  <c r="L1213" i="16" s="1"/>
  <c r="O1213" i="16" s="1"/>
  <c r="P1213" i="16" s="1"/>
  <c r="I1212" i="16"/>
  <c r="K1211" i="16"/>
  <c r="N1211" i="16" s="1"/>
  <c r="J1211" i="16"/>
  <c r="H1211" i="16"/>
  <c r="G1211" i="16"/>
  <c r="F1211" i="16"/>
  <c r="E1211" i="16"/>
  <c r="I1210" i="16"/>
  <c r="L1210" i="16" s="1"/>
  <c r="O1210" i="16" s="1"/>
  <c r="P1210" i="16" s="1"/>
  <c r="I1209" i="16"/>
  <c r="K1208" i="16"/>
  <c r="N1208" i="16" s="1"/>
  <c r="J1208" i="16"/>
  <c r="H1208" i="16"/>
  <c r="G1208" i="16"/>
  <c r="F1208" i="16"/>
  <c r="E1208" i="16"/>
  <c r="I1207" i="16"/>
  <c r="L1207" i="16" s="1"/>
  <c r="O1207" i="16" s="1"/>
  <c r="P1207" i="16" s="1"/>
  <c r="I1206" i="16"/>
  <c r="I1205" i="16" s="1"/>
  <c r="K1205" i="16"/>
  <c r="N1205" i="16" s="1"/>
  <c r="J1205" i="16"/>
  <c r="H1205" i="16"/>
  <c r="G1205" i="16"/>
  <c r="F1205" i="16"/>
  <c r="E1205" i="16"/>
  <c r="I1204" i="16"/>
  <c r="L1204" i="16" s="1"/>
  <c r="O1204" i="16" s="1"/>
  <c r="P1204" i="16" s="1"/>
  <c r="I1203" i="16"/>
  <c r="L1203" i="16" s="1"/>
  <c r="O1203" i="16" s="1"/>
  <c r="P1203" i="16" s="1"/>
  <c r="I1202" i="16"/>
  <c r="I1201" i="16"/>
  <c r="I1200" i="16"/>
  <c r="I1193" i="16"/>
  <c r="L1193" i="16" s="1"/>
  <c r="I1192" i="16"/>
  <c r="P1191" i="16"/>
  <c r="O1191" i="16"/>
  <c r="K1191" i="16"/>
  <c r="N1191" i="16" s="1"/>
  <c r="J1191" i="16"/>
  <c r="H1191" i="16"/>
  <c r="G1191" i="16"/>
  <c r="F1191" i="16"/>
  <c r="E1191" i="16"/>
  <c r="H1190" i="16"/>
  <c r="G1190" i="16"/>
  <c r="E1190" i="16"/>
  <c r="E1187" i="16" s="1"/>
  <c r="I1189" i="16"/>
  <c r="L1189" i="16" s="1"/>
  <c r="O1189" i="16" s="1"/>
  <c r="P1189" i="16" s="1"/>
  <c r="H1188" i="16"/>
  <c r="I1188" i="16" s="1"/>
  <c r="K1187" i="16"/>
  <c r="J1187" i="16"/>
  <c r="F1187" i="16"/>
  <c r="I1186" i="16"/>
  <c r="L1186" i="16" s="1"/>
  <c r="O1186" i="16" s="1"/>
  <c r="P1186" i="16" s="1"/>
  <c r="I1185" i="16"/>
  <c r="L1185" i="16" s="1"/>
  <c r="O1185" i="16" s="1"/>
  <c r="P1185" i="16" s="1"/>
  <c r="I1183" i="16"/>
  <c r="K1182" i="16"/>
  <c r="N1182" i="16" s="1"/>
  <c r="J1182" i="16"/>
  <c r="H1182" i="16"/>
  <c r="G1182" i="16"/>
  <c r="F1182" i="16"/>
  <c r="E1182" i="16"/>
  <c r="I1181" i="16"/>
  <c r="L1181" i="16" s="1"/>
  <c r="O1181" i="16" s="1"/>
  <c r="P1181" i="16" s="1"/>
  <c r="E1180" i="16"/>
  <c r="I1180" i="16" s="1"/>
  <c r="I1179" i="16"/>
  <c r="L1179" i="16" s="1"/>
  <c r="O1179" i="16" s="1"/>
  <c r="K1178" i="16"/>
  <c r="N1178" i="16" s="1"/>
  <c r="J1178" i="16"/>
  <c r="H1178" i="16"/>
  <c r="G1178" i="16"/>
  <c r="F1178" i="16"/>
  <c r="I1177" i="16"/>
  <c r="I1176" i="16" s="1"/>
  <c r="K1176" i="16"/>
  <c r="N1176" i="16" s="1"/>
  <c r="J1176" i="16"/>
  <c r="H1176" i="16"/>
  <c r="G1176" i="16"/>
  <c r="F1176" i="16"/>
  <c r="E1176" i="16"/>
  <c r="I1175" i="16"/>
  <c r="L1175" i="16" s="1"/>
  <c r="O1175" i="16" s="1"/>
  <c r="P1175" i="16" s="1"/>
  <c r="I1174" i="16"/>
  <c r="L1174" i="16" s="1"/>
  <c r="O1174" i="16" s="1"/>
  <c r="P1174" i="16" s="1"/>
  <c r="I1173" i="16"/>
  <c r="I1172" i="16" s="1"/>
  <c r="Q1172" i="16"/>
  <c r="K1172" i="16"/>
  <c r="N1172" i="16" s="1"/>
  <c r="J1172" i="16"/>
  <c r="H1172" i="16"/>
  <c r="G1172" i="16"/>
  <c r="F1172" i="16"/>
  <c r="E1172" i="16"/>
  <c r="I1171" i="16"/>
  <c r="L1171" i="16" s="1"/>
  <c r="O1171" i="16" s="1"/>
  <c r="P1171" i="16" s="1"/>
  <c r="E1170" i="16"/>
  <c r="E1169" i="16" s="1"/>
  <c r="K1169" i="16"/>
  <c r="N1169" i="16" s="1"/>
  <c r="J1169" i="16"/>
  <c r="H1169" i="16"/>
  <c r="G1169" i="16"/>
  <c r="F1169" i="16"/>
  <c r="L1168" i="16"/>
  <c r="K1167" i="16"/>
  <c r="N1167" i="16" s="1"/>
  <c r="I1167" i="16"/>
  <c r="I1166" i="16"/>
  <c r="J1165" i="16"/>
  <c r="H1165" i="16"/>
  <c r="G1165" i="16"/>
  <c r="F1165" i="16"/>
  <c r="E1165" i="16"/>
  <c r="I1164" i="16"/>
  <c r="L1164" i="16" s="1"/>
  <c r="O1164" i="16" s="1"/>
  <c r="P1164" i="16" s="1"/>
  <c r="E1163" i="16"/>
  <c r="I1163" i="16" s="1"/>
  <c r="K1162" i="16"/>
  <c r="N1162" i="16" s="1"/>
  <c r="J1162" i="16"/>
  <c r="H1162" i="16"/>
  <c r="G1162" i="16"/>
  <c r="F1162" i="16"/>
  <c r="I1161" i="16"/>
  <c r="L1161" i="16" s="1"/>
  <c r="O1161" i="16" s="1"/>
  <c r="P1161" i="16" s="1"/>
  <c r="I1160" i="16"/>
  <c r="L1160" i="16" s="1"/>
  <c r="O1160" i="16" s="1"/>
  <c r="P1160" i="16" s="1"/>
  <c r="K1159" i="16"/>
  <c r="I1159" i="16"/>
  <c r="J1158" i="16"/>
  <c r="H1158" i="16"/>
  <c r="G1158" i="16"/>
  <c r="F1158" i="16"/>
  <c r="E1158" i="16"/>
  <c r="I1157" i="16"/>
  <c r="I1156" i="16" s="1"/>
  <c r="K1156" i="16"/>
  <c r="N1156" i="16" s="1"/>
  <c r="J1156" i="16"/>
  <c r="H1156" i="16"/>
  <c r="G1156" i="16"/>
  <c r="F1156" i="16"/>
  <c r="E1156" i="16"/>
  <c r="E1155" i="16"/>
  <c r="I1155" i="16" s="1"/>
  <c r="L1155" i="16" s="1"/>
  <c r="O1155" i="16" s="1"/>
  <c r="P1155" i="16" s="1"/>
  <c r="K1154" i="16"/>
  <c r="E1154" i="16"/>
  <c r="I1154" i="16" s="1"/>
  <c r="I1153" i="16"/>
  <c r="J1152" i="16"/>
  <c r="H1152" i="16"/>
  <c r="G1152" i="16"/>
  <c r="F1152" i="16"/>
  <c r="K1151" i="16"/>
  <c r="E1151" i="16"/>
  <c r="I1151" i="16" s="1"/>
  <c r="I1150" i="16"/>
  <c r="L1150" i="16" s="1"/>
  <c r="O1150" i="16" s="1"/>
  <c r="P1150" i="16" s="1"/>
  <c r="I1149" i="16"/>
  <c r="L1149" i="16" s="1"/>
  <c r="O1149" i="16" s="1"/>
  <c r="P1149" i="16" s="1"/>
  <c r="I1148" i="16"/>
  <c r="L1148" i="16" s="1"/>
  <c r="O1148" i="16" s="1"/>
  <c r="P1148" i="16" s="1"/>
  <c r="I1147" i="16"/>
  <c r="L1147" i="16" s="1"/>
  <c r="O1147" i="16" s="1"/>
  <c r="P1147" i="16" s="1"/>
  <c r="I1146" i="16"/>
  <c r="L1146" i="16" s="1"/>
  <c r="O1146" i="16" s="1"/>
  <c r="P1146" i="16" s="1"/>
  <c r="I1145" i="16"/>
  <c r="J1144" i="16"/>
  <c r="H1144" i="16"/>
  <c r="G1144" i="16"/>
  <c r="F1144" i="16"/>
  <c r="I1143" i="16"/>
  <c r="L1143" i="16" s="1"/>
  <c r="O1143" i="16" s="1"/>
  <c r="P1143" i="16" s="1"/>
  <c r="I1142" i="16"/>
  <c r="L1142" i="16" s="1"/>
  <c r="O1142" i="16" s="1"/>
  <c r="P1142" i="16" s="1"/>
  <c r="I1141" i="16"/>
  <c r="K1140" i="16"/>
  <c r="N1140" i="16" s="1"/>
  <c r="J1140" i="16"/>
  <c r="H1140" i="16"/>
  <c r="G1140" i="16"/>
  <c r="F1140" i="16"/>
  <c r="E1140" i="16"/>
  <c r="I1139" i="16"/>
  <c r="L1139" i="16" s="1"/>
  <c r="O1139" i="16" s="1"/>
  <c r="P1139" i="16" s="1"/>
  <c r="E1138" i="16"/>
  <c r="I1138" i="16" s="1"/>
  <c r="L1138" i="16" s="1"/>
  <c r="O1138" i="16" s="1"/>
  <c r="P1138" i="16" s="1"/>
  <c r="K1137" i="16"/>
  <c r="N1137" i="16" s="1"/>
  <c r="E1137" i="16"/>
  <c r="I1137" i="16" s="1"/>
  <c r="L1137" i="16" s="1"/>
  <c r="O1137" i="16" s="1"/>
  <c r="P1137" i="16" s="1"/>
  <c r="E1136" i="16"/>
  <c r="J1135" i="16"/>
  <c r="H1135" i="16"/>
  <c r="G1135" i="16"/>
  <c r="F1135" i="16"/>
  <c r="I1134" i="16"/>
  <c r="L1134" i="16" s="1"/>
  <c r="O1134" i="16" s="1"/>
  <c r="P1134" i="16" s="1"/>
  <c r="I1133" i="16"/>
  <c r="I1132" i="16" s="1"/>
  <c r="K1132" i="16"/>
  <c r="N1132" i="16" s="1"/>
  <c r="J1132" i="16"/>
  <c r="H1132" i="16"/>
  <c r="G1132" i="16"/>
  <c r="F1132" i="16"/>
  <c r="E1132" i="16"/>
  <c r="E1131" i="16"/>
  <c r="I1131" i="16" s="1"/>
  <c r="L1131" i="16" s="1"/>
  <c r="O1131" i="16" s="1"/>
  <c r="P1131" i="16" s="1"/>
  <c r="E1130" i="16"/>
  <c r="I1130" i="16" s="1"/>
  <c r="L1130" i="16" s="1"/>
  <c r="O1130" i="16" s="1"/>
  <c r="P1130" i="16" s="1"/>
  <c r="E1129" i="16"/>
  <c r="I1129" i="16" s="1"/>
  <c r="L1129" i="16" s="1"/>
  <c r="O1129" i="16" s="1"/>
  <c r="K1128" i="16"/>
  <c r="N1128" i="16" s="1"/>
  <c r="J1128" i="16"/>
  <c r="H1128" i="16"/>
  <c r="G1128" i="16"/>
  <c r="F1128" i="16"/>
  <c r="I1127" i="16"/>
  <c r="I1126" i="16" s="1"/>
  <c r="K1126" i="16"/>
  <c r="N1126" i="16" s="1"/>
  <c r="J1126" i="16"/>
  <c r="H1126" i="16"/>
  <c r="G1126" i="16"/>
  <c r="F1126" i="16"/>
  <c r="E1126" i="16"/>
  <c r="I1125" i="16"/>
  <c r="L1125" i="16" s="1"/>
  <c r="O1125" i="16" s="1"/>
  <c r="P1125" i="16" s="1"/>
  <c r="I1124" i="16"/>
  <c r="L1124" i="16" s="1"/>
  <c r="O1124" i="16" s="1"/>
  <c r="P1124" i="16" s="1"/>
  <c r="I1122" i="16"/>
  <c r="I1121" i="16" s="1"/>
  <c r="K1121" i="16"/>
  <c r="N1121" i="16" s="1"/>
  <c r="J1121" i="16"/>
  <c r="H1121" i="16"/>
  <c r="G1121" i="16"/>
  <c r="F1121" i="16"/>
  <c r="E1121" i="16"/>
  <c r="I1120" i="16"/>
  <c r="I1119" i="16"/>
  <c r="L1119" i="16" s="1"/>
  <c r="O1119" i="16" s="1"/>
  <c r="P1119" i="16" s="1"/>
  <c r="I1118" i="16"/>
  <c r="L1118" i="16" s="1"/>
  <c r="O1118" i="16" s="1"/>
  <c r="K1117" i="16"/>
  <c r="N1117" i="16" s="1"/>
  <c r="J1117" i="16"/>
  <c r="H1117" i="16"/>
  <c r="G1117" i="16"/>
  <c r="F1117" i="16"/>
  <c r="E1117" i="16"/>
  <c r="I1116" i="16"/>
  <c r="I1115" i="16" s="1"/>
  <c r="K1115" i="16"/>
  <c r="N1115" i="16" s="1"/>
  <c r="J1115" i="16"/>
  <c r="H1115" i="16"/>
  <c r="G1115" i="16"/>
  <c r="F1115" i="16"/>
  <c r="E1115" i="16"/>
  <c r="I1114" i="16"/>
  <c r="L1114" i="16" s="1"/>
  <c r="O1114" i="16" s="1"/>
  <c r="P1114" i="16" s="1"/>
  <c r="I1113" i="16"/>
  <c r="L1113" i="16" s="1"/>
  <c r="O1113" i="16" s="1"/>
  <c r="K1112" i="16"/>
  <c r="N1112" i="16" s="1"/>
  <c r="J1112" i="16"/>
  <c r="H1112" i="16"/>
  <c r="G1112" i="16"/>
  <c r="G1110" i="16" s="1"/>
  <c r="F1112" i="16"/>
  <c r="E1112" i="16"/>
  <c r="I1111" i="16"/>
  <c r="L1111" i="16" s="1"/>
  <c r="O1111" i="16" s="1"/>
  <c r="P1111" i="16" s="1"/>
  <c r="K1109" i="16"/>
  <c r="N1109" i="16" s="1"/>
  <c r="J1109" i="16"/>
  <c r="H1109" i="16"/>
  <c r="F1109" i="16"/>
  <c r="E1109" i="16"/>
  <c r="K1108" i="16"/>
  <c r="N1108" i="16" s="1"/>
  <c r="E1108" i="16"/>
  <c r="I1108" i="16" s="1"/>
  <c r="K1107" i="16"/>
  <c r="N1107" i="16" s="1"/>
  <c r="E1107" i="16"/>
  <c r="I1107" i="16" s="1"/>
  <c r="I1106" i="16"/>
  <c r="J1105" i="16"/>
  <c r="H1105" i="16"/>
  <c r="G1105" i="16"/>
  <c r="F1105" i="16"/>
  <c r="E1104" i="16"/>
  <c r="I1104" i="16" s="1"/>
  <c r="L1104" i="16" s="1"/>
  <c r="O1104" i="16" s="1"/>
  <c r="P1104" i="16" s="1"/>
  <c r="K1103" i="16"/>
  <c r="N1103" i="16" s="1"/>
  <c r="E1103" i="16"/>
  <c r="I1103" i="16" s="1"/>
  <c r="K1102" i="16"/>
  <c r="N1102" i="16" s="1"/>
  <c r="J1102" i="16"/>
  <c r="H1102" i="16"/>
  <c r="G1102" i="16"/>
  <c r="F1102" i="16"/>
  <c r="I1101" i="16"/>
  <c r="L1101" i="16" s="1"/>
  <c r="O1101" i="16" s="1"/>
  <c r="P1101" i="16" s="1"/>
  <c r="I1100" i="16"/>
  <c r="L1100" i="16" s="1"/>
  <c r="O1100" i="16" s="1"/>
  <c r="P1100" i="16" s="1"/>
  <c r="I1099" i="16"/>
  <c r="L1099" i="16" s="1"/>
  <c r="O1099" i="16" s="1"/>
  <c r="K1098" i="16"/>
  <c r="N1098" i="16" s="1"/>
  <c r="J1098" i="16"/>
  <c r="H1098" i="16"/>
  <c r="G1098" i="16"/>
  <c r="F1098" i="16"/>
  <c r="E1098" i="16"/>
  <c r="I1097" i="16"/>
  <c r="L1097" i="16" s="1"/>
  <c r="I1096" i="16"/>
  <c r="K1095" i="16"/>
  <c r="N1095" i="16" s="1"/>
  <c r="J1095" i="16"/>
  <c r="H1095" i="16"/>
  <c r="G1095" i="16"/>
  <c r="F1095" i="16"/>
  <c r="E1095" i="16"/>
  <c r="K1094" i="16"/>
  <c r="K1093" i="16"/>
  <c r="N1093" i="16" s="1"/>
  <c r="G1093" i="16"/>
  <c r="I1093" i="16" s="1"/>
  <c r="K1092" i="16"/>
  <c r="N1092" i="16" s="1"/>
  <c r="E1092" i="16"/>
  <c r="I1092" i="16" s="1"/>
  <c r="L1092" i="16" s="1"/>
  <c r="O1092" i="16" s="1"/>
  <c r="P1092" i="16" s="1"/>
  <c r="K1091" i="16"/>
  <c r="N1091" i="16" s="1"/>
  <c r="I1091" i="16"/>
  <c r="J1090" i="16"/>
  <c r="H1090" i="16"/>
  <c r="F1090" i="16"/>
  <c r="I1089" i="16"/>
  <c r="L1089" i="16" s="1"/>
  <c r="O1089" i="16" s="1"/>
  <c r="P1089" i="16" s="1"/>
  <c r="K1088" i="16"/>
  <c r="N1088" i="16" s="1"/>
  <c r="I1088" i="16"/>
  <c r="K1087" i="16"/>
  <c r="N1087" i="16" s="1"/>
  <c r="I1087" i="16"/>
  <c r="I1086" i="16"/>
  <c r="L1086" i="16" s="1"/>
  <c r="O1086" i="16" s="1"/>
  <c r="P1086" i="16" s="1"/>
  <c r="E1085" i="16"/>
  <c r="E1082" i="16" s="1"/>
  <c r="I1084" i="16"/>
  <c r="L1084" i="16" s="1"/>
  <c r="O1084" i="16" s="1"/>
  <c r="P1084" i="16" s="1"/>
  <c r="I1083" i="16"/>
  <c r="L1083" i="16" s="1"/>
  <c r="O1083" i="16" s="1"/>
  <c r="J1082" i="16"/>
  <c r="H1082" i="16"/>
  <c r="G1082" i="16"/>
  <c r="F1082" i="16"/>
  <c r="E1081" i="16"/>
  <c r="I1081" i="16" s="1"/>
  <c r="L1081" i="16" s="1"/>
  <c r="O1081" i="16" s="1"/>
  <c r="P1081" i="16" s="1"/>
  <c r="I1080" i="16"/>
  <c r="L1080" i="16" s="1"/>
  <c r="O1080" i="16" s="1"/>
  <c r="P1080" i="16" s="1"/>
  <c r="I1079" i="16"/>
  <c r="K1078" i="16"/>
  <c r="N1078" i="16" s="1"/>
  <c r="J1078" i="16"/>
  <c r="H1078" i="16"/>
  <c r="G1078" i="16"/>
  <c r="F1078" i="16"/>
  <c r="E1078" i="16"/>
  <c r="I1077" i="16"/>
  <c r="L1077" i="16" s="1"/>
  <c r="O1077" i="16" s="1"/>
  <c r="P1077" i="16" s="1"/>
  <c r="I1076" i="16"/>
  <c r="L1076" i="16" s="1"/>
  <c r="O1076" i="16" s="1"/>
  <c r="P1076" i="16" s="1"/>
  <c r="I1075" i="16"/>
  <c r="L1075" i="16" s="1"/>
  <c r="O1075" i="16" s="1"/>
  <c r="P1075" i="16" s="1"/>
  <c r="I1074" i="16"/>
  <c r="K1073" i="16"/>
  <c r="N1073" i="16" s="1"/>
  <c r="J1073" i="16"/>
  <c r="H1073" i="16"/>
  <c r="G1073" i="16"/>
  <c r="F1073" i="16"/>
  <c r="E1073" i="16"/>
  <c r="I1072" i="16"/>
  <c r="L1072" i="16" s="1"/>
  <c r="O1072" i="16" s="1"/>
  <c r="P1072" i="16" s="1"/>
  <c r="I1071" i="16"/>
  <c r="L1071" i="16" s="1"/>
  <c r="O1071" i="16" s="1"/>
  <c r="K1070" i="16"/>
  <c r="N1070" i="16" s="1"/>
  <c r="J1070" i="16"/>
  <c r="H1070" i="16"/>
  <c r="G1070" i="16"/>
  <c r="F1070" i="16"/>
  <c r="E1070" i="16"/>
  <c r="I1069" i="16"/>
  <c r="L1069" i="16" s="1"/>
  <c r="O1069" i="16" s="1"/>
  <c r="P1069" i="16" s="1"/>
  <c r="I1068" i="16"/>
  <c r="L1068" i="16" s="1"/>
  <c r="O1068" i="16" s="1"/>
  <c r="P1068" i="16" s="1"/>
  <c r="I1067" i="16"/>
  <c r="K1066" i="16"/>
  <c r="N1066" i="16" s="1"/>
  <c r="J1066" i="16"/>
  <c r="H1066" i="16"/>
  <c r="G1066" i="16"/>
  <c r="F1066" i="16"/>
  <c r="E1066" i="16"/>
  <c r="I1065" i="16"/>
  <c r="L1065" i="16" s="1"/>
  <c r="O1065" i="16" s="1"/>
  <c r="P1065" i="16" s="1"/>
  <c r="I1064" i="16"/>
  <c r="L1064" i="16" s="1"/>
  <c r="O1064" i="16" s="1"/>
  <c r="K1063" i="16"/>
  <c r="N1063" i="16" s="1"/>
  <c r="J1063" i="16"/>
  <c r="H1063" i="16"/>
  <c r="G1063" i="16"/>
  <c r="F1063" i="16"/>
  <c r="E1063" i="16"/>
  <c r="I1062" i="16"/>
  <c r="L1062" i="16" s="1"/>
  <c r="O1062" i="16" s="1"/>
  <c r="P1062" i="16" s="1"/>
  <c r="I1061" i="16"/>
  <c r="L1061" i="16" s="1"/>
  <c r="O1061" i="16" s="1"/>
  <c r="P1061" i="16" s="1"/>
  <c r="I1060" i="16"/>
  <c r="L1060" i="16" s="1"/>
  <c r="O1060" i="16" s="1"/>
  <c r="P1060" i="16" s="1"/>
  <c r="K1055" i="16"/>
  <c r="N1055" i="16" s="1"/>
  <c r="J1055" i="16"/>
  <c r="H1055" i="16"/>
  <c r="G1055" i="16"/>
  <c r="F1055" i="16"/>
  <c r="I1054" i="16"/>
  <c r="L1054" i="16" s="1"/>
  <c r="I1053" i="16"/>
  <c r="L1053" i="16" s="1"/>
  <c r="E1052" i="16"/>
  <c r="I1052" i="16" s="1"/>
  <c r="L1052" i="16" s="1"/>
  <c r="O1052" i="16" s="1"/>
  <c r="P1052" i="16" s="1"/>
  <c r="E1051" i="16"/>
  <c r="I1051" i="16" s="1"/>
  <c r="I1050" i="16"/>
  <c r="L1050" i="16" s="1"/>
  <c r="O1050" i="16" s="1"/>
  <c r="I1049" i="16"/>
  <c r="L1049" i="16" s="1"/>
  <c r="O1049" i="16" s="1"/>
  <c r="P1049" i="16" s="1"/>
  <c r="I1048" i="16"/>
  <c r="L1048" i="16" s="1"/>
  <c r="O1048" i="16" s="1"/>
  <c r="P1048" i="16" s="1"/>
  <c r="I1046" i="16"/>
  <c r="L1046" i="16" s="1"/>
  <c r="O1046" i="16" s="1"/>
  <c r="E1045" i="16"/>
  <c r="I1045" i="16" s="1"/>
  <c r="E1044" i="16"/>
  <c r="I1044" i="16" s="1"/>
  <c r="L1044" i="16" s="1"/>
  <c r="O1044" i="16" s="1"/>
  <c r="P1044" i="16" s="1"/>
  <c r="E1043" i="16"/>
  <c r="E1042" i="16"/>
  <c r="I1042" i="16" s="1"/>
  <c r="K1041" i="16"/>
  <c r="N1041" i="16" s="1"/>
  <c r="J1041" i="16"/>
  <c r="H1041" i="16"/>
  <c r="G1041" i="16"/>
  <c r="F1041" i="16"/>
  <c r="I1040" i="16"/>
  <c r="L1040" i="16" s="1"/>
  <c r="O1040" i="16" s="1"/>
  <c r="P1040" i="16" s="1"/>
  <c r="I1039" i="16"/>
  <c r="K1038" i="16"/>
  <c r="N1038" i="16" s="1"/>
  <c r="J1038" i="16"/>
  <c r="H1038" i="16"/>
  <c r="G1038" i="16"/>
  <c r="F1038" i="16"/>
  <c r="E1038" i="16"/>
  <c r="I1037" i="16"/>
  <c r="I1036" i="16" s="1"/>
  <c r="K1036" i="16"/>
  <c r="N1036" i="16" s="1"/>
  <c r="J1036" i="16"/>
  <c r="H1036" i="16"/>
  <c r="G1036" i="16"/>
  <c r="F1036" i="16"/>
  <c r="E1036" i="16"/>
  <c r="E1035" i="16"/>
  <c r="I1035" i="16" s="1"/>
  <c r="I1034" i="16"/>
  <c r="L1034" i="16" s="1"/>
  <c r="O1034" i="16" s="1"/>
  <c r="K1033" i="16"/>
  <c r="N1033" i="16" s="1"/>
  <c r="J1033" i="16"/>
  <c r="H1033" i="16"/>
  <c r="G1033" i="16"/>
  <c r="F1033" i="16"/>
  <c r="E1033" i="16"/>
  <c r="I1032" i="16"/>
  <c r="L1032" i="16" s="1"/>
  <c r="O1032" i="16" s="1"/>
  <c r="P1032" i="16" s="1"/>
  <c r="I1031" i="16"/>
  <c r="K1030" i="16"/>
  <c r="N1030" i="16" s="1"/>
  <c r="J1030" i="16"/>
  <c r="H1030" i="16"/>
  <c r="G1030" i="16"/>
  <c r="F1030" i="16"/>
  <c r="E1030" i="16"/>
  <c r="I1029" i="16"/>
  <c r="L1029" i="16" s="1"/>
  <c r="O1029" i="16" s="1"/>
  <c r="P1029" i="16" s="1"/>
  <c r="E1028" i="16"/>
  <c r="I1028" i="16" s="1"/>
  <c r="K1027" i="16"/>
  <c r="N1027" i="16" s="1"/>
  <c r="J1027" i="16"/>
  <c r="H1027" i="16"/>
  <c r="G1027" i="16"/>
  <c r="F1027" i="16"/>
  <c r="I1026" i="16"/>
  <c r="I1025" i="16" s="1"/>
  <c r="K1025" i="16"/>
  <c r="N1025" i="16" s="1"/>
  <c r="J1025" i="16"/>
  <c r="H1025" i="16"/>
  <c r="G1025" i="16"/>
  <c r="F1025" i="16"/>
  <c r="E1025" i="16"/>
  <c r="I1024" i="16"/>
  <c r="L1024" i="16" s="1"/>
  <c r="O1024" i="16" s="1"/>
  <c r="P1024" i="16" s="1"/>
  <c r="I1023" i="16"/>
  <c r="L1023" i="16" s="1"/>
  <c r="O1023" i="16" s="1"/>
  <c r="P1023" i="16" s="1"/>
  <c r="I1022" i="16"/>
  <c r="L1022" i="16" s="1"/>
  <c r="O1022" i="16" s="1"/>
  <c r="K1021" i="16"/>
  <c r="N1021" i="16" s="1"/>
  <c r="J1021" i="16"/>
  <c r="H1021" i="16"/>
  <c r="G1021" i="16"/>
  <c r="F1021" i="16"/>
  <c r="E1021" i="16"/>
  <c r="I1020" i="16"/>
  <c r="L1020" i="16" s="1"/>
  <c r="O1020" i="16" s="1"/>
  <c r="P1020" i="16" s="1"/>
  <c r="I1019" i="16"/>
  <c r="K1018" i="16"/>
  <c r="N1018" i="16" s="1"/>
  <c r="J1018" i="16"/>
  <c r="H1018" i="16"/>
  <c r="G1018" i="16"/>
  <c r="F1018" i="16"/>
  <c r="E1018" i="16"/>
  <c r="I1017" i="16"/>
  <c r="K1016" i="16"/>
  <c r="N1016" i="16" s="1"/>
  <c r="J1016" i="16"/>
  <c r="H1016" i="16"/>
  <c r="G1016" i="16"/>
  <c r="F1016" i="16"/>
  <c r="E1016" i="16"/>
  <c r="I1015" i="16"/>
  <c r="L1015" i="16" s="1"/>
  <c r="O1015" i="16" s="1"/>
  <c r="P1015" i="16" s="1"/>
  <c r="I1014" i="16"/>
  <c r="L1014" i="16" s="1"/>
  <c r="O1014" i="16" s="1"/>
  <c r="P1014" i="16" s="1"/>
  <c r="I1013" i="16"/>
  <c r="L1013" i="16" s="1"/>
  <c r="O1013" i="16" s="1"/>
  <c r="P1013" i="16" s="1"/>
  <c r="K1011" i="16"/>
  <c r="N1011" i="16" s="1"/>
  <c r="J1011" i="16"/>
  <c r="H1011" i="16"/>
  <c r="G1011" i="16"/>
  <c r="F1011" i="16"/>
  <c r="E1011" i="16"/>
  <c r="I1010" i="16"/>
  <c r="L1010" i="16" s="1"/>
  <c r="O1010" i="16" s="1"/>
  <c r="I1009" i="16"/>
  <c r="L1009" i="16" s="1"/>
  <c r="O1009" i="16" s="1"/>
  <c r="P1009" i="16" s="1"/>
  <c r="I1008" i="16"/>
  <c r="L1008" i="16" s="1"/>
  <c r="O1008" i="16" s="1"/>
  <c r="P1008" i="16" s="1"/>
  <c r="I1006" i="16"/>
  <c r="L1006" i="16" s="1"/>
  <c r="O1006" i="16" s="1"/>
  <c r="P1006" i="16" s="1"/>
  <c r="I1005" i="16"/>
  <c r="L1005" i="16" s="1"/>
  <c r="O1004" i="16"/>
  <c r="P1004" i="16" s="1"/>
  <c r="I1004" i="16"/>
  <c r="L1004" i="16" s="1"/>
  <c r="I1003" i="16"/>
  <c r="L1003" i="16" s="1"/>
  <c r="I1002" i="16"/>
  <c r="K1001" i="16"/>
  <c r="N1001" i="16" s="1"/>
  <c r="J1001" i="16"/>
  <c r="H1001" i="16"/>
  <c r="G1001" i="16"/>
  <c r="F1001" i="16"/>
  <c r="E1001" i="16"/>
  <c r="I1000" i="16"/>
  <c r="L1000" i="16" s="1"/>
  <c r="O1000" i="16" s="1"/>
  <c r="E999" i="16"/>
  <c r="I999" i="16" s="1"/>
  <c r="L999" i="16" s="1"/>
  <c r="I998" i="16"/>
  <c r="L998" i="16" s="1"/>
  <c r="O998" i="16" s="1"/>
  <c r="P998" i="16" s="1"/>
  <c r="I997" i="16"/>
  <c r="L997" i="16" s="1"/>
  <c r="O997" i="16" s="1"/>
  <c r="K996" i="16"/>
  <c r="N996" i="16" s="1"/>
  <c r="J996" i="16"/>
  <c r="H996" i="16"/>
  <c r="G996" i="16"/>
  <c r="F996" i="16"/>
  <c r="E996" i="16"/>
  <c r="E995" i="16"/>
  <c r="I995" i="16" s="1"/>
  <c r="K994" i="16"/>
  <c r="N994" i="16" s="1"/>
  <c r="J994" i="16"/>
  <c r="H994" i="16"/>
  <c r="G994" i="16"/>
  <c r="F994" i="16"/>
  <c r="I993" i="16"/>
  <c r="L993" i="16" s="1"/>
  <c r="O993" i="16" s="1"/>
  <c r="P993" i="16" s="1"/>
  <c r="I992" i="16"/>
  <c r="K991" i="16"/>
  <c r="N991" i="16" s="1"/>
  <c r="J991" i="16"/>
  <c r="H991" i="16"/>
  <c r="G991" i="16"/>
  <c r="F991" i="16"/>
  <c r="E991" i="16"/>
  <c r="I990" i="16"/>
  <c r="L990" i="16" s="1"/>
  <c r="O990" i="16" s="1"/>
  <c r="P990" i="16" s="1"/>
  <c r="I989" i="16"/>
  <c r="K988" i="16"/>
  <c r="N988" i="16" s="1"/>
  <c r="J988" i="16"/>
  <c r="H988" i="16"/>
  <c r="G988" i="16"/>
  <c r="F988" i="16"/>
  <c r="E988" i="16"/>
  <c r="E987" i="16"/>
  <c r="I987" i="16" s="1"/>
  <c r="L987" i="16" s="1"/>
  <c r="O987" i="16" s="1"/>
  <c r="P987" i="16" s="1"/>
  <c r="E986" i="16"/>
  <c r="I986" i="16" s="1"/>
  <c r="L986" i="16" s="1"/>
  <c r="O986" i="16" s="1"/>
  <c r="P986" i="16" s="1"/>
  <c r="E985" i="16"/>
  <c r="I985" i="16" s="1"/>
  <c r="L985" i="16" s="1"/>
  <c r="O985" i="16" s="1"/>
  <c r="P985" i="16" s="1"/>
  <c r="E984" i="16"/>
  <c r="K983" i="16"/>
  <c r="N983" i="16" s="1"/>
  <c r="J983" i="16"/>
  <c r="H983" i="16"/>
  <c r="G983" i="16"/>
  <c r="F983" i="16"/>
  <c r="I982" i="16"/>
  <c r="L982" i="16" s="1"/>
  <c r="O982" i="16" s="1"/>
  <c r="P982" i="16" s="1"/>
  <c r="E981" i="16"/>
  <c r="I981" i="16" s="1"/>
  <c r="L981" i="16" s="1"/>
  <c r="O981" i="16" s="1"/>
  <c r="P981" i="16" s="1"/>
  <c r="I980" i="16"/>
  <c r="L980" i="16" s="1"/>
  <c r="O980" i="16" s="1"/>
  <c r="P980" i="16" s="1"/>
  <c r="I979" i="16"/>
  <c r="L979" i="16" s="1"/>
  <c r="O979" i="16" s="1"/>
  <c r="K978" i="16"/>
  <c r="N978" i="16" s="1"/>
  <c r="J978" i="16"/>
  <c r="H978" i="16"/>
  <c r="G978" i="16"/>
  <c r="F978" i="16"/>
  <c r="E978" i="16"/>
  <c r="I977" i="16"/>
  <c r="L977" i="16" s="1"/>
  <c r="O977" i="16" s="1"/>
  <c r="P977" i="16" s="1"/>
  <c r="E976" i="16"/>
  <c r="I976" i="16" s="1"/>
  <c r="L976" i="16" s="1"/>
  <c r="O976" i="16" s="1"/>
  <c r="P976" i="16" s="1"/>
  <c r="E975" i="16"/>
  <c r="I975" i="16" s="1"/>
  <c r="L975" i="16" s="1"/>
  <c r="O975" i="16" s="1"/>
  <c r="K974" i="16"/>
  <c r="N974" i="16" s="1"/>
  <c r="J974" i="16"/>
  <c r="H974" i="16"/>
  <c r="G974" i="16"/>
  <c r="F974" i="16"/>
  <c r="I973" i="16"/>
  <c r="I972" i="16" s="1"/>
  <c r="K972" i="16"/>
  <c r="N972" i="16" s="1"/>
  <c r="J972" i="16"/>
  <c r="H972" i="16"/>
  <c r="G972" i="16"/>
  <c r="F972" i="16"/>
  <c r="E972" i="16"/>
  <c r="I971" i="16"/>
  <c r="L971" i="16" s="1"/>
  <c r="O971" i="16" s="1"/>
  <c r="P971" i="16" s="1"/>
  <c r="I970" i="16"/>
  <c r="L970" i="16" s="1"/>
  <c r="O970" i="16" s="1"/>
  <c r="P970" i="16" s="1"/>
  <c r="I969" i="16"/>
  <c r="L969" i="16" s="1"/>
  <c r="O969" i="16" s="1"/>
  <c r="P969" i="16" s="1"/>
  <c r="I968" i="16"/>
  <c r="L968" i="16" s="1"/>
  <c r="O968" i="16" s="1"/>
  <c r="P968" i="16" s="1"/>
  <c r="K966" i="16"/>
  <c r="N966" i="16" s="1"/>
  <c r="J966" i="16"/>
  <c r="H966" i="16"/>
  <c r="G966" i="16"/>
  <c r="F966" i="16"/>
  <c r="E965" i="16"/>
  <c r="I965" i="16" s="1"/>
  <c r="I964" i="16"/>
  <c r="L964" i="16" s="1"/>
  <c r="O964" i="16" s="1"/>
  <c r="P964" i="16" s="1"/>
  <c r="I963" i="16"/>
  <c r="L963" i="16" s="1"/>
  <c r="O963" i="16" s="1"/>
  <c r="P963" i="16" s="1"/>
  <c r="I961" i="16"/>
  <c r="L961" i="16" s="1"/>
  <c r="O961" i="16" s="1"/>
  <c r="I960" i="16"/>
  <c r="L960" i="16" s="1"/>
  <c r="I959" i="16"/>
  <c r="L959" i="16" s="1"/>
  <c r="O959" i="16" s="1"/>
  <c r="P959" i="16" s="1"/>
  <c r="I958" i="16"/>
  <c r="L958" i="16" s="1"/>
  <c r="O958" i="16" s="1"/>
  <c r="P958" i="16" s="1"/>
  <c r="I957" i="16"/>
  <c r="K956" i="16"/>
  <c r="N956" i="16" s="1"/>
  <c r="J956" i="16"/>
  <c r="H956" i="16"/>
  <c r="G956" i="16"/>
  <c r="F956" i="16"/>
  <c r="E956" i="16"/>
  <c r="E955" i="16"/>
  <c r="I955" i="16" s="1"/>
  <c r="L955" i="16" s="1"/>
  <c r="O955" i="16" s="1"/>
  <c r="P955" i="16" s="1"/>
  <c r="E954" i="16"/>
  <c r="I954" i="16" s="1"/>
  <c r="K953" i="16"/>
  <c r="N953" i="16" s="1"/>
  <c r="J953" i="16"/>
  <c r="H953" i="16"/>
  <c r="G953" i="16"/>
  <c r="F953" i="16"/>
  <c r="E952" i="16"/>
  <c r="E951" i="16" s="1"/>
  <c r="K951" i="16"/>
  <c r="N951" i="16" s="1"/>
  <c r="J951" i="16"/>
  <c r="H951" i="16"/>
  <c r="G951" i="16"/>
  <c r="F951" i="16"/>
  <c r="I950" i="16"/>
  <c r="L950" i="16" s="1"/>
  <c r="O950" i="16" s="1"/>
  <c r="P950" i="16" s="1"/>
  <c r="I949" i="16"/>
  <c r="K948" i="16"/>
  <c r="N948" i="16" s="1"/>
  <c r="J948" i="16"/>
  <c r="H948" i="16"/>
  <c r="G948" i="16"/>
  <c r="F948" i="16"/>
  <c r="E948" i="16"/>
  <c r="E947" i="16"/>
  <c r="E945" i="16" s="1"/>
  <c r="I946" i="16"/>
  <c r="K945" i="16"/>
  <c r="N945" i="16" s="1"/>
  <c r="J945" i="16"/>
  <c r="H945" i="16"/>
  <c r="G945" i="16"/>
  <c r="F945" i="16"/>
  <c r="I944" i="16"/>
  <c r="L944" i="16" s="1"/>
  <c r="O944" i="16" s="1"/>
  <c r="P944" i="16" s="1"/>
  <c r="I943" i="16"/>
  <c r="L943" i="16" s="1"/>
  <c r="O943" i="16" s="1"/>
  <c r="K942" i="16"/>
  <c r="N942" i="16" s="1"/>
  <c r="J942" i="16"/>
  <c r="H942" i="16"/>
  <c r="G942" i="16"/>
  <c r="F942" i="16"/>
  <c r="E942" i="16"/>
  <c r="E941" i="16"/>
  <c r="I941" i="16" s="1"/>
  <c r="L941" i="16" s="1"/>
  <c r="O941" i="16" s="1"/>
  <c r="K940" i="16"/>
  <c r="N940" i="16" s="1"/>
  <c r="J940" i="16"/>
  <c r="H940" i="16"/>
  <c r="G940" i="16"/>
  <c r="F940" i="16"/>
  <c r="I939" i="16"/>
  <c r="L939" i="16" s="1"/>
  <c r="O939" i="16" s="1"/>
  <c r="P939" i="16" s="1"/>
  <c r="E938" i="16"/>
  <c r="E936" i="16" s="1"/>
  <c r="I937" i="16"/>
  <c r="K936" i="16"/>
  <c r="N936" i="16" s="1"/>
  <c r="J936" i="16"/>
  <c r="H936" i="16"/>
  <c r="G936" i="16"/>
  <c r="F936" i="16"/>
  <c r="I935" i="16"/>
  <c r="L935" i="16" s="1"/>
  <c r="O935" i="16" s="1"/>
  <c r="P935" i="16" s="1"/>
  <c r="I934" i="16"/>
  <c r="L934" i="16" s="1"/>
  <c r="E933" i="16"/>
  <c r="I933" i="16" s="1"/>
  <c r="L933" i="16" s="1"/>
  <c r="O933" i="16" s="1"/>
  <c r="P933" i="16" s="1"/>
  <c r="E932" i="16"/>
  <c r="I932" i="16" s="1"/>
  <c r="L932" i="16" s="1"/>
  <c r="O932" i="16" s="1"/>
  <c r="P932" i="16" s="1"/>
  <c r="E931" i="16"/>
  <c r="I931" i="16" s="1"/>
  <c r="L931" i="16" s="1"/>
  <c r="O931" i="16" s="1"/>
  <c r="P931" i="16" s="1"/>
  <c r="E930" i="16"/>
  <c r="I930" i="16" s="1"/>
  <c r="L930" i="16" s="1"/>
  <c r="O930" i="16" s="1"/>
  <c r="P930" i="16" s="1"/>
  <c r="I929" i="16"/>
  <c r="L929" i="16" s="1"/>
  <c r="O929" i="16" s="1"/>
  <c r="P929" i="16" s="1"/>
  <c r="E928" i="16"/>
  <c r="I928" i="16" s="1"/>
  <c r="I927" i="16"/>
  <c r="L927" i="16" s="1"/>
  <c r="O927" i="16" s="1"/>
  <c r="P927" i="16" s="1"/>
  <c r="K926" i="16"/>
  <c r="N926" i="16" s="1"/>
  <c r="J926" i="16"/>
  <c r="H926" i="16"/>
  <c r="G926" i="16"/>
  <c r="F926" i="16"/>
  <c r="E925" i="16"/>
  <c r="I925" i="16" s="1"/>
  <c r="K924" i="16"/>
  <c r="N924" i="16" s="1"/>
  <c r="J924" i="16"/>
  <c r="H924" i="16"/>
  <c r="G924" i="16"/>
  <c r="F924" i="16"/>
  <c r="I923" i="16"/>
  <c r="L923" i="16" s="1"/>
  <c r="O923" i="16" s="1"/>
  <c r="P923" i="16" s="1"/>
  <c r="I922" i="16"/>
  <c r="L922" i="16" s="1"/>
  <c r="O922" i="16" s="1"/>
  <c r="P922" i="16" s="1"/>
  <c r="E921" i="16"/>
  <c r="I921" i="16" s="1"/>
  <c r="L921" i="16" s="1"/>
  <c r="O921" i="16" s="1"/>
  <c r="P921" i="16" s="1"/>
  <c r="E920" i="16"/>
  <c r="I920" i="16" s="1"/>
  <c r="K919" i="16"/>
  <c r="N919" i="16" s="1"/>
  <c r="J919" i="16"/>
  <c r="H919" i="16"/>
  <c r="G919" i="16"/>
  <c r="F919" i="16"/>
  <c r="I918" i="16"/>
  <c r="L918" i="16" s="1"/>
  <c r="O918" i="16" s="1"/>
  <c r="P918" i="16" s="1"/>
  <c r="I917" i="16"/>
  <c r="K916" i="16"/>
  <c r="N916" i="16" s="1"/>
  <c r="J916" i="16"/>
  <c r="H916" i="16"/>
  <c r="G916" i="16"/>
  <c r="F916" i="16"/>
  <c r="E916" i="16"/>
  <c r="E915" i="16"/>
  <c r="I915" i="16" s="1"/>
  <c r="L915" i="16" s="1"/>
  <c r="O915" i="16" s="1"/>
  <c r="P915" i="16" s="1"/>
  <c r="E914" i="16"/>
  <c r="K913" i="16"/>
  <c r="N913" i="16" s="1"/>
  <c r="J913" i="16"/>
  <c r="H913" i="16"/>
  <c r="G913" i="16"/>
  <c r="F913" i="16"/>
  <c r="I912" i="16"/>
  <c r="I911" i="16" s="1"/>
  <c r="K911" i="16"/>
  <c r="N911" i="16" s="1"/>
  <c r="J911" i="16"/>
  <c r="H911" i="16"/>
  <c r="G911" i="16"/>
  <c r="F911" i="16"/>
  <c r="E911" i="16"/>
  <c r="I910" i="16"/>
  <c r="L910" i="16" s="1"/>
  <c r="O910" i="16" s="1"/>
  <c r="P910" i="16" s="1"/>
  <c r="I909" i="16"/>
  <c r="L909" i="16" s="1"/>
  <c r="O909" i="16" s="1"/>
  <c r="P909" i="16" s="1"/>
  <c r="I908" i="16"/>
  <c r="L908" i="16" s="1"/>
  <c r="O908" i="16" s="1"/>
  <c r="P908" i="16" s="1"/>
  <c r="L905" i="16"/>
  <c r="P904" i="16"/>
  <c r="O904" i="16"/>
  <c r="E904" i="16"/>
  <c r="I904" i="16" s="1"/>
  <c r="I903" i="16"/>
  <c r="L903" i="16" s="1"/>
  <c r="O903" i="16" s="1"/>
  <c r="P903" i="16" s="1"/>
  <c r="E902" i="16"/>
  <c r="I902" i="16" s="1"/>
  <c r="L902" i="16" s="1"/>
  <c r="O902" i="16" s="1"/>
  <c r="P902" i="16" s="1"/>
  <c r="E901" i="16"/>
  <c r="K900" i="16"/>
  <c r="N900" i="16" s="1"/>
  <c r="J900" i="16"/>
  <c r="H900" i="16"/>
  <c r="G900" i="16"/>
  <c r="F900" i="16"/>
  <c r="I899" i="16"/>
  <c r="L899" i="16" s="1"/>
  <c r="O899" i="16" s="1"/>
  <c r="P899" i="16" s="1"/>
  <c r="E898" i="16"/>
  <c r="I898" i="16" s="1"/>
  <c r="L898" i="16" s="1"/>
  <c r="O898" i="16" s="1"/>
  <c r="P898" i="16" s="1"/>
  <c r="E897" i="16"/>
  <c r="I897" i="16" s="1"/>
  <c r="K896" i="16"/>
  <c r="N896" i="16" s="1"/>
  <c r="J896" i="16"/>
  <c r="H896" i="16"/>
  <c r="G896" i="16"/>
  <c r="F896" i="16"/>
  <c r="I895" i="16"/>
  <c r="L895" i="16" s="1"/>
  <c r="O895" i="16" s="1"/>
  <c r="P895" i="16" s="1"/>
  <c r="E894" i="16"/>
  <c r="E893" i="16" s="1"/>
  <c r="K893" i="16"/>
  <c r="N893" i="16" s="1"/>
  <c r="J893" i="16"/>
  <c r="H893" i="16"/>
  <c r="G893" i="16"/>
  <c r="F893" i="16"/>
  <c r="K892" i="16"/>
  <c r="N892" i="16" s="1"/>
  <c r="I892" i="16"/>
  <c r="K891" i="16"/>
  <c r="N891" i="16" s="1"/>
  <c r="I891" i="16"/>
  <c r="J890" i="16"/>
  <c r="H890" i="16"/>
  <c r="G890" i="16"/>
  <c r="F890" i="16"/>
  <c r="E890" i="16"/>
  <c r="I889" i="16"/>
  <c r="L889" i="16" s="1"/>
  <c r="O889" i="16" s="1"/>
  <c r="P889" i="16" s="1"/>
  <c r="I888" i="16"/>
  <c r="L888" i="16" s="1"/>
  <c r="O888" i="16" s="1"/>
  <c r="P888" i="16" s="1"/>
  <c r="I887" i="16"/>
  <c r="K886" i="16"/>
  <c r="N886" i="16" s="1"/>
  <c r="J886" i="16"/>
  <c r="H886" i="16"/>
  <c r="G886" i="16"/>
  <c r="F886" i="16"/>
  <c r="E886" i="16"/>
  <c r="I885" i="16"/>
  <c r="L885" i="16" s="1"/>
  <c r="O885" i="16" s="1"/>
  <c r="K884" i="16"/>
  <c r="N884" i="16" s="1"/>
  <c r="J884" i="16"/>
  <c r="H884" i="16"/>
  <c r="G884" i="16"/>
  <c r="F884" i="16"/>
  <c r="E884" i="16"/>
  <c r="E883" i="16"/>
  <c r="I882" i="16"/>
  <c r="L882" i="16" s="1"/>
  <c r="O882" i="16" s="1"/>
  <c r="P882" i="16" s="1"/>
  <c r="E881" i="16"/>
  <c r="I881" i="16" s="1"/>
  <c r="K880" i="16"/>
  <c r="N880" i="16" s="1"/>
  <c r="J880" i="16"/>
  <c r="H880" i="16"/>
  <c r="G880" i="16"/>
  <c r="F880" i="16"/>
  <c r="I879" i="16"/>
  <c r="L879" i="16" s="1"/>
  <c r="O879" i="16" s="1"/>
  <c r="P879" i="16" s="1"/>
  <c r="K878" i="16"/>
  <c r="I878" i="16"/>
  <c r="I877" i="16"/>
  <c r="L877" i="16" s="1"/>
  <c r="O877" i="16" s="1"/>
  <c r="P877" i="16" s="1"/>
  <c r="I876" i="16"/>
  <c r="L876" i="16" s="1"/>
  <c r="O876" i="16" s="1"/>
  <c r="P876" i="16" s="1"/>
  <c r="I875" i="16"/>
  <c r="L875" i="16" s="1"/>
  <c r="O875" i="16" s="1"/>
  <c r="P875" i="16" s="1"/>
  <c r="I874" i="16"/>
  <c r="L874" i="16" s="1"/>
  <c r="O874" i="16" s="1"/>
  <c r="P874" i="16" s="1"/>
  <c r="I873" i="16"/>
  <c r="J872" i="16"/>
  <c r="H872" i="16"/>
  <c r="G872" i="16"/>
  <c r="F872" i="16"/>
  <c r="E872" i="16"/>
  <c r="E871" i="16"/>
  <c r="E867" i="16" s="1"/>
  <c r="I870" i="16"/>
  <c r="L870" i="16" s="1"/>
  <c r="O870" i="16" s="1"/>
  <c r="P870" i="16" s="1"/>
  <c r="I869" i="16"/>
  <c r="L869" i="16" s="1"/>
  <c r="O869" i="16" s="1"/>
  <c r="P869" i="16" s="1"/>
  <c r="I868" i="16"/>
  <c r="L868" i="16" s="1"/>
  <c r="O868" i="16" s="1"/>
  <c r="K867" i="16"/>
  <c r="N867" i="16" s="1"/>
  <c r="J867" i="16"/>
  <c r="H867" i="16"/>
  <c r="G867" i="16"/>
  <c r="F867" i="16"/>
  <c r="I866" i="16"/>
  <c r="L866" i="16" s="1"/>
  <c r="O866" i="16" s="1"/>
  <c r="P866" i="16" s="1"/>
  <c r="I865" i="16"/>
  <c r="L865" i="16" s="1"/>
  <c r="O865" i="16" s="1"/>
  <c r="P865" i="16" s="1"/>
  <c r="I864" i="16"/>
  <c r="K863" i="16"/>
  <c r="N863" i="16" s="1"/>
  <c r="J863" i="16"/>
  <c r="H863" i="16"/>
  <c r="G863" i="16"/>
  <c r="F863" i="16"/>
  <c r="E863" i="16"/>
  <c r="I862" i="16"/>
  <c r="L862" i="16" s="1"/>
  <c r="O862" i="16" s="1"/>
  <c r="P862" i="16" s="1"/>
  <c r="E861" i="16"/>
  <c r="E860" i="16"/>
  <c r="I860" i="16" s="1"/>
  <c r="I859" i="16"/>
  <c r="L859" i="16" s="1"/>
  <c r="O859" i="16" s="1"/>
  <c r="K858" i="16"/>
  <c r="N858" i="16" s="1"/>
  <c r="J858" i="16"/>
  <c r="H858" i="16"/>
  <c r="G858" i="16"/>
  <c r="F858" i="16"/>
  <c r="I857" i="16"/>
  <c r="L857" i="16" s="1"/>
  <c r="O857" i="16" s="1"/>
  <c r="P857" i="16" s="1"/>
  <c r="I856" i="16"/>
  <c r="K855" i="16"/>
  <c r="N855" i="16" s="1"/>
  <c r="J855" i="16"/>
  <c r="H855" i="16"/>
  <c r="G855" i="16"/>
  <c r="F855" i="16"/>
  <c r="E855" i="16"/>
  <c r="E854" i="16"/>
  <c r="I854" i="16" s="1"/>
  <c r="L854" i="16" s="1"/>
  <c r="O854" i="16" s="1"/>
  <c r="P854" i="16" s="1"/>
  <c r="E853" i="16"/>
  <c r="I853" i="16" s="1"/>
  <c r="L853" i="16" s="1"/>
  <c r="O853" i="16" s="1"/>
  <c r="P853" i="16" s="1"/>
  <c r="E852" i="16"/>
  <c r="K851" i="16"/>
  <c r="N851" i="16" s="1"/>
  <c r="J851" i="16"/>
  <c r="H851" i="16"/>
  <c r="G851" i="16"/>
  <c r="F851" i="16"/>
  <c r="I850" i="16"/>
  <c r="K849" i="16"/>
  <c r="N849" i="16" s="1"/>
  <c r="J849" i="16"/>
  <c r="H849" i="16"/>
  <c r="G849" i="16"/>
  <c r="F849" i="16"/>
  <c r="E849" i="16"/>
  <c r="I848" i="16"/>
  <c r="L848" i="16" s="1"/>
  <c r="O848" i="16" s="1"/>
  <c r="P848" i="16" s="1"/>
  <c r="L847" i="16"/>
  <c r="J846" i="16"/>
  <c r="I846" i="16"/>
  <c r="K846" i="16" s="1"/>
  <c r="N846" i="16" s="1"/>
  <c r="I845" i="16"/>
  <c r="I844" i="16"/>
  <c r="I837" i="16"/>
  <c r="L837" i="16" s="1"/>
  <c r="C356" i="19" s="1"/>
  <c r="D356" i="19" s="1"/>
  <c r="E356" i="19" s="1"/>
  <c r="I835" i="16"/>
  <c r="L835" i="16" s="1"/>
  <c r="O835" i="16" s="1"/>
  <c r="P835" i="16" s="1"/>
  <c r="I834" i="16"/>
  <c r="L834" i="16" s="1"/>
  <c r="O834" i="16" s="1"/>
  <c r="K833" i="16"/>
  <c r="N833" i="16" s="1"/>
  <c r="J833" i="16"/>
  <c r="H833" i="16"/>
  <c r="G833" i="16"/>
  <c r="F833" i="16"/>
  <c r="E833" i="16"/>
  <c r="I832" i="16"/>
  <c r="L832" i="16" s="1"/>
  <c r="O832" i="16" s="1"/>
  <c r="P832" i="16" s="1"/>
  <c r="I831" i="16"/>
  <c r="L831" i="16" s="1"/>
  <c r="O831" i="16" s="1"/>
  <c r="P831" i="16" s="1"/>
  <c r="K830" i="16"/>
  <c r="N830" i="16" s="1"/>
  <c r="J830" i="16"/>
  <c r="E830" i="16"/>
  <c r="I830" i="16" s="1"/>
  <c r="I829" i="16"/>
  <c r="L829" i="16" s="1"/>
  <c r="O829" i="16" s="1"/>
  <c r="P829" i="16" s="1"/>
  <c r="I828" i="16"/>
  <c r="K827" i="16"/>
  <c r="N827" i="16" s="1"/>
  <c r="J827" i="16"/>
  <c r="H827" i="16"/>
  <c r="G827" i="16"/>
  <c r="F827" i="16"/>
  <c r="E827" i="16"/>
  <c r="I826" i="16"/>
  <c r="L826" i="16" s="1"/>
  <c r="O826" i="16" s="1"/>
  <c r="P826" i="16" s="1"/>
  <c r="I825" i="16"/>
  <c r="K824" i="16"/>
  <c r="N824" i="16" s="1"/>
  <c r="J824" i="16"/>
  <c r="H824" i="16"/>
  <c r="G824" i="16"/>
  <c r="F824" i="16"/>
  <c r="E824" i="16"/>
  <c r="I823" i="16"/>
  <c r="L823" i="16" s="1"/>
  <c r="I822" i="16"/>
  <c r="K821" i="16"/>
  <c r="N821" i="16" s="1"/>
  <c r="J821" i="16"/>
  <c r="H821" i="16"/>
  <c r="G821" i="16"/>
  <c r="F821" i="16"/>
  <c r="E821" i="16"/>
  <c r="I820" i="16"/>
  <c r="L820" i="16" s="1"/>
  <c r="O820" i="16" s="1"/>
  <c r="P820" i="16" s="1"/>
  <c r="I819" i="16"/>
  <c r="L819" i="16" s="1"/>
  <c r="O819" i="16" s="1"/>
  <c r="P819" i="16" s="1"/>
  <c r="I818" i="16"/>
  <c r="K817" i="16"/>
  <c r="N817" i="16" s="1"/>
  <c r="J817" i="16"/>
  <c r="H817" i="16"/>
  <c r="G817" i="16"/>
  <c r="F817" i="16"/>
  <c r="E817" i="16"/>
  <c r="I816" i="16"/>
  <c r="I815" i="16" s="1"/>
  <c r="K815" i="16"/>
  <c r="N815" i="16" s="1"/>
  <c r="J815" i="16"/>
  <c r="H815" i="16"/>
  <c r="G815" i="16"/>
  <c r="F815" i="16"/>
  <c r="E815" i="16"/>
  <c r="I814" i="16"/>
  <c r="L814" i="16" s="1"/>
  <c r="O814" i="16" s="1"/>
  <c r="P814" i="16" s="1"/>
  <c r="I813" i="16"/>
  <c r="L813" i="16" s="1"/>
  <c r="O813" i="16" s="1"/>
  <c r="P813" i="16" s="1"/>
  <c r="I812" i="16"/>
  <c r="L812" i="16" s="1"/>
  <c r="O812" i="16" s="1"/>
  <c r="P812" i="16" s="1"/>
  <c r="I811" i="16"/>
  <c r="K810" i="16"/>
  <c r="N810" i="16" s="1"/>
  <c r="J810" i="16"/>
  <c r="H810" i="16"/>
  <c r="G810" i="16"/>
  <c r="F810" i="16"/>
  <c r="E810" i="16"/>
  <c r="I809" i="16"/>
  <c r="L809" i="16" s="1"/>
  <c r="O809" i="16" s="1"/>
  <c r="P809" i="16" s="1"/>
  <c r="I808" i="16"/>
  <c r="L808" i="16" s="1"/>
  <c r="O808" i="16" s="1"/>
  <c r="P808" i="16" s="1"/>
  <c r="I807" i="16"/>
  <c r="L807" i="16" s="1"/>
  <c r="O807" i="16" s="1"/>
  <c r="P807" i="16" s="1"/>
  <c r="I806" i="16"/>
  <c r="L806" i="16" s="1"/>
  <c r="O806" i="16" s="1"/>
  <c r="P806" i="16" s="1"/>
  <c r="I805" i="16"/>
  <c r="L805" i="16" s="1"/>
  <c r="O805" i="16" s="1"/>
  <c r="P805" i="16" s="1"/>
  <c r="I804" i="16"/>
  <c r="L804" i="16" s="1"/>
  <c r="O804" i="16" s="1"/>
  <c r="P804" i="16" s="1"/>
  <c r="K803" i="16"/>
  <c r="N803" i="16" s="1"/>
  <c r="J803" i="16"/>
  <c r="H803" i="16"/>
  <c r="G803" i="16"/>
  <c r="F803" i="16"/>
  <c r="E803" i="16"/>
  <c r="E802" i="16"/>
  <c r="I802" i="16" s="1"/>
  <c r="L802" i="16" s="1"/>
  <c r="O802" i="16" s="1"/>
  <c r="P802" i="16" s="1"/>
  <c r="I801" i="16"/>
  <c r="L801" i="16" s="1"/>
  <c r="O801" i="16" s="1"/>
  <c r="P801" i="16" s="1"/>
  <c r="I800" i="16"/>
  <c r="L800" i="16" s="1"/>
  <c r="O800" i="16" s="1"/>
  <c r="K799" i="16"/>
  <c r="N799" i="16" s="1"/>
  <c r="J799" i="16"/>
  <c r="H799" i="16"/>
  <c r="G799" i="16"/>
  <c r="F799" i="16"/>
  <c r="I798" i="16"/>
  <c r="L798" i="16" s="1"/>
  <c r="O798" i="16" s="1"/>
  <c r="P798" i="16" s="1"/>
  <c r="E797" i="16"/>
  <c r="E794" i="16" s="1"/>
  <c r="I796" i="16"/>
  <c r="L796" i="16" s="1"/>
  <c r="O796" i="16" s="1"/>
  <c r="P796" i="16" s="1"/>
  <c r="I795" i="16"/>
  <c r="L795" i="16" s="1"/>
  <c r="O795" i="16" s="1"/>
  <c r="P795" i="16" s="1"/>
  <c r="K794" i="16"/>
  <c r="N794" i="16" s="1"/>
  <c r="J794" i="16"/>
  <c r="H794" i="16"/>
  <c r="G794" i="16"/>
  <c r="F794" i="16"/>
  <c r="I793" i="16"/>
  <c r="L793" i="16" s="1"/>
  <c r="O793" i="16" s="1"/>
  <c r="P793" i="16" s="1"/>
  <c r="I792" i="16"/>
  <c r="K791" i="16"/>
  <c r="N791" i="16" s="1"/>
  <c r="J791" i="16"/>
  <c r="H791" i="16"/>
  <c r="G791" i="16"/>
  <c r="F791" i="16"/>
  <c r="E791" i="16"/>
  <c r="I790" i="16"/>
  <c r="L790" i="16" s="1"/>
  <c r="O790" i="16" s="1"/>
  <c r="P790" i="16" s="1"/>
  <c r="I789" i="16"/>
  <c r="L789" i="16" s="1"/>
  <c r="O789" i="16" s="1"/>
  <c r="K788" i="16"/>
  <c r="N788" i="16" s="1"/>
  <c r="J788" i="16"/>
  <c r="H788" i="16"/>
  <c r="G788" i="16"/>
  <c r="F788" i="16"/>
  <c r="E788" i="16"/>
  <c r="I787" i="16"/>
  <c r="L787" i="16" s="1"/>
  <c r="I786" i="16"/>
  <c r="L786" i="16" s="1"/>
  <c r="O786" i="16" s="1"/>
  <c r="P786" i="16" s="1"/>
  <c r="I785" i="16"/>
  <c r="L785" i="16" s="1"/>
  <c r="O785" i="16" s="1"/>
  <c r="P785" i="16" s="1"/>
  <c r="I782" i="16"/>
  <c r="I781" i="16" s="1"/>
  <c r="K781" i="16"/>
  <c r="N781" i="16" s="1"/>
  <c r="J781" i="16"/>
  <c r="H781" i="16"/>
  <c r="G781" i="16"/>
  <c r="F781" i="16"/>
  <c r="E781" i="16"/>
  <c r="I780" i="16"/>
  <c r="L780" i="16" s="1"/>
  <c r="I779" i="16"/>
  <c r="L779" i="16" s="1"/>
  <c r="J778" i="16"/>
  <c r="J776" i="16" s="1"/>
  <c r="H778" i="16"/>
  <c r="H776" i="16" s="1"/>
  <c r="E778" i="16"/>
  <c r="E776" i="16" s="1"/>
  <c r="I777" i="16"/>
  <c r="L777" i="16" s="1"/>
  <c r="O777" i="16" s="1"/>
  <c r="K776" i="16"/>
  <c r="N776" i="16" s="1"/>
  <c r="G776" i="16"/>
  <c r="F776" i="16"/>
  <c r="I775" i="16"/>
  <c r="L775" i="16" s="1"/>
  <c r="O775" i="16" s="1"/>
  <c r="P775" i="16" s="1"/>
  <c r="I774" i="16"/>
  <c r="L774" i="16" s="1"/>
  <c r="O774" i="16" s="1"/>
  <c r="P774" i="16" s="1"/>
  <c r="E772" i="16"/>
  <c r="E771" i="16" s="1"/>
  <c r="K771" i="16"/>
  <c r="N771" i="16" s="1"/>
  <c r="J771" i="16"/>
  <c r="H771" i="16"/>
  <c r="G771" i="16"/>
  <c r="F771" i="16"/>
  <c r="I770" i="16"/>
  <c r="L770" i="16" s="1"/>
  <c r="O770" i="16" s="1"/>
  <c r="P770" i="16" s="1"/>
  <c r="H769" i="16"/>
  <c r="K768" i="16"/>
  <c r="N768" i="16" s="1"/>
  <c r="J768" i="16"/>
  <c r="G768" i="16"/>
  <c r="F768" i="16"/>
  <c r="E768" i="16"/>
  <c r="I767" i="16"/>
  <c r="L767" i="16" s="1"/>
  <c r="O767" i="16" s="1"/>
  <c r="P767" i="16" s="1"/>
  <c r="I766" i="16"/>
  <c r="L766" i="16" s="1"/>
  <c r="O766" i="16" s="1"/>
  <c r="K765" i="16"/>
  <c r="N765" i="16" s="1"/>
  <c r="J765" i="16"/>
  <c r="H765" i="16"/>
  <c r="G765" i="16"/>
  <c r="F765" i="16"/>
  <c r="E765" i="16"/>
  <c r="I764" i="16"/>
  <c r="L764" i="16" s="1"/>
  <c r="O764" i="16" s="1"/>
  <c r="K763" i="16"/>
  <c r="N763" i="16" s="1"/>
  <c r="J763" i="16"/>
  <c r="H763" i="16"/>
  <c r="G763" i="16"/>
  <c r="F763" i="16"/>
  <c r="E763" i="16"/>
  <c r="I762" i="16"/>
  <c r="L762" i="16" s="1"/>
  <c r="O762" i="16" s="1"/>
  <c r="P762" i="16" s="1"/>
  <c r="I761" i="16"/>
  <c r="I760" i="16" s="1"/>
  <c r="K760" i="16"/>
  <c r="N760" i="16" s="1"/>
  <c r="J760" i="16"/>
  <c r="H760" i="16"/>
  <c r="G760" i="16"/>
  <c r="F760" i="16"/>
  <c r="E760" i="16"/>
  <c r="I759" i="16"/>
  <c r="L759" i="16" s="1"/>
  <c r="O759" i="16" s="1"/>
  <c r="P759" i="16" s="1"/>
  <c r="I758" i="16"/>
  <c r="L758" i="16" s="1"/>
  <c r="O758" i="16" s="1"/>
  <c r="K757" i="16"/>
  <c r="N757" i="16" s="1"/>
  <c r="J757" i="16"/>
  <c r="H757" i="16"/>
  <c r="G757" i="16"/>
  <c r="F757" i="16"/>
  <c r="E757" i="16"/>
  <c r="I756" i="16"/>
  <c r="I755" i="16" s="1"/>
  <c r="K755" i="16"/>
  <c r="N755" i="16" s="1"/>
  <c r="J755" i="16"/>
  <c r="H755" i="16"/>
  <c r="G755" i="16"/>
  <c r="F755" i="16"/>
  <c r="E755" i="16"/>
  <c r="H754" i="16"/>
  <c r="H753" i="16" s="1"/>
  <c r="K753" i="16"/>
  <c r="N753" i="16" s="1"/>
  <c r="J753" i="16"/>
  <c r="G753" i="16"/>
  <c r="F753" i="16"/>
  <c r="E753" i="16"/>
  <c r="I752" i="16"/>
  <c r="L752" i="16" s="1"/>
  <c r="O752" i="16" s="1"/>
  <c r="P752" i="16" s="1"/>
  <c r="I751" i="16"/>
  <c r="L751" i="16" s="1"/>
  <c r="O751" i="16" s="1"/>
  <c r="P751" i="16" s="1"/>
  <c r="I750" i="16"/>
  <c r="L750" i="16" s="1"/>
  <c r="O750" i="16" s="1"/>
  <c r="P750" i="16" s="1"/>
  <c r="K749" i="16"/>
  <c r="N749" i="16" s="1"/>
  <c r="J749" i="16"/>
  <c r="H749" i="16"/>
  <c r="G749" i="16"/>
  <c r="F749" i="16"/>
  <c r="E749" i="16"/>
  <c r="I748" i="16"/>
  <c r="L748" i="16" s="1"/>
  <c r="O748" i="16" s="1"/>
  <c r="P748" i="16" s="1"/>
  <c r="I747" i="16"/>
  <c r="L747" i="16" s="1"/>
  <c r="O747" i="16" s="1"/>
  <c r="P747" i="16" s="1"/>
  <c r="I746" i="16"/>
  <c r="K745" i="16"/>
  <c r="N745" i="16" s="1"/>
  <c r="J745" i="16"/>
  <c r="H745" i="16"/>
  <c r="G745" i="16"/>
  <c r="F745" i="16"/>
  <c r="E745" i="16"/>
  <c r="I744" i="16"/>
  <c r="L744" i="16" s="1"/>
  <c r="O744" i="16" s="1"/>
  <c r="P744" i="16" s="1"/>
  <c r="I743" i="16"/>
  <c r="L743" i="16" s="1"/>
  <c r="O743" i="16" s="1"/>
  <c r="K742" i="16"/>
  <c r="N742" i="16" s="1"/>
  <c r="J742" i="16"/>
  <c r="H742" i="16"/>
  <c r="G742" i="16"/>
  <c r="F742" i="16"/>
  <c r="E742" i="16"/>
  <c r="I741" i="16"/>
  <c r="L741" i="16" s="1"/>
  <c r="O741" i="16" s="1"/>
  <c r="P741" i="16" s="1"/>
  <c r="I740" i="16"/>
  <c r="L740" i="16" s="1"/>
  <c r="O740" i="16" s="1"/>
  <c r="P740" i="16" s="1"/>
  <c r="I739" i="16"/>
  <c r="L739" i="16" s="1"/>
  <c r="O739" i="16" s="1"/>
  <c r="P739" i="16" s="1"/>
  <c r="I738" i="16"/>
  <c r="K737" i="16"/>
  <c r="N737" i="16" s="1"/>
  <c r="J737" i="16"/>
  <c r="H737" i="16"/>
  <c r="G737" i="16"/>
  <c r="F737" i="16"/>
  <c r="E737" i="16"/>
  <c r="I736" i="16"/>
  <c r="L736" i="16" s="1"/>
  <c r="O736" i="16" s="1"/>
  <c r="P736" i="16" s="1"/>
  <c r="I735" i="16"/>
  <c r="L735" i="16" s="1"/>
  <c r="O735" i="16" s="1"/>
  <c r="P735" i="16" s="1"/>
  <c r="I734" i="16"/>
  <c r="L734" i="16" s="1"/>
  <c r="O734" i="16" s="1"/>
  <c r="P734" i="16" s="1"/>
  <c r="I733" i="16"/>
  <c r="L733" i="16" s="1"/>
  <c r="O733" i="16" s="1"/>
  <c r="P733" i="16" s="1"/>
  <c r="I732" i="16"/>
  <c r="L732" i="16" s="1"/>
  <c r="O732" i="16" s="1"/>
  <c r="P732" i="16" s="1"/>
  <c r="I731" i="16"/>
  <c r="L731" i="16" s="1"/>
  <c r="O731" i="16" s="1"/>
  <c r="P731" i="16" s="1"/>
  <c r="K730" i="16"/>
  <c r="N730" i="16" s="1"/>
  <c r="J730" i="16"/>
  <c r="H730" i="16"/>
  <c r="G730" i="16"/>
  <c r="F730" i="16"/>
  <c r="E730" i="16"/>
  <c r="I729" i="16"/>
  <c r="I728" i="16" s="1"/>
  <c r="K728" i="16"/>
  <c r="N728" i="16" s="1"/>
  <c r="J728" i="16"/>
  <c r="H728" i="16"/>
  <c r="G728" i="16"/>
  <c r="F728" i="16"/>
  <c r="E728" i="16"/>
  <c r="I727" i="16"/>
  <c r="I726" i="16"/>
  <c r="L726" i="16" s="1"/>
  <c r="O726" i="16" s="1"/>
  <c r="P726" i="16" s="1"/>
  <c r="I725" i="16"/>
  <c r="L725" i="16" s="1"/>
  <c r="O725" i="16" s="1"/>
  <c r="P725" i="16" s="1"/>
  <c r="I724" i="16"/>
  <c r="L724" i="16" s="1"/>
  <c r="O724" i="16" s="1"/>
  <c r="K723" i="16"/>
  <c r="N723" i="16" s="1"/>
  <c r="J723" i="16"/>
  <c r="H723" i="16"/>
  <c r="G723" i="16"/>
  <c r="F723" i="16"/>
  <c r="E723" i="16"/>
  <c r="I722" i="16"/>
  <c r="L722" i="16" s="1"/>
  <c r="O722" i="16" s="1"/>
  <c r="P722" i="16" s="1"/>
  <c r="I721" i="16"/>
  <c r="L721" i="16" s="1"/>
  <c r="O721" i="16" s="1"/>
  <c r="P721" i="16" s="1"/>
  <c r="I720" i="16"/>
  <c r="L720" i="16" s="1"/>
  <c r="O720" i="16" s="1"/>
  <c r="P720" i="16" s="1"/>
  <c r="I719" i="16"/>
  <c r="L719" i="16" s="1"/>
  <c r="O719" i="16" s="1"/>
  <c r="K718" i="16"/>
  <c r="N718" i="16" s="1"/>
  <c r="J718" i="16"/>
  <c r="H718" i="16"/>
  <c r="G718" i="16"/>
  <c r="F718" i="16"/>
  <c r="E718" i="16"/>
  <c r="I717" i="16"/>
  <c r="L717" i="16" s="1"/>
  <c r="O717" i="16" s="1"/>
  <c r="P717" i="16" s="1"/>
  <c r="I716" i="16"/>
  <c r="L716" i="16" s="1"/>
  <c r="O716" i="16" s="1"/>
  <c r="P716" i="16" s="1"/>
  <c r="I715" i="16"/>
  <c r="L715" i="16" s="1"/>
  <c r="O715" i="16" s="1"/>
  <c r="P715" i="16" s="1"/>
  <c r="K714" i="16"/>
  <c r="N714" i="16" s="1"/>
  <c r="J714" i="16"/>
  <c r="H714" i="16"/>
  <c r="G714" i="16"/>
  <c r="F714" i="16"/>
  <c r="E714" i="16"/>
  <c r="I713" i="16"/>
  <c r="L713" i="16" s="1"/>
  <c r="O713" i="16" s="1"/>
  <c r="P713" i="16" s="1"/>
  <c r="I712" i="16"/>
  <c r="L712" i="16" s="1"/>
  <c r="O712" i="16" s="1"/>
  <c r="P712" i="16" s="1"/>
  <c r="K711" i="16"/>
  <c r="N711" i="16" s="1"/>
  <c r="J711" i="16"/>
  <c r="H711" i="16"/>
  <c r="G711" i="16"/>
  <c r="F711" i="16"/>
  <c r="E711" i="16"/>
  <c r="I710" i="16"/>
  <c r="K709" i="16"/>
  <c r="N709" i="16" s="1"/>
  <c r="J709" i="16"/>
  <c r="H709" i="16"/>
  <c r="G709" i="16"/>
  <c r="F709" i="16"/>
  <c r="E709" i="16"/>
  <c r="I708" i="16"/>
  <c r="L708" i="16" s="1"/>
  <c r="O708" i="16" s="1"/>
  <c r="P708" i="16" s="1"/>
  <c r="I707" i="16"/>
  <c r="L707" i="16" s="1"/>
  <c r="O707" i="16" s="1"/>
  <c r="P707" i="16" s="1"/>
  <c r="I706" i="16"/>
  <c r="L706" i="16" s="1"/>
  <c r="O706" i="16" s="1"/>
  <c r="P706" i="16" s="1"/>
  <c r="L705" i="16"/>
  <c r="L703" i="16"/>
  <c r="O703" i="16" s="1"/>
  <c r="P703" i="16" s="1"/>
  <c r="E700" i="16"/>
  <c r="I700" i="16" s="1"/>
  <c r="I699" i="16" s="1"/>
  <c r="L699" i="16" s="1"/>
  <c r="H699" i="16"/>
  <c r="G699" i="16"/>
  <c r="F699" i="16"/>
  <c r="I698" i="16"/>
  <c r="L698" i="16" s="1"/>
  <c r="O698" i="16" s="1"/>
  <c r="P698" i="16" s="1"/>
  <c r="I697" i="16"/>
  <c r="K696" i="16"/>
  <c r="N696" i="16" s="1"/>
  <c r="J696" i="16"/>
  <c r="H696" i="16"/>
  <c r="G696" i="16"/>
  <c r="F696" i="16"/>
  <c r="E696" i="16"/>
  <c r="I695" i="16"/>
  <c r="L695" i="16" s="1"/>
  <c r="O695" i="16" s="1"/>
  <c r="K694" i="16"/>
  <c r="N694" i="16" s="1"/>
  <c r="J694" i="16"/>
  <c r="H694" i="16"/>
  <c r="G694" i="16"/>
  <c r="F694" i="16"/>
  <c r="E694" i="16"/>
  <c r="I693" i="16"/>
  <c r="L693" i="16" s="1"/>
  <c r="E692" i="16"/>
  <c r="E691" i="16" s="1"/>
  <c r="K691" i="16"/>
  <c r="N691" i="16" s="1"/>
  <c r="J691" i="16"/>
  <c r="H691" i="16"/>
  <c r="G691" i="16"/>
  <c r="F691" i="16"/>
  <c r="I690" i="16"/>
  <c r="K689" i="16"/>
  <c r="N689" i="16" s="1"/>
  <c r="J689" i="16"/>
  <c r="H689" i="16"/>
  <c r="G689" i="16"/>
  <c r="F689" i="16"/>
  <c r="E689" i="16"/>
  <c r="I688" i="16"/>
  <c r="L688" i="16" s="1"/>
  <c r="O688" i="16" s="1"/>
  <c r="P688" i="16" s="1"/>
  <c r="I687" i="16"/>
  <c r="L687" i="16" s="1"/>
  <c r="O687" i="16" s="1"/>
  <c r="P687" i="16" s="1"/>
  <c r="I686" i="16"/>
  <c r="L686" i="16" s="1"/>
  <c r="O686" i="16" s="1"/>
  <c r="K685" i="16"/>
  <c r="N685" i="16" s="1"/>
  <c r="J685" i="16"/>
  <c r="H685" i="16"/>
  <c r="G685" i="16"/>
  <c r="F685" i="16"/>
  <c r="E685" i="16"/>
  <c r="I684" i="16"/>
  <c r="L684" i="16" s="1"/>
  <c r="O684" i="16" s="1"/>
  <c r="P684" i="16" s="1"/>
  <c r="I683" i="16"/>
  <c r="L683" i="16" s="1"/>
  <c r="O683" i="16" s="1"/>
  <c r="P683" i="16" s="1"/>
  <c r="I682" i="16"/>
  <c r="K681" i="16"/>
  <c r="N681" i="16" s="1"/>
  <c r="J681" i="16"/>
  <c r="H681" i="16"/>
  <c r="G681" i="16"/>
  <c r="F681" i="16"/>
  <c r="E681" i="16"/>
  <c r="I680" i="16"/>
  <c r="I679" i="16" s="1"/>
  <c r="K679" i="16"/>
  <c r="N679" i="16" s="1"/>
  <c r="J679" i="16"/>
  <c r="H679" i="16"/>
  <c r="G679" i="16"/>
  <c r="F679" i="16"/>
  <c r="E679" i="16"/>
  <c r="I678" i="16"/>
  <c r="L678" i="16" s="1"/>
  <c r="O678" i="16" s="1"/>
  <c r="P678" i="16" s="1"/>
  <c r="I677" i="16"/>
  <c r="L677" i="16" s="1"/>
  <c r="O677" i="16" s="1"/>
  <c r="P677" i="16" s="1"/>
  <c r="I676" i="16"/>
  <c r="L676" i="16" s="1"/>
  <c r="O676" i="16" s="1"/>
  <c r="P676" i="16" s="1"/>
  <c r="K675" i="16"/>
  <c r="N675" i="16" s="1"/>
  <c r="J675" i="16"/>
  <c r="H675" i="16"/>
  <c r="G675" i="16"/>
  <c r="F675" i="16"/>
  <c r="E675" i="16"/>
  <c r="I674" i="16"/>
  <c r="L674" i="16" s="1"/>
  <c r="O674" i="16" s="1"/>
  <c r="P674" i="16" s="1"/>
  <c r="E674" i="16"/>
  <c r="I673" i="16"/>
  <c r="L673" i="16" s="1"/>
  <c r="O673" i="16" s="1"/>
  <c r="P673" i="16" s="1"/>
  <c r="I672" i="16"/>
  <c r="K671" i="16"/>
  <c r="N671" i="16" s="1"/>
  <c r="J671" i="16"/>
  <c r="H671" i="16"/>
  <c r="G671" i="16"/>
  <c r="F671" i="16"/>
  <c r="E671" i="16"/>
  <c r="I670" i="16"/>
  <c r="L670" i="16" s="1"/>
  <c r="O670" i="16" s="1"/>
  <c r="I669" i="16"/>
  <c r="L669" i="16" s="1"/>
  <c r="O669" i="16" s="1"/>
  <c r="P669" i="16" s="1"/>
  <c r="K668" i="16"/>
  <c r="N668" i="16" s="1"/>
  <c r="J668" i="16"/>
  <c r="H668" i="16"/>
  <c r="G668" i="16"/>
  <c r="F668" i="16"/>
  <c r="E668" i="16"/>
  <c r="I667" i="16"/>
  <c r="L667" i="16" s="1"/>
  <c r="O667" i="16" s="1"/>
  <c r="P667" i="16" s="1"/>
  <c r="L666" i="16"/>
  <c r="I663" i="16"/>
  <c r="L663" i="16" s="1"/>
  <c r="O663" i="16" s="1"/>
  <c r="E662" i="16"/>
  <c r="I662" i="16" s="1"/>
  <c r="L662" i="16" s="1"/>
  <c r="I661" i="16"/>
  <c r="L661" i="16" s="1"/>
  <c r="O661" i="16" s="1"/>
  <c r="P661" i="16" s="1"/>
  <c r="I660" i="16"/>
  <c r="L660" i="16" s="1"/>
  <c r="O660" i="16" s="1"/>
  <c r="K659" i="16"/>
  <c r="N659" i="16" s="1"/>
  <c r="J659" i="16"/>
  <c r="H659" i="16"/>
  <c r="G659" i="16"/>
  <c r="F659" i="16"/>
  <c r="E659" i="16"/>
  <c r="I658" i="16"/>
  <c r="L658" i="16" s="1"/>
  <c r="O658" i="16" s="1"/>
  <c r="K657" i="16"/>
  <c r="N657" i="16" s="1"/>
  <c r="J657" i="16"/>
  <c r="H657" i="16"/>
  <c r="G657" i="16"/>
  <c r="F657" i="16"/>
  <c r="E657" i="16"/>
  <c r="I656" i="16"/>
  <c r="L656" i="16" s="1"/>
  <c r="O656" i="16" s="1"/>
  <c r="P656" i="16" s="1"/>
  <c r="E655" i="16"/>
  <c r="E654" i="16" s="1"/>
  <c r="K654" i="16"/>
  <c r="N654" i="16" s="1"/>
  <c r="J654" i="16"/>
  <c r="H654" i="16"/>
  <c r="G654" i="16"/>
  <c r="F654" i="16"/>
  <c r="I653" i="16"/>
  <c r="K652" i="16"/>
  <c r="N652" i="16" s="1"/>
  <c r="H652" i="16"/>
  <c r="G652" i="16"/>
  <c r="F652" i="16"/>
  <c r="E652" i="16"/>
  <c r="I651" i="16"/>
  <c r="K650" i="16"/>
  <c r="N650" i="16" s="1"/>
  <c r="J650" i="16"/>
  <c r="H650" i="16"/>
  <c r="G650" i="16"/>
  <c r="F650" i="16"/>
  <c r="E650" i="16"/>
  <c r="I649" i="16"/>
  <c r="I648" i="16" s="1"/>
  <c r="K648" i="16"/>
  <c r="N648" i="16" s="1"/>
  <c r="J648" i="16"/>
  <c r="H648" i="16"/>
  <c r="G648" i="16"/>
  <c r="F648" i="16"/>
  <c r="E648" i="16"/>
  <c r="I647" i="16"/>
  <c r="L647" i="16" s="1"/>
  <c r="O647" i="16" s="1"/>
  <c r="P647" i="16" s="1"/>
  <c r="I646" i="16"/>
  <c r="L646" i="16" s="1"/>
  <c r="O646" i="16" s="1"/>
  <c r="P646" i="16" s="1"/>
  <c r="I645" i="16"/>
  <c r="L645" i="16" s="1"/>
  <c r="O645" i="16" s="1"/>
  <c r="P645" i="16" s="1"/>
  <c r="K644" i="16"/>
  <c r="N644" i="16" s="1"/>
  <c r="J644" i="16"/>
  <c r="H644" i="16"/>
  <c r="G644" i="16"/>
  <c r="F644" i="16"/>
  <c r="E644" i="16"/>
  <c r="I643" i="16"/>
  <c r="I642" i="16" s="1"/>
  <c r="K642" i="16"/>
  <c r="N642" i="16" s="1"/>
  <c r="J642" i="16"/>
  <c r="H642" i="16"/>
  <c r="G642" i="16"/>
  <c r="F642" i="16"/>
  <c r="E642" i="16"/>
  <c r="I641" i="16"/>
  <c r="L641" i="16" s="1"/>
  <c r="O641" i="16" s="1"/>
  <c r="P641" i="16" s="1"/>
  <c r="I640" i="16"/>
  <c r="L640" i="16" s="1"/>
  <c r="O640" i="16" s="1"/>
  <c r="K639" i="16"/>
  <c r="N639" i="16" s="1"/>
  <c r="J639" i="16"/>
  <c r="H639" i="16"/>
  <c r="G639" i="16"/>
  <c r="F639" i="16"/>
  <c r="E639" i="16"/>
  <c r="I638" i="16"/>
  <c r="L638" i="16" s="1"/>
  <c r="O638" i="16" s="1"/>
  <c r="K637" i="16"/>
  <c r="N637" i="16" s="1"/>
  <c r="J637" i="16"/>
  <c r="H637" i="16"/>
  <c r="G637" i="16"/>
  <c r="F637" i="16"/>
  <c r="E637" i="16"/>
  <c r="I636" i="16"/>
  <c r="L636" i="16" s="1"/>
  <c r="O636" i="16" s="1"/>
  <c r="P636" i="16" s="1"/>
  <c r="I635" i="16"/>
  <c r="L635" i="16" s="1"/>
  <c r="O635" i="16" s="1"/>
  <c r="P635" i="16" s="1"/>
  <c r="I634" i="16"/>
  <c r="K633" i="16"/>
  <c r="N633" i="16" s="1"/>
  <c r="J633" i="16"/>
  <c r="H633" i="16"/>
  <c r="G633" i="16"/>
  <c r="F633" i="16"/>
  <c r="E633" i="16"/>
  <c r="I632" i="16"/>
  <c r="L632" i="16" s="1"/>
  <c r="O632" i="16" s="1"/>
  <c r="P632" i="16" s="1"/>
  <c r="I631" i="16"/>
  <c r="L631" i="16" s="1"/>
  <c r="O631" i="16" s="1"/>
  <c r="P631" i="16" s="1"/>
  <c r="I630" i="16"/>
  <c r="L630" i="16" s="1"/>
  <c r="O630" i="16" s="1"/>
  <c r="K629" i="16"/>
  <c r="N629" i="16" s="1"/>
  <c r="J629" i="16"/>
  <c r="H629" i="16"/>
  <c r="G629" i="16"/>
  <c r="F629" i="16"/>
  <c r="E629" i="16"/>
  <c r="I628" i="16"/>
  <c r="L628" i="16" s="1"/>
  <c r="O628" i="16" s="1"/>
  <c r="P628" i="16" s="1"/>
  <c r="I627" i="16"/>
  <c r="L627" i="16" s="1"/>
  <c r="O627" i="16" s="1"/>
  <c r="K626" i="16"/>
  <c r="N626" i="16" s="1"/>
  <c r="J626" i="16"/>
  <c r="H626" i="16"/>
  <c r="G626" i="16"/>
  <c r="F626" i="16"/>
  <c r="E626" i="16"/>
  <c r="I625" i="16"/>
  <c r="I624" i="16"/>
  <c r="L624" i="16" s="1"/>
  <c r="O624" i="16" s="1"/>
  <c r="K623" i="16"/>
  <c r="N623" i="16" s="1"/>
  <c r="J623" i="16"/>
  <c r="H623" i="16"/>
  <c r="G623" i="16"/>
  <c r="F623" i="16"/>
  <c r="E623" i="16"/>
  <c r="I622" i="16"/>
  <c r="L622" i="16" s="1"/>
  <c r="O622" i="16" s="1"/>
  <c r="P622" i="16" s="1"/>
  <c r="L621" i="16"/>
  <c r="I618" i="16"/>
  <c r="L618" i="16" s="1"/>
  <c r="P617" i="16"/>
  <c r="E30" i="19" s="1"/>
  <c r="E31" i="19" s="1"/>
  <c r="O617" i="16"/>
  <c r="D30" i="19" s="1"/>
  <c r="D31" i="19" s="1"/>
  <c r="H617" i="16"/>
  <c r="G617" i="16"/>
  <c r="F617" i="16"/>
  <c r="E617" i="16"/>
  <c r="I616" i="16"/>
  <c r="L616" i="16" s="1"/>
  <c r="O616" i="16" s="1"/>
  <c r="P616" i="16" s="1"/>
  <c r="I615" i="16"/>
  <c r="L615" i="16" s="1"/>
  <c r="O615" i="16" s="1"/>
  <c r="K614" i="16"/>
  <c r="N614" i="16" s="1"/>
  <c r="J614" i="16"/>
  <c r="H614" i="16"/>
  <c r="G614" i="16"/>
  <c r="F614" i="16"/>
  <c r="E614" i="16"/>
  <c r="I613" i="16"/>
  <c r="K612" i="16"/>
  <c r="N612" i="16" s="1"/>
  <c r="H612" i="16"/>
  <c r="G612" i="16"/>
  <c r="F612" i="16"/>
  <c r="E612" i="16"/>
  <c r="I611" i="16"/>
  <c r="L611" i="16" s="1"/>
  <c r="K610" i="16"/>
  <c r="N610" i="16" s="1"/>
  <c r="J610" i="16"/>
  <c r="H610" i="16"/>
  <c r="G610" i="16"/>
  <c r="F610" i="16"/>
  <c r="E610" i="16"/>
  <c r="I609" i="16"/>
  <c r="L609" i="16" s="1"/>
  <c r="O609" i="16" s="1"/>
  <c r="P609" i="16" s="1"/>
  <c r="I608" i="16"/>
  <c r="L608" i="16" s="1"/>
  <c r="O608" i="16" s="1"/>
  <c r="P608" i="16" s="1"/>
  <c r="I607" i="16"/>
  <c r="K606" i="16"/>
  <c r="N606" i="16" s="1"/>
  <c r="J606" i="16"/>
  <c r="H606" i="16"/>
  <c r="G606" i="16"/>
  <c r="F606" i="16"/>
  <c r="E606" i="16"/>
  <c r="I605" i="16"/>
  <c r="L605" i="16" s="1"/>
  <c r="O605" i="16" s="1"/>
  <c r="K604" i="16"/>
  <c r="N604" i="16" s="1"/>
  <c r="J604" i="16"/>
  <c r="H604" i="16"/>
  <c r="G604" i="16"/>
  <c r="F604" i="16"/>
  <c r="E604" i="16"/>
  <c r="I603" i="16"/>
  <c r="L603" i="16" s="1"/>
  <c r="O603" i="16" s="1"/>
  <c r="P603" i="16" s="1"/>
  <c r="I602" i="16"/>
  <c r="L602" i="16" s="1"/>
  <c r="O602" i="16" s="1"/>
  <c r="K601" i="16"/>
  <c r="N601" i="16" s="1"/>
  <c r="J601" i="16"/>
  <c r="H601" i="16"/>
  <c r="G601" i="16"/>
  <c r="F601" i="16"/>
  <c r="E601" i="16"/>
  <c r="I600" i="16"/>
  <c r="L600" i="16" s="1"/>
  <c r="O600" i="16" s="1"/>
  <c r="K599" i="16"/>
  <c r="N599" i="16" s="1"/>
  <c r="J599" i="16"/>
  <c r="H599" i="16"/>
  <c r="G599" i="16"/>
  <c r="F599" i="16"/>
  <c r="E599" i="16"/>
  <c r="I598" i="16"/>
  <c r="L598" i="16" s="1"/>
  <c r="I597" i="16"/>
  <c r="L597" i="16" s="1"/>
  <c r="O597" i="16" s="1"/>
  <c r="P597" i="16" s="1"/>
  <c r="I596" i="16"/>
  <c r="K595" i="16"/>
  <c r="N595" i="16" s="1"/>
  <c r="J595" i="16"/>
  <c r="H595" i="16"/>
  <c r="G595" i="16"/>
  <c r="F595" i="16"/>
  <c r="E595" i="16"/>
  <c r="I594" i="16"/>
  <c r="L594" i="16" s="1"/>
  <c r="O594" i="16" s="1"/>
  <c r="P594" i="16" s="1"/>
  <c r="I593" i="16"/>
  <c r="K592" i="16"/>
  <c r="N592" i="16" s="1"/>
  <c r="H592" i="16"/>
  <c r="G592" i="16"/>
  <c r="F592" i="16"/>
  <c r="E592" i="16"/>
  <c r="I591" i="16"/>
  <c r="L591" i="16" s="1"/>
  <c r="O591" i="16" s="1"/>
  <c r="P591" i="16" s="1"/>
  <c r="I590" i="16"/>
  <c r="L590" i="16" s="1"/>
  <c r="O590" i="16" s="1"/>
  <c r="K589" i="16"/>
  <c r="N589" i="16" s="1"/>
  <c r="J589" i="16"/>
  <c r="H589" i="16"/>
  <c r="G589" i="16"/>
  <c r="F589" i="16"/>
  <c r="E589" i="16"/>
  <c r="I588" i="16"/>
  <c r="L588" i="16" s="1"/>
  <c r="O588" i="16" s="1"/>
  <c r="P588" i="16" s="1"/>
  <c r="I587" i="16"/>
  <c r="L587" i="16" s="1"/>
  <c r="O587" i="16" s="1"/>
  <c r="P587" i="16" s="1"/>
  <c r="I584" i="16"/>
  <c r="H583" i="16"/>
  <c r="G583" i="16"/>
  <c r="F583" i="16"/>
  <c r="E583" i="16"/>
  <c r="I582" i="16"/>
  <c r="L582" i="16" s="1"/>
  <c r="P581" i="16"/>
  <c r="O581" i="16"/>
  <c r="K581" i="16"/>
  <c r="N581" i="16" s="1"/>
  <c r="H581" i="16"/>
  <c r="G581" i="16"/>
  <c r="F581" i="16"/>
  <c r="E581" i="16"/>
  <c r="I580" i="16"/>
  <c r="I579" i="16" s="1"/>
  <c r="K579" i="16"/>
  <c r="N579" i="16" s="1"/>
  <c r="H579" i="16"/>
  <c r="G579" i="16"/>
  <c r="F579" i="16"/>
  <c r="E579" i="16"/>
  <c r="I578" i="16"/>
  <c r="L578" i="16" s="1"/>
  <c r="O578" i="16" s="1"/>
  <c r="P578" i="16" s="1"/>
  <c r="I577" i="16"/>
  <c r="K576" i="16"/>
  <c r="N576" i="16" s="1"/>
  <c r="J576" i="16"/>
  <c r="H576" i="16"/>
  <c r="G576" i="16"/>
  <c r="F576" i="16"/>
  <c r="E576" i="16"/>
  <c r="I575" i="16"/>
  <c r="L575" i="16" s="1"/>
  <c r="O575" i="16" s="1"/>
  <c r="P575" i="16" s="1"/>
  <c r="I574" i="16"/>
  <c r="K573" i="16"/>
  <c r="N573" i="16" s="1"/>
  <c r="J573" i="16"/>
  <c r="H573" i="16"/>
  <c r="G573" i="16"/>
  <c r="F573" i="16"/>
  <c r="E573" i="16"/>
  <c r="I572" i="16"/>
  <c r="L572" i="16" s="1"/>
  <c r="O572" i="16" s="1"/>
  <c r="P572" i="16" s="1"/>
  <c r="E571" i="16"/>
  <c r="I571" i="16" s="1"/>
  <c r="K570" i="16"/>
  <c r="N570" i="16" s="1"/>
  <c r="J570" i="16"/>
  <c r="H570" i="16"/>
  <c r="G570" i="16"/>
  <c r="F570" i="16"/>
  <c r="I569" i="16"/>
  <c r="L569" i="16" s="1"/>
  <c r="O569" i="16" s="1"/>
  <c r="P569" i="16" s="1"/>
  <c r="H568" i="16"/>
  <c r="H567" i="16" s="1"/>
  <c r="G568" i="16"/>
  <c r="G567" i="16" s="1"/>
  <c r="K567" i="16"/>
  <c r="N567" i="16" s="1"/>
  <c r="J567" i="16"/>
  <c r="F567" i="16"/>
  <c r="E567" i="16"/>
  <c r="I566" i="16"/>
  <c r="K565" i="16"/>
  <c r="N565" i="16" s="1"/>
  <c r="J565" i="16"/>
  <c r="H565" i="16"/>
  <c r="G565" i="16"/>
  <c r="F565" i="16"/>
  <c r="E565" i="16"/>
  <c r="I564" i="16"/>
  <c r="L564" i="16" s="1"/>
  <c r="O564" i="16" s="1"/>
  <c r="P564" i="16" s="1"/>
  <c r="I563" i="16"/>
  <c r="L563" i="16" s="1"/>
  <c r="O563" i="16" s="1"/>
  <c r="P563" i="16" s="1"/>
  <c r="I562" i="16"/>
  <c r="L562" i="16" s="1"/>
  <c r="O562" i="16" s="1"/>
  <c r="K561" i="16"/>
  <c r="N561" i="16" s="1"/>
  <c r="J561" i="16"/>
  <c r="H561" i="16"/>
  <c r="G561" i="16"/>
  <c r="F561" i="16"/>
  <c r="E561" i="16"/>
  <c r="I560" i="16"/>
  <c r="I559" i="16" s="1"/>
  <c r="K559" i="16"/>
  <c r="N559" i="16" s="1"/>
  <c r="J559" i="16"/>
  <c r="H559" i="16"/>
  <c r="G559" i="16"/>
  <c r="F559" i="16"/>
  <c r="E559" i="16"/>
  <c r="I558" i="16"/>
  <c r="L558" i="16" s="1"/>
  <c r="O558" i="16" s="1"/>
  <c r="P558" i="16" s="1"/>
  <c r="I557" i="16"/>
  <c r="L557" i="16" s="1"/>
  <c r="O557" i="16" s="1"/>
  <c r="P557" i="16" s="1"/>
  <c r="I556" i="16"/>
  <c r="L556" i="16" s="1"/>
  <c r="O556" i="16" s="1"/>
  <c r="P556" i="16" s="1"/>
  <c r="I555" i="16"/>
  <c r="K554" i="16"/>
  <c r="N554" i="16" s="1"/>
  <c r="J554" i="16"/>
  <c r="H554" i="16"/>
  <c r="G554" i="16"/>
  <c r="F554" i="16"/>
  <c r="E554" i="16"/>
  <c r="E553" i="16"/>
  <c r="I553" i="16" s="1"/>
  <c r="L553" i="16" s="1"/>
  <c r="O553" i="16" s="1"/>
  <c r="P553" i="16" s="1"/>
  <c r="I552" i="16"/>
  <c r="L552" i="16" s="1"/>
  <c r="O552" i="16" s="1"/>
  <c r="P552" i="16" s="1"/>
  <c r="I551" i="16"/>
  <c r="L551" i="16" s="1"/>
  <c r="O551" i="16" s="1"/>
  <c r="P551" i="16" s="1"/>
  <c r="I550" i="16"/>
  <c r="L550" i="16" s="1"/>
  <c r="O550" i="16" s="1"/>
  <c r="P550" i="16" s="1"/>
  <c r="I549" i="16"/>
  <c r="L549" i="16" s="1"/>
  <c r="O549" i="16" s="1"/>
  <c r="K548" i="16"/>
  <c r="N548" i="16" s="1"/>
  <c r="J548" i="16"/>
  <c r="H548" i="16"/>
  <c r="G548" i="16"/>
  <c r="F548" i="16"/>
  <c r="I547" i="16"/>
  <c r="L547" i="16" s="1"/>
  <c r="O547" i="16" s="1"/>
  <c r="P547" i="16" s="1"/>
  <c r="I546" i="16"/>
  <c r="L546" i="16" s="1"/>
  <c r="O546" i="16" s="1"/>
  <c r="K545" i="16"/>
  <c r="N545" i="16" s="1"/>
  <c r="J545" i="16"/>
  <c r="H545" i="16"/>
  <c r="G545" i="16"/>
  <c r="F545" i="16"/>
  <c r="E545" i="16"/>
  <c r="I544" i="16"/>
  <c r="L544" i="16" s="1"/>
  <c r="O544" i="16" s="1"/>
  <c r="P544" i="16" s="1"/>
  <c r="I543" i="16"/>
  <c r="L543" i="16" s="1"/>
  <c r="O543" i="16" s="1"/>
  <c r="P543" i="16" s="1"/>
  <c r="I542" i="16"/>
  <c r="K541" i="16"/>
  <c r="N541" i="16" s="1"/>
  <c r="J541" i="16"/>
  <c r="H541" i="16"/>
  <c r="G541" i="16"/>
  <c r="F541" i="16"/>
  <c r="E541" i="16"/>
  <c r="I540" i="16"/>
  <c r="L540" i="16" s="1"/>
  <c r="O540" i="16" s="1"/>
  <c r="P540" i="16" s="1"/>
  <c r="E539" i="16"/>
  <c r="I539" i="16" s="1"/>
  <c r="L539" i="16" s="1"/>
  <c r="O539" i="16" s="1"/>
  <c r="P539" i="16" s="1"/>
  <c r="E538" i="16"/>
  <c r="I538" i="16" s="1"/>
  <c r="L538" i="16" s="1"/>
  <c r="O538" i="16" s="1"/>
  <c r="P538" i="16" s="1"/>
  <c r="E537" i="16"/>
  <c r="I537" i="16" s="1"/>
  <c r="K536" i="16"/>
  <c r="N536" i="16" s="1"/>
  <c r="J536" i="16"/>
  <c r="H536" i="16"/>
  <c r="G536" i="16"/>
  <c r="F536" i="16"/>
  <c r="I535" i="16"/>
  <c r="L535" i="16" s="1"/>
  <c r="O535" i="16" s="1"/>
  <c r="P535" i="16" s="1"/>
  <c r="I534" i="16"/>
  <c r="K533" i="16"/>
  <c r="N533" i="16" s="1"/>
  <c r="J533" i="16"/>
  <c r="H533" i="16"/>
  <c r="G533" i="16"/>
  <c r="F533" i="16"/>
  <c r="E533" i="16"/>
  <c r="I532" i="16"/>
  <c r="L532" i="16" s="1"/>
  <c r="O532" i="16" s="1"/>
  <c r="P532" i="16" s="1"/>
  <c r="I531" i="16"/>
  <c r="L531" i="16" s="1"/>
  <c r="O531" i="16" s="1"/>
  <c r="K530" i="16"/>
  <c r="N530" i="16" s="1"/>
  <c r="J530" i="16"/>
  <c r="H530" i="16"/>
  <c r="G530" i="16"/>
  <c r="F530" i="16"/>
  <c r="E530" i="16"/>
  <c r="I529" i="16"/>
  <c r="L529" i="16" s="1"/>
  <c r="O529" i="16" s="1"/>
  <c r="L528" i="16"/>
  <c r="I527" i="16"/>
  <c r="L527" i="16" s="1"/>
  <c r="I524" i="16"/>
  <c r="L524" i="16" s="1"/>
  <c r="P523" i="16"/>
  <c r="E26" i="19" s="1"/>
  <c r="E27" i="19" s="1"/>
  <c r="O523" i="16"/>
  <c r="D26" i="19" s="1"/>
  <c r="D27" i="19" s="1"/>
  <c r="E523" i="16"/>
  <c r="I523" i="16" s="1"/>
  <c r="L523" i="16" s="1"/>
  <c r="I522" i="16"/>
  <c r="L522" i="16" s="1"/>
  <c r="O522" i="16" s="1"/>
  <c r="P522" i="16" s="1"/>
  <c r="I521" i="16"/>
  <c r="K520" i="16"/>
  <c r="N520" i="16" s="1"/>
  <c r="J520" i="16"/>
  <c r="H520" i="16"/>
  <c r="G520" i="16"/>
  <c r="F520" i="16"/>
  <c r="E520" i="16"/>
  <c r="I519" i="16"/>
  <c r="L519" i="16" s="1"/>
  <c r="O519" i="16" s="1"/>
  <c r="P519" i="16" s="1"/>
  <c r="I518" i="16"/>
  <c r="L518" i="16" s="1"/>
  <c r="O518" i="16" s="1"/>
  <c r="E517" i="16"/>
  <c r="I517" i="16" s="1"/>
  <c r="L517" i="16" s="1"/>
  <c r="O517" i="16" s="1"/>
  <c r="P517" i="16" s="1"/>
  <c r="I516" i="16"/>
  <c r="L516" i="16" s="1"/>
  <c r="O516" i="16" s="1"/>
  <c r="P516" i="16" s="1"/>
  <c r="K515" i="16"/>
  <c r="N515" i="16" s="1"/>
  <c r="J515" i="16"/>
  <c r="H515" i="16"/>
  <c r="G515" i="16"/>
  <c r="F515" i="16"/>
  <c r="E515" i="16"/>
  <c r="I514" i="16"/>
  <c r="I513" i="16" s="1"/>
  <c r="K513" i="16"/>
  <c r="N513" i="16" s="1"/>
  <c r="J513" i="16"/>
  <c r="H513" i="16"/>
  <c r="G513" i="16"/>
  <c r="F513" i="16"/>
  <c r="E513" i="16"/>
  <c r="I512" i="16"/>
  <c r="L512" i="16" s="1"/>
  <c r="O512" i="16" s="1"/>
  <c r="P512" i="16" s="1"/>
  <c r="P511" i="16" s="1"/>
  <c r="K511" i="16"/>
  <c r="N511" i="16" s="1"/>
  <c r="E511" i="16"/>
  <c r="I511" i="16" s="1"/>
  <c r="E510" i="16"/>
  <c r="I510" i="16" s="1"/>
  <c r="E509" i="16"/>
  <c r="I509" i="16" s="1"/>
  <c r="L509" i="16" s="1"/>
  <c r="O509" i="16" s="1"/>
  <c r="K508" i="16"/>
  <c r="N508" i="16" s="1"/>
  <c r="J508" i="16"/>
  <c r="H508" i="16"/>
  <c r="G508" i="16"/>
  <c r="F508" i="16"/>
  <c r="I507" i="16"/>
  <c r="L507" i="16" s="1"/>
  <c r="O507" i="16" s="1"/>
  <c r="P507" i="16" s="1"/>
  <c r="I506" i="16"/>
  <c r="L506" i="16" s="1"/>
  <c r="O506" i="16" s="1"/>
  <c r="P506" i="16" s="1"/>
  <c r="I505" i="16"/>
  <c r="L505" i="16" s="1"/>
  <c r="O505" i="16" s="1"/>
  <c r="K504" i="16"/>
  <c r="N504" i="16" s="1"/>
  <c r="J504" i="16"/>
  <c r="H504" i="16"/>
  <c r="G504" i="16"/>
  <c r="F504" i="16"/>
  <c r="E504" i="16"/>
  <c r="E503" i="16"/>
  <c r="I503" i="16" s="1"/>
  <c r="L503" i="16" s="1"/>
  <c r="O503" i="16" s="1"/>
  <c r="P503" i="16" s="1"/>
  <c r="I502" i="16"/>
  <c r="L502" i="16" s="1"/>
  <c r="O502" i="16" s="1"/>
  <c r="P502" i="16" s="1"/>
  <c r="E501" i="16"/>
  <c r="I501" i="16" s="1"/>
  <c r="K500" i="16"/>
  <c r="N500" i="16" s="1"/>
  <c r="J500" i="16"/>
  <c r="H500" i="16"/>
  <c r="G500" i="16"/>
  <c r="F500" i="16"/>
  <c r="I499" i="16"/>
  <c r="L499" i="16" s="1"/>
  <c r="O499" i="16" s="1"/>
  <c r="P499" i="16" s="1"/>
  <c r="I498" i="16"/>
  <c r="L498" i="16" s="1"/>
  <c r="I497" i="16"/>
  <c r="L497" i="16" s="1"/>
  <c r="O497" i="16" s="1"/>
  <c r="P497" i="16" s="1"/>
  <c r="I496" i="16"/>
  <c r="L496" i="16" s="1"/>
  <c r="O496" i="16" s="1"/>
  <c r="K495" i="16"/>
  <c r="N495" i="16" s="1"/>
  <c r="E495" i="16"/>
  <c r="I495" i="16" s="1"/>
  <c r="I494" i="16"/>
  <c r="L494" i="16" s="1"/>
  <c r="O494" i="16" s="1"/>
  <c r="P494" i="16" s="1"/>
  <c r="I493" i="16"/>
  <c r="K492" i="16"/>
  <c r="N492" i="16" s="1"/>
  <c r="J492" i="16"/>
  <c r="H492" i="16"/>
  <c r="G492" i="16"/>
  <c r="F492" i="16"/>
  <c r="E492" i="16"/>
  <c r="I491" i="16"/>
  <c r="L491" i="16" s="1"/>
  <c r="O491" i="16" s="1"/>
  <c r="P491" i="16" s="1"/>
  <c r="I490" i="16"/>
  <c r="L490" i="16" s="1"/>
  <c r="I489" i="16"/>
  <c r="L489" i="16" s="1"/>
  <c r="L486" i="16"/>
  <c r="P485" i="16"/>
  <c r="O485" i="16"/>
  <c r="I485" i="16"/>
  <c r="L485" i="16" s="1"/>
  <c r="H485" i="16"/>
  <c r="G485" i="16"/>
  <c r="F485" i="16"/>
  <c r="E485" i="16"/>
  <c r="I484" i="16"/>
  <c r="L484" i="16" s="1"/>
  <c r="O484" i="16" s="1"/>
  <c r="P484" i="16" s="1"/>
  <c r="I483" i="16"/>
  <c r="K482" i="16"/>
  <c r="N482" i="16" s="1"/>
  <c r="J482" i="16"/>
  <c r="H482" i="16"/>
  <c r="G482" i="16"/>
  <c r="F482" i="16"/>
  <c r="E482" i="16"/>
  <c r="I481" i="16"/>
  <c r="I480" i="16" s="1"/>
  <c r="K480" i="16"/>
  <c r="N480" i="16" s="1"/>
  <c r="J480" i="16"/>
  <c r="H480" i="16"/>
  <c r="G480" i="16"/>
  <c r="F480" i="16"/>
  <c r="E480" i="16"/>
  <c r="I479" i="16"/>
  <c r="L479" i="16" s="1"/>
  <c r="O479" i="16" s="1"/>
  <c r="K478" i="16"/>
  <c r="N478" i="16" s="1"/>
  <c r="J478" i="16"/>
  <c r="H478" i="16"/>
  <c r="G478" i="16"/>
  <c r="F478" i="16"/>
  <c r="E478" i="16"/>
  <c r="I477" i="16"/>
  <c r="L477" i="16" s="1"/>
  <c r="O477" i="16" s="1"/>
  <c r="P477" i="16" s="1"/>
  <c r="I476" i="16"/>
  <c r="L476" i="16" s="1"/>
  <c r="O476" i="16" s="1"/>
  <c r="P476" i="16" s="1"/>
  <c r="I475" i="16"/>
  <c r="K474" i="16"/>
  <c r="N474" i="16" s="1"/>
  <c r="J474" i="16"/>
  <c r="H474" i="16"/>
  <c r="G474" i="16"/>
  <c r="F474" i="16"/>
  <c r="E474" i="16"/>
  <c r="I473" i="16"/>
  <c r="L473" i="16" s="1"/>
  <c r="O473" i="16" s="1"/>
  <c r="P473" i="16" s="1"/>
  <c r="I472" i="16"/>
  <c r="L472" i="16" s="1"/>
  <c r="O472" i="16" s="1"/>
  <c r="K471" i="16"/>
  <c r="N471" i="16" s="1"/>
  <c r="J471" i="16"/>
  <c r="H471" i="16"/>
  <c r="G471" i="16"/>
  <c r="F471" i="16"/>
  <c r="E471" i="16"/>
  <c r="I470" i="16"/>
  <c r="L470" i="16" s="1"/>
  <c r="O470" i="16" s="1"/>
  <c r="P470" i="16" s="1"/>
  <c r="I469" i="16"/>
  <c r="L469" i="16" s="1"/>
  <c r="O469" i="16" s="1"/>
  <c r="P469" i="16" s="1"/>
  <c r="I468" i="16"/>
  <c r="L468" i="16" s="1"/>
  <c r="O468" i="16" s="1"/>
  <c r="P468" i="16" s="1"/>
  <c r="I467" i="16"/>
  <c r="L467" i="16" s="1"/>
  <c r="O467" i="16" s="1"/>
  <c r="P467" i="16" s="1"/>
  <c r="I466" i="16"/>
  <c r="L466" i="16" s="1"/>
  <c r="O466" i="16" s="1"/>
  <c r="P466" i="16" s="1"/>
  <c r="I465" i="16"/>
  <c r="K464" i="16"/>
  <c r="N464" i="16" s="1"/>
  <c r="J464" i="16"/>
  <c r="H464" i="16"/>
  <c r="G464" i="16"/>
  <c r="F464" i="16"/>
  <c r="E464" i="16"/>
  <c r="I463" i="16"/>
  <c r="L463" i="16" s="1"/>
  <c r="O463" i="16" s="1"/>
  <c r="P463" i="16" s="1"/>
  <c r="I462" i="16"/>
  <c r="L462" i="16" s="1"/>
  <c r="O462" i="16" s="1"/>
  <c r="P462" i="16" s="1"/>
  <c r="I461" i="16"/>
  <c r="L461" i="16" s="1"/>
  <c r="O461" i="16" s="1"/>
  <c r="K460" i="16"/>
  <c r="N460" i="16" s="1"/>
  <c r="J460" i="16"/>
  <c r="H460" i="16"/>
  <c r="G460" i="16"/>
  <c r="F460" i="16"/>
  <c r="E460" i="16"/>
  <c r="I459" i="16"/>
  <c r="L459" i="16" s="1"/>
  <c r="O459" i="16" s="1"/>
  <c r="P459" i="16" s="1"/>
  <c r="I458" i="16"/>
  <c r="L458" i="16" s="1"/>
  <c r="O458" i="16" s="1"/>
  <c r="P458" i="16" s="1"/>
  <c r="I457" i="16"/>
  <c r="K456" i="16"/>
  <c r="N456" i="16" s="1"/>
  <c r="H456" i="16"/>
  <c r="G456" i="16"/>
  <c r="F456" i="16"/>
  <c r="E456" i="16"/>
  <c r="H455" i="16"/>
  <c r="H454" i="16" s="1"/>
  <c r="K454" i="16"/>
  <c r="N454" i="16" s="1"/>
  <c r="J454" i="16"/>
  <c r="G454" i="16"/>
  <c r="F454" i="16"/>
  <c r="E454" i="16"/>
  <c r="E453" i="16"/>
  <c r="I453" i="16" s="1"/>
  <c r="I452" i="16"/>
  <c r="L452" i="16" s="1"/>
  <c r="O452" i="16" s="1"/>
  <c r="P452" i="16" s="1"/>
  <c r="I451" i="16"/>
  <c r="L451" i="16" s="1"/>
  <c r="O451" i="16" s="1"/>
  <c r="K450" i="16"/>
  <c r="N450" i="16" s="1"/>
  <c r="J450" i="16"/>
  <c r="H450" i="16"/>
  <c r="G450" i="16"/>
  <c r="F450" i="16"/>
  <c r="E450" i="16"/>
  <c r="I449" i="16"/>
  <c r="L449" i="16" s="1"/>
  <c r="O449" i="16" s="1"/>
  <c r="P449" i="16" s="1"/>
  <c r="I448" i="16"/>
  <c r="K447" i="16"/>
  <c r="N447" i="16" s="1"/>
  <c r="J447" i="16"/>
  <c r="H447" i="16"/>
  <c r="G447" i="16"/>
  <c r="F447" i="16"/>
  <c r="E447" i="16"/>
  <c r="I446" i="16"/>
  <c r="L446" i="16" s="1"/>
  <c r="O446" i="16" s="1"/>
  <c r="P446" i="16" s="1"/>
  <c r="I445" i="16"/>
  <c r="L445" i="16" s="1"/>
  <c r="I444" i="16"/>
  <c r="L444" i="16" s="1"/>
  <c r="O444" i="16" s="1"/>
  <c r="P444" i="16" s="1"/>
  <c r="I441" i="16"/>
  <c r="L441" i="16" s="1"/>
  <c r="O441" i="16" s="1"/>
  <c r="E440" i="16"/>
  <c r="I440" i="16" s="1"/>
  <c r="L440" i="16" s="1"/>
  <c r="I439" i="16"/>
  <c r="L439" i="16" s="1"/>
  <c r="O439" i="16" s="1"/>
  <c r="P439" i="16" s="1"/>
  <c r="P438" i="16" s="1"/>
  <c r="I438" i="16"/>
  <c r="I437" i="16"/>
  <c r="L437" i="16" s="1"/>
  <c r="O437" i="16" s="1"/>
  <c r="P437" i="16" s="1"/>
  <c r="K436" i="16"/>
  <c r="N436" i="16" s="1"/>
  <c r="J436" i="16"/>
  <c r="H436" i="16"/>
  <c r="G436" i="16"/>
  <c r="F436" i="16"/>
  <c r="E436" i="16"/>
  <c r="I435" i="16"/>
  <c r="L435" i="16" s="1"/>
  <c r="O435" i="16" s="1"/>
  <c r="P435" i="16" s="1"/>
  <c r="I434" i="16"/>
  <c r="K433" i="16"/>
  <c r="N433" i="16" s="1"/>
  <c r="J433" i="16"/>
  <c r="H433" i="16"/>
  <c r="G433" i="16"/>
  <c r="F433" i="16"/>
  <c r="E433" i="16"/>
  <c r="I432" i="16"/>
  <c r="L432" i="16" s="1"/>
  <c r="O432" i="16" s="1"/>
  <c r="P432" i="16" s="1"/>
  <c r="P431" i="16" s="1"/>
  <c r="K431" i="16"/>
  <c r="N431" i="16" s="1"/>
  <c r="J431" i="16"/>
  <c r="H431" i="16"/>
  <c r="G431" i="16"/>
  <c r="F431" i="16"/>
  <c r="E431" i="16"/>
  <c r="I430" i="16"/>
  <c r="L430" i="16" s="1"/>
  <c r="O430" i="16" s="1"/>
  <c r="K429" i="16"/>
  <c r="N429" i="16" s="1"/>
  <c r="J429" i="16"/>
  <c r="H429" i="16"/>
  <c r="G429" i="16"/>
  <c r="F429" i="16"/>
  <c r="E429" i="16"/>
  <c r="I428" i="16"/>
  <c r="I427" i="16" s="1"/>
  <c r="K427" i="16"/>
  <c r="N427" i="16" s="1"/>
  <c r="J427" i="16"/>
  <c r="H427" i="16"/>
  <c r="G427" i="16"/>
  <c r="F427" i="16"/>
  <c r="E427" i="16"/>
  <c r="I426" i="16"/>
  <c r="L426" i="16" s="1"/>
  <c r="O426" i="16" s="1"/>
  <c r="P426" i="16" s="1"/>
  <c r="I425" i="16"/>
  <c r="L425" i="16" s="1"/>
  <c r="I424" i="16"/>
  <c r="L424" i="16" s="1"/>
  <c r="O424" i="16" s="1"/>
  <c r="P424" i="16" s="1"/>
  <c r="K423" i="16"/>
  <c r="N423" i="16" s="1"/>
  <c r="J423" i="16"/>
  <c r="H423" i="16"/>
  <c r="G423" i="16"/>
  <c r="F423" i="16"/>
  <c r="E423" i="16"/>
  <c r="I422" i="16"/>
  <c r="L422" i="16" s="1"/>
  <c r="O422" i="16" s="1"/>
  <c r="P422" i="16" s="1"/>
  <c r="I421" i="16"/>
  <c r="K420" i="16"/>
  <c r="N420" i="16" s="1"/>
  <c r="J420" i="16"/>
  <c r="H420" i="16"/>
  <c r="G420" i="16"/>
  <c r="F420" i="16"/>
  <c r="E420" i="16"/>
  <c r="I419" i="16"/>
  <c r="L419" i="16" s="1"/>
  <c r="O419" i="16" s="1"/>
  <c r="P419" i="16" s="1"/>
  <c r="I418" i="16"/>
  <c r="L418" i="16" s="1"/>
  <c r="O418" i="16" s="1"/>
  <c r="P418" i="16" s="1"/>
  <c r="I417" i="16"/>
  <c r="L417" i="16" s="1"/>
  <c r="O417" i="16" s="1"/>
  <c r="P417" i="16" s="1"/>
  <c r="I416" i="16"/>
  <c r="L416" i="16" s="1"/>
  <c r="O416" i="16" s="1"/>
  <c r="P416" i="16" s="1"/>
  <c r="I415" i="16"/>
  <c r="L415" i="16" s="1"/>
  <c r="O415" i="16" s="1"/>
  <c r="P415" i="16" s="1"/>
  <c r="I414" i="16"/>
  <c r="L414" i="16" s="1"/>
  <c r="O414" i="16" s="1"/>
  <c r="K413" i="16"/>
  <c r="N413" i="16" s="1"/>
  <c r="J413" i="16"/>
  <c r="H413" i="16"/>
  <c r="G413" i="16"/>
  <c r="F413" i="16"/>
  <c r="E413" i="16"/>
  <c r="I412" i="16"/>
  <c r="L412" i="16" s="1"/>
  <c r="O412" i="16" s="1"/>
  <c r="P412" i="16" s="1"/>
  <c r="I411" i="16"/>
  <c r="L411" i="16" s="1"/>
  <c r="O411" i="16" s="1"/>
  <c r="P411" i="16" s="1"/>
  <c r="E410" i="16"/>
  <c r="E409" i="16" s="1"/>
  <c r="K409" i="16"/>
  <c r="N409" i="16" s="1"/>
  <c r="J409" i="16"/>
  <c r="H409" i="16"/>
  <c r="G409" i="16"/>
  <c r="F409" i="16"/>
  <c r="I408" i="16"/>
  <c r="L408" i="16" s="1"/>
  <c r="O408" i="16" s="1"/>
  <c r="P408" i="16" s="1"/>
  <c r="I407" i="16"/>
  <c r="L407" i="16" s="1"/>
  <c r="O407" i="16" s="1"/>
  <c r="P407" i="16" s="1"/>
  <c r="I406" i="16"/>
  <c r="L406" i="16" s="1"/>
  <c r="O406" i="16" s="1"/>
  <c r="K405" i="16"/>
  <c r="N405" i="16" s="1"/>
  <c r="J405" i="16"/>
  <c r="H405" i="16"/>
  <c r="G405" i="16"/>
  <c r="F405" i="16"/>
  <c r="E405" i="16"/>
  <c r="I404" i="16"/>
  <c r="I403" i="16" s="1"/>
  <c r="K403" i="16"/>
  <c r="N403" i="16" s="1"/>
  <c r="J403" i="16"/>
  <c r="H403" i="16"/>
  <c r="G403" i="16"/>
  <c r="F403" i="16"/>
  <c r="E403" i="16"/>
  <c r="I402" i="16"/>
  <c r="L402" i="16" s="1"/>
  <c r="O402" i="16" s="1"/>
  <c r="P402" i="16" s="1"/>
  <c r="I401" i="16"/>
  <c r="L401" i="16" s="1"/>
  <c r="O401" i="16" s="1"/>
  <c r="P401" i="16" s="1"/>
  <c r="I400" i="16"/>
  <c r="L400" i="16" s="1"/>
  <c r="O400" i="16" s="1"/>
  <c r="K399" i="16"/>
  <c r="N399" i="16" s="1"/>
  <c r="J399" i="16"/>
  <c r="H399" i="16"/>
  <c r="G399" i="16"/>
  <c r="F399" i="16"/>
  <c r="E399" i="16"/>
  <c r="I398" i="16"/>
  <c r="L398" i="16" s="1"/>
  <c r="O398" i="16" s="1"/>
  <c r="P398" i="16" s="1"/>
  <c r="I397" i="16"/>
  <c r="K396" i="16"/>
  <c r="N396" i="16" s="1"/>
  <c r="J396" i="16"/>
  <c r="H396" i="16"/>
  <c r="G396" i="16"/>
  <c r="F396" i="16"/>
  <c r="E396" i="16"/>
  <c r="I395" i="16"/>
  <c r="I394" i="16"/>
  <c r="L394" i="16" s="1"/>
  <c r="O394" i="16" s="1"/>
  <c r="K393" i="16"/>
  <c r="N393" i="16" s="1"/>
  <c r="J393" i="16"/>
  <c r="H393" i="16"/>
  <c r="G393" i="16"/>
  <c r="F393" i="16"/>
  <c r="E393" i="16"/>
  <c r="I392" i="16"/>
  <c r="L392" i="16" s="1"/>
  <c r="O392" i="16" s="1"/>
  <c r="P392" i="16" s="1"/>
  <c r="I391" i="16"/>
  <c r="L391" i="16" s="1"/>
  <c r="I390" i="16"/>
  <c r="L390" i="16" s="1"/>
  <c r="O390" i="16" s="1"/>
  <c r="P390" i="16" s="1"/>
  <c r="L389" i="16"/>
  <c r="I388" i="16"/>
  <c r="L388" i="16" s="1"/>
  <c r="L384" i="16"/>
  <c r="I380" i="16"/>
  <c r="L380" i="16" s="1"/>
  <c r="O380" i="16" s="1"/>
  <c r="E379" i="16"/>
  <c r="I378" i="16"/>
  <c r="L378" i="16" s="1"/>
  <c r="O378" i="16" s="1"/>
  <c r="P378" i="16" s="1"/>
  <c r="I377" i="16"/>
  <c r="L377" i="16" s="1"/>
  <c r="O377" i="16" s="1"/>
  <c r="K376" i="16"/>
  <c r="N376" i="16" s="1"/>
  <c r="J376" i="16"/>
  <c r="H376" i="16"/>
  <c r="G376" i="16"/>
  <c r="F376" i="16"/>
  <c r="E376" i="16"/>
  <c r="E375" i="16"/>
  <c r="I375" i="16" s="1"/>
  <c r="K374" i="16"/>
  <c r="N374" i="16" s="1"/>
  <c r="J374" i="16"/>
  <c r="H374" i="16"/>
  <c r="G374" i="16"/>
  <c r="F374" i="16"/>
  <c r="E373" i="16"/>
  <c r="I373" i="16" s="1"/>
  <c r="L373" i="16" s="1"/>
  <c r="O373" i="16" s="1"/>
  <c r="K372" i="16"/>
  <c r="N372" i="16" s="1"/>
  <c r="J372" i="16"/>
  <c r="H372" i="16"/>
  <c r="G372" i="16"/>
  <c r="F372" i="16"/>
  <c r="I371" i="16"/>
  <c r="I370" i="16" s="1"/>
  <c r="K370" i="16"/>
  <c r="N370" i="16" s="1"/>
  <c r="J370" i="16"/>
  <c r="H370" i="16"/>
  <c r="G370" i="16"/>
  <c r="F370" i="16"/>
  <c r="E370" i="16"/>
  <c r="I369" i="16"/>
  <c r="L369" i="16" s="1"/>
  <c r="O369" i="16" s="1"/>
  <c r="P369" i="16" s="1"/>
  <c r="I368" i="16"/>
  <c r="L368" i="16" s="1"/>
  <c r="O368" i="16" s="1"/>
  <c r="P368" i="16" s="1"/>
  <c r="I367" i="16"/>
  <c r="L367" i="16" s="1"/>
  <c r="O367" i="16" s="1"/>
  <c r="P367" i="16" s="1"/>
  <c r="K366" i="16"/>
  <c r="N366" i="16" s="1"/>
  <c r="J366" i="16"/>
  <c r="H366" i="16"/>
  <c r="G366" i="16"/>
  <c r="F366" i="16"/>
  <c r="E366" i="16"/>
  <c r="I365" i="16"/>
  <c r="L365" i="16" s="1"/>
  <c r="O365" i="16" s="1"/>
  <c r="K364" i="16"/>
  <c r="N364" i="16" s="1"/>
  <c r="J364" i="16"/>
  <c r="H364" i="16"/>
  <c r="G364" i="16"/>
  <c r="F364" i="16"/>
  <c r="E364" i="16"/>
  <c r="I363" i="16"/>
  <c r="L363" i="16" s="1"/>
  <c r="O363" i="16" s="1"/>
  <c r="P363" i="16" s="1"/>
  <c r="I362" i="16"/>
  <c r="L362" i="16" s="1"/>
  <c r="O362" i="16" s="1"/>
  <c r="P362" i="16" s="1"/>
  <c r="I361" i="16"/>
  <c r="L361" i="16" s="1"/>
  <c r="O361" i="16" s="1"/>
  <c r="K360" i="16"/>
  <c r="N360" i="16" s="1"/>
  <c r="J360" i="16"/>
  <c r="H360" i="16"/>
  <c r="G360" i="16"/>
  <c r="F360" i="16"/>
  <c r="E360" i="16"/>
  <c r="I359" i="16"/>
  <c r="L359" i="16" s="1"/>
  <c r="I358" i="16"/>
  <c r="L358" i="16" s="1"/>
  <c r="O358" i="16" s="1"/>
  <c r="P358" i="16" s="1"/>
  <c r="I357" i="16"/>
  <c r="K356" i="16"/>
  <c r="I356" i="16"/>
  <c r="J355" i="16"/>
  <c r="H355" i="16"/>
  <c r="G355" i="16"/>
  <c r="F355" i="16"/>
  <c r="E355" i="16"/>
  <c r="I354" i="16"/>
  <c r="I353" i="16"/>
  <c r="L353" i="16" s="1"/>
  <c r="O353" i="16" s="1"/>
  <c r="P353" i="16" s="1"/>
  <c r="K352" i="16"/>
  <c r="N352" i="16" s="1"/>
  <c r="J352" i="16"/>
  <c r="H352" i="16"/>
  <c r="G352" i="16"/>
  <c r="F352" i="16"/>
  <c r="E352" i="16"/>
  <c r="I351" i="16"/>
  <c r="L351" i="16" s="1"/>
  <c r="I350" i="16"/>
  <c r="L350" i="16" s="1"/>
  <c r="I349" i="16"/>
  <c r="L349" i="16" s="1"/>
  <c r="I346" i="16"/>
  <c r="L346" i="16" s="1"/>
  <c r="O346" i="16" s="1"/>
  <c r="E345" i="16"/>
  <c r="I345" i="16" s="1"/>
  <c r="L345" i="16" s="1"/>
  <c r="I344" i="16"/>
  <c r="L344" i="16" s="1"/>
  <c r="O344" i="16" s="1"/>
  <c r="P344" i="16" s="1"/>
  <c r="E343" i="16"/>
  <c r="K342" i="16"/>
  <c r="N342" i="16" s="1"/>
  <c r="J342" i="16"/>
  <c r="H342" i="16"/>
  <c r="G342" i="16"/>
  <c r="F342" i="16"/>
  <c r="I341" i="16"/>
  <c r="L341" i="16" s="1"/>
  <c r="O341" i="16" s="1"/>
  <c r="E340" i="16"/>
  <c r="I340" i="16" s="1"/>
  <c r="L340" i="16" s="1"/>
  <c r="I339" i="16"/>
  <c r="I338" i="16" s="1"/>
  <c r="K338" i="16"/>
  <c r="N338" i="16" s="1"/>
  <c r="J338" i="16"/>
  <c r="H338" i="16"/>
  <c r="G338" i="16"/>
  <c r="F338" i="16"/>
  <c r="E338" i="16"/>
  <c r="E337" i="16"/>
  <c r="E336" i="16" s="1"/>
  <c r="K336" i="16"/>
  <c r="N336" i="16" s="1"/>
  <c r="J336" i="16"/>
  <c r="H336" i="16"/>
  <c r="G336" i="16"/>
  <c r="F336" i="16"/>
  <c r="E335" i="16"/>
  <c r="E334" i="16" s="1"/>
  <c r="K334" i="16"/>
  <c r="N334" i="16" s="1"/>
  <c r="J334" i="16"/>
  <c r="H334" i="16"/>
  <c r="G334" i="16"/>
  <c r="F334" i="16"/>
  <c r="E333" i="16"/>
  <c r="I333" i="16" s="1"/>
  <c r="L333" i="16" s="1"/>
  <c r="O333" i="16" s="1"/>
  <c r="P333" i="16" s="1"/>
  <c r="E332" i="16"/>
  <c r="I332" i="16" s="1"/>
  <c r="L332" i="16" s="1"/>
  <c r="O332" i="16" s="1"/>
  <c r="P332" i="16" s="1"/>
  <c r="E331" i="16"/>
  <c r="K330" i="16"/>
  <c r="N330" i="16" s="1"/>
  <c r="J330" i="16"/>
  <c r="H330" i="16"/>
  <c r="G330" i="16"/>
  <c r="F330" i="16"/>
  <c r="E329" i="16"/>
  <c r="K328" i="16"/>
  <c r="N328" i="16" s="1"/>
  <c r="J328" i="16"/>
  <c r="H328" i="16"/>
  <c r="G328" i="16"/>
  <c r="F328" i="16"/>
  <c r="E327" i="16"/>
  <c r="I327" i="16" s="1"/>
  <c r="L327" i="16" s="1"/>
  <c r="O327" i="16" s="1"/>
  <c r="P327" i="16" s="1"/>
  <c r="E326" i="16"/>
  <c r="I326" i="16" s="1"/>
  <c r="K325" i="16"/>
  <c r="N325" i="16" s="1"/>
  <c r="J325" i="16"/>
  <c r="H325" i="16"/>
  <c r="G325" i="16"/>
  <c r="F325" i="16"/>
  <c r="I324" i="16"/>
  <c r="L324" i="16" s="1"/>
  <c r="O324" i="16" s="1"/>
  <c r="P324" i="16" s="1"/>
  <c r="E323" i="16"/>
  <c r="I323" i="16" s="1"/>
  <c r="I322" i="16"/>
  <c r="L322" i="16" s="1"/>
  <c r="O322" i="16" s="1"/>
  <c r="P322" i="16" s="1"/>
  <c r="I321" i="16"/>
  <c r="L321" i="16" s="1"/>
  <c r="O321" i="16" s="1"/>
  <c r="P321" i="16" s="1"/>
  <c r="I320" i="16"/>
  <c r="L320" i="16" s="1"/>
  <c r="O320" i="16" s="1"/>
  <c r="P320" i="16" s="1"/>
  <c r="I319" i="16"/>
  <c r="L319" i="16" s="1"/>
  <c r="O319" i="16" s="1"/>
  <c r="K318" i="16"/>
  <c r="N318" i="16" s="1"/>
  <c r="J318" i="16"/>
  <c r="H318" i="16"/>
  <c r="G318" i="16"/>
  <c r="F318" i="16"/>
  <c r="E318" i="16"/>
  <c r="E317" i="16"/>
  <c r="I317" i="16" s="1"/>
  <c r="L317" i="16" s="1"/>
  <c r="O317" i="16" s="1"/>
  <c r="P317" i="16" s="1"/>
  <c r="E316" i="16"/>
  <c r="I316" i="16" s="1"/>
  <c r="L316" i="16" s="1"/>
  <c r="O316" i="16" s="1"/>
  <c r="P316" i="16" s="1"/>
  <c r="E315" i="16"/>
  <c r="I315" i="16" s="1"/>
  <c r="L315" i="16" s="1"/>
  <c r="O315" i="16" s="1"/>
  <c r="K314" i="16"/>
  <c r="N314" i="16" s="1"/>
  <c r="J314" i="16"/>
  <c r="H314" i="16"/>
  <c r="G314" i="16"/>
  <c r="F314" i="16"/>
  <c r="E313" i="16"/>
  <c r="I313" i="16" s="1"/>
  <c r="L313" i="16" s="1"/>
  <c r="O313" i="16" s="1"/>
  <c r="P313" i="16" s="1"/>
  <c r="E312" i="16"/>
  <c r="I312" i="16" s="1"/>
  <c r="L312" i="16" s="1"/>
  <c r="O312" i="16" s="1"/>
  <c r="P312" i="16" s="1"/>
  <c r="I311" i="16"/>
  <c r="L311" i="16" s="1"/>
  <c r="O311" i="16" s="1"/>
  <c r="K310" i="16"/>
  <c r="N310" i="16" s="1"/>
  <c r="J310" i="16"/>
  <c r="H310" i="16"/>
  <c r="G310" i="16"/>
  <c r="F310" i="16"/>
  <c r="I309" i="16"/>
  <c r="L309" i="16" s="1"/>
  <c r="O309" i="16" s="1"/>
  <c r="P309" i="16" s="1"/>
  <c r="E308" i="16"/>
  <c r="I308" i="16" s="1"/>
  <c r="K307" i="16"/>
  <c r="N307" i="16" s="1"/>
  <c r="J307" i="16"/>
  <c r="H307" i="16"/>
  <c r="G307" i="16"/>
  <c r="F307" i="16"/>
  <c r="I306" i="16"/>
  <c r="L306" i="16" s="1"/>
  <c r="I305" i="16"/>
  <c r="L305" i="16" s="1"/>
  <c r="I304" i="16"/>
  <c r="L304" i="16" s="1"/>
  <c r="I298" i="16"/>
  <c r="L298" i="16" s="1"/>
  <c r="O298" i="16" s="1"/>
  <c r="E297" i="16"/>
  <c r="I297" i="16" s="1"/>
  <c r="L297" i="16" s="1"/>
  <c r="E296" i="16"/>
  <c r="I296" i="16" s="1"/>
  <c r="K295" i="16"/>
  <c r="N295" i="16" s="1"/>
  <c r="J295" i="16"/>
  <c r="H295" i="16"/>
  <c r="G295" i="16"/>
  <c r="F295" i="16"/>
  <c r="E295" i="16"/>
  <c r="I294" i="16"/>
  <c r="L294" i="16" s="1"/>
  <c r="O294" i="16" s="1"/>
  <c r="P294" i="16" s="1"/>
  <c r="I293" i="16"/>
  <c r="K292" i="16"/>
  <c r="N292" i="16" s="1"/>
  <c r="J292" i="16"/>
  <c r="H292" i="16"/>
  <c r="G292" i="16"/>
  <c r="F292" i="16"/>
  <c r="E292" i="16"/>
  <c r="I291" i="16"/>
  <c r="L291" i="16" s="1"/>
  <c r="O291" i="16" s="1"/>
  <c r="P291" i="16" s="1"/>
  <c r="I290" i="16"/>
  <c r="K289" i="16"/>
  <c r="N289" i="16" s="1"/>
  <c r="J289" i="16"/>
  <c r="H289" i="16"/>
  <c r="G289" i="16"/>
  <c r="F289" i="16"/>
  <c r="E289" i="16"/>
  <c r="I288" i="16"/>
  <c r="I287" i="16" s="1"/>
  <c r="K287" i="16"/>
  <c r="N287" i="16" s="1"/>
  <c r="J287" i="16"/>
  <c r="H287" i="16"/>
  <c r="G287" i="16"/>
  <c r="F287" i="16"/>
  <c r="E287" i="16"/>
  <c r="I286" i="16"/>
  <c r="L286" i="16" s="1"/>
  <c r="O286" i="16" s="1"/>
  <c r="P286" i="16" s="1"/>
  <c r="I285" i="16"/>
  <c r="L285" i="16" s="1"/>
  <c r="O285" i="16" s="1"/>
  <c r="P285" i="16" s="1"/>
  <c r="I284" i="16"/>
  <c r="L284" i="16" s="1"/>
  <c r="O284" i="16" s="1"/>
  <c r="K283" i="16"/>
  <c r="N283" i="16" s="1"/>
  <c r="J283" i="16"/>
  <c r="H283" i="16"/>
  <c r="G283" i="16"/>
  <c r="F283" i="16"/>
  <c r="E283" i="16"/>
  <c r="I282" i="16"/>
  <c r="L282" i="16" s="1"/>
  <c r="O282" i="16" s="1"/>
  <c r="P282" i="16" s="1"/>
  <c r="I281" i="16"/>
  <c r="K280" i="16"/>
  <c r="N280" i="16" s="1"/>
  <c r="J280" i="16"/>
  <c r="H280" i="16"/>
  <c r="G280" i="16"/>
  <c r="F280" i="16"/>
  <c r="E280" i="16"/>
  <c r="I279" i="16"/>
  <c r="L279" i="16" s="1"/>
  <c r="O279" i="16" s="1"/>
  <c r="P279" i="16" s="1"/>
  <c r="I278" i="16"/>
  <c r="L278" i="16" s="1"/>
  <c r="O278" i="16" s="1"/>
  <c r="P278" i="16" s="1"/>
  <c r="I277" i="16"/>
  <c r="L277" i="16" s="1"/>
  <c r="O277" i="16" s="1"/>
  <c r="P277" i="16" s="1"/>
  <c r="I276" i="16"/>
  <c r="L276" i="16" s="1"/>
  <c r="O276" i="16" s="1"/>
  <c r="P276" i="16" s="1"/>
  <c r="I275" i="16"/>
  <c r="L275" i="16" s="1"/>
  <c r="O275" i="16" s="1"/>
  <c r="P275" i="16" s="1"/>
  <c r="I274" i="16"/>
  <c r="K273" i="16"/>
  <c r="N273" i="16" s="1"/>
  <c r="J273" i="16"/>
  <c r="H273" i="16"/>
  <c r="G273" i="16"/>
  <c r="F273" i="16"/>
  <c r="E273" i="16"/>
  <c r="I272" i="16"/>
  <c r="I271" i="16" s="1"/>
  <c r="K271" i="16"/>
  <c r="N271" i="16" s="1"/>
  <c r="J271" i="16"/>
  <c r="H271" i="16"/>
  <c r="G271" i="16"/>
  <c r="F271" i="16"/>
  <c r="E271" i="16"/>
  <c r="I270" i="16"/>
  <c r="L270" i="16" s="1"/>
  <c r="O270" i="16" s="1"/>
  <c r="P270" i="16" s="1"/>
  <c r="I269" i="16"/>
  <c r="L269" i="16" s="1"/>
  <c r="O269" i="16" s="1"/>
  <c r="P269" i="16" s="1"/>
  <c r="I268" i="16"/>
  <c r="L268" i="16" s="1"/>
  <c r="O268" i="16" s="1"/>
  <c r="K267" i="16"/>
  <c r="N267" i="16" s="1"/>
  <c r="J267" i="16"/>
  <c r="H267" i="16"/>
  <c r="G267" i="16"/>
  <c r="F267" i="16"/>
  <c r="E267" i="16"/>
  <c r="I266" i="16"/>
  <c r="L266" i="16" s="1"/>
  <c r="O266" i="16" s="1"/>
  <c r="P266" i="16" s="1"/>
  <c r="I265" i="16"/>
  <c r="K264" i="16"/>
  <c r="N264" i="16" s="1"/>
  <c r="J264" i="16"/>
  <c r="H264" i="16"/>
  <c r="G264" i="16"/>
  <c r="F264" i="16"/>
  <c r="E264" i="16"/>
  <c r="I263" i="16"/>
  <c r="L263" i="16" s="1"/>
  <c r="I262" i="16"/>
  <c r="L262" i="16" s="1"/>
  <c r="L259" i="16"/>
  <c r="P258" i="16"/>
  <c r="O258" i="16"/>
  <c r="I258" i="16"/>
  <c r="H258" i="16"/>
  <c r="G258" i="16"/>
  <c r="F258" i="16"/>
  <c r="E258" i="16"/>
  <c r="E257" i="16"/>
  <c r="E254" i="16" s="1"/>
  <c r="I256" i="16"/>
  <c r="L256" i="16" s="1"/>
  <c r="O256" i="16" s="1"/>
  <c r="P256" i="16" s="1"/>
  <c r="I255" i="16"/>
  <c r="L255" i="16" s="1"/>
  <c r="O255" i="16" s="1"/>
  <c r="K254" i="16"/>
  <c r="N254" i="16" s="1"/>
  <c r="J254" i="16"/>
  <c r="H254" i="16"/>
  <c r="G254" i="16"/>
  <c r="F254" i="16"/>
  <c r="I253" i="16"/>
  <c r="L253" i="16" s="1"/>
  <c r="O253" i="16" s="1"/>
  <c r="K252" i="16"/>
  <c r="N252" i="16" s="1"/>
  <c r="J252" i="16"/>
  <c r="H252" i="16"/>
  <c r="G252" i="16"/>
  <c r="F252" i="16"/>
  <c r="E252" i="16"/>
  <c r="I251" i="16"/>
  <c r="L251" i="16" s="1"/>
  <c r="O251" i="16" s="1"/>
  <c r="P251" i="16" s="1"/>
  <c r="I250" i="16"/>
  <c r="I249" i="16" s="1"/>
  <c r="K249" i="16"/>
  <c r="N249" i="16" s="1"/>
  <c r="J249" i="16"/>
  <c r="H249" i="16"/>
  <c r="G249" i="16"/>
  <c r="F249" i="16"/>
  <c r="E249" i="16"/>
  <c r="I248" i="16"/>
  <c r="K247" i="16"/>
  <c r="N247" i="16" s="1"/>
  <c r="J247" i="16"/>
  <c r="H247" i="16"/>
  <c r="G247" i="16"/>
  <c r="F247" i="16"/>
  <c r="E247" i="16"/>
  <c r="I246" i="16"/>
  <c r="L246" i="16" s="1"/>
  <c r="O246" i="16" s="1"/>
  <c r="P246" i="16" s="1"/>
  <c r="I245" i="16"/>
  <c r="L245" i="16" s="1"/>
  <c r="O245" i="16" s="1"/>
  <c r="P245" i="16" s="1"/>
  <c r="I244" i="16"/>
  <c r="K243" i="16"/>
  <c r="N243" i="16" s="1"/>
  <c r="J243" i="16"/>
  <c r="H243" i="16"/>
  <c r="G243" i="16"/>
  <c r="F243" i="16"/>
  <c r="E243" i="16"/>
  <c r="I242" i="16"/>
  <c r="L242" i="16" s="1"/>
  <c r="O242" i="16" s="1"/>
  <c r="P242" i="16" s="1"/>
  <c r="I241" i="16"/>
  <c r="L241" i="16" s="1"/>
  <c r="O241" i="16" s="1"/>
  <c r="K240" i="16"/>
  <c r="N240" i="16" s="1"/>
  <c r="J240" i="16"/>
  <c r="H240" i="16"/>
  <c r="G240" i="16"/>
  <c r="F240" i="16"/>
  <c r="E240" i="16"/>
  <c r="I239" i="16"/>
  <c r="L239" i="16" s="1"/>
  <c r="O239" i="16" s="1"/>
  <c r="P239" i="16" s="1"/>
  <c r="I238" i="16"/>
  <c r="L238" i="16" s="1"/>
  <c r="O238" i="16" s="1"/>
  <c r="P238" i="16" s="1"/>
  <c r="I237" i="16"/>
  <c r="L237" i="16" s="1"/>
  <c r="O237" i="16" s="1"/>
  <c r="P237" i="16" s="1"/>
  <c r="I236" i="16"/>
  <c r="L236" i="16" s="1"/>
  <c r="O236" i="16" s="1"/>
  <c r="P236" i="16" s="1"/>
  <c r="I235" i="16"/>
  <c r="L235" i="16" s="1"/>
  <c r="O235" i="16" s="1"/>
  <c r="P235" i="16" s="1"/>
  <c r="I234" i="16"/>
  <c r="L234" i="16" s="1"/>
  <c r="O234" i="16" s="1"/>
  <c r="K233" i="16"/>
  <c r="N233" i="16" s="1"/>
  <c r="J233" i="16"/>
  <c r="H233" i="16"/>
  <c r="G233" i="16"/>
  <c r="F233" i="16"/>
  <c r="E233" i="16"/>
  <c r="I232" i="16"/>
  <c r="L232" i="16" s="1"/>
  <c r="O232" i="16" s="1"/>
  <c r="K231" i="16"/>
  <c r="N231" i="16" s="1"/>
  <c r="J231" i="16"/>
  <c r="H231" i="16"/>
  <c r="G231" i="16"/>
  <c r="F231" i="16"/>
  <c r="E231" i="16"/>
  <c r="I230" i="16"/>
  <c r="L230" i="16" s="1"/>
  <c r="O230" i="16" s="1"/>
  <c r="P230" i="16" s="1"/>
  <c r="I229" i="16"/>
  <c r="L229" i="16" s="1"/>
  <c r="O229" i="16" s="1"/>
  <c r="P229" i="16" s="1"/>
  <c r="I228" i="16"/>
  <c r="K227" i="16"/>
  <c r="N227" i="16" s="1"/>
  <c r="J227" i="16"/>
  <c r="H227" i="16"/>
  <c r="G227" i="16"/>
  <c r="F227" i="16"/>
  <c r="E227" i="16"/>
  <c r="I226" i="16"/>
  <c r="L226" i="16" s="1"/>
  <c r="O226" i="16" s="1"/>
  <c r="P226" i="16" s="1"/>
  <c r="I225" i="16"/>
  <c r="L225" i="16" s="1"/>
  <c r="O225" i="16" s="1"/>
  <c r="K224" i="16"/>
  <c r="N224" i="16" s="1"/>
  <c r="J224" i="16"/>
  <c r="H224" i="16"/>
  <c r="G224" i="16"/>
  <c r="F224" i="16"/>
  <c r="E224" i="16"/>
  <c r="I223" i="16"/>
  <c r="L223" i="16" s="1"/>
  <c r="O223" i="16" s="1"/>
  <c r="P223" i="16" s="1"/>
  <c r="I222" i="16"/>
  <c r="L222" i="16" s="1"/>
  <c r="O222" i="16" s="1"/>
  <c r="K221" i="16"/>
  <c r="N221" i="16" s="1"/>
  <c r="J221" i="16"/>
  <c r="H221" i="16"/>
  <c r="G221" i="16"/>
  <c r="F221" i="16"/>
  <c r="E221" i="16"/>
  <c r="I220" i="16"/>
  <c r="L220" i="16" s="1"/>
  <c r="I219" i="16"/>
  <c r="L219" i="16" s="1"/>
  <c r="L216" i="16"/>
  <c r="P215" i="16"/>
  <c r="O215" i="16"/>
  <c r="I215" i="16"/>
  <c r="H215" i="16"/>
  <c r="G215" i="16"/>
  <c r="F215" i="16"/>
  <c r="E215" i="16"/>
  <c r="I214" i="16"/>
  <c r="L214" i="16" s="1"/>
  <c r="O214" i="16" s="1"/>
  <c r="P214" i="16" s="1"/>
  <c r="I213" i="16"/>
  <c r="K212" i="16"/>
  <c r="N212" i="16" s="1"/>
  <c r="J212" i="16"/>
  <c r="H212" i="16"/>
  <c r="G212" i="16"/>
  <c r="F212" i="16"/>
  <c r="E212" i="16"/>
  <c r="I211" i="16"/>
  <c r="L211" i="16" s="1"/>
  <c r="O211" i="16" s="1"/>
  <c r="P211" i="16" s="1"/>
  <c r="P210" i="16" s="1"/>
  <c r="K210" i="16"/>
  <c r="N210" i="16" s="1"/>
  <c r="J210" i="16"/>
  <c r="H210" i="16"/>
  <c r="G210" i="16"/>
  <c r="F210" i="16"/>
  <c r="E210" i="16"/>
  <c r="I209" i="16"/>
  <c r="L209" i="16" s="1"/>
  <c r="O209" i="16" s="1"/>
  <c r="P209" i="16" s="1"/>
  <c r="I208" i="16"/>
  <c r="L208" i="16" s="1"/>
  <c r="O208" i="16" s="1"/>
  <c r="K207" i="16"/>
  <c r="N207" i="16" s="1"/>
  <c r="J207" i="16"/>
  <c r="H207" i="16"/>
  <c r="G207" i="16"/>
  <c r="F207" i="16"/>
  <c r="E207" i="16"/>
  <c r="I206" i="16"/>
  <c r="I205" i="16" s="1"/>
  <c r="K205" i="16"/>
  <c r="N205" i="16" s="1"/>
  <c r="J205" i="16"/>
  <c r="H205" i="16"/>
  <c r="G205" i="16"/>
  <c r="F205" i="16"/>
  <c r="E205" i="16"/>
  <c r="I204" i="16"/>
  <c r="L204" i="16" s="1"/>
  <c r="O204" i="16" s="1"/>
  <c r="P204" i="16" s="1"/>
  <c r="I203" i="16"/>
  <c r="L203" i="16" s="1"/>
  <c r="O203" i="16" s="1"/>
  <c r="P203" i="16" s="1"/>
  <c r="I202" i="16"/>
  <c r="L202" i="16" s="1"/>
  <c r="O202" i="16" s="1"/>
  <c r="K201" i="16"/>
  <c r="N201" i="16" s="1"/>
  <c r="J201" i="16"/>
  <c r="H201" i="16"/>
  <c r="G201" i="16"/>
  <c r="F201" i="16"/>
  <c r="E201" i="16"/>
  <c r="I200" i="16"/>
  <c r="L200" i="16" s="1"/>
  <c r="O200" i="16" s="1"/>
  <c r="P200" i="16" s="1"/>
  <c r="I199" i="16"/>
  <c r="K198" i="16"/>
  <c r="N198" i="16" s="1"/>
  <c r="J198" i="16"/>
  <c r="H198" i="16"/>
  <c r="G198" i="16"/>
  <c r="F198" i="16"/>
  <c r="E198" i="16"/>
  <c r="I197" i="16"/>
  <c r="L197" i="16" s="1"/>
  <c r="O197" i="16" s="1"/>
  <c r="P197" i="16" s="1"/>
  <c r="I196" i="16"/>
  <c r="L196" i="16" s="1"/>
  <c r="O196" i="16" s="1"/>
  <c r="P196" i="16" s="1"/>
  <c r="I195" i="16"/>
  <c r="L195" i="16" s="1"/>
  <c r="O195" i="16" s="1"/>
  <c r="P195" i="16" s="1"/>
  <c r="I194" i="16"/>
  <c r="L194" i="16" s="1"/>
  <c r="O194" i="16" s="1"/>
  <c r="K193" i="16"/>
  <c r="N193" i="16" s="1"/>
  <c r="J193" i="16"/>
  <c r="H193" i="16"/>
  <c r="G193" i="16"/>
  <c r="F193" i="16"/>
  <c r="E193" i="16"/>
  <c r="I192" i="16"/>
  <c r="L192" i="16" s="1"/>
  <c r="O192" i="16" s="1"/>
  <c r="P192" i="16" s="1"/>
  <c r="P191" i="16" s="1"/>
  <c r="K191" i="16"/>
  <c r="N191" i="16" s="1"/>
  <c r="J191" i="16"/>
  <c r="I191" i="16"/>
  <c r="H191" i="16"/>
  <c r="G191" i="16"/>
  <c r="F191" i="16"/>
  <c r="E191" i="16"/>
  <c r="I190" i="16"/>
  <c r="L190" i="16" s="1"/>
  <c r="O190" i="16" s="1"/>
  <c r="P190" i="16" s="1"/>
  <c r="I189" i="16"/>
  <c r="L189" i="16" s="1"/>
  <c r="O189" i="16" s="1"/>
  <c r="P189" i="16" s="1"/>
  <c r="I188" i="16"/>
  <c r="L188" i="16" s="1"/>
  <c r="O188" i="16" s="1"/>
  <c r="K187" i="16"/>
  <c r="N187" i="16" s="1"/>
  <c r="J187" i="16"/>
  <c r="H187" i="16"/>
  <c r="G187" i="16"/>
  <c r="F187" i="16"/>
  <c r="E187" i="16"/>
  <c r="I186" i="16"/>
  <c r="L186" i="16" s="1"/>
  <c r="O186" i="16" s="1"/>
  <c r="P186" i="16" s="1"/>
  <c r="I185" i="16"/>
  <c r="K184" i="16"/>
  <c r="N184" i="16" s="1"/>
  <c r="J184" i="16"/>
  <c r="H184" i="16"/>
  <c r="G184" i="16"/>
  <c r="F184" i="16"/>
  <c r="E184" i="16"/>
  <c r="I183" i="16"/>
  <c r="L183" i="16" s="1"/>
  <c r="O183" i="16" s="1"/>
  <c r="P183" i="16" s="1"/>
  <c r="I182" i="16"/>
  <c r="K181" i="16"/>
  <c r="N181" i="16" s="1"/>
  <c r="J181" i="16"/>
  <c r="H181" i="16"/>
  <c r="G181" i="16"/>
  <c r="F181" i="16"/>
  <c r="E181" i="16"/>
  <c r="I180" i="16"/>
  <c r="L180" i="16" s="1"/>
  <c r="I179" i="16"/>
  <c r="L179" i="16" s="1"/>
  <c r="I176" i="16"/>
  <c r="L176" i="16" s="1"/>
  <c r="O176" i="16" s="1"/>
  <c r="P176" i="16" s="1"/>
  <c r="P175" i="16" s="1"/>
  <c r="E175" i="16"/>
  <c r="I174" i="16"/>
  <c r="L174" i="16" s="1"/>
  <c r="O174" i="16" s="1"/>
  <c r="K173" i="16"/>
  <c r="N173" i="16" s="1"/>
  <c r="J173" i="16"/>
  <c r="H173" i="16"/>
  <c r="G173" i="16"/>
  <c r="F173" i="16"/>
  <c r="E173" i="16"/>
  <c r="I172" i="16"/>
  <c r="L172" i="16" s="1"/>
  <c r="O172" i="16" s="1"/>
  <c r="P172" i="16" s="1"/>
  <c r="I171" i="16"/>
  <c r="K170" i="16"/>
  <c r="N170" i="16" s="1"/>
  <c r="J170" i="16"/>
  <c r="H170" i="16"/>
  <c r="G170" i="16"/>
  <c r="F170" i="16"/>
  <c r="E170" i="16"/>
  <c r="I169" i="16"/>
  <c r="L169" i="16" s="1"/>
  <c r="O169" i="16" s="1"/>
  <c r="K168" i="16"/>
  <c r="N168" i="16" s="1"/>
  <c r="J168" i="16"/>
  <c r="H168" i="16"/>
  <c r="G168" i="16"/>
  <c r="F168" i="16"/>
  <c r="E168" i="16"/>
  <c r="I167" i="16"/>
  <c r="L167" i="16" s="1"/>
  <c r="O167" i="16" s="1"/>
  <c r="P167" i="16" s="1"/>
  <c r="I166" i="16"/>
  <c r="K165" i="16"/>
  <c r="N165" i="16" s="1"/>
  <c r="J165" i="16"/>
  <c r="H165" i="16"/>
  <c r="G165" i="16"/>
  <c r="F165" i="16"/>
  <c r="E165" i="16"/>
  <c r="I164" i="16"/>
  <c r="L164" i="16" s="1"/>
  <c r="O164" i="16" s="1"/>
  <c r="K163" i="16"/>
  <c r="N163" i="16" s="1"/>
  <c r="J163" i="16"/>
  <c r="H163" i="16"/>
  <c r="G163" i="16"/>
  <c r="F163" i="16"/>
  <c r="E163" i="16"/>
  <c r="I162" i="16"/>
  <c r="L162" i="16" s="1"/>
  <c r="O162" i="16" s="1"/>
  <c r="P162" i="16" s="1"/>
  <c r="I161" i="16"/>
  <c r="L161" i="16" s="1"/>
  <c r="O161" i="16" s="1"/>
  <c r="P161" i="16" s="1"/>
  <c r="E160" i="16"/>
  <c r="I160" i="16" s="1"/>
  <c r="L160" i="16" s="1"/>
  <c r="O160" i="16" s="1"/>
  <c r="K159" i="16"/>
  <c r="N159" i="16" s="1"/>
  <c r="J159" i="16"/>
  <c r="H159" i="16"/>
  <c r="G159" i="16"/>
  <c r="F159" i="16"/>
  <c r="I158" i="16"/>
  <c r="L158" i="16" s="1"/>
  <c r="O158" i="16" s="1"/>
  <c r="P158" i="16" s="1"/>
  <c r="I157" i="16"/>
  <c r="L157" i="16" s="1"/>
  <c r="O157" i="16" s="1"/>
  <c r="K156" i="16"/>
  <c r="N156" i="16" s="1"/>
  <c r="J156" i="16"/>
  <c r="H156" i="16"/>
  <c r="G156" i="16"/>
  <c r="F156" i="16"/>
  <c r="E156" i="16"/>
  <c r="I155" i="16"/>
  <c r="L155" i="16" s="1"/>
  <c r="O155" i="16" s="1"/>
  <c r="P155" i="16" s="1"/>
  <c r="I154" i="16"/>
  <c r="L154" i="16" s="1"/>
  <c r="O154" i="16" s="1"/>
  <c r="P154" i="16" s="1"/>
  <c r="I153" i="16"/>
  <c r="L153" i="16" s="1"/>
  <c r="O153" i="16" s="1"/>
  <c r="P153" i="16" s="1"/>
  <c r="I152" i="16"/>
  <c r="L152" i="16" s="1"/>
  <c r="O152" i="16" s="1"/>
  <c r="P152" i="16" s="1"/>
  <c r="I151" i="16"/>
  <c r="L151" i="16" s="1"/>
  <c r="O151" i="16" s="1"/>
  <c r="P151" i="16" s="1"/>
  <c r="I150" i="16"/>
  <c r="I149" i="16"/>
  <c r="L149" i="16" s="1"/>
  <c r="O149" i="16" s="1"/>
  <c r="P149" i="16" s="1"/>
  <c r="K148" i="16"/>
  <c r="N148" i="16" s="1"/>
  <c r="J148" i="16"/>
  <c r="H148" i="16"/>
  <c r="G148" i="16"/>
  <c r="F148" i="16"/>
  <c r="E148" i="16"/>
  <c r="E147" i="16"/>
  <c r="E144" i="16" s="1"/>
  <c r="I146" i="16"/>
  <c r="L146" i="16" s="1"/>
  <c r="O146" i="16" s="1"/>
  <c r="P146" i="16" s="1"/>
  <c r="I145" i="16"/>
  <c r="L145" i="16" s="1"/>
  <c r="O145" i="16" s="1"/>
  <c r="K144" i="16"/>
  <c r="N144" i="16" s="1"/>
  <c r="J144" i="16"/>
  <c r="H144" i="16"/>
  <c r="G144" i="16"/>
  <c r="F144" i="16"/>
  <c r="I143" i="16"/>
  <c r="L143" i="16" s="1"/>
  <c r="O143" i="16" s="1"/>
  <c r="P143" i="16" s="1"/>
  <c r="I142" i="16"/>
  <c r="L142" i="16" s="1"/>
  <c r="O142" i="16" s="1"/>
  <c r="K141" i="16"/>
  <c r="N141" i="16" s="1"/>
  <c r="J141" i="16"/>
  <c r="H141" i="16"/>
  <c r="G141" i="16"/>
  <c r="F141" i="16"/>
  <c r="E141" i="16"/>
  <c r="I140" i="16"/>
  <c r="L140" i="16" s="1"/>
  <c r="O140" i="16" s="1"/>
  <c r="P140" i="16" s="1"/>
  <c r="I139" i="16"/>
  <c r="K138" i="16"/>
  <c r="N138" i="16" s="1"/>
  <c r="J138" i="16"/>
  <c r="H138" i="16"/>
  <c r="G138" i="16"/>
  <c r="F138" i="16"/>
  <c r="E138" i="16"/>
  <c r="I137" i="16"/>
  <c r="L137" i="16" s="1"/>
  <c r="I136" i="16"/>
  <c r="L136" i="16" s="1"/>
  <c r="I133" i="16"/>
  <c r="L133" i="16" s="1"/>
  <c r="O133" i="16" s="1"/>
  <c r="E132" i="16"/>
  <c r="I132" i="16" s="1"/>
  <c r="L132" i="16" s="1"/>
  <c r="E131" i="16"/>
  <c r="E130" i="16" s="1"/>
  <c r="K130" i="16"/>
  <c r="N130" i="16" s="1"/>
  <c r="J130" i="16"/>
  <c r="H130" i="16"/>
  <c r="G130" i="16"/>
  <c r="F130" i="16"/>
  <c r="I129" i="16"/>
  <c r="L129" i="16" s="1"/>
  <c r="O129" i="16" s="1"/>
  <c r="P129" i="16" s="1"/>
  <c r="I128" i="16"/>
  <c r="L128" i="16" s="1"/>
  <c r="O128" i="16" s="1"/>
  <c r="P128" i="16" s="1"/>
  <c r="K127" i="16"/>
  <c r="N127" i="16" s="1"/>
  <c r="J127" i="16"/>
  <c r="H127" i="16"/>
  <c r="G127" i="16"/>
  <c r="F127" i="16"/>
  <c r="E127" i="16"/>
  <c r="I126" i="16"/>
  <c r="I125" i="16" s="1"/>
  <c r="K125" i="16"/>
  <c r="N125" i="16" s="1"/>
  <c r="J125" i="16"/>
  <c r="H125" i="16"/>
  <c r="G125" i="16"/>
  <c r="F125" i="16"/>
  <c r="E125" i="16"/>
  <c r="I124" i="16"/>
  <c r="L124" i="16" s="1"/>
  <c r="O124" i="16" s="1"/>
  <c r="I123" i="16"/>
  <c r="L123" i="16" s="1"/>
  <c r="O123" i="16" s="1"/>
  <c r="P123" i="16" s="1"/>
  <c r="K122" i="16"/>
  <c r="N122" i="16" s="1"/>
  <c r="J122" i="16"/>
  <c r="H122" i="16"/>
  <c r="G122" i="16"/>
  <c r="F122" i="16"/>
  <c r="E122" i="16"/>
  <c r="I121" i="16"/>
  <c r="I120" i="16" s="1"/>
  <c r="K120" i="16"/>
  <c r="N120" i="16" s="1"/>
  <c r="J120" i="16"/>
  <c r="H120" i="16"/>
  <c r="G120" i="16"/>
  <c r="F120" i="16"/>
  <c r="E120" i="16"/>
  <c r="I119" i="16"/>
  <c r="L119" i="16" s="1"/>
  <c r="O119" i="16" s="1"/>
  <c r="P119" i="16" s="1"/>
  <c r="I118" i="16"/>
  <c r="L118" i="16" s="1"/>
  <c r="O118" i="16" s="1"/>
  <c r="P118" i="16" s="1"/>
  <c r="K117" i="16"/>
  <c r="N117" i="16" s="1"/>
  <c r="J117" i="16"/>
  <c r="H117" i="16"/>
  <c r="G117" i="16"/>
  <c r="F117" i="16"/>
  <c r="E117" i="16"/>
  <c r="I116" i="16"/>
  <c r="L116" i="16" s="1"/>
  <c r="O116" i="16" s="1"/>
  <c r="P116" i="16" s="1"/>
  <c r="I115" i="16"/>
  <c r="L115" i="16" s="1"/>
  <c r="O115" i="16" s="1"/>
  <c r="P115" i="16" s="1"/>
  <c r="I114" i="16"/>
  <c r="K113" i="16"/>
  <c r="N113" i="16" s="1"/>
  <c r="J113" i="16"/>
  <c r="H113" i="16"/>
  <c r="G113" i="16"/>
  <c r="F113" i="16"/>
  <c r="E113" i="16"/>
  <c r="I112" i="16"/>
  <c r="L112" i="16" s="1"/>
  <c r="O112" i="16" s="1"/>
  <c r="P112" i="16" s="1"/>
  <c r="I111" i="16"/>
  <c r="L111" i="16" s="1"/>
  <c r="O111" i="16" s="1"/>
  <c r="P111" i="16" s="1"/>
  <c r="K110" i="16"/>
  <c r="N110" i="16" s="1"/>
  <c r="J110" i="16"/>
  <c r="H110" i="16"/>
  <c r="G110" i="16"/>
  <c r="F110" i="16"/>
  <c r="E110" i="16"/>
  <c r="I109" i="16"/>
  <c r="L109" i="16" s="1"/>
  <c r="O109" i="16" s="1"/>
  <c r="P109" i="16" s="1"/>
  <c r="I108" i="16"/>
  <c r="L108" i="16" s="1"/>
  <c r="O108" i="16" s="1"/>
  <c r="P108" i="16" s="1"/>
  <c r="I107" i="16"/>
  <c r="L107" i="16" s="1"/>
  <c r="O107" i="16" s="1"/>
  <c r="P107" i="16" s="1"/>
  <c r="I106" i="16"/>
  <c r="L106" i="16" s="1"/>
  <c r="O106" i="16" s="1"/>
  <c r="P106" i="16" s="1"/>
  <c r="I105" i="16"/>
  <c r="L105" i="16" s="1"/>
  <c r="O105" i="16" s="1"/>
  <c r="P105" i="16" s="1"/>
  <c r="I104" i="16"/>
  <c r="L104" i="16" s="1"/>
  <c r="O104" i="16" s="1"/>
  <c r="K103" i="16"/>
  <c r="N103" i="16" s="1"/>
  <c r="J103" i="16"/>
  <c r="H103" i="16"/>
  <c r="G103" i="16"/>
  <c r="F103" i="16"/>
  <c r="E103" i="16"/>
  <c r="I102" i="16"/>
  <c r="L102" i="16" s="1"/>
  <c r="O102" i="16" s="1"/>
  <c r="P102" i="16" s="1"/>
  <c r="P101" i="16" s="1"/>
  <c r="K101" i="16"/>
  <c r="N101" i="16" s="1"/>
  <c r="J101" i="16"/>
  <c r="H101" i="16"/>
  <c r="G101" i="16"/>
  <c r="F101" i="16"/>
  <c r="E101" i="16"/>
  <c r="E100" i="16"/>
  <c r="I100" i="16" s="1"/>
  <c r="I99" i="16"/>
  <c r="L99" i="16" s="1"/>
  <c r="O99" i="16" s="1"/>
  <c r="P99" i="16" s="1"/>
  <c r="I98" i="16"/>
  <c r="L98" i="16" s="1"/>
  <c r="O98" i="16" s="1"/>
  <c r="P98" i="16" s="1"/>
  <c r="K97" i="16"/>
  <c r="N97" i="16" s="1"/>
  <c r="J97" i="16"/>
  <c r="H97" i="16"/>
  <c r="G97" i="16"/>
  <c r="F97" i="16"/>
  <c r="I96" i="16"/>
  <c r="L96" i="16" s="1"/>
  <c r="O96" i="16" s="1"/>
  <c r="P96" i="16" s="1"/>
  <c r="I95" i="16"/>
  <c r="K94" i="16"/>
  <c r="N94" i="16" s="1"/>
  <c r="J94" i="16"/>
  <c r="H94" i="16"/>
  <c r="G94" i="16"/>
  <c r="F94" i="16"/>
  <c r="E94" i="16"/>
  <c r="I93" i="16"/>
  <c r="L93" i="16" s="1"/>
  <c r="O93" i="16" s="1"/>
  <c r="P93" i="16" s="1"/>
  <c r="I92" i="16"/>
  <c r="L92" i="16" s="1"/>
  <c r="O92" i="16" s="1"/>
  <c r="K91" i="16"/>
  <c r="N91" i="16" s="1"/>
  <c r="J91" i="16"/>
  <c r="H91" i="16"/>
  <c r="G91" i="16"/>
  <c r="F91" i="16"/>
  <c r="E91" i="16"/>
  <c r="I90" i="16"/>
  <c r="L90" i="16" s="1"/>
  <c r="O90" i="16" s="1"/>
  <c r="P90" i="16" s="1"/>
  <c r="I89" i="16"/>
  <c r="L89" i="16" s="1"/>
  <c r="O89" i="16" s="1"/>
  <c r="P89" i="16" s="1"/>
  <c r="I88" i="16"/>
  <c r="L88" i="16" s="1"/>
  <c r="I85" i="16"/>
  <c r="L85" i="16" s="1"/>
  <c r="O85" i="16" s="1"/>
  <c r="P85" i="16" s="1"/>
  <c r="I84" i="16"/>
  <c r="L84" i="16" s="1"/>
  <c r="E83" i="16"/>
  <c r="E82" i="16"/>
  <c r="I82" i="16" s="1"/>
  <c r="L82" i="16" s="1"/>
  <c r="O82" i="16" s="1"/>
  <c r="K81" i="16"/>
  <c r="N81" i="16" s="1"/>
  <c r="J81" i="16"/>
  <c r="H81" i="16"/>
  <c r="G81" i="16"/>
  <c r="F81" i="16"/>
  <c r="H80" i="16"/>
  <c r="H79" i="16" s="1"/>
  <c r="K79" i="16"/>
  <c r="N79" i="16" s="1"/>
  <c r="J79" i="16"/>
  <c r="G79" i="16"/>
  <c r="F79" i="16"/>
  <c r="E79" i="16"/>
  <c r="E78" i="16"/>
  <c r="I78" i="16" s="1"/>
  <c r="L78" i="16" s="1"/>
  <c r="O78" i="16" s="1"/>
  <c r="P78" i="16" s="1"/>
  <c r="I77" i="16"/>
  <c r="L77" i="16" s="1"/>
  <c r="O77" i="16" s="1"/>
  <c r="P77" i="16" s="1"/>
  <c r="E76" i="16"/>
  <c r="I76" i="16" s="1"/>
  <c r="K75" i="16"/>
  <c r="J75" i="16"/>
  <c r="H75" i="16"/>
  <c r="G75" i="16"/>
  <c r="F75" i="16"/>
  <c r="I74" i="16"/>
  <c r="L74" i="16" s="1"/>
  <c r="O74" i="16" s="1"/>
  <c r="P74" i="16" s="1"/>
  <c r="I73" i="16"/>
  <c r="L73" i="16" s="1"/>
  <c r="O73" i="16" s="1"/>
  <c r="P73" i="16" s="1"/>
  <c r="E71" i="16"/>
  <c r="I71" i="16" s="1"/>
  <c r="L71" i="16" s="1"/>
  <c r="O71" i="16" s="1"/>
  <c r="E69" i="16"/>
  <c r="I69" i="16" s="1"/>
  <c r="K68" i="16"/>
  <c r="N68" i="16" s="1"/>
  <c r="J68" i="16"/>
  <c r="H68" i="16"/>
  <c r="G68" i="16"/>
  <c r="F68" i="16"/>
  <c r="E67" i="16"/>
  <c r="I67" i="16" s="1"/>
  <c r="L67" i="16" s="1"/>
  <c r="O67" i="16" s="1"/>
  <c r="P67" i="16" s="1"/>
  <c r="E66" i="16"/>
  <c r="K65" i="16"/>
  <c r="N65" i="16" s="1"/>
  <c r="J65" i="16"/>
  <c r="H65" i="16"/>
  <c r="G65" i="16"/>
  <c r="F65" i="16"/>
  <c r="I64" i="16"/>
  <c r="L64" i="16" s="1"/>
  <c r="O64" i="16" s="1"/>
  <c r="P64" i="16" s="1"/>
  <c r="P63" i="16" s="1"/>
  <c r="K63" i="16"/>
  <c r="N63" i="16" s="1"/>
  <c r="J63" i="16"/>
  <c r="H63" i="16"/>
  <c r="G63" i="16"/>
  <c r="F63" i="16"/>
  <c r="E63" i="16"/>
  <c r="E62" i="16"/>
  <c r="E61" i="16"/>
  <c r="I61" i="16" s="1"/>
  <c r="L61" i="16" s="1"/>
  <c r="O61" i="16" s="1"/>
  <c r="K60" i="16"/>
  <c r="N60" i="16" s="1"/>
  <c r="J60" i="16"/>
  <c r="H60" i="16"/>
  <c r="G60" i="16"/>
  <c r="F60" i="16"/>
  <c r="O59" i="16"/>
  <c r="P59" i="16" s="1"/>
  <c r="K59" i="16"/>
  <c r="E59" i="16"/>
  <c r="I58" i="16"/>
  <c r="L58" i="16" s="1"/>
  <c r="O58" i="16" s="1"/>
  <c r="P58" i="16" s="1"/>
  <c r="I57" i="16"/>
  <c r="L57" i="16" s="1"/>
  <c r="O57" i="16" s="1"/>
  <c r="P57" i="16" s="1"/>
  <c r="I56" i="16"/>
  <c r="L56" i="16" s="1"/>
  <c r="O56" i="16" s="1"/>
  <c r="P56" i="16" s="1"/>
  <c r="E55" i="16"/>
  <c r="I55" i="16" s="1"/>
  <c r="L55" i="16" s="1"/>
  <c r="O55" i="16" s="1"/>
  <c r="J54" i="16"/>
  <c r="H54" i="16"/>
  <c r="G54" i="16"/>
  <c r="F54" i="16"/>
  <c r="E53" i="16"/>
  <c r="E52" i="16" s="1"/>
  <c r="K52" i="16"/>
  <c r="N52" i="16" s="1"/>
  <c r="J52" i="16"/>
  <c r="H52" i="16"/>
  <c r="G52" i="16"/>
  <c r="F52" i="16"/>
  <c r="E51" i="16"/>
  <c r="I51" i="16" s="1"/>
  <c r="L51" i="16" s="1"/>
  <c r="O51" i="16" s="1"/>
  <c r="P51" i="16" s="1"/>
  <c r="E50" i="16"/>
  <c r="I50" i="16" s="1"/>
  <c r="L50" i="16" s="1"/>
  <c r="O50" i="16" s="1"/>
  <c r="P50" i="16" s="1"/>
  <c r="E49" i="16"/>
  <c r="K48" i="16"/>
  <c r="N48" i="16" s="1"/>
  <c r="J48" i="16"/>
  <c r="H48" i="16"/>
  <c r="G48" i="16"/>
  <c r="F48" i="16"/>
  <c r="G44" i="16"/>
  <c r="E47" i="16"/>
  <c r="E44" i="16" s="1"/>
  <c r="E46" i="16"/>
  <c r="I46" i="16" s="1"/>
  <c r="L46" i="16" s="1"/>
  <c r="O46" i="16" s="1"/>
  <c r="P46" i="16" s="1"/>
  <c r="I45" i="16"/>
  <c r="L45" i="16" s="1"/>
  <c r="O45" i="16" s="1"/>
  <c r="K44" i="16"/>
  <c r="N44" i="16" s="1"/>
  <c r="J44" i="16"/>
  <c r="H44" i="16"/>
  <c r="F44" i="16"/>
  <c r="I43" i="16"/>
  <c r="L43" i="16" s="1"/>
  <c r="E42" i="16"/>
  <c r="I42" i="16" s="1"/>
  <c r="L42" i="16" s="1"/>
  <c r="O42" i="16" s="1"/>
  <c r="P42" i="16" s="1"/>
  <c r="I41" i="16"/>
  <c r="L41" i="16" s="1"/>
  <c r="O41" i="16" s="1"/>
  <c r="P41" i="16" s="1"/>
  <c r="E40" i="16"/>
  <c r="E39" i="16"/>
  <c r="I39" i="16" s="1"/>
  <c r="L39" i="16" s="1"/>
  <c r="O39" i="16" s="1"/>
  <c r="P39" i="16" s="1"/>
  <c r="K38" i="16"/>
  <c r="N38" i="16" s="1"/>
  <c r="J38" i="16"/>
  <c r="H38" i="16"/>
  <c r="G38" i="16"/>
  <c r="F38" i="16"/>
  <c r="E37" i="16"/>
  <c r="I37" i="16" s="1"/>
  <c r="L37" i="16" s="1"/>
  <c r="O37" i="16" s="1"/>
  <c r="P37" i="16" s="1"/>
  <c r="E36" i="16"/>
  <c r="I36" i="16" s="1"/>
  <c r="L36" i="16" s="1"/>
  <c r="O36" i="16" s="1"/>
  <c r="P36" i="16" s="1"/>
  <c r="I35" i="16"/>
  <c r="L35" i="16" s="1"/>
  <c r="O35" i="16" s="1"/>
  <c r="P35" i="16" s="1"/>
  <c r="I34" i="16"/>
  <c r="L34" i="16" s="1"/>
  <c r="O34" i="16" s="1"/>
  <c r="P34" i="16" s="1"/>
  <c r="I33" i="16"/>
  <c r="L33" i="16" s="1"/>
  <c r="O33" i="16" s="1"/>
  <c r="P33" i="16" s="1"/>
  <c r="I32" i="16"/>
  <c r="L32" i="16" s="1"/>
  <c r="O32" i="16" s="1"/>
  <c r="K31" i="16"/>
  <c r="N31" i="16" s="1"/>
  <c r="J31" i="16"/>
  <c r="H31" i="16"/>
  <c r="G31" i="16"/>
  <c r="F31" i="16"/>
  <c r="I30" i="16"/>
  <c r="L30" i="16" s="1"/>
  <c r="O30" i="16" s="1"/>
  <c r="P30" i="16" s="1"/>
  <c r="I29" i="16"/>
  <c r="L29" i="16" s="1"/>
  <c r="O29" i="16" s="1"/>
  <c r="P29" i="16" s="1"/>
  <c r="I28" i="16"/>
  <c r="K27" i="16"/>
  <c r="N27" i="16" s="1"/>
  <c r="J27" i="16"/>
  <c r="H27" i="16"/>
  <c r="G27" i="16"/>
  <c r="F27" i="16"/>
  <c r="E27" i="16"/>
  <c r="I26" i="16"/>
  <c r="I25" i="16"/>
  <c r="L25" i="16" s="1"/>
  <c r="O25" i="16" s="1"/>
  <c r="P25" i="16" s="1"/>
  <c r="I24" i="16"/>
  <c r="L24" i="16" s="1"/>
  <c r="O24" i="16" s="1"/>
  <c r="K23" i="16"/>
  <c r="N23" i="16" s="1"/>
  <c r="J23" i="16"/>
  <c r="H23" i="16"/>
  <c r="G23" i="16"/>
  <c r="F23" i="16"/>
  <c r="E23" i="16"/>
  <c r="I22" i="16"/>
  <c r="L22" i="16" s="1"/>
  <c r="O22" i="16" s="1"/>
  <c r="P22" i="16" s="1"/>
  <c r="E21" i="16"/>
  <c r="I21" i="16" s="1"/>
  <c r="L21" i="16" s="1"/>
  <c r="O21" i="16" s="1"/>
  <c r="P21" i="16" s="1"/>
  <c r="I20" i="16"/>
  <c r="L20" i="16" s="1"/>
  <c r="O20" i="16" s="1"/>
  <c r="P20" i="16" s="1"/>
  <c r="E19" i="16"/>
  <c r="I19" i="16" s="1"/>
  <c r="L19" i="16" s="1"/>
  <c r="O19" i="16" s="1"/>
  <c r="K18" i="16"/>
  <c r="N18" i="16" s="1"/>
  <c r="J18" i="16"/>
  <c r="H18" i="16"/>
  <c r="G18" i="16"/>
  <c r="F18" i="16"/>
  <c r="I17" i="16"/>
  <c r="L17" i="16" s="1"/>
  <c r="O17" i="16" s="1"/>
  <c r="P17" i="16" s="1"/>
  <c r="I16" i="16"/>
  <c r="L16" i="16" s="1"/>
  <c r="O16" i="16" s="1"/>
  <c r="P16" i="16" s="1"/>
  <c r="E15" i="16"/>
  <c r="E14" i="16" s="1"/>
  <c r="K14" i="16"/>
  <c r="N14" i="16" s="1"/>
  <c r="J14" i="16"/>
  <c r="H14" i="16"/>
  <c r="G14" i="16"/>
  <c r="F14" i="16"/>
  <c r="E13" i="16"/>
  <c r="E12" i="16"/>
  <c r="I12" i="16" s="1"/>
  <c r="K11" i="16"/>
  <c r="N11" i="16" s="1"/>
  <c r="J11" i="16"/>
  <c r="H11" i="16"/>
  <c r="G11" i="16"/>
  <c r="F11" i="16"/>
  <c r="I10" i="16"/>
  <c r="L10" i="16" s="1"/>
  <c r="O10" i="16" s="1"/>
  <c r="K9" i="16"/>
  <c r="N9" i="16" s="1"/>
  <c r="J9" i="16"/>
  <c r="H9" i="16"/>
  <c r="G9" i="16"/>
  <c r="F9" i="16"/>
  <c r="E9" i="16"/>
  <c r="I8" i="16"/>
  <c r="L8" i="16" s="1"/>
  <c r="O8" i="16" s="1"/>
  <c r="K7" i="16"/>
  <c r="N7" i="16" s="1"/>
  <c r="J7" i="16"/>
  <c r="I7" i="16"/>
  <c r="H7" i="16"/>
  <c r="G7" i="16"/>
  <c r="F7" i="16"/>
  <c r="E7" i="16"/>
  <c r="I6" i="16"/>
  <c r="L6" i="16" s="1"/>
  <c r="O6" i="16" s="1"/>
  <c r="P6" i="16" s="1"/>
  <c r="I5" i="16"/>
  <c r="L5" i="16" s="1"/>
  <c r="O5" i="16" s="1"/>
  <c r="P5" i="16" s="1"/>
  <c r="I4" i="16"/>
  <c r="L4" i="16" s="1"/>
  <c r="O4" i="16" s="1"/>
  <c r="P4" i="16" s="1"/>
  <c r="L3" i="16"/>
  <c r="F16" i="15"/>
  <c r="F24" i="15" s="1"/>
  <c r="E16" i="15"/>
  <c r="G14" i="15"/>
  <c r="G12" i="15"/>
  <c r="G10" i="15"/>
  <c r="G8" i="15"/>
  <c r="F6" i="15"/>
  <c r="G6" i="15" s="1"/>
  <c r="E6" i="15"/>
  <c r="B7" i="12"/>
  <c r="B13" i="11"/>
  <c r="A3" i="9"/>
  <c r="H117" i="7"/>
  <c r="F117" i="7"/>
  <c r="E117" i="7"/>
  <c r="D117" i="7"/>
  <c r="C117" i="7"/>
  <c r="G116" i="7"/>
  <c r="G115" i="7"/>
  <c r="G113" i="7"/>
  <c r="G112" i="7"/>
  <c r="G111" i="7"/>
  <c r="G110" i="7"/>
  <c r="G109" i="7"/>
  <c r="G108" i="7"/>
  <c r="G107" i="7"/>
  <c r="G106" i="7"/>
  <c r="G105" i="7"/>
  <c r="G104" i="7"/>
  <c r="G103" i="7"/>
  <c r="G102" i="7"/>
  <c r="G101" i="7"/>
  <c r="G100" i="7"/>
  <c r="G99" i="7"/>
  <c r="G98" i="7"/>
  <c r="G97" i="7"/>
  <c r="G95" i="7"/>
  <c r="G94" i="7"/>
  <c r="G93" i="7"/>
  <c r="G92" i="7"/>
  <c r="G91" i="7"/>
  <c r="G90" i="7"/>
  <c r="G89" i="7"/>
  <c r="G88" i="7"/>
  <c r="G87" i="7"/>
  <c r="G86" i="7"/>
  <c r="G85" i="7"/>
  <c r="G84" i="7"/>
  <c r="G83" i="7"/>
  <c r="G82" i="7"/>
  <c r="G81" i="7"/>
  <c r="G80" i="7"/>
  <c r="G79" i="7"/>
  <c r="G78" i="7"/>
  <c r="G77" i="7"/>
  <c r="G76" i="7"/>
  <c r="G75" i="7"/>
  <c r="G74" i="7"/>
  <c r="G73" i="7"/>
  <c r="G72" i="7"/>
  <c r="G70" i="7"/>
  <c r="G69" i="7"/>
  <c r="G68" i="7"/>
  <c r="G67" i="7"/>
  <c r="G66" i="7"/>
  <c r="G65" i="7"/>
  <c r="G64" i="7"/>
  <c r="G63" i="7"/>
  <c r="G62" i="7"/>
  <c r="G61" i="7"/>
  <c r="G60" i="7"/>
  <c r="G59" i="7"/>
  <c r="G58" i="7"/>
  <c r="G57" i="7"/>
  <c r="G55" i="7"/>
  <c r="G54" i="7"/>
  <c r="G53" i="7"/>
  <c r="G52" i="7"/>
  <c r="G51" i="7"/>
  <c r="G50" i="7"/>
  <c r="G49" i="7"/>
  <c r="G48" i="7"/>
  <c r="G47" i="7"/>
  <c r="G46" i="7"/>
  <c r="G45" i="7"/>
  <c r="G44" i="7"/>
  <c r="G43" i="7"/>
  <c r="G42" i="7"/>
  <c r="G41" i="7"/>
  <c r="G40" i="7"/>
  <c r="G39" i="7"/>
  <c r="G38" i="7"/>
  <c r="G37" i="7"/>
  <c r="G36" i="7"/>
  <c r="G35" i="7"/>
  <c r="G34" i="7"/>
  <c r="G33" i="7"/>
  <c r="G32" i="7"/>
  <c r="G31" i="7"/>
  <c r="G30" i="7"/>
  <c r="G29" i="7"/>
  <c r="G28" i="7"/>
  <c r="G27" i="7"/>
  <c r="G26" i="7"/>
  <c r="G25" i="7"/>
  <c r="G24" i="7"/>
  <c r="G23" i="7"/>
  <c r="G22" i="7"/>
  <c r="G21" i="7"/>
  <c r="G20" i="7"/>
  <c r="G19" i="7"/>
  <c r="G18" i="7"/>
  <c r="G17" i="7"/>
  <c r="G16" i="7"/>
  <c r="G15" i="7"/>
  <c r="G14" i="7"/>
  <c r="G13" i="7"/>
  <c r="G12" i="7"/>
  <c r="G11" i="7"/>
  <c r="G10" i="7"/>
  <c r="G9" i="7"/>
  <c r="G8" i="7"/>
  <c r="G7" i="7"/>
  <c r="G6" i="7"/>
  <c r="G5" i="7"/>
  <c r="G117" i="7" s="1"/>
  <c r="G4" i="7"/>
  <c r="G48" i="4"/>
  <c r="F48" i="4"/>
  <c r="E48" i="4"/>
  <c r="G42" i="4"/>
  <c r="F42" i="4"/>
  <c r="E42" i="4"/>
  <c r="D42" i="4"/>
  <c r="D45" i="4" s="1"/>
  <c r="D48" i="4" s="1"/>
  <c r="G39" i="4"/>
  <c r="F39" i="4"/>
  <c r="E39" i="4"/>
  <c r="D39" i="4"/>
  <c r="G37" i="4"/>
  <c r="F37" i="4"/>
  <c r="E37" i="4"/>
  <c r="D37" i="4"/>
  <c r="G33" i="4"/>
  <c r="F33" i="4"/>
  <c r="E33" i="4"/>
  <c r="D33" i="4"/>
  <c r="G29" i="4"/>
  <c r="F29" i="4"/>
  <c r="E29" i="4"/>
  <c r="D29" i="4"/>
  <c r="G25" i="4"/>
  <c r="F25" i="4"/>
  <c r="E25" i="4"/>
  <c r="D25" i="4"/>
  <c r="G20" i="4"/>
  <c r="F20" i="4"/>
  <c r="E20" i="4"/>
  <c r="D20" i="4"/>
  <c r="G11" i="4"/>
  <c r="F11" i="4"/>
  <c r="E11" i="4"/>
  <c r="D11" i="4"/>
  <c r="G9" i="4"/>
  <c r="F9" i="4"/>
  <c r="E9" i="4"/>
  <c r="D9" i="4"/>
  <c r="H3978" i="16" l="1"/>
  <c r="L4541" i="16"/>
  <c r="O4541" i="16" s="1"/>
  <c r="P4541" i="16" s="1"/>
  <c r="P4540" i="16" s="1"/>
  <c r="I3307" i="16"/>
  <c r="G3978" i="16"/>
  <c r="I9" i="16"/>
  <c r="L9" i="16" s="1"/>
  <c r="G1590" i="16"/>
  <c r="L3937" i="16"/>
  <c r="O3937" i="16" s="1"/>
  <c r="G4288" i="16"/>
  <c r="G4289" i="16" s="1"/>
  <c r="G4290" i="16" s="1"/>
  <c r="G2757" i="16"/>
  <c r="L2081" i="16"/>
  <c r="O2081" i="16" s="1"/>
  <c r="P2081" i="16" s="1"/>
  <c r="P2080" i="16" s="1"/>
  <c r="L3936" i="16"/>
  <c r="O4729" i="16"/>
  <c r="L4876" i="16"/>
  <c r="O4876" i="16" s="1"/>
  <c r="O4875" i="16" s="1"/>
  <c r="F2757" i="16"/>
  <c r="L3082" i="16"/>
  <c r="O3082" i="16" s="1"/>
  <c r="O3081" i="16" s="1"/>
  <c r="I2305" i="16"/>
  <c r="L2305" i="16" s="1"/>
  <c r="I3585" i="16"/>
  <c r="L3585" i="16" s="1"/>
  <c r="P2678" i="16"/>
  <c r="H4087" i="16"/>
  <c r="I4578" i="16"/>
  <c r="F4755" i="16"/>
  <c r="F4756" i="16" s="1"/>
  <c r="L2163" i="16"/>
  <c r="O2163" i="16" s="1"/>
  <c r="P2163" i="16" s="1"/>
  <c r="P2162" i="16" s="1"/>
  <c r="I2916" i="16"/>
  <c r="L3985" i="16"/>
  <c r="O3985" i="16" s="1"/>
  <c r="I3990" i="16"/>
  <c r="K4123" i="16"/>
  <c r="N4123" i="16" s="1"/>
  <c r="L3818" i="16"/>
  <c r="O3818" i="16" s="1"/>
  <c r="I2036" i="16"/>
  <c r="L2036" i="16" s="1"/>
  <c r="H2082" i="16"/>
  <c r="L4264" i="16"/>
  <c r="L4586" i="16"/>
  <c r="O4586" i="16" s="1"/>
  <c r="P4586" i="16" s="1"/>
  <c r="P4585" i="16" s="1"/>
  <c r="L1534" i="16"/>
  <c r="L288" i="16"/>
  <c r="O288" i="16" s="1"/>
  <c r="O287" i="16" s="1"/>
  <c r="I788" i="16"/>
  <c r="L788" i="16" s="1"/>
  <c r="H1928" i="16"/>
  <c r="I3498" i="16"/>
  <c r="L3498" i="16" s="1"/>
  <c r="L4119" i="16"/>
  <c r="O4119" i="16" s="1"/>
  <c r="L338" i="16"/>
  <c r="I1699" i="16"/>
  <c r="G1704" i="16"/>
  <c r="I2871" i="16"/>
  <c r="L2871" i="16" s="1"/>
  <c r="I3811" i="16"/>
  <c r="L3811" i="16" s="1"/>
  <c r="E4123" i="16"/>
  <c r="E4275" i="16"/>
  <c r="K4304" i="16"/>
  <c r="N4304" i="16" s="1"/>
  <c r="L816" i="16"/>
  <c r="O816" i="16" s="1"/>
  <c r="O815" i="16" s="1"/>
  <c r="I2478" i="16"/>
  <c r="L4067" i="16"/>
  <c r="K4712" i="16"/>
  <c r="N4712" i="16" s="1"/>
  <c r="I791" i="16"/>
  <c r="I2482" i="16"/>
  <c r="L2482" i="16" s="1"/>
  <c r="I3165" i="16"/>
  <c r="L3165" i="16" s="1"/>
  <c r="B50" i="19"/>
  <c r="D87" i="19"/>
  <c r="E89" i="19"/>
  <c r="E87" i="19" s="1"/>
  <c r="D1140" i="19"/>
  <c r="E1142" i="19"/>
  <c r="D1127" i="19"/>
  <c r="D1167" i="19"/>
  <c r="E1168" i="19"/>
  <c r="E1167" i="19" s="1"/>
  <c r="D1625" i="19"/>
  <c r="E1627" i="19"/>
  <c r="E1612" i="19" s="1"/>
  <c r="D1612" i="19"/>
  <c r="E1867" i="19"/>
  <c r="I576" i="16"/>
  <c r="L576" i="16" s="1"/>
  <c r="L761" i="16"/>
  <c r="O761" i="16" s="1"/>
  <c r="L1451" i="16"/>
  <c r="O1451" i="16" s="1"/>
  <c r="H1704" i="16"/>
  <c r="L1761" i="16"/>
  <c r="O1761" i="16" s="1"/>
  <c r="O1760" i="16" s="1"/>
  <c r="L2114" i="16"/>
  <c r="O2114" i="16" s="1"/>
  <c r="P2114" i="16" s="1"/>
  <c r="P2113" i="16" s="1"/>
  <c r="K2287" i="16"/>
  <c r="N2287" i="16" s="1"/>
  <c r="L3105" i="16"/>
  <c r="I3279" i="16"/>
  <c r="I3695" i="16"/>
  <c r="L3695" i="16" s="1"/>
  <c r="H4230" i="16"/>
  <c r="I4572" i="16"/>
  <c r="L4572" i="16" s="1"/>
  <c r="G6" i="17"/>
  <c r="E31" i="17"/>
  <c r="E38" i="17" s="1"/>
  <c r="E36" i="17" s="1"/>
  <c r="E239" i="19"/>
  <c r="E238" i="19" s="1"/>
  <c r="D495" i="19"/>
  <c r="E832" i="19"/>
  <c r="D1036" i="19"/>
  <c r="E1829" i="19"/>
  <c r="E1828" i="19" s="1"/>
  <c r="E2195" i="19"/>
  <c r="E2194" i="19" s="1"/>
  <c r="D2194" i="19"/>
  <c r="D1651" i="19"/>
  <c r="E1652" i="19"/>
  <c r="E1651" i="19" s="1"/>
  <c r="D2084" i="19"/>
  <c r="E2085" i="19"/>
  <c r="E2084" i="19" s="1"/>
  <c r="L2916" i="16"/>
  <c r="I1251" i="16"/>
  <c r="I1688" i="16"/>
  <c r="L1688" i="16" s="1"/>
  <c r="I2187" i="16"/>
  <c r="L2187" i="16" s="1"/>
  <c r="O2187" i="16" s="1"/>
  <c r="L2289" i="16"/>
  <c r="O2289" i="16" s="1"/>
  <c r="P2289" i="16" s="1"/>
  <c r="F3543" i="16"/>
  <c r="I3670" i="16"/>
  <c r="L3670" i="16" s="1"/>
  <c r="O3670" i="16" s="1"/>
  <c r="P3670" i="16" s="1"/>
  <c r="L3960" i="16"/>
  <c r="I4160" i="16"/>
  <c r="L4160" i="16" s="1"/>
  <c r="K4230" i="16"/>
  <c r="N4230" i="16" s="1"/>
  <c r="J4243" i="16"/>
  <c r="J4266" i="16"/>
  <c r="L4287" i="16"/>
  <c r="O4287" i="16" s="1"/>
  <c r="O4286" i="16" s="1"/>
  <c r="G4333" i="16"/>
  <c r="I4551" i="16"/>
  <c r="I4877" i="16"/>
  <c r="L4877" i="16" s="1"/>
  <c r="E4930" i="16"/>
  <c r="D211" i="19"/>
  <c r="E212" i="19"/>
  <c r="E211" i="19" s="1"/>
  <c r="D225" i="19"/>
  <c r="E227" i="19"/>
  <c r="E225" i="19" s="1"/>
  <c r="E304" i="19"/>
  <c r="E303" i="19" s="1"/>
  <c r="D303" i="19"/>
  <c r="E691" i="19"/>
  <c r="D871" i="19"/>
  <c r="E872" i="19"/>
  <c r="E871" i="19" s="1"/>
  <c r="E979" i="19"/>
  <c r="D1431" i="19"/>
  <c r="E1433" i="19"/>
  <c r="E1431" i="19" s="1"/>
  <c r="E1920" i="19"/>
  <c r="E1919" i="19" s="1"/>
  <c r="D1919" i="19"/>
  <c r="L4519" i="16"/>
  <c r="E1571" i="19"/>
  <c r="E1570" i="19" s="1"/>
  <c r="D1570" i="19"/>
  <c r="E159" i="16"/>
  <c r="E177" i="16" s="1"/>
  <c r="E178" i="16" s="1"/>
  <c r="L404" i="16"/>
  <c r="O404" i="16" s="1"/>
  <c r="O403" i="16" s="1"/>
  <c r="G783" i="16"/>
  <c r="I1350" i="16"/>
  <c r="L1350" i="16" s="1"/>
  <c r="L1697" i="16"/>
  <c r="O1697" i="16" s="1"/>
  <c r="E2019" i="16"/>
  <c r="J2631" i="16"/>
  <c r="J2633" i="16" s="1"/>
  <c r="G3427" i="16"/>
  <c r="G3438" i="16" s="1"/>
  <c r="G3439" i="16" s="1"/>
  <c r="H4041" i="16"/>
  <c r="E495" i="19"/>
  <c r="D875" i="19"/>
  <c r="E877" i="19"/>
  <c r="E875" i="19" s="1"/>
  <c r="E968" i="19"/>
  <c r="E967" i="19" s="1"/>
  <c r="D967" i="19"/>
  <c r="D1700" i="19"/>
  <c r="E1701" i="19"/>
  <c r="E1700" i="19" s="1"/>
  <c r="D1996" i="19"/>
  <c r="D60" i="32"/>
  <c r="E59" i="32"/>
  <c r="M21" i="34"/>
  <c r="E2155" i="19"/>
  <c r="E2154" i="19" s="1"/>
  <c r="D2154" i="19"/>
  <c r="L427" i="16"/>
  <c r="D101" i="19"/>
  <c r="E102" i="19"/>
  <c r="E101" i="19" s="1"/>
  <c r="K1908" i="16"/>
  <c r="N1908" i="16" s="1"/>
  <c r="I1912" i="16"/>
  <c r="L1912" i="16" s="1"/>
  <c r="C807" i="19" s="1"/>
  <c r="D807" i="19" s="1"/>
  <c r="L1996" i="16"/>
  <c r="L1999" i="16" s="1"/>
  <c r="I1999" i="16"/>
  <c r="I2548" i="16"/>
  <c r="L2548" i="16" s="1"/>
  <c r="H2698" i="16"/>
  <c r="H2700" i="16" s="1"/>
  <c r="E2771" i="16"/>
  <c r="G4275" i="16"/>
  <c r="G4360" i="16" s="1"/>
  <c r="E142" i="19"/>
  <c r="E141" i="19" s="1"/>
  <c r="D141" i="19"/>
  <c r="D771" i="19"/>
  <c r="D955" i="19"/>
  <c r="E956" i="19"/>
  <c r="E955" i="19" s="1"/>
  <c r="E1076" i="19"/>
  <c r="E1075" i="19" s="1"/>
  <c r="D1075" i="19"/>
  <c r="D216" i="23"/>
  <c r="E61" i="19"/>
  <c r="I1254" i="16"/>
  <c r="L1254" i="16" s="1"/>
  <c r="L1319" i="16"/>
  <c r="O1319" i="16" s="1"/>
  <c r="H3325" i="16"/>
  <c r="L4060" i="16"/>
  <c r="O4060" i="16" s="1"/>
  <c r="O4059" i="16" s="1"/>
  <c r="K4275" i="16"/>
  <c r="N4275" i="16" s="1"/>
  <c r="E197" i="19"/>
  <c r="E252" i="19"/>
  <c r="E251" i="19" s="1"/>
  <c r="D251" i="19"/>
  <c r="D357" i="19"/>
  <c r="E358" i="19"/>
  <c r="E357" i="19" s="1"/>
  <c r="D386" i="19"/>
  <c r="E400" i="19"/>
  <c r="E398" i="19" s="1"/>
  <c r="E943" i="19"/>
  <c r="D1024" i="19"/>
  <c r="E1052" i="19"/>
  <c r="E1024" i="19" s="1"/>
  <c r="E1210" i="19"/>
  <c r="E1209" i="19" s="1"/>
  <c r="D1209" i="19"/>
  <c r="E1327" i="19"/>
  <c r="D1530" i="19"/>
  <c r="E1531" i="19"/>
  <c r="E1530" i="19" s="1"/>
  <c r="D1544" i="19"/>
  <c r="E1546" i="19"/>
  <c r="E1544" i="19" s="1"/>
  <c r="E1864" i="19"/>
  <c r="E2170" i="19"/>
  <c r="E2140" i="19" s="1"/>
  <c r="D2140" i="19"/>
  <c r="I173" i="16"/>
  <c r="L173" i="16" s="1"/>
  <c r="I433" i="16"/>
  <c r="L433" i="16" s="1"/>
  <c r="I1507" i="16"/>
  <c r="L1507" i="16" s="1"/>
  <c r="F1526" i="16"/>
  <c r="I1736" i="16"/>
  <c r="L1736" i="16" s="1"/>
  <c r="I1957" i="16"/>
  <c r="L1957" i="16" s="1"/>
  <c r="I2051" i="16"/>
  <c r="L2051" i="16" s="1"/>
  <c r="L2630" i="16"/>
  <c r="O2630" i="16" s="1"/>
  <c r="O2629" i="16" s="1"/>
  <c r="H2757" i="16"/>
  <c r="L2946" i="16"/>
  <c r="O2946" i="16" s="1"/>
  <c r="O2945" i="16" s="1"/>
  <c r="I3282" i="16"/>
  <c r="L3282" i="16" s="1"/>
  <c r="I4010" i="16"/>
  <c r="L4010" i="16" s="1"/>
  <c r="C1776" i="19" s="1"/>
  <c r="I4192" i="16"/>
  <c r="L4192" i="16" s="1"/>
  <c r="D33" i="17"/>
  <c r="E836" i="19"/>
  <c r="E917" i="19"/>
  <c r="E1833" i="19"/>
  <c r="E1832" i="19" s="1"/>
  <c r="E1835" i="19" s="1"/>
  <c r="E1734" i="19" s="1"/>
  <c r="E1735" i="19" s="1"/>
  <c r="D1832" i="19"/>
  <c r="D1835" i="19" s="1"/>
  <c r="D1734" i="19" s="1"/>
  <c r="D1735" i="19" s="1"/>
  <c r="D1867" i="19"/>
  <c r="D183" i="19"/>
  <c r="D823" i="19"/>
  <c r="D836" i="19"/>
  <c r="D839" i="19" s="1"/>
  <c r="D861" i="19"/>
  <c r="D864" i="19" s="1"/>
  <c r="D747" i="19" s="1"/>
  <c r="D979" i="19"/>
  <c r="G16" i="15"/>
  <c r="G20" i="15" s="1"/>
  <c r="E33" i="17"/>
  <c r="D34" i="17"/>
  <c r="D36" i="17"/>
  <c r="F31" i="17"/>
  <c r="D35" i="17"/>
  <c r="K1900" i="16"/>
  <c r="N1898" i="16"/>
  <c r="K2212" i="16"/>
  <c r="N2212" i="16" s="1"/>
  <c r="N2223" i="16"/>
  <c r="K2515" i="16"/>
  <c r="N2515" i="16" s="1"/>
  <c r="N2513" i="16"/>
  <c r="I2979" i="16"/>
  <c r="L2979" i="16" s="1"/>
  <c r="I3457" i="16"/>
  <c r="L3457" i="16" s="1"/>
  <c r="F177" i="16"/>
  <c r="F178" i="16" s="1"/>
  <c r="L205" i="16"/>
  <c r="I257" i="16"/>
  <c r="L257" i="16" s="1"/>
  <c r="O257" i="16" s="1"/>
  <c r="L481" i="16"/>
  <c r="O481" i="16" s="1"/>
  <c r="P481" i="16" s="1"/>
  <c r="P480" i="16" s="1"/>
  <c r="I797" i="16"/>
  <c r="E858" i="16"/>
  <c r="I1085" i="16"/>
  <c r="L1085" i="16" s="1"/>
  <c r="O1085" i="16" s="1"/>
  <c r="P1085" i="16" s="1"/>
  <c r="G1090" i="16"/>
  <c r="L1107" i="16"/>
  <c r="O1107" i="16" s="1"/>
  <c r="P1107" i="16" s="1"/>
  <c r="K1135" i="16"/>
  <c r="N1135" i="16" s="1"/>
  <c r="J1247" i="16"/>
  <c r="E1325" i="16"/>
  <c r="E1327" i="16" s="1"/>
  <c r="K1365" i="16"/>
  <c r="N1365" i="16" s="1"/>
  <c r="N1360" i="16"/>
  <c r="L1457" i="16"/>
  <c r="O1457" i="16" s="1"/>
  <c r="P1457" i="16" s="1"/>
  <c r="P1456" i="16" s="1"/>
  <c r="I1481" i="16"/>
  <c r="L1481" i="16" s="1"/>
  <c r="J1604" i="16"/>
  <c r="E1665" i="16"/>
  <c r="E1694" i="16" s="1"/>
  <c r="L1698" i="16"/>
  <c r="I1831" i="16"/>
  <c r="L1831" i="16" s="1"/>
  <c r="O1831" i="16" s="1"/>
  <c r="P1831" i="16" s="1"/>
  <c r="K2045" i="16"/>
  <c r="N2045" i="16" s="1"/>
  <c r="N2046" i="16"/>
  <c r="L2048" i="16"/>
  <c r="O2048" i="16" s="1"/>
  <c r="P2048" i="16" s="1"/>
  <c r="P2047" i="16" s="1"/>
  <c r="K2062" i="16"/>
  <c r="N2062" i="16" s="1"/>
  <c r="L2080" i="16"/>
  <c r="L2237" i="16"/>
  <c r="N2237" i="16"/>
  <c r="G2426" i="16"/>
  <c r="I2500" i="16"/>
  <c r="L2500" i="16" s="1"/>
  <c r="J2698" i="16"/>
  <c r="J2700" i="16" s="1"/>
  <c r="I2787" i="16"/>
  <c r="L2787" i="16" s="1"/>
  <c r="E2830" i="16"/>
  <c r="E2833" i="16" s="1"/>
  <c r="E2835" i="16" s="1"/>
  <c r="I2844" i="16"/>
  <c r="L2844" i="16" s="1"/>
  <c r="J2909" i="16"/>
  <c r="K2874" i="16"/>
  <c r="N2874" i="16" s="1"/>
  <c r="K2901" i="16"/>
  <c r="N2901" i="16" s="1"/>
  <c r="N2902" i="16"/>
  <c r="L2980" i="16"/>
  <c r="O2980" i="16" s="1"/>
  <c r="P2980" i="16" s="1"/>
  <c r="P2979" i="16" s="1"/>
  <c r="K3001" i="16"/>
  <c r="N3001" i="16" s="1"/>
  <c r="N2997" i="16"/>
  <c r="L3133" i="16"/>
  <c r="O3133" i="16" s="1"/>
  <c r="I3183" i="16"/>
  <c r="L3183" i="16" s="1"/>
  <c r="I3375" i="16"/>
  <c r="L3375" i="16" s="1"/>
  <c r="P3642" i="16"/>
  <c r="P3641" i="16" s="1"/>
  <c r="L577" i="16"/>
  <c r="O577" i="16" s="1"/>
  <c r="P577" i="16" s="1"/>
  <c r="P576" i="16" s="1"/>
  <c r="L679" i="16"/>
  <c r="L1094" i="16"/>
  <c r="N1094" i="16"/>
  <c r="K1194" i="16"/>
  <c r="N1194" i="16" s="1"/>
  <c r="N1187" i="16"/>
  <c r="I1231" i="16"/>
  <c r="L1279" i="16"/>
  <c r="I1810" i="16"/>
  <c r="L1810" i="16" s="1"/>
  <c r="K2040" i="16"/>
  <c r="N2040" i="16" s="1"/>
  <c r="N2041" i="16"/>
  <c r="K2082" i="16"/>
  <c r="N2082" i="16" s="1"/>
  <c r="N2074" i="16"/>
  <c r="I2623" i="16"/>
  <c r="L2623" i="16" s="1"/>
  <c r="I2625" i="16"/>
  <c r="L2625" i="16" s="1"/>
  <c r="I3614" i="16"/>
  <c r="L3614" i="16" s="1"/>
  <c r="K86" i="16"/>
  <c r="N86" i="16" s="1"/>
  <c r="N75" i="16"/>
  <c r="F347" i="16"/>
  <c r="F348" i="16" s="1"/>
  <c r="E374" i="16"/>
  <c r="I436" i="16"/>
  <c r="L436" i="16" s="1"/>
  <c r="C182" i="19" s="1"/>
  <c r="D182" i="19" s="1"/>
  <c r="E182" i="19" s="1"/>
  <c r="K872" i="16"/>
  <c r="N872" i="16" s="1"/>
  <c r="N878" i="16"/>
  <c r="I948" i="16"/>
  <c r="L948" i="16" s="1"/>
  <c r="K1152" i="16"/>
  <c r="N1152" i="16" s="1"/>
  <c r="N1154" i="16"/>
  <c r="L1156" i="16"/>
  <c r="K1158" i="16"/>
  <c r="N1158" i="16" s="1"/>
  <c r="N1159" i="16"/>
  <c r="J1365" i="16"/>
  <c r="J1416" i="16" s="1"/>
  <c r="L1477" i="16"/>
  <c r="O1477" i="16" s="1"/>
  <c r="P1477" i="16" s="1"/>
  <c r="K1608" i="16"/>
  <c r="N1608" i="16" s="1"/>
  <c r="N1606" i="16"/>
  <c r="I1832" i="16"/>
  <c r="L1832" i="16" s="1"/>
  <c r="O1832" i="16" s="1"/>
  <c r="P1832" i="16" s="1"/>
  <c r="E1955" i="16"/>
  <c r="L2039" i="16"/>
  <c r="O2039" i="16" s="1"/>
  <c r="P2039" i="16" s="1"/>
  <c r="H2098" i="16"/>
  <c r="L2113" i="16"/>
  <c r="I2118" i="16"/>
  <c r="L2118" i="16" s="1"/>
  <c r="O2118" i="16" s="1"/>
  <c r="P2118" i="16" s="1"/>
  <c r="P2117" i="16" s="1"/>
  <c r="I2165" i="16"/>
  <c r="L2165" i="16" s="1"/>
  <c r="L2406" i="16"/>
  <c r="I2442" i="16"/>
  <c r="L2442" i="16" s="1"/>
  <c r="K2449" i="16"/>
  <c r="N2449" i="16" s="1"/>
  <c r="N2450" i="16"/>
  <c r="L2497" i="16"/>
  <c r="O2497" i="16" s="1"/>
  <c r="P2497" i="16" s="1"/>
  <c r="P2496" i="16" s="1"/>
  <c r="P2529" i="16"/>
  <c r="K2652" i="16"/>
  <c r="N2652" i="16" s="1"/>
  <c r="N2649" i="16"/>
  <c r="E2678" i="16"/>
  <c r="I2678" i="16" s="1"/>
  <c r="L2678" i="16" s="1"/>
  <c r="O2678" i="16" s="1"/>
  <c r="E2751" i="16"/>
  <c r="E2757" i="16" s="1"/>
  <c r="E2758" i="16" s="1"/>
  <c r="L2917" i="16"/>
  <c r="O2917" i="16" s="1"/>
  <c r="O2916" i="16" s="1"/>
  <c r="L3061" i="16"/>
  <c r="O3061" i="16" s="1"/>
  <c r="P3061" i="16" s="1"/>
  <c r="P3060" i="16" s="1"/>
  <c r="L3102" i="16"/>
  <c r="O3102" i="16" s="1"/>
  <c r="L3104" i="16"/>
  <c r="O3104" i="16" s="1"/>
  <c r="O3103" i="16" s="1"/>
  <c r="I3174" i="16"/>
  <c r="L3174" i="16" s="1"/>
  <c r="I3196" i="16"/>
  <c r="L3196" i="16" s="1"/>
  <c r="L3349" i="16"/>
  <c r="E3483" i="16"/>
  <c r="I141" i="16"/>
  <c r="L141" i="16" s="1"/>
  <c r="E372" i="16"/>
  <c r="E783" i="16"/>
  <c r="E839" i="16" s="1"/>
  <c r="L949" i="16"/>
  <c r="O949" i="16" s="1"/>
  <c r="O948" i="16" s="1"/>
  <c r="L1025" i="16"/>
  <c r="L1036" i="16"/>
  <c r="I1066" i="16"/>
  <c r="L1066" i="16" s="1"/>
  <c r="K1144" i="16"/>
  <c r="N1144" i="16" s="1"/>
  <c r="N1151" i="16"/>
  <c r="L1157" i="16"/>
  <c r="O1157" i="16" s="1"/>
  <c r="I1170" i="16"/>
  <c r="L1170" i="16" s="1"/>
  <c r="O1170" i="16" s="1"/>
  <c r="I1287" i="16"/>
  <c r="L1287" i="16" s="1"/>
  <c r="I1294" i="16"/>
  <c r="L1294" i="16" s="1"/>
  <c r="O1294" i="16" s="1"/>
  <c r="I1422" i="16"/>
  <c r="L1422" i="16" s="1"/>
  <c r="C604" i="19" s="1"/>
  <c r="K1604" i="16"/>
  <c r="N1604" i="16" s="1"/>
  <c r="I1755" i="16"/>
  <c r="L1755" i="16" s="1"/>
  <c r="O1755" i="16" s="1"/>
  <c r="P1755" i="16" s="1"/>
  <c r="F2121" i="16"/>
  <c r="L2232" i="16"/>
  <c r="N2232" i="16"/>
  <c r="L2292" i="16"/>
  <c r="E2698" i="16"/>
  <c r="E2700" i="16" s="1"/>
  <c r="G2771" i="16"/>
  <c r="G2778" i="16" s="1"/>
  <c r="I2781" i="16"/>
  <c r="L2781" i="16" s="1"/>
  <c r="K2794" i="16"/>
  <c r="N2794" i="16" s="1"/>
  <c r="N2792" i="16"/>
  <c r="I2824" i="16"/>
  <c r="L2824" i="16" s="1"/>
  <c r="L2842" i="16"/>
  <c r="K2963" i="16"/>
  <c r="N2963" i="16" s="1"/>
  <c r="N2962" i="16"/>
  <c r="L3055" i="16"/>
  <c r="O3055" i="16" s="1"/>
  <c r="P3055" i="16" s="1"/>
  <c r="P3054" i="16" s="1"/>
  <c r="K1327" i="16"/>
  <c r="N1327" i="16" s="1"/>
  <c r="N1325" i="16"/>
  <c r="K1413" i="16"/>
  <c r="N1413" i="16" s="1"/>
  <c r="N1408" i="16"/>
  <c r="I1460" i="16"/>
  <c r="K2098" i="16"/>
  <c r="N2098" i="16" s="1"/>
  <c r="N2095" i="16"/>
  <c r="K2186" i="16"/>
  <c r="N2186" i="16" s="1"/>
  <c r="N2187" i="16"/>
  <c r="K2190" i="16"/>
  <c r="N2190" i="16" s="1"/>
  <c r="N2191" i="16"/>
  <c r="L2233" i="16"/>
  <c r="N2233" i="16"/>
  <c r="K2558" i="16"/>
  <c r="N2558" i="16" s="1"/>
  <c r="N2559" i="16"/>
  <c r="K2572" i="16"/>
  <c r="N2573" i="16"/>
  <c r="K2616" i="16"/>
  <c r="N2616" i="16" s="1"/>
  <c r="N2614" i="16"/>
  <c r="E2848" i="16"/>
  <c r="L2881" i="16"/>
  <c r="O2881" i="16" s="1"/>
  <c r="I2989" i="16"/>
  <c r="I3021" i="16"/>
  <c r="L3021" i="16" s="1"/>
  <c r="I3156" i="16"/>
  <c r="L3156" i="16" s="1"/>
  <c r="I3193" i="16"/>
  <c r="L3193" i="16" s="1"/>
  <c r="I3198" i="16"/>
  <c r="L3198" i="16" s="1"/>
  <c r="I3328" i="16"/>
  <c r="L3328" i="16" s="1"/>
  <c r="E3343" i="16"/>
  <c r="I3366" i="16"/>
  <c r="L3366" i="16" s="1"/>
  <c r="I3454" i="16"/>
  <c r="L3454" i="16" s="1"/>
  <c r="I3464" i="16"/>
  <c r="K54" i="16"/>
  <c r="N54" i="16" s="1"/>
  <c r="N59" i="16"/>
  <c r="K355" i="16"/>
  <c r="N355" i="16" s="1"/>
  <c r="N356" i="16"/>
  <c r="I810" i="16"/>
  <c r="L810" i="16" s="1"/>
  <c r="E896" i="16"/>
  <c r="I1140" i="16"/>
  <c r="L1140" i="16" s="1"/>
  <c r="I1661" i="16"/>
  <c r="L1661" i="16" s="1"/>
  <c r="I1787" i="16"/>
  <c r="G1828" i="16"/>
  <c r="G1837" i="16" s="1"/>
  <c r="K1970" i="16"/>
  <c r="N1968" i="16"/>
  <c r="L2253" i="16"/>
  <c r="C1033" i="19" s="1"/>
  <c r="C1019" i="19" s="1"/>
  <c r="K2535" i="16"/>
  <c r="N2535" i="16" s="1"/>
  <c r="N2538" i="16"/>
  <c r="K2576" i="16"/>
  <c r="N2576" i="16" s="1"/>
  <c r="N2577" i="16"/>
  <c r="K2681" i="16"/>
  <c r="N2681" i="16" s="1"/>
  <c r="N2675" i="16"/>
  <c r="K2725" i="16"/>
  <c r="N2725" i="16" s="1"/>
  <c r="N2723" i="16"/>
  <c r="K2877" i="16"/>
  <c r="N2877" i="16" s="1"/>
  <c r="N2881" i="16"/>
  <c r="K3119" i="16"/>
  <c r="N3119" i="16" s="1"/>
  <c r="N3116" i="16"/>
  <c r="L3517" i="16"/>
  <c r="N3517" i="16"/>
  <c r="I210" i="16"/>
  <c r="I352" i="16"/>
  <c r="L352" i="16" s="1"/>
  <c r="I355" i="16"/>
  <c r="I742" i="16"/>
  <c r="E919" i="16"/>
  <c r="I1078" i="16"/>
  <c r="L1078" i="16" s="1"/>
  <c r="L1317" i="16"/>
  <c r="O1317" i="16" s="1"/>
  <c r="P1317" i="16" s="1"/>
  <c r="P1316" i="16" s="1"/>
  <c r="L1404" i="16"/>
  <c r="O1404" i="16" s="1"/>
  <c r="O1403" i="16" s="1"/>
  <c r="I1494" i="16"/>
  <c r="I1505" i="16"/>
  <c r="L1505" i="16" s="1"/>
  <c r="E1623" i="16"/>
  <c r="I1647" i="16"/>
  <c r="L1647" i="16" s="1"/>
  <c r="E1691" i="16"/>
  <c r="I1743" i="16"/>
  <c r="L1743" i="16" s="1"/>
  <c r="K1762" i="16"/>
  <c r="N1762" i="16" s="1"/>
  <c r="N1751" i="16"/>
  <c r="I1770" i="16"/>
  <c r="L1770" i="16" s="1"/>
  <c r="F2082" i="16"/>
  <c r="I2103" i="16"/>
  <c r="L2103" i="16" s="1"/>
  <c r="H2130" i="16"/>
  <c r="H2131" i="16" s="1"/>
  <c r="E2170" i="16"/>
  <c r="L2182" i="16"/>
  <c r="O2182" i="16" s="1"/>
  <c r="P2182" i="16" s="1"/>
  <c r="L2461" i="16"/>
  <c r="O2461" i="16" s="1"/>
  <c r="O2460" i="16" s="1"/>
  <c r="K2605" i="16"/>
  <c r="N2605" i="16" s="1"/>
  <c r="N2606" i="16"/>
  <c r="I2676" i="16"/>
  <c r="I2675" i="16" s="1"/>
  <c r="I2681" i="16" s="1"/>
  <c r="I2762" i="16"/>
  <c r="L2762" i="16" s="1"/>
  <c r="C1247" i="19" s="1"/>
  <c r="K2776" i="16"/>
  <c r="N2776" i="16" s="1"/>
  <c r="N2774" i="16"/>
  <c r="H2859" i="16"/>
  <c r="H2862" i="16" s="1"/>
  <c r="K3073" i="16"/>
  <c r="N3073" i="16" s="1"/>
  <c r="N3070" i="16"/>
  <c r="I3126" i="16"/>
  <c r="G3543" i="16"/>
  <c r="I3303" i="16"/>
  <c r="L3303" i="16" s="1"/>
  <c r="L3460" i="16"/>
  <c r="I3591" i="16"/>
  <c r="L3591" i="16" s="1"/>
  <c r="K4018" i="16"/>
  <c r="N4018" i="16" s="1"/>
  <c r="G4041" i="16"/>
  <c r="I4069" i="16"/>
  <c r="L4069" i="16" s="1"/>
  <c r="P4167" i="16"/>
  <c r="L4262" i="16"/>
  <c r="O4262" i="16" s="1"/>
  <c r="J4275" i="16"/>
  <c r="I4459" i="16"/>
  <c r="I5004" i="16"/>
  <c r="L5004" i="16" s="1"/>
  <c r="O5004" i="16" s="1"/>
  <c r="N4301" i="16"/>
  <c r="N4293" i="16"/>
  <c r="N3925" i="16"/>
  <c r="N4356" i="16"/>
  <c r="L3968" i="16"/>
  <c r="C1762" i="19" s="1"/>
  <c r="D1762" i="19" s="1"/>
  <c r="E4087" i="16"/>
  <c r="L4180" i="16"/>
  <c r="O4180" i="16" s="1"/>
  <c r="L4265" i="16"/>
  <c r="O4265" i="16" s="1"/>
  <c r="I4410" i="16"/>
  <c r="L4410" i="16" s="1"/>
  <c r="I4456" i="16"/>
  <c r="L4456" i="16" s="1"/>
  <c r="O4717" i="16"/>
  <c r="K5029" i="16"/>
  <c r="N5029" i="16" s="1"/>
  <c r="N4355" i="16"/>
  <c r="N4115" i="16"/>
  <c r="I4316" i="16"/>
  <c r="L4316" i="16" s="1"/>
  <c r="L4585" i="16"/>
  <c r="O4772" i="16"/>
  <c r="I4909" i="16"/>
  <c r="L4909" i="16" s="1"/>
  <c r="I4911" i="16"/>
  <c r="L4911" i="16" s="1"/>
  <c r="N5010" i="16"/>
  <c r="N4298" i="16"/>
  <c r="N4226" i="16"/>
  <c r="N4082" i="16"/>
  <c r="N4609" i="16"/>
  <c r="N4297" i="16"/>
  <c r="N4185" i="16"/>
  <c r="N3921" i="16"/>
  <c r="N3753" i="16"/>
  <c r="I3672" i="16"/>
  <c r="L3672" i="16" s="1"/>
  <c r="I3754" i="16"/>
  <c r="L3754" i="16" s="1"/>
  <c r="O3754" i="16" s="1"/>
  <c r="E3925" i="16"/>
  <c r="E3927" i="16" s="1"/>
  <c r="L3983" i="16"/>
  <c r="O3983" i="16" s="1"/>
  <c r="L4161" i="16"/>
  <c r="O4161" i="16" s="1"/>
  <c r="P4161" i="16" s="1"/>
  <c r="P4160" i="16" s="1"/>
  <c r="I4745" i="16"/>
  <c r="I4744" i="16" s="1"/>
  <c r="L4744" i="16" s="1"/>
  <c r="C2109" i="19" s="1"/>
  <c r="D2109" i="19" s="1"/>
  <c r="E2109" i="19" s="1"/>
  <c r="K4755" i="16"/>
  <c r="N4755" i="16" s="1"/>
  <c r="K4930" i="16"/>
  <c r="N4930" i="16" s="1"/>
  <c r="N4272" i="16"/>
  <c r="G3755" i="16"/>
  <c r="L3999" i="16"/>
  <c r="I4077" i="16"/>
  <c r="I4257" i="16"/>
  <c r="L4257" i="16" s="1"/>
  <c r="I4420" i="16"/>
  <c r="L4420" i="16" s="1"/>
  <c r="L4735" i="16"/>
  <c r="O4735" i="16" s="1"/>
  <c r="E4776" i="16"/>
  <c r="I5023" i="16"/>
  <c r="L5023" i="16" s="1"/>
  <c r="O5023" i="16" s="1"/>
  <c r="P5023" i="16" s="1"/>
  <c r="N4967" i="16"/>
  <c r="K3758" i="16"/>
  <c r="N3758" i="16" s="1"/>
  <c r="H4123" i="16"/>
  <c r="I4140" i="16"/>
  <c r="L4140" i="16" s="1"/>
  <c r="I4197" i="16"/>
  <c r="H4272" i="16"/>
  <c r="H4275" i="16" s="1"/>
  <c r="L4651" i="16"/>
  <c r="N4750" i="16"/>
  <c r="N4710" i="16"/>
  <c r="N3854" i="16"/>
  <c r="L120" i="16"/>
  <c r="I612" i="16"/>
  <c r="L612" i="16" s="1"/>
  <c r="L613" i="16"/>
  <c r="O613" i="16" s="1"/>
  <c r="P613" i="16" s="1"/>
  <c r="P612" i="16" s="1"/>
  <c r="E1239" i="16"/>
  <c r="E1247" i="16" s="1"/>
  <c r="I1240" i="16"/>
  <c r="L1240" i="16" s="1"/>
  <c r="O1240" i="16" s="1"/>
  <c r="P1240" i="16" s="1"/>
  <c r="P1239" i="16" s="1"/>
  <c r="I227" i="16"/>
  <c r="L227" i="16" s="1"/>
  <c r="I335" i="16"/>
  <c r="L335" i="16" s="1"/>
  <c r="O335" i="16" s="1"/>
  <c r="P335" i="16" s="1"/>
  <c r="P334" i="16" s="1"/>
  <c r="L339" i="16"/>
  <c r="O339" i="16" s="1"/>
  <c r="P339" i="16" s="1"/>
  <c r="P338" i="16" s="1"/>
  <c r="I431" i="16"/>
  <c r="L431" i="16" s="1"/>
  <c r="I455" i="16"/>
  <c r="L455" i="16" s="1"/>
  <c r="O455" i="16" s="1"/>
  <c r="O454" i="16" s="1"/>
  <c r="E548" i="16"/>
  <c r="I754" i="16"/>
  <c r="L756" i="16"/>
  <c r="O756" i="16" s="1"/>
  <c r="L760" i="16"/>
  <c r="I772" i="16"/>
  <c r="L772" i="16" s="1"/>
  <c r="O772" i="16" s="1"/>
  <c r="E940" i="16"/>
  <c r="L1376" i="16"/>
  <c r="O1376" i="16" s="1"/>
  <c r="P1376" i="16" s="1"/>
  <c r="P1375" i="16" s="1"/>
  <c r="I1375" i="16"/>
  <c r="L1375" i="16" s="1"/>
  <c r="L682" i="16"/>
  <c r="O682" i="16" s="1"/>
  <c r="P682" i="16" s="1"/>
  <c r="P681" i="16" s="1"/>
  <c r="I681" i="16"/>
  <c r="L681" i="16" s="1"/>
  <c r="L697" i="16"/>
  <c r="O697" i="16" s="1"/>
  <c r="P697" i="16" s="1"/>
  <c r="P696" i="16" s="1"/>
  <c r="I696" i="16"/>
  <c r="L696" i="16" s="1"/>
  <c r="C328" i="19" s="1"/>
  <c r="D328" i="19" s="1"/>
  <c r="E328" i="19" s="1"/>
  <c r="L1002" i="16"/>
  <c r="O1002" i="16" s="1"/>
  <c r="I1001" i="16"/>
  <c r="L1001" i="16" s="1"/>
  <c r="C423" i="19" s="1"/>
  <c r="D423" i="19" s="1"/>
  <c r="E423" i="19" s="1"/>
  <c r="I1136" i="16"/>
  <c r="L1136" i="16" s="1"/>
  <c r="O1136" i="16" s="1"/>
  <c r="E1135" i="16"/>
  <c r="I568" i="16"/>
  <c r="E54" i="16"/>
  <c r="I198" i="16"/>
  <c r="L198" i="16" s="1"/>
  <c r="F487" i="16"/>
  <c r="F488" i="16" s="1"/>
  <c r="L653" i="16"/>
  <c r="O653" i="16" s="1"/>
  <c r="P653" i="16" s="1"/>
  <c r="P652" i="16" s="1"/>
  <c r="I652" i="16"/>
  <c r="L652" i="16" s="1"/>
  <c r="I778" i="16"/>
  <c r="L778" i="16" s="1"/>
  <c r="O778" i="16" s="1"/>
  <c r="P778" i="16" s="1"/>
  <c r="I821" i="16"/>
  <c r="L821" i="16" s="1"/>
  <c r="I1112" i="16"/>
  <c r="L1112" i="16" s="1"/>
  <c r="L1215" i="16"/>
  <c r="O1215" i="16" s="1"/>
  <c r="I1214" i="16"/>
  <c r="L1214" i="16" s="1"/>
  <c r="I1222" i="16"/>
  <c r="L1222" i="16" s="1"/>
  <c r="E1549" i="16"/>
  <c r="I1552" i="16"/>
  <c r="L1552" i="16" s="1"/>
  <c r="O1552" i="16" s="1"/>
  <c r="P1552" i="16" s="1"/>
  <c r="F381" i="16"/>
  <c r="F382" i="16" s="1"/>
  <c r="L1017" i="16"/>
  <c r="O1017" i="16" s="1"/>
  <c r="P1017" i="16" s="1"/>
  <c r="P1016" i="16" s="1"/>
  <c r="I1016" i="16"/>
  <c r="F86" i="16"/>
  <c r="F302" i="16" s="1"/>
  <c r="F386" i="16" s="1"/>
  <c r="L199" i="16"/>
  <c r="O199" i="16" s="1"/>
  <c r="I399" i="16"/>
  <c r="L399" i="16" s="1"/>
  <c r="L495" i="16"/>
  <c r="G619" i="16"/>
  <c r="G620" i="16" s="1"/>
  <c r="L822" i="16"/>
  <c r="O822" i="16" s="1"/>
  <c r="P822" i="16" s="1"/>
  <c r="P821" i="16" s="1"/>
  <c r="L1268" i="16"/>
  <c r="O1268" i="16" s="1"/>
  <c r="I1267" i="16"/>
  <c r="L1267" i="16" s="1"/>
  <c r="E1365" i="16"/>
  <c r="E1366" i="16" s="1"/>
  <c r="L1166" i="16"/>
  <c r="O1166" i="16" s="1"/>
  <c r="I1165" i="16"/>
  <c r="I117" i="16"/>
  <c r="L117" i="16" s="1"/>
  <c r="I127" i="16"/>
  <c r="L127" i="16" s="1"/>
  <c r="I184" i="16"/>
  <c r="L184" i="16" s="1"/>
  <c r="I396" i="16"/>
  <c r="L396" i="16" s="1"/>
  <c r="L651" i="16"/>
  <c r="O651" i="16" s="1"/>
  <c r="I650" i="16"/>
  <c r="L650" i="16" s="1"/>
  <c r="I1095" i="16"/>
  <c r="L1096" i="16"/>
  <c r="O1096" i="16" s="1"/>
  <c r="I1428" i="16"/>
  <c r="L1428" i="16" s="1"/>
  <c r="L1429" i="16"/>
  <c r="O1429" i="16" s="1"/>
  <c r="O1428" i="16" s="1"/>
  <c r="J86" i="16"/>
  <c r="L7" i="16"/>
  <c r="C70" i="19" s="1"/>
  <c r="I23" i="16"/>
  <c r="L23" i="16" s="1"/>
  <c r="E38" i="16"/>
  <c r="E48" i="16"/>
  <c r="P110" i="16"/>
  <c r="I148" i="16"/>
  <c r="L148" i="16" s="1"/>
  <c r="I163" i="16"/>
  <c r="L163" i="16" s="1"/>
  <c r="I168" i="16"/>
  <c r="L168" i="16" s="1"/>
  <c r="L185" i="16"/>
  <c r="O185" i="16" s="1"/>
  <c r="P185" i="16" s="1"/>
  <c r="P184" i="16" s="1"/>
  <c r="I252" i="16"/>
  <c r="L252" i="16" s="1"/>
  <c r="L272" i="16"/>
  <c r="O272" i="16" s="1"/>
  <c r="O271" i="16" s="1"/>
  <c r="L397" i="16"/>
  <c r="O397" i="16" s="1"/>
  <c r="O396" i="16" s="1"/>
  <c r="L428" i="16"/>
  <c r="O428" i="16" s="1"/>
  <c r="O427" i="16" s="1"/>
  <c r="L648" i="16"/>
  <c r="P730" i="16"/>
  <c r="L811" i="16"/>
  <c r="O811" i="16" s="1"/>
  <c r="I1018" i="16"/>
  <c r="L1018" i="16" s="1"/>
  <c r="I1070" i="16"/>
  <c r="L1070" i="16" s="1"/>
  <c r="E1273" i="16"/>
  <c r="I53" i="16"/>
  <c r="L125" i="16"/>
  <c r="P127" i="16"/>
  <c r="I165" i="16"/>
  <c r="L165" i="16" s="1"/>
  <c r="I170" i="16"/>
  <c r="L170" i="16" s="1"/>
  <c r="L250" i="16"/>
  <c r="O250" i="16" s="1"/>
  <c r="P250" i="16" s="1"/>
  <c r="P249" i="16" s="1"/>
  <c r="L357" i="16"/>
  <c r="O357" i="16" s="1"/>
  <c r="P357" i="16" s="1"/>
  <c r="L438" i="16"/>
  <c r="I592" i="16"/>
  <c r="L592" i="16" s="1"/>
  <c r="I595" i="16"/>
  <c r="L595" i="16" s="1"/>
  <c r="I599" i="16"/>
  <c r="L599" i="16" s="1"/>
  <c r="I765" i="16"/>
  <c r="L765" i="16" s="1"/>
  <c r="L1385" i="16"/>
  <c r="O1385" i="16" s="1"/>
  <c r="P1385" i="16" s="1"/>
  <c r="I1383" i="16"/>
  <c r="L1391" i="16"/>
  <c r="O1391" i="16" s="1"/>
  <c r="P1391" i="16" s="1"/>
  <c r="P1390" i="16" s="1"/>
  <c r="I1390" i="16"/>
  <c r="L1390" i="16" s="1"/>
  <c r="L1433" i="16"/>
  <c r="O1433" i="16" s="1"/>
  <c r="P1433" i="16" s="1"/>
  <c r="L1517" i="16"/>
  <c r="E1541" i="16"/>
  <c r="E1579" i="16" s="1"/>
  <c r="G1579" i="16"/>
  <c r="J1590" i="16"/>
  <c r="H1604" i="16"/>
  <c r="G2098" i="16"/>
  <c r="E2109" i="16"/>
  <c r="E2110" i="16" s="1"/>
  <c r="G2130" i="16"/>
  <c r="G2131" i="16" s="1"/>
  <c r="E2142" i="16"/>
  <c r="L2181" i="16"/>
  <c r="O2181" i="16" s="1"/>
  <c r="P2181" i="16" s="1"/>
  <c r="H2631" i="16"/>
  <c r="H2633" i="16" s="1"/>
  <c r="J2646" i="16"/>
  <c r="J2653" i="16" s="1"/>
  <c r="J2789" i="16"/>
  <c r="J2796" i="16" s="1"/>
  <c r="I2827" i="16"/>
  <c r="L2827" i="16" s="1"/>
  <c r="J2859" i="16"/>
  <c r="O3054" i="16"/>
  <c r="P3104" i="16"/>
  <c r="P3103" i="16" s="1"/>
  <c r="L3106" i="16"/>
  <c r="O3106" i="16" s="1"/>
  <c r="L3142" i="16"/>
  <c r="O3142" i="16" s="1"/>
  <c r="P3142" i="16" s="1"/>
  <c r="P3141" i="16" s="1"/>
  <c r="I3141" i="16"/>
  <c r="I3144" i="16"/>
  <c r="L3450" i="16"/>
  <c r="L728" i="16"/>
  <c r="I863" i="16"/>
  <c r="L863" i="16" s="1"/>
  <c r="G1408" i="16"/>
  <c r="G1413" i="16" s="1"/>
  <c r="E1408" i="16"/>
  <c r="E1413" i="16" s="1"/>
  <c r="E1416" i="16" s="1"/>
  <c r="I1596" i="16"/>
  <c r="L1701" i="16"/>
  <c r="O1701" i="16" s="1"/>
  <c r="P1701" i="16" s="1"/>
  <c r="F2070" i="16"/>
  <c r="J2082" i="16"/>
  <c r="G2121" i="16"/>
  <c r="I2358" i="16"/>
  <c r="L2358" i="16" s="1"/>
  <c r="O2358" i="16" s="1"/>
  <c r="L2443" i="16"/>
  <c r="O2443" i="16" s="1"/>
  <c r="O2442" i="16" s="1"/>
  <c r="L2478" i="16"/>
  <c r="I3070" i="16"/>
  <c r="L3070" i="16" s="1"/>
  <c r="O3070" i="16" s="1"/>
  <c r="P3070" i="16" s="1"/>
  <c r="E3073" i="16"/>
  <c r="E3208" i="16" s="1"/>
  <c r="G3355" i="16"/>
  <c r="G3356" i="16" s="1"/>
  <c r="I671" i="16"/>
  <c r="L671" i="16" s="1"/>
  <c r="F783" i="16"/>
  <c r="F839" i="16" s="1"/>
  <c r="L781" i="16"/>
  <c r="L864" i="16"/>
  <c r="O864" i="16" s="1"/>
  <c r="P864" i="16" s="1"/>
  <c r="P863" i="16" s="1"/>
  <c r="I871" i="16"/>
  <c r="L871" i="16" s="1"/>
  <c r="O871" i="16" s="1"/>
  <c r="P871" i="16" s="1"/>
  <c r="I894" i="16"/>
  <c r="J1058" i="16"/>
  <c r="L1088" i="16"/>
  <c r="O1088" i="16" s="1"/>
  <c r="P1088" i="16" s="1"/>
  <c r="L1173" i="16"/>
  <c r="O1173" i="16" s="1"/>
  <c r="P1173" i="16" s="1"/>
  <c r="P1172" i="16" s="1"/>
  <c r="E1311" i="16"/>
  <c r="E1524" i="16"/>
  <c r="L1570" i="16"/>
  <c r="K1590" i="16"/>
  <c r="N1590" i="16" s="1"/>
  <c r="L1737" i="16"/>
  <c r="O1737" i="16" s="1"/>
  <c r="O1736" i="16" s="1"/>
  <c r="J1837" i="16"/>
  <c r="F1928" i="16"/>
  <c r="L1959" i="16"/>
  <c r="O1959" i="16" s="1"/>
  <c r="P1959" i="16" s="1"/>
  <c r="I2091" i="16"/>
  <c r="L2091" i="16" s="1"/>
  <c r="J2098" i="16"/>
  <c r="G2109" i="16"/>
  <c r="G2110" i="16" s="1"/>
  <c r="I2255" i="16"/>
  <c r="L2255" i="16" s="1"/>
  <c r="I2270" i="16"/>
  <c r="L2270" i="16" s="1"/>
  <c r="O2270" i="16" s="1"/>
  <c r="O2269" i="16" s="1"/>
  <c r="E2426" i="16"/>
  <c r="I2465" i="16"/>
  <c r="L2465" i="16" s="1"/>
  <c r="L2477" i="16"/>
  <c r="O2477" i="16" s="1"/>
  <c r="E2500" i="16"/>
  <c r="E2510" i="16" s="1"/>
  <c r="E2516" i="16" s="1"/>
  <c r="L2506" i="16"/>
  <c r="H2720" i="16"/>
  <c r="L2783" i="16"/>
  <c r="O2783" i="16" s="1"/>
  <c r="P2783" i="16" s="1"/>
  <c r="G3066" i="16"/>
  <c r="G3074" i="16" s="1"/>
  <c r="L3311" i="16"/>
  <c r="O3311" i="16" s="1"/>
  <c r="I3310" i="16"/>
  <c r="L3310" i="16" s="1"/>
  <c r="L3636" i="16"/>
  <c r="O3636" i="16" s="1"/>
  <c r="O3635" i="16" s="1"/>
  <c r="I3635" i="16"/>
  <c r="L3635" i="16" s="1"/>
  <c r="I3976" i="16"/>
  <c r="L3976" i="16" s="1"/>
  <c r="L3977" i="16"/>
  <c r="O3977" i="16" s="1"/>
  <c r="L782" i="16"/>
  <c r="O782" i="16" s="1"/>
  <c r="G836" i="16"/>
  <c r="K1058" i="16"/>
  <c r="N1058" i="16" s="1"/>
  <c r="E1105" i="16"/>
  <c r="E1194" i="16"/>
  <c r="L1348" i="16"/>
  <c r="L1361" i="16"/>
  <c r="O1361" i="16" s="1"/>
  <c r="P1361" i="16" s="1"/>
  <c r="H1464" i="16"/>
  <c r="L1498" i="16"/>
  <c r="I1501" i="16"/>
  <c r="I1546" i="16"/>
  <c r="L1546" i="16" s="1"/>
  <c r="L1648" i="16"/>
  <c r="O1648" i="16" s="1"/>
  <c r="E1716" i="16"/>
  <c r="J1762" i="16"/>
  <c r="I1927" i="16"/>
  <c r="I1926" i="16" s="1"/>
  <c r="L1926" i="16" s="1"/>
  <c r="L2002" i="16"/>
  <c r="O2002" i="16" s="1"/>
  <c r="P2002" i="16" s="1"/>
  <c r="P2003" i="16" s="1"/>
  <c r="L2047" i="16"/>
  <c r="H2070" i="16"/>
  <c r="H2155" i="16" s="1"/>
  <c r="L2086" i="16"/>
  <c r="O2086" i="16" s="1"/>
  <c r="O2087" i="16" s="1"/>
  <c r="K2130" i="16"/>
  <c r="I2344" i="16"/>
  <c r="L2344" i="16" s="1"/>
  <c r="L2350" i="16"/>
  <c r="J2371" i="16"/>
  <c r="I2503" i="16"/>
  <c r="L2503" i="16" s="1"/>
  <c r="K2539" i="16"/>
  <c r="N2539" i="16" s="1"/>
  <c r="I2596" i="16"/>
  <c r="L2596" i="16" s="1"/>
  <c r="I2710" i="16"/>
  <c r="L2710" i="16" s="1"/>
  <c r="E2748" i="16"/>
  <c r="I2739" i="16"/>
  <c r="L2739" i="16" s="1"/>
  <c r="L2872" i="16"/>
  <c r="O2872" i="16" s="1"/>
  <c r="O2871" i="16" s="1"/>
  <c r="L2875" i="16"/>
  <c r="O2875" i="16" s="1"/>
  <c r="O2874" i="16" s="1"/>
  <c r="I2901" i="16"/>
  <c r="L2902" i="16"/>
  <c r="O2902" i="16" s="1"/>
  <c r="L3036" i="16"/>
  <c r="O3036" i="16" s="1"/>
  <c r="P3036" i="16" s="1"/>
  <c r="P3035" i="16" s="1"/>
  <c r="I3035" i="16"/>
  <c r="L3035" i="16" s="1"/>
  <c r="K3185" i="16"/>
  <c r="I3714" i="16"/>
  <c r="L3714" i="16" s="1"/>
  <c r="G4200" i="16"/>
  <c r="I884" i="16"/>
  <c r="I942" i="16"/>
  <c r="L942" i="16" s="1"/>
  <c r="I1030" i="16"/>
  <c r="L1030" i="16" s="1"/>
  <c r="L1093" i="16"/>
  <c r="O1093" i="16" s="1"/>
  <c r="P1093" i="16" s="1"/>
  <c r="E1152" i="16"/>
  <c r="L1159" i="16"/>
  <c r="O1159" i="16" s="1"/>
  <c r="E1178" i="16"/>
  <c r="I1211" i="16"/>
  <c r="L1211" i="16" s="1"/>
  <c r="I1290" i="16"/>
  <c r="L1290" i="16" s="1"/>
  <c r="L1454" i="16"/>
  <c r="L1456" i="16"/>
  <c r="I1537" i="16"/>
  <c r="I1583" i="16"/>
  <c r="L1583" i="16" s="1"/>
  <c r="O1583" i="16" s="1"/>
  <c r="P1583" i="16" s="1"/>
  <c r="P1582" i="16" s="1"/>
  <c r="I2025" i="16"/>
  <c r="L2025" i="16" s="1"/>
  <c r="L2041" i="16"/>
  <c r="O2041" i="16" s="1"/>
  <c r="P2041" i="16" s="1"/>
  <c r="P2040" i="16" s="1"/>
  <c r="L2198" i="16"/>
  <c r="H2244" i="16"/>
  <c r="G2371" i="16"/>
  <c r="G2372" i="16" s="1"/>
  <c r="I2435" i="16"/>
  <c r="L2435" i="16" s="1"/>
  <c r="L2460" i="16"/>
  <c r="L2541" i="16"/>
  <c r="O2541" i="16" s="1"/>
  <c r="P2541" i="16" s="1"/>
  <c r="I2572" i="16"/>
  <c r="L2594" i="16"/>
  <c r="H2612" i="16"/>
  <c r="H2618" i="16" s="1"/>
  <c r="G2698" i="16"/>
  <c r="G2700" i="16" s="1"/>
  <c r="J2748" i="16"/>
  <c r="K2757" i="16"/>
  <c r="N2757" i="16" s="1"/>
  <c r="I3162" i="16"/>
  <c r="L3162" i="16" s="1"/>
  <c r="L3163" i="16"/>
  <c r="O3163" i="16" s="1"/>
  <c r="P3163" i="16" s="1"/>
  <c r="P3162" i="16" s="1"/>
  <c r="G3267" i="16"/>
  <c r="G3274" i="16" s="1"/>
  <c r="I3471" i="16"/>
  <c r="L3471" i="16" s="1"/>
  <c r="L3473" i="16"/>
  <c r="O3473" i="16" s="1"/>
  <c r="P3473" i="16" s="1"/>
  <c r="L4514" i="16"/>
  <c r="O4514" i="16" s="1"/>
  <c r="I4513" i="16"/>
  <c r="L4513" i="16" s="1"/>
  <c r="L4687" i="16"/>
  <c r="O4687" i="16" s="1"/>
  <c r="P4687" i="16" s="1"/>
  <c r="P4686" i="16" s="1"/>
  <c r="I4686" i="16"/>
  <c r="K1405" i="16"/>
  <c r="I1634" i="16"/>
  <c r="L1634" i="16" s="1"/>
  <c r="F1694" i="16"/>
  <c r="I1669" i="16"/>
  <c r="L1669" i="16" s="1"/>
  <c r="K1704" i="16"/>
  <c r="N1704" i="16" s="1"/>
  <c r="I1724" i="16"/>
  <c r="L1724" i="16" s="1"/>
  <c r="J2142" i="16"/>
  <c r="I2258" i="16"/>
  <c r="L2258" i="16" s="1"/>
  <c r="I2332" i="16"/>
  <c r="I2341" i="16"/>
  <c r="L2341" i="16" s="1"/>
  <c r="P2526" i="16"/>
  <c r="L2606" i="16"/>
  <c r="O2606" i="16" s="1"/>
  <c r="G2672" i="16"/>
  <c r="I2707" i="16"/>
  <c r="I3701" i="16"/>
  <c r="L3701" i="16" s="1"/>
  <c r="L3703" i="16"/>
  <c r="O3703" i="16" s="1"/>
  <c r="P3703" i="16" s="1"/>
  <c r="G4230" i="16"/>
  <c r="H2510" i="16"/>
  <c r="H2516" i="16" s="1"/>
  <c r="I2963" i="16"/>
  <c r="L2962" i="16"/>
  <c r="O2962" i="16" s="1"/>
  <c r="P2962" i="16" s="1"/>
  <c r="P2963" i="16" s="1"/>
  <c r="I3045" i="16"/>
  <c r="L3046" i="16"/>
  <c r="O3046" i="16" s="1"/>
  <c r="P3046" i="16" s="1"/>
  <c r="P3045" i="16" s="1"/>
  <c r="P3675" i="16"/>
  <c r="I4248" i="16"/>
  <c r="L4248" i="16" s="1"/>
  <c r="L4251" i="16"/>
  <c r="O4251" i="16" s="1"/>
  <c r="P4251" i="16" s="1"/>
  <c r="L4477" i="16"/>
  <c r="O4477" i="16" s="1"/>
  <c r="O4476" i="16" s="1"/>
  <c r="I4476" i="16"/>
  <c r="I4767" i="16"/>
  <c r="L4767" i="16" s="1"/>
  <c r="C2151" i="19" s="1"/>
  <c r="D2151" i="19" s="1"/>
  <c r="L4768" i="16"/>
  <c r="O4768" i="16" s="1"/>
  <c r="O4767" i="16" s="1"/>
  <c r="G1007" i="16"/>
  <c r="G1012" i="16" s="1"/>
  <c r="F1058" i="16"/>
  <c r="I1033" i="16"/>
  <c r="L1033" i="16" s="1"/>
  <c r="L1087" i="16"/>
  <c r="O1087" i="16" s="1"/>
  <c r="P1087" i="16" s="1"/>
  <c r="G1247" i="16"/>
  <c r="K1322" i="16"/>
  <c r="N1322" i="16" s="1"/>
  <c r="F1365" i="16"/>
  <c r="E1422" i="16"/>
  <c r="I1685" i="16"/>
  <c r="I1856" i="16"/>
  <c r="L1856" i="16" s="1"/>
  <c r="E2028" i="16"/>
  <c r="E2281" i="16"/>
  <c r="L2401" i="16"/>
  <c r="J2473" i="16"/>
  <c r="I2532" i="16"/>
  <c r="L2532" i="16" s="1"/>
  <c r="H2646" i="16"/>
  <c r="H2771" i="16"/>
  <c r="H2778" i="16" s="1"/>
  <c r="I3145" i="16"/>
  <c r="L3146" i="16"/>
  <c r="O3146" i="16" s="1"/>
  <c r="P3146" i="16" s="1"/>
  <c r="P3145" i="16" s="1"/>
  <c r="I3490" i="16"/>
  <c r="E3488" i="16"/>
  <c r="F3758" i="16"/>
  <c r="F3755" i="16"/>
  <c r="F3756" i="16" s="1"/>
  <c r="I3923" i="16"/>
  <c r="L3923" i="16" s="1"/>
  <c r="L3924" i="16"/>
  <c r="O3924" i="16" s="1"/>
  <c r="P3924" i="16" s="1"/>
  <c r="P3923" i="16" s="1"/>
  <c r="E4041" i="16"/>
  <c r="K4181" i="16"/>
  <c r="N4181" i="16" s="1"/>
  <c r="L4743" i="16"/>
  <c r="O4743" i="16" s="1"/>
  <c r="I4742" i="16"/>
  <c r="L4742" i="16" s="1"/>
  <c r="E4853" i="16"/>
  <c r="G3918" i="16"/>
  <c r="H4200" i="16"/>
  <c r="K4547" i="16"/>
  <c r="N4547" i="16" s="1"/>
  <c r="L2951" i="16"/>
  <c r="I3293" i="16"/>
  <c r="L3293" i="16" s="1"/>
  <c r="L3359" i="16"/>
  <c r="L3379" i="16"/>
  <c r="O3379" i="16" s="1"/>
  <c r="P3379" i="16" s="1"/>
  <c r="P3378" i="16" s="1"/>
  <c r="L3451" i="16"/>
  <c r="O3451" i="16" s="1"/>
  <c r="O3450" i="16" s="1"/>
  <c r="I3571" i="16"/>
  <c r="L3571" i="16" s="1"/>
  <c r="L3592" i="16"/>
  <c r="O3592" i="16" s="1"/>
  <c r="P3592" i="16" s="1"/>
  <c r="K3658" i="16"/>
  <c r="N3658" i="16" s="1"/>
  <c r="F4123" i="16"/>
  <c r="G4143" i="16"/>
  <c r="J4200" i="16"/>
  <c r="J4230" i="16"/>
  <c r="K4243" i="16"/>
  <c r="N4243" i="16" s="1"/>
  <c r="F4288" i="16"/>
  <c r="F4289" i="16" s="1"/>
  <c r="F4290" i="16" s="1"/>
  <c r="L4317" i="16"/>
  <c r="O4317" i="16" s="1"/>
  <c r="L4319" i="16"/>
  <c r="K4333" i="16"/>
  <c r="N4333" i="16" s="1"/>
  <c r="L4457" i="16"/>
  <c r="O4457" i="16" s="1"/>
  <c r="P4457" i="16" s="1"/>
  <c r="P4456" i="16" s="1"/>
  <c r="L4511" i="16"/>
  <c r="I4599" i="16"/>
  <c r="L4599" i="16" s="1"/>
  <c r="L4603" i="16"/>
  <c r="C2068" i="19" s="1"/>
  <c r="D2068" i="19" s="1"/>
  <c r="L4652" i="16"/>
  <c r="O4652" i="16" s="1"/>
  <c r="L4881" i="16"/>
  <c r="O4881" i="16" s="1"/>
  <c r="O4880" i="16" s="1"/>
  <c r="J4919" i="16"/>
  <c r="I4923" i="16"/>
  <c r="I2814" i="16"/>
  <c r="L2814" i="16" s="1"/>
  <c r="I2817" i="16"/>
  <c r="L2817" i="16" s="1"/>
  <c r="F2909" i="16"/>
  <c r="L2985" i="16"/>
  <c r="O2985" i="16" s="1"/>
  <c r="O2984" i="16" s="1"/>
  <c r="L3022" i="16"/>
  <c r="O3022" i="16" s="1"/>
  <c r="O3021" i="16" s="1"/>
  <c r="L3060" i="16"/>
  <c r="L3127" i="16"/>
  <c r="O3127" i="16" s="1"/>
  <c r="O3126" i="16" s="1"/>
  <c r="I3138" i="16"/>
  <c r="L3138" i="16" s="1"/>
  <c r="L3190" i="16"/>
  <c r="O3190" i="16" s="1"/>
  <c r="L3191" i="16"/>
  <c r="L3201" i="16"/>
  <c r="L3294" i="16"/>
  <c r="O3294" i="16" s="1"/>
  <c r="P3294" i="16" s="1"/>
  <c r="P3293" i="16" s="1"/>
  <c r="I3380" i="16"/>
  <c r="L3380" i="16" s="1"/>
  <c r="L3395" i="16"/>
  <c r="O3395" i="16" s="1"/>
  <c r="O3394" i="16" s="1"/>
  <c r="L3397" i="16"/>
  <c r="O3397" i="16" s="1"/>
  <c r="O3396" i="16" s="1"/>
  <c r="L3502" i="16"/>
  <c r="I3597" i="16"/>
  <c r="L3597" i="16" s="1"/>
  <c r="L3674" i="16"/>
  <c r="O3674" i="16" s="1"/>
  <c r="P3674" i="16" s="1"/>
  <c r="L3696" i="16"/>
  <c r="O3696" i="16" s="1"/>
  <c r="P3696" i="16" s="1"/>
  <c r="P3695" i="16" s="1"/>
  <c r="L3715" i="16"/>
  <c r="O3715" i="16" s="1"/>
  <c r="O3714" i="16" s="1"/>
  <c r="I3941" i="16"/>
  <c r="L3941" i="16" s="1"/>
  <c r="I4006" i="16"/>
  <c r="L4006" i="16" s="1"/>
  <c r="I4037" i="16"/>
  <c r="I4071" i="16"/>
  <c r="H4143" i="16"/>
  <c r="L4327" i="16"/>
  <c r="I4369" i="16"/>
  <c r="L4369" i="16" s="1"/>
  <c r="I4403" i="16"/>
  <c r="L4403" i="16" s="1"/>
  <c r="E4408" i="16"/>
  <c r="I4408" i="16" s="1"/>
  <c r="L4408" i="16" s="1"/>
  <c r="O4408" i="16" s="1"/>
  <c r="H4494" i="16"/>
  <c r="J4882" i="16"/>
  <c r="J4883" i="16" s="1"/>
  <c r="E4941" i="16"/>
  <c r="E4961" i="16"/>
  <c r="I4961" i="16"/>
  <c r="L5018" i="16"/>
  <c r="O5018" i="16" s="1"/>
  <c r="O5017" i="16" s="1"/>
  <c r="L2945" i="16"/>
  <c r="E3040" i="16"/>
  <c r="E3042" i="16" s="1"/>
  <c r="I3032" i="16"/>
  <c r="L3032" i="16" s="1"/>
  <c r="F3066" i="16"/>
  <c r="L3048" i="16"/>
  <c r="L3064" i="16"/>
  <c r="L3101" i="16"/>
  <c r="L3132" i="16"/>
  <c r="L3202" i="16"/>
  <c r="O3202" i="16" s="1"/>
  <c r="O3201" i="16" s="1"/>
  <c r="I3255" i="16"/>
  <c r="L3255" i="16" s="1"/>
  <c r="O3255" i="16" s="1"/>
  <c r="O3254" i="16" s="1"/>
  <c r="J3543" i="16"/>
  <c r="I3338" i="16"/>
  <c r="L3338" i="16" s="1"/>
  <c r="I3412" i="16"/>
  <c r="L3412" i="16" s="1"/>
  <c r="F3467" i="16"/>
  <c r="F3468" i="16" s="1"/>
  <c r="L3503" i="16"/>
  <c r="O3503" i="16" s="1"/>
  <c r="O3502" i="16" s="1"/>
  <c r="L3676" i="16"/>
  <c r="L3726" i="16"/>
  <c r="K3751" i="16"/>
  <c r="L3749" i="16"/>
  <c r="C1663" i="19" s="1"/>
  <c r="D1663" i="19" s="1"/>
  <c r="E1663" i="19" s="1"/>
  <c r="I3792" i="16"/>
  <c r="L3792" i="16" s="1"/>
  <c r="L3982" i="16"/>
  <c r="G4112" i="16"/>
  <c r="I4167" i="16"/>
  <c r="L4167" i="16" s="1"/>
  <c r="H4288" i="16"/>
  <c r="H4289" i="16" s="1"/>
  <c r="H4290" i="16" s="1"/>
  <c r="E4447" i="16"/>
  <c r="E4525" i="16"/>
  <c r="J4563" i="16"/>
  <c r="I4657" i="16"/>
  <c r="L4657" i="16" s="1"/>
  <c r="C2083" i="19" s="1"/>
  <c r="D2083" i="19" s="1"/>
  <c r="E2083" i="19" s="1"/>
  <c r="O4722" i="16"/>
  <c r="L4822" i="16"/>
  <c r="I4853" i="16"/>
  <c r="L4853" i="16" s="1"/>
  <c r="L4903" i="16"/>
  <c r="I4929" i="16"/>
  <c r="L4929" i="16" s="1"/>
  <c r="O4929" i="16" s="1"/>
  <c r="E2959" i="16"/>
  <c r="E2964" i="16" s="1"/>
  <c r="L3252" i="16"/>
  <c r="L3750" i="16"/>
  <c r="O3750" i="16" s="1"/>
  <c r="L3827" i="16"/>
  <c r="L3839" i="16"/>
  <c r="O3839" i="16" s="1"/>
  <c r="E3970" i="16"/>
  <c r="I3953" i="16"/>
  <c r="L3953" i="16" s="1"/>
  <c r="I4026" i="16"/>
  <c r="L4026" i="16" s="1"/>
  <c r="H4054" i="16"/>
  <c r="F4054" i="16"/>
  <c r="J4123" i="16"/>
  <c r="I4227" i="16"/>
  <c r="L4227" i="16" s="1"/>
  <c r="O4227" i="16" s="1"/>
  <c r="O4226" i="16" s="1"/>
  <c r="O4230" i="16" s="1"/>
  <c r="F4275" i="16"/>
  <c r="K4288" i="16"/>
  <c r="F4351" i="16"/>
  <c r="F4352" i="16" s="1"/>
  <c r="F4358" i="16" s="1"/>
  <c r="I4466" i="16"/>
  <c r="L4466" i="16" s="1"/>
  <c r="K4494" i="16"/>
  <c r="N4494" i="16" s="1"/>
  <c r="I4521" i="16"/>
  <c r="L4521" i="16" s="1"/>
  <c r="L4578" i="16"/>
  <c r="L4706" i="16"/>
  <c r="L4823" i="16"/>
  <c r="O4823" i="16" s="1"/>
  <c r="O4822" i="16" s="1"/>
  <c r="G4930" i="16"/>
  <c r="G5032" i="16" s="1"/>
  <c r="L4927" i="16"/>
  <c r="O4927" i="16" s="1"/>
  <c r="O4926" i="16" s="1"/>
  <c r="F4964" i="16"/>
  <c r="F4972" i="16" s="1"/>
  <c r="G3203" i="16"/>
  <c r="H3273" i="16"/>
  <c r="I3414" i="16"/>
  <c r="G3925" i="16"/>
  <c r="G3927" i="16" s="1"/>
  <c r="J4054" i="16"/>
  <c r="L4107" i="16"/>
  <c r="I4279" i="16"/>
  <c r="L4279" i="16" s="1"/>
  <c r="G4323" i="16"/>
  <c r="G4324" i="16" s="1"/>
  <c r="G4334" i="16" s="1"/>
  <c r="I4338" i="16"/>
  <c r="L4338" i="16" s="1"/>
  <c r="G4449" i="16"/>
  <c r="I4498" i="16"/>
  <c r="L4498" i="16" s="1"/>
  <c r="E4529" i="16"/>
  <c r="K4563" i="16"/>
  <c r="N4563" i="16" s="1"/>
  <c r="I4557" i="16"/>
  <c r="L4557" i="16" s="1"/>
  <c r="O4557" i="16" s="1"/>
  <c r="O4556" i="16" s="1"/>
  <c r="I4597" i="16"/>
  <c r="I4621" i="16"/>
  <c r="L4621" i="16" s="1"/>
  <c r="H4702" i="16"/>
  <c r="I4696" i="16"/>
  <c r="L4696" i="16" s="1"/>
  <c r="H4755" i="16"/>
  <c r="H4756" i="16" s="1"/>
  <c r="J4755" i="16"/>
  <c r="J4758" i="16" s="1"/>
  <c r="I4804" i="16"/>
  <c r="L4804" i="16" s="1"/>
  <c r="E4887" i="16"/>
  <c r="I4999" i="16"/>
  <c r="L4999" i="16" s="1"/>
  <c r="L5012" i="16"/>
  <c r="I2936" i="16"/>
  <c r="L2936" i="16" s="1"/>
  <c r="G2959" i="16"/>
  <c r="G2964" i="16" s="1"/>
  <c r="I3008" i="16"/>
  <c r="I3093" i="16"/>
  <c r="L3093" i="16" s="1"/>
  <c r="O3093" i="16" s="1"/>
  <c r="P3093" i="16" s="1"/>
  <c r="I3271" i="16"/>
  <c r="I3273" i="16" s="1"/>
  <c r="L3273" i="16" s="1"/>
  <c r="J3320" i="16"/>
  <c r="H3438" i="16"/>
  <c r="H3439" i="16" s="1"/>
  <c r="O3471" i="16"/>
  <c r="I3550" i="16"/>
  <c r="I3563" i="16"/>
  <c r="L3563" i="16" s="1"/>
  <c r="I3637" i="16"/>
  <c r="L3637" i="16" s="1"/>
  <c r="I3689" i="16"/>
  <c r="L3689" i="16" s="1"/>
  <c r="I3774" i="16"/>
  <c r="L3774" i="16" s="1"/>
  <c r="L3791" i="16"/>
  <c r="O3791" i="16" s="1"/>
  <c r="P3791" i="16" s="1"/>
  <c r="P3790" i="16" s="1"/>
  <c r="L3817" i="16"/>
  <c r="I3956" i="16"/>
  <c r="L3956" i="16" s="1"/>
  <c r="L3961" i="16"/>
  <c r="O3961" i="16" s="1"/>
  <c r="P3961" i="16" s="1"/>
  <c r="P3960" i="16" s="1"/>
  <c r="F4012" i="16"/>
  <c r="F4019" i="16" s="1"/>
  <c r="G4079" i="16"/>
  <c r="L4118" i="16"/>
  <c r="I4151" i="16"/>
  <c r="L4151" i="16" s="1"/>
  <c r="F4200" i="16"/>
  <c r="L4286" i="16"/>
  <c r="I4401" i="16"/>
  <c r="L4401" i="16" s="1"/>
  <c r="I4431" i="16"/>
  <c r="F4712" i="16"/>
  <c r="I4802" i="16"/>
  <c r="F4832" i="16"/>
  <c r="F4843" i="16" s="1"/>
  <c r="J5029" i="16"/>
  <c r="G217" i="16"/>
  <c r="G218" i="16" s="1"/>
  <c r="G260" i="16"/>
  <c r="G261" i="16" s="1"/>
  <c r="K299" i="16"/>
  <c r="N299" i="16" s="1"/>
  <c r="H347" i="16"/>
  <c r="H348" i="16" s="1"/>
  <c r="I492" i="16"/>
  <c r="L492" i="16" s="1"/>
  <c r="L493" i="16"/>
  <c r="O493" i="16" s="1"/>
  <c r="O492" i="16" s="1"/>
  <c r="L521" i="16"/>
  <c r="O521" i="16" s="1"/>
  <c r="O520" i="16" s="1"/>
  <c r="I520" i="16"/>
  <c r="L520" i="16" s="1"/>
  <c r="C210" i="19" s="1"/>
  <c r="D210" i="19" s="1"/>
  <c r="E210" i="19" s="1"/>
  <c r="I606" i="16"/>
  <c r="L606" i="16" s="1"/>
  <c r="L607" i="16"/>
  <c r="O607" i="16" s="1"/>
  <c r="I723" i="16"/>
  <c r="L723" i="16" s="1"/>
  <c r="L727" i="16"/>
  <c r="O727" i="16" s="1"/>
  <c r="P727" i="16" s="1"/>
  <c r="I1208" i="16"/>
  <c r="L1208" i="16" s="1"/>
  <c r="L1209" i="16"/>
  <c r="O1209" i="16" s="1"/>
  <c r="P1209" i="16" s="1"/>
  <c r="P1208" i="16" s="1"/>
  <c r="L1347" i="16"/>
  <c r="O1347" i="16" s="1"/>
  <c r="P1347" i="16" s="1"/>
  <c r="P1346" i="16" s="1"/>
  <c r="I1346" i="16"/>
  <c r="L1346" i="16" s="1"/>
  <c r="P1461" i="16"/>
  <c r="P1460" i="16" s="1"/>
  <c r="O1460" i="16"/>
  <c r="O1546" i="16"/>
  <c r="P1547" i="16"/>
  <c r="P1546" i="16" s="1"/>
  <c r="L1558" i="16"/>
  <c r="O1558" i="16" s="1"/>
  <c r="P1558" i="16" s="1"/>
  <c r="P1554" i="16" s="1"/>
  <c r="I1554" i="16"/>
  <c r="L1554" i="16" s="1"/>
  <c r="L1631" i="16"/>
  <c r="O1631" i="16" s="1"/>
  <c r="P1631" i="16" s="1"/>
  <c r="P1630" i="16" s="1"/>
  <c r="I1630" i="16"/>
  <c r="L1630" i="16" s="1"/>
  <c r="L26" i="16"/>
  <c r="O26" i="16" s="1"/>
  <c r="P26" i="16" s="1"/>
  <c r="I113" i="16"/>
  <c r="L113" i="16" s="1"/>
  <c r="I138" i="16"/>
  <c r="L138" i="16" s="1"/>
  <c r="L150" i="16"/>
  <c r="O150" i="16" s="1"/>
  <c r="P150" i="16" s="1"/>
  <c r="P148" i="16" s="1"/>
  <c r="I240" i="16"/>
  <c r="L240" i="16" s="1"/>
  <c r="L290" i="16"/>
  <c r="O290" i="16" s="1"/>
  <c r="P290" i="16" s="1"/>
  <c r="P289" i="16" s="1"/>
  <c r="I289" i="16"/>
  <c r="L289" i="16" s="1"/>
  <c r="I292" i="16"/>
  <c r="L292" i="16" s="1"/>
  <c r="L293" i="16"/>
  <c r="O293" i="16" s="1"/>
  <c r="L475" i="16"/>
  <c r="O475" i="16" s="1"/>
  <c r="I474" i="16"/>
  <c r="L474" i="16" s="1"/>
  <c r="I855" i="16"/>
  <c r="L855" i="16" s="1"/>
  <c r="L856" i="16"/>
  <c r="O856" i="16" s="1"/>
  <c r="I1043" i="16"/>
  <c r="L1043" i="16" s="1"/>
  <c r="O1043" i="16" s="1"/>
  <c r="P1043" i="16" s="1"/>
  <c r="E1041" i="16"/>
  <c r="I54" i="16"/>
  <c r="I63" i="16"/>
  <c r="L63" i="16" s="1"/>
  <c r="J72" i="16"/>
  <c r="I91" i="16"/>
  <c r="L91" i="16" s="1"/>
  <c r="I110" i="16"/>
  <c r="L110" i="16" s="1"/>
  <c r="L191" i="16"/>
  <c r="E217" i="16"/>
  <c r="E218" i="16" s="1"/>
  <c r="I224" i="16"/>
  <c r="L224" i="16" s="1"/>
  <c r="E328" i="16"/>
  <c r="I329" i="16"/>
  <c r="L329" i="16" s="1"/>
  <c r="O329" i="16" s="1"/>
  <c r="O328" i="16" s="1"/>
  <c r="I366" i="16"/>
  <c r="L366" i="16" s="1"/>
  <c r="G442" i="16"/>
  <c r="G443" i="16" s="1"/>
  <c r="F442" i="16"/>
  <c r="F443" i="16" s="1"/>
  <c r="I413" i="16"/>
  <c r="L413" i="16" s="1"/>
  <c r="L465" i="16"/>
  <c r="O465" i="16" s="1"/>
  <c r="I464" i="16"/>
  <c r="L464" i="16" s="1"/>
  <c r="L625" i="16"/>
  <c r="O625" i="16" s="1"/>
  <c r="I623" i="16"/>
  <c r="L623" i="16" s="1"/>
  <c r="H664" i="16"/>
  <c r="H665" i="16" s="1"/>
  <c r="K701" i="16"/>
  <c r="I49" i="16"/>
  <c r="L49" i="16" s="1"/>
  <c r="O49" i="16" s="1"/>
  <c r="O117" i="16"/>
  <c r="I122" i="16"/>
  <c r="L122" i="16" s="1"/>
  <c r="F217" i="16"/>
  <c r="F218" i="16" s="1"/>
  <c r="K260" i="16"/>
  <c r="L274" i="16"/>
  <c r="O274" i="16" s="1"/>
  <c r="P274" i="16" s="1"/>
  <c r="P273" i="16" s="1"/>
  <c r="I273" i="16"/>
  <c r="L273" i="16" s="1"/>
  <c r="E299" i="16"/>
  <c r="E300" i="16" s="1"/>
  <c r="I343" i="16"/>
  <c r="E342" i="16"/>
  <c r="I360" i="16"/>
  <c r="L360" i="16" s="1"/>
  <c r="J525" i="16"/>
  <c r="J526" i="16" s="1"/>
  <c r="L542" i="16"/>
  <c r="O542" i="16" s="1"/>
  <c r="I541" i="16"/>
  <c r="L541" i="16" s="1"/>
  <c r="I639" i="16"/>
  <c r="L639" i="16" s="1"/>
  <c r="I675" i="16"/>
  <c r="L675" i="16" s="1"/>
  <c r="I714" i="16"/>
  <c r="L714" i="16" s="1"/>
  <c r="I749" i="16"/>
  <c r="L749" i="16" s="1"/>
  <c r="O788" i="16"/>
  <c r="P789" i="16"/>
  <c r="P788" i="16" s="1"/>
  <c r="I827" i="16"/>
  <c r="L827" i="16" s="1"/>
  <c r="L828" i="16"/>
  <c r="O828" i="16" s="1"/>
  <c r="P828" i="16" s="1"/>
  <c r="P827" i="16" s="1"/>
  <c r="L1244" i="16"/>
  <c r="O1244" i="16" s="1"/>
  <c r="P1244" i="16" s="1"/>
  <c r="P1243" i="16" s="1"/>
  <c r="I1243" i="16"/>
  <c r="L1243" i="16" s="1"/>
  <c r="E11" i="16"/>
  <c r="E31" i="16"/>
  <c r="G86" i="16"/>
  <c r="E97" i="16"/>
  <c r="E134" i="16" s="1"/>
  <c r="E135" i="16" s="1"/>
  <c r="I101" i="16"/>
  <c r="L101" i="16" s="1"/>
  <c r="P117" i="16"/>
  <c r="G177" i="16"/>
  <c r="G178" i="16" s="1"/>
  <c r="I231" i="16"/>
  <c r="L231" i="16" s="1"/>
  <c r="L356" i="16"/>
  <c r="O356" i="16" s="1"/>
  <c r="J487" i="16"/>
  <c r="I482" i="16"/>
  <c r="L482" i="16" s="1"/>
  <c r="C196" i="19" s="1"/>
  <c r="D196" i="19" s="1"/>
  <c r="E196" i="19" s="1"/>
  <c r="L483" i="16"/>
  <c r="O483" i="16" s="1"/>
  <c r="P483" i="16" s="1"/>
  <c r="P482" i="16" s="1"/>
  <c r="I583" i="16"/>
  <c r="L583" i="16" s="1"/>
  <c r="L584" i="16"/>
  <c r="O584" i="16" s="1"/>
  <c r="P584" i="16" s="1"/>
  <c r="P583" i="16" s="1"/>
  <c r="L690" i="16"/>
  <c r="O690" i="16" s="1"/>
  <c r="I689" i="16"/>
  <c r="L689" i="16" s="1"/>
  <c r="I730" i="16"/>
  <c r="L730" i="16" s="1"/>
  <c r="L742" i="16"/>
  <c r="F836" i="16"/>
  <c r="P803" i="16"/>
  <c r="I984" i="16"/>
  <c r="E983" i="16"/>
  <c r="L1242" i="16"/>
  <c r="O1242" i="16" s="1"/>
  <c r="P1242" i="16" s="1"/>
  <c r="P1241" i="16" s="1"/>
  <c r="I1241" i="16"/>
  <c r="L1241" i="16" s="1"/>
  <c r="E70" i="16"/>
  <c r="I70" i="16" s="1"/>
  <c r="L70" i="16" s="1"/>
  <c r="I159" i="16"/>
  <c r="L159" i="16" s="1"/>
  <c r="H217" i="16"/>
  <c r="H218" i="16" s="1"/>
  <c r="L248" i="16"/>
  <c r="O248" i="16" s="1"/>
  <c r="O247" i="16" s="1"/>
  <c r="I247" i="16"/>
  <c r="L247" i="16" s="1"/>
  <c r="I283" i="16"/>
  <c r="L283" i="16" s="1"/>
  <c r="K442" i="16"/>
  <c r="I423" i="16"/>
  <c r="L423" i="16" s="1"/>
  <c r="L555" i="16"/>
  <c r="O555" i="16" s="1"/>
  <c r="I554" i="16"/>
  <c r="L554" i="16" s="1"/>
  <c r="K585" i="16"/>
  <c r="L634" i="16"/>
  <c r="O634" i="16" s="1"/>
  <c r="P634" i="16" s="1"/>
  <c r="P633" i="16" s="1"/>
  <c r="I633" i="16"/>
  <c r="L633" i="16" s="1"/>
  <c r="F701" i="16"/>
  <c r="F702" i="16" s="1"/>
  <c r="I1234" i="16"/>
  <c r="L1234" i="16" s="1"/>
  <c r="L1235" i="16"/>
  <c r="O1235" i="16" s="1"/>
  <c r="O1234" i="16" s="1"/>
  <c r="K177" i="16"/>
  <c r="L210" i="16"/>
  <c r="J217" i="16"/>
  <c r="J218" i="16" s="1"/>
  <c r="H299" i="16"/>
  <c r="H300" i="16" s="1"/>
  <c r="L457" i="16"/>
  <c r="O457" i="16" s="1"/>
  <c r="P457" i="16" s="1"/>
  <c r="P456" i="16" s="1"/>
  <c r="I456" i="16"/>
  <c r="L456" i="16" s="1"/>
  <c r="O675" i="16"/>
  <c r="L710" i="16"/>
  <c r="O710" i="16" s="1"/>
  <c r="I709" i="16"/>
  <c r="L709" i="16" s="1"/>
  <c r="C340" i="19" s="1"/>
  <c r="I799" i="16"/>
  <c r="L799" i="16" s="1"/>
  <c r="I914" i="16"/>
  <c r="L914" i="16" s="1"/>
  <c r="O914" i="16" s="1"/>
  <c r="E913" i="16"/>
  <c r="L206" i="16"/>
  <c r="O206" i="16" s="1"/>
  <c r="I207" i="16"/>
  <c r="L207" i="16" s="1"/>
  <c r="K217" i="16"/>
  <c r="E260" i="16"/>
  <c r="E261" i="16" s="1"/>
  <c r="I267" i="16"/>
  <c r="L267" i="16" s="1"/>
  <c r="L395" i="16"/>
  <c r="O395" i="16" s="1"/>
  <c r="P395" i="16" s="1"/>
  <c r="I393" i="16"/>
  <c r="L393" i="16" s="1"/>
  <c r="I405" i="16"/>
  <c r="L405" i="16" s="1"/>
  <c r="I565" i="16"/>
  <c r="L565" i="16" s="1"/>
  <c r="L566" i="16"/>
  <c r="O566" i="16" s="1"/>
  <c r="O565" i="16" s="1"/>
  <c r="I567" i="16"/>
  <c r="L567" i="16" s="1"/>
  <c r="I626" i="16"/>
  <c r="L626" i="16" s="1"/>
  <c r="P675" i="16"/>
  <c r="O730" i="16"/>
  <c r="I817" i="16"/>
  <c r="L817" i="16" s="1"/>
  <c r="L818" i="16"/>
  <c r="O818" i="16" s="1"/>
  <c r="P818" i="16" s="1"/>
  <c r="I901" i="16"/>
  <c r="E900" i="16"/>
  <c r="F962" i="16"/>
  <c r="F967" i="16" s="1"/>
  <c r="J177" i="16"/>
  <c r="J178" i="16" s="1"/>
  <c r="I181" i="16"/>
  <c r="L181" i="16" s="1"/>
  <c r="I212" i="16"/>
  <c r="L212" i="16" s="1"/>
  <c r="H260" i="16"/>
  <c r="H261" i="16" s="1"/>
  <c r="I264" i="16"/>
  <c r="L264" i="16" s="1"/>
  <c r="I280" i="16"/>
  <c r="L280" i="16" s="1"/>
  <c r="F299" i="16"/>
  <c r="F300" i="16" s="1"/>
  <c r="L370" i="16"/>
  <c r="H442" i="16"/>
  <c r="H443" i="16" s="1"/>
  <c r="I420" i="16"/>
  <c r="L420" i="16" s="1"/>
  <c r="K487" i="16"/>
  <c r="H487" i="16"/>
  <c r="H488" i="16" s="1"/>
  <c r="F585" i="16"/>
  <c r="F586" i="16" s="1"/>
  <c r="L579" i="16"/>
  <c r="I610" i="16"/>
  <c r="L610" i="16" s="1"/>
  <c r="H619" i="16"/>
  <c r="H620" i="16" s="1"/>
  <c r="L642" i="16"/>
  <c r="J664" i="16"/>
  <c r="J665" i="16" s="1"/>
  <c r="I657" i="16"/>
  <c r="L657" i="16" s="1"/>
  <c r="I668" i="16"/>
  <c r="G701" i="16"/>
  <c r="G702" i="16" s="1"/>
  <c r="K773" i="16"/>
  <c r="N773" i="16" s="1"/>
  <c r="K783" i="16"/>
  <c r="N783" i="16" s="1"/>
  <c r="L791" i="16"/>
  <c r="E799" i="16"/>
  <c r="E836" i="16" s="1"/>
  <c r="L884" i="16"/>
  <c r="K890" i="16"/>
  <c r="I996" i="16"/>
  <c r="L996" i="16" s="1"/>
  <c r="L1016" i="16"/>
  <c r="C434" i="19" s="1"/>
  <c r="D434" i="19" s="1"/>
  <c r="I1021" i="16"/>
  <c r="L1021" i="16" s="1"/>
  <c r="I1063" i="16"/>
  <c r="L1063" i="16" s="1"/>
  <c r="C447" i="19" s="1"/>
  <c r="D447" i="19" s="1"/>
  <c r="G1322" i="16"/>
  <c r="G1328" i="16" s="1"/>
  <c r="L1473" i="16"/>
  <c r="O1473" i="16" s="1"/>
  <c r="I1472" i="16"/>
  <c r="I147" i="16"/>
  <c r="L147" i="16" s="1"/>
  <c r="O147" i="16" s="1"/>
  <c r="P147" i="16" s="1"/>
  <c r="I156" i="16"/>
  <c r="L156" i="16" s="1"/>
  <c r="L182" i="16"/>
  <c r="O182" i="16" s="1"/>
  <c r="P182" i="16" s="1"/>
  <c r="P181" i="16" s="1"/>
  <c r="I193" i="16"/>
  <c r="L193" i="16" s="1"/>
  <c r="L213" i="16"/>
  <c r="O213" i="16" s="1"/>
  <c r="P213" i="16" s="1"/>
  <c r="P212" i="16" s="1"/>
  <c r="I233" i="16"/>
  <c r="L233" i="16" s="1"/>
  <c r="I243" i="16"/>
  <c r="L243" i="16" s="1"/>
  <c r="J260" i="16"/>
  <c r="J261" i="16" s="1"/>
  <c r="F260" i="16"/>
  <c r="F261" i="16" s="1"/>
  <c r="L265" i="16"/>
  <c r="O265" i="16" s="1"/>
  <c r="L281" i="16"/>
  <c r="O281" i="16" s="1"/>
  <c r="P281" i="16" s="1"/>
  <c r="P280" i="16" s="1"/>
  <c r="G299" i="16"/>
  <c r="J347" i="16"/>
  <c r="J348" i="16" s="1"/>
  <c r="L371" i="16"/>
  <c r="O371" i="16" s="1"/>
  <c r="P371" i="16" s="1"/>
  <c r="P370" i="16" s="1"/>
  <c r="L421" i="16"/>
  <c r="O421" i="16" s="1"/>
  <c r="P421" i="16" s="1"/>
  <c r="P420" i="16" s="1"/>
  <c r="I447" i="16"/>
  <c r="F525" i="16"/>
  <c r="F526" i="16" s="1"/>
  <c r="E536" i="16"/>
  <c r="G585" i="16"/>
  <c r="G586" i="16" s="1"/>
  <c r="L580" i="16"/>
  <c r="O580" i="16" s="1"/>
  <c r="O579" i="16" s="1"/>
  <c r="J619" i="16"/>
  <c r="J620" i="16" s="1"/>
  <c r="K664" i="16"/>
  <c r="E773" i="16"/>
  <c r="G962" i="16"/>
  <c r="G967" i="16" s="1"/>
  <c r="L973" i="16"/>
  <c r="O973" i="16" s="1"/>
  <c r="F1047" i="16"/>
  <c r="F1056" i="16" s="1"/>
  <c r="E1090" i="16"/>
  <c r="L1120" i="16"/>
  <c r="O1120" i="16" s="1"/>
  <c r="P1120" i="16" s="1"/>
  <c r="I1117" i="16"/>
  <c r="H1184" i="16"/>
  <c r="L1212" i="16"/>
  <c r="O1212" i="16" s="1"/>
  <c r="O1211" i="16" s="1"/>
  <c r="L1310" i="16"/>
  <c r="O1310" i="16" s="1"/>
  <c r="P1310" i="16" s="1"/>
  <c r="P1309" i="16" s="1"/>
  <c r="I1309" i="16"/>
  <c r="L1309" i="16" s="1"/>
  <c r="H1322" i="16"/>
  <c r="H1328" i="16" s="1"/>
  <c r="I1332" i="16"/>
  <c r="L1332" i="16" s="1"/>
  <c r="O1770" i="16"/>
  <c r="G525" i="16"/>
  <c r="G526" i="16" s="1"/>
  <c r="H585" i="16"/>
  <c r="H586" i="16" s="1"/>
  <c r="I824" i="16"/>
  <c r="L824" i="16" s="1"/>
  <c r="I886" i="16"/>
  <c r="J962" i="16"/>
  <c r="J967" i="16" s="1"/>
  <c r="H962" i="16"/>
  <c r="H967" i="16" s="1"/>
  <c r="K1007" i="16"/>
  <c r="G1047" i="16"/>
  <c r="K1090" i="16"/>
  <c r="N1090" i="16" s="1"/>
  <c r="H1123" i="16"/>
  <c r="L1307" i="16"/>
  <c r="P1537" i="16"/>
  <c r="G1654" i="16"/>
  <c r="L1796" i="16"/>
  <c r="O1796" i="16" s="1"/>
  <c r="P1796" i="16" s="1"/>
  <c r="P1795" i="16" s="1"/>
  <c r="I1795" i="16"/>
  <c r="L1795" i="16" s="1"/>
  <c r="L2013" i="16"/>
  <c r="O2013" i="16" s="1"/>
  <c r="P2013" i="16" s="1"/>
  <c r="P2012" i="16" s="1"/>
  <c r="I2012" i="16"/>
  <c r="L2012" i="16" s="1"/>
  <c r="C888" i="19" s="1"/>
  <c r="D888" i="19" s="1"/>
  <c r="L249" i="16"/>
  <c r="I254" i="16"/>
  <c r="L254" i="16" s="1"/>
  <c r="C127" i="19" s="1"/>
  <c r="D127" i="19" s="1"/>
  <c r="E127" i="19" s="1"/>
  <c r="L271" i="16"/>
  <c r="L287" i="16"/>
  <c r="J299" i="16"/>
  <c r="J300" i="16" s="1"/>
  <c r="E330" i="16"/>
  <c r="G381" i="16"/>
  <c r="G382" i="16" s="1"/>
  <c r="E487" i="16"/>
  <c r="E488" i="16" s="1"/>
  <c r="L511" i="16"/>
  <c r="I530" i="16"/>
  <c r="L530" i="16" s="1"/>
  <c r="I561" i="16"/>
  <c r="L561" i="16" s="1"/>
  <c r="L568" i="16"/>
  <c r="O568" i="16" s="1"/>
  <c r="P568" i="16" s="1"/>
  <c r="P567" i="16" s="1"/>
  <c r="J585" i="16"/>
  <c r="J586" i="16" s="1"/>
  <c r="K619" i="16"/>
  <c r="G664" i="16"/>
  <c r="G665" i="16" s="1"/>
  <c r="J701" i="16"/>
  <c r="J702" i="16" s="1"/>
  <c r="I745" i="16"/>
  <c r="L745" i="16" s="1"/>
  <c r="H783" i="16"/>
  <c r="L825" i="16"/>
  <c r="O825" i="16" s="1"/>
  <c r="O824" i="16" s="1"/>
  <c r="I867" i="16"/>
  <c r="L867" i="16" s="1"/>
  <c r="L887" i="16"/>
  <c r="O887" i="16" s="1"/>
  <c r="P887" i="16" s="1"/>
  <c r="P886" i="16" s="1"/>
  <c r="K962" i="16"/>
  <c r="F1007" i="16"/>
  <c r="F1012" i="16" s="1"/>
  <c r="I988" i="16"/>
  <c r="L988" i="16" s="1"/>
  <c r="I991" i="16"/>
  <c r="L991" i="16" s="1"/>
  <c r="K1047" i="16"/>
  <c r="H1047" i="16"/>
  <c r="H1056" i="16" s="1"/>
  <c r="L1172" i="16"/>
  <c r="J1184" i="16"/>
  <c r="I1434" i="16"/>
  <c r="L1434" i="16" s="1"/>
  <c r="L1435" i="16"/>
  <c r="O1435" i="16" s="1"/>
  <c r="O1434" i="16" s="1"/>
  <c r="I1478" i="16"/>
  <c r="L1478" i="16" s="1"/>
  <c r="L1479" i="16"/>
  <c r="O1479" i="16" s="1"/>
  <c r="O1478" i="16" s="1"/>
  <c r="I1491" i="16"/>
  <c r="L1491" i="16" s="1"/>
  <c r="L1492" i="16"/>
  <c r="O1492" i="16" s="1"/>
  <c r="O1491" i="16" s="1"/>
  <c r="J1694" i="16"/>
  <c r="J1047" i="16"/>
  <c r="I1110" i="16"/>
  <c r="G1109" i="16"/>
  <c r="K1354" i="16"/>
  <c r="N1354" i="16" s="1"/>
  <c r="L1578" i="16"/>
  <c r="O1578" i="16" s="1"/>
  <c r="I1577" i="16"/>
  <c r="L1577" i="16" s="1"/>
  <c r="I221" i="16"/>
  <c r="L221" i="16" s="1"/>
  <c r="E307" i="16"/>
  <c r="E314" i="16"/>
  <c r="H381" i="16"/>
  <c r="H382" i="16" s="1"/>
  <c r="J381" i="16"/>
  <c r="J382" i="16" s="1"/>
  <c r="J383" i="16" s="1"/>
  <c r="G487" i="16"/>
  <c r="G488" i="16" s="1"/>
  <c r="H525" i="16"/>
  <c r="H526" i="16" s="1"/>
  <c r="K525" i="16"/>
  <c r="E570" i="16"/>
  <c r="I573" i="16"/>
  <c r="I604" i="16"/>
  <c r="L604" i="16" s="1"/>
  <c r="E619" i="16"/>
  <c r="E620" i="16" s="1"/>
  <c r="I629" i="16"/>
  <c r="L629" i="16" s="1"/>
  <c r="F664" i="16"/>
  <c r="F665" i="16" s="1"/>
  <c r="L755" i="16"/>
  <c r="G773" i="16"/>
  <c r="J783" i="16"/>
  <c r="J839" i="16" s="1"/>
  <c r="L911" i="16"/>
  <c r="C408" i="19" s="1"/>
  <c r="D408" i="19" s="1"/>
  <c r="I916" i="16"/>
  <c r="L916" i="16" s="1"/>
  <c r="I952" i="16"/>
  <c r="L952" i="16" s="1"/>
  <c r="O952" i="16" s="1"/>
  <c r="I956" i="16"/>
  <c r="L956" i="16" s="1"/>
  <c r="C410" i="19" s="1"/>
  <c r="D410" i="19" s="1"/>
  <c r="H1007" i="16"/>
  <c r="H1012" i="16" s="1"/>
  <c r="E994" i="16"/>
  <c r="E1027" i="16"/>
  <c r="L1108" i="16"/>
  <c r="O1108" i="16" s="1"/>
  <c r="P1108" i="16" s="1"/>
  <c r="I1178" i="16"/>
  <c r="L1178" i="16" s="1"/>
  <c r="L1183" i="16"/>
  <c r="O1183" i="16" s="1"/>
  <c r="P1183" i="16" s="1"/>
  <c r="P1182" i="16" s="1"/>
  <c r="I1182" i="16"/>
  <c r="L1182" i="16" s="1"/>
  <c r="I1651" i="16"/>
  <c r="I1650" i="16" s="1"/>
  <c r="L1650" i="16" s="1"/>
  <c r="C690" i="19" s="1"/>
  <c r="E1650" i="16"/>
  <c r="G347" i="16"/>
  <c r="G348" i="16" s="1"/>
  <c r="K347" i="16"/>
  <c r="L403" i="16"/>
  <c r="J442" i="16"/>
  <c r="J443" i="16" s="1"/>
  <c r="L480" i="16"/>
  <c r="I533" i="16"/>
  <c r="L533" i="16" s="1"/>
  <c r="L559" i="16"/>
  <c r="I581" i="16"/>
  <c r="L581" i="16" s="1"/>
  <c r="I601" i="16"/>
  <c r="L601" i="16" s="1"/>
  <c r="F619" i="16"/>
  <c r="F620" i="16" s="1"/>
  <c r="H701" i="16"/>
  <c r="H702" i="16" s="1"/>
  <c r="L878" i="16"/>
  <c r="O878" i="16" s="1"/>
  <c r="P878" i="16" s="1"/>
  <c r="E953" i="16"/>
  <c r="J1007" i="16"/>
  <c r="J1012" i="16" s="1"/>
  <c r="I1038" i="16"/>
  <c r="L1038" i="16" s="1"/>
  <c r="H1058" i="16"/>
  <c r="I1082" i="16"/>
  <c r="L1091" i="16"/>
  <c r="O1091" i="16" s="1"/>
  <c r="I1098" i="16"/>
  <c r="L1098" i="16" s="1"/>
  <c r="I1236" i="16"/>
  <c r="L1236" i="16" s="1"/>
  <c r="L1251" i="16"/>
  <c r="L1276" i="16"/>
  <c r="O1276" i="16" s="1"/>
  <c r="I1275" i="16"/>
  <c r="L1275" i="16" s="1"/>
  <c r="G1283" i="16"/>
  <c r="I1335" i="16"/>
  <c r="L1335" i="16" s="1"/>
  <c r="F1514" i="16"/>
  <c r="P1569" i="16"/>
  <c r="P1568" i="16" s="1"/>
  <c r="O1568" i="16"/>
  <c r="J1704" i="16"/>
  <c r="E1833" i="16"/>
  <c r="I1834" i="16"/>
  <c r="L1095" i="16"/>
  <c r="L1115" i="16"/>
  <c r="L1126" i="16"/>
  <c r="C460" i="19" s="1"/>
  <c r="D460" i="19" s="1"/>
  <c r="L1132" i="16"/>
  <c r="E1144" i="16"/>
  <c r="L1176" i="16"/>
  <c r="F1194" i="16"/>
  <c r="F1198" i="16" s="1"/>
  <c r="L1205" i="16"/>
  <c r="C508" i="19" s="1"/>
  <c r="C490" i="19" s="1"/>
  <c r="I1269" i="16"/>
  <c r="L1269" i="16" s="1"/>
  <c r="H1283" i="16"/>
  <c r="I1297" i="16"/>
  <c r="L1297" i="16" s="1"/>
  <c r="L1316" i="16"/>
  <c r="L1373" i="16"/>
  <c r="O1373" i="16" s="1"/>
  <c r="O1372" i="16" s="1"/>
  <c r="G1405" i="16"/>
  <c r="I1447" i="16"/>
  <c r="I1470" i="16"/>
  <c r="L1470" i="16" s="1"/>
  <c r="C618" i="19" s="1"/>
  <c r="D618" i="19" s="1"/>
  <c r="J1526" i="16"/>
  <c r="L1524" i="16"/>
  <c r="C623" i="19" s="1"/>
  <c r="I1572" i="16"/>
  <c r="L1572" i="16" s="1"/>
  <c r="H1590" i="16"/>
  <c r="P1596" i="16"/>
  <c r="F1654" i="16"/>
  <c r="I1624" i="16"/>
  <c r="I1623" i="16" s="1"/>
  <c r="L1623" i="16" s="1"/>
  <c r="F1749" i="16"/>
  <c r="I1806" i="16"/>
  <c r="I1804" i="16" s="1"/>
  <c r="L1804" i="16" s="1"/>
  <c r="E1804" i="16"/>
  <c r="F1837" i="16"/>
  <c r="I1849" i="16"/>
  <c r="I1851" i="16"/>
  <c r="I1906" i="16"/>
  <c r="I1914" i="16"/>
  <c r="L1914" i="16" s="1"/>
  <c r="F2155" i="16"/>
  <c r="P2092" i="16"/>
  <c r="P2091" i="16" s="1"/>
  <c r="O2091" i="16"/>
  <c r="K2170" i="16"/>
  <c r="N2170" i="16" s="1"/>
  <c r="I2265" i="16"/>
  <c r="L2265" i="16" s="1"/>
  <c r="O2265" i="16" s="1"/>
  <c r="P2265" i="16" s="1"/>
  <c r="E2263" i="16"/>
  <c r="I2287" i="16"/>
  <c r="L2287" i="16" s="1"/>
  <c r="L2386" i="16"/>
  <c r="O2386" i="16" s="1"/>
  <c r="P2386" i="16" s="1"/>
  <c r="I2384" i="16"/>
  <c r="L2384" i="16" s="1"/>
  <c r="I2485" i="16"/>
  <c r="L2485" i="16" s="1"/>
  <c r="L2566" i="16"/>
  <c r="O2566" i="16" s="1"/>
  <c r="O2565" i="16" s="1"/>
  <c r="I2565" i="16"/>
  <c r="L2565" i="16" s="1"/>
  <c r="E2580" i="16"/>
  <c r="F2771" i="16"/>
  <c r="F2778" i="16" s="1"/>
  <c r="I1073" i="16"/>
  <c r="L1073" i="16" s="1"/>
  <c r="L1116" i="16"/>
  <c r="O1116" i="16" s="1"/>
  <c r="L1167" i="16"/>
  <c r="O1167" i="16" s="1"/>
  <c r="P1167" i="16" s="1"/>
  <c r="L1177" i="16"/>
  <c r="O1177" i="16" s="1"/>
  <c r="J1194" i="16"/>
  <c r="I1191" i="16"/>
  <c r="L1191" i="16" s="1"/>
  <c r="H1247" i="16"/>
  <c r="E1257" i="16"/>
  <c r="I1261" i="16"/>
  <c r="L1261" i="16" s="1"/>
  <c r="L1270" i="16"/>
  <c r="O1270" i="16" s="1"/>
  <c r="O1269" i="16" s="1"/>
  <c r="J1283" i="16"/>
  <c r="G1354" i="16"/>
  <c r="I1342" i="16"/>
  <c r="L1342" i="16" s="1"/>
  <c r="F1354" i="16"/>
  <c r="F1366" i="16" s="1"/>
  <c r="I1357" i="16"/>
  <c r="L1357" i="16" s="1"/>
  <c r="K1526" i="16"/>
  <c r="H1579" i="16"/>
  <c r="I1589" i="16"/>
  <c r="L1589" i="16" s="1"/>
  <c r="O1589" i="16" s="1"/>
  <c r="P1589" i="16" s="1"/>
  <c r="E1604" i="16"/>
  <c r="I1678" i="16"/>
  <c r="L1678" i="16" s="1"/>
  <c r="I1720" i="16"/>
  <c r="L1720" i="16" s="1"/>
  <c r="K1749" i="16"/>
  <c r="G1749" i="16"/>
  <c r="I1788" i="16"/>
  <c r="L1788" i="16" s="1"/>
  <c r="I1919" i="16"/>
  <c r="L1919" i="16" s="1"/>
  <c r="L1951" i="16"/>
  <c r="I2040" i="16"/>
  <c r="F2098" i="16"/>
  <c r="J2314" i="16"/>
  <c r="I2322" i="16"/>
  <c r="L2322" i="16" s="1"/>
  <c r="L2323" i="16"/>
  <c r="O2323" i="16" s="1"/>
  <c r="J2359" i="16"/>
  <c r="I2367" i="16"/>
  <c r="L2367" i="16" s="1"/>
  <c r="L2368" i="16"/>
  <c r="O2368" i="16" s="1"/>
  <c r="P2368" i="16" s="1"/>
  <c r="P2367" i="16" s="1"/>
  <c r="G2473" i="16"/>
  <c r="F1405" i="16"/>
  <c r="J1405" i="16"/>
  <c r="P1425" i="16"/>
  <c r="J1514" i="16"/>
  <c r="J1579" i="16"/>
  <c r="F1604" i="16"/>
  <c r="H1749" i="16"/>
  <c r="G1818" i="16"/>
  <c r="I1872" i="16"/>
  <c r="L1872" i="16" s="1"/>
  <c r="L1874" i="16"/>
  <c r="O1874" i="16" s="1"/>
  <c r="P1874" i="16" s="1"/>
  <c r="P1872" i="16" s="1"/>
  <c r="L1877" i="16"/>
  <c r="O1877" i="16" s="1"/>
  <c r="O1876" i="16" s="1"/>
  <c r="I1876" i="16"/>
  <c r="L1876" i="16" s="1"/>
  <c r="I1889" i="16"/>
  <c r="L1889" i="16" s="1"/>
  <c r="L1890" i="16"/>
  <c r="O1890" i="16" s="1"/>
  <c r="O1889" i="16" s="1"/>
  <c r="L2023" i="16"/>
  <c r="O2023" i="16" s="1"/>
  <c r="P2023" i="16" s="1"/>
  <c r="P2022" i="16" s="1"/>
  <c r="I2022" i="16"/>
  <c r="L2022" i="16" s="1"/>
  <c r="I2057" i="16"/>
  <c r="F2151" i="16"/>
  <c r="I2471" i="16"/>
  <c r="I2489" i="16"/>
  <c r="L2489" i="16" s="1"/>
  <c r="L2589" i="16"/>
  <c r="O2589" i="16" s="1"/>
  <c r="I2588" i="16"/>
  <c r="L2588" i="16" s="1"/>
  <c r="I2607" i="16"/>
  <c r="L2607" i="16" s="1"/>
  <c r="L2608" i="16"/>
  <c r="O2608" i="16" s="1"/>
  <c r="K1105" i="16"/>
  <c r="N1105" i="16" s="1"/>
  <c r="F1123" i="16"/>
  <c r="J1123" i="16"/>
  <c r="L1151" i="16"/>
  <c r="O1151" i="16" s="1"/>
  <c r="P1151" i="16" s="1"/>
  <c r="L1154" i="16"/>
  <c r="O1154" i="16" s="1"/>
  <c r="P1154" i="16" s="1"/>
  <c r="I1218" i="16"/>
  <c r="L1218" i="16" s="1"/>
  <c r="I1226" i="16"/>
  <c r="L1226" i="16" s="1"/>
  <c r="K1247" i="16"/>
  <c r="N1247" i="16" s="1"/>
  <c r="L1277" i="16"/>
  <c r="I1299" i="16"/>
  <c r="L1299" i="16" s="1"/>
  <c r="I1303" i="16"/>
  <c r="L1303" i="16" s="1"/>
  <c r="F1322" i="16"/>
  <c r="F1328" i="16" s="1"/>
  <c r="H1354" i="16"/>
  <c r="L1397" i="16"/>
  <c r="H1405" i="16"/>
  <c r="H1414" i="16" s="1"/>
  <c r="L1432" i="16"/>
  <c r="O1432" i="16" s="1"/>
  <c r="P1432" i="16" s="1"/>
  <c r="L1450" i="16"/>
  <c r="I1458" i="16"/>
  <c r="L1458" i="16" s="1"/>
  <c r="H1514" i="16"/>
  <c r="I1512" i="16"/>
  <c r="L1512" i="16" s="1"/>
  <c r="L1518" i="16"/>
  <c r="O1518" i="16" s="1"/>
  <c r="O1517" i="16" s="1"/>
  <c r="K1579" i="16"/>
  <c r="I1562" i="16"/>
  <c r="L1562" i="16" s="1"/>
  <c r="L1571" i="16"/>
  <c r="O1571" i="16" s="1"/>
  <c r="I1618" i="16"/>
  <c r="L1618" i="16" s="1"/>
  <c r="C688" i="19" s="1"/>
  <c r="D688" i="19" s="1"/>
  <c r="G1694" i="16"/>
  <c r="I1716" i="16"/>
  <c r="L1716" i="16" s="1"/>
  <c r="J1749" i="16"/>
  <c r="E1885" i="16"/>
  <c r="I1888" i="16"/>
  <c r="L1888" i="16" s="1"/>
  <c r="O1888" i="16" s="1"/>
  <c r="P1888" i="16" s="1"/>
  <c r="I1969" i="16"/>
  <c r="L1969" i="16" s="1"/>
  <c r="O1969" i="16" s="1"/>
  <c r="O1968" i="16" s="1"/>
  <c r="O1970" i="16" s="1"/>
  <c r="O1971" i="16" s="1"/>
  <c r="E1968" i="16"/>
  <c r="E1970" i="16" s="1"/>
  <c r="E1971" i="16" s="1"/>
  <c r="I2117" i="16"/>
  <c r="L2117" i="16" s="1"/>
  <c r="I2124" i="16"/>
  <c r="L2124" i="16" s="1"/>
  <c r="H2142" i="16"/>
  <c r="I2300" i="16"/>
  <c r="L2300" i="16" s="1"/>
  <c r="L2302" i="16"/>
  <c r="O2302" i="16" s="1"/>
  <c r="P2302" i="16" s="1"/>
  <c r="P2300" i="16" s="1"/>
  <c r="I2539" i="16"/>
  <c r="L2539" i="16" s="1"/>
  <c r="J1354" i="16"/>
  <c r="I1474" i="16"/>
  <c r="H1694" i="16"/>
  <c r="I1681" i="16"/>
  <c r="L1681" i="16" s="1"/>
  <c r="L1685" i="16"/>
  <c r="L1702" i="16"/>
  <c r="I1712" i="16"/>
  <c r="L1712" i="16" s="1"/>
  <c r="H1818" i="16"/>
  <c r="F1895" i="16"/>
  <c r="I2074" i="16"/>
  <c r="L2074" i="16" s="1"/>
  <c r="L2075" i="16"/>
  <c r="O2075" i="16" s="1"/>
  <c r="E2130" i="16"/>
  <c r="E2131" i="16" s="1"/>
  <c r="L2183" i="16"/>
  <c r="O2183" i="16" s="1"/>
  <c r="P2183" i="16" s="1"/>
  <c r="L2192" i="16"/>
  <c r="O2192" i="16" s="1"/>
  <c r="P2192" i="16" s="1"/>
  <c r="I2202" i="16"/>
  <c r="L2202" i="16" s="1"/>
  <c r="O2202" i="16" s="1"/>
  <c r="P2202" i="16" s="1"/>
  <c r="E2200" i="16"/>
  <c r="I2354" i="16"/>
  <c r="E2352" i="16"/>
  <c r="H2414" i="16"/>
  <c r="P2493" i="16"/>
  <c r="L2496" i="16"/>
  <c r="F2510" i="16"/>
  <c r="L2660" i="16"/>
  <c r="O2660" i="16" s="1"/>
  <c r="I2659" i="16"/>
  <c r="L2659" i="16" s="1"/>
  <c r="I2555" i="16"/>
  <c r="L2555" i="16" s="1"/>
  <c r="L2556" i="16"/>
  <c r="O2556" i="16" s="1"/>
  <c r="O2555" i="16" s="1"/>
  <c r="L3028" i="16"/>
  <c r="O3028" i="16" s="1"/>
  <c r="O3027" i="16" s="1"/>
  <c r="I3027" i="16"/>
  <c r="L3027" i="16" s="1"/>
  <c r="P3092" i="16"/>
  <c r="G1184" i="16"/>
  <c r="F1184" i="16"/>
  <c r="L1231" i="16"/>
  <c r="F1283" i="16"/>
  <c r="J1322" i="16"/>
  <c r="E1354" i="16"/>
  <c r="G1365" i="16"/>
  <c r="L1383" i="16"/>
  <c r="K1430" i="16"/>
  <c r="L1460" i="16"/>
  <c r="G1514" i="16"/>
  <c r="L1494" i="16"/>
  <c r="L1510" i="16"/>
  <c r="H1526" i="16"/>
  <c r="H1611" i="16" s="1"/>
  <c r="G1526" i="16"/>
  <c r="L1537" i="16"/>
  <c r="I1568" i="16"/>
  <c r="L1568" i="16" s="1"/>
  <c r="G1604" i="16"/>
  <c r="K1694" i="16"/>
  <c r="E1704" i="16"/>
  <c r="F1753" i="16"/>
  <c r="F1762" i="16" s="1"/>
  <c r="K1818" i="16"/>
  <c r="N1818" i="16" s="1"/>
  <c r="H1895" i="16"/>
  <c r="H1901" i="16" s="1"/>
  <c r="I1950" i="16"/>
  <c r="L1950" i="16" s="1"/>
  <c r="G1931" i="16"/>
  <c r="L2059" i="16"/>
  <c r="O2059" i="16" s="1"/>
  <c r="P2059" i="16" s="1"/>
  <c r="P2057" i="16" s="1"/>
  <c r="K2057" i="16"/>
  <c r="N2057" i="16" s="1"/>
  <c r="L2276" i="16"/>
  <c r="O2276" i="16" s="1"/>
  <c r="P2276" i="16" s="1"/>
  <c r="I2274" i="16"/>
  <c r="L2274" i="16" s="1"/>
  <c r="H2371" i="16"/>
  <c r="I2381" i="16"/>
  <c r="I2380" i="16" s="1"/>
  <c r="L2380" i="16" s="1"/>
  <c r="E2380" i="16"/>
  <c r="K2414" i="16"/>
  <c r="N2414" i="16" s="1"/>
  <c r="L2476" i="16"/>
  <c r="L2570" i="16"/>
  <c r="O2570" i="16" s="1"/>
  <c r="O2569" i="16" s="1"/>
  <c r="I2569" i="16"/>
  <c r="L2569" i="16" s="1"/>
  <c r="F2612" i="16"/>
  <c r="F2618" i="16" s="1"/>
  <c r="L1117" i="16"/>
  <c r="I1190" i="16"/>
  <c r="L1190" i="16" s="1"/>
  <c r="O1190" i="16" s="1"/>
  <c r="P1190" i="16" s="1"/>
  <c r="F1247" i="16"/>
  <c r="K1283" i="16"/>
  <c r="N1283" i="16" s="1"/>
  <c r="L1318" i="16"/>
  <c r="I1353" i="16"/>
  <c r="L1353" i="16" s="1"/>
  <c r="O1353" i="16" s="1"/>
  <c r="O1352" i="16" s="1"/>
  <c r="H1365" i="16"/>
  <c r="L1372" i="16"/>
  <c r="E1377" i="16"/>
  <c r="I1400" i="16"/>
  <c r="G1464" i="16"/>
  <c r="I1462" i="16"/>
  <c r="L1462" i="16" s="1"/>
  <c r="C606" i="19" s="1"/>
  <c r="D606" i="19" s="1"/>
  <c r="L1475" i="16"/>
  <c r="O1475" i="16" s="1"/>
  <c r="P1475" i="16" s="1"/>
  <c r="L1511" i="16"/>
  <c r="O1511" i="16" s="1"/>
  <c r="P1511" i="16" s="1"/>
  <c r="P1510" i="16" s="1"/>
  <c r="I1543" i="16"/>
  <c r="L1543" i="16" s="1"/>
  <c r="O1543" i="16" s="1"/>
  <c r="P1543" i="16" s="1"/>
  <c r="I1602" i="16"/>
  <c r="L1602" i="16" s="1"/>
  <c r="C649" i="19" s="1"/>
  <c r="D649" i="19" s="1"/>
  <c r="E649" i="19" s="1"/>
  <c r="J1654" i="16"/>
  <c r="L1635" i="16"/>
  <c r="O1635" i="16" s="1"/>
  <c r="P1635" i="16" s="1"/>
  <c r="P1634" i="16" s="1"/>
  <c r="I1673" i="16"/>
  <c r="L1673" i="16" s="1"/>
  <c r="F1704" i="16"/>
  <c r="F1705" i="16" s="1"/>
  <c r="I1729" i="16"/>
  <c r="L1729" i="16" s="1"/>
  <c r="G1753" i="16"/>
  <c r="G1762" i="16" s="1"/>
  <c r="I1854" i="16"/>
  <c r="E1852" i="16"/>
  <c r="J1895" i="16"/>
  <c r="J1901" i="16" s="1"/>
  <c r="I2028" i="16"/>
  <c r="L2028" i="16" s="1"/>
  <c r="H2121" i="16"/>
  <c r="L2162" i="16"/>
  <c r="C990" i="19" s="1"/>
  <c r="D990" i="19" s="1"/>
  <c r="L2332" i="16"/>
  <c r="G2359" i="16"/>
  <c r="H2359" i="16"/>
  <c r="H2372" i="16" s="1"/>
  <c r="I2398" i="16"/>
  <c r="L2398" i="16" s="1"/>
  <c r="I2403" i="16"/>
  <c r="L2403" i="16" s="1"/>
  <c r="I2454" i="16"/>
  <c r="L2454" i="16" s="1"/>
  <c r="L2455" i="16"/>
  <c r="O2455" i="16" s="1"/>
  <c r="P2455" i="16" s="1"/>
  <c r="P2454" i="16" s="1"/>
  <c r="P2499" i="16"/>
  <c r="P2498" i="16" s="1"/>
  <c r="O2498" i="16"/>
  <c r="L2501" i="16"/>
  <c r="O2501" i="16" s="1"/>
  <c r="P2501" i="16" s="1"/>
  <c r="P2500" i="16" s="1"/>
  <c r="L2568" i="16"/>
  <c r="O2568" i="16" s="1"/>
  <c r="P2568" i="16" s="1"/>
  <c r="P2567" i="16" s="1"/>
  <c r="I2567" i="16"/>
  <c r="L2567" i="16" s="1"/>
  <c r="I2585" i="16"/>
  <c r="L2585" i="16" s="1"/>
  <c r="C1151" i="19" s="1"/>
  <c r="D1151" i="19" s="1"/>
  <c r="L2768" i="16"/>
  <c r="O2768" i="16" s="1"/>
  <c r="P2768" i="16" s="1"/>
  <c r="I2765" i="16"/>
  <c r="F1818" i="16"/>
  <c r="F1838" i="16" s="1"/>
  <c r="K1837" i="16"/>
  <c r="I1880" i="16"/>
  <c r="L1880" i="16" s="1"/>
  <c r="J1931" i="16"/>
  <c r="J1961" i="16" s="1"/>
  <c r="E2014" i="16"/>
  <c r="E2036" i="16"/>
  <c r="J2070" i="16"/>
  <c r="J2155" i="16" s="1"/>
  <c r="I2095" i="16"/>
  <c r="L2095" i="16" s="1"/>
  <c r="K2121" i="16"/>
  <c r="N2121" i="16" s="1"/>
  <c r="I2119" i="16"/>
  <c r="L2119" i="16" s="1"/>
  <c r="F2130" i="16"/>
  <c r="F2131" i="16" s="1"/>
  <c r="J2151" i="16"/>
  <c r="J2152" i="16" s="1"/>
  <c r="G2151" i="16"/>
  <c r="G2152" i="16" s="1"/>
  <c r="E2190" i="16"/>
  <c r="G2244" i="16"/>
  <c r="I2338" i="16"/>
  <c r="L2338" i="16" s="1"/>
  <c r="I2348" i="16"/>
  <c r="L2348" i="16" s="1"/>
  <c r="K2359" i="16"/>
  <c r="N2359" i="16" s="1"/>
  <c r="K2371" i="16"/>
  <c r="N2371" i="16" s="1"/>
  <c r="I2375" i="16"/>
  <c r="L2375" i="16" s="1"/>
  <c r="I2410" i="16"/>
  <c r="L2410" i="16" s="1"/>
  <c r="F2426" i="16"/>
  <c r="K2473" i="16"/>
  <c r="N2473" i="16" s="1"/>
  <c r="J2510" i="16"/>
  <c r="J2516" i="16" s="1"/>
  <c r="I2508" i="16"/>
  <c r="L2508" i="16" s="1"/>
  <c r="I2526" i="16"/>
  <c r="L2526" i="16" s="1"/>
  <c r="C1137" i="19" s="1"/>
  <c r="D1137" i="19" s="1"/>
  <c r="L2538" i="16"/>
  <c r="O2538" i="16" s="1"/>
  <c r="P2538" i="16" s="1"/>
  <c r="P2535" i="16" s="1"/>
  <c r="I2560" i="16"/>
  <c r="L2560" i="16" s="1"/>
  <c r="J2612" i="16"/>
  <c r="J2618" i="16" s="1"/>
  <c r="I2605" i="16"/>
  <c r="E2649" i="16"/>
  <c r="E2652" i="16" s="1"/>
  <c r="F2672" i="16"/>
  <c r="F2683" i="16" s="1"/>
  <c r="L2666" i="16"/>
  <c r="O2666" i="16" s="1"/>
  <c r="I2665" i="16"/>
  <c r="L2665" i="16" s="1"/>
  <c r="L2693" i="16"/>
  <c r="O2693" i="16" s="1"/>
  <c r="I2692" i="16"/>
  <c r="L2692" i="16" s="1"/>
  <c r="I2743" i="16"/>
  <c r="L2743" i="16" s="1"/>
  <c r="H2109" i="16"/>
  <c r="H2110" i="16" s="1"/>
  <c r="J2121" i="16"/>
  <c r="H2151" i="16"/>
  <c r="J2209" i="16"/>
  <c r="F2244" i="16"/>
  <c r="L2223" i="16"/>
  <c r="O2223" i="16" s="1"/>
  <c r="P2223" i="16" s="1"/>
  <c r="L2355" i="16"/>
  <c r="I2395" i="16"/>
  <c r="L2395" i="16" s="1"/>
  <c r="P2428" i="16"/>
  <c r="I2468" i="16"/>
  <c r="L2468" i="16" s="1"/>
  <c r="K2510" i="16"/>
  <c r="I2576" i="16"/>
  <c r="F2646" i="16"/>
  <c r="F2653" i="16" s="1"/>
  <c r="H2672" i="16"/>
  <c r="H2683" i="16" s="1"/>
  <c r="I2735" i="16"/>
  <c r="L2735" i="16" s="1"/>
  <c r="J2771" i="16"/>
  <c r="J2778" i="16" s="1"/>
  <c r="L2954" i="16"/>
  <c r="O2954" i="16" s="1"/>
  <c r="I2953" i="16"/>
  <c r="L2953" i="16" s="1"/>
  <c r="J2426" i="16"/>
  <c r="I2551" i="16"/>
  <c r="L2551" i="16" s="1"/>
  <c r="G2646" i="16"/>
  <c r="G2653" i="16" s="1"/>
  <c r="I2924" i="16"/>
  <c r="L2924" i="16" s="1"/>
  <c r="L2926" i="16"/>
  <c r="O2926" i="16" s="1"/>
  <c r="P2926" i="16" s="1"/>
  <c r="G1895" i="16"/>
  <c r="G1901" i="16" s="1"/>
  <c r="J1928" i="16"/>
  <c r="F2054" i="16"/>
  <c r="G2082" i="16"/>
  <c r="J2109" i="16"/>
  <c r="J2110" i="16" s="1"/>
  <c r="J2130" i="16"/>
  <c r="J2131" i="16" s="1"/>
  <c r="K2151" i="16"/>
  <c r="N2151" i="16" s="1"/>
  <c r="K2244" i="16"/>
  <c r="N2244" i="16" s="1"/>
  <c r="E2294" i="16"/>
  <c r="H2314" i="16"/>
  <c r="F2314" i="16"/>
  <c r="G2314" i="16"/>
  <c r="L2346" i="16"/>
  <c r="L2378" i="16"/>
  <c r="E2408" i="16"/>
  <c r="F2414" i="16"/>
  <c r="K2426" i="16"/>
  <c r="I2445" i="16"/>
  <c r="L2445" i="16" s="1"/>
  <c r="L2458" i="16"/>
  <c r="E2471" i="16"/>
  <c r="L2483" i="16"/>
  <c r="O2483" i="16" s="1"/>
  <c r="P2483" i="16" s="1"/>
  <c r="P2482" i="16" s="1"/>
  <c r="L2505" i="16"/>
  <c r="O2505" i="16" s="1"/>
  <c r="P2505" i="16" s="1"/>
  <c r="L2507" i="16"/>
  <c r="O2507" i="16" s="1"/>
  <c r="O2506" i="16" s="1"/>
  <c r="F2580" i="16"/>
  <c r="I2591" i="16"/>
  <c r="L2591" i="16" s="1"/>
  <c r="O2591" i="16" s="1"/>
  <c r="E2590" i="16"/>
  <c r="E2631" i="16"/>
  <c r="E2633" i="16" s="1"/>
  <c r="H2653" i="16"/>
  <c r="J2672" i="16"/>
  <c r="J2683" i="16" s="1"/>
  <c r="I2731" i="16"/>
  <c r="L2731" i="16" s="1"/>
  <c r="I2754" i="16"/>
  <c r="L2754" i="16" s="1"/>
  <c r="K2789" i="16"/>
  <c r="I2890" i="16"/>
  <c r="L2950" i="16"/>
  <c r="O2950" i="16" s="1"/>
  <c r="O2949" i="16" s="1"/>
  <c r="I2949" i="16"/>
  <c r="L2949" i="16" s="1"/>
  <c r="J1818" i="16"/>
  <c r="J1838" i="16" s="1"/>
  <c r="E1928" i="16"/>
  <c r="E2119" i="16"/>
  <c r="H2209" i="16"/>
  <c r="H2245" i="16" s="1"/>
  <c r="I2194" i="16"/>
  <c r="L2194" i="16" s="1"/>
  <c r="J2244" i="16"/>
  <c r="J2245" i="16" s="1"/>
  <c r="L2225" i="16"/>
  <c r="O2225" i="16" s="1"/>
  <c r="P2225" i="16" s="1"/>
  <c r="F2359" i="16"/>
  <c r="F2371" i="16"/>
  <c r="G2414" i="16"/>
  <c r="G2427" i="16" s="1"/>
  <c r="I2418" i="16"/>
  <c r="L2418" i="16" s="1"/>
  <c r="F2473" i="16"/>
  <c r="L2540" i="16"/>
  <c r="O2540" i="16" s="1"/>
  <c r="P2540" i="16" s="1"/>
  <c r="I2598" i="16"/>
  <c r="L2598" i="16" s="1"/>
  <c r="L2599" i="16"/>
  <c r="O2599" i="16" s="1"/>
  <c r="O2598" i="16" s="1"/>
  <c r="E2605" i="16"/>
  <c r="E2609" i="16"/>
  <c r="F2631" i="16"/>
  <c r="F2633" i="16" s="1"/>
  <c r="I2641" i="16"/>
  <c r="L2641" i="16" s="1"/>
  <c r="L2677" i="16"/>
  <c r="O2677" i="16" s="1"/>
  <c r="P2677" i="16" s="1"/>
  <c r="G2720" i="16"/>
  <c r="G2727" i="16" s="1"/>
  <c r="L2972" i="16"/>
  <c r="O2972" i="16" s="1"/>
  <c r="P2972" i="16" s="1"/>
  <c r="P2971" i="16" s="1"/>
  <c r="I2971" i="16"/>
  <c r="L2971" i="16" s="1"/>
  <c r="O3169" i="16"/>
  <c r="P3170" i="16"/>
  <c r="P3169" i="16" s="1"/>
  <c r="L3509" i="16"/>
  <c r="O3509" i="16" s="1"/>
  <c r="P3509" i="16" s="1"/>
  <c r="P3508" i="16" s="1"/>
  <c r="I3508" i="16"/>
  <c r="L3508" i="16" s="1"/>
  <c r="C1569" i="19" s="1"/>
  <c r="D1569" i="19" s="1"/>
  <c r="E1569" i="19" s="1"/>
  <c r="I1825" i="16"/>
  <c r="L1825" i="16" s="1"/>
  <c r="K1895" i="16"/>
  <c r="N1895" i="16" s="1"/>
  <c r="F1961" i="16"/>
  <c r="F1962" i="16" s="1"/>
  <c r="J2054" i="16"/>
  <c r="G2070" i="16"/>
  <c r="G2155" i="16" s="1"/>
  <c r="I2128" i="16"/>
  <c r="L2128" i="16" s="1"/>
  <c r="L2172" i="16"/>
  <c r="O2172" i="16" s="1"/>
  <c r="P2172" i="16" s="1"/>
  <c r="K2180" i="16"/>
  <c r="N2180" i="16" s="1"/>
  <c r="F2209" i="16"/>
  <c r="L2279" i="16"/>
  <c r="I2308" i="16"/>
  <c r="L2308" i="16" s="1"/>
  <c r="K2314" i="16"/>
  <c r="N2314" i="16" s="1"/>
  <c r="I2387" i="16"/>
  <c r="L2387" i="16" s="1"/>
  <c r="I2392" i="16"/>
  <c r="L2392" i="16" s="1"/>
  <c r="J2414" i="16"/>
  <c r="I2438" i="16"/>
  <c r="L2438" i="16" s="1"/>
  <c r="H2473" i="16"/>
  <c r="G2510" i="16"/>
  <c r="G2580" i="16"/>
  <c r="G2612" i="16"/>
  <c r="G2618" i="16" s="1"/>
  <c r="K2646" i="16"/>
  <c r="K2672" i="16"/>
  <c r="N2672" i="16" s="1"/>
  <c r="L2670" i="16"/>
  <c r="O2670" i="16" s="1"/>
  <c r="P2670" i="16" s="1"/>
  <c r="P2669" i="16" s="1"/>
  <c r="I2669" i="16"/>
  <c r="L2669" i="16" s="1"/>
  <c r="J2720" i="16"/>
  <c r="J2727" i="16" s="1"/>
  <c r="I2716" i="16"/>
  <c r="L2716" i="16" s="1"/>
  <c r="L2793" i="16"/>
  <c r="O2793" i="16" s="1"/>
  <c r="O2792" i="16" s="1"/>
  <c r="O2794" i="16" s="1"/>
  <c r="I2792" i="16"/>
  <c r="L2805" i="16"/>
  <c r="O2805" i="16" s="1"/>
  <c r="P2805" i="16" s="1"/>
  <c r="I2801" i="16"/>
  <c r="L2801" i="16" s="1"/>
  <c r="E2994" i="16"/>
  <c r="E3002" i="16" s="1"/>
  <c r="F2748" i="16"/>
  <c r="F2758" i="16" s="1"/>
  <c r="J2833" i="16"/>
  <c r="J2835" i="16" s="1"/>
  <c r="K2959" i="16"/>
  <c r="H2994" i="16"/>
  <c r="H3002" i="16" s="1"/>
  <c r="K3385" i="16"/>
  <c r="I3433" i="16"/>
  <c r="L3433" i="16" s="1"/>
  <c r="E3444" i="16"/>
  <c r="E3467" i="16" s="1"/>
  <c r="E3468" i="16" s="1"/>
  <c r="L3448" i="16"/>
  <c r="I3678" i="16"/>
  <c r="L3678" i="16" s="1"/>
  <c r="L3679" i="16"/>
  <c r="O3679" i="16" s="1"/>
  <c r="O3678" i="16" s="1"/>
  <c r="L4796" i="16"/>
  <c r="O4796" i="16" s="1"/>
  <c r="P4796" i="16" s="1"/>
  <c r="P4794" i="16" s="1"/>
  <c r="I4794" i="16"/>
  <c r="L4794" i="16" s="1"/>
  <c r="J2580" i="16"/>
  <c r="E2646" i="16"/>
  <c r="E2672" i="16"/>
  <c r="E2720" i="16"/>
  <c r="K2748" i="16"/>
  <c r="F2789" i="16"/>
  <c r="F2796" i="16" s="1"/>
  <c r="L2818" i="16"/>
  <c r="O2818" i="16" s="1"/>
  <c r="F2848" i="16"/>
  <c r="L2852" i="16"/>
  <c r="J2994" i="16"/>
  <c r="J3002" i="16" s="1"/>
  <c r="J3040" i="16"/>
  <c r="J3042" i="16" s="1"/>
  <c r="H3066" i="16"/>
  <c r="H3074" i="16" s="1"/>
  <c r="L3065" i="16"/>
  <c r="O3065" i="16" s="1"/>
  <c r="I3083" i="16"/>
  <c r="L3083" i="16" s="1"/>
  <c r="L3094" i="16"/>
  <c r="O3094" i="16" s="1"/>
  <c r="P3094" i="16" s="1"/>
  <c r="L3151" i="16"/>
  <c r="O3151" i="16" s="1"/>
  <c r="I3169" i="16"/>
  <c r="L3169" i="16" s="1"/>
  <c r="L3173" i="16"/>
  <c r="O3173" i="16" s="1"/>
  <c r="P3184" i="16"/>
  <c r="P3183" i="16" s="1"/>
  <c r="L3192" i="16"/>
  <c r="O3192" i="16" s="1"/>
  <c r="O3191" i="16" s="1"/>
  <c r="L3253" i="16"/>
  <c r="O3253" i="16" s="1"/>
  <c r="O3252" i="16" s="1"/>
  <c r="K3320" i="16"/>
  <c r="N3320" i="16" s="1"/>
  <c r="L3307" i="16"/>
  <c r="I3330" i="16"/>
  <c r="L3330" i="16" s="1"/>
  <c r="I3335" i="16"/>
  <c r="L3335" i="16" s="1"/>
  <c r="L3351" i="16"/>
  <c r="E3361" i="16"/>
  <c r="E3385" i="16" s="1"/>
  <c r="E3386" i="16" s="1"/>
  <c r="J3438" i="16"/>
  <c r="J3439" i="16" s="1"/>
  <c r="I3408" i="16"/>
  <c r="L3408" i="16" s="1"/>
  <c r="L3414" i="16"/>
  <c r="I3462" i="16"/>
  <c r="L3462" i="16" s="1"/>
  <c r="H3467" i="16"/>
  <c r="H3468" i="16" s="1"/>
  <c r="I3555" i="16"/>
  <c r="L3555" i="16" s="1"/>
  <c r="L3557" i="16"/>
  <c r="O3557" i="16" s="1"/>
  <c r="P3557" i="16" s="1"/>
  <c r="I3647" i="16"/>
  <c r="L3647" i="16" s="1"/>
  <c r="L3648" i="16"/>
  <c r="O3648" i="16" s="1"/>
  <c r="G3850" i="16"/>
  <c r="L3838" i="16"/>
  <c r="O4061" i="16"/>
  <c r="P4062" i="16"/>
  <c r="P4061" i="16" s="1"/>
  <c r="E4112" i="16"/>
  <c r="E4124" i="16" s="1"/>
  <c r="F2720" i="16"/>
  <c r="F2727" i="16" s="1"/>
  <c r="H2748" i="16"/>
  <c r="H2758" i="16" s="1"/>
  <c r="J2757" i="16"/>
  <c r="G2789" i="16"/>
  <c r="G2796" i="16" s="1"/>
  <c r="H2789" i="16"/>
  <c r="H2796" i="16" s="1"/>
  <c r="I2808" i="16"/>
  <c r="L2808" i="16" s="1"/>
  <c r="L2823" i="16"/>
  <c r="O2823" i="16" s="1"/>
  <c r="O2822" i="16" s="1"/>
  <c r="E2854" i="16"/>
  <c r="E2859" i="16" s="1"/>
  <c r="F2859" i="16"/>
  <c r="F2862" i="16" s="1"/>
  <c r="L2894" i="16"/>
  <c r="O2894" i="16" s="1"/>
  <c r="P2894" i="16" s="1"/>
  <c r="I2898" i="16"/>
  <c r="L2898" i="16" s="1"/>
  <c r="I2905" i="16"/>
  <c r="L2905" i="16" s="1"/>
  <c r="I2941" i="16"/>
  <c r="L2941" i="16" s="1"/>
  <c r="K2994" i="16"/>
  <c r="I2975" i="16"/>
  <c r="L2975" i="16" s="1"/>
  <c r="K3040" i="16"/>
  <c r="I3050" i="16"/>
  <c r="L3050" i="16" s="1"/>
  <c r="K3066" i="16"/>
  <c r="N3066" i="16" s="1"/>
  <c r="I3056" i="16"/>
  <c r="L3056" i="16" s="1"/>
  <c r="K3113" i="16"/>
  <c r="N3113" i="16" s="1"/>
  <c r="J3113" i="16"/>
  <c r="O3141" i="16"/>
  <c r="L3145" i="16"/>
  <c r="L3175" i="16"/>
  <c r="O3175" i="16" s="1"/>
  <c r="P3175" i="16" s="1"/>
  <c r="P3174" i="16" s="1"/>
  <c r="L3306" i="16"/>
  <c r="O3306" i="16" s="1"/>
  <c r="I3315" i="16"/>
  <c r="L3315" i="16" s="1"/>
  <c r="O3315" i="16" s="1"/>
  <c r="P3315" i="16" s="1"/>
  <c r="L3350" i="16"/>
  <c r="O3350" i="16" s="1"/>
  <c r="L3352" i="16"/>
  <c r="O3352" i="16" s="1"/>
  <c r="O3351" i="16" s="1"/>
  <c r="L3367" i="16"/>
  <c r="O3367" i="16" s="1"/>
  <c r="P3367" i="16" s="1"/>
  <c r="P3366" i="16" s="1"/>
  <c r="L3382" i="16"/>
  <c r="O3382" i="16" s="1"/>
  <c r="O3380" i="16" s="1"/>
  <c r="L3384" i="16"/>
  <c r="O3384" i="16" s="1"/>
  <c r="P3384" i="16" s="1"/>
  <c r="P3383" i="16" s="1"/>
  <c r="K3438" i="16"/>
  <c r="I3424" i="16"/>
  <c r="L3424" i="16" s="1"/>
  <c r="L3449" i="16"/>
  <c r="O3449" i="16" s="1"/>
  <c r="O3448" i="16" s="1"/>
  <c r="J3467" i="16"/>
  <c r="J3468" i="16" s="1"/>
  <c r="I3529" i="16"/>
  <c r="L3529" i="16" s="1"/>
  <c r="L3531" i="16"/>
  <c r="O3531" i="16" s="1"/>
  <c r="I3580" i="16"/>
  <c r="L3580" i="16" s="1"/>
  <c r="L3582" i="16"/>
  <c r="O3582" i="16" s="1"/>
  <c r="P3582" i="16" s="1"/>
  <c r="I4001" i="16"/>
  <c r="L4001" i="16" s="1"/>
  <c r="I4174" i="16"/>
  <c r="L4174" i="16" s="1"/>
  <c r="L4175" i="16"/>
  <c r="O4175" i="16" s="1"/>
  <c r="P4175" i="16" s="1"/>
  <c r="P4174" i="16" s="1"/>
  <c r="G2848" i="16"/>
  <c r="G2859" i="16"/>
  <c r="E2909" i="16"/>
  <c r="I2968" i="16"/>
  <c r="L2968" i="16" s="1"/>
  <c r="H3113" i="16"/>
  <c r="H3120" i="16" s="1"/>
  <c r="I3110" i="16"/>
  <c r="L3110" i="16" s="1"/>
  <c r="E3177" i="16"/>
  <c r="E3185" i="16" s="1"/>
  <c r="E3186" i="16" s="1"/>
  <c r="K3203" i="16"/>
  <c r="N3203" i="16" s="1"/>
  <c r="E3246" i="16"/>
  <c r="L3313" i="16"/>
  <c r="O3313" i="16" s="1"/>
  <c r="O3312" i="16" s="1"/>
  <c r="E3353" i="16"/>
  <c r="I3479" i="16"/>
  <c r="L3479" i="16" s="1"/>
  <c r="I3495" i="16"/>
  <c r="L3495" i="16" s="1"/>
  <c r="I3602" i="16"/>
  <c r="L3602" i="16" s="1"/>
  <c r="L3604" i="16"/>
  <c r="O3604" i="16" s="1"/>
  <c r="P3604" i="16" s="1"/>
  <c r="I3739" i="16"/>
  <c r="L3739" i="16" s="1"/>
  <c r="L3740" i="16"/>
  <c r="O3740" i="16" s="1"/>
  <c r="O3739" i="16" s="1"/>
  <c r="I3743" i="16"/>
  <c r="L3743" i="16" s="1"/>
  <c r="L3746" i="16"/>
  <c r="O3746" i="16" s="1"/>
  <c r="L3835" i="16"/>
  <c r="O3835" i="16" s="1"/>
  <c r="I3833" i="16"/>
  <c r="L3833" i="16" s="1"/>
  <c r="O3844" i="16"/>
  <c r="I3948" i="16"/>
  <c r="L3948" i="16" s="1"/>
  <c r="L3949" i="16"/>
  <c r="O3949" i="16" s="1"/>
  <c r="P3949" i="16" s="1"/>
  <c r="P3948" i="16" s="1"/>
  <c r="L4005" i="16"/>
  <c r="O4005" i="16" s="1"/>
  <c r="O4004" i="16" s="1"/>
  <c r="I4004" i="16"/>
  <c r="L4004" i="16" s="1"/>
  <c r="O4006" i="16"/>
  <c r="L4133" i="16"/>
  <c r="F2833" i="16"/>
  <c r="F2835" i="16" s="1"/>
  <c r="I2838" i="16"/>
  <c r="L2838" i="16" s="1"/>
  <c r="H2848" i="16"/>
  <c r="F2959" i="16"/>
  <c r="F2964" i="16" s="1"/>
  <c r="L2984" i="16"/>
  <c r="I3010" i="16"/>
  <c r="L3010" i="16" s="1"/>
  <c r="J3066" i="16"/>
  <c r="J3074" i="16" s="1"/>
  <c r="F3185" i="16"/>
  <c r="F3186" i="16" s="1"/>
  <c r="F3355" i="16"/>
  <c r="F3356" i="16" s="1"/>
  <c r="F3385" i="16"/>
  <c r="F3386" i="16" s="1"/>
  <c r="J3513" i="16"/>
  <c r="I3709" i="16"/>
  <c r="L3709" i="16" s="1"/>
  <c r="O3709" i="16" s="1"/>
  <c r="P3709" i="16" s="1"/>
  <c r="E3707" i="16"/>
  <c r="I4039" i="16"/>
  <c r="L4039" i="16" s="1"/>
  <c r="C1790" i="19" s="1"/>
  <c r="D1790" i="19" s="1"/>
  <c r="E1790" i="19" s="1"/>
  <c r="L4040" i="16"/>
  <c r="O4040" i="16" s="1"/>
  <c r="P4040" i="16" s="1"/>
  <c r="P4039" i="16" s="1"/>
  <c r="I4218" i="16"/>
  <c r="L4218" i="16" s="1"/>
  <c r="L4219" i="16"/>
  <c r="O4219" i="16" s="1"/>
  <c r="O4218" i="16" s="1"/>
  <c r="I3095" i="16"/>
  <c r="L3095" i="16" s="1"/>
  <c r="L3126" i="16"/>
  <c r="G3152" i="16"/>
  <c r="G3157" i="16" s="1"/>
  <c r="K3152" i="16"/>
  <c r="G3185" i="16"/>
  <c r="G3186" i="16" s="1"/>
  <c r="I3180" i="16"/>
  <c r="L3180" i="16" s="1"/>
  <c r="L3189" i="16"/>
  <c r="I3217" i="16"/>
  <c r="L3217" i="16" s="1"/>
  <c r="C1" i="28" s="1"/>
  <c r="L3231" i="16"/>
  <c r="I3259" i="16"/>
  <c r="L3259" i="16" s="1"/>
  <c r="O3259" i="16" s="1"/>
  <c r="P3259" i="16" s="1"/>
  <c r="F3320" i="16"/>
  <c r="K3355" i="16"/>
  <c r="I3370" i="16"/>
  <c r="L3370" i="16" s="1"/>
  <c r="L3378" i="16"/>
  <c r="G3385" i="16"/>
  <c r="G3386" i="16" s="1"/>
  <c r="L3459" i="16"/>
  <c r="O3459" i="16" s="1"/>
  <c r="E3491" i="16"/>
  <c r="F3539" i="16"/>
  <c r="F3540" i="16" s="1"/>
  <c r="L3634" i="16"/>
  <c r="O3634" i="16" s="1"/>
  <c r="P3634" i="16" s="1"/>
  <c r="P3632" i="16" s="1"/>
  <c r="I3632" i="16"/>
  <c r="L3632" i="16" s="1"/>
  <c r="O3689" i="16"/>
  <c r="L3773" i="16"/>
  <c r="O3773" i="16" s="1"/>
  <c r="P3773" i="16" s="1"/>
  <c r="I3771" i="16"/>
  <c r="L3771" i="16" s="1"/>
  <c r="H3970" i="16"/>
  <c r="I2712" i="16"/>
  <c r="L2712" i="16" s="1"/>
  <c r="G2748" i="16"/>
  <c r="G2758" i="16" s="1"/>
  <c r="K2771" i="16"/>
  <c r="N2771" i="16" s="1"/>
  <c r="L2785" i="16"/>
  <c r="G2833" i="16"/>
  <c r="G2835" i="16" s="1"/>
  <c r="J2848" i="16"/>
  <c r="K2859" i="16"/>
  <c r="N2859" i="16" s="1"/>
  <c r="G2909" i="16"/>
  <c r="H2909" i="16"/>
  <c r="I2877" i="16"/>
  <c r="L2877" i="16" s="1"/>
  <c r="L2907" i="16"/>
  <c r="C1339" i="19" s="1"/>
  <c r="D1339" i="19" s="1"/>
  <c r="I2928" i="16"/>
  <c r="L2928" i="16" s="1"/>
  <c r="F2994" i="16"/>
  <c r="F3002" i="16" s="1"/>
  <c r="L2989" i="16"/>
  <c r="F3040" i="16"/>
  <c r="F3042" i="16" s="1"/>
  <c r="L3033" i="16"/>
  <c r="O3033" i="16" s="1"/>
  <c r="P3033" i="16" s="1"/>
  <c r="P3032" i="16" s="1"/>
  <c r="L3058" i="16"/>
  <c r="G3113" i="16"/>
  <c r="F3113" i="16"/>
  <c r="F3120" i="16" s="1"/>
  <c r="J3208" i="16"/>
  <c r="L3124" i="16"/>
  <c r="J3152" i="16"/>
  <c r="J3157" i="16" s="1"/>
  <c r="E3203" i="16"/>
  <c r="E3205" i="16" s="1"/>
  <c r="J3267" i="16"/>
  <c r="J3274" i="16" s="1"/>
  <c r="I3222" i="16"/>
  <c r="L3222" i="16" s="1"/>
  <c r="K3543" i="16"/>
  <c r="N3543" i="16" s="1"/>
  <c r="G3320" i="16"/>
  <c r="I3346" i="16"/>
  <c r="L3346" i="16" s="1"/>
  <c r="H3355" i="16"/>
  <c r="H3356" i="16" s="1"/>
  <c r="H3385" i="16"/>
  <c r="H3386" i="16" s="1"/>
  <c r="F3438" i="16"/>
  <c r="F3439" i="16" s="1"/>
  <c r="F3513" i="16"/>
  <c r="I3537" i="16"/>
  <c r="L3537" i="16" s="1"/>
  <c r="C1581" i="19" s="1"/>
  <c r="D1581" i="19" s="1"/>
  <c r="E1581" i="19" s="1"/>
  <c r="L3538" i="16"/>
  <c r="O3538" i="16" s="1"/>
  <c r="P3723" i="16"/>
  <c r="P3722" i="16" s="1"/>
  <c r="O3722" i="16"/>
  <c r="L3733" i="16"/>
  <c r="O3733" i="16" s="1"/>
  <c r="P3733" i="16" s="1"/>
  <c r="I3728" i="16"/>
  <c r="L3728" i="16" s="1"/>
  <c r="E3850" i="16"/>
  <c r="F2698" i="16"/>
  <c r="F2700" i="16" s="1"/>
  <c r="E2789" i="16"/>
  <c r="E2796" i="16" s="1"/>
  <c r="H2833" i="16"/>
  <c r="H2835" i="16" s="1"/>
  <c r="K2848" i="16"/>
  <c r="N2848" i="16" s="1"/>
  <c r="L2846" i="16"/>
  <c r="I2882" i="16"/>
  <c r="L2882" i="16" s="1"/>
  <c r="I2895" i="16"/>
  <c r="L2895" i="16" s="1"/>
  <c r="I2903" i="16"/>
  <c r="L2903" i="16" s="1"/>
  <c r="J2959" i="16"/>
  <c r="J2964" i="16" s="1"/>
  <c r="G2994" i="16"/>
  <c r="G3002" i="16" s="1"/>
  <c r="L2982" i="16"/>
  <c r="G3040" i="16"/>
  <c r="G3042" i="16" s="1"/>
  <c r="E3066" i="16"/>
  <c r="L3059" i="16"/>
  <c r="O3059" i="16" s="1"/>
  <c r="O3058" i="16" s="1"/>
  <c r="L3062" i="16"/>
  <c r="L3125" i="16"/>
  <c r="O3125" i="16" s="1"/>
  <c r="O3124" i="16" s="1"/>
  <c r="F3152" i="16"/>
  <c r="L3141" i="16"/>
  <c r="P3155" i="16"/>
  <c r="P3156" i="16" s="1"/>
  <c r="F3203" i="16"/>
  <c r="K3267" i="16"/>
  <c r="H3320" i="16"/>
  <c r="I3299" i="16"/>
  <c r="L3299" i="16" s="1"/>
  <c r="L3347" i="16"/>
  <c r="O3347" i="16" s="1"/>
  <c r="O3346" i="16" s="1"/>
  <c r="J3355" i="16"/>
  <c r="J3356" i="16" s="1"/>
  <c r="J3385" i="16"/>
  <c r="J3386" i="16" s="1"/>
  <c r="I3405" i="16"/>
  <c r="L3405" i="16" s="1"/>
  <c r="O3405" i="16" s="1"/>
  <c r="O3404" i="16" s="1"/>
  <c r="L3442" i="16"/>
  <c r="G3513" i="16"/>
  <c r="E3508" i="16"/>
  <c r="H3755" i="16"/>
  <c r="H3758" i="16"/>
  <c r="I3523" i="16"/>
  <c r="L3523" i="16" s="1"/>
  <c r="K3539" i="16"/>
  <c r="N3539" i="16" s="1"/>
  <c r="J3606" i="16"/>
  <c r="I3641" i="16"/>
  <c r="I3649" i="16"/>
  <c r="L3649" i="16" s="1"/>
  <c r="K3710" i="16"/>
  <c r="N3710" i="16" s="1"/>
  <c r="I3722" i="16"/>
  <c r="L3722" i="16" s="1"/>
  <c r="L3747" i="16"/>
  <c r="I3753" i="16"/>
  <c r="I3758" i="16" s="1"/>
  <c r="J3755" i="16"/>
  <c r="H3850" i="16"/>
  <c r="H3918" i="16"/>
  <c r="I3882" i="16"/>
  <c r="L3882" i="16" s="1"/>
  <c r="J3970" i="16"/>
  <c r="J3979" i="16" s="1"/>
  <c r="G4012" i="16"/>
  <c r="G4019" i="16" s="1"/>
  <c r="L3990" i="16"/>
  <c r="H4012" i="16"/>
  <c r="H4019" i="16" s="1"/>
  <c r="F4041" i="16"/>
  <c r="I4061" i="16"/>
  <c r="L4061" i="16" s="1"/>
  <c r="H4112" i="16"/>
  <c r="H4124" i="16" s="1"/>
  <c r="K4143" i="16"/>
  <c r="N4143" i="16" s="1"/>
  <c r="I4137" i="16"/>
  <c r="L4137" i="16" s="1"/>
  <c r="J4181" i="16"/>
  <c r="K4200" i="16"/>
  <c r="N4200" i="16" s="1"/>
  <c r="I4210" i="16"/>
  <c r="L4210" i="16" s="1"/>
  <c r="I4228" i="16"/>
  <c r="L4228" i="16" s="1"/>
  <c r="I4244" i="16"/>
  <c r="L4244" i="16" s="1"/>
  <c r="L4545" i="16"/>
  <c r="E4619" i="16"/>
  <c r="I4620" i="16"/>
  <c r="P4805" i="16"/>
  <c r="P4804" i="16" s="1"/>
  <c r="O4804" i="16"/>
  <c r="L4813" i="16"/>
  <c r="F4882" i="16"/>
  <c r="F4883" i="16" s="1"/>
  <c r="J3539" i="16"/>
  <c r="K3606" i="16"/>
  <c r="N3606" i="16" s="1"/>
  <c r="E3622" i="16"/>
  <c r="I3622" i="16" s="1"/>
  <c r="L3622" i="16" s="1"/>
  <c r="O3622" i="16" s="1"/>
  <c r="I3662" i="16"/>
  <c r="L3662" i="16" s="1"/>
  <c r="I3665" i="16"/>
  <c r="L3665" i="16" s="1"/>
  <c r="E3751" i="16"/>
  <c r="J3850" i="16"/>
  <c r="J3926" i="16" s="1"/>
  <c r="J3928" i="16" s="1"/>
  <c r="J5039" i="16" s="1"/>
  <c r="I3767" i="16"/>
  <c r="L3767" i="16" s="1"/>
  <c r="L3790" i="16"/>
  <c r="I3805" i="16"/>
  <c r="L3805" i="16" s="1"/>
  <c r="L3828" i="16"/>
  <c r="O3828" i="16" s="1"/>
  <c r="O3827" i="16" s="1"/>
  <c r="I3844" i="16"/>
  <c r="L3844" i="16" s="1"/>
  <c r="I3857" i="16"/>
  <c r="L3857" i="16" s="1"/>
  <c r="I3866" i="16"/>
  <c r="L3866" i="16" s="1"/>
  <c r="I3879" i="16"/>
  <c r="L3879" i="16" s="1"/>
  <c r="L3954" i="16"/>
  <c r="O3954" i="16" s="1"/>
  <c r="P3954" i="16" s="1"/>
  <c r="I3962" i="16"/>
  <c r="L3962" i="16" s="1"/>
  <c r="I3997" i="16"/>
  <c r="L3997" i="16" s="1"/>
  <c r="L4027" i="16"/>
  <c r="O4027" i="16" s="1"/>
  <c r="P4027" i="16" s="1"/>
  <c r="K4054" i="16"/>
  <c r="N4054" i="16" s="1"/>
  <c r="K4079" i="16"/>
  <c r="I4096" i="16"/>
  <c r="L4096" i="16" s="1"/>
  <c r="O4102" i="16"/>
  <c r="L4135" i="16"/>
  <c r="I4144" i="16"/>
  <c r="L4144" i="16" s="1"/>
  <c r="E4200" i="16"/>
  <c r="L4208" i="16"/>
  <c r="E4222" i="16"/>
  <c r="K4412" i="16"/>
  <c r="N4412" i="16" s="1"/>
  <c r="P4566" i="16"/>
  <c r="E4710" i="16"/>
  <c r="E4712" i="16" s="1"/>
  <c r="I4711" i="16"/>
  <c r="L4711" i="16" s="1"/>
  <c r="O4711" i="16" s="1"/>
  <c r="E4959" i="16"/>
  <c r="I4960" i="16"/>
  <c r="K3513" i="16"/>
  <c r="N3513" i="16" s="1"/>
  <c r="H3539" i="16"/>
  <c r="H3540" i="16" s="1"/>
  <c r="I3552" i="16"/>
  <c r="L3552" i="16" s="1"/>
  <c r="E3632" i="16"/>
  <c r="I3654" i="16"/>
  <c r="L3654" i="16" s="1"/>
  <c r="C1637" i="19" s="1"/>
  <c r="D1637" i="19" s="1"/>
  <c r="E1637" i="19" s="1"/>
  <c r="L3663" i="16"/>
  <c r="O3663" i="16" s="1"/>
  <c r="P3663" i="16" s="1"/>
  <c r="P3662" i="16" s="1"/>
  <c r="J3710" i="16"/>
  <c r="L3699" i="16"/>
  <c r="K3850" i="16"/>
  <c r="I3819" i="16"/>
  <c r="L3819" i="16" s="1"/>
  <c r="I3840" i="16"/>
  <c r="L3840" i="16" s="1"/>
  <c r="I3863" i="16"/>
  <c r="L3863" i="16" s="1"/>
  <c r="I3871" i="16"/>
  <c r="L3871" i="16" s="1"/>
  <c r="I3875" i="16"/>
  <c r="L3875" i="16" s="1"/>
  <c r="I3888" i="16"/>
  <c r="L3888" i="16" s="1"/>
  <c r="I3902" i="16"/>
  <c r="L3902" i="16" s="1"/>
  <c r="K3978" i="16"/>
  <c r="N3978" i="16" s="1"/>
  <c r="J3978" i="16"/>
  <c r="I4032" i="16"/>
  <c r="L4032" i="16" s="1"/>
  <c r="J4087" i="16"/>
  <c r="G4087" i="16"/>
  <c r="I4102" i="16"/>
  <c r="L4102" i="16" s="1"/>
  <c r="E4143" i="16"/>
  <c r="L4134" i="16"/>
  <c r="O4134" i="16" s="1"/>
  <c r="L4152" i="16"/>
  <c r="O4152" i="16" s="1"/>
  <c r="P4152" i="16" s="1"/>
  <c r="P4151" i="16" s="1"/>
  <c r="E4181" i="16"/>
  <c r="E4182" i="16" s="1"/>
  <c r="E4188" i="16" s="1"/>
  <c r="L4198" i="16"/>
  <c r="O4198" i="16" s="1"/>
  <c r="P4198" i="16" s="1"/>
  <c r="P4197" i="16" s="1"/>
  <c r="F4222" i="16"/>
  <c r="F4223" i="16" s="1"/>
  <c r="F4231" i="16" s="1"/>
  <c r="E4243" i="16"/>
  <c r="F4266" i="16"/>
  <c r="L4378" i="16"/>
  <c r="O4378" i="16" s="1"/>
  <c r="I4375" i="16"/>
  <c r="L4375" i="16" s="1"/>
  <c r="O4572" i="16"/>
  <c r="P4573" i="16"/>
  <c r="P4572" i="16" s="1"/>
  <c r="I4816" i="16"/>
  <c r="L4816" i="16" s="1"/>
  <c r="L4817" i="16"/>
  <c r="O4817" i="16" s="1"/>
  <c r="L4961" i="16"/>
  <c r="I4983" i="16"/>
  <c r="L4983" i="16" s="1"/>
  <c r="O4983" i="16" s="1"/>
  <c r="P4983" i="16" s="1"/>
  <c r="E4981" i="16"/>
  <c r="L5016" i="16"/>
  <c r="O5016" i="16" s="1"/>
  <c r="O5014" i="16" s="1"/>
  <c r="I5014" i="16"/>
  <c r="L5014" i="16" s="1"/>
  <c r="F3606" i="16"/>
  <c r="I3559" i="16"/>
  <c r="L3559" i="16" s="1"/>
  <c r="E3710" i="16"/>
  <c r="F3751" i="16"/>
  <c r="I3782" i="16"/>
  <c r="L3782" i="16" s="1"/>
  <c r="I3854" i="16"/>
  <c r="I3894" i="16"/>
  <c r="L3894" i="16" s="1"/>
  <c r="I3912" i="16"/>
  <c r="L3912" i="16" s="1"/>
  <c r="J4012" i="16"/>
  <c r="J4019" i="16" s="1"/>
  <c r="L3984" i="16"/>
  <c r="L4037" i="16"/>
  <c r="P4102" i="16"/>
  <c r="F4143" i="16"/>
  <c r="H4222" i="16"/>
  <c r="F4243" i="16"/>
  <c r="G4266" i="16"/>
  <c r="I4708" i="16"/>
  <c r="L4708" i="16" s="1"/>
  <c r="L4709" i="16"/>
  <c r="O4709" i="16" s="1"/>
  <c r="P4709" i="16" s="1"/>
  <c r="P4708" i="16" s="1"/>
  <c r="L4721" i="16"/>
  <c r="O4721" i="16" s="1"/>
  <c r="O4720" i="16" s="1"/>
  <c r="I4720" i="16"/>
  <c r="L4720" i="16" s="1"/>
  <c r="L4926" i="16"/>
  <c r="I4957" i="16"/>
  <c r="L4957" i="16" s="1"/>
  <c r="L4958" i="16"/>
  <c r="O4958" i="16" s="1"/>
  <c r="O4957" i="16" s="1"/>
  <c r="G3751" i="16"/>
  <c r="H3751" i="16"/>
  <c r="K4012" i="16"/>
  <c r="H4079" i="16"/>
  <c r="H4088" i="16" s="1"/>
  <c r="E4079" i="16"/>
  <c r="I4170" i="16"/>
  <c r="L4170" i="16" s="1"/>
  <c r="F4181" i="16"/>
  <c r="I4201" i="16"/>
  <c r="L4201" i="16" s="1"/>
  <c r="G4222" i="16"/>
  <c r="I4215" i="16"/>
  <c r="L4215" i="16" s="1"/>
  <c r="E4230" i="16"/>
  <c r="G4243" i="16"/>
  <c r="I4301" i="16"/>
  <c r="I4303" i="16" s="1"/>
  <c r="L4303" i="16" s="1"/>
  <c r="C1932" i="19" s="1"/>
  <c r="L4302" i="16"/>
  <c r="O4302" i="16" s="1"/>
  <c r="I4491" i="16"/>
  <c r="L4491" i="16" s="1"/>
  <c r="L4493" i="16"/>
  <c r="O4493" i="16" s="1"/>
  <c r="P4493" i="16" s="1"/>
  <c r="J4806" i="16"/>
  <c r="J4807" i="16" s="1"/>
  <c r="G3539" i="16"/>
  <c r="G3540" i="16" s="1"/>
  <c r="H3658" i="16"/>
  <c r="I3645" i="16"/>
  <c r="L3645" i="16" s="1"/>
  <c r="O3645" i="16" s="1"/>
  <c r="P3645" i="16" s="1"/>
  <c r="G3710" i="16"/>
  <c r="I3786" i="16"/>
  <c r="L3786" i="16" s="1"/>
  <c r="I3798" i="16"/>
  <c r="L3798" i="16" s="1"/>
  <c r="E3918" i="16"/>
  <c r="F3925" i="16"/>
  <c r="F3927" i="16" s="1"/>
  <c r="F3970" i="16"/>
  <c r="F3979" i="16" s="1"/>
  <c r="I3964" i="16"/>
  <c r="L3964" i="16" s="1"/>
  <c r="E3973" i="16"/>
  <c r="E3978" i="16" s="1"/>
  <c r="J4041" i="16"/>
  <c r="E4052" i="16"/>
  <c r="E4054" i="16" s="1"/>
  <c r="I4063" i="16"/>
  <c r="L4063" i="16" s="1"/>
  <c r="L4093" i="16"/>
  <c r="O4093" i="16" s="1"/>
  <c r="L4108" i="16"/>
  <c r="O4108" i="16" s="1"/>
  <c r="P4108" i="16" s="1"/>
  <c r="P4107" i="16" s="1"/>
  <c r="H4181" i="16"/>
  <c r="G4181" i="16"/>
  <c r="G4182" i="16" s="1"/>
  <c r="G4188" i="16" s="1"/>
  <c r="J4222" i="16"/>
  <c r="J4223" i="16" s="1"/>
  <c r="J4231" i="16" s="1"/>
  <c r="I4237" i="16"/>
  <c r="L4237" i="16" s="1"/>
  <c r="H4243" i="16"/>
  <c r="I4478" i="16"/>
  <c r="L4478" i="16" s="1"/>
  <c r="L4479" i="16"/>
  <c r="O4479" i="16" s="1"/>
  <c r="L4488" i="16"/>
  <c r="O4488" i="16" s="1"/>
  <c r="I4487" i="16"/>
  <c r="L4487" i="16" s="1"/>
  <c r="L4851" i="16"/>
  <c r="O4851" i="16" s="1"/>
  <c r="P4851" i="16" s="1"/>
  <c r="I4849" i="16"/>
  <c r="L4849" i="16" s="1"/>
  <c r="G3606" i="16"/>
  <c r="G3607" i="16" s="1"/>
  <c r="J3658" i="16"/>
  <c r="H3710" i="16"/>
  <c r="F3710" i="16"/>
  <c r="J3751" i="16"/>
  <c r="F3850" i="16"/>
  <c r="I3777" i="16"/>
  <c r="L3777" i="16" s="1"/>
  <c r="L3799" i="16"/>
  <c r="O3799" i="16" s="1"/>
  <c r="F3918" i="16"/>
  <c r="G3970" i="16"/>
  <c r="K4041" i="16"/>
  <c r="N4041" i="16" s="1"/>
  <c r="L4077" i="16"/>
  <c r="G4123" i="16"/>
  <c r="G4124" i="16" s="1"/>
  <c r="I4147" i="16"/>
  <c r="L4147" i="16" s="1"/>
  <c r="K4222" i="16"/>
  <c r="N4222" i="16" s="1"/>
  <c r="I4426" i="16"/>
  <c r="E4425" i="16"/>
  <c r="E4473" i="16"/>
  <c r="I4475" i="16"/>
  <c r="L4475" i="16" s="1"/>
  <c r="O4475" i="16" s="1"/>
  <c r="P4475" i="16" s="1"/>
  <c r="O4669" i="16"/>
  <c r="K4746" i="16"/>
  <c r="N4746" i="16" s="1"/>
  <c r="L4270" i="16"/>
  <c r="I4308" i="16"/>
  <c r="L4308" i="16" s="1"/>
  <c r="H4323" i="16"/>
  <c r="H4324" i="16" s="1"/>
  <c r="H4333" i="16"/>
  <c r="H4334" i="16" s="1"/>
  <c r="H4351" i="16"/>
  <c r="H4352" i="16" s="1"/>
  <c r="H4358" i="16" s="1"/>
  <c r="G4351" i="16"/>
  <c r="G4352" i="16" s="1"/>
  <c r="L4445" i="16"/>
  <c r="F4494" i="16"/>
  <c r="L4655" i="16"/>
  <c r="L4740" i="16"/>
  <c r="G4755" i="16"/>
  <c r="G4806" i="16"/>
  <c r="G4807" i="16" s="1"/>
  <c r="I4818" i="16"/>
  <c r="L4818" i="16" s="1"/>
  <c r="E4891" i="16"/>
  <c r="J4930" i="16"/>
  <c r="I4937" i="16"/>
  <c r="L4937" i="16" s="1"/>
  <c r="F5006" i="16"/>
  <c r="I4985" i="16"/>
  <c r="L4985" i="16" s="1"/>
  <c r="G5029" i="16"/>
  <c r="K4266" i="16"/>
  <c r="I4293" i="16"/>
  <c r="I4321" i="16"/>
  <c r="L4321" i="16" s="1"/>
  <c r="I4329" i="16"/>
  <c r="I4345" i="16"/>
  <c r="L4345" i="16" s="1"/>
  <c r="E4375" i="16"/>
  <c r="I4406" i="16"/>
  <c r="L4406" i="16" s="1"/>
  <c r="L4446" i="16"/>
  <c r="O4446" i="16" s="1"/>
  <c r="O4445" i="16" s="1"/>
  <c r="G4494" i="16"/>
  <c r="I4533" i="16"/>
  <c r="L4533" i="16" s="1"/>
  <c r="F4563" i="16"/>
  <c r="I4595" i="16"/>
  <c r="L4595" i="16" s="1"/>
  <c r="G4605" i="16"/>
  <c r="I4627" i="16"/>
  <c r="L4627" i="16" s="1"/>
  <c r="I4690" i="16"/>
  <c r="L4690" i="16" s="1"/>
  <c r="I4887" i="16"/>
  <c r="L4887" i="16" s="1"/>
  <c r="G5006" i="16"/>
  <c r="L4993" i="16"/>
  <c r="K4323" i="16"/>
  <c r="J4323" i="16"/>
  <c r="J4324" i="16" s="1"/>
  <c r="I4367" i="16"/>
  <c r="L4367" i="16" s="1"/>
  <c r="C2008" i="19" s="1"/>
  <c r="D2008" i="19" s="1"/>
  <c r="F4483" i="16"/>
  <c r="I4500" i="16"/>
  <c r="L4500" i="16" s="1"/>
  <c r="F4547" i="16"/>
  <c r="L4546" i="16"/>
  <c r="O4546" i="16" s="1"/>
  <c r="P4546" i="16" s="1"/>
  <c r="P4545" i="16" s="1"/>
  <c r="G4563" i="16"/>
  <c r="I4587" i="16"/>
  <c r="L4587" i="16" s="1"/>
  <c r="I4589" i="16"/>
  <c r="L4589" i="16" s="1"/>
  <c r="H4605" i="16"/>
  <c r="L4601" i="16"/>
  <c r="O4601" i="16" s="1"/>
  <c r="P4601" i="16" s="1"/>
  <c r="P4599" i="16" s="1"/>
  <c r="F4660" i="16"/>
  <c r="I4669" i="16"/>
  <c r="L4669" i="16" s="1"/>
  <c r="F4746" i="16"/>
  <c r="E4746" i="16"/>
  <c r="E4790" i="16"/>
  <c r="E4806" i="16" s="1"/>
  <c r="E4807" i="16" s="1"/>
  <c r="E4832" i="16"/>
  <c r="L4888" i="16"/>
  <c r="O4888" i="16" s="1"/>
  <c r="P4888" i="16" s="1"/>
  <c r="L4904" i="16"/>
  <c r="O4904" i="16" s="1"/>
  <c r="O4903" i="16" s="1"/>
  <c r="K4964" i="16"/>
  <c r="N4964" i="16" s="1"/>
  <c r="I4950" i="16"/>
  <c r="L4950" i="16" s="1"/>
  <c r="O4950" i="16" s="1"/>
  <c r="H5006" i="16"/>
  <c r="I4989" i="16"/>
  <c r="L4989" i="16" s="1"/>
  <c r="L4994" i="16"/>
  <c r="O4994" i="16" s="1"/>
  <c r="O4993" i="16" s="1"/>
  <c r="I5022" i="16"/>
  <c r="L5022" i="16" s="1"/>
  <c r="O5022" i="16" s="1"/>
  <c r="E4266" i="16"/>
  <c r="G4304" i="16"/>
  <c r="K4351" i="16"/>
  <c r="I4434" i="16"/>
  <c r="L4434" i="16" s="1"/>
  <c r="O4434" i="16" s="1"/>
  <c r="H4449" i="16"/>
  <c r="F4449" i="16"/>
  <c r="J4494" i="16"/>
  <c r="L4501" i="16"/>
  <c r="O4501" i="16" s="1"/>
  <c r="G4547" i="16"/>
  <c r="H4563" i="16"/>
  <c r="H4564" i="16" s="1"/>
  <c r="E4653" i="16"/>
  <c r="E4660" i="16" s="1"/>
  <c r="G4712" i="16"/>
  <c r="G4758" i="16" s="1"/>
  <c r="I4732" i="16"/>
  <c r="L4732" i="16" s="1"/>
  <c r="G4746" i="16"/>
  <c r="G4756" i="16" s="1"/>
  <c r="I4752" i="16"/>
  <c r="L4752" i="16" s="1"/>
  <c r="H4806" i="16"/>
  <c r="H4807" i="16" s="1"/>
  <c r="H4882" i="16"/>
  <c r="H4883" i="16" s="1"/>
  <c r="I4899" i="16"/>
  <c r="L4899" i="16" s="1"/>
  <c r="L4963" i="16"/>
  <c r="O4963" i="16" s="1"/>
  <c r="P4963" i="16" s="1"/>
  <c r="P4961" i="16" s="1"/>
  <c r="J5006" i="16"/>
  <c r="H5029" i="16"/>
  <c r="H4304" i="16"/>
  <c r="H4412" i="16"/>
  <c r="H4483" i="16"/>
  <c r="H4495" i="16" s="1"/>
  <c r="J4483" i="16"/>
  <c r="J4495" i="16" s="1"/>
  <c r="I4507" i="16"/>
  <c r="L4507" i="16" s="1"/>
  <c r="I4515" i="16"/>
  <c r="L4515" i="16" s="1"/>
  <c r="I4535" i="16"/>
  <c r="L4535" i="16" s="1"/>
  <c r="G4660" i="16"/>
  <c r="F4702" i="16"/>
  <c r="H4712" i="16"/>
  <c r="H4746" i="16"/>
  <c r="K4832" i="16"/>
  <c r="G4832" i="16"/>
  <c r="G4843" i="16" s="1"/>
  <c r="I4857" i="16"/>
  <c r="L4857" i="16" s="1"/>
  <c r="F4919" i="16"/>
  <c r="L4900" i="16"/>
  <c r="O4900" i="16" s="1"/>
  <c r="O4899" i="16" s="1"/>
  <c r="I4907" i="16"/>
  <c r="H4964" i="16"/>
  <c r="K5006" i="16"/>
  <c r="N5006" i="16" s="1"/>
  <c r="E4333" i="16"/>
  <c r="G4358" i="16"/>
  <c r="L4370" i="16"/>
  <c r="O4370" i="16" s="1"/>
  <c r="O4369" i="16" s="1"/>
  <c r="G4412" i="16"/>
  <c r="J4449" i="16"/>
  <c r="L4459" i="16"/>
  <c r="G4483" i="16"/>
  <c r="L4476" i="16"/>
  <c r="E4487" i="16"/>
  <c r="E4494" i="16" s="1"/>
  <c r="L4508" i="16"/>
  <c r="O4508" i="16" s="1"/>
  <c r="O4507" i="16" s="1"/>
  <c r="L4516" i="16"/>
  <c r="O4516" i="16" s="1"/>
  <c r="P4516" i="16" s="1"/>
  <c r="P4515" i="16" s="1"/>
  <c r="L4536" i="16"/>
  <c r="O4536" i="16" s="1"/>
  <c r="P4536" i="16" s="1"/>
  <c r="P4535" i="16" s="1"/>
  <c r="H4547" i="16"/>
  <c r="L4561" i="16"/>
  <c r="L4579" i="16"/>
  <c r="O4579" i="16" s="1"/>
  <c r="P4579" i="16" s="1"/>
  <c r="P4578" i="16" s="1"/>
  <c r="I4631" i="16"/>
  <c r="L4631" i="16" s="1"/>
  <c r="H4660" i="16"/>
  <c r="H4757" i="16" s="1"/>
  <c r="L4686" i="16"/>
  <c r="J4712" i="16"/>
  <c r="J4713" i="16" s="1"/>
  <c r="L4734" i="16"/>
  <c r="F4806" i="16"/>
  <c r="F4807" i="16" s="1"/>
  <c r="K4882" i="16"/>
  <c r="I4871" i="16"/>
  <c r="L4871" i="16" s="1"/>
  <c r="L4875" i="16"/>
  <c r="I4913" i="16"/>
  <c r="L4913" i="16" s="1"/>
  <c r="J4964" i="16"/>
  <c r="I4967" i="16" a="1"/>
  <c r="I4967" i="16" s="1"/>
  <c r="I4971" i="16" s="1"/>
  <c r="H4266" i="16"/>
  <c r="H4267" i="16" s="1"/>
  <c r="J4288" i="16"/>
  <c r="J4289" i="16" s="1"/>
  <c r="J4290" i="16" s="1"/>
  <c r="F4323" i="16"/>
  <c r="F4324" i="16" s="1"/>
  <c r="F4333" i="16"/>
  <c r="E4351" i="16"/>
  <c r="E4352" i="16" s="1"/>
  <c r="H4435" i="16"/>
  <c r="L4455" i="16"/>
  <c r="O4455" i="16" s="1"/>
  <c r="J4547" i="16"/>
  <c r="E4556" i="16"/>
  <c r="F4605" i="16"/>
  <c r="F4613" i="16" s="1"/>
  <c r="I4644" i="16"/>
  <c r="L4644" i="16" s="1"/>
  <c r="E4700" i="16"/>
  <c r="E4702" i="16" s="1"/>
  <c r="E4713" i="16" s="1"/>
  <c r="J4746" i="16"/>
  <c r="I4790" i="16"/>
  <c r="L4790" i="16" s="1"/>
  <c r="I4828" i="16"/>
  <c r="L4828" i="16" s="1"/>
  <c r="L4880" i="16"/>
  <c r="H4919" i="16"/>
  <c r="I4891" i="16"/>
  <c r="L4891" i="16" s="1"/>
  <c r="L5017" i="16"/>
  <c r="O70" i="16"/>
  <c r="P71" i="16"/>
  <c r="P70" i="16" s="1"/>
  <c r="O122" i="16"/>
  <c r="P124" i="16"/>
  <c r="P122" i="16" s="1"/>
  <c r="C56" i="19"/>
  <c r="D70" i="19"/>
  <c r="P45" i="16"/>
  <c r="P24" i="16"/>
  <c r="P23" i="16" s="1"/>
  <c r="P32" i="16"/>
  <c r="P31" i="16" s="1"/>
  <c r="O31" i="16"/>
  <c r="P49" i="16"/>
  <c r="P48" i="16" s="1"/>
  <c r="O48" i="16"/>
  <c r="P8" i="16"/>
  <c r="P7" i="16" s="1"/>
  <c r="O7" i="16"/>
  <c r="P10" i="16"/>
  <c r="P9" i="16" s="1"/>
  <c r="O9" i="16"/>
  <c r="I18" i="16"/>
  <c r="L18" i="16" s="1"/>
  <c r="I31" i="16"/>
  <c r="L31" i="16" s="1"/>
  <c r="G302" i="16"/>
  <c r="G386" i="16" s="1"/>
  <c r="P19" i="16"/>
  <c r="P18" i="16" s="1"/>
  <c r="O18" i="16"/>
  <c r="O54" i="16"/>
  <c r="P55" i="16"/>
  <c r="P54" i="16" s="1"/>
  <c r="L53" i="16"/>
  <c r="O53" i="16" s="1"/>
  <c r="I52" i="16"/>
  <c r="L52" i="16" s="1"/>
  <c r="E65" i="16"/>
  <c r="I66" i="16"/>
  <c r="P92" i="16"/>
  <c r="P91" i="16" s="1"/>
  <c r="O91" i="16"/>
  <c r="I508" i="16"/>
  <c r="L508" i="16" s="1"/>
  <c r="L510" i="16"/>
  <c r="O510" i="16" s="1"/>
  <c r="P510" i="16" s="1"/>
  <c r="O659" i="16"/>
  <c r="P660" i="16"/>
  <c r="P659" i="16" s="1"/>
  <c r="I40" i="16"/>
  <c r="I47" i="16"/>
  <c r="I13" i="16"/>
  <c r="L13" i="16" s="1"/>
  <c r="O13" i="16" s="1"/>
  <c r="P13" i="16" s="1"/>
  <c r="O63" i="16"/>
  <c r="H72" i="16"/>
  <c r="I80" i="16"/>
  <c r="F134" i="16"/>
  <c r="F135" i="16" s="1"/>
  <c r="I103" i="16"/>
  <c r="L103" i="16" s="1"/>
  <c r="O110" i="16"/>
  <c r="P169" i="16"/>
  <c r="P168" i="16" s="1"/>
  <c r="O168" i="16"/>
  <c r="O201" i="16"/>
  <c r="P202" i="16"/>
  <c r="P201" i="16" s="1"/>
  <c r="O240" i="16"/>
  <c r="P241" i="16"/>
  <c r="P240" i="16" s="1"/>
  <c r="O264" i="16"/>
  <c r="P265" i="16"/>
  <c r="P264" i="16" s="1"/>
  <c r="G300" i="16"/>
  <c r="O297" i="16"/>
  <c r="P298" i="16"/>
  <c r="P297" i="16" s="1"/>
  <c r="P319" i="16"/>
  <c r="O370" i="16"/>
  <c r="O372" i="16"/>
  <c r="P373" i="16"/>
  <c r="P372" i="16" s="1"/>
  <c r="O429" i="16"/>
  <c r="P430" i="16"/>
  <c r="P429" i="16" s="1"/>
  <c r="L447" i="16"/>
  <c r="O460" i="16"/>
  <c r="P461" i="16"/>
  <c r="P460" i="16" s="1"/>
  <c r="O471" i="16"/>
  <c r="P472" i="16"/>
  <c r="P471" i="16" s="1"/>
  <c r="O478" i="16"/>
  <c r="P479" i="16"/>
  <c r="P478" i="16" s="1"/>
  <c r="P509" i="16"/>
  <c r="O545" i="16"/>
  <c r="P546" i="16"/>
  <c r="P545" i="16" s="1"/>
  <c r="P714" i="16"/>
  <c r="P749" i="16"/>
  <c r="P777" i="16"/>
  <c r="P133" i="16"/>
  <c r="P132" i="16" s="1"/>
  <c r="O132" i="16"/>
  <c r="P157" i="16"/>
  <c r="P156" i="16" s="1"/>
  <c r="O156" i="16"/>
  <c r="O231" i="16"/>
  <c r="P232" i="16"/>
  <c r="P231" i="16" s="1"/>
  <c r="O283" i="16"/>
  <c r="P284" i="16"/>
  <c r="P283" i="16" s="1"/>
  <c r="O364" i="16"/>
  <c r="P365" i="16"/>
  <c r="P364" i="16" s="1"/>
  <c r="O495" i="16"/>
  <c r="P496" i="16"/>
  <c r="P495" i="16" s="1"/>
  <c r="O515" i="16"/>
  <c r="P518" i="16"/>
  <c r="P515" i="16" s="1"/>
  <c r="P651" i="16"/>
  <c r="P650" i="16" s="1"/>
  <c r="O650" i="16"/>
  <c r="O742" i="16"/>
  <c r="P743" i="16"/>
  <c r="P742" i="16" s="1"/>
  <c r="O763" i="16"/>
  <c r="P764" i="16"/>
  <c r="P763" i="16" s="1"/>
  <c r="E75" i="16"/>
  <c r="H134" i="16"/>
  <c r="H135" i="16" s="1"/>
  <c r="L308" i="16"/>
  <c r="O308" i="16" s="1"/>
  <c r="I307" i="16"/>
  <c r="L307" i="16" s="1"/>
  <c r="P380" i="16"/>
  <c r="P379" i="16" s="1"/>
  <c r="O379" i="16"/>
  <c r="P394" i="16"/>
  <c r="P393" i="16" s="1"/>
  <c r="O393" i="16"/>
  <c r="L571" i="16"/>
  <c r="O571" i="16" s="1"/>
  <c r="I570" i="16"/>
  <c r="L570" i="16" s="1"/>
  <c r="O611" i="16"/>
  <c r="O614" i="16"/>
  <c r="P615" i="16"/>
  <c r="P614" i="16" s="1"/>
  <c r="P658" i="16"/>
  <c r="P657" i="16" s="1"/>
  <c r="O657" i="16"/>
  <c r="H839" i="16"/>
  <c r="I27" i="16"/>
  <c r="L27" i="16" s="1"/>
  <c r="L28" i="16"/>
  <c r="O28" i="16" s="1"/>
  <c r="O103" i="16"/>
  <c r="P104" i="16"/>
  <c r="P103" i="16" s="1"/>
  <c r="P194" i="16"/>
  <c r="P193" i="16" s="1"/>
  <c r="O193" i="16"/>
  <c r="O267" i="16"/>
  <c r="P268" i="16"/>
  <c r="P267" i="16" s="1"/>
  <c r="I15" i="16"/>
  <c r="L95" i="16"/>
  <c r="O95" i="16" s="1"/>
  <c r="I94" i="16"/>
  <c r="L94" i="16" s="1"/>
  <c r="O127" i="16"/>
  <c r="O249" i="16"/>
  <c r="P255" i="16"/>
  <c r="I310" i="16"/>
  <c r="L310" i="16" s="1"/>
  <c r="O334" i="16"/>
  <c r="O338" i="16"/>
  <c r="P366" i="16"/>
  <c r="O413" i="16"/>
  <c r="P414" i="16"/>
  <c r="P413" i="16" s="1"/>
  <c r="P423" i="16"/>
  <c r="L453" i="16"/>
  <c r="O453" i="16" s="1"/>
  <c r="P453" i="16" s="1"/>
  <c r="I450" i="16"/>
  <c r="L450" i="16" s="1"/>
  <c r="O612" i="16"/>
  <c r="E18" i="16"/>
  <c r="Q59" i="16"/>
  <c r="L76" i="16"/>
  <c r="O76" i="16" s="1"/>
  <c r="I75" i="16"/>
  <c r="P82" i="16"/>
  <c r="L69" i="16"/>
  <c r="O69" i="16" s="1"/>
  <c r="I68" i="16"/>
  <c r="I83" i="16"/>
  <c r="E81" i="16"/>
  <c r="J134" i="16"/>
  <c r="J135" i="16" s="1"/>
  <c r="I144" i="16"/>
  <c r="L144" i="16" s="1"/>
  <c r="O159" i="16"/>
  <c r="P160" i="16"/>
  <c r="P159" i="16" s="1"/>
  <c r="O187" i="16"/>
  <c r="P188" i="16"/>
  <c r="P187" i="16" s="1"/>
  <c r="O252" i="16"/>
  <c r="P253" i="16"/>
  <c r="P252" i="16" s="1"/>
  <c r="O292" i="16"/>
  <c r="P293" i="16"/>
  <c r="P292" i="16" s="1"/>
  <c r="L296" i="16"/>
  <c r="O296" i="16" s="1"/>
  <c r="I295" i="16"/>
  <c r="L295" i="16" s="1"/>
  <c r="P311" i="16"/>
  <c r="P310" i="16" s="1"/>
  <c r="O310" i="16"/>
  <c r="L323" i="16"/>
  <c r="O323" i="16" s="1"/>
  <c r="P323" i="16" s="1"/>
  <c r="I318" i="16"/>
  <c r="L318" i="16" s="1"/>
  <c r="L326" i="16"/>
  <c r="O326" i="16" s="1"/>
  <c r="I325" i="16"/>
  <c r="L325" i="16" s="1"/>
  <c r="P329" i="16"/>
  <c r="P328" i="16" s="1"/>
  <c r="P356" i="16"/>
  <c r="E442" i="16"/>
  <c r="E443" i="16" s="1"/>
  <c r="O399" i="16"/>
  <c r="P400" i="16"/>
  <c r="P399" i="16" s="1"/>
  <c r="P436" i="16"/>
  <c r="O474" i="16"/>
  <c r="P475" i="16"/>
  <c r="P474" i="16" s="1"/>
  <c r="L501" i="16"/>
  <c r="O501" i="16" s="1"/>
  <c r="I500" i="16"/>
  <c r="L500" i="16" s="1"/>
  <c r="O541" i="16"/>
  <c r="P542" i="16"/>
  <c r="P541" i="16" s="1"/>
  <c r="L573" i="16"/>
  <c r="O589" i="16"/>
  <c r="P590" i="16"/>
  <c r="P589" i="16" s="1"/>
  <c r="O668" i="16"/>
  <c r="P670" i="16"/>
  <c r="P668" i="16" s="1"/>
  <c r="P695" i="16"/>
  <c r="P694" i="16" s="1"/>
  <c r="O694" i="16"/>
  <c r="O709" i="16"/>
  <c r="P710" i="16"/>
  <c r="P709" i="16" s="1"/>
  <c r="O757" i="16"/>
  <c r="P758" i="16"/>
  <c r="P757" i="16" s="1"/>
  <c r="P174" i="16"/>
  <c r="P173" i="16" s="1"/>
  <c r="O173" i="16"/>
  <c r="O233" i="16"/>
  <c r="P234" i="16"/>
  <c r="P233" i="16" s="1"/>
  <c r="P451" i="16"/>
  <c r="O450" i="16"/>
  <c r="O548" i="16"/>
  <c r="P549" i="16"/>
  <c r="P548" i="16" s="1"/>
  <c r="O723" i="16"/>
  <c r="P724" i="16"/>
  <c r="P723" i="16" s="1"/>
  <c r="P766" i="16"/>
  <c r="P765" i="16" s="1"/>
  <c r="O765" i="16"/>
  <c r="L12" i="16"/>
  <c r="O12" i="16" s="1"/>
  <c r="I48" i="16"/>
  <c r="L48" i="16" s="1"/>
  <c r="P61" i="16"/>
  <c r="P142" i="16"/>
  <c r="P141" i="16" s="1"/>
  <c r="O141" i="16"/>
  <c r="O144" i="16"/>
  <c r="P145" i="16"/>
  <c r="P144" i="16" s="1"/>
  <c r="P208" i="16"/>
  <c r="P207" i="16" s="1"/>
  <c r="O207" i="16"/>
  <c r="O221" i="16"/>
  <c r="P222" i="16"/>
  <c r="P221" i="16" s="1"/>
  <c r="P315" i="16"/>
  <c r="P314" i="16" s="1"/>
  <c r="O314" i="16"/>
  <c r="O345" i="16"/>
  <c r="P346" i="16"/>
  <c r="P345" i="16" s="1"/>
  <c r="O360" i="16"/>
  <c r="P361" i="16"/>
  <c r="P360" i="16" s="1"/>
  <c r="D22" i="19"/>
  <c r="D23" i="19" s="1"/>
  <c r="O440" i="16"/>
  <c r="P441" i="16"/>
  <c r="O504" i="16"/>
  <c r="P505" i="16"/>
  <c r="P504" i="16" s="1"/>
  <c r="L513" i="16"/>
  <c r="O527" i="16"/>
  <c r="P529" i="16"/>
  <c r="P527" i="16" s="1"/>
  <c r="O530" i="16"/>
  <c r="P531" i="16"/>
  <c r="P530" i="16" s="1"/>
  <c r="L537" i="16"/>
  <c r="O537" i="16" s="1"/>
  <c r="I536" i="16"/>
  <c r="L536" i="16" s="1"/>
  <c r="O561" i="16"/>
  <c r="P562" i="16"/>
  <c r="P561" i="16" s="1"/>
  <c r="P624" i="16"/>
  <c r="P711" i="16"/>
  <c r="P756" i="16"/>
  <c r="P755" i="16" s="1"/>
  <c r="O755" i="16"/>
  <c r="C344" i="19"/>
  <c r="O779" i="16"/>
  <c r="P779" i="16" s="1"/>
  <c r="F72" i="16"/>
  <c r="G134" i="16"/>
  <c r="G135" i="16" s="1"/>
  <c r="L100" i="16"/>
  <c r="O100" i="16" s="1"/>
  <c r="P100" i="16" s="1"/>
  <c r="P97" i="16" s="1"/>
  <c r="I97" i="16"/>
  <c r="L97" i="16" s="1"/>
  <c r="O101" i="16"/>
  <c r="H177" i="16"/>
  <c r="H178" i="16" s="1"/>
  <c r="O224" i="16"/>
  <c r="P225" i="16"/>
  <c r="P224" i="16" s="1"/>
  <c r="O376" i="16"/>
  <c r="P377" i="16"/>
  <c r="P376" i="16" s="1"/>
  <c r="P406" i="16"/>
  <c r="P405" i="16" s="1"/>
  <c r="O405" i="16"/>
  <c r="O599" i="16"/>
  <c r="O598" i="16" s="1"/>
  <c r="P600" i="16"/>
  <c r="P599" i="16" s="1"/>
  <c r="P598" i="16" s="1"/>
  <c r="O601" i="16"/>
  <c r="P602" i="16"/>
  <c r="P601" i="16" s="1"/>
  <c r="P627" i="16"/>
  <c r="P626" i="16" s="1"/>
  <c r="O626" i="16"/>
  <c r="P638" i="16"/>
  <c r="P637" i="16" s="1"/>
  <c r="O637" i="16"/>
  <c r="P640" i="16"/>
  <c r="P639" i="16" s="1"/>
  <c r="O639" i="16"/>
  <c r="O662" i="16"/>
  <c r="D32" i="19" s="1"/>
  <c r="D33" i="19" s="1"/>
  <c r="P663" i="16"/>
  <c r="P662" i="16" s="1"/>
  <c r="E32" i="19" s="1"/>
  <c r="E33" i="19" s="1"/>
  <c r="P800" i="16"/>
  <c r="P799" i="16" s="1"/>
  <c r="O799" i="16"/>
  <c r="I62" i="16"/>
  <c r="E60" i="16"/>
  <c r="G72" i="16"/>
  <c r="H86" i="16"/>
  <c r="H842" i="16" s="1"/>
  <c r="K134" i="16"/>
  <c r="P164" i="16"/>
  <c r="P163" i="16" s="1"/>
  <c r="O163" i="16"/>
  <c r="O340" i="16"/>
  <c r="P341" i="16"/>
  <c r="P340" i="16" s="1"/>
  <c r="L375" i="16"/>
  <c r="O375" i="16" s="1"/>
  <c r="I374" i="16"/>
  <c r="L374" i="16" s="1"/>
  <c r="O604" i="16"/>
  <c r="P605" i="16"/>
  <c r="P604" i="16" s="1"/>
  <c r="O606" i="16"/>
  <c r="P607" i="16"/>
  <c r="P606" i="16" s="1"/>
  <c r="P630" i="16"/>
  <c r="P629" i="16" s="1"/>
  <c r="O629" i="16"/>
  <c r="P644" i="16"/>
  <c r="O833" i="16"/>
  <c r="P834" i="16"/>
  <c r="P833" i="16" s="1"/>
  <c r="E68" i="16"/>
  <c r="I175" i="16"/>
  <c r="I187" i="16"/>
  <c r="L187" i="16" s="1"/>
  <c r="I201" i="16"/>
  <c r="L201" i="16" s="1"/>
  <c r="E310" i="16"/>
  <c r="I364" i="16"/>
  <c r="L364" i="16" s="1"/>
  <c r="I376" i="16"/>
  <c r="L376" i="16" s="1"/>
  <c r="I429" i="16"/>
  <c r="L429" i="16" s="1"/>
  <c r="I460" i="16"/>
  <c r="L460" i="16" s="1"/>
  <c r="I471" i="16"/>
  <c r="L471" i="16" s="1"/>
  <c r="I478" i="16"/>
  <c r="L478" i="16" s="1"/>
  <c r="I504" i="16"/>
  <c r="L504" i="16" s="1"/>
  <c r="I545" i="16"/>
  <c r="L545" i="16" s="1"/>
  <c r="I589" i="16"/>
  <c r="L589" i="16" s="1"/>
  <c r="L593" i="16"/>
  <c r="O593" i="16" s="1"/>
  <c r="I614" i="16"/>
  <c r="I644" i="16"/>
  <c r="L644" i="16" s="1"/>
  <c r="L649" i="16"/>
  <c r="O649" i="16" s="1"/>
  <c r="L672" i="16"/>
  <c r="O672" i="16" s="1"/>
  <c r="L680" i="16"/>
  <c r="O680" i="16" s="1"/>
  <c r="I685" i="16"/>
  <c r="L685" i="16" s="1"/>
  <c r="E699" i="16"/>
  <c r="E701" i="16" s="1"/>
  <c r="E702" i="16" s="1"/>
  <c r="L700" i="16"/>
  <c r="O700" i="16" s="1"/>
  <c r="I718" i="16"/>
  <c r="L718" i="16" s="1"/>
  <c r="L815" i="16"/>
  <c r="I833" i="16"/>
  <c r="L833" i="16" s="1"/>
  <c r="P859" i="16"/>
  <c r="P885" i="16"/>
  <c r="P884" i="16" s="1"/>
  <c r="O884" i="16"/>
  <c r="O886" i="16"/>
  <c r="L894" i="16"/>
  <c r="O894" i="16" s="1"/>
  <c r="I893" i="16"/>
  <c r="L893" i="16" s="1"/>
  <c r="O960" i="16"/>
  <c r="P961" i="16"/>
  <c r="P960" i="16" s="1"/>
  <c r="O972" i="16"/>
  <c r="P973" i="16"/>
  <c r="P972" i="16" s="1"/>
  <c r="L1121" i="16"/>
  <c r="I1144" i="16"/>
  <c r="L1144" i="16" s="1"/>
  <c r="O1172" i="16"/>
  <c r="O1239" i="16"/>
  <c r="O1241" i="16"/>
  <c r="O1335" i="16"/>
  <c r="P1336" i="16"/>
  <c r="P1335" i="16" s="1"/>
  <c r="P1443" i="16"/>
  <c r="P1442" i="16" s="1"/>
  <c r="O1442" i="16"/>
  <c r="I637" i="16"/>
  <c r="L637" i="16" s="1"/>
  <c r="I659" i="16"/>
  <c r="O685" i="16"/>
  <c r="I694" i="16"/>
  <c r="L694" i="16" s="1"/>
  <c r="O718" i="16"/>
  <c r="I769" i="16"/>
  <c r="H768" i="16"/>
  <c r="H773" i="16" s="1"/>
  <c r="H784" i="16" s="1"/>
  <c r="F773" i="16"/>
  <c r="F784" i="16" s="1"/>
  <c r="H836" i="16"/>
  <c r="P830" i="16"/>
  <c r="G906" i="16"/>
  <c r="G907" i="16" s="1"/>
  <c r="L897" i="16"/>
  <c r="O897" i="16" s="1"/>
  <c r="I896" i="16"/>
  <c r="L896" i="16" s="1"/>
  <c r="J906" i="16"/>
  <c r="J907" i="16" s="1"/>
  <c r="O940" i="16"/>
  <c r="P941" i="16"/>
  <c r="P940" i="16" s="1"/>
  <c r="P943" i="16"/>
  <c r="P942" i="16" s="1"/>
  <c r="O942" i="16"/>
  <c r="O999" i="16"/>
  <c r="P1000" i="16"/>
  <c r="P999" i="16" s="1"/>
  <c r="P1002" i="16"/>
  <c r="P1001" i="16" s="1"/>
  <c r="O1001" i="16"/>
  <c r="O1011" i="16"/>
  <c r="P1010" i="16"/>
  <c r="P1011" i="16" s="1"/>
  <c r="P1099" i="16"/>
  <c r="P1098" i="16" s="1"/>
  <c r="O1098" i="16"/>
  <c r="L1163" i="16"/>
  <c r="O1163" i="16" s="1"/>
  <c r="I1162" i="16"/>
  <c r="L1162" i="16" s="1"/>
  <c r="P1402" i="16"/>
  <c r="P1401" i="16" s="1"/>
  <c r="O1401" i="16"/>
  <c r="P1435" i="16"/>
  <c r="P1434" i="16" s="1"/>
  <c r="P1513" i="16"/>
  <c r="P1512" i="16" s="1"/>
  <c r="O1512" i="16"/>
  <c r="L114" i="16"/>
  <c r="O114" i="16" s="1"/>
  <c r="L121" i="16"/>
  <c r="O121" i="16" s="1"/>
  <c r="L126" i="16"/>
  <c r="O126" i="16" s="1"/>
  <c r="I131" i="16"/>
  <c r="L139" i="16"/>
  <c r="O139" i="16" s="1"/>
  <c r="L166" i="16"/>
  <c r="O166" i="16" s="1"/>
  <c r="L171" i="16"/>
  <c r="O171" i="16" s="1"/>
  <c r="O175" i="16"/>
  <c r="O184" i="16"/>
  <c r="O191" i="16"/>
  <c r="O210" i="16"/>
  <c r="L228" i="16"/>
  <c r="O228" i="16" s="1"/>
  <c r="L244" i="16"/>
  <c r="O244" i="16" s="1"/>
  <c r="I331" i="16"/>
  <c r="I337" i="16"/>
  <c r="L354" i="16"/>
  <c r="O354" i="16" s="1"/>
  <c r="O366" i="16"/>
  <c r="I372" i="16"/>
  <c r="L372" i="16" s="1"/>
  <c r="I410" i="16"/>
  <c r="O423" i="16"/>
  <c r="O431" i="16"/>
  <c r="O438" i="16"/>
  <c r="O436" i="16" s="1"/>
  <c r="L448" i="16"/>
  <c r="O448" i="16" s="1"/>
  <c r="E508" i="16"/>
  <c r="O511" i="16"/>
  <c r="I515" i="16"/>
  <c r="L515" i="16" s="1"/>
  <c r="L534" i="16"/>
  <c r="O534" i="16" s="1"/>
  <c r="I548" i="16"/>
  <c r="L548" i="16" s="1"/>
  <c r="L560" i="16"/>
  <c r="O560" i="16" s="1"/>
  <c r="L596" i="16"/>
  <c r="O596" i="16" s="1"/>
  <c r="I617" i="16"/>
  <c r="L617" i="16" s="1"/>
  <c r="L643" i="16"/>
  <c r="O643" i="16" s="1"/>
  <c r="P686" i="16"/>
  <c r="P685" i="16" s="1"/>
  <c r="O714" i="16"/>
  <c r="P719" i="16"/>
  <c r="P718" i="16" s="1"/>
  <c r="L746" i="16"/>
  <c r="O746" i="16" s="1"/>
  <c r="O749" i="16"/>
  <c r="I763" i="16"/>
  <c r="L763" i="16" s="1"/>
  <c r="L860" i="16"/>
  <c r="O860" i="16" s="1"/>
  <c r="P860" i="16" s="1"/>
  <c r="P979" i="16"/>
  <c r="P978" i="16" s="1"/>
  <c r="O978" i="16"/>
  <c r="L995" i="16"/>
  <c r="O995" i="16" s="1"/>
  <c r="I994" i="16"/>
  <c r="L994" i="16" s="1"/>
  <c r="P1022" i="16"/>
  <c r="P1021" i="16" s="1"/>
  <c r="O1021" i="16"/>
  <c r="L1028" i="16"/>
  <c r="O1028" i="16" s="1"/>
  <c r="I1027" i="16"/>
  <c r="L1027" i="16" s="1"/>
  <c r="P1064" i="16"/>
  <c r="P1063" i="16" s="1"/>
  <c r="O1063" i="16"/>
  <c r="P1113" i="16"/>
  <c r="P1112" i="16" s="1"/>
  <c r="O1112" i="16"/>
  <c r="O1128" i="16"/>
  <c r="P1129" i="16"/>
  <c r="P1128" i="16" s="1"/>
  <c r="P1166" i="16"/>
  <c r="P1165" i="16" s="1"/>
  <c r="O1251" i="16"/>
  <c r="P1252" i="16"/>
  <c r="P1251" i="16" s="1"/>
  <c r="L1258" i="16"/>
  <c r="O1258" i="16" s="1"/>
  <c r="I1257" i="16"/>
  <c r="L1257" i="16" s="1"/>
  <c r="O1503" i="16"/>
  <c r="P1504" i="16"/>
  <c r="P1503" i="16" s="1"/>
  <c r="P1506" i="16"/>
  <c r="P1505" i="16" s="1"/>
  <c r="O1505" i="16"/>
  <c r="O1507" i="16"/>
  <c r="P1509" i="16"/>
  <c r="P1507" i="16" s="1"/>
  <c r="L434" i="16"/>
  <c r="O434" i="16" s="1"/>
  <c r="L514" i="16"/>
  <c r="O514" i="16" s="1"/>
  <c r="L574" i="16"/>
  <c r="O574" i="16" s="1"/>
  <c r="O644" i="16"/>
  <c r="I655" i="16"/>
  <c r="L668" i="16"/>
  <c r="O693" i="16"/>
  <c r="P693" i="16" s="1"/>
  <c r="I737" i="16"/>
  <c r="L737" i="16" s="1"/>
  <c r="J836" i="16"/>
  <c r="K836" i="16"/>
  <c r="I803" i="16"/>
  <c r="L803" i="16" s="1"/>
  <c r="L901" i="16"/>
  <c r="O901" i="16" s="1"/>
  <c r="I900" i="16"/>
  <c r="L900" i="16" s="1"/>
  <c r="L954" i="16"/>
  <c r="O954" i="16" s="1"/>
  <c r="I953" i="16"/>
  <c r="L953" i="16" s="1"/>
  <c r="L965" i="16"/>
  <c r="O965" i="16" s="1"/>
  <c r="I966" i="16"/>
  <c r="L966" i="16" s="1"/>
  <c r="C412" i="19" s="1"/>
  <c r="J1056" i="16"/>
  <c r="P1046" i="16"/>
  <c r="P1045" i="16" s="1"/>
  <c r="O1045" i="16"/>
  <c r="L1103" i="16"/>
  <c r="O1103" i="16" s="1"/>
  <c r="I1102" i="16"/>
  <c r="L1102" i="16" s="1"/>
  <c r="P1223" i="16"/>
  <c r="P1222" i="16" s="1"/>
  <c r="O1222" i="16"/>
  <c r="L1282" i="16"/>
  <c r="O1282" i="16" s="1"/>
  <c r="I1281" i="16"/>
  <c r="P1291" i="16"/>
  <c r="P1290" i="16" s="1"/>
  <c r="O1290" i="16"/>
  <c r="L1321" i="16"/>
  <c r="O1321" i="16" s="1"/>
  <c r="I1320" i="16"/>
  <c r="L1326" i="16"/>
  <c r="O1326" i="16" s="1"/>
  <c r="I1325" i="16"/>
  <c r="L1382" i="16"/>
  <c r="O1382" i="16" s="1"/>
  <c r="I1381" i="16"/>
  <c r="L1381" i="16" s="1"/>
  <c r="O1388" i="16"/>
  <c r="P1389" i="16"/>
  <c r="P1388" i="16" s="1"/>
  <c r="P1502" i="16"/>
  <c r="D623" i="19"/>
  <c r="I314" i="16"/>
  <c r="L314" i="16" s="1"/>
  <c r="E325" i="16"/>
  <c r="I328" i="16"/>
  <c r="L328" i="16" s="1"/>
  <c r="E500" i="16"/>
  <c r="I711" i="16"/>
  <c r="L711" i="16" s="1"/>
  <c r="L738" i="16"/>
  <c r="O738" i="16" s="1"/>
  <c r="I757" i="16"/>
  <c r="L757" i="16" s="1"/>
  <c r="J773" i="16"/>
  <c r="O803" i="16"/>
  <c r="O817" i="16"/>
  <c r="L830" i="16"/>
  <c r="O846" i="16"/>
  <c r="P846" i="16" s="1"/>
  <c r="O855" i="16"/>
  <c r="P856" i="16"/>
  <c r="P855" i="16" s="1"/>
  <c r="H906" i="16"/>
  <c r="H907" i="16" s="1"/>
  <c r="L920" i="16"/>
  <c r="O920" i="16" s="1"/>
  <c r="I919" i="16"/>
  <c r="L919" i="16" s="1"/>
  <c r="P952" i="16"/>
  <c r="P951" i="16" s="1"/>
  <c r="O951" i="16"/>
  <c r="O996" i="16"/>
  <c r="P997" i="16"/>
  <c r="P996" i="16" s="1"/>
  <c r="G1056" i="16"/>
  <c r="P1071" i="16"/>
  <c r="P1070" i="16" s="1"/>
  <c r="O1070" i="16"/>
  <c r="I1105" i="16"/>
  <c r="P1179" i="16"/>
  <c r="P1232" i="16"/>
  <c r="P1231" i="16" s="1"/>
  <c r="O1231" i="16"/>
  <c r="O1267" i="16"/>
  <c r="P1268" i="16"/>
  <c r="P1267" i="16" s="1"/>
  <c r="J1415" i="16"/>
  <c r="O1293" i="16"/>
  <c r="P1294" i="16"/>
  <c r="P1293" i="16" s="1"/>
  <c r="J1328" i="16"/>
  <c r="P1384" i="16"/>
  <c r="P1383" i="16" s="1"/>
  <c r="O1383" i="16"/>
  <c r="O1494" i="16"/>
  <c r="P1495" i="16"/>
  <c r="P1494" i="16" s="1"/>
  <c r="P1550" i="16"/>
  <c r="P1564" i="16"/>
  <c r="P1562" i="16" s="1"/>
  <c r="O1562" i="16"/>
  <c r="E664" i="16"/>
  <c r="E665" i="16" s="1"/>
  <c r="D340" i="19"/>
  <c r="O711" i="16"/>
  <c r="E784" i="16"/>
  <c r="P817" i="16"/>
  <c r="I872" i="16"/>
  <c r="L872" i="16" s="1"/>
  <c r="L873" i="16"/>
  <c r="O873" i="16" s="1"/>
  <c r="L881" i="16"/>
  <c r="O881" i="16" s="1"/>
  <c r="P1034" i="16"/>
  <c r="L1042" i="16"/>
  <c r="O1042" i="16" s="1"/>
  <c r="O1090" i="16"/>
  <c r="P1091" i="16"/>
  <c r="P1090" i="16" s="1"/>
  <c r="P1118" i="16"/>
  <c r="P1117" i="16" s="1"/>
  <c r="O1117" i="16"/>
  <c r="I1152" i="16"/>
  <c r="O1169" i="16"/>
  <c r="P1170" i="16"/>
  <c r="P1169" i="16" s="1"/>
  <c r="K1198" i="16"/>
  <c r="N1198" i="16" s="1"/>
  <c r="P1300" i="16"/>
  <c r="P1319" i="16"/>
  <c r="P1318" i="16" s="1"/>
  <c r="O1318" i="16"/>
  <c r="O1342" i="16"/>
  <c r="P1343" i="16"/>
  <c r="P1342" i="16" s="1"/>
  <c r="O1360" i="16"/>
  <c r="P1364" i="16"/>
  <c r="P1360" i="16" s="1"/>
  <c r="O1437" i="16"/>
  <c r="P1439" i="16"/>
  <c r="P1437" i="16" s="1"/>
  <c r="O1481" i="16"/>
  <c r="P1482" i="16"/>
  <c r="P1481" i="16" s="1"/>
  <c r="P1603" i="16"/>
  <c r="P1602" i="16" s="1"/>
  <c r="O1602" i="16"/>
  <c r="I852" i="16"/>
  <c r="E851" i="16"/>
  <c r="F906" i="16"/>
  <c r="F907" i="16" s="1"/>
  <c r="L925" i="16"/>
  <c r="O925" i="16" s="1"/>
  <c r="I924" i="16"/>
  <c r="L924" i="16" s="1"/>
  <c r="P1050" i="16"/>
  <c r="P1083" i="16"/>
  <c r="P1096" i="16"/>
  <c r="P1095" i="16" s="1"/>
  <c r="O1095" i="16"/>
  <c r="L1188" i="16"/>
  <c r="O1188" i="16" s="1"/>
  <c r="I1187" i="16"/>
  <c r="O1297" i="16"/>
  <c r="P1298" i="16"/>
  <c r="P1297" i="16" s="1"/>
  <c r="L1312" i="16"/>
  <c r="O1312" i="16" s="1"/>
  <c r="I1311" i="16"/>
  <c r="L1311" i="16" s="1"/>
  <c r="O1357" i="16"/>
  <c r="P1359" i="16"/>
  <c r="P1357" i="16" s="1"/>
  <c r="P1448" i="16"/>
  <c r="P1447" i="16" s="1"/>
  <c r="O1447" i="16"/>
  <c r="P1453" i="16"/>
  <c r="P1452" i="16" s="1"/>
  <c r="O1452" i="16"/>
  <c r="P1471" i="16"/>
  <c r="P1470" i="16" s="1"/>
  <c r="O1470" i="16"/>
  <c r="P1573" i="16"/>
  <c r="P1572" i="16" s="1"/>
  <c r="O1572" i="16"/>
  <c r="L215" i="16"/>
  <c r="L258" i="16"/>
  <c r="I379" i="16"/>
  <c r="I692" i="16"/>
  <c r="L729" i="16"/>
  <c r="O729" i="16" s="1"/>
  <c r="L792" i="16"/>
  <c r="O792" i="16" s="1"/>
  <c r="O827" i="16"/>
  <c r="O830" i="16"/>
  <c r="I849" i="16"/>
  <c r="L849" i="16" s="1"/>
  <c r="C395" i="19" s="1"/>
  <c r="L850" i="16"/>
  <c r="O850" i="16" s="1"/>
  <c r="P868" i="16"/>
  <c r="I883" i="16"/>
  <c r="L883" i="16" s="1"/>
  <c r="O883" i="16" s="1"/>
  <c r="P883" i="16" s="1"/>
  <c r="E880" i="16"/>
  <c r="L886" i="16"/>
  <c r="L892" i="16"/>
  <c r="O892" i="16" s="1"/>
  <c r="P892" i="16" s="1"/>
  <c r="I890" i="16"/>
  <c r="L890" i="16" s="1"/>
  <c r="L904" i="16"/>
  <c r="I926" i="16"/>
  <c r="L926" i="16" s="1"/>
  <c r="L972" i="16"/>
  <c r="C421" i="19" s="1"/>
  <c r="O974" i="16"/>
  <c r="P975" i="16"/>
  <c r="P974" i="16" s="1"/>
  <c r="I1055" i="16"/>
  <c r="L1051" i="16"/>
  <c r="O1051" i="16" s="1"/>
  <c r="P1051" i="16" s="1"/>
  <c r="L1110" i="16"/>
  <c r="O1110" i="16" s="1"/>
  <c r="I1109" i="16"/>
  <c r="L1109" i="16" s="1"/>
  <c r="O1182" i="16"/>
  <c r="O1218" i="16"/>
  <c r="P1219" i="16"/>
  <c r="P1218" i="16" s="1"/>
  <c r="P1237" i="16"/>
  <c r="P1236" i="16" s="1"/>
  <c r="O1236" i="16"/>
  <c r="L1245" i="16"/>
  <c r="C510" i="19" s="1"/>
  <c r="O1273" i="16"/>
  <c r="P1274" i="16"/>
  <c r="P1273" i="16" s="1"/>
  <c r="P1333" i="16"/>
  <c r="L1403" i="16"/>
  <c r="C564" i="19" s="1"/>
  <c r="D564" i="19" s="1"/>
  <c r="E564" i="19" s="1"/>
  <c r="J1414" i="16"/>
  <c r="P1451" i="16"/>
  <c r="P1450" i="16" s="1"/>
  <c r="O1450" i="16"/>
  <c r="L917" i="16"/>
  <c r="O917" i="16" s="1"/>
  <c r="E966" i="16"/>
  <c r="L992" i="16"/>
  <c r="O992" i="16" s="1"/>
  <c r="L1037" i="16"/>
  <c r="O1037" i="16" s="1"/>
  <c r="L1045" i="16"/>
  <c r="L1079" i="16"/>
  <c r="O1079" i="16" s="1"/>
  <c r="E1102" i="16"/>
  <c r="L1106" i="16"/>
  <c r="O1106" i="16" s="1"/>
  <c r="L1145" i="16"/>
  <c r="O1145" i="16" s="1"/>
  <c r="L1153" i="16"/>
  <c r="O1153" i="16" s="1"/>
  <c r="I1158" i="16"/>
  <c r="L1255" i="16"/>
  <c r="O1255" i="16" s="1"/>
  <c r="L1280" i="16"/>
  <c r="O1280" i="16" s="1"/>
  <c r="I1293" i="16"/>
  <c r="L1293" i="16" s="1"/>
  <c r="L1301" i="16"/>
  <c r="O1301" i="16" s="1"/>
  <c r="P1301" i="16" s="1"/>
  <c r="L1308" i="16"/>
  <c r="O1308" i="16" s="1"/>
  <c r="E1320" i="16"/>
  <c r="E1322" i="16" s="1"/>
  <c r="E1328" i="16" s="1"/>
  <c r="L1334" i="16"/>
  <c r="O1334" i="16" s="1"/>
  <c r="P1334" i="16" s="1"/>
  <c r="I1339" i="16"/>
  <c r="L1358" i="16"/>
  <c r="I1378" i="16"/>
  <c r="I1388" i="16"/>
  <c r="L1388" i="16" s="1"/>
  <c r="P1398" i="16"/>
  <c r="P1397" i="16" s="1"/>
  <c r="I1401" i="16"/>
  <c r="L1401" i="16" s="1"/>
  <c r="E1403" i="16"/>
  <c r="I1412" i="16"/>
  <c r="F1464" i="16"/>
  <c r="I1425" i="16"/>
  <c r="L1425" i="16" s="1"/>
  <c r="I1442" i="16"/>
  <c r="L1442" i="16" s="1"/>
  <c r="I1452" i="16"/>
  <c r="L1452" i="16" s="1"/>
  <c r="L1476" i="16"/>
  <c r="O1476" i="16" s="1"/>
  <c r="P1476" i="16" s="1"/>
  <c r="L1508" i="16"/>
  <c r="L1525" i="16"/>
  <c r="O1525" i="16" s="1"/>
  <c r="I1606" i="16"/>
  <c r="L1607" i="16"/>
  <c r="K1654" i="16"/>
  <c r="O1630" i="16"/>
  <c r="O1647" i="16"/>
  <c r="P1648" i="16"/>
  <c r="P1647" i="16" s="1"/>
  <c r="L1651" i="16"/>
  <c r="O1651" i="16" s="1"/>
  <c r="P1657" i="16"/>
  <c r="O1743" i="16"/>
  <c r="I1746" i="16"/>
  <c r="L1752" i="16"/>
  <c r="O1752" i="16" s="1"/>
  <c r="P1752" i="16" s="1"/>
  <c r="I1751" i="16"/>
  <c r="O1810" i="16"/>
  <c r="P1811" i="16"/>
  <c r="P1810" i="16" s="1"/>
  <c r="O1815" i="16"/>
  <c r="P1816" i="16"/>
  <c r="P1815" i="16" s="1"/>
  <c r="L1824" i="16"/>
  <c r="O1824" i="16" s="1"/>
  <c r="I1823" i="16"/>
  <c r="L1823" i="16" s="1"/>
  <c r="L1892" i="16"/>
  <c r="O1892" i="16" s="1"/>
  <c r="I1891" i="16"/>
  <c r="O2022" i="16"/>
  <c r="P2037" i="16"/>
  <c r="P2104" i="16"/>
  <c r="P2103" i="16" s="1"/>
  <c r="O2103" i="16"/>
  <c r="I1090" i="16"/>
  <c r="I1360" i="16"/>
  <c r="O1390" i="16"/>
  <c r="O1425" i="16"/>
  <c r="K1474" i="16"/>
  <c r="E1512" i="16"/>
  <c r="O1537" i="16"/>
  <c r="O1618" i="16"/>
  <c r="P1619" i="16"/>
  <c r="P1618" i="16" s="1"/>
  <c r="I1622" i="16"/>
  <c r="E1621" i="16"/>
  <c r="L1624" i="16"/>
  <c r="O1624" i="16" s="1"/>
  <c r="C702" i="19"/>
  <c r="O1658" i="16"/>
  <c r="P1658" i="16" s="1"/>
  <c r="L1792" i="16"/>
  <c r="O1792" i="16" s="1"/>
  <c r="I1791" i="16"/>
  <c r="L1791" i="16" s="1"/>
  <c r="L1835" i="16"/>
  <c r="O1835" i="16" s="1"/>
  <c r="P1835" i="16" s="1"/>
  <c r="H1961" i="16"/>
  <c r="L2003" i="16"/>
  <c r="C849" i="19" s="1"/>
  <c r="I861" i="16"/>
  <c r="L861" i="16" s="1"/>
  <c r="O861" i="16" s="1"/>
  <c r="P861" i="16" s="1"/>
  <c r="L891" i="16"/>
  <c r="O891" i="16" s="1"/>
  <c r="E926" i="16"/>
  <c r="L928" i="16"/>
  <c r="O928" i="16" s="1"/>
  <c r="I938" i="16"/>
  <c r="L938" i="16" s="1"/>
  <c r="O938" i="16" s="1"/>
  <c r="P938" i="16" s="1"/>
  <c r="I947" i="16"/>
  <c r="L947" i="16" s="1"/>
  <c r="O947" i="16" s="1"/>
  <c r="P947" i="16" s="1"/>
  <c r="E974" i="16"/>
  <c r="L1019" i="16"/>
  <c r="O1019" i="16" s="1"/>
  <c r="L1026" i="16"/>
  <c r="O1026" i="16" s="1"/>
  <c r="L1035" i="16"/>
  <c r="O1035" i="16" s="1"/>
  <c r="P1035" i="16" s="1"/>
  <c r="K1082" i="16"/>
  <c r="I1128" i="16"/>
  <c r="L1128" i="16" s="1"/>
  <c r="L1133" i="16"/>
  <c r="O1133" i="16" s="1"/>
  <c r="L1141" i="16"/>
  <c r="O1141" i="16" s="1"/>
  <c r="L1180" i="16"/>
  <c r="O1180" i="16" s="1"/>
  <c r="P1180" i="16" s="1"/>
  <c r="L1246" i="16"/>
  <c r="O1246" i="16" s="1"/>
  <c r="L1278" i="16"/>
  <c r="O1278" i="16" s="1"/>
  <c r="L1304" i="16"/>
  <c r="O1304" i="16" s="1"/>
  <c r="I1392" i="16"/>
  <c r="L1392" i="16" s="1"/>
  <c r="F1416" i="16"/>
  <c r="O1458" i="16"/>
  <c r="O1462" i="16"/>
  <c r="I1503" i="16"/>
  <c r="L1503" i="16" s="1"/>
  <c r="L1533" i="16"/>
  <c r="L1542" i="16"/>
  <c r="O1542" i="16" s="1"/>
  <c r="F1590" i="16"/>
  <c r="P1586" i="16"/>
  <c r="I1600" i="16"/>
  <c r="L1600" i="16" s="1"/>
  <c r="L1601" i="16"/>
  <c r="O1601" i="16" s="1"/>
  <c r="H1654" i="16"/>
  <c r="O1634" i="16"/>
  <c r="P1686" i="16"/>
  <c r="P1685" i="16" s="1"/>
  <c r="O1685" i="16"/>
  <c r="P1700" i="16"/>
  <c r="P1789" i="16"/>
  <c r="P1788" i="16" s="1"/>
  <c r="O1788" i="16"/>
  <c r="L1821" i="16"/>
  <c r="P1853" i="16"/>
  <c r="P1877" i="16"/>
  <c r="P1876" i="16" s="1"/>
  <c r="E924" i="16"/>
  <c r="L1031" i="16"/>
  <c r="O1031" i="16" s="1"/>
  <c r="E1055" i="16"/>
  <c r="G1058" i="16"/>
  <c r="L1122" i="16"/>
  <c r="O1122" i="16" s="1"/>
  <c r="L1127" i="16"/>
  <c r="O1127" i="16" s="1"/>
  <c r="E1162" i="16"/>
  <c r="G1187" i="16"/>
  <c r="G1194" i="16" s="1"/>
  <c r="L1206" i="16"/>
  <c r="O1206" i="16" s="1"/>
  <c r="L1227" i="16"/>
  <c r="O1227" i="16" s="1"/>
  <c r="L1262" i="16"/>
  <c r="O1262" i="16" s="1"/>
  <c r="E1281" i="16"/>
  <c r="E1283" i="16" s="1"/>
  <c r="L1288" i="16"/>
  <c r="O1288" i="16" s="1"/>
  <c r="L1349" i="16"/>
  <c r="O1349" i="16" s="1"/>
  <c r="P1351" i="16"/>
  <c r="P1350" i="16" s="1"/>
  <c r="L1394" i="16"/>
  <c r="O1394" i="16" s="1"/>
  <c r="P1423" i="16"/>
  <c r="P1422" i="16" s="1"/>
  <c r="E1430" i="16"/>
  <c r="I1437" i="16"/>
  <c r="L1437" i="16" s="1"/>
  <c r="L1455" i="16"/>
  <c r="O1455" i="16" s="1"/>
  <c r="L1472" i="16"/>
  <c r="L1499" i="16"/>
  <c r="O1499" i="16" s="1"/>
  <c r="E1519" i="16"/>
  <c r="C632" i="19"/>
  <c r="O1534" i="16"/>
  <c r="E1585" i="16"/>
  <c r="E1590" i="16" s="1"/>
  <c r="I1587" i="16"/>
  <c r="L1587" i="16" s="1"/>
  <c r="O1587" i="16" s="1"/>
  <c r="P1587" i="16" s="1"/>
  <c r="O1673" i="16"/>
  <c r="P1674" i="16"/>
  <c r="P1673" i="16" s="1"/>
  <c r="O1716" i="16"/>
  <c r="I951" i="16"/>
  <c r="L951" i="16" s="1"/>
  <c r="K1165" i="16"/>
  <c r="N1165" i="16" s="1"/>
  <c r="H1187" i="16"/>
  <c r="H1194" i="16" s="1"/>
  <c r="E1381" i="16"/>
  <c r="J1464" i="16"/>
  <c r="I1431" i="16"/>
  <c r="E1485" i="16"/>
  <c r="I1521" i="16"/>
  <c r="L1521" i="16" s="1"/>
  <c r="O1521" i="16" s="1"/>
  <c r="P1521" i="16" s="1"/>
  <c r="P1519" i="16" s="1"/>
  <c r="F1579" i="16"/>
  <c r="L1584" i="16"/>
  <c r="I1582" i="16"/>
  <c r="O1596" i="16"/>
  <c r="P1639" i="16"/>
  <c r="L1693" i="16"/>
  <c r="I1691" i="16"/>
  <c r="L1691" i="16" s="1"/>
  <c r="P1697" i="16"/>
  <c r="P1775" i="16"/>
  <c r="L1779" i="16"/>
  <c r="O1779" i="16" s="1"/>
  <c r="I1778" i="16"/>
  <c r="L1778" i="16" s="1"/>
  <c r="L1867" i="16"/>
  <c r="O1867" i="16" s="1"/>
  <c r="I1866" i="16"/>
  <c r="L1866" i="16" s="1"/>
  <c r="O1882" i="16"/>
  <c r="P1883" i="16"/>
  <c r="P1882" i="16" s="1"/>
  <c r="P1886" i="16"/>
  <c r="J2005" i="16"/>
  <c r="P2075" i="16"/>
  <c r="P2074" i="16" s="1"/>
  <c r="O2074" i="16"/>
  <c r="P2120" i="16"/>
  <c r="P2119" i="16" s="1"/>
  <c r="O2119" i="16"/>
  <c r="I1011" i="16"/>
  <c r="L1011" i="16" s="1"/>
  <c r="C425" i="19" s="1"/>
  <c r="L1447" i="16"/>
  <c r="L1486" i="16"/>
  <c r="O1486" i="16" s="1"/>
  <c r="I1485" i="16"/>
  <c r="L1485" i="16" s="1"/>
  <c r="I1559" i="16"/>
  <c r="L1559" i="16" s="1"/>
  <c r="L1560" i="16"/>
  <c r="O1560" i="16" s="1"/>
  <c r="I1574" i="16"/>
  <c r="L1574" i="16" s="1"/>
  <c r="L1575" i="16"/>
  <c r="O1575" i="16" s="1"/>
  <c r="I1626" i="16"/>
  <c r="L1626" i="16" s="1"/>
  <c r="L1627" i="16"/>
  <c r="O1627" i="16" s="1"/>
  <c r="O1642" i="16"/>
  <c r="P1643" i="16"/>
  <c r="P1642" i="16" s="1"/>
  <c r="O1665" i="16"/>
  <c r="D715" i="19"/>
  <c r="O1729" i="16"/>
  <c r="P1730" i="16"/>
  <c r="P1729" i="16" s="1"/>
  <c r="O1732" i="16"/>
  <c r="P1733" i="16"/>
  <c r="P1732" i="16" s="1"/>
  <c r="O1740" i="16"/>
  <c r="P1741" i="16"/>
  <c r="P1740" i="16" s="1"/>
  <c r="P1857" i="16"/>
  <c r="P1856" i="16" s="1"/>
  <c r="O1856" i="16"/>
  <c r="P1864" i="16"/>
  <c r="O1880" i="16"/>
  <c r="P1881" i="16"/>
  <c r="P1880" i="16" s="1"/>
  <c r="I1955" i="16"/>
  <c r="L1955" i="16" s="1"/>
  <c r="L1956" i="16"/>
  <c r="O1956" i="16" s="1"/>
  <c r="P2096" i="16"/>
  <c r="P2095" i="16" s="1"/>
  <c r="O2095" i="16"/>
  <c r="L912" i="16"/>
  <c r="O912" i="16" s="1"/>
  <c r="L937" i="16"/>
  <c r="O937" i="16" s="1"/>
  <c r="I940" i="16"/>
  <c r="L940" i="16" s="1"/>
  <c r="L946" i="16"/>
  <c r="O946" i="16" s="1"/>
  <c r="L957" i="16"/>
  <c r="O957" i="16" s="1"/>
  <c r="I974" i="16"/>
  <c r="L974" i="16" s="1"/>
  <c r="I978" i="16"/>
  <c r="L978" i="16" s="1"/>
  <c r="L989" i="16"/>
  <c r="O989" i="16" s="1"/>
  <c r="L1039" i="16"/>
  <c r="O1039" i="16" s="1"/>
  <c r="L1067" i="16"/>
  <c r="O1067" i="16" s="1"/>
  <c r="L1074" i="16"/>
  <c r="O1074" i="16" s="1"/>
  <c r="E1128" i="16"/>
  <c r="I1169" i="16"/>
  <c r="L1169" i="16" s="1"/>
  <c r="L1192" i="16"/>
  <c r="I1273" i="16"/>
  <c r="L1273" i="16" s="1"/>
  <c r="E1507" i="16"/>
  <c r="L1641" i="16"/>
  <c r="O1641" i="16" s="1"/>
  <c r="P1641" i="16" s="1"/>
  <c r="I1638" i="16"/>
  <c r="L1638" i="16" s="1"/>
  <c r="L1754" i="16"/>
  <c r="O1754" i="16" s="1"/>
  <c r="P1783" i="16"/>
  <c r="P1782" i="16" s="1"/>
  <c r="O1782" i="16"/>
  <c r="L1808" i="16"/>
  <c r="O1808" i="16" s="1"/>
  <c r="I1807" i="16"/>
  <c r="L1807" i="16" s="1"/>
  <c r="L1829" i="16"/>
  <c r="O1829" i="16" s="1"/>
  <c r="I1828" i="16"/>
  <c r="L1828" i="16" s="1"/>
  <c r="I1863" i="16"/>
  <c r="L1863" i="16" s="1"/>
  <c r="L1865" i="16"/>
  <c r="O1865" i="16" s="1"/>
  <c r="P1865" i="16" s="1"/>
  <c r="O1922" i="16"/>
  <c r="P1924" i="16"/>
  <c r="P1922" i="16" s="1"/>
  <c r="P1958" i="16"/>
  <c r="P1957" i="16" s="1"/>
  <c r="O1957" i="16"/>
  <c r="I1566" i="16"/>
  <c r="L1566" i="16" s="1"/>
  <c r="L1567" i="16"/>
  <c r="O1567" i="16" s="1"/>
  <c r="P1679" i="16"/>
  <c r="P1678" i="16" s="1"/>
  <c r="O1678" i="16"/>
  <c r="O1709" i="16"/>
  <c r="P1710" i="16"/>
  <c r="P1709" i="16" s="1"/>
  <c r="O1720" i="16"/>
  <c r="P1721" i="16"/>
  <c r="P1720" i="16" s="1"/>
  <c r="L1800" i="16"/>
  <c r="O1800" i="16" s="1"/>
  <c r="I1799" i="16"/>
  <c r="L1799" i="16" s="1"/>
  <c r="O1801" i="16"/>
  <c r="P1802" i="16"/>
  <c r="P1801" i="16" s="1"/>
  <c r="P1805" i="16"/>
  <c r="O1812" i="16"/>
  <c r="P1813" i="16"/>
  <c r="P1812" i="16" s="1"/>
  <c r="O1860" i="16"/>
  <c r="P1861" i="16"/>
  <c r="P1860" i="16" s="1"/>
  <c r="O1898" i="16"/>
  <c r="O1900" i="16" s="1"/>
  <c r="P1899" i="16"/>
  <c r="P1898" i="16" s="1"/>
  <c r="P1900" i="16" s="1"/>
  <c r="P1913" i="16"/>
  <c r="P1912" i="16" s="1"/>
  <c r="O1912" i="16"/>
  <c r="O2014" i="16"/>
  <c r="P2015" i="16"/>
  <c r="P2014" i="16" s="1"/>
  <c r="P2020" i="16"/>
  <c r="P2019" i="16" s="1"/>
  <c r="O2019" i="16"/>
  <c r="P2136" i="16"/>
  <c r="I1642" i="16"/>
  <c r="L1642" i="16" s="1"/>
  <c r="I1740" i="16"/>
  <c r="L1740" i="16" s="1"/>
  <c r="E1746" i="16"/>
  <c r="E1753" i="16"/>
  <c r="E1762" i="16" s="1"/>
  <c r="E1799" i="16"/>
  <c r="E1825" i="16"/>
  <c r="L1827" i="16"/>
  <c r="O1827" i="16" s="1"/>
  <c r="I1898" i="16"/>
  <c r="K1928" i="16"/>
  <c r="K1961" i="16"/>
  <c r="N1961" i="16" s="1"/>
  <c r="E1976" i="16"/>
  <c r="L2026" i="16"/>
  <c r="O2026" i="16" s="1"/>
  <c r="G2054" i="16"/>
  <c r="K2109" i="16"/>
  <c r="L2116" i="16"/>
  <c r="O2116" i="16" s="1"/>
  <c r="I2115" i="16"/>
  <c r="L2115" i="16" s="1"/>
  <c r="F2142" i="16"/>
  <c r="I2149" i="16"/>
  <c r="L2150" i="16"/>
  <c r="O2150" i="16" s="1"/>
  <c r="G2209" i="16"/>
  <c r="O2303" i="16"/>
  <c r="P2304" i="16"/>
  <c r="P2303" i="16" s="1"/>
  <c r="P2306" i="16"/>
  <c r="O2465" i="16"/>
  <c r="P2466" i="16"/>
  <c r="P2465" i="16" s="1"/>
  <c r="D728" i="19"/>
  <c r="I1812" i="16"/>
  <c r="L1812" i="16" s="1"/>
  <c r="E1823" i="16"/>
  <c r="H1833" i="16"/>
  <c r="H1837" i="16" s="1"/>
  <c r="E1863" i="16"/>
  <c r="I1882" i="16"/>
  <c r="L1882" i="16" s="1"/>
  <c r="L1977" i="16"/>
  <c r="O1977" i="16" s="1"/>
  <c r="I1976" i="16"/>
  <c r="L1976" i="16" s="1"/>
  <c r="J2006" i="16"/>
  <c r="I2014" i="16"/>
  <c r="L2014" i="16" s="1"/>
  <c r="I2043" i="16"/>
  <c r="E2042" i="16"/>
  <c r="H2054" i="16"/>
  <c r="H2071" i="16" s="1"/>
  <c r="I2093" i="16"/>
  <c r="L2093" i="16" s="1"/>
  <c r="L2094" i="16"/>
  <c r="O2094" i="16" s="1"/>
  <c r="G2142" i="16"/>
  <c r="O2165" i="16"/>
  <c r="I2167" i="16"/>
  <c r="L2167" i="16" s="1"/>
  <c r="L2168" i="16"/>
  <c r="O2168" i="16" s="1"/>
  <c r="L2171" i="16"/>
  <c r="O2171" i="16" s="1"/>
  <c r="I2170" i="16"/>
  <c r="L2285" i="16"/>
  <c r="O2285" i="16" s="1"/>
  <c r="P2285" i="16" s="1"/>
  <c r="I2281" i="16"/>
  <c r="L2281" i="16" s="1"/>
  <c r="O2319" i="16"/>
  <c r="P2320" i="16"/>
  <c r="P2319" i="16" s="1"/>
  <c r="K2372" i="16"/>
  <c r="N2372" i="16" s="1"/>
  <c r="P2626" i="16"/>
  <c r="P2625" i="16" s="1"/>
  <c r="O2625" i="16"/>
  <c r="I1665" i="16"/>
  <c r="L1665" i="16" s="1"/>
  <c r="P1919" i="16"/>
  <c r="I1922" i="16"/>
  <c r="L1922" i="16" s="1"/>
  <c r="I2016" i="16"/>
  <c r="L2016" i="16" s="1"/>
  <c r="L2035" i="16"/>
  <c r="O2035" i="16" s="1"/>
  <c r="I2034" i="16"/>
  <c r="L2034" i="16" s="1"/>
  <c r="I2101" i="16"/>
  <c r="L2102" i="16"/>
  <c r="O2102" i="16" s="1"/>
  <c r="P2270" i="16"/>
  <c r="P2269" i="16" s="1"/>
  <c r="L2295" i="16"/>
  <c r="O2295" i="16" s="1"/>
  <c r="I2294" i="16"/>
  <c r="L2294" i="16" s="1"/>
  <c r="O2308" i="16"/>
  <c r="P2309" i="16"/>
  <c r="P2308" i="16" s="1"/>
  <c r="P2353" i="16"/>
  <c r="O2357" i="16"/>
  <c r="P2358" i="16"/>
  <c r="P2357" i="16" s="1"/>
  <c r="L2366" i="16"/>
  <c r="O2366" i="16" s="1"/>
  <c r="I2365" i="16"/>
  <c r="L2365" i="16" s="1"/>
  <c r="L2370" i="16"/>
  <c r="O2370" i="16" s="1"/>
  <c r="I2369" i="16"/>
  <c r="O2392" i="16"/>
  <c r="P2393" i="16"/>
  <c r="P2392" i="16" s="1"/>
  <c r="L2409" i="16"/>
  <c r="O2409" i="16" s="1"/>
  <c r="I2408" i="16"/>
  <c r="L2408" i="16" s="1"/>
  <c r="G2518" i="16"/>
  <c r="O2489" i="16"/>
  <c r="P2490" i="16"/>
  <c r="P2489" i="16" s="1"/>
  <c r="P2504" i="16"/>
  <c r="L1659" i="16"/>
  <c r="O1659" i="16" s="1"/>
  <c r="L1662" i="16"/>
  <c r="O1662" i="16" s="1"/>
  <c r="P1666" i="16"/>
  <c r="P1665" i="16" s="1"/>
  <c r="L1713" i="16"/>
  <c r="O1713" i="16" s="1"/>
  <c r="P1717" i="16"/>
  <c r="P1716" i="16" s="1"/>
  <c r="I1732" i="16"/>
  <c r="L1732" i="16" s="1"/>
  <c r="P1744" i="16"/>
  <c r="P1743" i="16" s="1"/>
  <c r="L1747" i="16"/>
  <c r="O1747" i="16" s="1"/>
  <c r="P1771" i="16"/>
  <c r="P1770" i="16" s="1"/>
  <c r="I1776" i="16"/>
  <c r="L1776" i="16" s="1"/>
  <c r="O1776" i="16" s="1"/>
  <c r="P1776" i="16" s="1"/>
  <c r="E1778" i="16"/>
  <c r="E1791" i="16"/>
  <c r="I1801" i="16"/>
  <c r="L1801" i="16" s="1"/>
  <c r="I1815" i="16"/>
  <c r="I1860" i="16"/>
  <c r="L1860" i="16" s="1"/>
  <c r="E1866" i="16"/>
  <c r="P1890" i="16"/>
  <c r="P1889" i="16" s="1"/>
  <c r="P1907" i="16"/>
  <c r="P1906" i="16" s="1"/>
  <c r="P1908" i="16" s="1"/>
  <c r="L1915" i="16"/>
  <c r="O1915" i="16" s="1"/>
  <c r="L1927" i="16"/>
  <c r="O1927" i="16" s="1"/>
  <c r="L2017" i="16"/>
  <c r="O2017" i="16" s="1"/>
  <c r="I2050" i="16"/>
  <c r="E2049" i="16"/>
  <c r="E2082" i="16"/>
  <c r="E2098" i="16"/>
  <c r="D1033" i="19"/>
  <c r="O2255" i="16"/>
  <c r="P2256" i="16"/>
  <c r="P2255" i="16" s="1"/>
  <c r="P2288" i="16"/>
  <c r="O2324" i="16"/>
  <c r="P2325" i="16"/>
  <c r="P2324" i="16" s="1"/>
  <c r="L2354" i="16"/>
  <c r="O2354" i="16" s="1"/>
  <c r="P2354" i="16" s="1"/>
  <c r="I2352" i="16"/>
  <c r="L2352" i="16" s="1"/>
  <c r="L2381" i="16"/>
  <c r="O2381" i="16" s="1"/>
  <c r="P2399" i="16"/>
  <c r="P2398" i="16" s="1"/>
  <c r="O2398" i="16"/>
  <c r="P2404" i="16"/>
  <c r="P2403" i="16" s="1"/>
  <c r="O2403" i="16"/>
  <c r="O2432" i="16"/>
  <c r="P2433" i="16"/>
  <c r="P2432" i="16" s="1"/>
  <c r="P2443" i="16"/>
  <c r="P2442" i="16" s="1"/>
  <c r="P2666" i="16"/>
  <c r="P2665" i="16" s="1"/>
  <c r="O2665" i="16"/>
  <c r="H1751" i="16"/>
  <c r="H1762" i="16" s="1"/>
  <c r="E1807" i="16"/>
  <c r="E1891" i="16"/>
  <c r="G1928" i="16"/>
  <c r="G1961" i="16"/>
  <c r="I2019" i="16"/>
  <c r="L2019" i="16" s="1"/>
  <c r="I2078" i="16"/>
  <c r="L2078" i="16" s="1"/>
  <c r="L2079" i="16"/>
  <c r="O2079" i="16" s="1"/>
  <c r="F2109" i="16"/>
  <c r="F2110" i="16" s="1"/>
  <c r="I2136" i="16"/>
  <c r="L2136" i="16" s="1"/>
  <c r="K2142" i="16"/>
  <c r="N2142" i="16" s="1"/>
  <c r="L2146" i="16"/>
  <c r="O2146" i="16" s="1"/>
  <c r="I2145" i="16"/>
  <c r="L2145" i="16" s="1"/>
  <c r="L2175" i="16"/>
  <c r="O2175" i="16" s="1"/>
  <c r="I2174" i="16"/>
  <c r="L2174" i="16" s="1"/>
  <c r="E2177" i="16"/>
  <c r="I2178" i="16"/>
  <c r="L2204" i="16"/>
  <c r="O2204" i="16" s="1"/>
  <c r="I2203" i="16"/>
  <c r="L2203" i="16" s="1"/>
  <c r="O2206" i="16"/>
  <c r="P2207" i="16"/>
  <c r="P2206" i="16" s="1"/>
  <c r="L2291" i="16"/>
  <c r="O2291" i="16" s="1"/>
  <c r="I2290" i="16"/>
  <c r="L2290" i="16" s="1"/>
  <c r="O2322" i="16"/>
  <c r="P2323" i="16"/>
  <c r="P2322" i="16" s="1"/>
  <c r="P2339" i="16"/>
  <c r="P2338" i="16" s="1"/>
  <c r="O2338" i="16"/>
  <c r="P2349" i="16"/>
  <c r="P2348" i="16" s="1"/>
  <c r="O2348" i="16"/>
  <c r="P2376" i="16"/>
  <c r="P2375" i="16" s="1"/>
  <c r="O2375" i="16"/>
  <c r="P2532" i="16"/>
  <c r="O2539" i="16"/>
  <c r="P2542" i="16"/>
  <c r="P2539" i="16" s="1"/>
  <c r="P2550" i="16"/>
  <c r="P2548" i="16" s="1"/>
  <c r="O2548" i="16"/>
  <c r="P2645" i="16"/>
  <c r="P2644" i="16" s="1"/>
  <c r="L2108" i="16"/>
  <c r="O2108" i="16" s="1"/>
  <c r="I2107" i="16"/>
  <c r="L2107" i="16" s="1"/>
  <c r="H2152" i="16"/>
  <c r="P2201" i="16"/>
  <c r="L2240" i="16"/>
  <c r="O2240" i="16" s="1"/>
  <c r="I2239" i="16"/>
  <c r="L2264" i="16"/>
  <c r="O2264" i="16" s="1"/>
  <c r="I2263" i="16"/>
  <c r="L2263" i="16" s="1"/>
  <c r="P2275" i="16"/>
  <c r="P2274" i="16" s="1"/>
  <c r="O2298" i="16"/>
  <c r="P2299" i="16"/>
  <c r="P2298" i="16" s="1"/>
  <c r="O2329" i="16"/>
  <c r="P2330" i="16"/>
  <c r="P2329" i="16" s="1"/>
  <c r="O2344" i="16"/>
  <c r="P2345" i="16"/>
  <c r="P2344" i="16" s="1"/>
  <c r="L2423" i="16"/>
  <c r="O2423" i="16" s="1"/>
  <c r="I2422" i="16"/>
  <c r="O2462" i="16"/>
  <c r="P2463" i="16"/>
  <c r="P2462" i="16" s="1"/>
  <c r="O2471" i="16"/>
  <c r="P2472" i="16"/>
  <c r="P2471" i="16" s="1"/>
  <c r="P2509" i="16"/>
  <c r="P2508" i="16" s="1"/>
  <c r="O2508" i="16"/>
  <c r="P2543" i="16"/>
  <c r="P2586" i="16"/>
  <c r="P2585" i="16" s="1"/>
  <c r="O2585" i="16"/>
  <c r="I2590" i="16"/>
  <c r="L2590" i="16" s="1"/>
  <c r="O2710" i="16"/>
  <c r="P2711" i="16"/>
  <c r="P2710" i="16" s="1"/>
  <c r="L1670" i="16"/>
  <c r="O1670" i="16" s="1"/>
  <c r="L1682" i="16"/>
  <c r="O1682" i="16" s="1"/>
  <c r="L1689" i="16"/>
  <c r="O1689" i="16" s="1"/>
  <c r="L1725" i="16"/>
  <c r="O1725" i="16" s="1"/>
  <c r="L1822" i="16"/>
  <c r="O1822" i="16" s="1"/>
  <c r="P1932" i="16"/>
  <c r="I1949" i="16"/>
  <c r="L1949" i="16" s="1"/>
  <c r="O1949" i="16" s="1"/>
  <c r="P1949" i="16" s="1"/>
  <c r="L2032" i="16"/>
  <c r="O2032" i="16" s="1"/>
  <c r="P2032" i="16" s="1"/>
  <c r="P2028" i="16" s="1"/>
  <c r="L2046" i="16"/>
  <c r="O2046" i="16" s="1"/>
  <c r="I2045" i="16"/>
  <c r="L2052" i="16"/>
  <c r="O2052" i="16" s="1"/>
  <c r="L2087" i="16"/>
  <c r="C905" i="19" s="1"/>
  <c r="E2121" i="16"/>
  <c r="L2126" i="16"/>
  <c r="O2126" i="16" s="1"/>
  <c r="P2126" i="16" s="1"/>
  <c r="P2124" i="16" s="1"/>
  <c r="P2130" i="16" s="1"/>
  <c r="P2131" i="16" s="1"/>
  <c r="L2140" i="16"/>
  <c r="F2152" i="16"/>
  <c r="I2200" i="16"/>
  <c r="L2200" i="16" s="1"/>
  <c r="P2282" i="16"/>
  <c r="P2333" i="16"/>
  <c r="O2435" i="16"/>
  <c r="P2436" i="16"/>
  <c r="P2435" i="16" s="1"/>
  <c r="F2516" i="16"/>
  <c r="O2567" i="16"/>
  <c r="P2570" i="16"/>
  <c r="P2569" i="16" s="1"/>
  <c r="O2588" i="16"/>
  <c r="P2589" i="16"/>
  <c r="P2588" i="16" s="1"/>
  <c r="O1919" i="16"/>
  <c r="E1931" i="16"/>
  <c r="I2063" i="16"/>
  <c r="E2062" i="16"/>
  <c r="E2070" i="16" s="1"/>
  <c r="O2128" i="16"/>
  <c r="I2134" i="16"/>
  <c r="L2134" i="16" s="1"/>
  <c r="L2135" i="16"/>
  <c r="O2135" i="16" s="1"/>
  <c r="O2136" i="16"/>
  <c r="I2212" i="16"/>
  <c r="L2212" i="16" s="1"/>
  <c r="P2385" i="16"/>
  <c r="P2384" i="16" s="1"/>
  <c r="O2384" i="16"/>
  <c r="G2516" i="16"/>
  <c r="L2515" i="16"/>
  <c r="O2659" i="16"/>
  <c r="P2660" i="16"/>
  <c r="P2659" i="16" s="1"/>
  <c r="E2145" i="16"/>
  <c r="E2151" i="16" s="1"/>
  <c r="E2194" i="16"/>
  <c r="E2203" i="16"/>
  <c r="I2206" i="16"/>
  <c r="E2212" i="16"/>
  <c r="E2290" i="16"/>
  <c r="I2298" i="16"/>
  <c r="L2298" i="16" s="1"/>
  <c r="I2303" i="16"/>
  <c r="L2303" i="16" s="1"/>
  <c r="I2319" i="16"/>
  <c r="L2319" i="16" s="1"/>
  <c r="I2324" i="16"/>
  <c r="L2324" i="16" s="1"/>
  <c r="E2369" i="16"/>
  <c r="I2432" i="16"/>
  <c r="L2432" i="16" s="1"/>
  <c r="I2462" i="16"/>
  <c r="L2462" i="16" s="1"/>
  <c r="I2493" i="16"/>
  <c r="L2493" i="16" s="1"/>
  <c r="L2513" i="16"/>
  <c r="L2573" i="16"/>
  <c r="O2573" i="16" s="1"/>
  <c r="L2595" i="16"/>
  <c r="O2595" i="16" s="1"/>
  <c r="G2631" i="16"/>
  <c r="G2633" i="16" s="1"/>
  <c r="I2644" i="16"/>
  <c r="L2644" i="16" s="1"/>
  <c r="C1180" i="19" s="1"/>
  <c r="D1180" i="19" s="1"/>
  <c r="E1180" i="19" s="1"/>
  <c r="L2645" i="16"/>
  <c r="O2645" i="16" s="1"/>
  <c r="O2644" i="16" s="1"/>
  <c r="I2657" i="16"/>
  <c r="L2658" i="16"/>
  <c r="O2658" i="16" s="1"/>
  <c r="I2688" i="16"/>
  <c r="L2688" i="16" s="1"/>
  <c r="O2746" i="16"/>
  <c r="P2747" i="16"/>
  <c r="P2746" i="16" s="1"/>
  <c r="J2758" i="16"/>
  <c r="O2820" i="16"/>
  <c r="P2821" i="16"/>
  <c r="P2820" i="16" s="1"/>
  <c r="P2825" i="16"/>
  <c r="P2824" i="16" s="1"/>
  <c r="O2824" i="16"/>
  <c r="L2831" i="16"/>
  <c r="O2831" i="16" s="1"/>
  <c r="I2830" i="16"/>
  <c r="L2830" i="16" s="1"/>
  <c r="L2869" i="16"/>
  <c r="C1337" i="19" s="1"/>
  <c r="O2882" i="16"/>
  <c r="P2883" i="16"/>
  <c r="P2882" i="16" s="1"/>
  <c r="O2895" i="16"/>
  <c r="P2896" i="16"/>
  <c r="P2895" i="16" s="1"/>
  <c r="O2991" i="16"/>
  <c r="P2992" i="16"/>
  <c r="P2991" i="16" s="1"/>
  <c r="P3011" i="16"/>
  <c r="L2471" i="16"/>
  <c r="I2614" i="16"/>
  <c r="I2616" i="16" s="1"/>
  <c r="I2663" i="16"/>
  <c r="L2663" i="16" s="1"/>
  <c r="L2664" i="16"/>
  <c r="O2664" i="16" s="1"/>
  <c r="P2704" i="16"/>
  <c r="P2745" i="16"/>
  <c r="P2743" i="16" s="1"/>
  <c r="O2743" i="16"/>
  <c r="P2782" i="16"/>
  <c r="O2913" i="16"/>
  <c r="P2914" i="16"/>
  <c r="P2913" i="16" s="1"/>
  <c r="L3006" i="16"/>
  <c r="O3008" i="16"/>
  <c r="P3009" i="16"/>
  <c r="P3008" i="16" s="1"/>
  <c r="P3102" i="16"/>
  <c r="P3101" i="16" s="1"/>
  <c r="O3101" i="16"/>
  <c r="L2199" i="16"/>
  <c r="O2199" i="16" s="1"/>
  <c r="L2254" i="16"/>
  <c r="O2254" i="16" s="1"/>
  <c r="L2259" i="16"/>
  <c r="O2259" i="16" s="1"/>
  <c r="L2280" i="16"/>
  <c r="O2280" i="16" s="1"/>
  <c r="L2293" i="16"/>
  <c r="O2293" i="16" s="1"/>
  <c r="L2307" i="16"/>
  <c r="O2307" i="16" s="1"/>
  <c r="P2307" i="16" s="1"/>
  <c r="I2312" i="16"/>
  <c r="L2312" i="16" s="1"/>
  <c r="O2312" i="16" s="1"/>
  <c r="P2312" i="16" s="1"/>
  <c r="I2329" i="16"/>
  <c r="L2329" i="16" s="1"/>
  <c r="L2336" i="16"/>
  <c r="O2336" i="16" s="1"/>
  <c r="P2336" i="16" s="1"/>
  <c r="L2351" i="16"/>
  <c r="O2351" i="16" s="1"/>
  <c r="I2357" i="16"/>
  <c r="L2396" i="16"/>
  <c r="O2396" i="16" s="1"/>
  <c r="I2449" i="16"/>
  <c r="L2449" i="16" s="1"/>
  <c r="L2450" i="16"/>
  <c r="O2450" i="16" s="1"/>
  <c r="O2526" i="16"/>
  <c r="O2532" i="16"/>
  <c r="O2596" i="16"/>
  <c r="P2891" i="16"/>
  <c r="P2890" i="16" s="1"/>
  <c r="P2925" i="16"/>
  <c r="O2947" i="16"/>
  <c r="P2948" i="16"/>
  <c r="P2947" i="16" s="1"/>
  <c r="P3082" i="16"/>
  <c r="P3081" i="16" s="1"/>
  <c r="P3084" i="16"/>
  <c r="P3083" i="16" s="1"/>
  <c r="O3083" i="16"/>
  <c r="L2141" i="16"/>
  <c r="O2141" i="16" s="1"/>
  <c r="E2174" i="16"/>
  <c r="I2191" i="16"/>
  <c r="L2195" i="16"/>
  <c r="O2195" i="16" s="1"/>
  <c r="L2213" i="16"/>
  <c r="O2213" i="16" s="1"/>
  <c r="E2239" i="16"/>
  <c r="L2356" i="16"/>
  <c r="O2356" i="16" s="1"/>
  <c r="I2363" i="16"/>
  <c r="E2365" i="16"/>
  <c r="L2411" i="16"/>
  <c r="O2411" i="16" s="1"/>
  <c r="O2410" i="16" s="1"/>
  <c r="L2439" i="16"/>
  <c r="O2439" i="16" s="1"/>
  <c r="L2446" i="16"/>
  <c r="O2446" i="16" s="1"/>
  <c r="L2459" i="16"/>
  <c r="O2459" i="16" s="1"/>
  <c r="L2469" i="16"/>
  <c r="O2469" i="16" s="1"/>
  <c r="L2479" i="16"/>
  <c r="O2479" i="16" s="1"/>
  <c r="L2486" i="16"/>
  <c r="O2486" i="16" s="1"/>
  <c r="O2493" i="16"/>
  <c r="L2498" i="16"/>
  <c r="O2500" i="16"/>
  <c r="L2514" i="16"/>
  <c r="O2514" i="16" s="1"/>
  <c r="L2552" i="16"/>
  <c r="O2552" i="16" s="1"/>
  <c r="L2561" i="16"/>
  <c r="O2561" i="16" s="1"/>
  <c r="H2580" i="16"/>
  <c r="L2577" i="16"/>
  <c r="O2577" i="16" s="1"/>
  <c r="I2602" i="16"/>
  <c r="L2602" i="16" s="1"/>
  <c r="K2631" i="16"/>
  <c r="L2651" i="16"/>
  <c r="O2651" i="16" s="1"/>
  <c r="I2649" i="16"/>
  <c r="L2667" i="16"/>
  <c r="O2806" i="16"/>
  <c r="P2807" i="16"/>
  <c r="P2806" i="16" s="1"/>
  <c r="I2848" i="16"/>
  <c r="P2902" i="16"/>
  <c r="P2901" i="16" s="1"/>
  <c r="O2901" i="16"/>
  <c r="P2917" i="16"/>
  <c r="P2916" i="16" s="1"/>
  <c r="O2936" i="16"/>
  <c r="P2937" i="16"/>
  <c r="P2936" i="16" s="1"/>
  <c r="P2946" i="16"/>
  <c r="P2945" i="16" s="1"/>
  <c r="O3018" i="16"/>
  <c r="P3019" i="16"/>
  <c r="P3018" i="16" s="1"/>
  <c r="H2422" i="16"/>
  <c r="H2426" i="16" s="1"/>
  <c r="I2529" i="16"/>
  <c r="L2529" i="16" s="1"/>
  <c r="I2535" i="16"/>
  <c r="L2535" i="16" s="1"/>
  <c r="I2543" i="16"/>
  <c r="L2543" i="16" s="1"/>
  <c r="L2603" i="16"/>
  <c r="O2603" i="16" s="1"/>
  <c r="L2629" i="16"/>
  <c r="E2653" i="16"/>
  <c r="L2668" i="16"/>
  <c r="O2668" i="16" s="1"/>
  <c r="K2698" i="16"/>
  <c r="K2720" i="16"/>
  <c r="P2761" i="16"/>
  <c r="O2765" i="16"/>
  <c r="D1248" i="19" s="1"/>
  <c r="P2766" i="16"/>
  <c r="O2799" i="16"/>
  <c r="P2800" i="16"/>
  <c r="P2799" i="16" s="1"/>
  <c r="P2950" i="16"/>
  <c r="P2949" i="16" s="1"/>
  <c r="O2979" i="16"/>
  <c r="C1368" i="19"/>
  <c r="L2997" i="16"/>
  <c r="O2998" i="16"/>
  <c r="P3031" i="16"/>
  <c r="P3030" i="16" s="1"/>
  <c r="O3030" i="16"/>
  <c r="P3106" i="16"/>
  <c r="P3105" i="16" s="1"/>
  <c r="O3105" i="16"/>
  <c r="K3120" i="16"/>
  <c r="N3120" i="16" s="1"/>
  <c r="O2529" i="16"/>
  <c r="O2535" i="16"/>
  <c r="O2543" i="16"/>
  <c r="L2559" i="16"/>
  <c r="O2559" i="16" s="1"/>
  <c r="I2558" i="16"/>
  <c r="L2558" i="16" s="1"/>
  <c r="L2610" i="16"/>
  <c r="O2610" i="16" s="1"/>
  <c r="I2609" i="16"/>
  <c r="L2609" i="16" s="1"/>
  <c r="O2623" i="16"/>
  <c r="P2624" i="16"/>
  <c r="P2623" i="16" s="1"/>
  <c r="I2696" i="16"/>
  <c r="L2697" i="16"/>
  <c r="O2697" i="16" s="1"/>
  <c r="O2716" i="16"/>
  <c r="L2718" i="16"/>
  <c r="E2727" i="16"/>
  <c r="O2741" i="16"/>
  <c r="P2742" i="16"/>
  <c r="P2741" i="16" s="1"/>
  <c r="P2755" i="16"/>
  <c r="P2754" i="16" s="1"/>
  <c r="O2754" i="16"/>
  <c r="L2769" i="16"/>
  <c r="P2809" i="16"/>
  <c r="P2808" i="16" s="1"/>
  <c r="O2808" i="16"/>
  <c r="P2839" i="16"/>
  <c r="P2838" i="16" s="1"/>
  <c r="O2838" i="16"/>
  <c r="O2856" i="16"/>
  <c r="P2857" i="16"/>
  <c r="P2856" i="16" s="1"/>
  <c r="P2906" i="16"/>
  <c r="P2905" i="16" s="1"/>
  <c r="O2905" i="16"/>
  <c r="P3051" i="16"/>
  <c r="P3050" i="16" s="1"/>
  <c r="O3050" i="16"/>
  <c r="O3056" i="16"/>
  <c r="P3057" i="16"/>
  <c r="P3056" i="16" s="1"/>
  <c r="P3088" i="16"/>
  <c r="O3110" i="16"/>
  <c r="P3111" i="16"/>
  <c r="P3110" i="16" s="1"/>
  <c r="O3162" i="16"/>
  <c r="F3205" i="16"/>
  <c r="I2180" i="16"/>
  <c r="I2269" i="16"/>
  <c r="L2269" i="16" s="1"/>
  <c r="L2311" i="16"/>
  <c r="O2311" i="16" s="1"/>
  <c r="E2329" i="16"/>
  <c r="L2342" i="16"/>
  <c r="O2342" i="16" s="1"/>
  <c r="L2347" i="16"/>
  <c r="O2347" i="16" s="1"/>
  <c r="L2379" i="16"/>
  <c r="O2379" i="16" s="1"/>
  <c r="L2388" i="16"/>
  <c r="O2388" i="16" s="1"/>
  <c r="L2402" i="16"/>
  <c r="O2402" i="16" s="1"/>
  <c r="L2407" i="16"/>
  <c r="O2407" i="16" s="1"/>
  <c r="L2419" i="16"/>
  <c r="O2419" i="16" s="1"/>
  <c r="E2449" i="16"/>
  <c r="E2473" i="16" s="1"/>
  <c r="I2637" i="16"/>
  <c r="L2638" i="16"/>
  <c r="O2638" i="16" s="1"/>
  <c r="O2641" i="16"/>
  <c r="P2642" i="16"/>
  <c r="P2641" i="16" s="1"/>
  <c r="O2739" i="16"/>
  <c r="P2740" i="16"/>
  <c r="P2739" i="16" s="1"/>
  <c r="O2787" i="16"/>
  <c r="P2788" i="16"/>
  <c r="P2787" i="16" s="1"/>
  <c r="P2802" i="16"/>
  <c r="O2844" i="16"/>
  <c r="P2845" i="16"/>
  <c r="P2844" i="16" s="1"/>
  <c r="L2855" i="16"/>
  <c r="O2855" i="16" s="1"/>
  <c r="I2854" i="16"/>
  <c r="L2854" i="16" s="1"/>
  <c r="O2920" i="16"/>
  <c r="P2921" i="16"/>
  <c r="P2920" i="16" s="1"/>
  <c r="O2986" i="16"/>
  <c r="P2987" i="16"/>
  <c r="P2986" i="16" s="1"/>
  <c r="P3096" i="16"/>
  <c r="P3095" i="16" s="1"/>
  <c r="O3095" i="16"/>
  <c r="O3098" i="16"/>
  <c r="P3099" i="16"/>
  <c r="P3098" i="16" s="1"/>
  <c r="O3138" i="16"/>
  <c r="P3139" i="16"/>
  <c r="P3138" i="16" s="1"/>
  <c r="H2515" i="16"/>
  <c r="O2615" i="16"/>
  <c r="G2683" i="16"/>
  <c r="H2727" i="16"/>
  <c r="P2732" i="16"/>
  <c r="P2731" i="16" s="1"/>
  <c r="O2731" i="16"/>
  <c r="L2775" i="16"/>
  <c r="O2775" i="16" s="1"/>
  <c r="I2774" i="16"/>
  <c r="O2957" i="16"/>
  <c r="P2958" i="16"/>
  <c r="P2957" i="16" s="1"/>
  <c r="I3087" i="16"/>
  <c r="L3087" i="16" s="1"/>
  <c r="L3090" i="16"/>
  <c r="O3090" i="16" s="1"/>
  <c r="P3090" i="16" s="1"/>
  <c r="F3157" i="16"/>
  <c r="O3222" i="16"/>
  <c r="P3223" i="16"/>
  <c r="P3222" i="16" s="1"/>
  <c r="E2675" i="16"/>
  <c r="E2681" i="16" s="1"/>
  <c r="I2741" i="16"/>
  <c r="L2741" i="16" s="1"/>
  <c r="I2746" i="16"/>
  <c r="I2752" i="16"/>
  <c r="I2799" i="16"/>
  <c r="L2799" i="16" s="1"/>
  <c r="I2806" i="16"/>
  <c r="L2806" i="16" s="1"/>
  <c r="I2820" i="16"/>
  <c r="L2820" i="16" s="1"/>
  <c r="K2822" i="16"/>
  <c r="I2856" i="16"/>
  <c r="K2890" i="16"/>
  <c r="I2913" i="16"/>
  <c r="L2913" i="16" s="1"/>
  <c r="I2920" i="16"/>
  <c r="L2920" i="16" s="1"/>
  <c r="I2947" i="16"/>
  <c r="L2947" i="16" s="1"/>
  <c r="I2957" i="16"/>
  <c r="I2986" i="16"/>
  <c r="L2986" i="16" s="1"/>
  <c r="I2991" i="16"/>
  <c r="L2991" i="16" s="1"/>
  <c r="I2997" i="16"/>
  <c r="I3001" i="16" s="1"/>
  <c r="I3030" i="16"/>
  <c r="L3030" i="16" s="1"/>
  <c r="L3049" i="16"/>
  <c r="O3049" i="16" s="1"/>
  <c r="F3074" i="16"/>
  <c r="L3103" i="16"/>
  <c r="I3107" i="16"/>
  <c r="L3107" i="16" s="1"/>
  <c r="L3108" i="16"/>
  <c r="O3108" i="16" s="1"/>
  <c r="L3116" i="16"/>
  <c r="O3116" i="16" s="1"/>
  <c r="I3130" i="16"/>
  <c r="L3130" i="16" s="1"/>
  <c r="L3131" i="16"/>
  <c r="O3131" i="16" s="1"/>
  <c r="L3166" i="16"/>
  <c r="O3166" i="16" s="1"/>
  <c r="P3192" i="16"/>
  <c r="P3191" i="16" s="1"/>
  <c r="F3267" i="16"/>
  <c r="F3274" i="16" s="1"/>
  <c r="I3257" i="16"/>
  <c r="L3257" i="16" s="1"/>
  <c r="L3258" i="16"/>
  <c r="O3258" i="16" s="1"/>
  <c r="L3279" i="16"/>
  <c r="O3284" i="16"/>
  <c r="P3285" i="16"/>
  <c r="P3284" i="16" s="1"/>
  <c r="O3328" i="16"/>
  <c r="P3329" i="16"/>
  <c r="P3328" i="16" s="1"/>
  <c r="O3349" i="16"/>
  <c r="P3350" i="16"/>
  <c r="P3349" i="16" s="1"/>
  <c r="P3413" i="16"/>
  <c r="P3412" i="16" s="1"/>
  <c r="O3412" i="16"/>
  <c r="C1543" i="19"/>
  <c r="D1543" i="19" s="1"/>
  <c r="E1543" i="19" s="1"/>
  <c r="O3431" i="16"/>
  <c r="P3431" i="16" s="1"/>
  <c r="L3485" i="16"/>
  <c r="O3485" i="16" s="1"/>
  <c r="P3485" i="16" s="1"/>
  <c r="I3483" i="16"/>
  <c r="L3483" i="16" s="1"/>
  <c r="O3495" i="16"/>
  <c r="P3496" i="16"/>
  <c r="P3495" i="16" s="1"/>
  <c r="P3530" i="16"/>
  <c r="P3556" i="16"/>
  <c r="P3572" i="16"/>
  <c r="P3571" i="16" s="1"/>
  <c r="O3571" i="16"/>
  <c r="P3581" i="16"/>
  <c r="P3603" i="16"/>
  <c r="L3008" i="16"/>
  <c r="E3095" i="16"/>
  <c r="H3208" i="16"/>
  <c r="J3185" i="16"/>
  <c r="J3186" i="16" s="1"/>
  <c r="L3227" i="16"/>
  <c r="O3227" i="16" s="1"/>
  <c r="I3226" i="16"/>
  <c r="L3226" i="16" s="1"/>
  <c r="P3283" i="16"/>
  <c r="P3282" i="16" s="1"/>
  <c r="O3282" i="16"/>
  <c r="L3290" i="16"/>
  <c r="O3290" i="16" s="1"/>
  <c r="I3289" i="16"/>
  <c r="L3289" i="16" s="1"/>
  <c r="P3313" i="16"/>
  <c r="P3312" i="16" s="1"/>
  <c r="P3316" i="16"/>
  <c r="P3314" i="16" s="1"/>
  <c r="L3396" i="16"/>
  <c r="O3398" i="16"/>
  <c r="P3399" i="16"/>
  <c r="P3398" i="16" s="1"/>
  <c r="O3424" i="16"/>
  <c r="P3425" i="16"/>
  <c r="P3424" i="16" s="1"/>
  <c r="O3433" i="16"/>
  <c r="P3434" i="16"/>
  <c r="P3433" i="16" s="1"/>
  <c r="P3458" i="16"/>
  <c r="P3489" i="16"/>
  <c r="O3519" i="16"/>
  <c r="P3520" i="16"/>
  <c r="P3519" i="16" s="1"/>
  <c r="L2719" i="16"/>
  <c r="O2719" i="16" s="1"/>
  <c r="I2724" i="16"/>
  <c r="L2829" i="16"/>
  <c r="O2829" i="16" s="1"/>
  <c r="L2843" i="16"/>
  <c r="O2843" i="16" s="1"/>
  <c r="L2853" i="16"/>
  <c r="O2853" i="16" s="1"/>
  <c r="I2888" i="16"/>
  <c r="L2888" i="16" s="1"/>
  <c r="O2888" i="16" s="1"/>
  <c r="P2888" i="16" s="1"/>
  <c r="L2899" i="16"/>
  <c r="O2899" i="16" s="1"/>
  <c r="I3073" i="16"/>
  <c r="G3205" i="16"/>
  <c r="O3303" i="16"/>
  <c r="P3304" i="16"/>
  <c r="P3303" i="16" s="1"/>
  <c r="O3335" i="16"/>
  <c r="P3336" i="16"/>
  <c r="P3335" i="16" s="1"/>
  <c r="P3376" i="16"/>
  <c r="P3375" i="16" s="1"/>
  <c r="O3375" i="16"/>
  <c r="O3427" i="16"/>
  <c r="P3428" i="16"/>
  <c r="P3427" i="16" s="1"/>
  <c r="L3490" i="16"/>
  <c r="O3490" i="16" s="1"/>
  <c r="P3490" i="16" s="1"/>
  <c r="I3488" i="16"/>
  <c r="L3488" i="16" s="1"/>
  <c r="P3492" i="16"/>
  <c r="P3491" i="16" s="1"/>
  <c r="O3491" i="16"/>
  <c r="P3538" i="16"/>
  <c r="P3537" i="16" s="1"/>
  <c r="O3537" i="16"/>
  <c r="J3607" i="16"/>
  <c r="L2736" i="16"/>
  <c r="O2736" i="16" s="1"/>
  <c r="E2774" i="16"/>
  <c r="E2776" i="16" s="1"/>
  <c r="L2786" i="16"/>
  <c r="O2786" i="16" s="1"/>
  <c r="L2815" i="16"/>
  <c r="O2815" i="16" s="1"/>
  <c r="L2870" i="16"/>
  <c r="O2870" i="16" s="1"/>
  <c r="L2908" i="16"/>
  <c r="O2908" i="16" s="1"/>
  <c r="H2928" i="16"/>
  <c r="H2959" i="16" s="1"/>
  <c r="H2964" i="16" s="1"/>
  <c r="L2929" i="16"/>
  <c r="O2929" i="16" s="1"/>
  <c r="L2942" i="16"/>
  <c r="O2942" i="16" s="1"/>
  <c r="L2952" i="16"/>
  <c r="O2952" i="16" s="1"/>
  <c r="L2969" i="16"/>
  <c r="O2969" i="16" s="1"/>
  <c r="L2976" i="16"/>
  <c r="O2976" i="16" s="1"/>
  <c r="L2983" i="16"/>
  <c r="O2983" i="16" s="1"/>
  <c r="P2990" i="16"/>
  <c r="P2989" i="16" s="1"/>
  <c r="L3007" i="16"/>
  <c r="O3007" i="16" s="1"/>
  <c r="L3013" i="16"/>
  <c r="O3013" i="16" s="1"/>
  <c r="P3013" i="16" s="1"/>
  <c r="I3017" i="16"/>
  <c r="H3016" i="16"/>
  <c r="H3040" i="16" s="1"/>
  <c r="H3042" i="16" s="1"/>
  <c r="L3063" i="16"/>
  <c r="O3063" i="16" s="1"/>
  <c r="P3069" i="16"/>
  <c r="P3073" i="16" s="1"/>
  <c r="E3087" i="16"/>
  <c r="P3125" i="16"/>
  <c r="P3124" i="16" s="1"/>
  <c r="I3137" i="16"/>
  <c r="L3137" i="16" s="1"/>
  <c r="O3137" i="16" s="1"/>
  <c r="P3137" i="16" s="1"/>
  <c r="L3150" i="16"/>
  <c r="H3185" i="16"/>
  <c r="H3186" i="16" s="1"/>
  <c r="L3178" i="16"/>
  <c r="O3178" i="16" s="1"/>
  <c r="I3177" i="16"/>
  <c r="L3177" i="16" s="1"/>
  <c r="H3203" i="16"/>
  <c r="H3267" i="16"/>
  <c r="C9" i="28"/>
  <c r="P3311" i="16"/>
  <c r="P3310" i="16" s="1"/>
  <c r="O3310" i="16"/>
  <c r="O3462" i="16"/>
  <c r="P3463" i="16"/>
  <c r="P3462" i="16" s="1"/>
  <c r="J3540" i="16"/>
  <c r="P3586" i="16"/>
  <c r="P3585" i="16" s="1"/>
  <c r="O3585" i="16"/>
  <c r="I2874" i="16"/>
  <c r="L2874" i="16" s="1"/>
  <c r="L3045" i="16"/>
  <c r="L3081" i="16"/>
  <c r="G3208" i="16"/>
  <c r="G3120" i="16"/>
  <c r="E3152" i="16"/>
  <c r="L3172" i="16"/>
  <c r="J3203" i="16"/>
  <c r="L3266" i="16"/>
  <c r="O3266" i="16" s="1"/>
  <c r="I3265" i="16"/>
  <c r="L3265" i="16" s="1"/>
  <c r="P3344" i="16"/>
  <c r="P3445" i="16"/>
  <c r="P3444" i="16" s="1"/>
  <c r="O3444" i="16"/>
  <c r="O3479" i="16"/>
  <c r="P3480" i="16"/>
  <c r="P3479" i="16" s="1"/>
  <c r="P3615" i="16"/>
  <c r="P3614" i="16" s="1"/>
  <c r="O3614" i="16"/>
  <c r="K3205" i="16"/>
  <c r="P3202" i="16"/>
  <c r="P3201" i="16" s="1"/>
  <c r="L3244" i="16"/>
  <c r="O3244" i="16" s="1"/>
  <c r="I3246" i="16"/>
  <c r="L3246" i="16" s="1"/>
  <c r="L3247" i="16"/>
  <c r="O3247" i="16" s="1"/>
  <c r="I3343" i="16"/>
  <c r="L3343" i="16" s="1"/>
  <c r="L3345" i="16"/>
  <c r="O3345" i="16" s="1"/>
  <c r="P3345" i="16" s="1"/>
  <c r="I3353" i="16"/>
  <c r="L3354" i="16"/>
  <c r="O3354" i="16" s="1"/>
  <c r="P3362" i="16"/>
  <c r="J3387" i="16"/>
  <c r="P3524" i="16"/>
  <c r="P3523" i="16" s="1"/>
  <c r="O3523" i="16"/>
  <c r="F3607" i="16"/>
  <c r="P3566" i="16"/>
  <c r="P3563" i="16" s="1"/>
  <c r="O3563" i="16"/>
  <c r="L2689" i="16"/>
  <c r="O2689" i="16" s="1"/>
  <c r="L2708" i="16"/>
  <c r="O2708" i="16" s="1"/>
  <c r="L2713" i="16"/>
  <c r="O2713" i="16" s="1"/>
  <c r="L2763" i="16"/>
  <c r="O2763" i="16" s="1"/>
  <c r="L2770" i="16"/>
  <c r="O2770" i="16" s="1"/>
  <c r="L2847" i="16"/>
  <c r="O2847" i="16" s="1"/>
  <c r="L2878" i="16"/>
  <c r="O2878" i="16" s="1"/>
  <c r="L2887" i="16"/>
  <c r="O2887" i="16" s="1"/>
  <c r="I3024" i="16"/>
  <c r="L3024" i="16" s="1"/>
  <c r="I3037" i="16"/>
  <c r="L3037" i="16" s="1"/>
  <c r="L3054" i="16"/>
  <c r="J3120" i="16"/>
  <c r="L3135" i="16"/>
  <c r="O3135" i="16" s="1"/>
  <c r="I3215" i="16"/>
  <c r="L3216" i="16"/>
  <c r="O3216" i="16" s="1"/>
  <c r="I3219" i="16"/>
  <c r="L3219" i="16" s="1"/>
  <c r="L3234" i="16"/>
  <c r="O3234" i="16" s="1"/>
  <c r="I3233" i="16"/>
  <c r="L3233" i="16" s="1"/>
  <c r="E3250" i="16"/>
  <c r="I3251" i="16"/>
  <c r="I3361" i="16"/>
  <c r="L3361" i="16" s="1"/>
  <c r="L3363" i="16"/>
  <c r="O3363" i="16" s="1"/>
  <c r="P3363" i="16" s="1"/>
  <c r="P3409" i="16"/>
  <c r="P3421" i="16"/>
  <c r="P3598" i="16"/>
  <c r="P3597" i="16" s="1"/>
  <c r="O3597" i="16"/>
  <c r="I3018" i="16"/>
  <c r="L3018" i="16" s="1"/>
  <c r="L3025" i="16"/>
  <c r="O3025" i="16" s="1"/>
  <c r="L3038" i="16"/>
  <c r="O3038" i="16" s="1"/>
  <c r="I3098" i="16"/>
  <c r="L3098" i="16" s="1"/>
  <c r="I3147" i="16"/>
  <c r="L3147" i="16" s="1"/>
  <c r="L3148" i="16"/>
  <c r="O3148" i="16" s="1"/>
  <c r="H3152" i="16"/>
  <c r="H3157" i="16" s="1"/>
  <c r="F3208" i="16"/>
  <c r="P3197" i="16"/>
  <c r="P3196" i="16" s="1"/>
  <c r="O3196" i="16"/>
  <c r="O3217" i="16"/>
  <c r="P3218" i="16"/>
  <c r="P3217" i="16" s="1"/>
  <c r="E3237" i="16"/>
  <c r="I3238" i="16"/>
  <c r="L3262" i="16"/>
  <c r="O3262" i="16" s="1"/>
  <c r="I3261" i="16"/>
  <c r="L3261" i="16" s="1"/>
  <c r="L3383" i="16"/>
  <c r="C1529" i="19" s="1"/>
  <c r="D1529" i="19" s="1"/>
  <c r="E1529" i="19" s="1"/>
  <c r="P3484" i="16"/>
  <c r="E3543" i="16"/>
  <c r="I3314" i="16"/>
  <c r="L3314" i="16" s="1"/>
  <c r="I3324" i="16"/>
  <c r="I3419" i="16"/>
  <c r="I3423" i="16"/>
  <c r="L3423" i="16" s="1"/>
  <c r="O3423" i="16" s="1"/>
  <c r="P3423" i="16" s="1"/>
  <c r="I3444" i="16"/>
  <c r="L3444" i="16" s="1"/>
  <c r="L3464" i="16"/>
  <c r="C1556" i="19" s="1"/>
  <c r="D1556" i="19" s="1"/>
  <c r="E1556" i="19" s="1"/>
  <c r="H3513" i="16"/>
  <c r="E3525" i="16"/>
  <c r="E3539" i="16" s="1"/>
  <c r="I3525" i="16"/>
  <c r="L3525" i="16" s="1"/>
  <c r="H3606" i="16"/>
  <c r="L3584" i="16"/>
  <c r="O3584" i="16" s="1"/>
  <c r="I3583" i="16"/>
  <c r="L3583" i="16" s="1"/>
  <c r="G3658" i="16"/>
  <c r="L3641" i="16"/>
  <c r="P3708" i="16"/>
  <c r="O3736" i="16"/>
  <c r="P3737" i="16"/>
  <c r="P3736" i="16" s="1"/>
  <c r="P3772" i="16"/>
  <c r="O3798" i="16"/>
  <c r="P3799" i="16"/>
  <c r="P3798" i="16" s="1"/>
  <c r="O3813" i="16"/>
  <c r="P3814" i="16"/>
  <c r="P3813" i="16" s="1"/>
  <c r="G3979" i="16"/>
  <c r="O3945" i="16"/>
  <c r="P3946" i="16"/>
  <c r="P3945" i="16" s="1"/>
  <c r="P3966" i="16"/>
  <c r="P3964" i="16" s="1"/>
  <c r="O3964" i="16"/>
  <c r="P4036" i="16"/>
  <c r="P4035" i="16" s="1"/>
  <c r="O4035" i="16"/>
  <c r="P3525" i="16"/>
  <c r="P3591" i="16"/>
  <c r="O3774" i="16"/>
  <c r="P3775" i="16"/>
  <c r="P3774" i="16" s="1"/>
  <c r="H3979" i="16"/>
  <c r="O3941" i="16"/>
  <c r="P3944" i="16"/>
  <c r="P3941" i="16" s="1"/>
  <c r="P4003" i="16"/>
  <c r="P4001" i="16" s="1"/>
  <c r="O4001" i="16"/>
  <c r="O4037" i="16"/>
  <c r="P4038" i="16"/>
  <c r="P4037" i="16" s="1"/>
  <c r="E3265" i="16"/>
  <c r="I3284" i="16"/>
  <c r="L3284" i="16" s="1"/>
  <c r="L3339" i="16"/>
  <c r="O3339" i="16" s="1"/>
  <c r="E3398" i="16"/>
  <c r="E3438" i="16" s="1"/>
  <c r="E3439" i="16" s="1"/>
  <c r="L3410" i="16"/>
  <c r="O3410" i="16" s="1"/>
  <c r="P3410" i="16" s="1"/>
  <c r="L3415" i="16"/>
  <c r="O3415" i="16" s="1"/>
  <c r="I3427" i="16"/>
  <c r="L3427" i="16" s="1"/>
  <c r="L3443" i="16"/>
  <c r="O3443" i="16" s="1"/>
  <c r="P3449" i="16"/>
  <c r="P3448" i="16" s="1"/>
  <c r="L3455" i="16"/>
  <c r="O3455" i="16" s="1"/>
  <c r="L3461" i="16"/>
  <c r="O3461" i="16" s="1"/>
  <c r="P3472" i="16"/>
  <c r="I3491" i="16"/>
  <c r="L3491" i="16" s="1"/>
  <c r="I3519" i="16"/>
  <c r="L3519" i="16" s="1"/>
  <c r="I3535" i="16"/>
  <c r="L3535" i="16" s="1"/>
  <c r="L3553" i="16"/>
  <c r="O3553" i="16" s="1"/>
  <c r="L3560" i="16"/>
  <c r="O3560" i="16" s="1"/>
  <c r="L3570" i="16"/>
  <c r="O3570" i="16" s="1"/>
  <c r="I3567" i="16"/>
  <c r="L3567" i="16" s="1"/>
  <c r="I3618" i="16"/>
  <c r="L3618" i="16" s="1"/>
  <c r="L3619" i="16"/>
  <c r="O3619" i="16" s="1"/>
  <c r="O3741" i="16"/>
  <c r="P3742" i="16"/>
  <c r="P3741" i="16" s="1"/>
  <c r="O3786" i="16"/>
  <c r="P3787" i="16"/>
  <c r="P3786" i="16" s="1"/>
  <c r="O3836" i="16"/>
  <c r="P3837" i="16"/>
  <c r="P3836" i="16" s="1"/>
  <c r="P3952" i="16"/>
  <c r="P3950" i="16" s="1"/>
  <c r="O3950" i="16"/>
  <c r="O4039" i="16"/>
  <c r="L3181" i="16"/>
  <c r="O3181" i="16" s="1"/>
  <c r="L3194" i="16"/>
  <c r="O3194" i="16" s="1"/>
  <c r="L3199" i="16"/>
  <c r="O3199" i="16" s="1"/>
  <c r="E3226" i="16"/>
  <c r="L3232" i="16"/>
  <c r="O3232" i="16" s="1"/>
  <c r="E3261" i="16"/>
  <c r="L3280" i="16"/>
  <c r="O3280" i="16" s="1"/>
  <c r="E3289" i="16"/>
  <c r="L3300" i="16"/>
  <c r="O3300" i="16" s="1"/>
  <c r="L3308" i="16"/>
  <c r="O3308" i="16" s="1"/>
  <c r="I3323" i="16"/>
  <c r="L3323" i="16" s="1"/>
  <c r="O3323" i="16" s="1"/>
  <c r="P3323" i="16" s="1"/>
  <c r="P3325" i="16" s="1"/>
  <c r="L3371" i="16"/>
  <c r="O3371" i="16" s="1"/>
  <c r="L3465" i="16"/>
  <c r="O3465" i="16" s="1"/>
  <c r="L3533" i="16"/>
  <c r="O3718" i="16"/>
  <c r="P3719" i="16"/>
  <c r="P3718" i="16" s="1"/>
  <c r="O3777" i="16"/>
  <c r="P3778" i="16"/>
  <c r="P3777" i="16" s="1"/>
  <c r="O3829" i="16"/>
  <c r="P3830" i="16"/>
  <c r="P3829" i="16" s="1"/>
  <c r="O3882" i="16"/>
  <c r="P3883" i="16"/>
  <c r="P3882" i="16" s="1"/>
  <c r="L3922" i="16"/>
  <c r="O3922" i="16" s="1"/>
  <c r="I3921" i="16"/>
  <c r="I3117" i="16"/>
  <c r="L3117" i="16" s="1"/>
  <c r="O3117" i="16" s="1"/>
  <c r="P3117" i="16" s="1"/>
  <c r="G3467" i="16"/>
  <c r="G3468" i="16" s="1"/>
  <c r="I3504" i="16"/>
  <c r="L3504" i="16" s="1"/>
  <c r="L3518" i="16"/>
  <c r="O3518" i="16" s="1"/>
  <c r="L3534" i="16"/>
  <c r="O3534" i="16" s="1"/>
  <c r="L3550" i="16"/>
  <c r="C1622" i="19" s="1"/>
  <c r="I3589" i="16"/>
  <c r="L3589" i="16" s="1"/>
  <c r="L3590" i="16"/>
  <c r="O3590" i="16" s="1"/>
  <c r="O3686" i="16"/>
  <c r="P3687" i="16"/>
  <c r="P3686" i="16" s="1"/>
  <c r="O3693" i="16"/>
  <c r="P3694" i="16"/>
  <c r="P3693" i="16" s="1"/>
  <c r="O3790" i="16"/>
  <c r="P3793" i="16"/>
  <c r="P3792" i="16" s="1"/>
  <c r="O3792" i="16"/>
  <c r="O3866" i="16"/>
  <c r="P3867" i="16"/>
  <c r="P3866" i="16" s="1"/>
  <c r="O3879" i="16"/>
  <c r="P3880" i="16"/>
  <c r="P3879" i="16" s="1"/>
  <c r="L3934" i="16"/>
  <c r="P3955" i="16"/>
  <c r="P3953" i="16" s="1"/>
  <c r="P4011" i="16"/>
  <c r="P4010" i="16" s="1"/>
  <c r="O4010" i="16"/>
  <c r="O3504" i="16"/>
  <c r="E3606" i="16"/>
  <c r="O3550" i="16"/>
  <c r="L3579" i="16"/>
  <c r="O3579" i="16" s="1"/>
  <c r="I3573" i="16"/>
  <c r="L3573" i="16" s="1"/>
  <c r="I3624" i="16"/>
  <c r="L3624" i="16" s="1"/>
  <c r="L3631" i="16"/>
  <c r="O3631" i="16" s="1"/>
  <c r="O3643" i="16"/>
  <c r="P3644" i="16"/>
  <c r="P3643" i="16" s="1"/>
  <c r="O3654" i="16"/>
  <c r="P3655" i="16"/>
  <c r="P3654" i="16" s="1"/>
  <c r="O3764" i="16"/>
  <c r="P3765" i="16"/>
  <c r="P3764" i="16" s="1"/>
  <c r="O3848" i="16"/>
  <c r="P3849" i="16"/>
  <c r="P3848" i="16" s="1"/>
  <c r="L3854" i="16"/>
  <c r="O3863" i="16"/>
  <c r="P3864" i="16"/>
  <c r="P3863" i="16" s="1"/>
  <c r="O3871" i="16"/>
  <c r="P3872" i="16"/>
  <c r="P3871" i="16" s="1"/>
  <c r="O3902" i="16"/>
  <c r="P3903" i="16"/>
  <c r="P3902" i="16" s="1"/>
  <c r="O3936" i="16"/>
  <c r="P3937" i="16"/>
  <c r="P3936" i="16" s="1"/>
  <c r="P3940" i="16"/>
  <c r="P3938" i="16" s="1"/>
  <c r="O3938" i="16"/>
  <c r="L3974" i="16"/>
  <c r="O3974" i="16" s="1"/>
  <c r="I3973" i="16"/>
  <c r="P4016" i="16"/>
  <c r="P4015" i="16" s="1"/>
  <c r="P4018" i="16" s="1"/>
  <c r="O4015" i="16"/>
  <c r="O4018" i="16" s="1"/>
  <c r="I4052" i="16"/>
  <c r="L4052" i="16" s="1"/>
  <c r="L4053" i="16"/>
  <c r="O4053" i="16" s="1"/>
  <c r="L3220" i="16"/>
  <c r="O3220" i="16" s="1"/>
  <c r="E3233" i="16"/>
  <c r="I3245" i="16"/>
  <c r="L3245" i="16" s="1"/>
  <c r="O3245" i="16" s="1"/>
  <c r="P3245" i="16" s="1"/>
  <c r="E3284" i="16"/>
  <c r="L3331" i="16"/>
  <c r="O3331" i="16" s="1"/>
  <c r="L3360" i="16"/>
  <c r="O3360" i="16" s="1"/>
  <c r="I3398" i="16"/>
  <c r="L3398" i="16" s="1"/>
  <c r="E3474" i="16"/>
  <c r="L3499" i="16"/>
  <c r="O3499" i="16" s="1"/>
  <c r="P3505" i="16"/>
  <c r="P3504" i="16" s="1"/>
  <c r="P3536" i="16"/>
  <c r="P3535" i="16" s="1"/>
  <c r="O3591" i="16"/>
  <c r="O3632" i="16"/>
  <c r="P3666" i="16"/>
  <c r="P3665" i="16" s="1"/>
  <c r="O3665" i="16"/>
  <c r="P3669" i="16"/>
  <c r="O3782" i="16"/>
  <c r="P3783" i="16"/>
  <c r="P3782" i="16" s="1"/>
  <c r="O3894" i="16"/>
  <c r="P3895" i="16"/>
  <c r="P3894" i="16" s="1"/>
  <c r="O3960" i="16"/>
  <c r="O3962" i="16"/>
  <c r="P3963" i="16"/>
  <c r="P3962" i="16" s="1"/>
  <c r="P3998" i="16"/>
  <c r="P3997" i="16" s="1"/>
  <c r="O3997" i="16"/>
  <c r="P4028" i="16"/>
  <c r="P4048" i="16"/>
  <c r="K3467" i="16"/>
  <c r="I3475" i="16"/>
  <c r="O3525" i="16"/>
  <c r="L3596" i="16"/>
  <c r="O3596" i="16" s="1"/>
  <c r="I3595" i="16"/>
  <c r="L3595" i="16" s="1"/>
  <c r="L3601" i="16"/>
  <c r="O3601" i="16" s="1"/>
  <c r="I3600" i="16"/>
  <c r="L3600" i="16" s="1"/>
  <c r="F3658" i="16"/>
  <c r="L3613" i="16"/>
  <c r="O3613" i="16" s="1"/>
  <c r="I3611" i="16"/>
  <c r="O3637" i="16"/>
  <c r="P3638" i="16"/>
  <c r="P3637" i="16" s="1"/>
  <c r="P3914" i="16"/>
  <c r="P3912" i="16" s="1"/>
  <c r="O3912" i="16"/>
  <c r="P4033" i="16"/>
  <c r="P4032" i="16" s="1"/>
  <c r="O4032" i="16"/>
  <c r="I3686" i="16"/>
  <c r="L3686" i="16" s="1"/>
  <c r="I3693" i="16"/>
  <c r="L3693" i="16" s="1"/>
  <c r="I3718" i="16"/>
  <c r="L3718" i="16" s="1"/>
  <c r="I3736" i="16"/>
  <c r="L3736" i="16" s="1"/>
  <c r="I3741" i="16"/>
  <c r="L3741" i="16" s="1"/>
  <c r="I3764" i="16"/>
  <c r="I3769" i="16"/>
  <c r="L3769" i="16" s="1"/>
  <c r="I3813" i="16"/>
  <c r="L3813" i="16" s="1"/>
  <c r="I3829" i="16"/>
  <c r="L3829" i="16" s="1"/>
  <c r="I3836" i="16"/>
  <c r="L3836" i="16" s="1"/>
  <c r="I3848" i="16"/>
  <c r="L3848" i="16" s="1"/>
  <c r="H3921" i="16"/>
  <c r="H3925" i="16" s="1"/>
  <c r="H3927" i="16" s="1"/>
  <c r="I4008" i="16"/>
  <c r="L4008" i="16" s="1"/>
  <c r="L4009" i="16"/>
  <c r="O4009" i="16" s="1"/>
  <c r="I4015" i="16"/>
  <c r="I4023" i="16"/>
  <c r="L4024" i="16"/>
  <c r="O4024" i="16" s="1"/>
  <c r="I4035" i="16"/>
  <c r="L4035" i="16" s="1"/>
  <c r="F4079" i="16"/>
  <c r="L4068" i="16"/>
  <c r="O4068" i="16" s="1"/>
  <c r="P4078" i="16"/>
  <c r="P4077" i="16" s="1"/>
  <c r="O4077" i="16"/>
  <c r="J4112" i="16"/>
  <c r="O4105" i="16"/>
  <c r="P4106" i="16"/>
  <c r="P4105" i="16" s="1"/>
  <c r="I4109" i="16"/>
  <c r="L4109" i="16" s="1"/>
  <c r="L4110" i="16"/>
  <c r="O4110" i="16" s="1"/>
  <c r="P4144" i="16"/>
  <c r="O4235" i="16"/>
  <c r="P4236" i="16"/>
  <c r="P4235" i="16" s="1"/>
  <c r="P4238" i="16"/>
  <c r="P4237" i="16" s="1"/>
  <c r="O4237" i="16"/>
  <c r="O4254" i="16"/>
  <c r="P4255" i="16"/>
  <c r="P4254" i="16" s="1"/>
  <c r="O4293" i="16"/>
  <c r="O4297" i="16" s="1"/>
  <c r="O4298" i="16" s="1"/>
  <c r="O4372" i="16"/>
  <c r="P4373" i="16"/>
  <c r="P4372" i="16" s="1"/>
  <c r="P4384" i="16"/>
  <c r="P4383" i="16" s="1"/>
  <c r="O4383" i="16"/>
  <c r="P4393" i="16"/>
  <c r="P4392" i="16" s="1"/>
  <c r="O4392" i="16"/>
  <c r="E3755" i="16"/>
  <c r="I3938" i="16"/>
  <c r="L3938" i="16" s="1"/>
  <c r="I3945" i="16"/>
  <c r="L3945" i="16" s="1"/>
  <c r="I3950" i="16"/>
  <c r="L3950" i="16" s="1"/>
  <c r="E4012" i="16"/>
  <c r="E4019" i="16" s="1"/>
  <c r="O4044" i="16"/>
  <c r="L4071" i="16"/>
  <c r="O4085" i="16"/>
  <c r="P4086" i="16"/>
  <c r="P4085" i="16" s="1"/>
  <c r="K4112" i="16"/>
  <c r="O4155" i="16"/>
  <c r="P4156" i="16"/>
  <c r="P4155" i="16" s="1"/>
  <c r="I4187" i="16"/>
  <c r="L4185" i="16"/>
  <c r="O4204" i="16"/>
  <c r="P4205" i="16"/>
  <c r="P4204" i="16" s="1"/>
  <c r="L4220" i="16"/>
  <c r="P4339" i="16"/>
  <c r="P4338" i="16" s="1"/>
  <c r="O4338" i="16"/>
  <c r="I4357" i="16"/>
  <c r="L4355" i="16"/>
  <c r="P4395" i="16"/>
  <c r="P4411" i="16"/>
  <c r="P4410" i="16" s="1"/>
  <c r="O4410" i="16"/>
  <c r="P4044" i="16"/>
  <c r="L4051" i="16"/>
  <c r="O4051" i="16" s="1"/>
  <c r="I4050" i="16"/>
  <c r="L4050" i="16" s="1"/>
  <c r="O4115" i="16"/>
  <c r="P4116" i="16"/>
  <c r="P4115" i="16" s="1"/>
  <c r="O4194" i="16"/>
  <c r="P4195" i="16"/>
  <c r="P4194" i="16" s="1"/>
  <c r="O4240" i="16"/>
  <c r="P4241" i="16"/>
  <c r="P4240" i="16" s="1"/>
  <c r="L4261" i="16"/>
  <c r="P4376" i="16"/>
  <c r="O4399" i="16"/>
  <c r="P4400" i="16"/>
  <c r="P4399" i="16" s="1"/>
  <c r="L3650" i="16"/>
  <c r="O3650" i="16" s="1"/>
  <c r="L3677" i="16"/>
  <c r="O3677" i="16" s="1"/>
  <c r="P3690" i="16"/>
  <c r="P3689" i="16" s="1"/>
  <c r="L3700" i="16"/>
  <c r="O3700" i="16" s="1"/>
  <c r="P3702" i="16"/>
  <c r="L3727" i="16"/>
  <c r="O3727" i="16" s="1"/>
  <c r="P3735" i="16"/>
  <c r="L3748" i="16"/>
  <c r="O3748" i="16" s="1"/>
  <c r="P3768" i="16"/>
  <c r="P3767" i="16" s="1"/>
  <c r="L3806" i="16"/>
  <c r="O3806" i="16" s="1"/>
  <c r="P3812" i="16"/>
  <c r="P3811" i="16" s="1"/>
  <c r="L3820" i="16"/>
  <c r="O3820" i="16" s="1"/>
  <c r="L3841" i="16"/>
  <c r="O3841" i="16" s="1"/>
  <c r="P3845" i="16"/>
  <c r="P3844" i="16" s="1"/>
  <c r="L3855" i="16"/>
  <c r="O3855" i="16" s="1"/>
  <c r="L3858" i="16"/>
  <c r="O3858" i="16" s="1"/>
  <c r="L3876" i="16"/>
  <c r="O3876" i="16" s="1"/>
  <c r="L3889" i="16"/>
  <c r="O3889" i="16" s="1"/>
  <c r="L3901" i="16"/>
  <c r="O3901" i="16" s="1"/>
  <c r="L3911" i="16"/>
  <c r="O3911" i="16" s="1"/>
  <c r="L3969" i="16"/>
  <c r="O3969" i="16" s="1"/>
  <c r="I3986" i="16"/>
  <c r="L3987" i="16"/>
  <c r="O3987" i="16" s="1"/>
  <c r="L4000" i="16"/>
  <c r="O4000" i="16" s="1"/>
  <c r="I4030" i="16"/>
  <c r="L4030" i="16" s="1"/>
  <c r="L4031" i="16"/>
  <c r="O4031" i="16" s="1"/>
  <c r="L4059" i="16"/>
  <c r="P4070" i="16"/>
  <c r="P4069" i="16" s="1"/>
  <c r="O4069" i="16"/>
  <c r="L4092" i="16"/>
  <c r="I4094" i="16"/>
  <c r="L4094" i="16" s="1"/>
  <c r="L4095" i="16"/>
  <c r="O4095" i="16" s="1"/>
  <c r="O4164" i="16"/>
  <c r="P4165" i="16"/>
  <c r="P4164" i="16" s="1"/>
  <c r="O4176" i="16"/>
  <c r="P4177" i="16"/>
  <c r="P4176" i="16" s="1"/>
  <c r="O4259" i="16"/>
  <c r="P4260" i="16"/>
  <c r="P4259" i="16" s="1"/>
  <c r="I4272" i="16"/>
  <c r="L4274" i="16"/>
  <c r="O4274" i="16" s="1"/>
  <c r="P4274" i="16" s="1"/>
  <c r="P4272" i="16" s="1"/>
  <c r="F4304" i="16"/>
  <c r="O4341" i="16"/>
  <c r="P4342" i="16"/>
  <c r="P4341" i="16" s="1"/>
  <c r="O4387" i="16"/>
  <c r="P4388" i="16"/>
  <c r="P4387" i="16" s="1"/>
  <c r="L3935" i="16"/>
  <c r="L3959" i="16"/>
  <c r="O3959" i="16" s="1"/>
  <c r="I4044" i="16"/>
  <c r="G4054" i="16"/>
  <c r="J4079" i="16"/>
  <c r="O4071" i="16"/>
  <c r="P4072" i="16"/>
  <c r="P4071" i="16" s="1"/>
  <c r="L4073" i="16"/>
  <c r="O4100" i="16"/>
  <c r="P4101" i="16"/>
  <c r="P4100" i="16" s="1"/>
  <c r="O4133" i="16"/>
  <c r="P4134" i="16"/>
  <c r="P4133" i="16" s="1"/>
  <c r="J4304" i="16"/>
  <c r="E4358" i="16"/>
  <c r="O4416" i="16"/>
  <c r="P4417" i="16"/>
  <c r="P4416" i="16" s="1"/>
  <c r="I3993" i="16"/>
  <c r="L3993" i="16" s="1"/>
  <c r="L3994" i="16"/>
  <c r="O3994" i="16" s="1"/>
  <c r="I4075" i="16"/>
  <c r="L4075" i="16" s="1"/>
  <c r="L4076" i="16"/>
  <c r="O4076" i="16" s="1"/>
  <c r="F4112" i="16"/>
  <c r="F4124" i="16" s="1"/>
  <c r="P4121" i="16"/>
  <c r="P4348" i="16"/>
  <c r="P4347" i="16" s="1"/>
  <c r="O4347" i="16"/>
  <c r="P4407" i="16"/>
  <c r="P4406" i="16" s="1"/>
  <c r="O4406" i="16"/>
  <c r="L3991" i="16"/>
  <c r="O3991" i="16" s="1"/>
  <c r="P3991" i="16" s="1"/>
  <c r="P3990" i="16" s="1"/>
  <c r="F4087" i="16"/>
  <c r="F4126" i="16" s="1"/>
  <c r="F4182" i="16"/>
  <c r="F4188" i="16" s="1"/>
  <c r="P4322" i="16"/>
  <c r="P4321" i="16" s="1"/>
  <c r="O4321" i="16"/>
  <c r="P4330" i="16"/>
  <c r="P4329" i="16" s="1"/>
  <c r="O4329" i="16"/>
  <c r="P4346" i="16"/>
  <c r="P4345" i="16" s="1"/>
  <c r="O4345" i="16"/>
  <c r="O4420" i="16"/>
  <c r="P4421" i="16"/>
  <c r="P4420" i="16" s="1"/>
  <c r="K3970" i="16"/>
  <c r="N3970" i="16" s="1"/>
  <c r="P4083" i="16"/>
  <c r="O4096" i="16"/>
  <c r="P4097" i="16"/>
  <c r="P4096" i="16" s="1"/>
  <c r="O4118" i="16"/>
  <c r="P4119" i="16"/>
  <c r="P4118" i="16" s="1"/>
  <c r="O4248" i="16"/>
  <c r="O4308" i="16"/>
  <c r="P4368" i="16"/>
  <c r="P4367" i="16" s="1"/>
  <c r="O4367" i="16"/>
  <c r="P4379" i="16"/>
  <c r="I4049" i="16"/>
  <c r="L4064" i="16"/>
  <c r="O4064" i="16" s="1"/>
  <c r="L4074" i="16"/>
  <c r="O4074" i="16" s="1"/>
  <c r="I4084" i="16"/>
  <c r="I4085" i="16"/>
  <c r="L4085" i="16" s="1"/>
  <c r="I4100" i="16"/>
  <c r="L4100" i="16" s="1"/>
  <c r="I4105" i="16"/>
  <c r="L4105" i="16" s="1"/>
  <c r="I4115" i="16"/>
  <c r="L4136" i="16"/>
  <c r="O4136" i="16" s="1"/>
  <c r="L4141" i="16"/>
  <c r="O4141" i="16" s="1"/>
  <c r="L4179" i="16"/>
  <c r="L4197" i="16"/>
  <c r="L4202" i="16"/>
  <c r="O4202" i="16" s="1"/>
  <c r="L4209" i="16"/>
  <c r="O4209" i="16" s="1"/>
  <c r="L4216" i="16"/>
  <c r="O4216" i="16" s="1"/>
  <c r="L4221" i="16"/>
  <c r="O4221" i="16" s="1"/>
  <c r="I4235" i="16"/>
  <c r="L4235" i="16" s="1"/>
  <c r="I4240" i="16"/>
  <c r="I4254" i="16"/>
  <c r="L4254" i="16" s="1"/>
  <c r="I4259" i="16"/>
  <c r="L4259" i="16" s="1"/>
  <c r="L4320" i="16"/>
  <c r="O4320" i="16" s="1"/>
  <c r="L4328" i="16"/>
  <c r="O4328" i="16" s="1"/>
  <c r="I4347" i="16"/>
  <c r="I4392" i="16"/>
  <c r="L4392" i="16" s="1"/>
  <c r="I4423" i="16"/>
  <c r="L4423" i="16" s="1"/>
  <c r="L4430" i="16"/>
  <c r="O4430" i="16" s="1"/>
  <c r="I4429" i="16"/>
  <c r="L4429" i="16" s="1"/>
  <c r="P4467" i="16"/>
  <c r="P4466" i="16" s="1"/>
  <c r="O4466" i="16"/>
  <c r="P4589" i="16"/>
  <c r="O4144" i="16"/>
  <c r="O4167" i="16"/>
  <c r="O4192" i="16"/>
  <c r="I4283" i="16"/>
  <c r="L4283" i="16" s="1"/>
  <c r="L4301" i="16"/>
  <c r="J4351" i="16"/>
  <c r="J4352" i="16" s="1"/>
  <c r="I4383" i="16"/>
  <c r="L4383" i="16" s="1"/>
  <c r="I4399" i="16"/>
  <c r="L4399" i="16" s="1"/>
  <c r="J4412" i="16"/>
  <c r="I4416" i="16"/>
  <c r="L4416" i="16" s="1"/>
  <c r="L4431" i="16"/>
  <c r="I4461" i="16"/>
  <c r="L4461" i="16" s="1"/>
  <c r="L4470" i="16"/>
  <c r="O4470" i="16" s="1"/>
  <c r="I4469" i="16"/>
  <c r="L4469" i="16" s="1"/>
  <c r="P4477" i="16"/>
  <c r="P4476" i="16" s="1"/>
  <c r="O4478" i="16"/>
  <c r="P4479" i="16"/>
  <c r="P4478" i="16" s="1"/>
  <c r="O4521" i="16"/>
  <c r="P4522" i="16"/>
  <c r="P4521" i="16" s="1"/>
  <c r="I4542" i="16"/>
  <c r="L4543" i="16"/>
  <c r="O4543" i="16" s="1"/>
  <c r="O4631" i="16"/>
  <c r="P4632" i="16"/>
  <c r="P4631" i="16" s="1"/>
  <c r="O4283" i="16"/>
  <c r="E4323" i="16"/>
  <c r="E4324" i="16" s="1"/>
  <c r="I4341" i="16"/>
  <c r="L4341" i="16" s="1"/>
  <c r="O4379" i="16"/>
  <c r="O4395" i="16"/>
  <c r="G4435" i="16"/>
  <c r="E4435" i="16"/>
  <c r="P4460" i="16"/>
  <c r="P4459" i="16" s="1"/>
  <c r="O4459" i="16"/>
  <c r="P4462" i="16"/>
  <c r="P4461" i="16" s="1"/>
  <c r="O4461" i="16"/>
  <c r="L4551" i="16"/>
  <c r="O4551" i="16" s="1"/>
  <c r="I4550" i="16"/>
  <c r="L4550" i="16" s="1"/>
  <c r="O4676" i="16"/>
  <c r="P4677" i="16"/>
  <c r="P4676" i="16" s="1"/>
  <c r="I4122" i="16"/>
  <c r="L4122" i="16" s="1"/>
  <c r="O4122" i="16" s="1"/>
  <c r="P4122" i="16" s="1"/>
  <c r="I4155" i="16"/>
  <c r="L4155" i="16" s="1"/>
  <c r="I4164" i="16"/>
  <c r="L4164" i="16" s="1"/>
  <c r="I4176" i="16"/>
  <c r="L4176" i="16" s="1"/>
  <c r="I4194" i="16"/>
  <c r="L4194" i="16" s="1"/>
  <c r="I4204" i="16"/>
  <c r="L4204" i="16" s="1"/>
  <c r="P4229" i="16"/>
  <c r="P4228" i="16" s="1"/>
  <c r="L4245" i="16"/>
  <c r="O4245" i="16" s="1"/>
  <c r="P4249" i="16"/>
  <c r="P4248" i="16" s="1"/>
  <c r="P4258" i="16"/>
  <c r="P4257" i="16" s="1"/>
  <c r="L4280" i="16"/>
  <c r="O4280" i="16" s="1"/>
  <c r="P4285" i="16"/>
  <c r="P4283" i="16" s="1"/>
  <c r="P4294" i="16"/>
  <c r="P4293" i="16" s="1"/>
  <c r="P4297" i="16" s="1"/>
  <c r="P4298" i="16" s="1"/>
  <c r="P4309" i="16"/>
  <c r="P4308" i="16" s="1"/>
  <c r="I4387" i="16"/>
  <c r="L4387" i="16" s="1"/>
  <c r="P4402" i="16"/>
  <c r="P4401" i="16" s="1"/>
  <c r="F4435" i="16"/>
  <c r="F4450" i="16" s="1"/>
  <c r="L4441" i="16"/>
  <c r="O4441" i="16" s="1"/>
  <c r="I4440" i="16"/>
  <c r="L4440" i="16" s="1"/>
  <c r="I4442" i="16"/>
  <c r="L4442" i="16" s="1"/>
  <c r="L4526" i="16"/>
  <c r="O4526" i="16" s="1"/>
  <c r="I4525" i="16"/>
  <c r="L4525" i="16" s="1"/>
  <c r="G4564" i="16"/>
  <c r="P4636" i="16"/>
  <c r="P4635" i="16" s="1"/>
  <c r="O4635" i="16"/>
  <c r="J4143" i="16"/>
  <c r="J4182" i="16" s="1"/>
  <c r="J4188" i="16" s="1"/>
  <c r="E4288" i="16"/>
  <c r="E4289" i="16" s="1"/>
  <c r="E4290" i="16" s="1"/>
  <c r="I4312" i="16"/>
  <c r="L4312" i="16" s="1"/>
  <c r="K4435" i="16"/>
  <c r="N4435" i="16" s="1"/>
  <c r="I4433" i="16"/>
  <c r="L4433" i="16" s="1"/>
  <c r="C2026" i="19" s="1"/>
  <c r="D2026" i="19" s="1"/>
  <c r="E2026" i="19" s="1"/>
  <c r="P4443" i="16"/>
  <c r="P4442" i="16" s="1"/>
  <c r="O4442" i="16"/>
  <c r="K4449" i="16"/>
  <c r="N4449" i="16" s="1"/>
  <c r="O4498" i="16"/>
  <c r="P4499" i="16"/>
  <c r="P4498" i="16" s="1"/>
  <c r="O4500" i="16"/>
  <c r="P4501" i="16"/>
  <c r="P4500" i="16" s="1"/>
  <c r="O4503" i="16"/>
  <c r="P4504" i="16"/>
  <c r="P4503" i="16" s="1"/>
  <c r="O4624" i="16"/>
  <c r="P4625" i="16"/>
  <c r="P4624" i="16" s="1"/>
  <c r="O4312" i="16"/>
  <c r="F4412" i="16"/>
  <c r="O4423" i="16"/>
  <c r="P4424" i="16"/>
  <c r="P4423" i="16" s="1"/>
  <c r="P4432" i="16"/>
  <c r="P4431" i="16" s="1"/>
  <c r="O4431" i="16"/>
  <c r="O4531" i="16"/>
  <c r="P4532" i="16"/>
  <c r="P4531" i="16" s="1"/>
  <c r="O4647" i="16"/>
  <c r="P4648" i="16"/>
  <c r="P4647" i="16" s="1"/>
  <c r="L4138" i="16"/>
  <c r="O4138" i="16" s="1"/>
  <c r="L4148" i="16"/>
  <c r="O4148" i="16" s="1"/>
  <c r="L4171" i="16"/>
  <c r="O4171" i="16" s="1"/>
  <c r="L4186" i="16"/>
  <c r="O4186" i="16" s="1"/>
  <c r="L4211" i="16"/>
  <c r="O4211" i="16" s="1"/>
  <c r="L4271" i="16"/>
  <c r="O4271" i="16" s="1"/>
  <c r="E4304" i="16"/>
  <c r="P4313" i="16"/>
  <c r="P4312" i="16" s="1"/>
  <c r="L4356" i="16"/>
  <c r="O4356" i="16" s="1"/>
  <c r="L4448" i="16"/>
  <c r="O4448" i="16" s="1"/>
  <c r="I4447" i="16"/>
  <c r="P4474" i="16"/>
  <c r="P4473" i="16" s="1"/>
  <c r="O4473" i="16"/>
  <c r="L4489" i="16"/>
  <c r="O4513" i="16"/>
  <c r="P4514" i="16"/>
  <c r="P4513" i="16" s="1"/>
  <c r="L4530" i="16"/>
  <c r="O4530" i="16" s="1"/>
  <c r="I4529" i="16"/>
  <c r="L4529" i="16" s="1"/>
  <c r="O4587" i="16"/>
  <c r="P4588" i="16"/>
  <c r="P4587" i="16" s="1"/>
  <c r="P4628" i="16"/>
  <c r="P4627" i="16" s="1"/>
  <c r="O4627" i="16"/>
  <c r="J4333" i="16"/>
  <c r="I4372" i="16"/>
  <c r="L4372" i="16" s="1"/>
  <c r="I4379" i="16"/>
  <c r="L4379" i="16" s="1"/>
  <c r="I4395" i="16"/>
  <c r="L4395" i="16" s="1"/>
  <c r="L4405" i="16"/>
  <c r="O4405" i="16" s="1"/>
  <c r="J4435" i="16"/>
  <c r="P4455" i="16"/>
  <c r="P4454" i="16" s="1"/>
  <c r="O4454" i="16"/>
  <c r="O4456" i="16"/>
  <c r="K4483" i="16"/>
  <c r="L4481" i="16"/>
  <c r="O4481" i="16" s="1"/>
  <c r="I4480" i="16"/>
  <c r="O4487" i="16"/>
  <c r="P4488" i="16"/>
  <c r="P4487" i="16" s="1"/>
  <c r="O4491" i="16"/>
  <c r="P4492" i="16"/>
  <c r="P4491" i="16" s="1"/>
  <c r="L4560" i="16"/>
  <c r="O4560" i="16" s="1"/>
  <c r="I4559" i="16"/>
  <c r="O4597" i="16"/>
  <c r="P4598" i="16"/>
  <c r="P4597" i="16" s="1"/>
  <c r="G4613" i="16"/>
  <c r="I4531" i="16"/>
  <c r="L4531" i="16" s="1"/>
  <c r="E4535" i="16"/>
  <c r="E4542" i="16"/>
  <c r="I4553" i="16"/>
  <c r="I4574" i="16"/>
  <c r="L4574" i="16" s="1"/>
  <c r="L4575" i="16"/>
  <c r="O4575" i="16" s="1"/>
  <c r="I4593" i="16"/>
  <c r="L4593" i="16" s="1"/>
  <c r="L4594" i="16"/>
  <c r="O4594" i="16" s="1"/>
  <c r="H4613" i="16"/>
  <c r="I4672" i="16"/>
  <c r="L4672" i="16" s="1"/>
  <c r="I4676" i="16"/>
  <c r="L4676" i="16" s="1"/>
  <c r="K4702" i="16"/>
  <c r="O4692" i="16"/>
  <c r="I4694" i="16"/>
  <c r="L4695" i="16"/>
  <c r="O4695" i="16" s="1"/>
  <c r="O4736" i="16"/>
  <c r="P4737" i="16"/>
  <c r="P4736" i="16" s="1"/>
  <c r="F4758" i="16"/>
  <c r="O4769" i="16"/>
  <c r="P4770" i="16"/>
  <c r="P4769" i="16" s="1"/>
  <c r="P4823" i="16"/>
  <c r="P4822" i="16" s="1"/>
  <c r="I4836" i="16"/>
  <c r="L4836" i="16" s="1"/>
  <c r="L4837" i="16"/>
  <c r="O4837" i="16" s="1"/>
  <c r="P4862" i="16"/>
  <c r="P4861" i="16" s="1"/>
  <c r="O4861" i="16"/>
  <c r="O4877" i="16"/>
  <c r="P4891" i="16"/>
  <c r="E4440" i="16"/>
  <c r="E4449" i="16" s="1"/>
  <c r="E4480" i="16"/>
  <c r="E4483" i="16" s="1"/>
  <c r="I4503" i="16"/>
  <c r="L4503" i="16" s="1"/>
  <c r="O4621" i="16"/>
  <c r="L4640" i="16"/>
  <c r="O4640" i="16" s="1"/>
  <c r="I4639" i="16"/>
  <c r="L4639" i="16" s="1"/>
  <c r="O4644" i="16"/>
  <c r="L4654" i="16"/>
  <c r="O4654" i="16" s="1"/>
  <c r="I4653" i="16"/>
  <c r="L4653" i="16" s="1"/>
  <c r="O4657" i="16"/>
  <c r="O4690" i="16"/>
  <c r="P4691" i="16"/>
  <c r="P4690" i="16" s="1"/>
  <c r="P4697" i="16"/>
  <c r="P4696" i="16" s="1"/>
  <c r="O4696" i="16"/>
  <c r="P4743" i="16"/>
  <c r="P4742" i="16" s="1"/>
  <c r="O4742" i="16"/>
  <c r="P4866" i="16"/>
  <c r="P4865" i="16" s="1"/>
  <c r="O4865" i="16"/>
  <c r="O4533" i="16"/>
  <c r="O4540" i="16"/>
  <c r="O4545" i="16"/>
  <c r="J4564" i="16"/>
  <c r="I4581" i="16"/>
  <c r="L4581" i="16" s="1"/>
  <c r="L4582" i="16"/>
  <c r="O4582" i="16" s="1"/>
  <c r="O4585" i="16"/>
  <c r="O4595" i="16"/>
  <c r="J4660" i="16"/>
  <c r="P4659" i="16"/>
  <c r="P4657" i="16" s="1"/>
  <c r="P4670" i="16"/>
  <c r="P4669" i="16" s="1"/>
  <c r="H4758" i="16"/>
  <c r="P4789" i="16"/>
  <c r="P4788" i="16" s="1"/>
  <c r="O4788" i="16"/>
  <c r="O4790" i="16"/>
  <c r="P4791" i="16"/>
  <c r="P4790" i="16" s="1"/>
  <c r="O4871" i="16"/>
  <c r="P4872" i="16"/>
  <c r="P4871" i="16" s="1"/>
  <c r="O4589" i="16"/>
  <c r="L4597" i="16"/>
  <c r="O4599" i="16"/>
  <c r="J4605" i="16"/>
  <c r="P4621" i="16"/>
  <c r="I4624" i="16"/>
  <c r="L4624" i="16" s="1"/>
  <c r="P4644" i="16"/>
  <c r="I4647" i="16"/>
  <c r="L4647" i="16" s="1"/>
  <c r="K4660" i="16"/>
  <c r="N4660" i="16" s="1"/>
  <c r="O4666" i="16"/>
  <c r="O4672" i="16"/>
  <c r="J4702" i="16"/>
  <c r="L4701" i="16"/>
  <c r="O4701" i="16" s="1"/>
  <c r="I4700" i="16"/>
  <c r="L4700" i="16" s="1"/>
  <c r="C2097" i="19" s="1"/>
  <c r="D2097" i="19" s="1"/>
  <c r="E2097" i="19" s="1"/>
  <c r="F4757" i="16"/>
  <c r="P4854" i="16"/>
  <c r="P4853" i="16" s="1"/>
  <c r="O4853" i="16"/>
  <c r="O4887" i="16"/>
  <c r="P4896" i="16"/>
  <c r="P4895" i="16" s="1"/>
  <c r="O4895" i="16"/>
  <c r="L4490" i="16"/>
  <c r="O4490" i="16" s="1"/>
  <c r="L4512" i="16"/>
  <c r="O4512" i="16" s="1"/>
  <c r="L4520" i="16"/>
  <c r="O4520" i="16" s="1"/>
  <c r="L4562" i="16"/>
  <c r="O4562" i="16" s="1"/>
  <c r="I4569" i="16"/>
  <c r="L4569" i="16" s="1"/>
  <c r="L4570" i="16"/>
  <c r="O4570" i="16" s="1"/>
  <c r="K4605" i="16"/>
  <c r="I4610" i="16"/>
  <c r="E4609" i="16"/>
  <c r="E4612" i="16" s="1"/>
  <c r="I4635" i="16"/>
  <c r="L4635" i="16" s="1"/>
  <c r="L4656" i="16"/>
  <c r="O4656" i="16" s="1"/>
  <c r="P4679" i="16"/>
  <c r="G4702" i="16"/>
  <c r="O4726" i="16"/>
  <c r="P4727" i="16"/>
  <c r="P4726" i="16" s="1"/>
  <c r="C2135" i="19"/>
  <c r="P4887" i="16"/>
  <c r="P4938" i="16"/>
  <c r="P4937" i="16" s="1"/>
  <c r="O4937" i="16"/>
  <c r="E4550" i="16"/>
  <c r="E4559" i="16"/>
  <c r="P4666" i="16"/>
  <c r="L4680" i="16"/>
  <c r="O4680" i="16" s="1"/>
  <c r="P4680" i="16" s="1"/>
  <c r="I4678" i="16"/>
  <c r="L4678" i="16" s="1"/>
  <c r="O4682" i="16"/>
  <c r="I4684" i="16"/>
  <c r="L4684" i="16" s="1"/>
  <c r="L4685" i="16"/>
  <c r="O4685" i="16" s="1"/>
  <c r="P4715" i="16"/>
  <c r="L4751" i="16"/>
  <c r="O4751" i="16" s="1"/>
  <c r="I4750" i="16"/>
  <c r="O4776" i="16"/>
  <c r="P4777" i="16"/>
  <c r="P4776" i="16" s="1"/>
  <c r="P4672" i="16"/>
  <c r="O4780" i="16"/>
  <c r="P4781" i="16"/>
  <c r="P4780" i="16" s="1"/>
  <c r="P4910" i="16"/>
  <c r="P4909" i="16" s="1"/>
  <c r="O4909" i="16"/>
  <c r="P4942" i="16"/>
  <c r="P4941" i="16" s="1"/>
  <c r="O4941" i="16"/>
  <c r="L4540" i="16"/>
  <c r="E4605" i="16"/>
  <c r="I4666" i="16"/>
  <c r="L4666" i="16" s="1"/>
  <c r="P4733" i="16"/>
  <c r="P4732" i="16" s="1"/>
  <c r="O4732" i="16"/>
  <c r="P4785" i="16"/>
  <c r="P4784" i="16" s="1"/>
  <c r="O4784" i="16"/>
  <c r="O4849" i="16"/>
  <c r="P4850" i="16"/>
  <c r="P4849" i="16" s="1"/>
  <c r="P4868" i="16"/>
  <c r="P4867" i="16" s="1"/>
  <c r="O4867" i="16"/>
  <c r="P4913" i="16"/>
  <c r="P4917" i="16"/>
  <c r="P4916" i="16" s="1" a="1"/>
  <c r="P4916" i="16" s="1"/>
  <c r="O4916" i="16" a="1"/>
  <c r="O4916" i="16" s="1"/>
  <c r="L4604" i="16"/>
  <c r="O4604" i="16" s="1"/>
  <c r="I4682" i="16"/>
  <c r="L4682" i="16" s="1"/>
  <c r="I4692" i="16"/>
  <c r="L4692" i="16" s="1"/>
  <c r="I4726" i="16"/>
  <c r="L4726" i="16" s="1"/>
  <c r="I4736" i="16"/>
  <c r="L4736" i="16" s="1"/>
  <c r="I4769" i="16"/>
  <c r="L4769" i="16" s="1"/>
  <c r="I4776" i="16"/>
  <c r="L4776" i="16" s="1"/>
  <c r="I4780" i="16"/>
  <c r="L4780" i="16" s="1"/>
  <c r="L4814" i="16"/>
  <c r="O4814" i="16" s="1"/>
  <c r="O4828" i="16"/>
  <c r="G4882" i="16"/>
  <c r="G4883" i="16" s="1"/>
  <c r="I4861" i="16"/>
  <c r="L4861" i="16" s="1"/>
  <c r="I4865" i="16"/>
  <c r="L4865" i="16" s="1"/>
  <c r="I4895" i="16"/>
  <c r="L4895" i="16" s="1"/>
  <c r="O4911" i="16"/>
  <c r="I4928" i="16"/>
  <c r="L4928" i="16" s="1"/>
  <c r="G4964" i="16"/>
  <c r="G4972" i="16" s="1"/>
  <c r="I4941" i="16"/>
  <c r="L4941" i="16" s="1"/>
  <c r="K4972" i="16"/>
  <c r="N4972" i="16" s="1"/>
  <c r="P5018" i="16"/>
  <c r="P5017" i="16" s="1"/>
  <c r="E4857" i="16"/>
  <c r="E4916" i="16" a="1"/>
  <c r="E4916" i="16" s="1"/>
  <c r="I4948" i="16"/>
  <c r="L4948" i="16" s="1"/>
  <c r="O4948" i="16" s="1"/>
  <c r="P4948" i="16" s="1"/>
  <c r="E4945" i="16"/>
  <c r="P4968" i="16"/>
  <c r="P4967" i="16" s="1" a="1"/>
  <c r="P4967" i="16" s="1"/>
  <c r="P4971" i="16" s="1"/>
  <c r="O4967" i="16" a="1"/>
  <c r="O4967" i="16" s="1"/>
  <c r="O4971" i="16" s="1"/>
  <c r="G5030" i="16"/>
  <c r="I4717" i="16"/>
  <c r="L4717" i="16" s="1"/>
  <c r="I4722" i="16"/>
  <c r="L4722" i="16" s="1"/>
  <c r="I4729" i="16"/>
  <c r="L4729" i="16" s="1"/>
  <c r="I4772" i="16"/>
  <c r="L4772" i="16" s="1"/>
  <c r="P4828" i="16"/>
  <c r="O4891" i="16"/>
  <c r="O4913" i="16"/>
  <c r="O4953" i="16"/>
  <c r="O4985" i="16"/>
  <c r="P4986" i="16"/>
  <c r="P4985" i="16" s="1"/>
  <c r="O4995" i="16"/>
  <c r="P4996" i="16"/>
  <c r="P4995" i="16" s="1"/>
  <c r="O5003" i="16"/>
  <c r="P5004" i="16"/>
  <c r="P5003" i="16" s="1"/>
  <c r="I4710" i="16"/>
  <c r="P4718" i="16"/>
  <c r="P4717" i="16" s="1"/>
  <c r="P4723" i="16"/>
  <c r="P4722" i="16" s="1"/>
  <c r="P4730" i="16"/>
  <c r="P4729" i="16" s="1"/>
  <c r="E4750" i="16"/>
  <c r="E4755" i="16" s="1"/>
  <c r="P4773" i="16"/>
  <c r="P4772" i="16" s="1"/>
  <c r="P4803" i="16"/>
  <c r="P4802" i="16" s="1"/>
  <c r="L4819" i="16"/>
  <c r="O4819" i="16" s="1"/>
  <c r="I4826" i="16"/>
  <c r="L4826" i="16" s="1"/>
  <c r="O4826" i="16" s="1"/>
  <c r="P4826" i="16" s="1"/>
  <c r="P4824" i="16" s="1"/>
  <c r="H4832" i="16"/>
  <c r="H4843" i="16" s="1"/>
  <c r="L4858" i="16"/>
  <c r="O4858" i="16" s="1"/>
  <c r="I4867" i="16"/>
  <c r="L4867" i="16" s="1"/>
  <c r="P4878" i="16"/>
  <c r="P4877" i="16" s="1"/>
  <c r="G4919" i="16"/>
  <c r="I4905" i="16"/>
  <c r="L4905" i="16" s="1"/>
  <c r="L4907" i="16"/>
  <c r="O4907" i="16" s="1"/>
  <c r="P4907" i="16" s="1"/>
  <c r="P4905" i="16" s="1"/>
  <c r="F4930" i="16"/>
  <c r="E4953" i="16"/>
  <c r="P4994" i="16"/>
  <c r="P4993" i="16" s="1"/>
  <c r="L5002" i="16"/>
  <c r="O5002" i="16" s="1"/>
  <c r="I5001" i="16"/>
  <c r="L5001" i="16" s="1"/>
  <c r="I4799" i="16"/>
  <c r="L4799" i="16" s="1"/>
  <c r="L4800" i="16"/>
  <c r="O4800" i="16" s="1"/>
  <c r="D2219" i="19"/>
  <c r="C2137" i="19"/>
  <c r="P4953" i="16"/>
  <c r="K5030" i="16"/>
  <c r="N5030" i="16" s="1"/>
  <c r="K5032" i="16"/>
  <c r="N5032" i="16" s="1"/>
  <c r="H5030" i="16"/>
  <c r="L4741" i="16"/>
  <c r="O4741" i="16" s="1"/>
  <c r="L4753" i="16"/>
  <c r="O4753" i="16" s="1"/>
  <c r="I4784" i="16"/>
  <c r="L4784" i="16" s="1"/>
  <c r="J4832" i="16"/>
  <c r="J4843" i="16" s="1"/>
  <c r="I4916" i="16" a="1"/>
  <c r="I4916" i="16" s="1"/>
  <c r="L4916" i="16" s="1"/>
  <c r="H4930" i="16"/>
  <c r="H4931" i="16" s="1"/>
  <c r="O4936" i="16"/>
  <c r="P4936" i="16" s="1"/>
  <c r="L4946" i="16"/>
  <c r="O4946" i="16" s="1"/>
  <c r="H4972" i="16"/>
  <c r="O4999" i="16"/>
  <c r="P5000" i="16"/>
  <c r="P4999" i="16" s="1"/>
  <c r="O5010" i="16"/>
  <c r="P5011" i="16"/>
  <c r="P5010" i="16" s="1"/>
  <c r="L4707" i="16"/>
  <c r="O4707" i="16" s="1"/>
  <c r="K4806" i="16"/>
  <c r="E4836" i="16"/>
  <c r="E4842" i="16" s="1"/>
  <c r="P4876" i="16"/>
  <c r="P4875" i="16" s="1"/>
  <c r="K4919" i="16"/>
  <c r="N4919" i="16" s="1"/>
  <c r="O4977" i="16"/>
  <c r="P4978" i="16"/>
  <c r="P4977" i="16" s="1"/>
  <c r="I4788" i="16"/>
  <c r="L4788" i="16" s="1"/>
  <c r="L4802" i="16"/>
  <c r="E4867" i="16"/>
  <c r="P4904" i="16"/>
  <c r="P4903" i="16" s="1"/>
  <c r="P4924" i="16"/>
  <c r="P4922" i="16" s="1"/>
  <c r="I4953" i="16"/>
  <c r="L4953" i="16" s="1"/>
  <c r="L4960" i="16"/>
  <c r="O4960" i="16" s="1"/>
  <c r="I4959" i="16"/>
  <c r="L4959" i="16" s="1"/>
  <c r="J4972" i="16"/>
  <c r="L4982" i="16"/>
  <c r="O4982" i="16" s="1"/>
  <c r="P4990" i="16"/>
  <c r="P4989" i="16" s="1"/>
  <c r="O4989" i="16"/>
  <c r="P5015" i="16"/>
  <c r="P5014" i="16" s="1"/>
  <c r="P5020" i="16"/>
  <c r="I4977" i="16"/>
  <c r="I5010" i="16"/>
  <c r="I4995" i="16"/>
  <c r="L4995" i="16" s="1"/>
  <c r="I5041" i="16"/>
  <c r="E5001" i="16"/>
  <c r="E4995" i="16"/>
  <c r="F5029" i="16"/>
  <c r="E5019" i="16"/>
  <c r="E5029" i="16" s="1"/>
  <c r="I5003" i="16"/>
  <c r="L5003" i="16" s="1"/>
  <c r="G1591" i="16" l="1"/>
  <c r="G1609" i="16" s="1"/>
  <c r="K3540" i="16"/>
  <c r="N3540" i="16" s="1"/>
  <c r="P1212" i="16"/>
  <c r="P1211" i="16" s="1"/>
  <c r="E4757" i="16"/>
  <c r="O4578" i="16"/>
  <c r="H4360" i="16"/>
  <c r="P3771" i="16"/>
  <c r="O2801" i="16"/>
  <c r="P2924" i="16"/>
  <c r="P2287" i="16"/>
  <c r="L1152" i="16"/>
  <c r="O2924" i="16"/>
  <c r="P2503" i="16"/>
  <c r="J4756" i="16"/>
  <c r="O4794" i="16"/>
  <c r="O2503" i="16"/>
  <c r="L1090" i="16"/>
  <c r="O4174" i="16"/>
  <c r="P4370" i="16"/>
  <c r="P4369" i="16" s="1"/>
  <c r="P3679" i="16"/>
  <c r="P3678" i="16" s="1"/>
  <c r="P3347" i="16"/>
  <c r="P3346" i="16" s="1"/>
  <c r="O3060" i="16"/>
  <c r="P2801" i="16"/>
  <c r="O2482" i="16"/>
  <c r="O2287" i="16"/>
  <c r="P1761" i="16"/>
  <c r="P1760" i="16" s="1"/>
  <c r="G2071" i="16"/>
  <c r="L1806" i="16"/>
  <c r="O1806" i="16" s="1"/>
  <c r="P1806" i="16" s="1"/>
  <c r="I913" i="16"/>
  <c r="L913" i="16" s="1"/>
  <c r="O1016" i="16"/>
  <c r="G1414" i="16"/>
  <c r="C462" i="19"/>
  <c r="D462" i="19" s="1"/>
  <c r="E462" i="19" s="1"/>
  <c r="G838" i="16"/>
  <c r="H383" i="16"/>
  <c r="H4713" i="16"/>
  <c r="O3555" i="16"/>
  <c r="P3382" i="16"/>
  <c r="P3380" i="16" s="1"/>
  <c r="I1968" i="16"/>
  <c r="G2245" i="16"/>
  <c r="H2005" i="16"/>
  <c r="P1885" i="16"/>
  <c r="P566" i="16"/>
  <c r="P565" i="16" s="1"/>
  <c r="O633" i="16"/>
  <c r="P455" i="16"/>
  <c r="P454" i="16" s="1"/>
  <c r="P288" i="16"/>
  <c r="P287" i="16" s="1"/>
  <c r="K4758" i="16"/>
  <c r="N4758" i="16" s="1"/>
  <c r="K300" i="16"/>
  <c r="N300" i="16" s="1"/>
  <c r="E4055" i="16"/>
  <c r="E1705" i="16"/>
  <c r="O4151" i="16"/>
  <c r="O3366" i="16"/>
  <c r="O2963" i="16"/>
  <c r="I1885" i="16"/>
  <c r="L1885" i="16" s="1"/>
  <c r="O2162" i="16"/>
  <c r="O1885" i="16"/>
  <c r="K72" i="16"/>
  <c r="G4088" i="16"/>
  <c r="O2080" i="16"/>
  <c r="H3543" i="16"/>
  <c r="E381" i="16"/>
  <c r="E382" i="16" s="1"/>
  <c r="P3253" i="16"/>
  <c r="P3252" i="16" s="1"/>
  <c r="O3035" i="16"/>
  <c r="G2005" i="16"/>
  <c r="P2086" i="16"/>
  <c r="P2087" i="16" s="1"/>
  <c r="O1346" i="16"/>
  <c r="I771" i="16"/>
  <c r="L771" i="16" s="1"/>
  <c r="F87" i="16"/>
  <c r="P355" i="16"/>
  <c r="P272" i="16"/>
  <c r="P271" i="16" s="1"/>
  <c r="O482" i="16"/>
  <c r="O420" i="16"/>
  <c r="O212" i="16"/>
  <c r="O217" i="16" s="1"/>
  <c r="O218" i="16" s="1"/>
  <c r="D13" i="19" s="1"/>
  <c r="D14" i="19" s="1"/>
  <c r="F4055" i="16"/>
  <c r="K4223" i="16"/>
  <c r="L2180" i="16"/>
  <c r="H4614" i="16"/>
  <c r="P4200" i="16"/>
  <c r="E4223" i="16"/>
  <c r="E4359" i="16" s="1"/>
  <c r="E4361" i="16" s="1"/>
  <c r="P3471" i="16"/>
  <c r="G842" i="16"/>
  <c r="P3555" i="16"/>
  <c r="L2045" i="16"/>
  <c r="P1737" i="16"/>
  <c r="P1736" i="16" s="1"/>
  <c r="P4900" i="16"/>
  <c r="P4899" i="16" s="1"/>
  <c r="P4919" i="16" s="1"/>
  <c r="P4721" i="16"/>
  <c r="P4720" i="16" s="1"/>
  <c r="O3668" i="16"/>
  <c r="C1503" i="19"/>
  <c r="D1503" i="19" s="1"/>
  <c r="E1503" i="19" s="1"/>
  <c r="O3378" i="16"/>
  <c r="P3397" i="16"/>
  <c r="P3396" i="16" s="1"/>
  <c r="P3352" i="16"/>
  <c r="P3351" i="16" s="1"/>
  <c r="P2507" i="16"/>
  <c r="P2506" i="16" s="1"/>
  <c r="O1872" i="16"/>
  <c r="P1235" i="16"/>
  <c r="P1234" i="16" s="1"/>
  <c r="O576" i="16"/>
  <c r="P1404" i="16"/>
  <c r="P1403" i="16" s="1"/>
  <c r="O355" i="16"/>
  <c r="L2676" i="16"/>
  <c r="O2676" i="16" s="1"/>
  <c r="P2676" i="16" s="1"/>
  <c r="P2675" i="16" s="1"/>
  <c r="P2681" i="16" s="1"/>
  <c r="J1195" i="16"/>
  <c r="J1196" i="16" s="1"/>
  <c r="O3953" i="16"/>
  <c r="I3134" i="16"/>
  <c r="L3134" i="16" s="1"/>
  <c r="I4981" i="16"/>
  <c r="L4981" i="16" s="1"/>
  <c r="O681" i="16"/>
  <c r="J1527" i="16"/>
  <c r="J4124" i="16"/>
  <c r="F842" i="16"/>
  <c r="I334" i="16"/>
  <c r="L334" i="16" s="1"/>
  <c r="P816" i="16"/>
  <c r="P815" i="16" s="1"/>
  <c r="F4615" i="16"/>
  <c r="F4761" i="16" s="1"/>
  <c r="G3756" i="16"/>
  <c r="F4267" i="16"/>
  <c r="F4276" i="16" s="1"/>
  <c r="G2862" i="16"/>
  <c r="E2860" i="16"/>
  <c r="P3022" i="16"/>
  <c r="P3021" i="16" s="1"/>
  <c r="G1611" i="16"/>
  <c r="P3672" i="16"/>
  <c r="G4125" i="16"/>
  <c r="P5022" i="16"/>
  <c r="P5019" i="16" s="1"/>
  <c r="P5029" i="16" s="1"/>
  <c r="O5019" i="16"/>
  <c r="O5029" i="16" s="1"/>
  <c r="P465" i="16"/>
  <c r="P464" i="16" s="1"/>
  <c r="O464" i="16"/>
  <c r="O3132" i="16"/>
  <c r="P3133" i="16"/>
  <c r="P3132" i="16" s="1"/>
  <c r="L797" i="16"/>
  <c r="O797" i="16" s="1"/>
  <c r="P797" i="16" s="1"/>
  <c r="P794" i="16" s="1"/>
  <c r="I794" i="16"/>
  <c r="L794" i="16" s="1"/>
  <c r="N1900" i="16"/>
  <c r="K1901" i="16"/>
  <c r="N1901" i="16" s="1"/>
  <c r="P3459" i="16"/>
  <c r="P3457" i="16" s="1"/>
  <c r="O3457" i="16"/>
  <c r="P2630" i="16"/>
  <c r="P2629" i="16" s="1"/>
  <c r="P2631" i="16" s="1"/>
  <c r="P2633" i="16" s="1"/>
  <c r="L1787" i="16"/>
  <c r="I1782" i="16"/>
  <c r="L1782" i="16" s="1"/>
  <c r="N2572" i="16"/>
  <c r="K2580" i="16"/>
  <c r="N2580" i="16" s="1"/>
  <c r="O1156" i="16"/>
  <c r="P1157" i="16"/>
  <c r="P1156" i="16" s="1"/>
  <c r="J4267" i="16"/>
  <c r="J4276" i="16" s="1"/>
  <c r="O1804" i="16"/>
  <c r="P404" i="16"/>
  <c r="P403" i="16" s="1"/>
  <c r="I1852" i="16"/>
  <c r="L1852" i="16" s="1"/>
  <c r="L1854" i="16"/>
  <c r="O1854" i="16" s="1"/>
  <c r="P1854" i="16" s="1"/>
  <c r="P1852" i="16" s="1"/>
  <c r="N1047" i="16"/>
  <c r="K1056" i="16"/>
  <c r="N1056" i="16" s="1"/>
  <c r="P206" i="16"/>
  <c r="P205" i="16" s="1"/>
  <c r="O205" i="16"/>
  <c r="O1214" i="16"/>
  <c r="P1215" i="16"/>
  <c r="P1214" i="16" s="1"/>
  <c r="L754" i="16"/>
  <c r="O754" i="16" s="1"/>
  <c r="I753" i="16"/>
  <c r="L753" i="16" s="1"/>
  <c r="O3982" i="16"/>
  <c r="P3983" i="16"/>
  <c r="P3982" i="16" s="1"/>
  <c r="P4265" i="16"/>
  <c r="P4264" i="16" s="1"/>
  <c r="O4264" i="16"/>
  <c r="P257" i="16"/>
  <c r="O254" i="16"/>
  <c r="L1699" i="16"/>
  <c r="I1704" i="16"/>
  <c r="L1704" i="16" s="1"/>
  <c r="P3818" i="16"/>
  <c r="P3817" i="16" s="1"/>
  <c r="O3817" i="16"/>
  <c r="P521" i="16"/>
  <c r="P520" i="16" s="1"/>
  <c r="P4262" i="16"/>
  <c r="P4261" i="16" s="1"/>
  <c r="O4261" i="16"/>
  <c r="P2793" i="16"/>
  <c r="P2792" i="16" s="1"/>
  <c r="P2794" i="16" s="1"/>
  <c r="P580" i="16"/>
  <c r="P579" i="16" s="1"/>
  <c r="N2510" i="16"/>
  <c r="K2516" i="16"/>
  <c r="N2516" i="16" s="1"/>
  <c r="L1400" i="16"/>
  <c r="O1400" i="16" s="1"/>
  <c r="O1399" i="16" s="1"/>
  <c r="I1399" i="16"/>
  <c r="L1399" i="16" s="1"/>
  <c r="P782" i="16"/>
  <c r="P781" i="16" s="1"/>
  <c r="O781" i="16"/>
  <c r="P2477" i="16"/>
  <c r="P2476" i="16" s="1"/>
  <c r="O2476" i="16"/>
  <c r="O4734" i="16"/>
  <c r="P4735" i="16"/>
  <c r="P4734" i="16" s="1"/>
  <c r="P4180" i="16"/>
  <c r="P4179" i="16" s="1"/>
  <c r="O4179" i="16"/>
  <c r="P761" i="16"/>
  <c r="P760" i="16" s="1"/>
  <c r="O760" i="16"/>
  <c r="P4287" i="16"/>
  <c r="P4286" i="16" s="1"/>
  <c r="H2427" i="16"/>
  <c r="I3755" i="16"/>
  <c r="L3755" i="16" s="1"/>
  <c r="L3753" i="16"/>
  <c r="C1665" i="19" s="1"/>
  <c r="L2765" i="16"/>
  <c r="I2771" i="16"/>
  <c r="P3977" i="16"/>
  <c r="P3976" i="16" s="1"/>
  <c r="O3976" i="16"/>
  <c r="I1604" i="16"/>
  <c r="L1604" i="16" s="1"/>
  <c r="L1596" i="16"/>
  <c r="C648" i="19" s="1"/>
  <c r="O810" i="16"/>
  <c r="P811" i="16"/>
  <c r="P810" i="16" s="1"/>
  <c r="P3754" i="16"/>
  <c r="P3753" i="16" s="1"/>
  <c r="P3755" i="16" s="1"/>
  <c r="O3753" i="16"/>
  <c r="O3758" i="16" s="1"/>
  <c r="P3529" i="16"/>
  <c r="C730" i="19"/>
  <c r="D730" i="19" s="1"/>
  <c r="E730" i="19" s="1"/>
  <c r="O480" i="16"/>
  <c r="O2817" i="16"/>
  <c r="P2818" i="16"/>
  <c r="P2817" i="16" s="1"/>
  <c r="J2427" i="16"/>
  <c r="P2693" i="16"/>
  <c r="P2692" i="16" s="1"/>
  <c r="O2692" i="16"/>
  <c r="O1275" i="16"/>
  <c r="P1276" i="16"/>
  <c r="P1275" i="16" s="1"/>
  <c r="P199" i="16"/>
  <c r="P198" i="16" s="1"/>
  <c r="O198" i="16"/>
  <c r="P1492" i="16"/>
  <c r="P1491" i="16" s="1"/>
  <c r="O1165" i="16"/>
  <c r="P4378" i="16"/>
  <c r="P4375" i="16" s="1"/>
  <c r="O4375" i="16"/>
  <c r="O4710" i="16"/>
  <c r="P4711" i="16"/>
  <c r="P4710" i="16" s="1"/>
  <c r="L4620" i="16"/>
  <c r="O4620" i="16" s="1"/>
  <c r="P4620" i="16" s="1"/>
  <c r="P4619" i="16" s="1"/>
  <c r="I4619" i="16"/>
  <c r="L4619" i="16" s="1"/>
  <c r="C2081" i="19" s="1"/>
  <c r="D2081" i="19" s="1"/>
  <c r="P3531" i="16"/>
  <c r="O3529" i="16"/>
  <c r="P3306" i="16"/>
  <c r="P3305" i="16" s="1"/>
  <c r="O3305" i="16"/>
  <c r="O3172" i="16"/>
  <c r="P3173" i="16"/>
  <c r="P3172" i="16" s="1"/>
  <c r="N2426" i="16"/>
  <c r="K2518" i="16"/>
  <c r="K2427" i="16"/>
  <c r="N2427" i="16" s="1"/>
  <c r="O1176" i="16"/>
  <c r="P1177" i="16"/>
  <c r="P1176" i="16" s="1"/>
  <c r="J4615" i="16"/>
  <c r="O4316" i="16"/>
  <c r="P4317" i="16"/>
  <c r="P4316" i="16" s="1"/>
  <c r="I1500" i="16"/>
  <c r="L1500" i="16" s="1"/>
  <c r="L1501" i="16"/>
  <c r="O1501" i="16" s="1"/>
  <c r="O696" i="16"/>
  <c r="O2953" i="16"/>
  <c r="P2954" i="16"/>
  <c r="P2953" i="16" s="1"/>
  <c r="P3839" i="16"/>
  <c r="P3838" i="16" s="1"/>
  <c r="O3838" i="16"/>
  <c r="P1159" i="16"/>
  <c r="P1158" i="16" s="1"/>
  <c r="O1158" i="16"/>
  <c r="J4761" i="16"/>
  <c r="L4967" i="16"/>
  <c r="O3984" i="16"/>
  <c r="P3985" i="16"/>
  <c r="P3984" i="16" s="1"/>
  <c r="J4450" i="16"/>
  <c r="O2496" i="16"/>
  <c r="H2517" i="16"/>
  <c r="F3757" i="16"/>
  <c r="F3759" i="16" s="1"/>
  <c r="O1309" i="16"/>
  <c r="O3150" i="16"/>
  <c r="P3151" i="16"/>
  <c r="P3150" i="16" s="1"/>
  <c r="P1116" i="16"/>
  <c r="P1115" i="16" s="1"/>
  <c r="O1115" i="16"/>
  <c r="L1834" i="16"/>
  <c r="O1834" i="16" s="1"/>
  <c r="P1834" i="16" s="1"/>
  <c r="I1833" i="16"/>
  <c r="L1833" i="16" s="1"/>
  <c r="L4923" i="16"/>
  <c r="O4923" i="16" s="1"/>
  <c r="O4922" i="16" s="1"/>
  <c r="I4922" i="16"/>
  <c r="I4930" i="16" s="1"/>
  <c r="L4930" i="16" s="1"/>
  <c r="C2208" i="19" s="1"/>
  <c r="F1901" i="16"/>
  <c r="F1965" i="16" s="1"/>
  <c r="F2005" i="16"/>
  <c r="I5019" i="16"/>
  <c r="L5019" i="16" s="1"/>
  <c r="O4160" i="16"/>
  <c r="O3314" i="16"/>
  <c r="G1705" i="16"/>
  <c r="O3749" i="16"/>
  <c r="P3750" i="16"/>
  <c r="P3749" i="16" s="1"/>
  <c r="P1571" i="16"/>
  <c r="P1570" i="16" s="1"/>
  <c r="O1570" i="16"/>
  <c r="P2608" i="16"/>
  <c r="P2607" i="16" s="1"/>
  <c r="O2607" i="16"/>
  <c r="G839" i="16"/>
  <c r="G840" i="16" s="1"/>
  <c r="G4495" i="16"/>
  <c r="G4615" i="16"/>
  <c r="J3541" i="16"/>
  <c r="J3542" i="16"/>
  <c r="J3544" i="16" s="1"/>
  <c r="O554" i="16"/>
  <c r="P555" i="16"/>
  <c r="P554" i="16" s="1"/>
  <c r="L984" i="16"/>
  <c r="O984" i="16" s="1"/>
  <c r="I983" i="16"/>
  <c r="L983" i="16" s="1"/>
  <c r="L343" i="16"/>
  <c r="O343" i="16" s="1"/>
  <c r="O342" i="16" s="1"/>
  <c r="I342" i="16"/>
  <c r="P625" i="16"/>
  <c r="P623" i="16" s="1"/>
  <c r="O623" i="16"/>
  <c r="H4182" i="16"/>
  <c r="H4188" i="16" s="1"/>
  <c r="E4267" i="16"/>
  <c r="E4276" i="16" s="1"/>
  <c r="L2963" i="16"/>
  <c r="C1354" i="19" s="1"/>
  <c r="G2860" i="16"/>
  <c r="I3643" i="16"/>
  <c r="L3643" i="16" s="1"/>
  <c r="H3274" i="16"/>
  <c r="I2631" i="16"/>
  <c r="O2890" i="16"/>
  <c r="L2170" i="16"/>
  <c r="L2901" i="16"/>
  <c r="H1366" i="16"/>
  <c r="H1367" i="16" s="1"/>
  <c r="J2372" i="16"/>
  <c r="H2518" i="16"/>
  <c r="O2675" i="16"/>
  <c r="O2681" i="16" s="1"/>
  <c r="P2566" i="16"/>
  <c r="P2565" i="16" s="1"/>
  <c r="O2012" i="16"/>
  <c r="P397" i="16"/>
  <c r="P396" i="16" s="1"/>
  <c r="P428" i="16"/>
  <c r="P427" i="16" s="1"/>
  <c r="K302" i="16"/>
  <c r="H4615" i="16"/>
  <c r="O2040" i="16"/>
  <c r="J1198" i="16"/>
  <c r="F4713" i="16"/>
  <c r="P4927" i="16"/>
  <c r="P4926" i="16" s="1"/>
  <c r="E2683" i="16"/>
  <c r="C1324" i="19"/>
  <c r="L2675" i="16"/>
  <c r="P3028" i="16"/>
  <c r="P3027" i="16" s="1"/>
  <c r="P2875" i="16"/>
  <c r="P2874" i="16" s="1"/>
  <c r="C1074" i="19"/>
  <c r="D1074" i="19" s="1"/>
  <c r="E1074" i="19" s="1"/>
  <c r="P2556" i="16"/>
  <c r="P2555" i="16" s="1"/>
  <c r="P254" i="16"/>
  <c r="J4055" i="16"/>
  <c r="E4088" i="16"/>
  <c r="G4267" i="16"/>
  <c r="G4276" i="16" s="1"/>
  <c r="G1366" i="16"/>
  <c r="J1611" i="16"/>
  <c r="H4126" i="16"/>
  <c r="L2572" i="16"/>
  <c r="J784" i="16"/>
  <c r="E4231" i="16"/>
  <c r="J842" i="16"/>
  <c r="O4197" i="16"/>
  <c r="P4227" i="16"/>
  <c r="P4226" i="16" s="1"/>
  <c r="P4230" i="16" s="1"/>
  <c r="O3948" i="16"/>
  <c r="O4107" i="16"/>
  <c r="E2359" i="16"/>
  <c r="K2860" i="16"/>
  <c r="N2860" i="16" s="1"/>
  <c r="O2669" i="16"/>
  <c r="O2367" i="16"/>
  <c r="I1239" i="16"/>
  <c r="L1239" i="16" s="1"/>
  <c r="C114" i="19"/>
  <c r="D114" i="19" s="1"/>
  <c r="E114" i="19" s="1"/>
  <c r="P949" i="16"/>
  <c r="P948" i="16" s="1"/>
  <c r="C140" i="19"/>
  <c r="D140" i="19" s="1"/>
  <c r="E140" i="19" s="1"/>
  <c r="P4881" i="16"/>
  <c r="P4880" i="16" s="1"/>
  <c r="E3074" i="16"/>
  <c r="E3075" i="16" s="1"/>
  <c r="H2860" i="16"/>
  <c r="K2612" i="16"/>
  <c r="K2618" i="16" s="1"/>
  <c r="N2618" i="16" s="1"/>
  <c r="K1366" i="16"/>
  <c r="N1366" i="16" s="1"/>
  <c r="J1591" i="16"/>
  <c r="J1609" i="16" s="1"/>
  <c r="G383" i="16"/>
  <c r="O652" i="16"/>
  <c r="E4360" i="16"/>
  <c r="E3355" i="16"/>
  <c r="E3356" i="16" s="1"/>
  <c r="E3387" i="16" s="1"/>
  <c r="C449" i="19"/>
  <c r="D451" i="19" s="1"/>
  <c r="G87" i="16"/>
  <c r="F383" i="16"/>
  <c r="E4334" i="16"/>
  <c r="E3756" i="16"/>
  <c r="J4088" i="16"/>
  <c r="I4226" i="16"/>
  <c r="L4226" i="16" s="1"/>
  <c r="P3668" i="16"/>
  <c r="P1518" i="16"/>
  <c r="P1517" i="16" s="1"/>
  <c r="P825" i="16"/>
  <c r="P824" i="16" s="1"/>
  <c r="O23" i="16"/>
  <c r="F4360" i="16"/>
  <c r="I3668" i="16"/>
  <c r="L3668" i="16" s="1"/>
  <c r="F2861" i="16"/>
  <c r="L2576" i="16"/>
  <c r="C1139" i="19" s="1"/>
  <c r="J1366" i="16"/>
  <c r="H1591" i="16"/>
  <c r="H1609" i="16" s="1"/>
  <c r="O3771" i="16"/>
  <c r="O2057" i="16"/>
  <c r="H1838" i="16"/>
  <c r="H1839" i="16"/>
  <c r="P1082" i="16"/>
  <c r="O1316" i="16"/>
  <c r="G4223" i="16"/>
  <c r="G4231" i="16" s="1"/>
  <c r="I2789" i="16"/>
  <c r="L2789" i="16" s="1"/>
  <c r="C1260" i="19" s="1"/>
  <c r="D1260" i="19" s="1"/>
  <c r="G1415" i="16"/>
  <c r="E1654" i="16"/>
  <c r="J2860" i="16"/>
  <c r="K4756" i="16"/>
  <c r="N4756" i="16" s="1"/>
  <c r="P3405" i="16"/>
  <c r="P3404" i="16" s="1"/>
  <c r="O4535" i="16"/>
  <c r="I3707" i="16"/>
  <c r="L3707" i="16" s="1"/>
  <c r="C1650" i="19" s="1"/>
  <c r="D1650" i="19" s="1"/>
  <c r="E1650" i="19" s="1"/>
  <c r="I3254" i="16"/>
  <c r="L3254" i="16" s="1"/>
  <c r="O2781" i="16"/>
  <c r="L2040" i="16"/>
  <c r="K1416" i="16"/>
  <c r="N1416" i="16" s="1"/>
  <c r="O1082" i="16"/>
  <c r="O289" i="16"/>
  <c r="O181" i="16"/>
  <c r="O3701" i="16"/>
  <c r="O3145" i="16"/>
  <c r="F1839" i="16"/>
  <c r="O821" i="16"/>
  <c r="F704" i="16"/>
  <c r="J5032" i="16"/>
  <c r="H4223" i="16"/>
  <c r="H4231" i="16" s="1"/>
  <c r="I2720" i="16"/>
  <c r="L2720" i="16" s="1"/>
  <c r="K3208" i="16"/>
  <c r="N3208" i="16" s="1"/>
  <c r="J2518" i="16"/>
  <c r="I4945" i="16"/>
  <c r="L4945" i="16" s="1"/>
  <c r="G4614" i="16"/>
  <c r="H4450" i="16"/>
  <c r="P3740" i="16"/>
  <c r="P3739" i="16" s="1"/>
  <c r="P3127" i="16"/>
  <c r="P3126" i="16" s="1"/>
  <c r="P2781" i="16"/>
  <c r="I1830" i="16"/>
  <c r="L1830" i="16" s="1"/>
  <c r="O2003" i="16"/>
  <c r="O2047" i="16"/>
  <c r="E1591" i="16"/>
  <c r="E1609" i="16" s="1"/>
  <c r="I1041" i="16"/>
  <c r="L1041" i="16" s="1"/>
  <c r="G3387" i="16"/>
  <c r="F3387" i="16"/>
  <c r="P3091" i="16"/>
  <c r="F1415" i="16"/>
  <c r="F1417" i="16" s="1"/>
  <c r="J2517" i="16"/>
  <c r="J2519" i="16" s="1"/>
  <c r="J4126" i="16"/>
  <c r="E3979" i="16"/>
  <c r="E4563" i="16"/>
  <c r="O4708" i="16"/>
  <c r="E4450" i="16"/>
  <c r="G4126" i="16"/>
  <c r="G4127" i="16" s="1"/>
  <c r="P3728" i="16"/>
  <c r="O3508" i="16"/>
  <c r="P3255" i="16"/>
  <c r="P3254" i="16" s="1"/>
  <c r="K839" i="16"/>
  <c r="N839" i="16" s="1"/>
  <c r="H3926" i="16"/>
  <c r="H3928" i="16" s="1"/>
  <c r="H5039" i="16" s="1"/>
  <c r="G2517" i="16"/>
  <c r="G2519" i="16" s="1"/>
  <c r="E2612" i="16"/>
  <c r="E2618" i="16" s="1"/>
  <c r="F2372" i="16"/>
  <c r="O3073" i="16"/>
  <c r="H4055" i="16"/>
  <c r="I4494" i="16"/>
  <c r="L4494" i="16" s="1"/>
  <c r="C2043" i="19" s="1"/>
  <c r="F4125" i="16"/>
  <c r="F4127" i="16" s="1"/>
  <c r="F4931" i="16"/>
  <c r="E3513" i="16"/>
  <c r="E3541" i="16" s="1"/>
  <c r="P2352" i="16"/>
  <c r="P1830" i="16"/>
  <c r="P1270" i="16"/>
  <c r="P1269" i="16" s="1"/>
  <c r="K842" i="16"/>
  <c r="N842" i="16" s="1"/>
  <c r="E4412" i="16"/>
  <c r="F2245" i="16"/>
  <c r="H1705" i="16"/>
  <c r="O1456" i="16"/>
  <c r="O1996" i="16"/>
  <c r="P3701" i="16"/>
  <c r="P4005" i="16"/>
  <c r="P4004" i="16" s="1"/>
  <c r="P3395" i="16"/>
  <c r="P3394" i="16" s="1"/>
  <c r="G2702" i="16"/>
  <c r="O2117" i="16"/>
  <c r="O1830" i="16"/>
  <c r="C436" i="19"/>
  <c r="D436" i="19" s="1"/>
  <c r="E436" i="19" s="1"/>
  <c r="E906" i="16"/>
  <c r="E907" i="16" s="1"/>
  <c r="K784" i="16"/>
  <c r="N784" i="16" s="1"/>
  <c r="H2154" i="16"/>
  <c r="H2156" i="16" s="1"/>
  <c r="H704" i="16"/>
  <c r="L54" i="16"/>
  <c r="J3757" i="16"/>
  <c r="J3759" i="16" s="1"/>
  <c r="E3113" i="16"/>
  <c r="E3120" i="16" s="1"/>
  <c r="C2010" i="19"/>
  <c r="D2010" i="19" s="1"/>
  <c r="E2010" i="19" s="1"/>
  <c r="G3207" i="16"/>
  <c r="G3209" i="16" s="1"/>
  <c r="K2054" i="16"/>
  <c r="K2154" i="16" s="1"/>
  <c r="J302" i="16"/>
  <c r="J386" i="16" s="1"/>
  <c r="J4931" i="16"/>
  <c r="F4495" i="16"/>
  <c r="H3387" i="16"/>
  <c r="F2071" i="16"/>
  <c r="F2518" i="16"/>
  <c r="G1123" i="16"/>
  <c r="D1776" i="19"/>
  <c r="E1776" i="19" s="1"/>
  <c r="C1746" i="19"/>
  <c r="O2186" i="16"/>
  <c r="P2187" i="16"/>
  <c r="P2186" i="16" s="1"/>
  <c r="G3757" i="16"/>
  <c r="G3759" i="16" s="1"/>
  <c r="F2517" i="16"/>
  <c r="F2519" i="16" s="1"/>
  <c r="J1840" i="16"/>
  <c r="O4515" i="16"/>
  <c r="K4360" i="16"/>
  <c r="N4360" i="16" s="1"/>
  <c r="C1624" i="19"/>
  <c r="D1624" i="19" s="1"/>
  <c r="H4125" i="16"/>
  <c r="C1515" i="19"/>
  <c r="D1515" i="19" s="1"/>
  <c r="P2985" i="16"/>
  <c r="P2984" i="16" s="1"/>
  <c r="O3602" i="16"/>
  <c r="P2599" i="16"/>
  <c r="P2598" i="16" s="1"/>
  <c r="P2823" i="16"/>
  <c r="P2822" i="16" s="1"/>
  <c r="P2461" i="16"/>
  <c r="P2460" i="16" s="1"/>
  <c r="O2274" i="16"/>
  <c r="E1464" i="16"/>
  <c r="O1554" i="16"/>
  <c r="P1969" i="16"/>
  <c r="P1968" i="16" s="1"/>
  <c r="P1970" i="16" s="1"/>
  <c r="P1971" i="16" s="1"/>
  <c r="G784" i="16"/>
  <c r="O1510" i="16"/>
  <c r="O148" i="16"/>
  <c r="O3045" i="16"/>
  <c r="E878" i="19"/>
  <c r="E748" i="19" s="1"/>
  <c r="L3271" i="16"/>
  <c r="O3271" i="16" s="1"/>
  <c r="P3271" i="16" s="1"/>
  <c r="P3273" i="16" s="1"/>
  <c r="P3543" i="16" s="1"/>
  <c r="J5030" i="16"/>
  <c r="P4958" i="16"/>
  <c r="P4957" i="16" s="1"/>
  <c r="O4961" i="16"/>
  <c r="F5031" i="16"/>
  <c r="P4557" i="16"/>
  <c r="P4556" i="16" s="1"/>
  <c r="O4026" i="16"/>
  <c r="I3918" i="16"/>
  <c r="L3918" i="16" s="1"/>
  <c r="D1710" i="19" s="1"/>
  <c r="E1710" i="19" s="1"/>
  <c r="O3923" i="16"/>
  <c r="F3541" i="16"/>
  <c r="C1528" i="19"/>
  <c r="D1528" i="19" s="1"/>
  <c r="P3602" i="16"/>
  <c r="F2702" i="16"/>
  <c r="H2861" i="16"/>
  <c r="F2860" i="16"/>
  <c r="K2209" i="16"/>
  <c r="O2300" i="16"/>
  <c r="I1753" i="16"/>
  <c r="L1753" i="16" s="1"/>
  <c r="C620" i="19"/>
  <c r="D620" i="19" s="1"/>
  <c r="H1198" i="16"/>
  <c r="P1429" i="16"/>
  <c r="P1428" i="16" s="1"/>
  <c r="P867" i="16"/>
  <c r="O1208" i="16"/>
  <c r="I776" i="16"/>
  <c r="L776" i="16" s="1"/>
  <c r="P1353" i="16"/>
  <c r="P1352" i="16" s="1"/>
  <c r="O456" i="16"/>
  <c r="O273" i="16"/>
  <c r="P248" i="16"/>
  <c r="P247" i="16" s="1"/>
  <c r="E3658" i="16"/>
  <c r="E3757" i="16" s="1"/>
  <c r="E3759" i="16" s="1"/>
  <c r="K3074" i="16"/>
  <c r="N3074" i="16" s="1"/>
  <c r="O3695" i="16"/>
  <c r="O1582" i="16"/>
  <c r="I1549" i="16"/>
  <c r="L1549" i="16" s="1"/>
  <c r="E34" i="17"/>
  <c r="E1625" i="19"/>
  <c r="D878" i="19"/>
  <c r="D748" i="19" s="1"/>
  <c r="E386" i="19"/>
  <c r="E771" i="19"/>
  <c r="F1195" i="16"/>
  <c r="F1196" i="16" s="1"/>
  <c r="E72" i="16"/>
  <c r="E301" i="16" s="1"/>
  <c r="L4745" i="16"/>
  <c r="O4745" i="16" s="1"/>
  <c r="K381" i="16"/>
  <c r="K382" i="16" s="1"/>
  <c r="I4949" i="16"/>
  <c r="L4949" i="16" s="1"/>
  <c r="G4713" i="16"/>
  <c r="K4564" i="16"/>
  <c r="N4564" i="16" s="1"/>
  <c r="P3828" i="16"/>
  <c r="P3827" i="16" s="1"/>
  <c r="P4026" i="16"/>
  <c r="P3636" i="16"/>
  <c r="P3635" i="16" s="1"/>
  <c r="I3203" i="16"/>
  <c r="L3203" i="16" s="1"/>
  <c r="O3293" i="16"/>
  <c r="P3059" i="16"/>
  <c r="P3058" i="16" s="1"/>
  <c r="O3580" i="16"/>
  <c r="F3207" i="16"/>
  <c r="F3209" i="16" s="1"/>
  <c r="L2616" i="16"/>
  <c r="C1155" i="19" s="1"/>
  <c r="C1154" i="19" s="1"/>
  <c r="D70" i="20" s="1"/>
  <c r="P2180" i="16"/>
  <c r="E1837" i="16"/>
  <c r="E1840" i="16" s="1"/>
  <c r="C704" i="19"/>
  <c r="D704" i="19" s="1"/>
  <c r="E704" i="19" s="1"/>
  <c r="E1526" i="16"/>
  <c r="E1611" i="16" s="1"/>
  <c r="O1699" i="16"/>
  <c r="O1704" i="16" s="1"/>
  <c r="O2036" i="16"/>
  <c r="O1375" i="16"/>
  <c r="I1135" i="16"/>
  <c r="L1135" i="16" s="1"/>
  <c r="J1057" i="16"/>
  <c r="O583" i="16"/>
  <c r="O567" i="16"/>
  <c r="L2707" i="16"/>
  <c r="C1220" i="19" s="1"/>
  <c r="D1220" i="19" s="1"/>
  <c r="E1220" i="19" s="1"/>
  <c r="G3926" i="16"/>
  <c r="G3928" i="16" s="1"/>
  <c r="G5039" i="16" s="1"/>
  <c r="J1763" i="16"/>
  <c r="J704" i="16"/>
  <c r="E35" i="17"/>
  <c r="J2861" i="16"/>
  <c r="J1610" i="16"/>
  <c r="J1612" i="16" s="1"/>
  <c r="J87" i="16"/>
  <c r="E4919" i="16"/>
  <c r="F4334" i="16"/>
  <c r="P4508" i="16"/>
  <c r="P4507" i="16" s="1"/>
  <c r="I3404" i="16"/>
  <c r="L3404" i="16" s="1"/>
  <c r="F3542" i="16"/>
  <c r="F3544" i="16" s="1"/>
  <c r="P3580" i="16"/>
  <c r="O3174" i="16"/>
  <c r="H2519" i="16"/>
  <c r="O3032" i="16"/>
  <c r="O2971" i="16"/>
  <c r="P2872" i="16"/>
  <c r="P2871" i="16" s="1"/>
  <c r="K2152" i="16"/>
  <c r="N2152" i="16" s="1"/>
  <c r="E1961" i="16"/>
  <c r="E2006" i="16" s="1"/>
  <c r="O2180" i="16"/>
  <c r="F2006" i="16"/>
  <c r="F2247" i="16" s="1"/>
  <c r="O2454" i="16"/>
  <c r="J2154" i="16"/>
  <c r="J2246" i="16" s="1"/>
  <c r="P1699" i="16"/>
  <c r="P1704" i="16" s="1"/>
  <c r="P2036" i="16"/>
  <c r="E1123" i="16"/>
  <c r="P1373" i="16"/>
  <c r="P1372" i="16" s="1"/>
  <c r="K1328" i="16"/>
  <c r="O1243" i="16"/>
  <c r="O863" i="16"/>
  <c r="P493" i="16"/>
  <c r="P492" i="16" s="1"/>
  <c r="P4060" i="16"/>
  <c r="P4059" i="16" s="1"/>
  <c r="E839" i="19"/>
  <c r="E1127" i="19"/>
  <c r="E1140" i="19"/>
  <c r="E4964" i="16"/>
  <c r="E4972" i="16" s="1"/>
  <c r="L1158" i="16"/>
  <c r="I454" i="16"/>
  <c r="L454" i="16" s="1"/>
  <c r="L2605" i="16"/>
  <c r="I4556" i="16"/>
  <c r="L4556" i="16" s="1"/>
  <c r="P4219" i="16"/>
  <c r="P4218" i="16" s="1"/>
  <c r="K4182" i="16"/>
  <c r="P3451" i="16"/>
  <c r="P3450" i="16" s="1"/>
  <c r="O4686" i="16"/>
  <c r="O3662" i="16"/>
  <c r="P3503" i="16"/>
  <c r="P3502" i="16" s="1"/>
  <c r="K3757" i="16"/>
  <c r="N3757" i="16" s="1"/>
  <c r="O3383" i="16"/>
  <c r="K2778" i="16"/>
  <c r="N2778" i="16" s="1"/>
  <c r="J2862" i="16"/>
  <c r="I2186" i="16"/>
  <c r="L2186" i="16" s="1"/>
  <c r="K2517" i="16"/>
  <c r="N2517" i="16" s="1"/>
  <c r="O1795" i="16"/>
  <c r="O2113" i="16"/>
  <c r="P1479" i="16"/>
  <c r="P1478" i="16" s="1"/>
  <c r="F1611" i="16"/>
  <c r="I1352" i="16"/>
  <c r="L1352" i="16" s="1"/>
  <c r="C550" i="19" s="1"/>
  <c r="D550" i="19" s="1"/>
  <c r="E550" i="19" s="1"/>
  <c r="P1549" i="16"/>
  <c r="K1415" i="16"/>
  <c r="N1415" i="16" s="1"/>
  <c r="C1086" i="19"/>
  <c r="D1086" i="19" s="1"/>
  <c r="E1086" i="19" s="1"/>
  <c r="F1527" i="16"/>
  <c r="D67" i="32"/>
  <c r="E60" i="32"/>
  <c r="K3607" i="16"/>
  <c r="N3607" i="16" s="1"/>
  <c r="P4768" i="16"/>
  <c r="P4767" i="16" s="1"/>
  <c r="I4323" i="16"/>
  <c r="L4323" i="16" s="1"/>
  <c r="C1941" i="19" s="1"/>
  <c r="P3715" i="16"/>
  <c r="P3714" i="16" s="1"/>
  <c r="I4143" i="16"/>
  <c r="K2683" i="16"/>
  <c r="N2683" i="16" s="1"/>
  <c r="K2862" i="16"/>
  <c r="N2862" i="16" s="1"/>
  <c r="P2765" i="16"/>
  <c r="E1248" i="19" s="1"/>
  <c r="E2314" i="16"/>
  <c r="G1962" i="16"/>
  <c r="G1965" i="16" s="1"/>
  <c r="E1749" i="16"/>
  <c r="E1007" i="16"/>
  <c r="E1012" i="16" s="1"/>
  <c r="O1549" i="16"/>
  <c r="K2070" i="16"/>
  <c r="L355" i="16"/>
  <c r="F38" i="17"/>
  <c r="G31" i="17"/>
  <c r="G38" i="17" s="1"/>
  <c r="O280" i="16"/>
  <c r="K3157" i="16"/>
  <c r="N3157" i="16" s="1"/>
  <c r="N3152" i="16"/>
  <c r="O3728" i="16"/>
  <c r="K3386" i="16"/>
  <c r="N3385" i="16"/>
  <c r="K1705" i="16"/>
  <c r="N1705" i="16" s="1"/>
  <c r="N1694" i="16"/>
  <c r="K3186" i="16"/>
  <c r="N3186" i="16" s="1"/>
  <c r="N3185" i="16"/>
  <c r="K2131" i="16"/>
  <c r="N2131" i="16" s="1"/>
  <c r="N2130" i="16"/>
  <c r="N2518" i="16"/>
  <c r="N3205" i="16"/>
  <c r="K2633" i="16"/>
  <c r="N2633" i="16" s="1"/>
  <c r="N2631" i="16"/>
  <c r="N2054" i="16"/>
  <c r="G2154" i="16"/>
  <c r="G2156" i="16" s="1"/>
  <c r="K1839" i="16"/>
  <c r="N1839" i="16" s="1"/>
  <c r="N1654" i="16"/>
  <c r="K135" i="16"/>
  <c r="N135" i="16" s="1"/>
  <c r="N134" i="16"/>
  <c r="K3926" i="16"/>
  <c r="N3850" i="16"/>
  <c r="K2758" i="16"/>
  <c r="N2758" i="16" s="1"/>
  <c r="N2748" i="16"/>
  <c r="K2653" i="16"/>
  <c r="N2653" i="16" s="1"/>
  <c r="N2646" i="16"/>
  <c r="K218" i="16"/>
  <c r="N218" i="16" s="1"/>
  <c r="N217" i="16"/>
  <c r="K178" i="16"/>
  <c r="N178" i="16" s="1"/>
  <c r="N177" i="16"/>
  <c r="N1328" i="16"/>
  <c r="K4713" i="16"/>
  <c r="N4713" i="16" s="1"/>
  <c r="N4702" i="16"/>
  <c r="K4614" i="16"/>
  <c r="N4614" i="16" s="1"/>
  <c r="N4605" i="16"/>
  <c r="O4272" i="16"/>
  <c r="K4231" i="16"/>
  <c r="N4231" i="16" s="1"/>
  <c r="N4223" i="16"/>
  <c r="L2890" i="16"/>
  <c r="N2890" i="16"/>
  <c r="I1541" i="16"/>
  <c r="L1541" i="16" s="1"/>
  <c r="L1082" i="16"/>
  <c r="N1082" i="16"/>
  <c r="L1474" i="16"/>
  <c r="C619" i="19" s="1"/>
  <c r="N1474" i="16"/>
  <c r="L1105" i="16"/>
  <c r="G1416" i="16"/>
  <c r="I260" i="16"/>
  <c r="I261" i="16" s="1"/>
  <c r="L261" i="16" s="1"/>
  <c r="E86" i="16"/>
  <c r="E302" i="16" s="1"/>
  <c r="E386" i="16" s="1"/>
  <c r="K386" i="16"/>
  <c r="N386" i="16" s="1"/>
  <c r="N302" i="16"/>
  <c r="K4088" i="16"/>
  <c r="N4088" i="16" s="1"/>
  <c r="N4079" i="16"/>
  <c r="K2796" i="16"/>
  <c r="N2796" i="16" s="1"/>
  <c r="N2789" i="16"/>
  <c r="K1840" i="16"/>
  <c r="N1840" i="16" s="1"/>
  <c r="N1837" i="16"/>
  <c r="K665" i="16"/>
  <c r="N665" i="16" s="1"/>
  <c r="N664" i="16"/>
  <c r="K4807" i="16"/>
  <c r="N4807" i="16" s="1"/>
  <c r="N4806" i="16"/>
  <c r="J4757" i="16"/>
  <c r="J4760" i="16" s="1"/>
  <c r="J4762" i="16" s="1"/>
  <c r="F35" i="32" s="1"/>
  <c r="K4495" i="16"/>
  <c r="N4495" i="16" s="1"/>
  <c r="N4483" i="16"/>
  <c r="E3320" i="16"/>
  <c r="K2727" i="16"/>
  <c r="N2727" i="16" s="1"/>
  <c r="N2720" i="16"/>
  <c r="F2154" i="16"/>
  <c r="F2156" i="16" s="1"/>
  <c r="P1055" i="16"/>
  <c r="F1414" i="16"/>
  <c r="K838" i="16"/>
  <c r="N838" i="16" s="1"/>
  <c r="N836" i="16"/>
  <c r="K87" i="16"/>
  <c r="N87" i="16" s="1"/>
  <c r="N72" i="16"/>
  <c r="K4883" i="16"/>
  <c r="N4883" i="16" s="1"/>
  <c r="N4882" i="16"/>
  <c r="K4352" i="16"/>
  <c r="N4351" i="16"/>
  <c r="K4324" i="16"/>
  <c r="N4323" i="16"/>
  <c r="K2964" i="16"/>
  <c r="N2964" i="16" s="1"/>
  <c r="N2959" i="16"/>
  <c r="J1839" i="16"/>
  <c r="K1464" i="16"/>
  <c r="N1464" i="16" s="1"/>
  <c r="N1430" i="16"/>
  <c r="K967" i="16"/>
  <c r="N967" i="16" s="1"/>
  <c r="N962" i="16"/>
  <c r="K620" i="16"/>
  <c r="N620" i="16" s="1"/>
  <c r="N619" i="16"/>
  <c r="K906" i="16"/>
  <c r="N890" i="16"/>
  <c r="K488" i="16"/>
  <c r="N488" i="16" s="1"/>
  <c r="N487" i="16"/>
  <c r="K443" i="16"/>
  <c r="N443" i="16" s="1"/>
  <c r="N442" i="16"/>
  <c r="K3756" i="16"/>
  <c r="N3756" i="16" s="1"/>
  <c r="N3751" i="16"/>
  <c r="L2822" i="16"/>
  <c r="N2822" i="16"/>
  <c r="K2700" i="16"/>
  <c r="N2700" i="16" s="1"/>
  <c r="N2698" i="16"/>
  <c r="K4843" i="16"/>
  <c r="N4843" i="16" s="1"/>
  <c r="N4832" i="16"/>
  <c r="K1763" i="16"/>
  <c r="N1763" i="16" s="1"/>
  <c r="N1749" i="16"/>
  <c r="K1611" i="16"/>
  <c r="N1611" i="16" s="1"/>
  <c r="N1526" i="16"/>
  <c r="K348" i="16"/>
  <c r="N348" i="16" s="1"/>
  <c r="N347" i="16"/>
  <c r="K1414" i="16"/>
  <c r="N1414" i="16" s="1"/>
  <c r="N1405" i="16"/>
  <c r="K4124" i="16"/>
  <c r="N4124" i="16" s="1"/>
  <c r="N4112" i="16"/>
  <c r="N1928" i="16"/>
  <c r="C397" i="19"/>
  <c r="K4267" i="16"/>
  <c r="N4266" i="16"/>
  <c r="K3274" i="16"/>
  <c r="N3274" i="16" s="1"/>
  <c r="N3267" i="16"/>
  <c r="K3439" i="16"/>
  <c r="N3439" i="16" s="1"/>
  <c r="N3438" i="16"/>
  <c r="K3042" i="16"/>
  <c r="N3042" i="16" s="1"/>
  <c r="N3040" i="16"/>
  <c r="K526" i="16"/>
  <c r="N526" i="16" s="1"/>
  <c r="N525" i="16"/>
  <c r="K1012" i="16"/>
  <c r="N1012" i="16" s="1"/>
  <c r="N1007" i="16"/>
  <c r="K3468" i="16"/>
  <c r="N3468" i="16" s="1"/>
  <c r="N3467" i="16"/>
  <c r="G704" i="16"/>
  <c r="K702" i="16"/>
  <c r="N701" i="16"/>
  <c r="K4289" i="16"/>
  <c r="N4288" i="16"/>
  <c r="P4243" i="16"/>
  <c r="K2110" i="16"/>
  <c r="N2110" i="16" s="1"/>
  <c r="N2109" i="16"/>
  <c r="K4019" i="16"/>
  <c r="N4019" i="16" s="1"/>
  <c r="N4012" i="16"/>
  <c r="K3356" i="16"/>
  <c r="N3356" i="16" s="1"/>
  <c r="N3355" i="16"/>
  <c r="K3002" i="16"/>
  <c r="N3002" i="16" s="1"/>
  <c r="N2994" i="16"/>
  <c r="K1591" i="16"/>
  <c r="N1579" i="16"/>
  <c r="K586" i="16"/>
  <c r="N586" i="16" s="1"/>
  <c r="N585" i="16"/>
  <c r="K261" i="16"/>
  <c r="N261" i="16" s="1"/>
  <c r="N260" i="16"/>
  <c r="K1971" i="16"/>
  <c r="N1971" i="16" s="1"/>
  <c r="N1970" i="16"/>
  <c r="O3343" i="16"/>
  <c r="H1840" i="16"/>
  <c r="H1841" i="16" s="1"/>
  <c r="G1198" i="16"/>
  <c r="F838" i="16"/>
  <c r="I4473" i="16"/>
  <c r="L4473" i="16" s="1"/>
  <c r="J1705" i="16"/>
  <c r="G4757" i="16"/>
  <c r="G4759" i="16" s="1"/>
  <c r="C1555" i="19"/>
  <c r="D1555" i="19" s="1"/>
  <c r="I3420" i="16"/>
  <c r="L3420" i="16" s="1"/>
  <c r="I2098" i="16"/>
  <c r="L2098" i="16" s="1"/>
  <c r="C915" i="19" s="1"/>
  <c r="P2281" i="16"/>
  <c r="C634" i="19"/>
  <c r="D634" i="19" s="1"/>
  <c r="E634" i="19" s="1"/>
  <c r="E1184" i="16"/>
  <c r="E1195" i="16" s="1"/>
  <c r="H1416" i="16"/>
  <c r="J1962" i="16"/>
  <c r="J1965" i="16" s="1"/>
  <c r="E585" i="16"/>
  <c r="E586" i="16" s="1"/>
  <c r="I2510" i="16"/>
  <c r="L2510" i="16" s="1"/>
  <c r="O2281" i="16"/>
  <c r="F301" i="16"/>
  <c r="F385" i="16" s="1"/>
  <c r="F387" i="16" s="1"/>
  <c r="G1527" i="16"/>
  <c r="O867" i="16"/>
  <c r="E2862" i="16"/>
  <c r="P1931" i="16"/>
  <c r="I880" i="16"/>
  <c r="L880" i="16" s="1"/>
  <c r="E2414" i="16"/>
  <c r="E2427" i="16" s="1"/>
  <c r="I2130" i="16"/>
  <c r="O2605" i="16"/>
  <c r="P2606" i="16"/>
  <c r="P2605" i="16" s="1"/>
  <c r="J2702" i="16"/>
  <c r="H2246" i="16"/>
  <c r="C341" i="19"/>
  <c r="D341" i="19" s="1"/>
  <c r="E341" i="19" s="1"/>
  <c r="J2071" i="16"/>
  <c r="H1610" i="16"/>
  <c r="H1612" i="16" s="1"/>
  <c r="P4652" i="16"/>
  <c r="P4651" i="16" s="1"/>
  <c r="O4651" i="16"/>
  <c r="O4351" i="16"/>
  <c r="O4352" i="16" s="1"/>
  <c r="E3267" i="16"/>
  <c r="E3274" i="16" s="1"/>
  <c r="L3144" i="16"/>
  <c r="O3144" i="16" s="1"/>
  <c r="I3143" i="16"/>
  <c r="L3143" i="16" s="1"/>
  <c r="J2247" i="16"/>
  <c r="I3091" i="16"/>
  <c r="L3091" i="16" s="1"/>
  <c r="E5006" i="16"/>
  <c r="I1247" i="16"/>
  <c r="L1247" i="16" s="1"/>
  <c r="C509" i="19" s="1"/>
  <c r="O97" i="16"/>
  <c r="J3756" i="16"/>
  <c r="O3189" i="16"/>
  <c r="P3190" i="16"/>
  <c r="P3189" i="16" s="1"/>
  <c r="O3672" i="16"/>
  <c r="G1763" i="16"/>
  <c r="G1840" i="16"/>
  <c r="H5032" i="16"/>
  <c r="E4882" i="16"/>
  <c r="E4883" i="16" s="1"/>
  <c r="E4495" i="16"/>
  <c r="I3539" i="16"/>
  <c r="L3539" i="16" s="1"/>
  <c r="E1895" i="16"/>
  <c r="E1901" i="16" s="1"/>
  <c r="I2414" i="16"/>
  <c r="L2414" i="16" s="1"/>
  <c r="C1060" i="19" s="1"/>
  <c r="D1060" i="19" s="1"/>
  <c r="E1514" i="16"/>
  <c r="E1405" i="16"/>
  <c r="E1414" i="16" s="1"/>
  <c r="I1007" i="16"/>
  <c r="I1012" i="16" s="1"/>
  <c r="O1474" i="16"/>
  <c r="P217" i="16"/>
  <c r="P218" i="16" s="1"/>
  <c r="E13" i="19" s="1"/>
  <c r="E14" i="19" s="1"/>
  <c r="F3926" i="16"/>
  <c r="F3928" i="16" s="1"/>
  <c r="F5039" i="16" s="1"/>
  <c r="E3926" i="16"/>
  <c r="E3928" i="16" s="1"/>
  <c r="E5039" i="16" s="1"/>
  <c r="P3746" i="16"/>
  <c r="P3743" i="16" s="1"/>
  <c r="O3743" i="16"/>
  <c r="F2427" i="16"/>
  <c r="K1838" i="16"/>
  <c r="N1838" i="16" s="1"/>
  <c r="H1527" i="16"/>
  <c r="G1838" i="16"/>
  <c r="L1849" i="16"/>
  <c r="O1849" i="16" s="1"/>
  <c r="I1848" i="16"/>
  <c r="L1848" i="16" s="1"/>
  <c r="C781" i="19" s="1"/>
  <c r="P1578" i="16"/>
  <c r="P1577" i="16" s="1"/>
  <c r="O1577" i="16"/>
  <c r="E2244" i="16"/>
  <c r="G3075" i="16"/>
  <c r="E1818" i="16"/>
  <c r="I2121" i="16"/>
  <c r="L2121" i="16" s="1"/>
  <c r="C751" i="19" s="1"/>
  <c r="P1804" i="16"/>
  <c r="F1591" i="16"/>
  <c r="F1609" i="16" s="1"/>
  <c r="E962" i="16"/>
  <c r="E967" i="16" s="1"/>
  <c r="E347" i="16"/>
  <c r="E348" i="16" s="1"/>
  <c r="G1367" i="16"/>
  <c r="I299" i="16"/>
  <c r="I300" i="16" s="1"/>
  <c r="L300" i="16" s="1"/>
  <c r="F4564" i="16"/>
  <c r="K4055" i="16"/>
  <c r="N4055" i="16" s="1"/>
  <c r="O3064" i="16"/>
  <c r="P3065" i="16"/>
  <c r="P3064" i="16" s="1"/>
  <c r="F1840" i="16"/>
  <c r="O3091" i="16"/>
  <c r="G1839" i="16"/>
  <c r="P1473" i="16"/>
  <c r="P1472" i="16" s="1"/>
  <c r="O1472" i="16"/>
  <c r="H4761" i="16"/>
  <c r="E3207" i="16"/>
  <c r="E3209" i="16" s="1"/>
  <c r="E2702" i="16"/>
  <c r="G2861" i="16"/>
  <c r="G2863" i="16" s="1"/>
  <c r="G2006" i="16"/>
  <c r="G2247" i="16" s="1"/>
  <c r="H3756" i="16"/>
  <c r="P3648" i="16"/>
  <c r="P3647" i="16" s="1"/>
  <c r="O3647" i="16"/>
  <c r="H1415" i="16"/>
  <c r="E1047" i="16"/>
  <c r="E1056" i="16" s="1"/>
  <c r="O3483" i="16"/>
  <c r="I3320" i="16"/>
  <c r="L3320" i="16" s="1"/>
  <c r="B2" i="28" s="1"/>
  <c r="J1367" i="16"/>
  <c r="I11" i="16"/>
  <c r="L11" i="16" s="1"/>
  <c r="L4329" i="16"/>
  <c r="I4333" i="16"/>
  <c r="L4333" i="16" s="1"/>
  <c r="C1944" i="19" s="1"/>
  <c r="L4426" i="16"/>
  <c r="O4426" i="16" s="1"/>
  <c r="I4425" i="16"/>
  <c r="L4425" i="16" s="1"/>
  <c r="P4093" i="16"/>
  <c r="P4092" i="16" s="1"/>
  <c r="O4092" i="16"/>
  <c r="K4126" i="16"/>
  <c r="N4126" i="16" s="1"/>
  <c r="E838" i="16"/>
  <c r="E840" i="16" s="1"/>
  <c r="K4757" i="16"/>
  <c r="N4757" i="16" s="1"/>
  <c r="J4614" i="16"/>
  <c r="I4120" i="16"/>
  <c r="L4120" i="16" s="1"/>
  <c r="I4112" i="16"/>
  <c r="L4112" i="16" s="1"/>
  <c r="C1817" i="19" s="1"/>
  <c r="C1580" i="19"/>
  <c r="C1578" i="19" s="1"/>
  <c r="P3483" i="16"/>
  <c r="F1367" i="16"/>
  <c r="E525" i="16"/>
  <c r="E526" i="16" s="1"/>
  <c r="G1057" i="16"/>
  <c r="I3066" i="16"/>
  <c r="L3066" i="16" s="1"/>
  <c r="C1390" i="19" s="1"/>
  <c r="C1388" i="19" s="1"/>
  <c r="C86" i="20" s="1"/>
  <c r="G1610" i="16"/>
  <c r="F1763" i="16"/>
  <c r="O689" i="16"/>
  <c r="P690" i="16"/>
  <c r="P689" i="16" s="1"/>
  <c r="I4297" i="16"/>
  <c r="L4293" i="16"/>
  <c r="L2057" i="16"/>
  <c r="O4301" i="16"/>
  <c r="O4303" i="16" s="1"/>
  <c r="O4304" i="16" s="1"/>
  <c r="P4302" i="16"/>
  <c r="P4301" i="16" s="1"/>
  <c r="P4303" i="16" s="1"/>
  <c r="P4304" i="16" s="1"/>
  <c r="I2794" i="16"/>
  <c r="L2792" i="16"/>
  <c r="I1908" i="16"/>
  <c r="L1908" i="16" s="1"/>
  <c r="C795" i="19" s="1"/>
  <c r="L1906" i="16"/>
  <c r="C743" i="19" s="1"/>
  <c r="C224" i="19"/>
  <c r="D224" i="19" s="1"/>
  <c r="E224" i="19" s="1"/>
  <c r="P4351" i="16"/>
  <c r="P4352" i="16" s="1"/>
  <c r="O4243" i="16"/>
  <c r="C1623" i="19"/>
  <c r="D1623" i="19" s="1"/>
  <c r="H3542" i="16"/>
  <c r="E3157" i="16"/>
  <c r="E3206" i="16" s="1"/>
  <c r="J3075" i="16"/>
  <c r="P3488" i="16"/>
  <c r="F3075" i="16"/>
  <c r="H2702" i="16"/>
  <c r="I2082" i="16"/>
  <c r="L2082" i="16" s="1"/>
  <c r="E2054" i="16"/>
  <c r="E2071" i="16" s="1"/>
  <c r="F303" i="16"/>
  <c r="O4816" i="16"/>
  <c r="P4817" i="16"/>
  <c r="P4816" i="16" s="1"/>
  <c r="P3835" i="16"/>
  <c r="P3833" i="16" s="1"/>
  <c r="O3833" i="16"/>
  <c r="L1851" i="16"/>
  <c r="O1851" i="16" s="1"/>
  <c r="I1850" i="16"/>
  <c r="L1850" i="16" s="1"/>
  <c r="C1526" i="19"/>
  <c r="P4946" i="16"/>
  <c r="P4945" i="16" s="1"/>
  <c r="O4945" i="16"/>
  <c r="I4702" i="16"/>
  <c r="L4702" i="16" s="1"/>
  <c r="C2096" i="19" s="1"/>
  <c r="L4694" i="16"/>
  <c r="O4270" i="16"/>
  <c r="P4271" i="16"/>
  <c r="P4270" i="16" s="1"/>
  <c r="P4275" i="16" s="1"/>
  <c r="P3889" i="16"/>
  <c r="P3888" i="16" s="1"/>
  <c r="O3888" i="16"/>
  <c r="D1699" i="19"/>
  <c r="C1685" i="19"/>
  <c r="E3607" i="16"/>
  <c r="C1419" i="19"/>
  <c r="E1339" i="19"/>
  <c r="E1324" i="19" s="1"/>
  <c r="D1324" i="19"/>
  <c r="O2078" i="16"/>
  <c r="O2082" i="16" s="1"/>
  <c r="P2079" i="16"/>
  <c r="P2078" i="16" s="1"/>
  <c r="P2082" i="16" s="1"/>
  <c r="O2101" i="16"/>
  <c r="P2102" i="16"/>
  <c r="P2101" i="16" s="1"/>
  <c r="O1257" i="16"/>
  <c r="P1258" i="16"/>
  <c r="P1257" i="16" s="1"/>
  <c r="P643" i="16"/>
  <c r="P642" i="16" s="1"/>
  <c r="O642" i="16"/>
  <c r="L83" i="16"/>
  <c r="O83" i="16" s="1"/>
  <c r="I81" i="16"/>
  <c r="L81" i="16" s="1"/>
  <c r="O4959" i="16"/>
  <c r="P4960" i="16"/>
  <c r="P4959" i="16" s="1"/>
  <c r="D2137" i="19"/>
  <c r="E2219" i="19"/>
  <c r="E2137" i="19" s="1"/>
  <c r="O5001" i="16"/>
  <c r="P5002" i="16"/>
  <c r="P5001" i="16" s="1"/>
  <c r="O4818" i="16"/>
  <c r="P4819" i="16"/>
  <c r="P4818" i="16" s="1"/>
  <c r="I4882" i="16"/>
  <c r="L4750" i="16"/>
  <c r="I4755" i="16"/>
  <c r="E4615" i="16"/>
  <c r="E4613" i="16"/>
  <c r="P4490" i="16"/>
  <c r="P4489" i="16" s="1"/>
  <c r="P4494" i="16" s="1"/>
  <c r="O4489" i="16"/>
  <c r="O4494" i="16" s="1"/>
  <c r="P4582" i="16"/>
  <c r="P4581" i="16" s="1"/>
  <c r="O4581" i="16"/>
  <c r="O4653" i="16"/>
  <c r="P4654" i="16"/>
  <c r="P4653" i="16" s="1"/>
  <c r="O4574" i="16"/>
  <c r="P4575" i="16"/>
  <c r="P4574" i="16" s="1"/>
  <c r="O4210" i="16"/>
  <c r="P4211" i="16"/>
  <c r="P4210" i="16" s="1"/>
  <c r="O4550" i="16"/>
  <c r="P4551" i="16"/>
  <c r="P4550" i="16" s="1"/>
  <c r="O4319" i="16"/>
  <c r="P4320" i="16"/>
  <c r="P4319" i="16" s="1"/>
  <c r="P4323" i="16" s="1"/>
  <c r="P4324" i="16" s="1"/>
  <c r="O4215" i="16"/>
  <c r="P4216" i="16"/>
  <c r="P4215" i="16" s="1"/>
  <c r="L4115" i="16"/>
  <c r="L4044" i="16"/>
  <c r="O3990" i="16"/>
  <c r="P3876" i="16"/>
  <c r="P3875" i="16" s="1"/>
  <c r="O3875" i="16"/>
  <c r="P3806" i="16"/>
  <c r="P3805" i="16" s="1"/>
  <c r="O3805" i="16"/>
  <c r="O3611" i="16"/>
  <c r="P3613" i="16"/>
  <c r="P3611" i="16" s="1"/>
  <c r="L3475" i="16"/>
  <c r="O3475" i="16" s="1"/>
  <c r="I3474" i="16"/>
  <c r="L3474" i="16" s="1"/>
  <c r="C1568" i="19" s="1"/>
  <c r="G4055" i="16"/>
  <c r="D1709" i="19"/>
  <c r="O3273" i="16"/>
  <c r="I3385" i="16"/>
  <c r="O3233" i="16"/>
  <c r="P3234" i="16"/>
  <c r="P3233" i="16" s="1"/>
  <c r="O2846" i="16"/>
  <c r="P2847" i="16"/>
  <c r="P2846" i="16" s="1"/>
  <c r="P3343" i="16"/>
  <c r="O3177" i="16"/>
  <c r="P3178" i="16"/>
  <c r="P3177" i="16" s="1"/>
  <c r="O3062" i="16"/>
  <c r="P3063" i="16"/>
  <c r="P3062" i="16" s="1"/>
  <c r="P2983" i="16"/>
  <c r="P2982" i="16" s="1"/>
  <c r="O2982" i="16"/>
  <c r="P2908" i="16"/>
  <c r="P2907" i="16" s="1"/>
  <c r="O2907" i="16"/>
  <c r="P2829" i="16"/>
  <c r="P2827" i="16" s="1"/>
  <c r="O2827" i="16"/>
  <c r="C1502" i="19"/>
  <c r="O3048" i="16"/>
  <c r="P3049" i="16"/>
  <c r="P3048" i="16" s="1"/>
  <c r="I2748" i="16"/>
  <c r="L2748" i="16" s="1"/>
  <c r="L2746" i="16"/>
  <c r="C1236" i="19" s="1"/>
  <c r="D1236" i="19" s="1"/>
  <c r="E1236" i="19" s="1"/>
  <c r="O2614" i="16"/>
  <c r="O2616" i="16" s="1"/>
  <c r="P2615" i="16"/>
  <c r="P2614" i="16" s="1"/>
  <c r="P2616" i="16" s="1"/>
  <c r="O2854" i="16"/>
  <c r="P2855" i="16"/>
  <c r="P2854" i="16" s="1"/>
  <c r="E2778" i="16"/>
  <c r="L2637" i="16"/>
  <c r="I2646" i="16"/>
  <c r="L2646" i="16" s="1"/>
  <c r="C1179" i="19" s="1"/>
  <c r="O2378" i="16"/>
  <c r="P2379" i="16"/>
  <c r="P2378" i="16" s="1"/>
  <c r="F3206" i="16"/>
  <c r="P3087" i="16"/>
  <c r="O2696" i="16"/>
  <c r="P2697" i="16"/>
  <c r="P2696" i="16" s="1"/>
  <c r="O2609" i="16"/>
  <c r="P2610" i="16"/>
  <c r="P2609" i="16" s="1"/>
  <c r="I2612" i="16"/>
  <c r="P2439" i="16"/>
  <c r="P2438" i="16" s="1"/>
  <c r="O2438" i="16"/>
  <c r="L2191" i="16"/>
  <c r="O2191" i="16" s="1"/>
  <c r="I2190" i="16"/>
  <c r="L2190" i="16" s="1"/>
  <c r="O2292" i="16"/>
  <c r="P2293" i="16"/>
  <c r="P2292" i="16" s="1"/>
  <c r="O2663" i="16"/>
  <c r="P2664" i="16"/>
  <c r="P2663" i="16" s="1"/>
  <c r="I2886" i="16"/>
  <c r="L2886" i="16" s="1"/>
  <c r="O2657" i="16"/>
  <c r="P2658" i="16"/>
  <c r="P2657" i="16" s="1"/>
  <c r="O1681" i="16"/>
  <c r="P1682" i="16"/>
  <c r="P1681" i="16" s="1"/>
  <c r="O2174" i="16"/>
  <c r="P2175" i="16"/>
  <c r="P2174" i="16" s="1"/>
  <c r="L2050" i="16"/>
  <c r="O2050" i="16" s="1"/>
  <c r="I2049" i="16"/>
  <c r="P1662" i="16"/>
  <c r="P1661" i="16" s="1"/>
  <c r="O1661" i="16"/>
  <c r="O2352" i="16"/>
  <c r="L2101" i="16"/>
  <c r="I2109" i="16"/>
  <c r="C1061" i="19"/>
  <c r="D1061" i="19" s="1"/>
  <c r="E1061" i="19" s="1"/>
  <c r="L2043" i="16"/>
  <c r="O2043" i="16" s="1"/>
  <c r="I2042" i="16"/>
  <c r="L2042" i="16" s="1"/>
  <c r="P2305" i="16"/>
  <c r="O2149" i="16"/>
  <c r="P2150" i="16"/>
  <c r="P2149" i="16" s="1"/>
  <c r="P1827" i="16"/>
  <c r="P1825" i="16" s="1"/>
  <c r="O1825" i="16"/>
  <c r="O1566" i="16"/>
  <c r="P1567" i="16"/>
  <c r="P1566" i="16" s="1"/>
  <c r="O1066" i="16"/>
  <c r="P1067" i="16"/>
  <c r="P1066" i="16" s="1"/>
  <c r="O936" i="16"/>
  <c r="P937" i="16"/>
  <c r="P936" i="16" s="1"/>
  <c r="J2007" i="16"/>
  <c r="L1582" i="16"/>
  <c r="O1541" i="16"/>
  <c r="P1542" i="16"/>
  <c r="P1541" i="16" s="1"/>
  <c r="O1140" i="16"/>
  <c r="P1141" i="16"/>
  <c r="P1140" i="16" s="1"/>
  <c r="D849" i="19"/>
  <c r="C848" i="19"/>
  <c r="D52" i="20" s="1"/>
  <c r="P1400" i="16"/>
  <c r="P1399" i="16" s="1"/>
  <c r="L1891" i="16"/>
  <c r="C783" i="19" s="1"/>
  <c r="O1036" i="16"/>
  <c r="P1037" i="16"/>
  <c r="P1036" i="16" s="1"/>
  <c r="D510" i="19"/>
  <c r="K1123" i="16"/>
  <c r="N1123" i="16" s="1"/>
  <c r="E410" i="19"/>
  <c r="F840" i="16"/>
  <c r="I1194" i="16"/>
  <c r="L1187" i="16"/>
  <c r="L852" i="16"/>
  <c r="O852" i="16" s="1"/>
  <c r="I851" i="16"/>
  <c r="L851" i="16" s="1"/>
  <c r="O880" i="16"/>
  <c r="P881" i="16"/>
  <c r="P880" i="16" s="1"/>
  <c r="P1321" i="16"/>
  <c r="P1320" i="16" s="1"/>
  <c r="O1320" i="16"/>
  <c r="E460" i="19"/>
  <c r="C411" i="19"/>
  <c r="D26" i="20" s="1"/>
  <c r="D412" i="19"/>
  <c r="P1474" i="16"/>
  <c r="O1027" i="16"/>
  <c r="P1028" i="16"/>
  <c r="P1027" i="16" s="1"/>
  <c r="O227" i="16"/>
  <c r="P228" i="16"/>
  <c r="P227" i="16" s="1"/>
  <c r="O165" i="16"/>
  <c r="P166" i="16"/>
  <c r="P165" i="16" s="1"/>
  <c r="G1195" i="16"/>
  <c r="H838" i="16"/>
  <c r="I619" i="16"/>
  <c r="L614" i="16"/>
  <c r="C302" i="19" s="1"/>
  <c r="D302" i="19" s="1"/>
  <c r="E302" i="19" s="1"/>
  <c r="I217" i="16"/>
  <c r="P450" i="16"/>
  <c r="I585" i="16"/>
  <c r="L68" i="16"/>
  <c r="E70" i="19"/>
  <c r="O4433" i="16"/>
  <c r="P4434" i="16"/>
  <c r="P4433" i="16" s="1"/>
  <c r="O4327" i="16"/>
  <c r="O4333" i="16" s="1"/>
  <c r="P4328" i="16"/>
  <c r="P4327" i="16" s="1"/>
  <c r="P4333" i="16" s="1"/>
  <c r="L3611" i="16"/>
  <c r="O3330" i="16"/>
  <c r="P3331" i="16"/>
  <c r="P3330" i="16" s="1"/>
  <c r="I3970" i="16"/>
  <c r="H3541" i="16"/>
  <c r="O3289" i="16"/>
  <c r="P3290" i="16"/>
  <c r="P3289" i="16" s="1"/>
  <c r="H2863" i="16"/>
  <c r="O3087" i="16"/>
  <c r="O2602" i="16"/>
  <c r="P2603" i="16"/>
  <c r="P2602" i="16" s="1"/>
  <c r="O2449" i="16"/>
  <c r="P2450" i="16"/>
  <c r="P2449" i="16" s="1"/>
  <c r="O2305" i="16"/>
  <c r="P1800" i="16"/>
  <c r="P1799" i="16" s="1"/>
  <c r="O1799" i="16"/>
  <c r="E688" i="19"/>
  <c r="D702" i="19"/>
  <c r="P4741" i="16"/>
  <c r="P4740" i="16" s="1"/>
  <c r="O4740" i="16"/>
  <c r="O5041" i="16"/>
  <c r="K5031" i="16"/>
  <c r="K4931" i="16"/>
  <c r="N4931" i="16" s="1"/>
  <c r="P4800" i="16"/>
  <c r="P4799" i="16" s="1"/>
  <c r="P4806" i="16" s="1"/>
  <c r="P4807" i="16" s="1"/>
  <c r="O4799" i="16"/>
  <c r="O4806" i="16" s="1"/>
  <c r="O4807" i="16" s="1"/>
  <c r="G5031" i="16"/>
  <c r="G5033" i="16" s="1"/>
  <c r="G4931" i="16"/>
  <c r="L4710" i="16"/>
  <c r="I4712" i="16"/>
  <c r="H5031" i="16"/>
  <c r="O4750" i="16"/>
  <c r="P4751" i="16"/>
  <c r="P4750" i="16" s="1"/>
  <c r="L4610" i="16"/>
  <c r="O4610" i="16" s="1"/>
  <c r="I4609" i="16"/>
  <c r="F4759" i="16"/>
  <c r="G4761" i="16"/>
  <c r="L4447" i="16"/>
  <c r="I4449" i="16"/>
  <c r="O4185" i="16"/>
  <c r="O4187" i="16" s="1"/>
  <c r="P4186" i="16"/>
  <c r="P4185" i="16" s="1"/>
  <c r="P4187" i="16" s="1"/>
  <c r="P4245" i="16"/>
  <c r="P4244" i="16" s="1"/>
  <c r="P4266" i="16" s="1"/>
  <c r="O4244" i="16"/>
  <c r="P4543" i="16"/>
  <c r="P4542" i="16" s="1"/>
  <c r="O4542" i="16"/>
  <c r="O4200" i="16"/>
  <c r="O4429" i="16"/>
  <c r="P4430" i="16"/>
  <c r="P4429" i="16" s="1"/>
  <c r="I4288" i="16"/>
  <c r="O4208" i="16"/>
  <c r="P4209" i="16"/>
  <c r="P4208" i="16" s="1"/>
  <c r="H4276" i="16"/>
  <c r="P3959" i="16"/>
  <c r="P3956" i="16" s="1"/>
  <c r="O3956" i="16"/>
  <c r="P3987" i="16"/>
  <c r="P3986" i="16" s="1"/>
  <c r="O3986" i="16"/>
  <c r="P3858" i="16"/>
  <c r="P3857" i="16" s="1"/>
  <c r="O3857" i="16"/>
  <c r="L4187" i="16"/>
  <c r="C1881" i="19" s="1"/>
  <c r="O4023" i="16"/>
  <c r="P4024" i="16"/>
  <c r="P4023" i="16" s="1"/>
  <c r="O3589" i="16"/>
  <c r="P3590" i="16"/>
  <c r="P3589" i="16" s="1"/>
  <c r="O3464" i="16"/>
  <c r="P3465" i="16"/>
  <c r="P3464" i="16" s="1"/>
  <c r="P3232" i="16"/>
  <c r="P3231" i="16" s="1"/>
  <c r="O3231" i="16"/>
  <c r="O3460" i="16"/>
  <c r="P3461" i="16"/>
  <c r="P3460" i="16" s="1"/>
  <c r="O3338" i="16"/>
  <c r="P3339" i="16"/>
  <c r="P3338" i="16" s="1"/>
  <c r="O3037" i="16"/>
  <c r="P3038" i="16"/>
  <c r="P3037" i="16" s="1"/>
  <c r="O3134" i="16"/>
  <c r="P3135" i="16"/>
  <c r="P3134" i="16" s="1"/>
  <c r="O2769" i="16"/>
  <c r="P2770" i="16"/>
  <c r="P2769" i="16" s="1"/>
  <c r="O3243" i="16"/>
  <c r="P3244" i="16"/>
  <c r="P3243" i="16" s="1"/>
  <c r="P2870" i="16"/>
  <c r="P2869" i="16" s="1"/>
  <c r="O2869" i="16"/>
  <c r="L2724" i="16"/>
  <c r="O2724" i="16" s="1"/>
  <c r="I2723" i="16"/>
  <c r="O3257" i="16"/>
  <c r="P3258" i="16"/>
  <c r="P3257" i="16" s="1"/>
  <c r="K2833" i="16"/>
  <c r="N2833" i="16" s="1"/>
  <c r="E1151" i="19"/>
  <c r="O2346" i="16"/>
  <c r="P2347" i="16"/>
  <c r="P2346" i="16" s="1"/>
  <c r="L2696" i="16"/>
  <c r="C1208" i="19" s="1"/>
  <c r="D1208" i="19" s="1"/>
  <c r="E1208" i="19" s="1"/>
  <c r="I2698" i="16"/>
  <c r="L2681" i="16"/>
  <c r="C1196" i="19" s="1"/>
  <c r="O2395" i="16"/>
  <c r="P2396" i="16"/>
  <c r="P2395" i="16" s="1"/>
  <c r="O2279" i="16"/>
  <c r="P2280" i="16"/>
  <c r="P2279" i="16" s="1"/>
  <c r="O3010" i="16"/>
  <c r="C1275" i="19"/>
  <c r="D1275" i="19" s="1"/>
  <c r="E1275" i="19" s="1"/>
  <c r="L2657" i="16"/>
  <c r="I2672" i="16"/>
  <c r="L2672" i="16" s="1"/>
  <c r="C1193" i="19" s="1"/>
  <c r="O1669" i="16"/>
  <c r="P1670" i="16"/>
  <c r="P1669" i="16" s="1"/>
  <c r="I2426" i="16"/>
  <c r="L2422" i="16"/>
  <c r="O2016" i="16"/>
  <c r="P2017" i="16"/>
  <c r="P2016" i="16" s="1"/>
  <c r="P1747" i="16"/>
  <c r="P1746" i="16" s="1"/>
  <c r="O1746" i="16"/>
  <c r="P1659" i="16"/>
  <c r="L2369" i="16"/>
  <c r="E1137" i="19"/>
  <c r="I2473" i="16"/>
  <c r="L2473" i="16" s="1"/>
  <c r="C1073" i="19" s="1"/>
  <c r="L2149" i="16"/>
  <c r="I2151" i="16"/>
  <c r="O2025" i="16"/>
  <c r="P2026" i="16"/>
  <c r="P2025" i="16" s="1"/>
  <c r="O1038" i="16"/>
  <c r="P1039" i="16"/>
  <c r="P1038" i="16" s="1"/>
  <c r="O911" i="16"/>
  <c r="P912" i="16"/>
  <c r="P911" i="16" s="1"/>
  <c r="H1763" i="16"/>
  <c r="E715" i="19"/>
  <c r="O1559" i="16"/>
  <c r="P1560" i="16"/>
  <c r="P1559" i="16" s="1"/>
  <c r="P1455" i="16"/>
  <c r="P1454" i="16" s="1"/>
  <c r="O1454" i="16"/>
  <c r="P1349" i="16"/>
  <c r="P1348" i="16" s="1"/>
  <c r="O1348" i="16"/>
  <c r="P1127" i="16"/>
  <c r="P1126" i="16" s="1"/>
  <c r="O1126" i="16"/>
  <c r="P1585" i="16"/>
  <c r="P1590" i="16" s="1"/>
  <c r="O1132" i="16"/>
  <c r="P1133" i="16"/>
  <c r="P1132" i="16" s="1"/>
  <c r="O1623" i="16"/>
  <c r="P1624" i="16"/>
  <c r="P1623" i="16" s="1"/>
  <c r="O1891" i="16"/>
  <c r="P1892" i="16"/>
  <c r="P1891" i="16" s="1"/>
  <c r="O1693" i="16"/>
  <c r="O1691" i="16" s="1"/>
  <c r="O1307" i="16"/>
  <c r="P1308" i="16"/>
  <c r="P1307" i="16" s="1"/>
  <c r="O1152" i="16"/>
  <c r="P1153" i="16"/>
  <c r="P1152" i="16" s="1"/>
  <c r="O991" i="16"/>
  <c r="P992" i="16"/>
  <c r="P991" i="16" s="1"/>
  <c r="E434" i="19"/>
  <c r="P1312" i="16"/>
  <c r="P1311" i="16" s="1"/>
  <c r="O1311" i="16"/>
  <c r="P1188" i="16"/>
  <c r="P1187" i="16" s="1"/>
  <c r="P1194" i="16" s="1"/>
  <c r="O1187" i="16"/>
  <c r="O1194" i="16" s="1"/>
  <c r="O872" i="16"/>
  <c r="P873" i="16"/>
  <c r="P872" i="16" s="1"/>
  <c r="E340" i="19"/>
  <c r="J1417" i="16"/>
  <c r="O737" i="16"/>
  <c r="P738" i="16"/>
  <c r="P737" i="16" s="1"/>
  <c r="O1381" i="16"/>
  <c r="P1382" i="16"/>
  <c r="P1381" i="16" s="1"/>
  <c r="P965" i="16"/>
  <c r="P966" i="16" s="1"/>
  <c r="P1058" i="16" s="1"/>
  <c r="O966" i="16"/>
  <c r="O900" i="16"/>
  <c r="P901" i="16"/>
  <c r="P900" i="16" s="1"/>
  <c r="L655" i="16"/>
  <c r="O655" i="16" s="1"/>
  <c r="I654" i="16"/>
  <c r="L654" i="16" s="1"/>
  <c r="O745" i="16"/>
  <c r="P746" i="16"/>
  <c r="P745" i="16" s="1"/>
  <c r="O595" i="16"/>
  <c r="P596" i="16"/>
  <c r="P595" i="16" s="1"/>
  <c r="L410" i="16"/>
  <c r="O410" i="16" s="1"/>
  <c r="I409" i="16"/>
  <c r="O753" i="16"/>
  <c r="P754" i="16"/>
  <c r="P753" i="16" s="1"/>
  <c r="O699" i="16"/>
  <c r="P700" i="16"/>
  <c r="P699" i="16" s="1"/>
  <c r="O592" i="16"/>
  <c r="P593" i="16"/>
  <c r="P592" i="16" s="1"/>
  <c r="L62" i="16"/>
  <c r="O62" i="16" s="1"/>
  <c r="I60" i="16"/>
  <c r="L60" i="16" s="1"/>
  <c r="L342" i="16"/>
  <c r="C154" i="19" s="1"/>
  <c r="D154" i="19" s="1"/>
  <c r="E154" i="19" s="1"/>
  <c r="C343" i="19"/>
  <c r="D344" i="19"/>
  <c r="I525" i="16"/>
  <c r="O68" i="16"/>
  <c r="P69" i="16"/>
  <c r="P68" i="16" s="1"/>
  <c r="C263" i="19"/>
  <c r="D263" i="19" s="1"/>
  <c r="E263" i="19" s="1"/>
  <c r="O307" i="16"/>
  <c r="P308" i="16"/>
  <c r="P307" i="16" s="1"/>
  <c r="B5" i="18"/>
  <c r="L4049" i="16"/>
  <c r="O4049" i="16" s="1"/>
  <c r="I4047" i="16"/>
  <c r="L4047" i="16" s="1"/>
  <c r="P3727" i="16"/>
  <c r="P3726" i="16" s="1"/>
  <c r="O3726" i="16"/>
  <c r="P3247" i="16"/>
  <c r="P3246" i="16" s="1"/>
  <c r="O3246" i="16"/>
  <c r="L2752" i="16"/>
  <c r="O2752" i="16" s="1"/>
  <c r="I2751" i="16"/>
  <c r="O2637" i="16"/>
  <c r="O2646" i="16" s="1"/>
  <c r="P2638" i="16"/>
  <c r="P2637" i="16" s="1"/>
  <c r="P2646" i="16" s="1"/>
  <c r="E2152" i="16"/>
  <c r="E2154" i="16"/>
  <c r="O2239" i="16"/>
  <c r="P2240" i="16"/>
  <c r="P2239" i="16" s="1"/>
  <c r="O1574" i="16"/>
  <c r="P1575" i="16"/>
  <c r="P1574" i="16" s="1"/>
  <c r="P914" i="16"/>
  <c r="P913" i="16" s="1"/>
  <c r="O913" i="16"/>
  <c r="O243" i="16"/>
  <c r="P244" i="16"/>
  <c r="P243" i="16" s="1"/>
  <c r="I4746" i="16"/>
  <c r="H4759" i="16"/>
  <c r="H4760" i="16"/>
  <c r="H4762" i="16" s="1"/>
  <c r="J5031" i="16"/>
  <c r="J5033" i="16" s="1"/>
  <c r="F29" i="32" s="1"/>
  <c r="I4552" i="16"/>
  <c r="L4552" i="16" s="1"/>
  <c r="L4553" i="16"/>
  <c r="O4553" i="16" s="1"/>
  <c r="F4614" i="16"/>
  <c r="F4760" i="16" s="1"/>
  <c r="O4447" i="16"/>
  <c r="P4448" i="16"/>
  <c r="P4447" i="16" s="1"/>
  <c r="O4170" i="16"/>
  <c r="P4171" i="16"/>
  <c r="P4170" i="16" s="1"/>
  <c r="L4542" i="16"/>
  <c r="C2054" i="19" s="1"/>
  <c r="I4547" i="16"/>
  <c r="L4547" i="16" s="1"/>
  <c r="O4201" i="16"/>
  <c r="P4202" i="16"/>
  <c r="P4201" i="16" s="1"/>
  <c r="P4120" i="16"/>
  <c r="P4123" i="16" s="1"/>
  <c r="C1760" i="19"/>
  <c r="O3935" i="16"/>
  <c r="I4012" i="16"/>
  <c r="L3986" i="16"/>
  <c r="P3855" i="16"/>
  <c r="P3854" i="16" s="1"/>
  <c r="O3854" i="16"/>
  <c r="P3700" i="16"/>
  <c r="P3699" i="16" s="1"/>
  <c r="O3699" i="16"/>
  <c r="P4051" i="16"/>
  <c r="P4050" i="16" s="1"/>
  <c r="O4050" i="16"/>
  <c r="L4357" i="16"/>
  <c r="C1957" i="19" s="1"/>
  <c r="I4181" i="16"/>
  <c r="I4041" i="16"/>
  <c r="L4023" i="16"/>
  <c r="O3624" i="16"/>
  <c r="P3631" i="16"/>
  <c r="P3624" i="16" s="1"/>
  <c r="I3925" i="16"/>
  <c r="L3921" i="16"/>
  <c r="P3371" i="16"/>
  <c r="P3370" i="16" s="1"/>
  <c r="O3370" i="16"/>
  <c r="O3567" i="16"/>
  <c r="P3570" i="16"/>
  <c r="P3567" i="16" s="1"/>
  <c r="O3454" i="16"/>
  <c r="P3455" i="16"/>
  <c r="P3454" i="16" s="1"/>
  <c r="H4127" i="16"/>
  <c r="O3583" i="16"/>
  <c r="P3584" i="16"/>
  <c r="P3583" i="16" s="1"/>
  <c r="G3541" i="16"/>
  <c r="O3261" i="16"/>
  <c r="P3262" i="16"/>
  <c r="P3261" i="16" s="1"/>
  <c r="O3024" i="16"/>
  <c r="P3025" i="16"/>
  <c r="P3024" i="16" s="1"/>
  <c r="O3215" i="16"/>
  <c r="P3216" i="16"/>
  <c r="P3215" i="16" s="1"/>
  <c r="O2762" i="16"/>
  <c r="P2763" i="16"/>
  <c r="P2762" i="16" s="1"/>
  <c r="I3243" i="16"/>
  <c r="L3243" i="16" s="1"/>
  <c r="P2976" i="16"/>
  <c r="P2975" i="16" s="1"/>
  <c r="O2975" i="16"/>
  <c r="O2718" i="16"/>
  <c r="P2719" i="16"/>
  <c r="P2718" i="16" s="1"/>
  <c r="C1489" i="19"/>
  <c r="O3119" i="16"/>
  <c r="P3116" i="16"/>
  <c r="P3119" i="16" s="1"/>
  <c r="L3001" i="16"/>
  <c r="L2856" i="16"/>
  <c r="I2859" i="16"/>
  <c r="O2341" i="16"/>
  <c r="P2342" i="16"/>
  <c r="P2341" i="16" s="1"/>
  <c r="O2558" i="16"/>
  <c r="P2559" i="16"/>
  <c r="P2558" i="16" s="1"/>
  <c r="O3001" i="16"/>
  <c r="O2997" i="16"/>
  <c r="P2998" i="16"/>
  <c r="P2577" i="16"/>
  <c r="P2576" i="16" s="1"/>
  <c r="O2576" i="16"/>
  <c r="O2140" i="16"/>
  <c r="P2141" i="16"/>
  <c r="P2140" i="16" s="1"/>
  <c r="L2357" i="16"/>
  <c r="C1049" i="19" s="1"/>
  <c r="D1049" i="19" s="1"/>
  <c r="E1049" i="19" s="1"/>
  <c r="I2359" i="16"/>
  <c r="L2359" i="16" s="1"/>
  <c r="O2258" i="16"/>
  <c r="P2259" i="16"/>
  <c r="P2258" i="16" s="1"/>
  <c r="P3010" i="16"/>
  <c r="O2830" i="16"/>
  <c r="P2831" i="16"/>
  <c r="P2830" i="16" s="1"/>
  <c r="C1088" i="19"/>
  <c r="C748" i="19"/>
  <c r="C902" i="19"/>
  <c r="O2332" i="16"/>
  <c r="P2423" i="16"/>
  <c r="P2422" i="16" s="1"/>
  <c r="O2422" i="16"/>
  <c r="P2200" i="16"/>
  <c r="O2107" i="16"/>
  <c r="P2108" i="16"/>
  <c r="P2107" i="16" s="1"/>
  <c r="L1815" i="16"/>
  <c r="P2370" i="16"/>
  <c r="P2369" i="16" s="1"/>
  <c r="O2369" i="16"/>
  <c r="O988" i="16"/>
  <c r="P989" i="16"/>
  <c r="P988" i="16" s="1"/>
  <c r="O1863" i="16"/>
  <c r="C424" i="19"/>
  <c r="D27" i="20" s="1"/>
  <c r="D425" i="19"/>
  <c r="O1533" i="16"/>
  <c r="P1534" i="16"/>
  <c r="P1533" i="16" s="1"/>
  <c r="P1288" i="16"/>
  <c r="P1287" i="16" s="1"/>
  <c r="O1287" i="16"/>
  <c r="P1122" i="16"/>
  <c r="P1121" i="16" s="1"/>
  <c r="O1121" i="16"/>
  <c r="O1585" i="16"/>
  <c r="P928" i="16"/>
  <c r="P926" i="16" s="1"/>
  <c r="O926" i="16"/>
  <c r="H2006" i="16"/>
  <c r="H2247" i="16" s="1"/>
  <c r="H1962" i="16"/>
  <c r="H1965" i="16" s="1"/>
  <c r="O1519" i="16"/>
  <c r="I1365" i="16"/>
  <c r="L1360" i="16"/>
  <c r="P1833" i="16"/>
  <c r="D690" i="19"/>
  <c r="E690" i="19" s="1"/>
  <c r="C652" i="19"/>
  <c r="O1607" i="16"/>
  <c r="O1144" i="16"/>
  <c r="P1145" i="16"/>
  <c r="P1144" i="16" s="1"/>
  <c r="G1417" i="16"/>
  <c r="O1109" i="16"/>
  <c r="P1110" i="16"/>
  <c r="P1109" i="16" s="1"/>
  <c r="P850" i="16"/>
  <c r="P849" i="16" s="1"/>
  <c r="O849" i="16"/>
  <c r="O983" i="16"/>
  <c r="P984" i="16"/>
  <c r="P983" i="16" s="1"/>
  <c r="K1514" i="16"/>
  <c r="N1514" i="16" s="1"/>
  <c r="O1178" i="16"/>
  <c r="E623" i="19"/>
  <c r="B7" i="18"/>
  <c r="P1103" i="16"/>
  <c r="P1102" i="16" s="1"/>
  <c r="O1102" i="16"/>
  <c r="I858" i="16"/>
  <c r="L858" i="16" s="1"/>
  <c r="O138" i="16"/>
  <c r="P139" i="16"/>
  <c r="P138" i="16" s="1"/>
  <c r="E99" i="19" s="1"/>
  <c r="O1162" i="16"/>
  <c r="P1163" i="16"/>
  <c r="P1162" i="16" s="1"/>
  <c r="P858" i="16"/>
  <c r="P343" i="16"/>
  <c r="P342" i="16" s="1"/>
  <c r="I14" i="16"/>
  <c r="L14" i="16" s="1"/>
  <c r="L15" i="16"/>
  <c r="O15" i="16" s="1"/>
  <c r="O570" i="16"/>
  <c r="P571" i="16"/>
  <c r="P570" i="16" s="1"/>
  <c r="P508" i="16"/>
  <c r="O52" i="16"/>
  <c r="P53" i="16"/>
  <c r="P52" i="16" s="1"/>
  <c r="O3999" i="16"/>
  <c r="P4000" i="16"/>
  <c r="P3999" i="16" s="1"/>
  <c r="O3618" i="16"/>
  <c r="P3619" i="16"/>
  <c r="P3618" i="16" s="1"/>
  <c r="P2195" i="16"/>
  <c r="P2194" i="16" s="1"/>
  <c r="O2194" i="16"/>
  <c r="O2045" i="16"/>
  <c r="P2046" i="16"/>
  <c r="P2045" i="16" s="1"/>
  <c r="O1807" i="16"/>
  <c r="P1808" i="16"/>
  <c r="P1807" i="16" s="1"/>
  <c r="O1600" i="16"/>
  <c r="O1604" i="16" s="1"/>
  <c r="P1601" i="16"/>
  <c r="P1600" i="16" s="1"/>
  <c r="P1604" i="16" s="1"/>
  <c r="O791" i="16"/>
  <c r="P792" i="16"/>
  <c r="P791" i="16" s="1"/>
  <c r="L80" i="16"/>
  <c r="O80" i="16" s="1"/>
  <c r="I79" i="16"/>
  <c r="L79" i="16" s="1"/>
  <c r="I5029" i="16"/>
  <c r="L5010" i="16"/>
  <c r="E4843" i="16"/>
  <c r="I4842" i="16"/>
  <c r="O4928" i="16"/>
  <c r="O4930" i="16" s="1"/>
  <c r="P4929" i="16"/>
  <c r="P4928" i="16" s="1"/>
  <c r="P4930" i="16" s="1"/>
  <c r="O4619" i="16"/>
  <c r="P4570" i="16"/>
  <c r="P4569" i="16" s="1"/>
  <c r="O4569" i="16"/>
  <c r="P4640" i="16"/>
  <c r="P4639" i="16" s="1"/>
  <c r="O4639" i="16"/>
  <c r="E4547" i="16"/>
  <c r="E4564" i="16" s="1"/>
  <c r="L4559" i="16"/>
  <c r="G4450" i="16"/>
  <c r="J4360" i="16"/>
  <c r="J4334" i="16"/>
  <c r="P4356" i="16"/>
  <c r="P4355" i="16" s="1"/>
  <c r="P4357" i="16" s="1"/>
  <c r="O4355" i="16"/>
  <c r="O4357" i="16" s="1"/>
  <c r="O4147" i="16"/>
  <c r="P4148" i="16"/>
  <c r="P4147" i="16" s="1"/>
  <c r="K4450" i="16"/>
  <c r="N4450" i="16" s="1"/>
  <c r="O4525" i="16"/>
  <c r="P4526" i="16"/>
  <c r="P4525" i="16" s="1"/>
  <c r="O4469" i="16"/>
  <c r="P4470" i="16"/>
  <c r="P4469" i="16" s="1"/>
  <c r="J4359" i="16"/>
  <c r="O4120" i="16"/>
  <c r="O4123" i="16" s="1"/>
  <c r="E4126" i="16"/>
  <c r="I4200" i="16"/>
  <c r="L4200" i="16" s="1"/>
  <c r="C1891" i="19" s="1"/>
  <c r="I4018" i="16"/>
  <c r="L4018" i="16" s="1"/>
  <c r="C1778" i="19" s="1"/>
  <c r="L4015" i="16"/>
  <c r="O3600" i="16"/>
  <c r="P3601" i="16"/>
  <c r="P3600" i="16" s="1"/>
  <c r="O3498" i="16"/>
  <c r="P3499" i="16"/>
  <c r="P3498" i="16" s="1"/>
  <c r="O3219" i="16"/>
  <c r="P3220" i="16"/>
  <c r="P3219" i="16" s="1"/>
  <c r="D1622" i="19"/>
  <c r="C1607" i="19"/>
  <c r="O3921" i="16"/>
  <c r="P3922" i="16"/>
  <c r="P3921" i="16" s="1"/>
  <c r="P3925" i="16" s="1"/>
  <c r="P3927" i="16" s="1"/>
  <c r="O3198" i="16"/>
  <c r="P3199" i="16"/>
  <c r="P3198" i="16" s="1"/>
  <c r="O3559" i="16"/>
  <c r="P3560" i="16"/>
  <c r="P3559" i="16" s="1"/>
  <c r="I3606" i="16"/>
  <c r="H3757" i="16"/>
  <c r="H3759" i="16" s="1"/>
  <c r="H3607" i="16"/>
  <c r="L3419" i="16"/>
  <c r="O3419" i="16" s="1"/>
  <c r="I3418" i="16"/>
  <c r="L3418" i="16" s="1"/>
  <c r="C1542" i="19" s="1"/>
  <c r="G3542" i="16"/>
  <c r="G3544" i="16" s="1"/>
  <c r="L3238" i="16"/>
  <c r="O3238" i="16" s="1"/>
  <c r="I3237" i="16"/>
  <c r="L3237" i="16" s="1"/>
  <c r="P3420" i="16"/>
  <c r="L3215" i="16"/>
  <c r="C1487" i="19" s="1"/>
  <c r="O2712" i="16"/>
  <c r="P2713" i="16"/>
  <c r="P2712" i="16" s="1"/>
  <c r="O3265" i="16"/>
  <c r="P3266" i="16"/>
  <c r="P3265" i="16" s="1"/>
  <c r="D7" i="28"/>
  <c r="E7" i="28" s="1"/>
  <c r="F7" i="28" s="1"/>
  <c r="G7" i="28" s="1"/>
  <c r="D8" i="28"/>
  <c r="E8" i="28" s="1"/>
  <c r="F8" i="28" s="1"/>
  <c r="G8" i="28" s="1"/>
  <c r="D4" i="28"/>
  <c r="E4" i="28" s="1"/>
  <c r="F4" i="28" s="1"/>
  <c r="D9" i="28"/>
  <c r="E9" i="28" s="1"/>
  <c r="D2" i="28"/>
  <c r="E2" i="28" s="1"/>
  <c r="F2" i="28" s="1"/>
  <c r="D5" i="28"/>
  <c r="E5" i="28" s="1"/>
  <c r="F5" i="28" s="1"/>
  <c r="D6" i="28"/>
  <c r="E6" i="28" s="1"/>
  <c r="F6" i="28" s="1"/>
  <c r="G6" i="28" s="1"/>
  <c r="D3" i="28"/>
  <c r="E3" i="28" s="1"/>
  <c r="F3" i="28" s="1"/>
  <c r="I3016" i="16"/>
  <c r="L3017" i="16"/>
  <c r="O3017" i="16" s="1"/>
  <c r="P2969" i="16"/>
  <c r="P2968" i="16" s="1"/>
  <c r="O2968" i="16"/>
  <c r="P2815" i="16"/>
  <c r="P2814" i="16" s="1"/>
  <c r="O2814" i="16"/>
  <c r="K3541" i="16"/>
  <c r="N3541" i="16" s="1"/>
  <c r="L3073" i="16"/>
  <c r="C1393" i="19" s="1"/>
  <c r="O3226" i="16"/>
  <c r="P3227" i="16"/>
  <c r="P3226" i="16" s="1"/>
  <c r="O3165" i="16"/>
  <c r="P3166" i="16"/>
  <c r="P3165" i="16" s="1"/>
  <c r="I3119" i="16"/>
  <c r="P2486" i="16"/>
  <c r="P2485" i="16" s="1"/>
  <c r="O2485" i="16"/>
  <c r="L2363" i="16"/>
  <c r="O2363" i="16" s="1"/>
  <c r="I2362" i="16"/>
  <c r="L2362" i="16" s="1"/>
  <c r="O2350" i="16"/>
  <c r="P2351" i="16"/>
  <c r="P2350" i="16" s="1"/>
  <c r="O2253" i="16"/>
  <c r="P2254" i="16"/>
  <c r="P2253" i="16" s="1"/>
  <c r="P2332" i="16"/>
  <c r="E990" i="19"/>
  <c r="D905" i="19"/>
  <c r="C904" i="19"/>
  <c r="D54" i="20" s="1"/>
  <c r="O2200" i="16"/>
  <c r="P2146" i="16"/>
  <c r="P2145" i="16" s="1"/>
  <c r="O2145" i="16"/>
  <c r="I1931" i="16"/>
  <c r="L1931" i="16" s="1"/>
  <c r="P1927" i="16"/>
  <c r="P1926" i="16" s="1"/>
  <c r="O1926" i="16"/>
  <c r="D1139" i="19"/>
  <c r="O2124" i="16"/>
  <c r="O2130" i="16" s="1"/>
  <c r="O2131" i="16" s="1"/>
  <c r="G2246" i="16"/>
  <c r="I1774" i="16"/>
  <c r="L1774" i="16" s="1"/>
  <c r="P1754" i="16"/>
  <c r="P1753" i="16" s="1"/>
  <c r="O1753" i="16"/>
  <c r="P1863" i="16"/>
  <c r="K1184" i="16"/>
  <c r="N1184" i="16" s="1"/>
  <c r="L1165" i="16"/>
  <c r="D632" i="19"/>
  <c r="E1415" i="16"/>
  <c r="E1417" i="16" s="1"/>
  <c r="I1694" i="16"/>
  <c r="O1791" i="16"/>
  <c r="P1792" i="16"/>
  <c r="P1791" i="16" s="1"/>
  <c r="L1622" i="16"/>
  <c r="O1622" i="16" s="1"/>
  <c r="I1621" i="16"/>
  <c r="O1833" i="16"/>
  <c r="P1651" i="16"/>
  <c r="P1650" i="16" s="1"/>
  <c r="O1650" i="16"/>
  <c r="L1606" i="16"/>
  <c r="I1608" i="16"/>
  <c r="L1608" i="16" s="1"/>
  <c r="I1377" i="16"/>
  <c r="L1377" i="16" s="1"/>
  <c r="L1378" i="16"/>
  <c r="O1378" i="16" s="1"/>
  <c r="O1105" i="16"/>
  <c r="P1106" i="16"/>
  <c r="P1105" i="16" s="1"/>
  <c r="O916" i="16"/>
  <c r="P917" i="16"/>
  <c r="P916" i="16" s="1"/>
  <c r="E447" i="19"/>
  <c r="D395" i="19"/>
  <c r="C381" i="19"/>
  <c r="O728" i="16"/>
  <c r="P729" i="16"/>
  <c r="P728" i="16" s="1"/>
  <c r="I936" i="16"/>
  <c r="L936" i="16" s="1"/>
  <c r="O1299" i="16"/>
  <c r="O1041" i="16"/>
  <c r="P1042" i="16"/>
  <c r="P1041" i="16" s="1"/>
  <c r="P1178" i="16"/>
  <c r="O919" i="16"/>
  <c r="P920" i="16"/>
  <c r="P919" i="16" s="1"/>
  <c r="I1283" i="16"/>
  <c r="L1281" i="16"/>
  <c r="C524" i="19" s="1"/>
  <c r="D524" i="19" s="1"/>
  <c r="E524" i="19" s="1"/>
  <c r="O953" i="16"/>
  <c r="P954" i="16"/>
  <c r="P953" i="16" s="1"/>
  <c r="O794" i="16"/>
  <c r="P574" i="16"/>
  <c r="P573" i="16" s="1"/>
  <c r="O573" i="16"/>
  <c r="L131" i="16"/>
  <c r="O131" i="16" s="1"/>
  <c r="I130" i="16"/>
  <c r="P897" i="16"/>
  <c r="P896" i="16" s="1"/>
  <c r="O896" i="16"/>
  <c r="I1123" i="16"/>
  <c r="L1123" i="16" s="1"/>
  <c r="I945" i="16"/>
  <c r="O858" i="16"/>
  <c r="O374" i="16"/>
  <c r="P375" i="16"/>
  <c r="P374" i="16" s="1"/>
  <c r="O295" i="16"/>
  <c r="P296" i="16"/>
  <c r="P295" i="16" s="1"/>
  <c r="P299" i="16" s="1"/>
  <c r="J301" i="16"/>
  <c r="O508" i="16"/>
  <c r="G301" i="16"/>
  <c r="G303" i="16" s="1"/>
  <c r="L47" i="16"/>
  <c r="W47" i="16" s="1"/>
  <c r="I44" i="16"/>
  <c r="L44" i="16" s="1"/>
  <c r="P4753" i="16"/>
  <c r="P4752" i="16" s="1"/>
  <c r="O4752" i="16"/>
  <c r="O4836" i="16"/>
  <c r="P4837" i="16"/>
  <c r="P4836" i="16" s="1"/>
  <c r="P4441" i="16"/>
  <c r="P4440" i="16" s="1"/>
  <c r="O4440" i="16"/>
  <c r="O4220" i="16"/>
  <c r="P4221" i="16"/>
  <c r="P4220" i="16" s="1"/>
  <c r="O4323" i="16"/>
  <c r="O4324" i="16" s="1"/>
  <c r="P3280" i="16"/>
  <c r="P3279" i="16" s="1"/>
  <c r="O3279" i="16"/>
  <c r="O2842" i="16"/>
  <c r="O2848" i="16" s="1"/>
  <c r="P2843" i="16"/>
  <c r="P2842" i="16" s="1"/>
  <c r="I2633" i="16"/>
  <c r="L2631" i="16"/>
  <c r="C1165" i="19" s="1"/>
  <c r="O2387" i="16"/>
  <c r="P2388" i="16"/>
  <c r="P2387" i="16" s="1"/>
  <c r="P2446" i="16"/>
  <c r="P2445" i="16" s="1"/>
  <c r="O2445" i="16"/>
  <c r="O1073" i="16"/>
  <c r="P1074" i="16"/>
  <c r="P1073" i="16" s="1"/>
  <c r="I768" i="16"/>
  <c r="L768" i="16" s="1"/>
  <c r="L769" i="16"/>
  <c r="O769" i="16" s="1"/>
  <c r="L66" i="16"/>
  <c r="O66" i="16" s="1"/>
  <c r="I65" i="16"/>
  <c r="L65" i="16" s="1"/>
  <c r="F5032" i="16"/>
  <c r="F5030" i="16"/>
  <c r="P4858" i="16"/>
  <c r="P4857" i="16" s="1"/>
  <c r="P4882" i="16" s="1"/>
  <c r="P4883" i="16" s="1"/>
  <c r="O4857" i="16"/>
  <c r="O4882" i="16" s="1"/>
  <c r="O4883" i="16" s="1"/>
  <c r="E4756" i="16"/>
  <c r="E4758" i="16"/>
  <c r="O4824" i="16"/>
  <c r="P4678" i="16"/>
  <c r="O4700" i="16"/>
  <c r="P4701" i="16"/>
  <c r="P4700" i="16" s="1"/>
  <c r="J4613" i="16"/>
  <c r="O4559" i="16"/>
  <c r="P4560" i="16"/>
  <c r="P4559" i="16" s="1"/>
  <c r="L4480" i="16"/>
  <c r="O4137" i="16"/>
  <c r="P4138" i="16"/>
  <c r="P4137" i="16" s="1"/>
  <c r="K4613" i="16"/>
  <c r="N4613" i="16" s="1"/>
  <c r="I4412" i="16"/>
  <c r="L4412" i="16" s="1"/>
  <c r="C2009" i="19" s="1"/>
  <c r="L4240" i="16"/>
  <c r="I4243" i="16"/>
  <c r="L4243" i="16" s="1"/>
  <c r="C1904" i="19" s="1"/>
  <c r="L4084" i="16"/>
  <c r="O4084" i="16" s="1"/>
  <c r="I4082" i="16"/>
  <c r="K4125" i="16"/>
  <c r="K3979" i="16"/>
  <c r="N3979" i="16" s="1"/>
  <c r="O4094" i="16"/>
  <c r="P4095" i="16"/>
  <c r="P4094" i="16" s="1"/>
  <c r="I4079" i="16"/>
  <c r="P3969" i="16"/>
  <c r="P3968" i="16" s="1"/>
  <c r="O3968" i="16"/>
  <c r="P3841" i="16"/>
  <c r="P3840" i="16" s="1"/>
  <c r="O3840" i="16"/>
  <c r="P3748" i="16"/>
  <c r="P3747" i="16" s="1"/>
  <c r="O3747" i="16"/>
  <c r="F4359" i="16"/>
  <c r="O4008" i="16"/>
  <c r="P4009" i="16"/>
  <c r="P4008" i="16" s="1"/>
  <c r="I3850" i="16"/>
  <c r="L3764" i="16"/>
  <c r="I3978" i="16"/>
  <c r="L3973" i="16"/>
  <c r="O3533" i="16"/>
  <c r="P3534" i="16"/>
  <c r="P3533" i="16" s="1"/>
  <c r="P3308" i="16"/>
  <c r="P3307" i="16" s="1"/>
  <c r="O3307" i="16"/>
  <c r="O3193" i="16"/>
  <c r="P3194" i="16"/>
  <c r="P3193" i="16" s="1"/>
  <c r="O3552" i="16"/>
  <c r="P3553" i="16"/>
  <c r="P3552" i="16" s="1"/>
  <c r="P3443" i="16"/>
  <c r="P3442" i="16" s="1"/>
  <c r="O3442" i="16"/>
  <c r="O3420" i="16"/>
  <c r="O2707" i="16"/>
  <c r="P2708" i="16"/>
  <c r="P2707" i="16" s="1"/>
  <c r="O3361" i="16"/>
  <c r="J3207" i="16"/>
  <c r="J3209" i="16" s="1"/>
  <c r="J3205" i="16"/>
  <c r="J3206" i="16" s="1"/>
  <c r="D1" i="28"/>
  <c r="E1" i="28" s="1"/>
  <c r="F1" i="28" s="1"/>
  <c r="P2952" i="16"/>
  <c r="P2951" i="16" s="1"/>
  <c r="O2951" i="16"/>
  <c r="P2786" i="16"/>
  <c r="P2785" i="16" s="1"/>
  <c r="O2785" i="16"/>
  <c r="O2898" i="16"/>
  <c r="P2899" i="16"/>
  <c r="P2898" i="16" s="1"/>
  <c r="O3107" i="16"/>
  <c r="P3108" i="16"/>
  <c r="P3107" i="16" s="1"/>
  <c r="O2418" i="16"/>
  <c r="P2419" i="16"/>
  <c r="P2418" i="16" s="1"/>
  <c r="O2310" i="16"/>
  <c r="P2311" i="16"/>
  <c r="P2310" i="16" s="1"/>
  <c r="O2631" i="16"/>
  <c r="O2633" i="16" s="1"/>
  <c r="C1367" i="19"/>
  <c r="D1368" i="19"/>
  <c r="O2667" i="16"/>
  <c r="P2668" i="16"/>
  <c r="P2667" i="16" s="1"/>
  <c r="J2863" i="16"/>
  <c r="P2561" i="16"/>
  <c r="P2560" i="16" s="1"/>
  <c r="O2560" i="16"/>
  <c r="P2479" i="16"/>
  <c r="P2478" i="16" s="1"/>
  <c r="P2510" i="16" s="1"/>
  <c r="O2478" i="16"/>
  <c r="P2356" i="16"/>
  <c r="P2355" i="16" s="1"/>
  <c r="O2355" i="16"/>
  <c r="O2198" i="16"/>
  <c r="P2199" i="16"/>
  <c r="P2198" i="16" s="1"/>
  <c r="D1337" i="19"/>
  <c r="C1322" i="19"/>
  <c r="L2206" i="16"/>
  <c r="C992" i="19" s="1"/>
  <c r="D992" i="19" s="1"/>
  <c r="E992" i="19" s="1"/>
  <c r="O1821" i="16"/>
  <c r="P1822" i="16"/>
  <c r="P1821" i="16" s="1"/>
  <c r="P2591" i="16"/>
  <c r="P2590" i="16" s="1"/>
  <c r="O2590" i="16"/>
  <c r="O1931" i="16"/>
  <c r="P2204" i="16"/>
  <c r="P2203" i="16" s="1"/>
  <c r="O2203" i="16"/>
  <c r="P2381" i="16"/>
  <c r="P2380" i="16" s="1"/>
  <c r="O2380" i="16"/>
  <c r="P1915" i="16"/>
  <c r="P1914" i="16" s="1"/>
  <c r="O1914" i="16"/>
  <c r="I2580" i="16"/>
  <c r="L2580" i="16" s="1"/>
  <c r="C1138" i="19" s="1"/>
  <c r="O2365" i="16"/>
  <c r="P2366" i="16"/>
  <c r="P2365" i="16" s="1"/>
  <c r="O2294" i="16"/>
  <c r="P2295" i="16"/>
  <c r="P2294" i="16" s="1"/>
  <c r="O2034" i="16"/>
  <c r="P2035" i="16"/>
  <c r="P2034" i="16" s="1"/>
  <c r="P2171" i="16"/>
  <c r="P2170" i="16" s="1"/>
  <c r="O2170" i="16"/>
  <c r="O2093" i="16"/>
  <c r="O2098" i="16" s="1"/>
  <c r="P2094" i="16"/>
  <c r="P2093" i="16" s="1"/>
  <c r="P2098" i="16" s="1"/>
  <c r="C745" i="19"/>
  <c r="C846" i="19"/>
  <c r="K1962" i="16"/>
  <c r="E606" i="19"/>
  <c r="O1778" i="16"/>
  <c r="P1779" i="16"/>
  <c r="P1778" i="16" s="1"/>
  <c r="E807" i="19"/>
  <c r="P1262" i="16"/>
  <c r="P1261" i="16" s="1"/>
  <c r="O1261" i="16"/>
  <c r="E1058" i="16"/>
  <c r="O1303" i="16"/>
  <c r="P1304" i="16"/>
  <c r="P1303" i="16" s="1"/>
  <c r="O890" i="16"/>
  <c r="P891" i="16"/>
  <c r="P890" i="16" s="1"/>
  <c r="L1751" i="16"/>
  <c r="O1751" i="16" s="1"/>
  <c r="P1525" i="16"/>
  <c r="P1524" i="16" s="1"/>
  <c r="P1526" i="16" s="1"/>
  <c r="O1524" i="16"/>
  <c r="O1279" i="16"/>
  <c r="P1280" i="16"/>
  <c r="P1279" i="16" s="1"/>
  <c r="E1367" i="16"/>
  <c r="L692" i="16"/>
  <c r="O692" i="16" s="1"/>
  <c r="I691" i="16"/>
  <c r="P1299" i="16"/>
  <c r="O1033" i="16"/>
  <c r="O1281" i="16"/>
  <c r="P1282" i="16"/>
  <c r="P1281" i="16" s="1"/>
  <c r="P514" i="16"/>
  <c r="P513" i="16" s="1"/>
  <c r="O513" i="16"/>
  <c r="O559" i="16"/>
  <c r="P560" i="16"/>
  <c r="P559" i="16" s="1"/>
  <c r="O447" i="16"/>
  <c r="P448" i="16"/>
  <c r="P447" i="16" s="1"/>
  <c r="P354" i="16"/>
  <c r="P352" i="16" s="1"/>
  <c r="O352" i="16"/>
  <c r="P126" i="16"/>
  <c r="P125" i="16" s="1"/>
  <c r="O125" i="16"/>
  <c r="O771" i="16"/>
  <c r="P772" i="16"/>
  <c r="P771" i="16" s="1"/>
  <c r="I836" i="16"/>
  <c r="O679" i="16"/>
  <c r="P680" i="16"/>
  <c r="P679" i="16" s="1"/>
  <c r="P537" i="16"/>
  <c r="P536" i="16" s="1"/>
  <c r="O536" i="16"/>
  <c r="K301" i="16"/>
  <c r="N301" i="16" s="1"/>
  <c r="O27" i="16"/>
  <c r="P28" i="16"/>
  <c r="P27" i="16" s="1"/>
  <c r="I487" i="16"/>
  <c r="L40" i="16"/>
  <c r="O40" i="16" s="1"/>
  <c r="I38" i="16"/>
  <c r="L38" i="16" s="1"/>
  <c r="H301" i="16"/>
  <c r="P4512" i="16"/>
  <c r="P4511" i="16" s="1"/>
  <c r="O4511" i="16"/>
  <c r="P3994" i="16"/>
  <c r="P3993" i="16" s="1"/>
  <c r="O3993" i="16"/>
  <c r="D1932" i="19"/>
  <c r="C1931" i="19"/>
  <c r="I3540" i="16"/>
  <c r="L3540" i="16" s="1"/>
  <c r="B8" i="28" s="1"/>
  <c r="H8" i="28" s="1"/>
  <c r="O2877" i="16"/>
  <c r="P2878" i="16"/>
  <c r="P2877" i="16" s="1"/>
  <c r="L3353" i="16"/>
  <c r="C1516" i="19" s="1"/>
  <c r="D1516" i="19" s="1"/>
  <c r="E1516" i="19" s="1"/>
  <c r="I3355" i="16"/>
  <c r="O3130" i="16"/>
  <c r="P3131" i="16"/>
  <c r="P3130" i="16" s="1"/>
  <c r="O2774" i="16"/>
  <c r="O2776" i="16" s="1"/>
  <c r="P2775" i="16"/>
  <c r="P2774" i="16" s="1"/>
  <c r="P2776" i="16" s="1"/>
  <c r="L2771" i="16"/>
  <c r="C1248" i="19" s="1"/>
  <c r="C1246" i="19" s="1"/>
  <c r="B11" i="18"/>
  <c r="L1320" i="16"/>
  <c r="C536" i="19" s="1"/>
  <c r="D536" i="19" s="1"/>
  <c r="E536" i="19" s="1"/>
  <c r="I1322" i="16"/>
  <c r="L1322" i="16" s="1"/>
  <c r="O994" i="16"/>
  <c r="P995" i="16"/>
  <c r="P994" i="16" s="1"/>
  <c r="O170" i="16"/>
  <c r="P171" i="16"/>
  <c r="P170" i="16" s="1"/>
  <c r="L4977" i="16"/>
  <c r="I5006" i="16"/>
  <c r="L5006" i="16" s="1"/>
  <c r="C2218" i="19" s="1"/>
  <c r="L4971" i="16"/>
  <c r="C2183" i="19" s="1"/>
  <c r="O4981" i="16"/>
  <c r="P4982" i="16"/>
  <c r="P4981" i="16" s="1"/>
  <c r="O4706" i="16"/>
  <c r="O4712" i="16" s="1"/>
  <c r="P4707" i="16"/>
  <c r="P4706" i="16" s="1"/>
  <c r="P4712" i="16" s="1"/>
  <c r="P4950" i="16"/>
  <c r="P4949" i="16" s="1"/>
  <c r="O4949" i="16"/>
  <c r="I4806" i="16"/>
  <c r="O4813" i="16"/>
  <c r="P4814" i="16"/>
  <c r="P4813" i="16" s="1"/>
  <c r="O4603" i="16"/>
  <c r="P4604" i="16"/>
  <c r="P4603" i="16" s="1"/>
  <c r="E2068" i="19"/>
  <c r="B16" i="18"/>
  <c r="O4678" i="16"/>
  <c r="P4562" i="16"/>
  <c r="P4561" i="16" s="1"/>
  <c r="O4561" i="16"/>
  <c r="I4605" i="16"/>
  <c r="P4481" i="16"/>
  <c r="P4480" i="16" s="1"/>
  <c r="P4483" i="16" s="1"/>
  <c r="O4480" i="16"/>
  <c r="O4529" i="16"/>
  <c r="P4530" i="16"/>
  <c r="P4529" i="16" s="1"/>
  <c r="K4615" i="16"/>
  <c r="O4140" i="16"/>
  <c r="P4141" i="16"/>
  <c r="P4140" i="16" s="1"/>
  <c r="P4074" i="16"/>
  <c r="P4073" i="16" s="1"/>
  <c r="O4073" i="16"/>
  <c r="J4358" i="16"/>
  <c r="O4075" i="16"/>
  <c r="P4076" i="16"/>
  <c r="P4075" i="16" s="1"/>
  <c r="I4275" i="16"/>
  <c r="L4272" i="16"/>
  <c r="P4031" i="16"/>
  <c r="P4030" i="16" s="1"/>
  <c r="O4030" i="16"/>
  <c r="P3911" i="16"/>
  <c r="P3910" i="16" s="1"/>
  <c r="O3910" i="16"/>
  <c r="P3677" i="16"/>
  <c r="P3676" i="16" s="1"/>
  <c r="O3676" i="16"/>
  <c r="I4222" i="16"/>
  <c r="L4143" i="16"/>
  <c r="C1877" i="19" s="1"/>
  <c r="O4067" i="16"/>
  <c r="P4068" i="16"/>
  <c r="P4067" i="16" s="1"/>
  <c r="I3751" i="16"/>
  <c r="O3595" i="16"/>
  <c r="P3596" i="16"/>
  <c r="P3595" i="16" s="1"/>
  <c r="E4125" i="16"/>
  <c r="O3973" i="16"/>
  <c r="P3974" i="16"/>
  <c r="P3973" i="16" s="1"/>
  <c r="P3978" i="16" s="1"/>
  <c r="O3573" i="16"/>
  <c r="P3579" i="16"/>
  <c r="P3573" i="16" s="1"/>
  <c r="O3517" i="16"/>
  <c r="P3518" i="16"/>
  <c r="P3517" i="16" s="1"/>
  <c r="P3300" i="16"/>
  <c r="P3299" i="16" s="1"/>
  <c r="O3299" i="16"/>
  <c r="O3180" i="16"/>
  <c r="P3181" i="16"/>
  <c r="P3180" i="16" s="1"/>
  <c r="J4125" i="16"/>
  <c r="E1762" i="19"/>
  <c r="P3707" i="16"/>
  <c r="I3325" i="16"/>
  <c r="L3324" i="16"/>
  <c r="O3324" i="16" s="1"/>
  <c r="O3325" i="16" s="1"/>
  <c r="P3408" i="16"/>
  <c r="L3251" i="16"/>
  <c r="O3251" i="16" s="1"/>
  <c r="I3250" i="16"/>
  <c r="L3250" i="16" s="1"/>
  <c r="O2688" i="16"/>
  <c r="P2689" i="16"/>
  <c r="P2688" i="16" s="1"/>
  <c r="P3361" i="16"/>
  <c r="C1491" i="19"/>
  <c r="P3007" i="16"/>
  <c r="P3006" i="16" s="1"/>
  <c r="O3006" i="16"/>
  <c r="P2942" i="16"/>
  <c r="P2941" i="16" s="1"/>
  <c r="O2941" i="16"/>
  <c r="K3542" i="16"/>
  <c r="I3467" i="16"/>
  <c r="I2959" i="16"/>
  <c r="L2957" i="16"/>
  <c r="O2406" i="16"/>
  <c r="P2407" i="16"/>
  <c r="P2406" i="16" s="1"/>
  <c r="L2649" i="16"/>
  <c r="I2652" i="16"/>
  <c r="O2551" i="16"/>
  <c r="P2552" i="16"/>
  <c r="P2551" i="16" s="1"/>
  <c r="P2469" i="16"/>
  <c r="P2468" i="16" s="1"/>
  <c r="O2468" i="16"/>
  <c r="O2594" i="16"/>
  <c r="P2595" i="16"/>
  <c r="P2594" i="16" s="1"/>
  <c r="E2371" i="16"/>
  <c r="E2209" i="16"/>
  <c r="E2155" i="16"/>
  <c r="O2051" i="16"/>
  <c r="P2052" i="16"/>
  <c r="P2051" i="16" s="1"/>
  <c r="P2264" i="16"/>
  <c r="P2263" i="16" s="1"/>
  <c r="O2263" i="16"/>
  <c r="L2178" i="16"/>
  <c r="O2178" i="16" s="1"/>
  <c r="I2177" i="16"/>
  <c r="L2177" i="16" s="1"/>
  <c r="C941" i="19"/>
  <c r="O2028" i="16"/>
  <c r="O2167" i="16"/>
  <c r="P2168" i="16"/>
  <c r="P2167" i="16" s="1"/>
  <c r="O1976" i="16"/>
  <c r="P1977" i="16"/>
  <c r="P1976" i="16" s="1"/>
  <c r="I1928" i="16"/>
  <c r="L1928" i="16" s="1"/>
  <c r="C808" i="19" s="1"/>
  <c r="E1763" i="16"/>
  <c r="O1828" i="16"/>
  <c r="P1829" i="16"/>
  <c r="P1828" i="16" s="1"/>
  <c r="O956" i="16"/>
  <c r="P957" i="16"/>
  <c r="P956" i="16" s="1"/>
  <c r="E888" i="19"/>
  <c r="O1626" i="16"/>
  <c r="P1627" i="16"/>
  <c r="P1626" i="16" s="1"/>
  <c r="O1485" i="16"/>
  <c r="P1486" i="16"/>
  <c r="P1485" i="16" s="1"/>
  <c r="P1774" i="16"/>
  <c r="P1638" i="16"/>
  <c r="P1227" i="16"/>
  <c r="P1226" i="16" s="1"/>
  <c r="O1226" i="16"/>
  <c r="P1031" i="16"/>
  <c r="P1030" i="16" s="1"/>
  <c r="O1030" i="16"/>
  <c r="O1277" i="16"/>
  <c r="P1278" i="16"/>
  <c r="P1277" i="16" s="1"/>
  <c r="O1025" i="16"/>
  <c r="P1026" i="16"/>
  <c r="P1025" i="16" s="1"/>
  <c r="P1824" i="16"/>
  <c r="P1823" i="16" s="1"/>
  <c r="O1823" i="16"/>
  <c r="I1519" i="16"/>
  <c r="F1610" i="16"/>
  <c r="O1254" i="16"/>
  <c r="P1255" i="16"/>
  <c r="P1254" i="16" s="1"/>
  <c r="O1078" i="16"/>
  <c r="P1079" i="16"/>
  <c r="P1078" i="16" s="1"/>
  <c r="O1332" i="16"/>
  <c r="O924" i="16"/>
  <c r="P925" i="16"/>
  <c r="P924" i="16" s="1"/>
  <c r="P1365" i="16"/>
  <c r="P1033" i="16"/>
  <c r="E408" i="19"/>
  <c r="I1327" i="16"/>
  <c r="L1325" i="16"/>
  <c r="J838" i="16"/>
  <c r="P434" i="16"/>
  <c r="P433" i="16" s="1"/>
  <c r="O433" i="16"/>
  <c r="I1047" i="16"/>
  <c r="I1056" i="16" s="1"/>
  <c r="L1056" i="16" s="1"/>
  <c r="C370" i="19" s="1"/>
  <c r="L337" i="16"/>
  <c r="O337" i="16" s="1"/>
  <c r="I336" i="16"/>
  <c r="L336" i="16" s="1"/>
  <c r="P121" i="16"/>
  <c r="P120" i="16" s="1"/>
  <c r="O120" i="16"/>
  <c r="H1195" i="16"/>
  <c r="H1196" i="16" s="1"/>
  <c r="F1057" i="16"/>
  <c r="O893" i="16"/>
  <c r="P894" i="16"/>
  <c r="P893" i="16" s="1"/>
  <c r="C289" i="19"/>
  <c r="D289" i="19" s="1"/>
  <c r="E289" i="19" s="1"/>
  <c r="P672" i="16"/>
  <c r="P671" i="16" s="1"/>
  <c r="O671" i="16"/>
  <c r="O500" i="16"/>
  <c r="P501" i="16"/>
  <c r="P500" i="16" s="1"/>
  <c r="O325" i="16"/>
  <c r="P326" i="16"/>
  <c r="P325" i="16" s="1"/>
  <c r="L75" i="16"/>
  <c r="I86" i="16"/>
  <c r="O1688" i="16"/>
  <c r="P1689" i="16"/>
  <c r="P1688" i="16" s="1"/>
  <c r="I1900" i="16"/>
  <c r="L1898" i="16"/>
  <c r="L1431" i="16"/>
  <c r="O1431" i="16" s="1"/>
  <c r="I1430" i="16"/>
  <c r="L1430" i="16" s="1"/>
  <c r="C605" i="19" s="1"/>
  <c r="O1392" i="16"/>
  <c r="P1394" i="16"/>
  <c r="P1392" i="16" s="1"/>
  <c r="E618" i="19"/>
  <c r="I1585" i="16"/>
  <c r="L1585" i="16" s="1"/>
  <c r="I1058" i="16"/>
  <c r="L1055" i="16"/>
  <c r="C438" i="19" s="1"/>
  <c r="P611" i="16"/>
  <c r="P610" i="16" s="1"/>
  <c r="O610" i="16"/>
  <c r="P318" i="16"/>
  <c r="E5032" i="16"/>
  <c r="E5030" i="16"/>
  <c r="I4824" i="16"/>
  <c r="I4919" i="16"/>
  <c r="O4905" i="16"/>
  <c r="O4919" i="16" s="1"/>
  <c r="P4685" i="16"/>
  <c r="P4684" i="16" s="1"/>
  <c r="O4684" i="16"/>
  <c r="D2135" i="19"/>
  <c r="E2151" i="19"/>
  <c r="O4655" i="16"/>
  <c r="P4656" i="16"/>
  <c r="P4655" i="16" s="1"/>
  <c r="P4520" i="16"/>
  <c r="P4519" i="16" s="1"/>
  <c r="O4519" i="16"/>
  <c r="P4695" i="16"/>
  <c r="P4694" i="16" s="1"/>
  <c r="O4694" i="16"/>
  <c r="O4593" i="16"/>
  <c r="P4594" i="16"/>
  <c r="P4593" i="16" s="1"/>
  <c r="P4405" i="16"/>
  <c r="P4403" i="16" s="1"/>
  <c r="O4403" i="16"/>
  <c r="O4412" i="16" s="1"/>
  <c r="P4280" i="16"/>
  <c r="P4279" i="16" s="1"/>
  <c r="O4279" i="16"/>
  <c r="O4288" i="16" s="1"/>
  <c r="O4289" i="16" s="1"/>
  <c r="L4347" i="16"/>
  <c r="I4351" i="16"/>
  <c r="O4135" i="16"/>
  <c r="P4136" i="16"/>
  <c r="P4135" i="16" s="1"/>
  <c r="O4063" i="16"/>
  <c r="P4064" i="16"/>
  <c r="P4063" i="16" s="1"/>
  <c r="E2008" i="19"/>
  <c r="P3901" i="16"/>
  <c r="P3900" i="16" s="1"/>
  <c r="O3900" i="16"/>
  <c r="P3820" i="16"/>
  <c r="P3819" i="16" s="1"/>
  <c r="O3819" i="16"/>
  <c r="P3650" i="16"/>
  <c r="P3649" i="16" s="1"/>
  <c r="O3649" i="16"/>
  <c r="I4266" i="16"/>
  <c r="O4109" i="16"/>
  <c r="P4110" i="16"/>
  <c r="P4109" i="16" s="1"/>
  <c r="F4088" i="16"/>
  <c r="E3540" i="16"/>
  <c r="O3359" i="16"/>
  <c r="P3360" i="16"/>
  <c r="P3359" i="16" s="1"/>
  <c r="P4053" i="16"/>
  <c r="P4052" i="16" s="1"/>
  <c r="O4052" i="16"/>
  <c r="O3414" i="16"/>
  <c r="P3415" i="16"/>
  <c r="P3414" i="16" s="1"/>
  <c r="O3707" i="16"/>
  <c r="O3147" i="16"/>
  <c r="P3148" i="16"/>
  <c r="P3147" i="16" s="1"/>
  <c r="O3408" i="16"/>
  <c r="O2886" i="16"/>
  <c r="P2887" i="16"/>
  <c r="P2886" i="16" s="1"/>
  <c r="P3354" i="16"/>
  <c r="P3353" i="16" s="1"/>
  <c r="O3353" i="16"/>
  <c r="I3185" i="16"/>
  <c r="H3207" i="16"/>
  <c r="H3209" i="16" s="1"/>
  <c r="H3205" i="16"/>
  <c r="H3206" i="16" s="1"/>
  <c r="P2929" i="16"/>
  <c r="P2928" i="16" s="1"/>
  <c r="O2928" i="16"/>
  <c r="P2736" i="16"/>
  <c r="P2735" i="16" s="1"/>
  <c r="P2748" i="16" s="1"/>
  <c r="O2735" i="16"/>
  <c r="O2748" i="16" s="1"/>
  <c r="G3206" i="16"/>
  <c r="O2852" i="16"/>
  <c r="P2853" i="16"/>
  <c r="P2852" i="16" s="1"/>
  <c r="O3488" i="16"/>
  <c r="K2909" i="16"/>
  <c r="I2776" i="16"/>
  <c r="L2776" i="16" s="1"/>
  <c r="C1251" i="19" s="1"/>
  <c r="L2774" i="16"/>
  <c r="O2401" i="16"/>
  <c r="P2402" i="16"/>
  <c r="P2401" i="16" s="1"/>
  <c r="L2848" i="16"/>
  <c r="O2649" i="16"/>
  <c r="O2652" i="16" s="1"/>
  <c r="P2651" i="16"/>
  <c r="P2649" i="16" s="1"/>
  <c r="P2652" i="16" s="1"/>
  <c r="O2513" i="16"/>
  <c r="P2514" i="16"/>
  <c r="P2513" i="16" s="1"/>
  <c r="P2459" i="16"/>
  <c r="P2458" i="16" s="1"/>
  <c r="O2458" i="16"/>
  <c r="P2213" i="16"/>
  <c r="P2212" i="16" s="1"/>
  <c r="O2212" i="16"/>
  <c r="I2994" i="16"/>
  <c r="L2994" i="16" s="1"/>
  <c r="C1365" i="19" s="1"/>
  <c r="I2833" i="16"/>
  <c r="H3075" i="16"/>
  <c r="F2863" i="16"/>
  <c r="O2572" i="16"/>
  <c r="P2573" i="16"/>
  <c r="P2572" i="16" s="1"/>
  <c r="O2134" i="16"/>
  <c r="P2135" i="16"/>
  <c r="P2134" i="16" s="1"/>
  <c r="I2062" i="16"/>
  <c r="L2063" i="16"/>
  <c r="O2063" i="16" s="1"/>
  <c r="I2142" i="16"/>
  <c r="L2142" i="16" s="1"/>
  <c r="O1724" i="16"/>
  <c r="P1725" i="16"/>
  <c r="P1724" i="16" s="1"/>
  <c r="L2239" i="16"/>
  <c r="I2244" i="16"/>
  <c r="P2291" i="16"/>
  <c r="P2290" i="16" s="1"/>
  <c r="O2290" i="16"/>
  <c r="E1033" i="19"/>
  <c r="D1019" i="19"/>
  <c r="P1713" i="16"/>
  <c r="P1712" i="16" s="1"/>
  <c r="O1712" i="16"/>
  <c r="P2409" i="16"/>
  <c r="P2408" i="16" s="1"/>
  <c r="O2408" i="16"/>
  <c r="L1968" i="16"/>
  <c r="I1970" i="16"/>
  <c r="E728" i="19"/>
  <c r="I2310" i="16"/>
  <c r="O2115" i="16"/>
  <c r="P2116" i="16"/>
  <c r="P2115" i="16" s="1"/>
  <c r="P2121" i="16" s="1"/>
  <c r="E1839" i="16"/>
  <c r="C673" i="19"/>
  <c r="O945" i="16"/>
  <c r="P946" i="16"/>
  <c r="P945" i="16" s="1"/>
  <c r="O1955" i="16"/>
  <c r="P1956" i="16"/>
  <c r="P1955" i="16" s="1"/>
  <c r="O1866" i="16"/>
  <c r="P1867" i="16"/>
  <c r="P1866" i="16" s="1"/>
  <c r="O1774" i="16"/>
  <c r="O1638" i="16"/>
  <c r="O1498" i="16"/>
  <c r="P1499" i="16"/>
  <c r="P1498" i="16" s="1"/>
  <c r="D604" i="19"/>
  <c r="C591" i="19"/>
  <c r="P1206" i="16"/>
  <c r="P1205" i="16" s="1"/>
  <c r="O1205" i="16"/>
  <c r="O1245" i="16"/>
  <c r="P1246" i="16"/>
  <c r="P1245" i="16" s="1"/>
  <c r="O1018" i="16"/>
  <c r="P1019" i="16"/>
  <c r="P1018" i="16" s="1"/>
  <c r="K2006" i="16"/>
  <c r="I1749" i="16"/>
  <c r="L1746" i="16"/>
  <c r="C717" i="19" s="1"/>
  <c r="D717" i="19" s="1"/>
  <c r="E717" i="19" s="1"/>
  <c r="L1412" i="16"/>
  <c r="O1412" i="16" s="1"/>
  <c r="I1408" i="16"/>
  <c r="L1339" i="16"/>
  <c r="O1339" i="16" s="1"/>
  <c r="I1338" i="16"/>
  <c r="L1338" i="16" s="1"/>
  <c r="P1332" i="16"/>
  <c r="I381" i="16"/>
  <c r="L379" i="16"/>
  <c r="C168" i="19" s="1"/>
  <c r="D168" i="19" s="1"/>
  <c r="E168" i="19" s="1"/>
  <c r="O1055" i="16"/>
  <c r="O1365" i="16"/>
  <c r="O1325" i="16"/>
  <c r="O1327" i="16" s="1"/>
  <c r="P1326" i="16"/>
  <c r="P1325" i="16" s="1"/>
  <c r="P1327" i="16" s="1"/>
  <c r="P1136" i="16"/>
  <c r="P1135" i="16" s="1"/>
  <c r="O1135" i="16"/>
  <c r="H1057" i="16"/>
  <c r="O533" i="16"/>
  <c r="P534" i="16"/>
  <c r="P533" i="16" s="1"/>
  <c r="L331" i="16"/>
  <c r="O331" i="16" s="1"/>
  <c r="I330" i="16"/>
  <c r="L330" i="16" s="1"/>
  <c r="P114" i="16"/>
  <c r="P113" i="16" s="1"/>
  <c r="O113" i="16"/>
  <c r="L659" i="16"/>
  <c r="C250" i="19" s="1"/>
  <c r="D250" i="19" s="1"/>
  <c r="E250" i="19" s="1"/>
  <c r="P649" i="16"/>
  <c r="P648" i="16" s="1"/>
  <c r="O648" i="16"/>
  <c r="I177" i="16"/>
  <c r="L175" i="16"/>
  <c r="C100" i="19" s="1"/>
  <c r="D100" i="19" s="1"/>
  <c r="E100" i="19" s="1"/>
  <c r="H302" i="16"/>
  <c r="H386" i="16" s="1"/>
  <c r="H87" i="16"/>
  <c r="E22" i="19"/>
  <c r="E23" i="19" s="1"/>
  <c r="P440" i="16"/>
  <c r="O11" i="16"/>
  <c r="P12" i="16"/>
  <c r="P11" i="16" s="1"/>
  <c r="O75" i="16"/>
  <c r="P76" i="16"/>
  <c r="P75" i="16" s="1"/>
  <c r="O94" i="16"/>
  <c r="P95" i="16"/>
  <c r="P94" i="16" s="1"/>
  <c r="O318" i="16"/>
  <c r="O47" i="16" l="1"/>
  <c r="H3544" i="16"/>
  <c r="O381" i="16"/>
  <c r="O382" i="16" s="1"/>
  <c r="E383" i="16"/>
  <c r="K3759" i="16"/>
  <c r="N3759" i="16" s="1"/>
  <c r="E4614" i="16"/>
  <c r="E4760" i="16" s="1"/>
  <c r="L2633" i="16"/>
  <c r="P3066" i="16"/>
  <c r="P3074" i="16" s="1"/>
  <c r="O2121" i="16"/>
  <c r="P2789" i="16"/>
  <c r="P2796" i="16" s="1"/>
  <c r="I4964" i="16"/>
  <c r="I783" i="16"/>
  <c r="L783" i="16" s="1"/>
  <c r="O619" i="16"/>
  <c r="O620" i="16" s="1"/>
  <c r="O3978" i="16"/>
  <c r="I2516" i="16"/>
  <c r="L2516" i="16" s="1"/>
  <c r="O3755" i="16"/>
  <c r="P3758" i="16"/>
  <c r="E2517" i="16"/>
  <c r="F1841" i="16"/>
  <c r="I3205" i="16"/>
  <c r="P619" i="16"/>
  <c r="P620" i="16" s="1"/>
  <c r="I906" i="16"/>
  <c r="I1057" i="16" s="1"/>
  <c r="E2861" i="16"/>
  <c r="G1612" i="16"/>
  <c r="L260" i="16"/>
  <c r="C126" i="19" s="1"/>
  <c r="C124" i="19" s="1"/>
  <c r="P836" i="16"/>
  <c r="E842" i="16"/>
  <c r="P4288" i="16"/>
  <c r="P4289" i="16" s="1"/>
  <c r="J4127" i="16"/>
  <c r="P4412" i="16"/>
  <c r="I3513" i="16"/>
  <c r="L3513" i="16" s="1"/>
  <c r="B7" i="28" s="1"/>
  <c r="H7" i="28" s="1"/>
  <c r="K840" i="16"/>
  <c r="N840" i="16" s="1"/>
  <c r="L4922" i="16"/>
  <c r="P2859" i="16"/>
  <c r="I1514" i="16"/>
  <c r="L1514" i="16" s="1"/>
  <c r="I1762" i="16"/>
  <c r="L1762" i="16" s="1"/>
  <c r="C719" i="19" s="1"/>
  <c r="C1991" i="19"/>
  <c r="B15" i="18" s="1"/>
  <c r="E2005" i="16"/>
  <c r="K1841" i="16"/>
  <c r="N1841" i="16" s="1"/>
  <c r="G4359" i="16"/>
  <c r="G4361" i="16" s="1"/>
  <c r="D449" i="19"/>
  <c r="E449" i="19" s="1"/>
  <c r="I4230" i="16"/>
  <c r="L4230" i="16" s="1"/>
  <c r="C1895" i="19" s="1"/>
  <c r="I4660" i="16"/>
  <c r="L4660" i="16" s="1"/>
  <c r="C2082" i="19" s="1"/>
  <c r="D2082" i="19" s="1"/>
  <c r="E2082" i="19" s="1"/>
  <c r="H2" i="28"/>
  <c r="O3925" i="16"/>
  <c r="O3927" i="16" s="1"/>
  <c r="O1852" i="16"/>
  <c r="J1841" i="16"/>
  <c r="C1353" i="19"/>
  <c r="D83" i="20" s="1"/>
  <c r="D1354" i="19"/>
  <c r="O177" i="16"/>
  <c r="O178" i="16" s="1"/>
  <c r="D11" i="19" s="1"/>
  <c r="D12" i="19" s="1"/>
  <c r="D422" i="19"/>
  <c r="I4123" i="16"/>
  <c r="L4123" i="16" s="1"/>
  <c r="C1820" i="19" s="1"/>
  <c r="F4361" i="16"/>
  <c r="I4435" i="16"/>
  <c r="L4435" i="16" s="1"/>
  <c r="C2025" i="19" s="1"/>
  <c r="C2023" i="19" s="1"/>
  <c r="C124" i="20" s="1"/>
  <c r="I3658" i="16"/>
  <c r="L3658" i="16" s="1"/>
  <c r="C1636" i="19" s="1"/>
  <c r="C1634" i="19" s="1"/>
  <c r="O1928" i="16"/>
  <c r="P1818" i="16"/>
  <c r="H4359" i="16"/>
  <c r="H4361" i="16" s="1"/>
  <c r="N2612" i="16"/>
  <c r="K1367" i="16"/>
  <c r="N1367" i="16" s="1"/>
  <c r="P1501" i="16"/>
  <c r="P1500" i="16" s="1"/>
  <c r="P1514" i="16" s="1"/>
  <c r="P1527" i="16" s="1"/>
  <c r="O1500" i="16"/>
  <c r="E509" i="19"/>
  <c r="O2789" i="16"/>
  <c r="O2796" i="16" s="1"/>
  <c r="I4324" i="16"/>
  <c r="L3758" i="16"/>
  <c r="L1012" i="16"/>
  <c r="C369" i="19" s="1"/>
  <c r="C633" i="19"/>
  <c r="D633" i="19" s="1"/>
  <c r="E633" i="19" s="1"/>
  <c r="I3152" i="16"/>
  <c r="L3152" i="16" s="1"/>
  <c r="C1416" i="19" s="1"/>
  <c r="E1196" i="16"/>
  <c r="C474" i="19"/>
  <c r="C475" i="19" s="1"/>
  <c r="E1962" i="16"/>
  <c r="E1965" i="16" s="1"/>
  <c r="C383" i="19"/>
  <c r="O2859" i="16"/>
  <c r="I1579" i="16"/>
  <c r="I2909" i="16"/>
  <c r="O4266" i="16"/>
  <c r="O4267" i="16" s="1"/>
  <c r="O260" i="16"/>
  <c r="O261" i="16" s="1"/>
  <c r="D15" i="19" s="1"/>
  <c r="D16" i="19" s="1"/>
  <c r="G1197" i="16"/>
  <c r="G1199" i="16" s="1"/>
  <c r="K4359" i="16"/>
  <c r="K4361" i="16" s="1"/>
  <c r="N4361" i="16" s="1"/>
  <c r="O5006" i="16"/>
  <c r="O4275" i="16"/>
  <c r="O4360" i="16" s="1"/>
  <c r="I664" i="16"/>
  <c r="I665" i="16" s="1"/>
  <c r="L665" i="16" s="1"/>
  <c r="E3542" i="16"/>
  <c r="E3544" i="16" s="1"/>
  <c r="O2473" i="16"/>
  <c r="O1999" i="16"/>
  <c r="P1996" i="16"/>
  <c r="P1999" i="16" s="1"/>
  <c r="P1961" i="16"/>
  <c r="P2006" i="16" s="1"/>
  <c r="O3355" i="16"/>
  <c r="O3356" i="16" s="1"/>
  <c r="P3850" i="16"/>
  <c r="O4143" i="16"/>
  <c r="P4660" i="16"/>
  <c r="F5033" i="16"/>
  <c r="D1155" i="19"/>
  <c r="E1155" i="19" s="1"/>
  <c r="D1580" i="19"/>
  <c r="D1578" i="19" s="1"/>
  <c r="D1585" i="19" s="1"/>
  <c r="D1463" i="19" s="1"/>
  <c r="D99" i="19"/>
  <c r="O1961" i="16"/>
  <c r="O2006" i="16" s="1"/>
  <c r="P3355" i="16"/>
  <c r="P3356" i="16" s="1"/>
  <c r="F1612" i="16"/>
  <c r="E2247" i="16"/>
  <c r="I3710" i="16"/>
  <c r="L3710" i="16" s="1"/>
  <c r="C1649" i="19" s="1"/>
  <c r="I1837" i="16"/>
  <c r="L1837" i="16" s="1"/>
  <c r="C732" i="19" s="1"/>
  <c r="C731" i="19" s="1"/>
  <c r="G4760" i="16"/>
  <c r="G4762" i="16" s="1"/>
  <c r="C1258" i="19"/>
  <c r="C78" i="20" s="1"/>
  <c r="H2248" i="16"/>
  <c r="K2071" i="16"/>
  <c r="N2071" i="16" s="1"/>
  <c r="E5031" i="16"/>
  <c r="E5033" i="16" s="1"/>
  <c r="E2863" i="16"/>
  <c r="I1184" i="16"/>
  <c r="I1195" i="16" s="1"/>
  <c r="E1746" i="19"/>
  <c r="P3113" i="16"/>
  <c r="P3120" i="16" s="1"/>
  <c r="J303" i="16"/>
  <c r="P2994" i="16"/>
  <c r="O4358" i="16"/>
  <c r="K4760" i="16"/>
  <c r="N4760" i="16" s="1"/>
  <c r="H5033" i="16"/>
  <c r="D1746" i="19"/>
  <c r="P4358" i="16"/>
  <c r="D397" i="19"/>
  <c r="E397" i="19" s="1"/>
  <c r="E383" i="19" s="1"/>
  <c r="C1609" i="19"/>
  <c r="G1196" i="16"/>
  <c r="C1553" i="19"/>
  <c r="D509" i="19"/>
  <c r="E303" i="16"/>
  <c r="P177" i="16"/>
  <c r="P178" i="16" s="1"/>
  <c r="E11" i="19" s="1"/>
  <c r="E12" i="19" s="1"/>
  <c r="O299" i="16"/>
  <c r="O300" i="16" s="1"/>
  <c r="D17" i="19" s="1"/>
  <c r="D18" i="19" s="1"/>
  <c r="P4267" i="16"/>
  <c r="P4276" i="16" s="1"/>
  <c r="G5037" i="16"/>
  <c r="G1841" i="16"/>
  <c r="E620" i="19"/>
  <c r="E593" i="19" s="1"/>
  <c r="D593" i="19"/>
  <c r="N382" i="16"/>
  <c r="K383" i="16"/>
  <c r="N383" i="16" s="1"/>
  <c r="C631" i="19"/>
  <c r="C40" i="20" s="1"/>
  <c r="N4359" i="16"/>
  <c r="P5006" i="16"/>
  <c r="P5030" i="16" s="1"/>
  <c r="O487" i="16"/>
  <c r="O488" i="16" s="1"/>
  <c r="E704" i="16"/>
  <c r="C1124" i="19"/>
  <c r="O1579" i="16"/>
  <c r="E87" i="16"/>
  <c r="D1390" i="19"/>
  <c r="E1390" i="19" s="1"/>
  <c r="E1388" i="19" s="1"/>
  <c r="O4744" i="16"/>
  <c r="O4746" i="16" s="1"/>
  <c r="O4757" i="16" s="1"/>
  <c r="P4745" i="16"/>
  <c r="P4744" i="16" s="1"/>
  <c r="P4746" i="16" s="1"/>
  <c r="C593" i="19"/>
  <c r="O1184" i="16"/>
  <c r="O4660" i="16"/>
  <c r="L299" i="16"/>
  <c r="C139" i="19" s="1"/>
  <c r="D139" i="19" s="1"/>
  <c r="O1590" i="16"/>
  <c r="I3113" i="16"/>
  <c r="L3113" i="16" s="1"/>
  <c r="C1402" i="19" s="1"/>
  <c r="C1400" i="19" s="1"/>
  <c r="C87" i="20" s="1"/>
  <c r="J4759" i="16"/>
  <c r="L1007" i="16"/>
  <c r="C422" i="19" s="1"/>
  <c r="J2156" i="16"/>
  <c r="J2248" i="16"/>
  <c r="Q2248" i="16" s="1"/>
  <c r="N4182" i="16"/>
  <c r="K4188" i="16"/>
  <c r="N4188" i="16" s="1"/>
  <c r="J1197" i="16"/>
  <c r="J1199" i="16" s="1"/>
  <c r="J1059" i="16"/>
  <c r="H1417" i="16"/>
  <c r="O2994" i="16"/>
  <c r="E1527" i="16"/>
  <c r="F2246" i="16"/>
  <c r="F2248" i="16" s="1"/>
  <c r="N2209" i="16"/>
  <c r="K2245" i="16"/>
  <c r="N2245" i="16" s="1"/>
  <c r="P4832" i="16"/>
  <c r="P3385" i="16"/>
  <c r="P3386" i="16" s="1"/>
  <c r="P4702" i="16"/>
  <c r="C1058" i="19"/>
  <c r="C65" i="20" s="1"/>
  <c r="O4483" i="16"/>
  <c r="O4495" i="16" s="1"/>
  <c r="O4964" i="16"/>
  <c r="O4972" i="16" s="1"/>
  <c r="I4483" i="16"/>
  <c r="E4931" i="16"/>
  <c r="G2007" i="16"/>
  <c r="N381" i="16"/>
  <c r="K3206" i="16"/>
  <c r="N3206" i="16" s="1"/>
  <c r="C1122" i="19"/>
  <c r="B12" i="18" s="1"/>
  <c r="N2070" i="16"/>
  <c r="K2155" i="16"/>
  <c r="N2155" i="16" s="1"/>
  <c r="O1818" i="16"/>
  <c r="E1841" i="16"/>
  <c r="F5037" i="16"/>
  <c r="K1417" i="16"/>
  <c r="N1417" i="16" s="1"/>
  <c r="P4964" i="16"/>
  <c r="P4972" i="16" s="1"/>
  <c r="I4124" i="16"/>
  <c r="L4124" i="16" s="1"/>
  <c r="G2248" i="16"/>
  <c r="P3751" i="16"/>
  <c r="P3756" i="16" s="1"/>
  <c r="I3074" i="16"/>
  <c r="L3074" i="16" s="1"/>
  <c r="F2007" i="16"/>
  <c r="K4759" i="16"/>
  <c r="N4759" i="16" s="1"/>
  <c r="E1838" i="16"/>
  <c r="C1221" i="19"/>
  <c r="D1221" i="19" s="1"/>
  <c r="E1221" i="19" s="1"/>
  <c r="E1219" i="19" s="1"/>
  <c r="K2702" i="16"/>
  <c r="N2702" i="16" s="1"/>
  <c r="K2519" i="16"/>
  <c r="N2519" i="16" s="1"/>
  <c r="E67" i="32"/>
  <c r="D65" i="32"/>
  <c r="D62" i="32"/>
  <c r="D64" i="32"/>
  <c r="D63" i="32"/>
  <c r="F36" i="17"/>
  <c r="F33" i="17"/>
  <c r="F34" i="17"/>
  <c r="F35" i="17"/>
  <c r="E2007" i="16"/>
  <c r="E2246" i="16"/>
  <c r="E2248" i="16" s="1"/>
  <c r="P3710" i="16"/>
  <c r="K1965" i="16"/>
  <c r="N1965" i="16" s="1"/>
  <c r="N1962" i="16"/>
  <c r="K4127" i="16"/>
  <c r="N4127" i="16" s="1"/>
  <c r="N4125" i="16"/>
  <c r="K907" i="16"/>
  <c r="N907" i="16" s="1"/>
  <c r="N906" i="16"/>
  <c r="K1057" i="16"/>
  <c r="K1197" i="16" s="1"/>
  <c r="K3207" i="16"/>
  <c r="N2909" i="16"/>
  <c r="K3544" i="16"/>
  <c r="N3544" i="16" s="1"/>
  <c r="N3542" i="16"/>
  <c r="K1609" i="16"/>
  <c r="N1609" i="16" s="1"/>
  <c r="N1591" i="16"/>
  <c r="E1057" i="16"/>
  <c r="E1197" i="16" s="1"/>
  <c r="R1417" i="16"/>
  <c r="N4324" i="16"/>
  <c r="K4334" i="16"/>
  <c r="N4334" i="16" s="1"/>
  <c r="N3386" i="16"/>
  <c r="K3387" i="16"/>
  <c r="N3387" i="16" s="1"/>
  <c r="K4761" i="16"/>
  <c r="N4615" i="16"/>
  <c r="N2006" i="16"/>
  <c r="N4267" i="16"/>
  <c r="K4276" i="16"/>
  <c r="N4276" i="16" s="1"/>
  <c r="E2245" i="16"/>
  <c r="O2510" i="16"/>
  <c r="O2516" i="16" s="1"/>
  <c r="N2154" i="16"/>
  <c r="K5033" i="16"/>
  <c r="N5033" i="16" s="1"/>
  <c r="N5031" i="16"/>
  <c r="K3075" i="16"/>
  <c r="N3075" i="16" s="1"/>
  <c r="K4290" i="16"/>
  <c r="N4290" i="16" s="1"/>
  <c r="N4289" i="16"/>
  <c r="K4358" i="16"/>
  <c r="N4358" i="16" s="1"/>
  <c r="N4352" i="16"/>
  <c r="N3926" i="16"/>
  <c r="K3928" i="16"/>
  <c r="E422" i="19"/>
  <c r="N702" i="16"/>
  <c r="K704" i="16"/>
  <c r="N704" i="16" s="1"/>
  <c r="K2005" i="16"/>
  <c r="N2005" i="16" s="1"/>
  <c r="P4079" i="16"/>
  <c r="O3606" i="16"/>
  <c r="O3607" i="16" s="1"/>
  <c r="E4761" i="16"/>
  <c r="P2359" i="16"/>
  <c r="O3185" i="16"/>
  <c r="O3186" i="16" s="1"/>
  <c r="I4563" i="16"/>
  <c r="I1895" i="16"/>
  <c r="L1895" i="16" s="1"/>
  <c r="C782" i="19" s="1"/>
  <c r="D782" i="19" s="1"/>
  <c r="E1610" i="16"/>
  <c r="E1612" i="16" s="1"/>
  <c r="O4079" i="16"/>
  <c r="O2612" i="16"/>
  <c r="O2618" i="16" s="1"/>
  <c r="P1184" i="16"/>
  <c r="P1195" i="16" s="1"/>
  <c r="P1247" i="16"/>
  <c r="O3850" i="16"/>
  <c r="P4143" i="16"/>
  <c r="O1694" i="16"/>
  <c r="O1705" i="16" s="1"/>
  <c r="C342" i="19"/>
  <c r="D342" i="19" s="1"/>
  <c r="E342" i="19" s="1"/>
  <c r="E339" i="19" s="1"/>
  <c r="C1621" i="19"/>
  <c r="C101" i="20" s="1"/>
  <c r="P260" i="16"/>
  <c r="P261" i="16" s="1"/>
  <c r="E15" i="19" s="1"/>
  <c r="E16" i="19" s="1"/>
  <c r="I2683" i="16"/>
  <c r="L2683" i="16" s="1"/>
  <c r="G1059" i="16"/>
  <c r="P2653" i="16"/>
  <c r="O2359" i="16"/>
  <c r="F9" i="28"/>
  <c r="P4222" i="16"/>
  <c r="P4223" i="16" s="1"/>
  <c r="P4231" i="16" s="1"/>
  <c r="L2130" i="16"/>
  <c r="I2131" i="16"/>
  <c r="L2131" i="16" s="1"/>
  <c r="O4222" i="16"/>
  <c r="O4223" i="16" s="1"/>
  <c r="O4231" i="16" s="1"/>
  <c r="P381" i="16"/>
  <c r="P382" i="16" s="1"/>
  <c r="E20" i="19" s="1"/>
  <c r="O3751" i="16"/>
  <c r="O3756" i="16" s="1"/>
  <c r="O3143" i="16"/>
  <c r="O3152" i="16" s="1"/>
  <c r="O3157" i="16" s="1"/>
  <c r="P3144" i="16"/>
  <c r="P3143" i="16" s="1"/>
  <c r="P3152" i="16" s="1"/>
  <c r="P3157" i="16" s="1"/>
  <c r="O4702" i="16"/>
  <c r="E4127" i="16"/>
  <c r="P487" i="16"/>
  <c r="P488" i="16" s="1"/>
  <c r="P2848" i="16"/>
  <c r="P1579" i="16"/>
  <c r="P1591" i="16" s="1"/>
  <c r="P1609" i="16" s="1"/>
  <c r="P2473" i="16"/>
  <c r="C535" i="19"/>
  <c r="C533" i="19" s="1"/>
  <c r="C34" i="20" s="1"/>
  <c r="O4832" i="16"/>
  <c r="C276" i="19"/>
  <c r="D276" i="19" s="1"/>
  <c r="E276" i="19" s="1"/>
  <c r="O4181" i="16"/>
  <c r="O4182" i="16" s="1"/>
  <c r="O4359" i="16" s="1"/>
  <c r="O1047" i="16"/>
  <c r="O1056" i="16" s="1"/>
  <c r="D370" i="19" s="1"/>
  <c r="P1007" i="16"/>
  <c r="P1012" i="16" s="1"/>
  <c r="P1047" i="16"/>
  <c r="P1928" i="16"/>
  <c r="H5037" i="16"/>
  <c r="P4012" i="16"/>
  <c r="P4019" i="16" s="1"/>
  <c r="O1007" i="16"/>
  <c r="O1012" i="16" s="1"/>
  <c r="P962" i="16"/>
  <c r="P967" i="16" s="1"/>
  <c r="O3710" i="16"/>
  <c r="P4713" i="16"/>
  <c r="E2096" i="19" s="1"/>
  <c r="O2959" i="16"/>
  <c r="O2964" i="16" s="1"/>
  <c r="O4012" i="16"/>
  <c r="O4019" i="16" s="1"/>
  <c r="O3385" i="16"/>
  <c r="O3386" i="16" s="1"/>
  <c r="J385" i="16"/>
  <c r="J387" i="16" s="1"/>
  <c r="O962" i="16"/>
  <c r="O967" i="16" s="1"/>
  <c r="P2959" i="16"/>
  <c r="P2964" i="16" s="1"/>
  <c r="P3185" i="16"/>
  <c r="P3186" i="16" s="1"/>
  <c r="O3066" i="16"/>
  <c r="O3074" i="16" s="1"/>
  <c r="C793" i="19"/>
  <c r="D795" i="19"/>
  <c r="I4298" i="16"/>
  <c r="L4297" i="16"/>
  <c r="C1929" i="19" s="1"/>
  <c r="O4425" i="16"/>
  <c r="O4435" i="16" s="1"/>
  <c r="P4426" i="16"/>
  <c r="P4425" i="16" s="1"/>
  <c r="P4435" i="16" s="1"/>
  <c r="P2612" i="16"/>
  <c r="P2618" i="16" s="1"/>
  <c r="H2007" i="16"/>
  <c r="O2414" i="16"/>
  <c r="P3539" i="16"/>
  <c r="P3540" i="16" s="1"/>
  <c r="O1850" i="16"/>
  <c r="P1851" i="16"/>
  <c r="P1850" i="16" s="1"/>
  <c r="L2794" i="16"/>
  <c r="C1263" i="19" s="1"/>
  <c r="I2796" i="16"/>
  <c r="L2796" i="16" s="1"/>
  <c r="C766" i="19"/>
  <c r="B10" i="18" s="1"/>
  <c r="S10" i="18" s="1"/>
  <c r="D781" i="19"/>
  <c r="O1514" i="16"/>
  <c r="O3539" i="16"/>
  <c r="O3540" i="16" s="1"/>
  <c r="C1488" i="19"/>
  <c r="D1488" i="19" s="1"/>
  <c r="E1488" i="19" s="1"/>
  <c r="O3113" i="16"/>
  <c r="O1848" i="16"/>
  <c r="P1849" i="16"/>
  <c r="P1848" i="16" s="1"/>
  <c r="P300" i="16"/>
  <c r="E17" i="19" s="1"/>
  <c r="E18" i="19" s="1"/>
  <c r="O2860" i="16"/>
  <c r="O4290" i="16"/>
  <c r="O1195" i="16"/>
  <c r="P4290" i="16"/>
  <c r="D605" i="19"/>
  <c r="D603" i="19" s="1"/>
  <c r="D610" i="19" s="1"/>
  <c r="D576" i="19" s="1"/>
  <c r="D577" i="19" s="1"/>
  <c r="C592" i="19"/>
  <c r="C603" i="19"/>
  <c r="P1056" i="16"/>
  <c r="E370" i="19" s="1"/>
  <c r="C1540" i="19"/>
  <c r="D1542" i="19"/>
  <c r="O4931" i="16"/>
  <c r="O1058" i="16"/>
  <c r="O1198" i="16" s="1"/>
  <c r="D648" i="19"/>
  <c r="C646" i="19"/>
  <c r="C41" i="20" s="1"/>
  <c r="E508" i="19"/>
  <c r="E490" i="19"/>
  <c r="L1970" i="16"/>
  <c r="I1971" i="16"/>
  <c r="E1019" i="19"/>
  <c r="D438" i="19"/>
  <c r="C437" i="19"/>
  <c r="D28" i="20" s="1"/>
  <c r="O1430" i="16"/>
  <c r="O1464" i="16" s="1"/>
  <c r="P1431" i="16"/>
  <c r="P1430" i="16" s="1"/>
  <c r="P1464" i="16" s="1"/>
  <c r="L1519" i="16"/>
  <c r="C622" i="19" s="1"/>
  <c r="I1526" i="16"/>
  <c r="O2177" i="16"/>
  <c r="P2178" i="16"/>
  <c r="P2177" i="16" s="1"/>
  <c r="O4713" i="16"/>
  <c r="D2096" i="19" s="1"/>
  <c r="O780" i="16"/>
  <c r="O1283" i="16"/>
  <c r="P4360" i="16"/>
  <c r="P4334" i="16"/>
  <c r="D2009" i="19"/>
  <c r="C2007" i="19"/>
  <c r="P47" i="16"/>
  <c r="P44" i="16" s="1"/>
  <c r="O44" i="16"/>
  <c r="C847" i="19"/>
  <c r="D847" i="19" s="1"/>
  <c r="E847" i="19" s="1"/>
  <c r="C749" i="19"/>
  <c r="O3237" i="16"/>
  <c r="P3238" i="16"/>
  <c r="P3237" i="16" s="1"/>
  <c r="I5030" i="16"/>
  <c r="L5030" i="16" s="1"/>
  <c r="I5032" i="16"/>
  <c r="L5029" i="16"/>
  <c r="L1365" i="16"/>
  <c r="C552" i="19" s="1"/>
  <c r="O1123" i="16"/>
  <c r="E675" i="19"/>
  <c r="D902" i="19"/>
  <c r="C900" i="19"/>
  <c r="O2580" i="16"/>
  <c r="I3002" i="16"/>
  <c r="L3002" i="16" s="1"/>
  <c r="L3925" i="16"/>
  <c r="I3927" i="16"/>
  <c r="P3935" i="16"/>
  <c r="P3934" i="16" s="1"/>
  <c r="P3970" i="16" s="1"/>
  <c r="O3934" i="16"/>
  <c r="O3970" i="16" s="1"/>
  <c r="C2080" i="19"/>
  <c r="I2757" i="16"/>
  <c r="L2751" i="16"/>
  <c r="L525" i="16"/>
  <c r="C209" i="19" s="1"/>
  <c r="I526" i="16"/>
  <c r="L526" i="16" s="1"/>
  <c r="O409" i="16"/>
  <c r="O442" i="16" s="1"/>
  <c r="O443" i="16" s="1"/>
  <c r="P410" i="16"/>
  <c r="P409" i="16" s="1"/>
  <c r="P442" i="16" s="1"/>
  <c r="P443" i="16" s="1"/>
  <c r="P1749" i="16"/>
  <c r="P2909" i="16"/>
  <c r="D783" i="19"/>
  <c r="D1179" i="19"/>
  <c r="C1177" i="19"/>
  <c r="C1235" i="19"/>
  <c r="P2833" i="16"/>
  <c r="P2835" i="16" s="1"/>
  <c r="O3543" i="16"/>
  <c r="O3658" i="16"/>
  <c r="P4495" i="16"/>
  <c r="O2109" i="16"/>
  <c r="O2110" i="16" s="1"/>
  <c r="D1526" i="19"/>
  <c r="D1533" i="19" s="1"/>
  <c r="D1457" i="19" s="1"/>
  <c r="D1458" i="19" s="1"/>
  <c r="E1528" i="19"/>
  <c r="E1526" i="19" s="1"/>
  <c r="E1533" i="19" s="1"/>
  <c r="E1457" i="19" s="1"/>
  <c r="E1458" i="19" s="1"/>
  <c r="O1338" i="16"/>
  <c r="O1354" i="16" s="1"/>
  <c r="O1366" i="16" s="1"/>
  <c r="P1339" i="16"/>
  <c r="P1338" i="16" s="1"/>
  <c r="P1354" i="16" s="1"/>
  <c r="P1366" i="16" s="1"/>
  <c r="B8" i="18"/>
  <c r="L1058" i="16"/>
  <c r="D20" i="19"/>
  <c r="F1197" i="16"/>
  <c r="F1199" i="16" s="1"/>
  <c r="F1059" i="16"/>
  <c r="E2372" i="16"/>
  <c r="E2518" i="16"/>
  <c r="E2519" i="16" s="1"/>
  <c r="C2042" i="19"/>
  <c r="D2043" i="19"/>
  <c r="C1815" i="19"/>
  <c r="C113" i="20" s="1"/>
  <c r="D1817" i="19"/>
  <c r="P40" i="16"/>
  <c r="P38" i="16" s="1"/>
  <c r="O38" i="16"/>
  <c r="O525" i="16"/>
  <c r="D1138" i="19"/>
  <c r="C1136" i="19"/>
  <c r="L3978" i="16"/>
  <c r="B6" i="18"/>
  <c r="L1621" i="16"/>
  <c r="I1654" i="16"/>
  <c r="O2362" i="16"/>
  <c r="O2371" i="16" s="1"/>
  <c r="P2363" i="16"/>
  <c r="P2362" i="16" s="1"/>
  <c r="P2371" i="16" s="1"/>
  <c r="L3119" i="16"/>
  <c r="I3208" i="16"/>
  <c r="P3203" i="16"/>
  <c r="C1777" i="19"/>
  <c r="D1778" i="19"/>
  <c r="O4334" i="16"/>
  <c r="J4361" i="16"/>
  <c r="O1526" i="16"/>
  <c r="P1123" i="16"/>
  <c r="D424" i="19"/>
  <c r="E425" i="19"/>
  <c r="E424" i="19" s="1"/>
  <c r="P2580" i="16"/>
  <c r="L4041" i="16"/>
  <c r="C1789" i="19" s="1"/>
  <c r="D1760" i="19"/>
  <c r="C1744" i="19"/>
  <c r="E2081" i="19"/>
  <c r="E2080" i="19" s="1"/>
  <c r="E2087" i="19" s="1"/>
  <c r="E1968" i="19" s="1"/>
  <c r="E1969" i="19" s="1"/>
  <c r="P2244" i="16"/>
  <c r="O2751" i="16"/>
  <c r="O2757" i="16" s="1"/>
  <c r="O2758" i="16" s="1"/>
  <c r="D1247" i="19" s="1"/>
  <c r="P2752" i="16"/>
  <c r="P2751" i="16" s="1"/>
  <c r="P2757" i="16" s="1"/>
  <c r="P2758" i="16" s="1"/>
  <c r="E1247" i="19" s="1"/>
  <c r="E1246" i="19" s="1"/>
  <c r="D343" i="19"/>
  <c r="E344" i="19"/>
  <c r="E343" i="19" s="1"/>
  <c r="D915" i="19"/>
  <c r="C913" i="19"/>
  <c r="P4041" i="16"/>
  <c r="L4449" i="16"/>
  <c r="C2028" i="19" s="1"/>
  <c r="I4450" i="16"/>
  <c r="L4450" i="16" s="1"/>
  <c r="P4755" i="16"/>
  <c r="P5041" i="16"/>
  <c r="L619" i="16"/>
  <c r="C236" i="19" s="1"/>
  <c r="I620" i="16"/>
  <c r="L620" i="16" s="1"/>
  <c r="C314" i="19" s="1"/>
  <c r="P2151" i="16"/>
  <c r="P2152" i="16" s="1"/>
  <c r="P2191" i="16"/>
  <c r="P2190" i="16" s="1"/>
  <c r="O2190" i="16"/>
  <c r="P2698" i="16"/>
  <c r="P2700" i="16" s="1"/>
  <c r="I4054" i="16"/>
  <c r="L4054" i="16" s="1"/>
  <c r="C1792" i="19" s="1"/>
  <c r="E1580" i="19"/>
  <c r="E1578" i="19" s="1"/>
  <c r="E1585" i="19" s="1"/>
  <c r="E1463" i="19" s="1"/>
  <c r="E1623" i="19"/>
  <c r="H1197" i="16"/>
  <c r="H1199" i="16" s="1"/>
  <c r="H1059" i="16"/>
  <c r="C821" i="19"/>
  <c r="C744" i="19"/>
  <c r="P2515" i="16"/>
  <c r="P2516" i="16"/>
  <c r="I1413" i="16"/>
  <c r="L1408" i="16"/>
  <c r="E604" i="19"/>
  <c r="D591" i="19"/>
  <c r="C965" i="19"/>
  <c r="C753" i="19"/>
  <c r="O2515" i="16"/>
  <c r="I3186" i="16"/>
  <c r="L3186" i="16" s="1"/>
  <c r="L3185" i="16"/>
  <c r="C1429" i="19" s="1"/>
  <c r="L1900" i="16"/>
  <c r="C785" i="19" s="1"/>
  <c r="L3751" i="16"/>
  <c r="C1662" i="19" s="1"/>
  <c r="I3756" i="16"/>
  <c r="L3756" i="16" s="1"/>
  <c r="P4605" i="16"/>
  <c r="L487" i="16"/>
  <c r="C195" i="19" s="1"/>
  <c r="I488" i="16"/>
  <c r="L488" i="16" s="1"/>
  <c r="P525" i="16"/>
  <c r="B13" i="18"/>
  <c r="E1368" i="19"/>
  <c r="E1367" i="19" s="1"/>
  <c r="D1367" i="19"/>
  <c r="D1697" i="19"/>
  <c r="C1683" i="19"/>
  <c r="O3320" i="16"/>
  <c r="L945" i="16"/>
  <c r="I962" i="16"/>
  <c r="L130" i="16"/>
  <c r="C86" i="19" s="1"/>
  <c r="D86" i="19" s="1"/>
  <c r="E86" i="19" s="1"/>
  <c r="I134" i="16"/>
  <c r="E395" i="19"/>
  <c r="O1377" i="16"/>
  <c r="O1405" i="16" s="1"/>
  <c r="P1378" i="16"/>
  <c r="P1377" i="16" s="1"/>
  <c r="P1405" i="16" s="1"/>
  <c r="P1622" i="16"/>
  <c r="P1621" i="16" s="1"/>
  <c r="P1654" i="16" s="1"/>
  <c r="O1621" i="16"/>
  <c r="O1654" i="16" s="1"/>
  <c r="L2909" i="16"/>
  <c r="C1338" i="19" s="1"/>
  <c r="O3203" i="16"/>
  <c r="D1891" i="19"/>
  <c r="O79" i="16"/>
  <c r="P80" i="16"/>
  <c r="P79" i="16" s="1"/>
  <c r="J5037" i="16"/>
  <c r="O1606" i="16"/>
  <c r="O1608" i="16" s="1"/>
  <c r="P1607" i="16"/>
  <c r="P1606" i="16" s="1"/>
  <c r="P1608" i="16" s="1"/>
  <c r="P1611" i="16" s="1"/>
  <c r="L12" i="18"/>
  <c r="P4181" i="16"/>
  <c r="L4746" i="16"/>
  <c r="C2108" i="19" s="1"/>
  <c r="O2244" i="16"/>
  <c r="O4041" i="16"/>
  <c r="O4755" i="16"/>
  <c r="I4125" i="16"/>
  <c r="I3979" i="16"/>
  <c r="L3979" i="16" s="1"/>
  <c r="L3970" i="16"/>
  <c r="I72" i="16"/>
  <c r="L72" i="16" s="1"/>
  <c r="C71" i="19" s="1"/>
  <c r="C237" i="19"/>
  <c r="D237" i="19" s="1"/>
  <c r="E237" i="19" s="1"/>
  <c r="O851" i="16"/>
  <c r="O906" i="16" s="1"/>
  <c r="P852" i="16"/>
  <c r="P851" i="16" s="1"/>
  <c r="P906" i="16" s="1"/>
  <c r="P907" i="16" s="1"/>
  <c r="O2151" i="16"/>
  <c r="O2152" i="16" s="1"/>
  <c r="O2698" i="16"/>
  <c r="O2700" i="16" s="1"/>
  <c r="C1708" i="19"/>
  <c r="C1418" i="19"/>
  <c r="D1419" i="19"/>
  <c r="C99" i="20"/>
  <c r="E99" i="20" s="1"/>
  <c r="C1585" i="19"/>
  <c r="C1463" i="19" s="1"/>
  <c r="B9" i="18"/>
  <c r="P1412" i="16"/>
  <c r="P1408" i="16" s="1"/>
  <c r="P1413" i="16" s="1"/>
  <c r="O1408" i="16"/>
  <c r="O1413" i="16" s="1"/>
  <c r="O2062" i="16"/>
  <c r="O2070" i="16" s="1"/>
  <c r="P2063" i="16"/>
  <c r="P2062" i="16" s="1"/>
  <c r="P2070" i="16" s="1"/>
  <c r="I2835" i="16"/>
  <c r="L2833" i="16"/>
  <c r="C1274" i="19" s="1"/>
  <c r="L4266" i="16"/>
  <c r="C1905" i="19" s="1"/>
  <c r="D1905" i="19" s="1"/>
  <c r="E1905" i="19" s="1"/>
  <c r="I4267" i="16"/>
  <c r="L4267" i="16" s="1"/>
  <c r="J840" i="16"/>
  <c r="O3250" i="16"/>
  <c r="P3251" i="16"/>
  <c r="P3250" i="16" s="1"/>
  <c r="O4605" i="16"/>
  <c r="C706" i="19"/>
  <c r="D1322" i="19"/>
  <c r="E1337" i="19"/>
  <c r="D84" i="20"/>
  <c r="I3926" i="16"/>
  <c r="L3850" i="16"/>
  <c r="P3320" i="16"/>
  <c r="C372" i="19"/>
  <c r="C448" i="19"/>
  <c r="P131" i="16"/>
  <c r="P130" i="16" s="1"/>
  <c r="P134" i="16" s="1"/>
  <c r="O130" i="16"/>
  <c r="O134" i="16" s="1"/>
  <c r="L906" i="16"/>
  <c r="I907" i="16"/>
  <c r="E632" i="19"/>
  <c r="O3418" i="16"/>
  <c r="O3438" i="16" s="1"/>
  <c r="O3439" i="16" s="1"/>
  <c r="P3419" i="16"/>
  <c r="P3418" i="16" s="1"/>
  <c r="P3438" i="16" s="1"/>
  <c r="P3439" i="16" s="1"/>
  <c r="L4563" i="16"/>
  <c r="C2056" i="19" s="1"/>
  <c r="I4564" i="16"/>
  <c r="L4564" i="16" s="1"/>
  <c r="C650" i="19"/>
  <c r="D652" i="19"/>
  <c r="C596" i="19"/>
  <c r="C1087" i="19"/>
  <c r="D1088" i="19"/>
  <c r="O3120" i="16"/>
  <c r="O3208" i="16"/>
  <c r="D1665" i="19"/>
  <c r="C1664" i="19"/>
  <c r="O3918" i="16"/>
  <c r="E2156" i="16"/>
  <c r="I2371" i="16"/>
  <c r="I2518" i="16" s="1"/>
  <c r="C1191" i="19"/>
  <c r="D1193" i="19"/>
  <c r="I3438" i="16"/>
  <c r="P3467" i="16"/>
  <c r="P3468" i="16" s="1"/>
  <c r="C1880" i="19"/>
  <c r="D1881" i="19"/>
  <c r="O4547" i="16"/>
  <c r="E702" i="19"/>
  <c r="D673" i="19"/>
  <c r="C72" i="19"/>
  <c r="O1322" i="16"/>
  <c r="O1328" i="16" s="1"/>
  <c r="D492" i="19"/>
  <c r="E510" i="19"/>
  <c r="E492" i="19" s="1"/>
  <c r="D619" i="19"/>
  <c r="C617" i="19"/>
  <c r="C39" i="20" s="1"/>
  <c r="E1709" i="19"/>
  <c r="E1708" i="19" s="1"/>
  <c r="D1708" i="19"/>
  <c r="I4758" i="16"/>
  <c r="L4755" i="16"/>
  <c r="C2111" i="19" s="1"/>
  <c r="I4756" i="16"/>
  <c r="L4756" i="16" s="1"/>
  <c r="E385" i="16"/>
  <c r="D508" i="19"/>
  <c r="D507" i="19" s="1"/>
  <c r="D514" i="19" s="1"/>
  <c r="D474" i="19" s="1"/>
  <c r="D475" i="19" s="1"/>
  <c r="D490" i="19"/>
  <c r="L177" i="16"/>
  <c r="C99" i="19" s="1"/>
  <c r="I178" i="16"/>
  <c r="L178" i="16" s="1"/>
  <c r="O330" i="16"/>
  <c r="P331" i="16"/>
  <c r="P330" i="16" s="1"/>
  <c r="L381" i="16"/>
  <c r="C167" i="19" s="1"/>
  <c r="I382" i="16"/>
  <c r="P2411" i="16"/>
  <c r="P2410" i="16" s="1"/>
  <c r="P2414" i="16" s="1"/>
  <c r="L2062" i="16"/>
  <c r="I2070" i="16"/>
  <c r="C1363" i="19"/>
  <c r="C84" i="20" s="1"/>
  <c r="D1365" i="19"/>
  <c r="O2653" i="16"/>
  <c r="C1250" i="19"/>
  <c r="D77" i="20" s="1"/>
  <c r="D1251" i="19"/>
  <c r="L4351" i="16"/>
  <c r="C1954" i="19" s="1"/>
  <c r="I4352" i="16"/>
  <c r="L4919" i="16"/>
  <c r="I4931" i="16"/>
  <c r="L4931" i="16" s="1"/>
  <c r="E1060" i="19"/>
  <c r="E1058" i="19" s="1"/>
  <c r="D1058" i="19"/>
  <c r="D126" i="19"/>
  <c r="I2653" i="16"/>
  <c r="L2653" i="16" s="1"/>
  <c r="L2652" i="16"/>
  <c r="C1182" i="19" s="1"/>
  <c r="I2964" i="16"/>
  <c r="L2964" i="16" s="1"/>
  <c r="L2959" i="16"/>
  <c r="C1351" i="19" s="1"/>
  <c r="L16" i="18"/>
  <c r="L11" i="18"/>
  <c r="L836" i="16"/>
  <c r="C288" i="19" s="1"/>
  <c r="L691" i="16"/>
  <c r="I701" i="16"/>
  <c r="D846" i="19"/>
  <c r="P1837" i="16"/>
  <c r="P1838" i="16" s="1"/>
  <c r="I4087" i="16"/>
  <c r="L4087" i="16" s="1"/>
  <c r="C1805" i="19" s="1"/>
  <c r="L4082" i="16"/>
  <c r="L4324" i="16"/>
  <c r="I4334" i="16"/>
  <c r="D2208" i="19"/>
  <c r="C2207" i="19"/>
  <c r="O65" i="16"/>
  <c r="P66" i="16"/>
  <c r="P65" i="16" s="1"/>
  <c r="L1283" i="16"/>
  <c r="D1124" i="19"/>
  <c r="E1139" i="19"/>
  <c r="E1124" i="19" s="1"/>
  <c r="C1085" i="19"/>
  <c r="D1487" i="19"/>
  <c r="C1486" i="19"/>
  <c r="C1472" i="19"/>
  <c r="P4931" i="16"/>
  <c r="K1527" i="16"/>
  <c r="N1527" i="16" s="1"/>
  <c r="K1610" i="16"/>
  <c r="C675" i="19"/>
  <c r="C1048" i="19"/>
  <c r="P3001" i="16"/>
  <c r="P3002" i="16" s="1"/>
  <c r="P2997" i="16"/>
  <c r="C1474" i="19"/>
  <c r="D1474" i="19" s="1"/>
  <c r="E1474" i="19" s="1"/>
  <c r="D1489" i="19"/>
  <c r="E1489" i="19" s="1"/>
  <c r="L4181" i="16"/>
  <c r="I4182" i="16"/>
  <c r="P3918" i="16"/>
  <c r="P4449" i="16"/>
  <c r="P4049" i="16"/>
  <c r="P4047" i="16" s="1"/>
  <c r="P4054" i="16" s="1"/>
  <c r="O4047" i="16"/>
  <c r="O4054" i="16" s="1"/>
  <c r="I347" i="16"/>
  <c r="C1195" i="19"/>
  <c r="D73" i="20" s="1"/>
  <c r="D1196" i="19"/>
  <c r="L2723" i="16"/>
  <c r="I2725" i="16"/>
  <c r="P2771" i="16"/>
  <c r="P2778" i="16" s="1"/>
  <c r="O3467" i="16"/>
  <c r="O3468" i="16" s="1"/>
  <c r="P4547" i="16"/>
  <c r="L585" i="16"/>
  <c r="C223" i="19" s="1"/>
  <c r="I586" i="16"/>
  <c r="L586" i="16" s="1"/>
  <c r="C301" i="19" s="1"/>
  <c r="H840" i="16"/>
  <c r="P1322" i="16"/>
  <c r="P1328" i="16" s="1"/>
  <c r="I1198" i="16"/>
  <c r="L1194" i="16"/>
  <c r="C492" i="19"/>
  <c r="C636" i="19"/>
  <c r="L2049" i="16"/>
  <c r="C890" i="19" s="1"/>
  <c r="D890" i="19" s="1"/>
  <c r="E890" i="19" s="1"/>
  <c r="I2054" i="16"/>
  <c r="L2054" i="16" s="1"/>
  <c r="I2618" i="16"/>
  <c r="L2618" i="16" s="1"/>
  <c r="L2612" i="16"/>
  <c r="C1152" i="19" s="1"/>
  <c r="C1500" i="19"/>
  <c r="D1502" i="19"/>
  <c r="O1247" i="16"/>
  <c r="I2314" i="16"/>
  <c r="L2310" i="16"/>
  <c r="C1035" i="19" s="1"/>
  <c r="E2135" i="19"/>
  <c r="I302" i="16"/>
  <c r="L86" i="16"/>
  <c r="C74" i="19" s="1"/>
  <c r="I1328" i="16"/>
  <c r="L1328" i="16" s="1"/>
  <c r="C477" i="19" s="1"/>
  <c r="L1327" i="16"/>
  <c r="C538" i="19" s="1"/>
  <c r="C939" i="19"/>
  <c r="D941" i="19"/>
  <c r="C1490" i="19"/>
  <c r="D92" i="20" s="1"/>
  <c r="D1491" i="19"/>
  <c r="D1877" i="19"/>
  <c r="C1862" i="19"/>
  <c r="K303" i="16"/>
  <c r="N303" i="16" s="1"/>
  <c r="O691" i="16"/>
  <c r="O701" i="16" s="1"/>
  <c r="P692" i="16"/>
  <c r="P691" i="16" s="1"/>
  <c r="P701" i="16" s="1"/>
  <c r="O1762" i="16"/>
  <c r="P1751" i="16"/>
  <c r="P1762" i="16" s="1"/>
  <c r="O1837" i="16"/>
  <c r="P2314" i="16"/>
  <c r="L4079" i="16"/>
  <c r="C1802" i="19" s="1"/>
  <c r="P4084" i="16"/>
  <c r="P4082" i="16" s="1"/>
  <c r="P4087" i="16" s="1"/>
  <c r="O4082" i="16"/>
  <c r="O4087" i="16" s="1"/>
  <c r="O4088" i="16" s="1"/>
  <c r="C1939" i="19"/>
  <c r="C120" i="20" s="1"/>
  <c r="D1941" i="19"/>
  <c r="E4762" i="16"/>
  <c r="D1165" i="19"/>
  <c r="C1163" i="19"/>
  <c r="O585" i="16"/>
  <c r="O586" i="16" s="1"/>
  <c r="L1579" i="16"/>
  <c r="K1195" i="16"/>
  <c r="D904" i="19"/>
  <c r="E905" i="19"/>
  <c r="E904" i="19" s="1"/>
  <c r="I3267" i="16"/>
  <c r="B19" i="18"/>
  <c r="L4842" i="16"/>
  <c r="O2426" i="16"/>
  <c r="P2720" i="16"/>
  <c r="E1624" i="19"/>
  <c r="E1609" i="19" s="1"/>
  <c r="D1609" i="19"/>
  <c r="C1956" i="19"/>
  <c r="D1957" i="19"/>
  <c r="O4449" i="16"/>
  <c r="L3205" i="16"/>
  <c r="C315" i="19"/>
  <c r="D315" i="19" s="1"/>
  <c r="E315" i="19" s="1"/>
  <c r="L2151" i="16"/>
  <c r="C754" i="19" s="1"/>
  <c r="I2152" i="16"/>
  <c r="L2152" i="16" s="1"/>
  <c r="C977" i="19" s="1"/>
  <c r="I2427" i="16"/>
  <c r="L2427" i="16" s="1"/>
  <c r="L2426" i="16"/>
  <c r="O2723" i="16"/>
  <c r="O2725" i="16" s="1"/>
  <c r="P2724" i="16"/>
  <c r="P2723" i="16" s="1"/>
  <c r="P2725" i="16" s="1"/>
  <c r="O2771" i="16"/>
  <c r="O2778" i="16" s="1"/>
  <c r="D1636" i="19"/>
  <c r="F841" i="16"/>
  <c r="E849" i="19"/>
  <c r="E848" i="19" s="1"/>
  <c r="D848" i="19"/>
  <c r="I1590" i="16"/>
  <c r="L1590" i="16" s="1"/>
  <c r="O2042" i="16"/>
  <c r="P2043" i="16"/>
  <c r="P2042" i="16" s="1"/>
  <c r="O2049" i="16"/>
  <c r="P2050" i="16"/>
  <c r="P2049" i="16" s="1"/>
  <c r="D1568" i="19"/>
  <c r="C1566" i="19"/>
  <c r="E4759" i="16"/>
  <c r="I4883" i="16"/>
  <c r="L4883" i="16" s="1"/>
  <c r="L4882" i="16"/>
  <c r="C2192" i="19" s="1"/>
  <c r="D2095" i="19"/>
  <c r="C2094" i="19"/>
  <c r="C129" i="20" s="1"/>
  <c r="C1943" i="19"/>
  <c r="D1944" i="19"/>
  <c r="L2244" i="16"/>
  <c r="C1288" i="19"/>
  <c r="I1464" i="16"/>
  <c r="L1749" i="16"/>
  <c r="C716" i="19" s="1"/>
  <c r="I2861" i="16"/>
  <c r="F4762" i="16"/>
  <c r="L4824" i="16"/>
  <c r="I4832" i="16"/>
  <c r="L4832" i="16" s="1"/>
  <c r="C2166" i="19" s="1"/>
  <c r="O336" i="16"/>
  <c r="P337" i="16"/>
  <c r="P336" i="16" s="1"/>
  <c r="P347" i="16" s="1"/>
  <c r="P348" i="16" s="1"/>
  <c r="E19" i="19" s="1"/>
  <c r="I1354" i="16"/>
  <c r="L1354" i="16" s="1"/>
  <c r="C549" i="19" s="1"/>
  <c r="D808" i="19"/>
  <c r="C806" i="19"/>
  <c r="I3468" i="16"/>
  <c r="L3468" i="16" s="1"/>
  <c r="B6" i="28" s="1"/>
  <c r="H6" i="28" s="1"/>
  <c r="L3467" i="16"/>
  <c r="L3325" i="16"/>
  <c r="I3543" i="16"/>
  <c r="L4222" i="16"/>
  <c r="C1892" i="19" s="1"/>
  <c r="D1892" i="19" s="1"/>
  <c r="E1892" i="19" s="1"/>
  <c r="I4223" i="16"/>
  <c r="L4223" i="16" s="1"/>
  <c r="L4275" i="16"/>
  <c r="I4360" i="16"/>
  <c r="I4807" i="16"/>
  <c r="L4807" i="16" s="1"/>
  <c r="L4806" i="16"/>
  <c r="C2152" i="19" s="1"/>
  <c r="C2182" i="19"/>
  <c r="D134" i="20" s="1"/>
  <c r="D2183" i="19"/>
  <c r="C77" i="20"/>
  <c r="L3355" i="16"/>
  <c r="I3356" i="16"/>
  <c r="L3356" i="16" s="1"/>
  <c r="B3" i="28" s="1"/>
  <c r="H3" i="28" s="1"/>
  <c r="D119" i="20"/>
  <c r="E451" i="19"/>
  <c r="E450" i="19" s="1"/>
  <c r="D450" i="19"/>
  <c r="C718" i="19"/>
  <c r="D719" i="19"/>
  <c r="I2209" i="16"/>
  <c r="I2245" i="16" s="1"/>
  <c r="O2314" i="16"/>
  <c r="C1513" i="19"/>
  <c r="P4112" i="16"/>
  <c r="P4124" i="16" s="1"/>
  <c r="D1904" i="19"/>
  <c r="O768" i="16"/>
  <c r="O773" i="16" s="1"/>
  <c r="P769" i="16"/>
  <c r="P768" i="16" s="1"/>
  <c r="P773" i="16" s="1"/>
  <c r="P838" i="16" s="1"/>
  <c r="I773" i="16"/>
  <c r="L773" i="16" s="1"/>
  <c r="C275" i="19" s="1"/>
  <c r="P585" i="16"/>
  <c r="P586" i="16" s="1"/>
  <c r="L1694" i="16"/>
  <c r="C703" i="19" s="1"/>
  <c r="I1705" i="16"/>
  <c r="L1705" i="16" s="1"/>
  <c r="P3017" i="16"/>
  <c r="P3016" i="16" s="1"/>
  <c r="P3040" i="16" s="1"/>
  <c r="P3042" i="16" s="1"/>
  <c r="O3016" i="16"/>
  <c r="O3040" i="16" s="1"/>
  <c r="O3042" i="16" s="1"/>
  <c r="L3606" i="16"/>
  <c r="I3757" i="16"/>
  <c r="I3759" i="16" s="1"/>
  <c r="I3607" i="16"/>
  <c r="L3607" i="16" s="1"/>
  <c r="E1622" i="19"/>
  <c r="D1607" i="19"/>
  <c r="D1621" i="19"/>
  <c r="D1628" i="19" s="1"/>
  <c r="D1592" i="19" s="1"/>
  <c r="D1593" i="19" s="1"/>
  <c r="O836" i="16"/>
  <c r="E1260" i="19"/>
  <c r="E1258" i="19" s="1"/>
  <c r="D1258" i="19"/>
  <c r="I1818" i="16"/>
  <c r="P2426" i="16"/>
  <c r="P2142" i="16"/>
  <c r="O3002" i="16"/>
  <c r="L2859" i="16"/>
  <c r="I2860" i="16"/>
  <c r="L2860" i="16" s="1"/>
  <c r="O2720" i="16"/>
  <c r="L4012" i="16"/>
  <c r="C1775" i="19" s="1"/>
  <c r="I4019" i="16"/>
  <c r="L4019" i="16" s="1"/>
  <c r="C2053" i="19"/>
  <c r="G385" i="16"/>
  <c r="C507" i="19"/>
  <c r="O5030" i="16"/>
  <c r="P62" i="16"/>
  <c r="P60" i="16" s="1"/>
  <c r="O60" i="16"/>
  <c r="O654" i="16"/>
  <c r="O664" i="16" s="1"/>
  <c r="O665" i="16" s="1"/>
  <c r="P655" i="16"/>
  <c r="P654" i="16" s="1"/>
  <c r="P664" i="16" s="1"/>
  <c r="P665" i="16" s="1"/>
  <c r="P1198" i="16"/>
  <c r="L4609" i="16"/>
  <c r="I4612" i="16"/>
  <c r="D411" i="19"/>
  <c r="E412" i="19"/>
  <c r="P2672" i="16"/>
  <c r="P2683" i="16" s="1"/>
  <c r="O3474" i="16"/>
  <c r="O3513" i="16" s="1"/>
  <c r="P3475" i="16"/>
  <c r="P3474" i="16" s="1"/>
  <c r="P3513" i="16" s="1"/>
  <c r="D1820" i="19"/>
  <c r="C1819" i="19"/>
  <c r="E1699" i="19"/>
  <c r="E1685" i="19" s="1"/>
  <c r="D1685" i="19"/>
  <c r="C97" i="20"/>
  <c r="E97" i="20" s="1"/>
  <c r="C1560" i="19"/>
  <c r="C1461" i="19" s="1"/>
  <c r="L1047" i="16"/>
  <c r="C435" i="19" s="1"/>
  <c r="C1647" i="19"/>
  <c r="D1649" i="19"/>
  <c r="L4605" i="16"/>
  <c r="C2067" i="19" s="1"/>
  <c r="C2216" i="19"/>
  <c r="C137" i="20" s="1"/>
  <c r="D2218" i="19"/>
  <c r="I2778" i="16"/>
  <c r="L2778" i="16" s="1"/>
  <c r="D1931" i="19"/>
  <c r="E1932" i="19"/>
  <c r="E1931" i="19" s="1"/>
  <c r="H303" i="16"/>
  <c r="P780" i="16"/>
  <c r="P1283" i="16"/>
  <c r="E1059" i="16"/>
  <c r="E1198" i="16"/>
  <c r="E1199" i="16" s="1"/>
  <c r="D1513" i="19"/>
  <c r="D1520" i="19" s="1"/>
  <c r="D1460" i="19" s="1"/>
  <c r="E1515" i="19"/>
  <c r="E1513" i="19" s="1"/>
  <c r="E1520" i="19" s="1"/>
  <c r="E1460" i="19" s="1"/>
  <c r="P3606" i="16"/>
  <c r="O4112" i="16"/>
  <c r="O4124" i="16" s="1"/>
  <c r="D1393" i="19"/>
  <c r="C1392" i="19"/>
  <c r="L3016" i="16"/>
  <c r="I3040" i="16"/>
  <c r="O14" i="16"/>
  <c r="P15" i="16"/>
  <c r="P14" i="16" s="1"/>
  <c r="L7" i="18"/>
  <c r="I1405" i="16"/>
  <c r="L1405" i="16" s="1"/>
  <c r="C563" i="19" s="1"/>
  <c r="I1961" i="16"/>
  <c r="D675" i="19"/>
  <c r="O2142" i="16"/>
  <c r="D2054" i="19"/>
  <c r="C1993" i="19"/>
  <c r="O4552" i="16"/>
  <c r="O4563" i="16" s="1"/>
  <c r="P4553" i="16"/>
  <c r="P4552" i="16" s="1"/>
  <c r="P4563" i="16" s="1"/>
  <c r="H385" i="16"/>
  <c r="H387" i="16" s="1"/>
  <c r="C1441" i="19"/>
  <c r="L5" i="18"/>
  <c r="L409" i="16"/>
  <c r="I442" i="16"/>
  <c r="D1073" i="19"/>
  <c r="C1071" i="19"/>
  <c r="O1749" i="16"/>
  <c r="I2700" i="16"/>
  <c r="L2698" i="16"/>
  <c r="K2835" i="16"/>
  <c r="N2835" i="16" s="1"/>
  <c r="K2861" i="16"/>
  <c r="O2909" i="16"/>
  <c r="L4288" i="16"/>
  <c r="C1917" i="19" s="1"/>
  <c r="I4289" i="16"/>
  <c r="O4609" i="16"/>
  <c r="O4612" i="16" s="1"/>
  <c r="P4610" i="16"/>
  <c r="P4609" i="16" s="1"/>
  <c r="P4612" i="16" s="1"/>
  <c r="L4712" i="16"/>
  <c r="C2099" i="19" s="1"/>
  <c r="I4713" i="16"/>
  <c r="L4713" i="16" s="1"/>
  <c r="L217" i="16"/>
  <c r="C113" i="19" s="1"/>
  <c r="I218" i="16"/>
  <c r="L218" i="16" s="1"/>
  <c r="P1693" i="16"/>
  <c r="P1691" i="16" s="1"/>
  <c r="P1694" i="16" s="1"/>
  <c r="P1705" i="16" s="1"/>
  <c r="L10" i="18"/>
  <c r="I2110" i="16"/>
  <c r="L2110" i="16" s="1"/>
  <c r="L2109" i="16"/>
  <c r="O2672" i="16"/>
  <c r="O2683" i="16" s="1"/>
  <c r="O2833" i="16"/>
  <c r="O2835" i="16" s="1"/>
  <c r="L3385" i="16"/>
  <c r="I3386" i="16"/>
  <c r="P3658" i="16"/>
  <c r="P83" i="16"/>
  <c r="P81" i="16" s="1"/>
  <c r="O81" i="16"/>
  <c r="P2109" i="16"/>
  <c r="P2110" i="16" s="1"/>
  <c r="C95" i="20"/>
  <c r="E95" i="20" s="1"/>
  <c r="C1533" i="19"/>
  <c r="C1457" i="19" s="1"/>
  <c r="C1458" i="19" s="1"/>
  <c r="E1555" i="19"/>
  <c r="E1553" i="19" s="1"/>
  <c r="E1560" i="19" s="1"/>
  <c r="E1461" i="19" s="1"/>
  <c r="D1553" i="19"/>
  <c r="D1560" i="19" s="1"/>
  <c r="D1461" i="19" s="1"/>
  <c r="L4964" i="16" l="1"/>
  <c r="C2180" i="19" s="1"/>
  <c r="I4972" i="16"/>
  <c r="L4972" i="16" s="1"/>
  <c r="I842" i="16"/>
  <c r="D339" i="19"/>
  <c r="O4564" i="16"/>
  <c r="I3207" i="16"/>
  <c r="O3757" i="16"/>
  <c r="O3759" i="16" s="1"/>
  <c r="I3541" i="16"/>
  <c r="L3541" i="16" s="1"/>
  <c r="I1527" i="16"/>
  <c r="L1527" i="16" s="1"/>
  <c r="C1628" i="19"/>
  <c r="C1592" i="19" s="1"/>
  <c r="C1593" i="19" s="1"/>
  <c r="I3157" i="16"/>
  <c r="L3157" i="16" s="1"/>
  <c r="P4450" i="16"/>
  <c r="P2860" i="16"/>
  <c r="P3387" i="16"/>
  <c r="O3387" i="16"/>
  <c r="P1895" i="16"/>
  <c r="P1901" i="16" s="1"/>
  <c r="K2156" i="16"/>
  <c r="N2156" i="16" s="1"/>
  <c r="K385" i="16"/>
  <c r="N385" i="16" s="1"/>
  <c r="O1962" i="16"/>
  <c r="L1184" i="16"/>
  <c r="I839" i="16"/>
  <c r="L839" i="16" s="1"/>
  <c r="D535" i="19"/>
  <c r="E535" i="19" s="1"/>
  <c r="E533" i="19" s="1"/>
  <c r="O4450" i="16"/>
  <c r="P2372" i="16"/>
  <c r="I1763" i="16"/>
  <c r="L1763" i="16" s="1"/>
  <c r="I4757" i="16"/>
  <c r="D2080" i="19"/>
  <c r="D2087" i="19" s="1"/>
  <c r="D1968" i="19" s="1"/>
  <c r="D1969" i="19" s="1"/>
  <c r="C8" i="18"/>
  <c r="O4276" i="16"/>
  <c r="K2007" i="16"/>
  <c r="N2007" i="16" s="1"/>
  <c r="I1840" i="16"/>
  <c r="L664" i="16"/>
  <c r="C249" i="19" s="1"/>
  <c r="D732" i="19"/>
  <c r="D2025" i="19"/>
  <c r="E2025" i="19" s="1"/>
  <c r="E2023" i="19" s="1"/>
  <c r="C137" i="19"/>
  <c r="C144" i="19" s="1"/>
  <c r="C17" i="19" s="1"/>
  <c r="C18" i="19" s="1"/>
  <c r="K2246" i="16"/>
  <c r="N2246" i="16" s="1"/>
  <c r="D1154" i="19"/>
  <c r="E77" i="20"/>
  <c r="O2372" i="16"/>
  <c r="L1057" i="16"/>
  <c r="I87" i="16"/>
  <c r="L87" i="16" s="1"/>
  <c r="P5031" i="16"/>
  <c r="L907" i="16"/>
  <c r="L1840" i="16"/>
  <c r="D1388" i="19"/>
  <c r="P1610" i="16"/>
  <c r="P1612" i="16" s="1"/>
  <c r="D1353" i="19"/>
  <c r="E1354" i="19"/>
  <c r="E1353" i="19" s="1"/>
  <c r="O3926" i="16"/>
  <c r="O3928" i="16" s="1"/>
  <c r="O5039" i="16" s="1"/>
  <c r="P3926" i="16"/>
  <c r="P3928" i="16" s="1"/>
  <c r="P5039" i="16" s="1"/>
  <c r="L2245" i="16"/>
  <c r="C757" i="19" s="1"/>
  <c r="C758" i="19" s="1"/>
  <c r="P4757" i="16"/>
  <c r="F633" i="19"/>
  <c r="O1895" i="16"/>
  <c r="O1901" i="16" s="1"/>
  <c r="O1965" i="16" s="1"/>
  <c r="O5031" i="16"/>
  <c r="C844" i="19"/>
  <c r="C851" i="19" s="1"/>
  <c r="D383" i="19"/>
  <c r="I301" i="16"/>
  <c r="I303" i="16" s="1"/>
  <c r="L303" i="16" s="1"/>
  <c r="I4088" i="16"/>
  <c r="L4088" i="16" s="1"/>
  <c r="E631" i="19"/>
  <c r="D1402" i="19"/>
  <c r="P1962" i="16"/>
  <c r="P3075" i="16"/>
  <c r="D631" i="19"/>
  <c r="I3120" i="16"/>
  <c r="L3120" i="16" s="1"/>
  <c r="P3267" i="16"/>
  <c r="P3274" i="16" s="1"/>
  <c r="L4483" i="16"/>
  <c r="C2040" i="19" s="1"/>
  <c r="I4495" i="16"/>
  <c r="L4495" i="16" s="1"/>
  <c r="P4088" i="16"/>
  <c r="P4182" i="16"/>
  <c r="P4359" i="16" s="1"/>
  <c r="P4361" i="16" s="1"/>
  <c r="C1219" i="19"/>
  <c r="C75" i="20" s="1"/>
  <c r="D1219" i="19"/>
  <c r="O1591" i="16"/>
  <c r="O1609" i="16" s="1"/>
  <c r="O2209" i="16"/>
  <c r="O2245" i="16" s="1"/>
  <c r="I1901" i="16"/>
  <c r="L1901" i="16" s="1"/>
  <c r="C741" i="19" s="1"/>
  <c r="P2209" i="16"/>
  <c r="P2245" i="16" s="1"/>
  <c r="I4276" i="16"/>
  <c r="L4276" i="16" s="1"/>
  <c r="O2054" i="16"/>
  <c r="D421" i="19"/>
  <c r="C420" i="19"/>
  <c r="C339" i="19"/>
  <c r="C346" i="19" s="1"/>
  <c r="O1838" i="16"/>
  <c r="J841" i="16"/>
  <c r="J843" i="16" s="1"/>
  <c r="C780" i="19"/>
  <c r="C48" i="20" s="1"/>
  <c r="K2247" i="16"/>
  <c r="I4614" i="16"/>
  <c r="L4614" i="16" s="1"/>
  <c r="L3757" i="16"/>
  <c r="L3759" i="16" s="1"/>
  <c r="G16" i="29" s="1"/>
  <c r="H16" i="29" s="1"/>
  <c r="O4126" i="16"/>
  <c r="O2427" i="16"/>
  <c r="O3075" i="16"/>
  <c r="L4334" i="16"/>
  <c r="K1199" i="16"/>
  <c r="N1199" i="16" s="1"/>
  <c r="N1197" i="16"/>
  <c r="C1473" i="19"/>
  <c r="D1473" i="19" s="1"/>
  <c r="E1473" i="19" s="1"/>
  <c r="K5039" i="16"/>
  <c r="N5039" i="16" s="1"/>
  <c r="N3928" i="16"/>
  <c r="N1057" i="16"/>
  <c r="K1059" i="16"/>
  <c r="N1059" i="16" s="1"/>
  <c r="K2863" i="16"/>
  <c r="N2861" i="16"/>
  <c r="O4614" i="16"/>
  <c r="K4762" i="16"/>
  <c r="N4762" i="16" s="1"/>
  <c r="N4761" i="16"/>
  <c r="K1612" i="16"/>
  <c r="N1612" i="16" s="1"/>
  <c r="N1610" i="16"/>
  <c r="E21" i="19"/>
  <c r="K1196" i="16"/>
  <c r="N1196" i="16" s="1"/>
  <c r="N1195" i="16"/>
  <c r="K3209" i="16"/>
  <c r="N3207" i="16"/>
  <c r="O4188" i="16"/>
  <c r="O1840" i="16"/>
  <c r="C327" i="19"/>
  <c r="C325" i="19" s="1"/>
  <c r="C332" i="19" s="1"/>
  <c r="E1122" i="19"/>
  <c r="O2517" i="16"/>
  <c r="P2517" i="16"/>
  <c r="I1197" i="16"/>
  <c r="O3267" i="16"/>
  <c r="O3274" i="16" s="1"/>
  <c r="E507" i="19"/>
  <c r="E514" i="19" s="1"/>
  <c r="E474" i="19" s="1"/>
  <c r="E475" i="19" s="1"/>
  <c r="P2054" i="16"/>
  <c r="P2071" i="16" s="1"/>
  <c r="O1610" i="16"/>
  <c r="C953" i="19"/>
  <c r="C752" i="19"/>
  <c r="L4298" i="16"/>
  <c r="I4304" i="16"/>
  <c r="L4304" i="16" s="1"/>
  <c r="C1903" i="19"/>
  <c r="C117" i="20" s="1"/>
  <c r="O347" i="16"/>
  <c r="O348" i="16" s="1"/>
  <c r="D19" i="19" s="1"/>
  <c r="D21" i="19" s="1"/>
  <c r="P4564" i="16"/>
  <c r="I5031" i="16"/>
  <c r="I5033" i="16" s="1"/>
  <c r="O86" i="16"/>
  <c r="O302" i="16" s="1"/>
  <c r="O386" i="16" s="1"/>
  <c r="P4614" i="16"/>
  <c r="O1527" i="16"/>
  <c r="C590" i="19"/>
  <c r="E781" i="19"/>
  <c r="E766" i="19" s="1"/>
  <c r="D766" i="19"/>
  <c r="C800" i="19"/>
  <c r="D798" i="19" s="1"/>
  <c r="C49" i="20"/>
  <c r="E49" i="20" s="1"/>
  <c r="P2427" i="16"/>
  <c r="D1263" i="19"/>
  <c r="C1262" i="19"/>
  <c r="P1415" i="16"/>
  <c r="I3928" i="16"/>
  <c r="I5039" i="16" s="1"/>
  <c r="P3541" i="16"/>
  <c r="P4126" i="16"/>
  <c r="C889" i="19"/>
  <c r="D889" i="19" s="1"/>
  <c r="C1370" i="19"/>
  <c r="C1305" i="19" s="1"/>
  <c r="C1306" i="19" s="1"/>
  <c r="D1929" i="19"/>
  <c r="C1927" i="19"/>
  <c r="P86" i="16"/>
  <c r="P302" i="16" s="1"/>
  <c r="P386" i="16" s="1"/>
  <c r="D793" i="19"/>
  <c r="E795" i="19"/>
  <c r="E793" i="19" s="1"/>
  <c r="O1367" i="16"/>
  <c r="O3541" i="16"/>
  <c r="O3542" i="16"/>
  <c r="O3544" i="16" s="1"/>
  <c r="O135" i="16"/>
  <c r="D9" i="19" s="1"/>
  <c r="D10" i="19" s="1"/>
  <c r="E34" i="19"/>
  <c r="E35" i="19" s="1"/>
  <c r="P702" i="16"/>
  <c r="P704" i="16" s="1"/>
  <c r="P135" i="16"/>
  <c r="E9" i="19" s="1"/>
  <c r="E10" i="19" s="1"/>
  <c r="D34" i="19"/>
  <c r="D35" i="19" s="1"/>
  <c r="O702" i="16"/>
  <c r="O704" i="16" s="1"/>
  <c r="O907" i="16"/>
  <c r="O1057" i="16"/>
  <c r="O1197" i="16" s="1"/>
  <c r="C94" i="20"/>
  <c r="E94" i="20" s="1"/>
  <c r="C1520" i="19"/>
  <c r="C1460" i="19" s="1"/>
  <c r="I3274" i="16"/>
  <c r="L3274" i="16" s="1"/>
  <c r="B1" i="28" s="1"/>
  <c r="L3267" i="16"/>
  <c r="E673" i="19"/>
  <c r="C1713" i="19"/>
  <c r="L3927" i="16"/>
  <c r="C1674" i="19"/>
  <c r="I443" i="16"/>
  <c r="L443" i="16" s="1"/>
  <c r="L442" i="16"/>
  <c r="C181" i="19" s="1"/>
  <c r="I4290" i="16"/>
  <c r="L4290" i="16" s="1"/>
  <c r="L4289" i="16"/>
  <c r="I3042" i="16"/>
  <c r="L3040" i="16"/>
  <c r="L3207" i="16" s="1"/>
  <c r="D1647" i="19"/>
  <c r="D1654" i="19" s="1"/>
  <c r="D1595" i="19" s="1"/>
  <c r="E1649" i="19"/>
  <c r="E1647" i="19" s="1"/>
  <c r="E1654" i="19" s="1"/>
  <c r="E1595" i="19" s="1"/>
  <c r="E2183" i="19"/>
  <c r="D2182" i="19"/>
  <c r="E808" i="19"/>
  <c r="E806" i="19" s="1"/>
  <c r="D806" i="19"/>
  <c r="C928" i="19"/>
  <c r="C750" i="19"/>
  <c r="C1915" i="19"/>
  <c r="D1917" i="19"/>
  <c r="D1071" i="19"/>
  <c r="D1078" i="19" s="1"/>
  <c r="D1009" i="19" s="1"/>
  <c r="E1073" i="19"/>
  <c r="E1071" i="19" s="1"/>
  <c r="E1078" i="19" s="1"/>
  <c r="E1009" i="19" s="1"/>
  <c r="C561" i="19"/>
  <c r="C36" i="20" s="1"/>
  <c r="D563" i="19"/>
  <c r="P3757" i="16"/>
  <c r="P3759" i="16" s="1"/>
  <c r="P3607" i="16"/>
  <c r="E36" i="19"/>
  <c r="E37" i="19" s="1"/>
  <c r="P776" i="16"/>
  <c r="P783" i="16" s="1"/>
  <c r="D2216" i="19"/>
  <c r="E2218" i="19"/>
  <c r="E2216" i="19" s="1"/>
  <c r="C103" i="20"/>
  <c r="E103" i="20" s="1"/>
  <c r="C1654" i="19"/>
  <c r="C1595" i="19" s="1"/>
  <c r="D1775" i="19"/>
  <c r="C1773" i="19"/>
  <c r="C110" i="20" s="1"/>
  <c r="E1607" i="19"/>
  <c r="E1621" i="19"/>
  <c r="E1628" i="19" s="1"/>
  <c r="E1592" i="19" s="1"/>
  <c r="E1593" i="19" s="1"/>
  <c r="C547" i="19"/>
  <c r="C35" i="20" s="1"/>
  <c r="D549" i="19"/>
  <c r="D1288" i="19"/>
  <c r="C1286" i="19"/>
  <c r="P383" i="16"/>
  <c r="C1063" i="19"/>
  <c r="P1840" i="16"/>
  <c r="D1048" i="19"/>
  <c r="C1046" i="19"/>
  <c r="C64" i="20" s="1"/>
  <c r="D136" i="20"/>
  <c r="C52" i="20"/>
  <c r="E52" i="20" s="1"/>
  <c r="C2205" i="19"/>
  <c r="L5031" i="16"/>
  <c r="E84" i="20"/>
  <c r="L3438" i="16"/>
  <c r="I3439" i="16"/>
  <c r="L3439" i="16" s="1"/>
  <c r="B5" i="28" s="1"/>
  <c r="H5" i="28" s="1"/>
  <c r="E1665" i="19"/>
  <c r="D1611" i="19"/>
  <c r="D1610" i="19" s="1"/>
  <c r="D1664" i="19"/>
  <c r="D41" i="20"/>
  <c r="E41" i="20" s="1"/>
  <c r="C653" i="19"/>
  <c r="C582" i="19" s="1"/>
  <c r="C583" i="19" s="1"/>
  <c r="L3926" i="16"/>
  <c r="C677" i="19"/>
  <c r="C676" i="19" s="1"/>
  <c r="D706" i="19"/>
  <c r="C705" i="19"/>
  <c r="L9" i="18"/>
  <c r="O2702" i="16"/>
  <c r="C1761" i="19"/>
  <c r="L4125" i="16"/>
  <c r="O4760" i="16"/>
  <c r="L134" i="16"/>
  <c r="C85" i="19" s="1"/>
  <c r="I135" i="16"/>
  <c r="L135" i="16" s="1"/>
  <c r="C1427" i="19"/>
  <c r="D1429" i="19"/>
  <c r="D821" i="19"/>
  <c r="C819" i="19"/>
  <c r="E782" i="19"/>
  <c r="D780" i="19"/>
  <c r="C1787" i="19"/>
  <c r="C111" i="20" s="1"/>
  <c r="D1789" i="19"/>
  <c r="C1405" i="19"/>
  <c r="L3208" i="16"/>
  <c r="E902" i="19"/>
  <c r="E900" i="19" s="1"/>
  <c r="E907" i="19" s="1"/>
  <c r="E751" i="19" s="1"/>
  <c r="D900" i="19"/>
  <c r="D907" i="19" s="1"/>
  <c r="D751" i="19" s="1"/>
  <c r="D36" i="19"/>
  <c r="D37" i="19" s="1"/>
  <c r="O776" i="16"/>
  <c r="O783" i="16" s="1"/>
  <c r="P2861" i="16"/>
  <c r="D1862" i="19"/>
  <c r="E1877" i="19"/>
  <c r="C1791" i="19"/>
  <c r="D1792" i="19"/>
  <c r="I4055" i="16"/>
  <c r="L4055" i="16" s="1"/>
  <c r="C1764" i="19"/>
  <c r="L4126" i="16"/>
  <c r="C461" i="19"/>
  <c r="D1416" i="19"/>
  <c r="C1414" i="19"/>
  <c r="C88" i="20" s="1"/>
  <c r="C994" i="19"/>
  <c r="C102" i="20"/>
  <c r="E102" i="20" s="1"/>
  <c r="C1641" i="19"/>
  <c r="C1594" i="19" s="1"/>
  <c r="C975" i="19"/>
  <c r="D977" i="19"/>
  <c r="C71" i="20"/>
  <c r="E71" i="20" s="1"/>
  <c r="C1170" i="19"/>
  <c r="C1100" i="19" s="1"/>
  <c r="D1802" i="19"/>
  <c r="C1800" i="19"/>
  <c r="C112" i="20" s="1"/>
  <c r="C57" i="20"/>
  <c r="E57" i="20" s="1"/>
  <c r="C946" i="19"/>
  <c r="C247" i="19"/>
  <c r="D249" i="19"/>
  <c r="H841" i="16"/>
  <c r="L4182" i="16"/>
  <c r="C1878" i="19" s="1"/>
  <c r="I4188" i="16"/>
  <c r="L4188" i="16" s="1"/>
  <c r="D1472" i="19"/>
  <c r="B14" i="18"/>
  <c r="C523" i="19"/>
  <c r="C476" i="19"/>
  <c r="L1415" i="16"/>
  <c r="D731" i="19"/>
  <c r="E732" i="19"/>
  <c r="E731" i="19" s="1"/>
  <c r="L4352" i="16"/>
  <c r="I4359" i="16"/>
  <c r="I4358" i="16"/>
  <c r="L4358" i="16" s="1"/>
  <c r="C97" i="19"/>
  <c r="D98" i="19"/>
  <c r="L4758" i="16"/>
  <c r="E619" i="19"/>
  <c r="E617" i="19" s="1"/>
  <c r="D617" i="19"/>
  <c r="C73" i="20"/>
  <c r="E73" i="20" s="1"/>
  <c r="C1198" i="19"/>
  <c r="C1102" i="19" s="1"/>
  <c r="C2055" i="19"/>
  <c r="D2056" i="19"/>
  <c r="L2835" i="16"/>
  <c r="P3208" i="16"/>
  <c r="O1839" i="16"/>
  <c r="I967" i="16"/>
  <c r="L967" i="16" s="1"/>
  <c r="C368" i="19" s="1"/>
  <c r="C371" i="19" s="1"/>
  <c r="L962" i="16"/>
  <c r="C409" i="19" s="1"/>
  <c r="L13" i="18"/>
  <c r="O2518" i="16"/>
  <c r="I1414" i="16"/>
  <c r="L1414" i="16" s="1"/>
  <c r="C480" i="19" s="1"/>
  <c r="C481" i="19" s="1"/>
  <c r="I1416" i="16"/>
  <c r="L1413" i="16"/>
  <c r="P2702" i="16"/>
  <c r="C312" i="19"/>
  <c r="C319" i="19" s="1"/>
  <c r="D314" i="19"/>
  <c r="P4055" i="16"/>
  <c r="P2247" i="16"/>
  <c r="O4361" i="16"/>
  <c r="I4126" i="16"/>
  <c r="I4127" i="16" s="1"/>
  <c r="E1817" i="19"/>
  <c r="E1815" i="19" s="1"/>
  <c r="D1815" i="19"/>
  <c r="C1233" i="19"/>
  <c r="D1235" i="19"/>
  <c r="D209" i="19"/>
  <c r="C207" i="19"/>
  <c r="E2009" i="19"/>
  <c r="E2007" i="19" s="1"/>
  <c r="E2014" i="19" s="1"/>
  <c r="E1978" i="19" s="1"/>
  <c r="E1979" i="19" s="1"/>
  <c r="D2007" i="19"/>
  <c r="D2014" i="19" s="1"/>
  <c r="D1978" i="19" s="1"/>
  <c r="D1979" i="19" s="1"/>
  <c r="D437" i="19"/>
  <c r="E438" i="19"/>
  <c r="E437" i="19" s="1"/>
  <c r="C96" i="20"/>
  <c r="E96" i="20" s="1"/>
  <c r="C1547" i="19"/>
  <c r="C1459" i="19" s="1"/>
  <c r="O2862" i="16"/>
  <c r="D86" i="20"/>
  <c r="C1395" i="19"/>
  <c r="C1303" i="19" s="1"/>
  <c r="D2152" i="19"/>
  <c r="C2150" i="19"/>
  <c r="D939" i="19"/>
  <c r="D946" i="19" s="1"/>
  <c r="D749" i="19" s="1"/>
  <c r="E941" i="19"/>
  <c r="E939" i="19" s="1"/>
  <c r="E946" i="19" s="1"/>
  <c r="E749" i="19" s="1"/>
  <c r="L2725" i="16"/>
  <c r="C1224" i="19" s="1"/>
  <c r="I2727" i="16"/>
  <c r="L2727" i="16" s="1"/>
  <c r="E1193" i="19"/>
  <c r="E1191" i="19" s="1"/>
  <c r="D1191" i="19"/>
  <c r="D1274" i="19"/>
  <c r="C1272" i="19"/>
  <c r="E2054" i="19"/>
  <c r="E1993" i="19" s="1"/>
  <c r="D1993" i="19"/>
  <c r="C2098" i="19"/>
  <c r="D2099" i="19"/>
  <c r="L1195" i="16"/>
  <c r="C373" i="19" s="1"/>
  <c r="C374" i="19" s="1"/>
  <c r="I1196" i="16"/>
  <c r="L1196" i="16" s="1"/>
  <c r="I2862" i="16"/>
  <c r="I2863" i="16" s="1"/>
  <c r="C273" i="19"/>
  <c r="D275" i="19"/>
  <c r="D2166" i="19"/>
  <c r="C2164" i="19"/>
  <c r="C133" i="20" s="1"/>
  <c r="E1957" i="19"/>
  <c r="E1956" i="19" s="1"/>
  <c r="D1956" i="19"/>
  <c r="D1163" i="19"/>
  <c r="D1170" i="19" s="1"/>
  <c r="E1165" i="19"/>
  <c r="E1163" i="19" s="1"/>
  <c r="E1170" i="19" s="1"/>
  <c r="D538" i="19"/>
  <c r="C537" i="19"/>
  <c r="D327" i="19"/>
  <c r="D301" i="19"/>
  <c r="C299" i="19"/>
  <c r="C306" i="19" s="1"/>
  <c r="D1195" i="19"/>
  <c r="E1196" i="19"/>
  <c r="E1195" i="19" s="1"/>
  <c r="C92" i="20"/>
  <c r="C1493" i="19"/>
  <c r="C1453" i="19" s="1"/>
  <c r="C1454" i="19" s="1"/>
  <c r="I1415" i="16"/>
  <c r="D46" i="20"/>
  <c r="C11" i="20"/>
  <c r="E11" i="20" s="1"/>
  <c r="C131" i="19"/>
  <c r="C15" i="19" s="1"/>
  <c r="C16" i="19" s="1"/>
  <c r="D1954" i="19"/>
  <c r="C1952" i="19"/>
  <c r="C121" i="20" s="1"/>
  <c r="L2371" i="16"/>
  <c r="C1051" i="19" s="1"/>
  <c r="I2372" i="16"/>
  <c r="L2372" i="16" s="1"/>
  <c r="P2155" i="16"/>
  <c r="P2156" i="16" s="1"/>
  <c r="O4756" i="16"/>
  <c r="O4758" i="16"/>
  <c r="O4759" i="16" s="1"/>
  <c r="P1839" i="16"/>
  <c r="C1660" i="19"/>
  <c r="D1662" i="19"/>
  <c r="D1608" i="19" s="1"/>
  <c r="D1606" i="19" s="1"/>
  <c r="C234" i="19"/>
  <c r="D236" i="19"/>
  <c r="C55" i="20"/>
  <c r="E55" i="20" s="1"/>
  <c r="C920" i="19"/>
  <c r="D1777" i="19"/>
  <c r="E1778" i="19"/>
  <c r="E1777" i="19" s="1"/>
  <c r="L1654" i="16"/>
  <c r="I1839" i="16"/>
  <c r="I1841" i="16" s="1"/>
  <c r="C72" i="20"/>
  <c r="D552" i="19"/>
  <c r="C551" i="19"/>
  <c r="D646" i="19"/>
  <c r="E648" i="19"/>
  <c r="E646" i="19" s="1"/>
  <c r="O2861" i="16"/>
  <c r="C38" i="20"/>
  <c r="C610" i="19"/>
  <c r="C576" i="19" s="1"/>
  <c r="C577" i="19" s="1"/>
  <c r="O1196" i="16"/>
  <c r="D113" i="19"/>
  <c r="C111" i="19"/>
  <c r="E2208" i="19"/>
  <c r="E2207" i="19" s="1"/>
  <c r="D2207" i="19"/>
  <c r="D2111" i="19"/>
  <c r="C2110" i="19"/>
  <c r="E1393" i="19"/>
  <c r="D1392" i="19"/>
  <c r="D1441" i="19"/>
  <c r="C1439" i="19"/>
  <c r="C2065" i="19"/>
  <c r="C127" i="20" s="1"/>
  <c r="C1992" i="19"/>
  <c r="D2067" i="19"/>
  <c r="C32" i="20"/>
  <c r="C514" i="19"/>
  <c r="L2209" i="16"/>
  <c r="C1505" i="19"/>
  <c r="L3543" i="16"/>
  <c r="E1944" i="19"/>
  <c r="E1943" i="19" s="1"/>
  <c r="D1943" i="19"/>
  <c r="L3386" i="16"/>
  <c r="B4" i="28" s="1"/>
  <c r="H4" i="28" s="1"/>
  <c r="I3387" i="16"/>
  <c r="L3387" i="16" s="1"/>
  <c r="P4613" i="16"/>
  <c r="P4615" i="16"/>
  <c r="D113" i="20"/>
  <c r="E113" i="20" s="1"/>
  <c r="C1822" i="19"/>
  <c r="C1732" i="19" s="1"/>
  <c r="C1733" i="19" s="1"/>
  <c r="E411" i="19"/>
  <c r="O838" i="16"/>
  <c r="E719" i="19"/>
  <c r="E718" i="19" s="1"/>
  <c r="D718" i="19"/>
  <c r="C1253" i="19"/>
  <c r="C1111" i="19" s="1"/>
  <c r="I4361" i="16"/>
  <c r="D716" i="19"/>
  <c r="C714" i="19"/>
  <c r="C45" i="20" s="1"/>
  <c r="I784" i="16"/>
  <c r="L784" i="16" s="1"/>
  <c r="C355" i="19" s="1"/>
  <c r="D120" i="20"/>
  <c r="E120" i="20" s="1"/>
  <c r="C1946" i="19"/>
  <c r="C1845" i="19" s="1"/>
  <c r="C98" i="20"/>
  <c r="E98" i="20" s="1"/>
  <c r="C1573" i="19"/>
  <c r="C1462" i="19" s="1"/>
  <c r="P2727" i="16"/>
  <c r="I2154" i="16"/>
  <c r="D121" i="20"/>
  <c r="K387" i="16"/>
  <c r="N387" i="16" s="1"/>
  <c r="K841" i="16"/>
  <c r="N841" i="16" s="1"/>
  <c r="E1491" i="19"/>
  <c r="E1490" i="19" s="1"/>
  <c r="D1490" i="19"/>
  <c r="D636" i="19"/>
  <c r="C635" i="19"/>
  <c r="D223" i="19"/>
  <c r="C221" i="19"/>
  <c r="D1486" i="19"/>
  <c r="E1487" i="19"/>
  <c r="E1486" i="19" s="1"/>
  <c r="E139" i="19"/>
  <c r="E137" i="19" s="1"/>
  <c r="E144" i="19" s="1"/>
  <c r="D137" i="19"/>
  <c r="D144" i="19" s="1"/>
  <c r="I702" i="16"/>
  <c r="L701" i="16"/>
  <c r="C262" i="19" s="1"/>
  <c r="D124" i="19"/>
  <c r="D131" i="19" s="1"/>
  <c r="E126" i="19"/>
  <c r="E124" i="19" s="1"/>
  <c r="E131" i="19" s="1"/>
  <c r="E1251" i="19"/>
  <c r="E1250" i="19" s="1"/>
  <c r="E1253" i="19" s="1"/>
  <c r="E1111" i="19" s="1"/>
  <c r="D1250" i="19"/>
  <c r="D1880" i="19"/>
  <c r="E1881" i="19"/>
  <c r="D1087" i="19"/>
  <c r="E1088" i="19"/>
  <c r="E1087" i="19" s="1"/>
  <c r="E1322" i="19"/>
  <c r="O2071" i="16"/>
  <c r="O2155" i="16"/>
  <c r="O2156" i="16" s="1"/>
  <c r="E1419" i="19"/>
  <c r="E1418" i="19" s="1"/>
  <c r="D1418" i="19"/>
  <c r="O4055" i="16"/>
  <c r="E346" i="19"/>
  <c r="E1891" i="19"/>
  <c r="E1890" i="19" s="1"/>
  <c r="D1890" i="19"/>
  <c r="D913" i="19"/>
  <c r="D920" i="19" s="1"/>
  <c r="D752" i="19" s="1"/>
  <c r="E915" i="19"/>
  <c r="E913" i="19" s="1"/>
  <c r="E920" i="19" s="1"/>
  <c r="E752" i="19" s="1"/>
  <c r="D110" i="20"/>
  <c r="C69" i="20"/>
  <c r="C1143" i="19"/>
  <c r="C1097" i="19" s="1"/>
  <c r="C1098" i="19" s="1"/>
  <c r="D2042" i="19"/>
  <c r="E2043" i="19"/>
  <c r="E2042" i="19" s="1"/>
  <c r="D1177" i="19"/>
  <c r="E1179" i="19"/>
  <c r="E1177" i="19" s="1"/>
  <c r="L2757" i="16"/>
  <c r="C1238" i="19" s="1"/>
  <c r="I2758" i="16"/>
  <c r="L2758" i="16" s="1"/>
  <c r="I1366" i="16"/>
  <c r="I1611" i="16"/>
  <c r="L1526" i="16"/>
  <c r="L1611" i="16" s="1"/>
  <c r="P2005" i="16"/>
  <c r="P2007" i="16" s="1"/>
  <c r="P2862" i="16"/>
  <c r="I2071" i="16"/>
  <c r="L2071" i="16" s="1"/>
  <c r="C747" i="19" s="1"/>
  <c r="C756" i="19" s="1"/>
  <c r="L2070" i="16"/>
  <c r="C892" i="19" s="1"/>
  <c r="I2155" i="16"/>
  <c r="L2155" i="16" s="1"/>
  <c r="C123" i="20"/>
  <c r="C2014" i="19"/>
  <c r="C1978" i="19" s="1"/>
  <c r="C1979" i="19" s="1"/>
  <c r="D1540" i="19"/>
  <c r="D1547" i="19" s="1"/>
  <c r="D1459" i="19" s="1"/>
  <c r="E1542" i="19"/>
  <c r="E1540" i="19" s="1"/>
  <c r="E1547" i="19" s="1"/>
  <c r="E1459" i="19" s="1"/>
  <c r="I2702" i="16"/>
  <c r="L2702" i="16" s="1"/>
  <c r="L2700" i="16"/>
  <c r="C1207" i="19" s="1"/>
  <c r="D435" i="19"/>
  <c r="C433" i="19"/>
  <c r="E1820" i="19"/>
  <c r="E1819" i="19" s="1"/>
  <c r="D1819" i="19"/>
  <c r="E5037" i="16"/>
  <c r="G387" i="16"/>
  <c r="G841" i="16"/>
  <c r="C1291" i="19"/>
  <c r="D45" i="20"/>
  <c r="E1568" i="19"/>
  <c r="E1566" i="19" s="1"/>
  <c r="E1573" i="19" s="1"/>
  <c r="E1462" i="19" s="1"/>
  <c r="D1566" i="19"/>
  <c r="D1573" i="19" s="1"/>
  <c r="D1462" i="19" s="1"/>
  <c r="O2727" i="16"/>
  <c r="I4843" i="16"/>
  <c r="L4843" i="16" s="1"/>
  <c r="D1939" i="19"/>
  <c r="E1941" i="19"/>
  <c r="E1939" i="19" s="1"/>
  <c r="D1035" i="19"/>
  <c r="C1021" i="19"/>
  <c r="D1500" i="19"/>
  <c r="E1502" i="19"/>
  <c r="E1500" i="19" s="1"/>
  <c r="I348" i="16"/>
  <c r="L348" i="16" s="1"/>
  <c r="L347" i="16"/>
  <c r="C153" i="19" s="1"/>
  <c r="C1804" i="19"/>
  <c r="D1805" i="19"/>
  <c r="D1351" i="19"/>
  <c r="C1349" i="19"/>
  <c r="L382" i="16"/>
  <c r="D67" i="20"/>
  <c r="D448" i="19"/>
  <c r="C446" i="19"/>
  <c r="I4231" i="16"/>
  <c r="L4231" i="16" s="1"/>
  <c r="O1416" i="16"/>
  <c r="O1414" i="16"/>
  <c r="D88" i="20"/>
  <c r="E1402" i="19"/>
  <c r="E1400" i="19" s="1"/>
  <c r="D1400" i="19"/>
  <c r="O2247" i="16"/>
  <c r="C1890" i="19"/>
  <c r="C116" i="20" s="1"/>
  <c r="C963" i="19"/>
  <c r="D965" i="19"/>
  <c r="D346" i="19"/>
  <c r="B17" i="18"/>
  <c r="P3205" i="16"/>
  <c r="P3206" i="16" s="1"/>
  <c r="P3207" i="16"/>
  <c r="L6" i="18"/>
  <c r="N6" i="18" s="1"/>
  <c r="E1138" i="19"/>
  <c r="D1136" i="19"/>
  <c r="D1143" i="19" s="1"/>
  <c r="D1097" i="19" s="1"/>
  <c r="D1098" i="19" s="1"/>
  <c r="D125" i="20"/>
  <c r="I1059" i="16"/>
  <c r="E783" i="19"/>
  <c r="E768" i="19" s="1"/>
  <c r="D768" i="19"/>
  <c r="P1763" i="16"/>
  <c r="C2087" i="19"/>
  <c r="C1968" i="19" s="1"/>
  <c r="C1969" i="19" s="1"/>
  <c r="C128" i="20"/>
  <c r="E128" i="20" s="1"/>
  <c r="C2221" i="19"/>
  <c r="L5032" i="16"/>
  <c r="C621" i="19"/>
  <c r="C595" i="19"/>
  <c r="C594" i="19" s="1"/>
  <c r="D622" i="19"/>
  <c r="O2005" i="16"/>
  <c r="O2007" i="16" s="1"/>
  <c r="E605" i="19"/>
  <c r="E603" i="19" s="1"/>
  <c r="E610" i="19" s="1"/>
  <c r="E576" i="19" s="1"/>
  <c r="E577" i="19" s="1"/>
  <c r="D592" i="19"/>
  <c r="D590" i="19" s="1"/>
  <c r="C1608" i="19"/>
  <c r="I1838" i="16"/>
  <c r="L1838" i="16" s="1"/>
  <c r="L1818" i="16"/>
  <c r="C729" i="19" s="1"/>
  <c r="D1634" i="19"/>
  <c r="D1641" i="19" s="1"/>
  <c r="D1594" i="19" s="1"/>
  <c r="E1636" i="19"/>
  <c r="E1634" i="19" s="1"/>
  <c r="E1641" i="19" s="1"/>
  <c r="E1594" i="19" s="1"/>
  <c r="C366" i="19"/>
  <c r="C367" i="19" s="1"/>
  <c r="C396" i="19"/>
  <c r="C2027" i="19"/>
  <c r="D2028" i="19"/>
  <c r="O4615" i="16"/>
  <c r="O4613" i="16"/>
  <c r="L15" i="18"/>
  <c r="C2051" i="19"/>
  <c r="C126" i="20" s="1"/>
  <c r="D2053" i="19"/>
  <c r="E1904" i="19"/>
  <c r="E1903" i="19" s="1"/>
  <c r="D1903" i="19"/>
  <c r="C1908" i="19"/>
  <c r="L4360" i="16"/>
  <c r="C50" i="20"/>
  <c r="I1610" i="16"/>
  <c r="L1464" i="16"/>
  <c r="L1610" i="16" s="1"/>
  <c r="E2095" i="19"/>
  <c r="D2094" i="19"/>
  <c r="D1991" i="19"/>
  <c r="F5036" i="16"/>
  <c r="F843" i="16"/>
  <c r="F5038" i="16" s="1"/>
  <c r="F5040" i="16" s="1"/>
  <c r="F5042" i="16" s="1"/>
  <c r="C2169" i="19"/>
  <c r="O4842" i="16"/>
  <c r="D7" i="20"/>
  <c r="D74" i="19"/>
  <c r="C73" i="19"/>
  <c r="L2314" i="16"/>
  <c r="I2517" i="16"/>
  <c r="I2519" i="16" s="1"/>
  <c r="C93" i="20"/>
  <c r="C464" i="19"/>
  <c r="L1198" i="16"/>
  <c r="C1083" i="19"/>
  <c r="C67" i="20" s="1"/>
  <c r="D1085" i="19"/>
  <c r="P72" i="16"/>
  <c r="P87" i="16" s="1"/>
  <c r="E7" i="19" s="1"/>
  <c r="E8" i="19" s="1"/>
  <c r="I838" i="16"/>
  <c r="C165" i="19"/>
  <c r="D167" i="19"/>
  <c r="E387" i="16"/>
  <c r="E841" i="16"/>
  <c r="C58" i="19"/>
  <c r="D72" i="19"/>
  <c r="D115" i="20"/>
  <c r="C1894" i="19"/>
  <c r="D1895" i="19"/>
  <c r="P1414" i="16"/>
  <c r="P1416" i="16"/>
  <c r="C107" i="20"/>
  <c r="C2106" i="19"/>
  <c r="C130" i="20" s="1"/>
  <c r="D2108" i="19"/>
  <c r="O3205" i="16"/>
  <c r="O3206" i="16" s="1"/>
  <c r="O3207" i="16"/>
  <c r="O3209" i="16" s="1"/>
  <c r="B20" i="18"/>
  <c r="C193" i="19"/>
  <c r="D195" i="19"/>
  <c r="D785" i="19"/>
  <c r="C784" i="19"/>
  <c r="D48" i="20" s="1"/>
  <c r="P2518" i="16"/>
  <c r="E1760" i="19"/>
  <c r="D1744" i="19"/>
  <c r="I3209" i="16"/>
  <c r="D8" i="18"/>
  <c r="S8" i="18"/>
  <c r="L8" i="18"/>
  <c r="C768" i="19"/>
  <c r="O4125" i="16"/>
  <c r="O3979" i="16"/>
  <c r="E1154" i="19"/>
  <c r="O1415" i="16"/>
  <c r="D491" i="19"/>
  <c r="D489" i="19" s="1"/>
  <c r="L1971" i="16"/>
  <c r="I2005" i="16"/>
  <c r="P1965" i="16"/>
  <c r="D703" i="19"/>
  <c r="C701" i="19"/>
  <c r="C44" i="20" s="1"/>
  <c r="C2190" i="19"/>
  <c r="D2192" i="19"/>
  <c r="D1246" i="19"/>
  <c r="D1122" i="19"/>
  <c r="O1763" i="16"/>
  <c r="E101" i="20"/>
  <c r="C66" i="20"/>
  <c r="E66" i="20" s="1"/>
  <c r="C1078" i="19"/>
  <c r="C1009" i="19" s="1"/>
  <c r="I1962" i="16"/>
  <c r="L1961" i="16"/>
  <c r="C811" i="19" s="1"/>
  <c r="I2006" i="16"/>
  <c r="L4612" i="16"/>
  <c r="C2070" i="19" s="1"/>
  <c r="I4615" i="16"/>
  <c r="L4615" i="16" s="1"/>
  <c r="I4613" i="16"/>
  <c r="L4613" i="16" s="1"/>
  <c r="L2861" i="16"/>
  <c r="C278" i="19"/>
  <c r="C60" i="19" s="1"/>
  <c r="C59" i="19" s="1"/>
  <c r="L842" i="16"/>
  <c r="L19" i="18"/>
  <c r="I1591" i="16"/>
  <c r="B18" i="18"/>
  <c r="I386" i="16"/>
  <c r="L386" i="16" s="1"/>
  <c r="L302" i="16"/>
  <c r="D1152" i="19"/>
  <c r="C1150" i="19"/>
  <c r="I1199" i="16"/>
  <c r="O72" i="16"/>
  <c r="E846" i="19"/>
  <c r="E844" i="19" s="1"/>
  <c r="E851" i="19" s="1"/>
  <c r="E745" i="19" s="1"/>
  <c r="D844" i="19"/>
  <c r="D851" i="19" s="1"/>
  <c r="D745" i="19" s="1"/>
  <c r="C286" i="19"/>
  <c r="D288" i="19"/>
  <c r="D1182" i="19"/>
  <c r="C1181" i="19"/>
  <c r="D72" i="20" s="1"/>
  <c r="D1363" i="19"/>
  <c r="D1370" i="19" s="1"/>
  <c r="D1305" i="19" s="1"/>
  <c r="D1306" i="19" s="1"/>
  <c r="E1365" i="19"/>
  <c r="E1363" i="19" s="1"/>
  <c r="E1370" i="19" s="1"/>
  <c r="E1305" i="19" s="1"/>
  <c r="E1306" i="19" s="1"/>
  <c r="D104" i="20"/>
  <c r="D100" i="20" s="1"/>
  <c r="C18" i="31" s="1"/>
  <c r="C1611" i="19"/>
  <c r="C1610" i="19" s="1"/>
  <c r="E19" i="18" s="1"/>
  <c r="D650" i="19"/>
  <c r="E652" i="19"/>
  <c r="D596" i="19"/>
  <c r="P1367" i="16"/>
  <c r="D71" i="19"/>
  <c r="C69" i="19"/>
  <c r="C7" i="20" s="1"/>
  <c r="L4757" i="16"/>
  <c r="L4760" i="16" s="1"/>
  <c r="I4760" i="16"/>
  <c r="I4759" i="16"/>
  <c r="L4759" i="16" s="1"/>
  <c r="D1338" i="19"/>
  <c r="C1336" i="19"/>
  <c r="E1697" i="19"/>
  <c r="D1683" i="19"/>
  <c r="I3542" i="16"/>
  <c r="I3544" i="16" s="1"/>
  <c r="E591" i="19"/>
  <c r="P4756" i="16"/>
  <c r="P4758" i="16"/>
  <c r="O1611" i="16"/>
  <c r="E491" i="19"/>
  <c r="E489" i="19" s="1"/>
  <c r="P4125" i="16"/>
  <c r="P3979" i="16"/>
  <c r="C54" i="20"/>
  <c r="E54" i="20" s="1"/>
  <c r="C907" i="19"/>
  <c r="P1057" i="16"/>
  <c r="P1059" i="16" s="1"/>
  <c r="P1196" i="16"/>
  <c r="J5036" i="16" l="1"/>
  <c r="C1780" i="19"/>
  <c r="C1730" i="19" s="1"/>
  <c r="C1731" i="19" s="1"/>
  <c r="I3206" i="16"/>
  <c r="L3206" i="16" s="1"/>
  <c r="C12" i="20"/>
  <c r="E12" i="20" s="1"/>
  <c r="C1471" i="19"/>
  <c r="D533" i="19"/>
  <c r="P4760" i="16"/>
  <c r="L1197" i="16"/>
  <c r="P1417" i="16"/>
  <c r="D2023" i="19"/>
  <c r="C14" i="18"/>
  <c r="D14" i="18" s="1"/>
  <c r="O87" i="16"/>
  <c r="D7" i="19" s="1"/>
  <c r="D8" i="19" s="1"/>
  <c r="K2248" i="16"/>
  <c r="N2248" i="16" s="1"/>
  <c r="C2178" i="19"/>
  <c r="D2180" i="19"/>
  <c r="L301" i="16"/>
  <c r="O383" i="16"/>
  <c r="P2519" i="16"/>
  <c r="P4188" i="16"/>
  <c r="P4127" i="16"/>
  <c r="L3542" i="16"/>
  <c r="L3544" i="16" s="1"/>
  <c r="G13" i="29" s="1"/>
  <c r="H13" i="29" s="1"/>
  <c r="O4127" i="16"/>
  <c r="D1395" i="19"/>
  <c r="D1303" i="19" s="1"/>
  <c r="O1612" i="16"/>
  <c r="P3542" i="16"/>
  <c r="P3544" i="16" s="1"/>
  <c r="L1199" i="16"/>
  <c r="G5" i="29" s="1"/>
  <c r="H5" i="29" s="1"/>
  <c r="O2519" i="16"/>
  <c r="D1613" i="19"/>
  <c r="L3209" i="16"/>
  <c r="G12" i="29" s="1"/>
  <c r="H12" i="29" s="1"/>
  <c r="D381" i="19"/>
  <c r="D382" i="19" s="1"/>
  <c r="D380" i="19" s="1"/>
  <c r="E421" i="19"/>
  <c r="D420" i="19"/>
  <c r="D427" i="19" s="1"/>
  <c r="L1059" i="16"/>
  <c r="E1822" i="19"/>
  <c r="E1732" i="19" s="1"/>
  <c r="E1733" i="19" s="1"/>
  <c r="O1059" i="16"/>
  <c r="C27" i="20"/>
  <c r="E27" i="20" s="1"/>
  <c r="C427" i="19"/>
  <c r="D653" i="19"/>
  <c r="D582" i="19" s="1"/>
  <c r="D583" i="19" s="1"/>
  <c r="N2247" i="16"/>
  <c r="K5037" i="16"/>
  <c r="N5037" i="16" s="1"/>
  <c r="O1841" i="16"/>
  <c r="C770" i="19"/>
  <c r="C769" i="19" s="1"/>
  <c r="E10" i="18" s="1"/>
  <c r="L3928" i="16"/>
  <c r="L5039" i="16" s="1"/>
  <c r="C2038" i="19"/>
  <c r="D2040" i="19"/>
  <c r="R2864" i="16"/>
  <c r="R2866" i="16" s="1"/>
  <c r="N2863" i="16"/>
  <c r="N3209" i="16"/>
  <c r="R3209" i="16"/>
  <c r="O2863" i="16"/>
  <c r="O1199" i="16"/>
  <c r="E67" i="20"/>
  <c r="C1126" i="19"/>
  <c r="C1125" i="19" s="1"/>
  <c r="E12" i="18" s="1"/>
  <c r="O1417" i="16"/>
  <c r="C57" i="19"/>
  <c r="C5" i="18" s="1"/>
  <c r="C1421" i="19"/>
  <c r="C1307" i="19" s="1"/>
  <c r="C1308" i="19" s="1"/>
  <c r="D953" i="19"/>
  <c r="C951" i="19"/>
  <c r="C721" i="19"/>
  <c r="C663" i="19" s="1"/>
  <c r="E1493" i="19"/>
  <c r="E1453" i="19" s="1"/>
  <c r="E1454" i="19" s="1"/>
  <c r="P1841" i="16"/>
  <c r="C887" i="19"/>
  <c r="C53" i="20" s="1"/>
  <c r="I383" i="16"/>
  <c r="L383" i="16" s="1"/>
  <c r="P4761" i="16"/>
  <c r="P4762" i="16" s="1"/>
  <c r="E592" i="19"/>
  <c r="E590" i="19" s="1"/>
  <c r="D1822" i="19"/>
  <c r="D1732" i="19" s="1"/>
  <c r="D1733" i="19" s="1"/>
  <c r="O2246" i="16"/>
  <c r="O2248" i="16" s="1"/>
  <c r="D1493" i="19"/>
  <c r="D1453" i="19" s="1"/>
  <c r="D1454" i="19" s="1"/>
  <c r="C119" i="20"/>
  <c r="E119" i="20" s="1"/>
  <c r="C1934" i="19"/>
  <c r="C1851" i="19" s="1"/>
  <c r="D1927" i="19"/>
  <c r="D1934" i="19" s="1"/>
  <c r="D1851" i="19" s="1"/>
  <c r="E1929" i="19"/>
  <c r="E1927" i="19" s="1"/>
  <c r="E1934" i="19" s="1"/>
  <c r="E1851" i="19" s="1"/>
  <c r="D797" i="19"/>
  <c r="D800" i="19" s="1"/>
  <c r="D742" i="19" s="1"/>
  <c r="E798" i="19"/>
  <c r="E797" i="19" s="1"/>
  <c r="E800" i="19" s="1"/>
  <c r="E742" i="19" s="1"/>
  <c r="D78" i="20"/>
  <c r="E78" i="20" s="1"/>
  <c r="C1265" i="19"/>
  <c r="C1112" i="19" s="1"/>
  <c r="L4359" i="16"/>
  <c r="L4361" i="16" s="1"/>
  <c r="G19" i="29" s="1"/>
  <c r="H19" i="29" s="1"/>
  <c r="E1263" i="19"/>
  <c r="E1262" i="19" s="1"/>
  <c r="E1265" i="19" s="1"/>
  <c r="E1112" i="19" s="1"/>
  <c r="D1262" i="19"/>
  <c r="D1265" i="19" s="1"/>
  <c r="D1112" i="19" s="1"/>
  <c r="L1612" i="16"/>
  <c r="G7" i="29" s="1"/>
  <c r="H7" i="29" s="1"/>
  <c r="C1464" i="19"/>
  <c r="I4761" i="16"/>
  <c r="I4762" i="16" s="1"/>
  <c r="C70" i="20"/>
  <c r="E70" i="20" s="1"/>
  <c r="C1157" i="19"/>
  <c r="C1099" i="19" s="1"/>
  <c r="C135" i="20"/>
  <c r="E135" i="20" s="1"/>
  <c r="C2197" i="19"/>
  <c r="C2124" i="19" s="1"/>
  <c r="E72" i="19"/>
  <c r="E58" i="19" s="1"/>
  <c r="D58" i="19"/>
  <c r="E1683" i="19"/>
  <c r="E7" i="20"/>
  <c r="D2169" i="19"/>
  <c r="C2168" i="19"/>
  <c r="C2139" i="19"/>
  <c r="C2138" i="19" s="1"/>
  <c r="E2053" i="19"/>
  <c r="E2051" i="19" s="1"/>
  <c r="D2051" i="19"/>
  <c r="D112" i="20"/>
  <c r="C1807" i="19"/>
  <c r="C1728" i="19" s="1"/>
  <c r="C1729" i="19" s="1"/>
  <c r="C82" i="20"/>
  <c r="C1343" i="19"/>
  <c r="D811" i="19"/>
  <c r="C810" i="19"/>
  <c r="E1744" i="19"/>
  <c r="D784" i="19"/>
  <c r="D787" i="19" s="1"/>
  <c r="D741" i="19" s="1"/>
  <c r="E785" i="19"/>
  <c r="E2108" i="19"/>
  <c r="E2106" i="19" s="1"/>
  <c r="D2106" i="19"/>
  <c r="D116" i="20"/>
  <c r="E116" i="20" s="1"/>
  <c r="C1897" i="19"/>
  <c r="C1847" i="19" s="1"/>
  <c r="C1848" i="19" s="1"/>
  <c r="E5036" i="16"/>
  <c r="E843" i="16"/>
  <c r="E5038" i="16" s="1"/>
  <c r="E5040" i="16" s="1"/>
  <c r="E5042" i="16" s="1"/>
  <c r="C1034" i="19"/>
  <c r="L2517" i="16"/>
  <c r="E2028" i="19"/>
  <c r="E2027" i="19" s="1"/>
  <c r="E2030" i="19" s="1"/>
  <c r="E1970" i="19" s="1"/>
  <c r="E1971" i="19" s="1"/>
  <c r="D2027" i="19"/>
  <c r="E1136" i="19"/>
  <c r="E1143" i="19" s="1"/>
  <c r="E1097" i="19" s="1"/>
  <c r="E1098" i="19" s="1"/>
  <c r="C1090" i="19"/>
  <c r="C1010" i="19" s="1"/>
  <c r="C1011" i="19" s="1"/>
  <c r="D1464" i="19"/>
  <c r="D221" i="19"/>
  <c r="D228" i="19" s="1"/>
  <c r="E223" i="19"/>
  <c r="E221" i="19" s="1"/>
  <c r="E228" i="19" s="1"/>
  <c r="C1959" i="19"/>
  <c r="C1853" i="19" s="1"/>
  <c r="C1854" i="19" s="1"/>
  <c r="C353" i="19"/>
  <c r="C360" i="19" s="1"/>
  <c r="D355" i="19"/>
  <c r="E32" i="20"/>
  <c r="E113" i="19"/>
  <c r="E111" i="19" s="1"/>
  <c r="E118" i="19" s="1"/>
  <c r="D111" i="19"/>
  <c r="D118" i="19" s="1"/>
  <c r="E552" i="19"/>
  <c r="E551" i="19" s="1"/>
  <c r="D551" i="19"/>
  <c r="D2098" i="19"/>
  <c r="D2101" i="19" s="1"/>
  <c r="D1980" i="19" s="1"/>
  <c r="E2099" i="19"/>
  <c r="E2098" i="19" s="1"/>
  <c r="E1198" i="19"/>
  <c r="E1101" i="19" s="1"/>
  <c r="E86" i="20"/>
  <c r="F371" i="19"/>
  <c r="C375" i="19"/>
  <c r="L14" i="18"/>
  <c r="L21" i="18" s="1"/>
  <c r="B21" i="18"/>
  <c r="D247" i="19"/>
  <c r="D254" i="19" s="1"/>
  <c r="E249" i="19"/>
  <c r="E247" i="19" s="1"/>
  <c r="E254" i="19" s="1"/>
  <c r="D975" i="19"/>
  <c r="D982" i="19" s="1"/>
  <c r="E977" i="19"/>
  <c r="E975" i="19" s="1"/>
  <c r="E982" i="19" s="1"/>
  <c r="O839" i="16"/>
  <c r="D38" i="19" s="1"/>
  <c r="D39" i="19" s="1"/>
  <c r="O842" i="16"/>
  <c r="O784" i="16"/>
  <c r="E1789" i="19"/>
  <c r="E1787" i="19" s="1"/>
  <c r="D1787" i="19"/>
  <c r="E1429" i="19"/>
  <c r="E1427" i="19" s="1"/>
  <c r="E1434" i="19" s="1"/>
  <c r="E1311" i="19" s="1"/>
  <c r="D1427" i="19"/>
  <c r="D1434" i="19" s="1"/>
  <c r="D1311" i="19" s="1"/>
  <c r="C1745" i="19"/>
  <c r="D1761" i="19"/>
  <c r="C1759" i="19"/>
  <c r="C109" i="20" s="1"/>
  <c r="D1698" i="19"/>
  <c r="C1684" i="19"/>
  <c r="C1696" i="19"/>
  <c r="D1773" i="19"/>
  <c r="D1780" i="19" s="1"/>
  <c r="D1730" i="19" s="1"/>
  <c r="D1731" i="19" s="1"/>
  <c r="E1775" i="19"/>
  <c r="E1773" i="19" s="1"/>
  <c r="E1780" i="19" s="1"/>
  <c r="E1730" i="19" s="1"/>
  <c r="E1731" i="19" s="1"/>
  <c r="D2221" i="19"/>
  <c r="C2220" i="19"/>
  <c r="E71" i="19"/>
  <c r="D69" i="19"/>
  <c r="D278" i="19"/>
  <c r="C277" i="19"/>
  <c r="D21" i="20" s="1"/>
  <c r="D6" i="20" s="1"/>
  <c r="C4" i="31" s="1"/>
  <c r="I1965" i="16"/>
  <c r="L1965" i="16" s="1"/>
  <c r="L1962" i="16"/>
  <c r="C742" i="19" s="1"/>
  <c r="C746" i="19" s="1"/>
  <c r="C759" i="19" s="1"/>
  <c r="L2005" i="16"/>
  <c r="I2007" i="16"/>
  <c r="L2007" i="16" s="1"/>
  <c r="C787" i="19"/>
  <c r="D193" i="19"/>
  <c r="D200" i="19" s="1"/>
  <c r="E195" i="19"/>
  <c r="E193" i="19" s="1"/>
  <c r="E200" i="19" s="1"/>
  <c r="C76" i="19"/>
  <c r="C7" i="19" s="1"/>
  <c r="C8" i="19" s="1"/>
  <c r="D124" i="20"/>
  <c r="C2030" i="19"/>
  <c r="C1970" i="19" s="1"/>
  <c r="C1971" i="19" s="1"/>
  <c r="D595" i="19"/>
  <c r="D594" i="19" s="1"/>
  <c r="D597" i="19" s="1"/>
  <c r="E622" i="19"/>
  <c r="D621" i="19"/>
  <c r="D624" i="19" s="1"/>
  <c r="D578" i="19" s="1"/>
  <c r="D579" i="19" s="1"/>
  <c r="D963" i="19"/>
  <c r="D970" i="19" s="1"/>
  <c r="E965" i="19"/>
  <c r="E963" i="19" s="1"/>
  <c r="E970" i="19" s="1"/>
  <c r="P2863" i="16"/>
  <c r="C1237" i="19"/>
  <c r="D76" i="20" s="1"/>
  <c r="D1238" i="19"/>
  <c r="E1880" i="19"/>
  <c r="D262" i="19"/>
  <c r="C260" i="19"/>
  <c r="D40" i="20"/>
  <c r="E40" i="20" s="1"/>
  <c r="C638" i="19"/>
  <c r="C580" i="19" s="1"/>
  <c r="C581" i="19" s="1"/>
  <c r="E45" i="20"/>
  <c r="D1946" i="19"/>
  <c r="D1845" i="19" s="1"/>
  <c r="D1992" i="19"/>
  <c r="D1990" i="19" s="1"/>
  <c r="E2067" i="19"/>
  <c r="D2065" i="19"/>
  <c r="E1392" i="19"/>
  <c r="E1395" i="19" s="1"/>
  <c r="E1303" i="19" s="1"/>
  <c r="C1184" i="19"/>
  <c r="C1101" i="19" s="1"/>
  <c r="E121" i="20"/>
  <c r="C91" i="20"/>
  <c r="B13" i="31" s="1"/>
  <c r="E92" i="20"/>
  <c r="D34" i="20"/>
  <c r="C540" i="19"/>
  <c r="E2166" i="19"/>
  <c r="E2164" i="19" s="1"/>
  <c r="D2164" i="19"/>
  <c r="D129" i="20"/>
  <c r="E129" i="20" s="1"/>
  <c r="C2101" i="19"/>
  <c r="C1980" i="19" s="1"/>
  <c r="C566" i="19"/>
  <c r="L1416" i="16"/>
  <c r="L1417" i="16" s="1"/>
  <c r="G6" i="29" s="1"/>
  <c r="H6" i="29" s="1"/>
  <c r="F540" i="19"/>
  <c r="C19" i="20"/>
  <c r="E19" i="20" s="1"/>
  <c r="C254" i="19"/>
  <c r="C32" i="19" s="1"/>
  <c r="C33" i="19" s="1"/>
  <c r="C60" i="20"/>
  <c r="E60" i="20" s="1"/>
  <c r="C982" i="19"/>
  <c r="E1862" i="19"/>
  <c r="C89" i="20"/>
  <c r="E89" i="20" s="1"/>
  <c r="C1434" i="19"/>
  <c r="C1311" i="19" s="1"/>
  <c r="C80" i="20"/>
  <c r="C1596" i="19"/>
  <c r="D561" i="19"/>
  <c r="E563" i="19"/>
  <c r="E561" i="19" s="1"/>
  <c r="D928" i="19"/>
  <c r="C926" i="19"/>
  <c r="E1596" i="19"/>
  <c r="C179" i="19"/>
  <c r="D181" i="19"/>
  <c r="P301" i="16"/>
  <c r="P303" i="16" s="1"/>
  <c r="E48" i="20"/>
  <c r="D396" i="19"/>
  <c r="C382" i="19"/>
  <c r="C394" i="19"/>
  <c r="D729" i="19"/>
  <c r="C727" i="19"/>
  <c r="C597" i="19"/>
  <c r="E8" i="18"/>
  <c r="F8" i="18" s="1"/>
  <c r="C59" i="20"/>
  <c r="E59" i="20" s="1"/>
  <c r="C970" i="19"/>
  <c r="C151" i="19"/>
  <c r="D153" i="19"/>
  <c r="E123" i="20"/>
  <c r="L702" i="16"/>
  <c r="I704" i="16"/>
  <c r="L704" i="16" s="1"/>
  <c r="E636" i="19"/>
  <c r="E635" i="19" s="1"/>
  <c r="E638" i="19" s="1"/>
  <c r="E580" i="19" s="1"/>
  <c r="E581" i="19" s="1"/>
  <c r="D635" i="19"/>
  <c r="D638" i="19" s="1"/>
  <c r="D580" i="19" s="1"/>
  <c r="D581" i="19" s="1"/>
  <c r="I2156" i="16"/>
  <c r="L2156" i="16" s="1"/>
  <c r="L2154" i="16"/>
  <c r="E716" i="19"/>
  <c r="E714" i="19" s="1"/>
  <c r="D714" i="19"/>
  <c r="E1946" i="19"/>
  <c r="E1845" i="19" s="1"/>
  <c r="C15" i="18"/>
  <c r="D15" i="18" s="1"/>
  <c r="C1990" i="19"/>
  <c r="P2246" i="16"/>
  <c r="P2248" i="16" s="1"/>
  <c r="E72" i="20"/>
  <c r="D234" i="19"/>
  <c r="D241" i="19" s="1"/>
  <c r="E236" i="19"/>
  <c r="E234" i="19" s="1"/>
  <c r="E241" i="19" s="1"/>
  <c r="E1954" i="19"/>
  <c r="E1952" i="19" s="1"/>
  <c r="E1959" i="19" s="1"/>
  <c r="E1853" i="19" s="1"/>
  <c r="E1854" i="19" s="1"/>
  <c r="D1952" i="19"/>
  <c r="D1959" i="19" s="1"/>
  <c r="D1853" i="19" s="1"/>
  <c r="D1854" i="19" s="1"/>
  <c r="D273" i="19"/>
  <c r="E275" i="19"/>
  <c r="E273" i="19" s="1"/>
  <c r="D1224" i="19"/>
  <c r="C1223" i="19"/>
  <c r="C16" i="20"/>
  <c r="E16" i="20" s="1"/>
  <c r="C214" i="19"/>
  <c r="C26" i="19" s="1"/>
  <c r="C27" i="19" s="1"/>
  <c r="P3209" i="16"/>
  <c r="D1471" i="19"/>
  <c r="E1472" i="19"/>
  <c r="E1471" i="19" s="1"/>
  <c r="D461" i="19"/>
  <c r="C459" i="19"/>
  <c r="P4759" i="16"/>
  <c r="L5033" i="16"/>
  <c r="G15" i="29" s="1"/>
  <c r="H15" i="29" s="1"/>
  <c r="D1046" i="19"/>
  <c r="E1048" i="19"/>
  <c r="E1046" i="19" s="1"/>
  <c r="D1286" i="19"/>
  <c r="E1288" i="19"/>
  <c r="E1286" i="19" s="1"/>
  <c r="D1596" i="19"/>
  <c r="B9" i="28"/>
  <c r="H1" i="28"/>
  <c r="E1338" i="19"/>
  <c r="D1336" i="19"/>
  <c r="D1343" i="19" s="1"/>
  <c r="D1300" i="19" s="1"/>
  <c r="D1301" i="19" s="1"/>
  <c r="E5" i="18"/>
  <c r="C23" i="20"/>
  <c r="E23" i="20" s="1"/>
  <c r="C172" i="19"/>
  <c r="C20" i="19" s="1"/>
  <c r="C28" i="20"/>
  <c r="E28" i="20" s="1"/>
  <c r="C440" i="19"/>
  <c r="D130" i="20"/>
  <c r="E130" i="20" s="1"/>
  <c r="C2113" i="19"/>
  <c r="C1981" i="19" s="1"/>
  <c r="E38" i="20"/>
  <c r="C37" i="20"/>
  <c r="B7" i="31" s="1"/>
  <c r="C18" i="20"/>
  <c r="E18" i="20" s="1"/>
  <c r="C241" i="19"/>
  <c r="C30" i="19" s="1"/>
  <c r="C31" i="19" s="1"/>
  <c r="E538" i="19"/>
  <c r="E537" i="19" s="1"/>
  <c r="E540" i="19" s="1"/>
  <c r="E477" i="19" s="1"/>
  <c r="D537" i="19"/>
  <c r="D540" i="19" s="1"/>
  <c r="D477" i="19" s="1"/>
  <c r="C21" i="20"/>
  <c r="E21" i="20" s="1"/>
  <c r="D207" i="19"/>
  <c r="D214" i="19" s="1"/>
  <c r="E209" i="19"/>
  <c r="E207" i="19" s="1"/>
  <c r="E214" i="19" s="1"/>
  <c r="C2203" i="19"/>
  <c r="D2205" i="19"/>
  <c r="D547" i="19"/>
  <c r="E549" i="19"/>
  <c r="E547" i="19" s="1"/>
  <c r="L18" i="18"/>
  <c r="C15" i="20"/>
  <c r="E15" i="20" s="1"/>
  <c r="C200" i="19"/>
  <c r="C24" i="19" s="1"/>
  <c r="C25" i="19" s="1"/>
  <c r="E167" i="19"/>
  <c r="E165" i="19" s="1"/>
  <c r="E172" i="19" s="1"/>
  <c r="D165" i="19"/>
  <c r="D172" i="19" s="1"/>
  <c r="D1253" i="19"/>
  <c r="D1111" i="19" s="1"/>
  <c r="L20" i="18"/>
  <c r="E74" i="19"/>
  <c r="D60" i="19"/>
  <c r="D59" i="19" s="1"/>
  <c r="D73" i="19"/>
  <c r="D1908" i="19"/>
  <c r="D1866" i="19" s="1"/>
  <c r="C1907" i="19"/>
  <c r="C1866" i="19"/>
  <c r="D39" i="20"/>
  <c r="C624" i="19"/>
  <c r="C578" i="19" s="1"/>
  <c r="C579" i="19" s="1"/>
  <c r="J5038" i="16"/>
  <c r="J5040" i="16" s="1"/>
  <c r="J5042" i="16" s="1"/>
  <c r="E650" i="19"/>
  <c r="E653" i="19" s="1"/>
  <c r="E582" i="19" s="1"/>
  <c r="E583" i="19" s="1"/>
  <c r="E596" i="19"/>
  <c r="E1182" i="19"/>
  <c r="D1181" i="19"/>
  <c r="D1184" i="19" s="1"/>
  <c r="D1103" i="19" s="1"/>
  <c r="I1609" i="16"/>
  <c r="L1609" i="16" s="1"/>
  <c r="L1591" i="16"/>
  <c r="D2190" i="19"/>
  <c r="D2197" i="19" s="1"/>
  <c r="D2124" i="19" s="1"/>
  <c r="E2192" i="19"/>
  <c r="E2190" i="19" s="1"/>
  <c r="E2197" i="19" s="1"/>
  <c r="E2124" i="19" s="1"/>
  <c r="L838" i="16"/>
  <c r="I840" i="16"/>
  <c r="L840" i="16" s="1"/>
  <c r="C463" i="19"/>
  <c r="D30" i="20" s="1"/>
  <c r="D24" i="20" s="1"/>
  <c r="D464" i="19"/>
  <c r="C385" i="19"/>
  <c r="C384" i="19" s="1"/>
  <c r="E6" i="18" s="1"/>
  <c r="E2094" i="19"/>
  <c r="E1991" i="19"/>
  <c r="C19" i="18"/>
  <c r="D19" i="18" s="1"/>
  <c r="F19" i="18" s="1"/>
  <c r="C1606" i="19"/>
  <c r="C1613" i="19" s="1"/>
  <c r="C83" i="20"/>
  <c r="E83" i="20" s="1"/>
  <c r="C1356" i="19"/>
  <c r="C1314" i="19" s="1"/>
  <c r="C1315" i="19" s="1"/>
  <c r="L2862" i="16"/>
  <c r="L2863" i="16" s="1"/>
  <c r="G11" i="29" s="1"/>
  <c r="H11" i="29" s="1"/>
  <c r="E435" i="19"/>
  <c r="E433" i="19" s="1"/>
  <c r="E440" i="19" s="1"/>
  <c r="E368" i="19" s="1"/>
  <c r="D433" i="19"/>
  <c r="D440" i="19" s="1"/>
  <c r="D368" i="19" s="1"/>
  <c r="D1505" i="19"/>
  <c r="C1504" i="19"/>
  <c r="C1476" i="19"/>
  <c r="C90" i="20"/>
  <c r="E90" i="20" s="1"/>
  <c r="C1446" i="19"/>
  <c r="C1312" i="19" s="1"/>
  <c r="E2111" i="19"/>
  <c r="E2110" i="19" s="1"/>
  <c r="D2110" i="19"/>
  <c r="E1662" i="19"/>
  <c r="D1660" i="19"/>
  <c r="D1667" i="19" s="1"/>
  <c r="D1597" i="19" s="1"/>
  <c r="D1598" i="19" s="1"/>
  <c r="D1233" i="19"/>
  <c r="E1235" i="19"/>
  <c r="E1233" i="19" s="1"/>
  <c r="L4761" i="16"/>
  <c r="L4762" i="16" s="1"/>
  <c r="G14" i="29" s="1"/>
  <c r="H14" i="29" s="1"/>
  <c r="C1863" i="19"/>
  <c r="D1878" i="19"/>
  <c r="C1876" i="19"/>
  <c r="E112" i="20"/>
  <c r="D1764" i="19"/>
  <c r="C1763" i="19"/>
  <c r="C1748" i="19"/>
  <c r="C1747" i="19" s="1"/>
  <c r="E780" i="19"/>
  <c r="E787" i="19" s="1"/>
  <c r="E741" i="19" s="1"/>
  <c r="C83" i="19"/>
  <c r="D85" i="19"/>
  <c r="D44" i="20"/>
  <c r="D42" i="20" s="1"/>
  <c r="C8" i="31" s="1"/>
  <c r="D11" i="34" s="1"/>
  <c r="L11" i="34" s="1"/>
  <c r="C708" i="19"/>
  <c r="C661" i="19" s="1"/>
  <c r="C662" i="19" s="1"/>
  <c r="C2136" i="19"/>
  <c r="D286" i="19"/>
  <c r="D293" i="19" s="1"/>
  <c r="E288" i="19"/>
  <c r="E286" i="19" s="1"/>
  <c r="E293" i="19" s="1"/>
  <c r="D1207" i="19"/>
  <c r="D1123" i="19" s="1"/>
  <c r="D1121" i="19" s="1"/>
  <c r="C1205" i="19"/>
  <c r="D721" i="19"/>
  <c r="D663" i="19" s="1"/>
  <c r="C991" i="19"/>
  <c r="E1441" i="19"/>
  <c r="E1439" i="19" s="1"/>
  <c r="E1446" i="19" s="1"/>
  <c r="E1312" i="19" s="1"/>
  <c r="D1439" i="19"/>
  <c r="D1446" i="19" s="1"/>
  <c r="D1312" i="19" s="1"/>
  <c r="C689" i="19"/>
  <c r="L1839" i="16"/>
  <c r="L1841" i="16" s="1"/>
  <c r="G8" i="29" s="1"/>
  <c r="H8" i="29" s="1"/>
  <c r="C104" i="20"/>
  <c r="C1667" i="19"/>
  <c r="C1597" i="19" s="1"/>
  <c r="C1598" i="19" s="1"/>
  <c r="D299" i="19"/>
  <c r="D306" i="19" s="1"/>
  <c r="E301" i="19"/>
  <c r="E299" i="19" s="1"/>
  <c r="E306" i="19" s="1"/>
  <c r="C79" i="20"/>
  <c r="E79" i="20" s="1"/>
  <c r="C1279" i="19"/>
  <c r="C1113" i="19" s="1"/>
  <c r="C132" i="20"/>
  <c r="E132" i="20" s="1"/>
  <c r="C2157" i="19"/>
  <c r="C2119" i="19" s="1"/>
  <c r="C2120" i="19" s="1"/>
  <c r="C76" i="20"/>
  <c r="H5036" i="16"/>
  <c r="H843" i="16"/>
  <c r="H5038" i="16" s="1"/>
  <c r="H5040" i="16" s="1"/>
  <c r="H5042" i="16" s="1"/>
  <c r="E1802" i="19"/>
  <c r="E1800" i="19" s="1"/>
  <c r="D1800" i="19"/>
  <c r="C993" i="19"/>
  <c r="D61" i="20" s="1"/>
  <c r="D994" i="19"/>
  <c r="D705" i="19"/>
  <c r="D677" i="19"/>
  <c r="D676" i="19" s="1"/>
  <c r="E706" i="19"/>
  <c r="E1664" i="19"/>
  <c r="E1611" i="19"/>
  <c r="E1610" i="19" s="1"/>
  <c r="L2518" i="16"/>
  <c r="P839" i="16"/>
  <c r="P842" i="16"/>
  <c r="P784" i="16"/>
  <c r="L3042" i="16"/>
  <c r="C1378" i="19" s="1"/>
  <c r="I3075" i="16"/>
  <c r="L3075" i="16" s="1"/>
  <c r="D1713" i="19"/>
  <c r="C1712" i="19"/>
  <c r="C1687" i="19"/>
  <c r="C1686" i="19" s="1"/>
  <c r="E20" i="18" s="1"/>
  <c r="O301" i="16"/>
  <c r="O303" i="16" s="1"/>
  <c r="L17" i="18"/>
  <c r="E1351" i="19"/>
  <c r="E1349" i="19" s="1"/>
  <c r="E1356" i="19" s="1"/>
  <c r="E1314" i="19" s="1"/>
  <c r="D1349" i="19"/>
  <c r="D1356" i="19" s="1"/>
  <c r="D1314" i="19" s="1"/>
  <c r="E1152" i="19"/>
  <c r="E1150" i="19" s="1"/>
  <c r="E1157" i="19" s="1"/>
  <c r="E1099" i="19" s="1"/>
  <c r="D1150" i="19"/>
  <c r="D1157" i="19" s="1"/>
  <c r="D1099" i="19" s="1"/>
  <c r="D1083" i="19"/>
  <c r="D1090" i="19" s="1"/>
  <c r="D1010" i="19" s="1"/>
  <c r="D1011" i="19" s="1"/>
  <c r="E1085" i="19"/>
  <c r="E1083" i="19" s="1"/>
  <c r="E1090" i="19" s="1"/>
  <c r="E1010" i="19" s="1"/>
  <c r="E1011" i="19" s="1"/>
  <c r="P4842" i="16"/>
  <c r="O4843" i="16"/>
  <c r="O5032" i="16"/>
  <c r="O5033" i="16" s="1"/>
  <c r="C29" i="20"/>
  <c r="E29" i="20" s="1"/>
  <c r="C453" i="19"/>
  <c r="E1805" i="19"/>
  <c r="E1804" i="19" s="1"/>
  <c r="D1804" i="19"/>
  <c r="G5036" i="16"/>
  <c r="G843" i="16"/>
  <c r="G5038" i="16" s="1"/>
  <c r="G5040" i="16" s="1"/>
  <c r="G5042" i="16" s="1"/>
  <c r="D892" i="19"/>
  <c r="C891" i="19"/>
  <c r="D53" i="20" s="1"/>
  <c r="K5036" i="16"/>
  <c r="N5036" i="16" s="1"/>
  <c r="K843" i="16"/>
  <c r="E721" i="19"/>
  <c r="E663" i="19" s="1"/>
  <c r="I2246" i="16"/>
  <c r="C1023" i="19"/>
  <c r="C1022" i="19" s="1"/>
  <c r="D1051" i="19"/>
  <c r="C1050" i="19"/>
  <c r="D325" i="19"/>
  <c r="D332" i="19" s="1"/>
  <c r="E327" i="19"/>
  <c r="E325" i="19" s="1"/>
  <c r="E332" i="19" s="1"/>
  <c r="E1274" i="19"/>
  <c r="E1272" i="19" s="1"/>
  <c r="E1279" i="19" s="1"/>
  <c r="E1113" i="19" s="1"/>
  <c r="D1272" i="19"/>
  <c r="D1279" i="19" s="1"/>
  <c r="D1113" i="19" s="1"/>
  <c r="E2152" i="19"/>
  <c r="E2150" i="19" s="1"/>
  <c r="E2157" i="19" s="1"/>
  <c r="E2119" i="19" s="1"/>
  <c r="E2120" i="19" s="1"/>
  <c r="D2150" i="19"/>
  <c r="D2157" i="19" s="1"/>
  <c r="D2119" i="19" s="1"/>
  <c r="D2120" i="19" s="1"/>
  <c r="D312" i="19"/>
  <c r="D319" i="19" s="1"/>
  <c r="E314" i="19"/>
  <c r="E312" i="19" s="1"/>
  <c r="E319" i="19" s="1"/>
  <c r="E2056" i="19"/>
  <c r="E2055" i="19" s="1"/>
  <c r="D2055" i="19"/>
  <c r="E98" i="19"/>
  <c r="D97" i="19"/>
  <c r="D104" i="19" s="1"/>
  <c r="D56" i="19"/>
  <c r="E88" i="20"/>
  <c r="E1792" i="19"/>
  <c r="E1791" i="19" s="1"/>
  <c r="D1791" i="19"/>
  <c r="C51" i="20"/>
  <c r="E51" i="20" s="1"/>
  <c r="C826" i="19"/>
  <c r="E9" i="18"/>
  <c r="D1063" i="19"/>
  <c r="C1062" i="19"/>
  <c r="D1915" i="19"/>
  <c r="D1922" i="19" s="1"/>
  <c r="D1850" i="19" s="1"/>
  <c r="E1917" i="19"/>
  <c r="E1915" i="19" s="1"/>
  <c r="E1922" i="19" s="1"/>
  <c r="E1850" i="19" s="1"/>
  <c r="E2182" i="19"/>
  <c r="P1197" i="16"/>
  <c r="C1123" i="19"/>
  <c r="C1995" i="19"/>
  <c r="C1994" i="19" s="1"/>
  <c r="E15" i="18" s="1"/>
  <c r="D2070" i="19"/>
  <c r="C2069" i="19"/>
  <c r="C1290" i="19"/>
  <c r="D80" i="20" s="1"/>
  <c r="D1291" i="19"/>
  <c r="C22" i="20"/>
  <c r="E22" i="20" s="1"/>
  <c r="C293" i="19"/>
  <c r="C38" i="19" s="1"/>
  <c r="C39" i="19" s="1"/>
  <c r="L2006" i="16"/>
  <c r="L2247" i="16" s="1"/>
  <c r="I2247" i="16"/>
  <c r="E703" i="19"/>
  <c r="D701" i="19"/>
  <c r="E1895" i="19"/>
  <c r="E1894" i="19" s="1"/>
  <c r="E1897" i="19" s="1"/>
  <c r="E1847" i="19" s="1"/>
  <c r="E1848" i="19" s="1"/>
  <c r="D1894" i="19"/>
  <c r="D1897" i="19" s="1"/>
  <c r="D1847" i="19" s="1"/>
  <c r="D1848" i="19" s="1"/>
  <c r="I1612" i="16"/>
  <c r="E448" i="19"/>
  <c r="E446" i="19" s="1"/>
  <c r="E453" i="19" s="1"/>
  <c r="E372" i="19" s="1"/>
  <c r="D446" i="19"/>
  <c r="D453" i="19" s="1"/>
  <c r="D372" i="19" s="1"/>
  <c r="E1035" i="19"/>
  <c r="E1021" i="19" s="1"/>
  <c r="D1021" i="19"/>
  <c r="E1464" i="19"/>
  <c r="L1366" i="16"/>
  <c r="C478" i="19" s="1"/>
  <c r="C479" i="19" s="1"/>
  <c r="C482" i="19" s="1"/>
  <c r="I1367" i="16"/>
  <c r="L1367" i="16" s="1"/>
  <c r="E69" i="20"/>
  <c r="C17" i="20"/>
  <c r="E17" i="20" s="1"/>
  <c r="C228" i="19"/>
  <c r="C28" i="19" s="1"/>
  <c r="C29" i="19" s="1"/>
  <c r="C10" i="20"/>
  <c r="E10" i="20" s="1"/>
  <c r="C118" i="19"/>
  <c r="C13" i="19" s="1"/>
  <c r="C14" i="19" s="1"/>
  <c r="D35" i="20"/>
  <c r="E35" i="20" s="1"/>
  <c r="C554" i="19"/>
  <c r="O4761" i="16"/>
  <c r="O4762" i="16" s="1"/>
  <c r="I1417" i="16"/>
  <c r="D1198" i="19"/>
  <c r="D1101" i="19" s="1"/>
  <c r="D409" i="19"/>
  <c r="C407" i="19"/>
  <c r="D126" i="20"/>
  <c r="E126" i="20" s="1"/>
  <c r="C2058" i="19"/>
  <c r="C1974" i="19" s="1"/>
  <c r="C1975" i="19" s="1"/>
  <c r="C9" i="20"/>
  <c r="E9" i="20" s="1"/>
  <c r="C104" i="19"/>
  <c r="C11" i="19" s="1"/>
  <c r="C12" i="19" s="1"/>
  <c r="C521" i="19"/>
  <c r="D523" i="19"/>
  <c r="C491" i="19"/>
  <c r="E889" i="19"/>
  <c r="E887" i="19" s="1"/>
  <c r="D887" i="19"/>
  <c r="E1416" i="19"/>
  <c r="E1414" i="19" s="1"/>
  <c r="E1421" i="19" s="1"/>
  <c r="E1307" i="19" s="1"/>
  <c r="E1308" i="19" s="1"/>
  <c r="D1414" i="19"/>
  <c r="D1421" i="19" s="1"/>
  <c r="D1307" i="19" s="1"/>
  <c r="D1308" i="19" s="1"/>
  <c r="C1794" i="19"/>
  <c r="C1726" i="19" s="1"/>
  <c r="C1727" i="19" s="1"/>
  <c r="D111" i="20"/>
  <c r="E111" i="20" s="1"/>
  <c r="C1404" i="19"/>
  <c r="D1405" i="19"/>
  <c r="C1326" i="19"/>
  <c r="C1325" i="19" s="1"/>
  <c r="E13" i="18" s="1"/>
  <c r="D819" i="19"/>
  <c r="D826" i="19" s="1"/>
  <c r="D744" i="19" s="1"/>
  <c r="E821" i="19"/>
  <c r="E819" i="19" s="1"/>
  <c r="E826" i="19" s="1"/>
  <c r="E744" i="19" s="1"/>
  <c r="L4127" i="16"/>
  <c r="G18" i="29" s="1"/>
  <c r="H18" i="29" s="1"/>
  <c r="G17" i="29"/>
  <c r="H17" i="29" s="1"/>
  <c r="E110" i="20"/>
  <c r="C118" i="20"/>
  <c r="E118" i="20" s="1"/>
  <c r="C1922" i="19"/>
  <c r="C1850" i="19" s="1"/>
  <c r="D1794" i="19" l="1"/>
  <c r="D1726" i="19" s="1"/>
  <c r="D1727" i="19" s="1"/>
  <c r="D2030" i="19"/>
  <c r="D1970" i="19" s="1"/>
  <c r="D1971" i="19" s="1"/>
  <c r="D50" i="19"/>
  <c r="D2113" i="19"/>
  <c r="D1981" i="19" s="1"/>
  <c r="D1982" i="19" s="1"/>
  <c r="E2113" i="19"/>
  <c r="E1981" i="19" s="1"/>
  <c r="D2178" i="19"/>
  <c r="D2185" i="19" s="1"/>
  <c r="D2123" i="19" s="1"/>
  <c r="E2180" i="19"/>
  <c r="E2178" i="19" s="1"/>
  <c r="C134" i="20"/>
  <c r="E134" i="20" s="1"/>
  <c r="C2185" i="19"/>
  <c r="C2123" i="19" s="1"/>
  <c r="D584" i="19"/>
  <c r="E1794" i="19"/>
  <c r="E1726" i="19" s="1"/>
  <c r="E1727" i="19" s="1"/>
  <c r="C55" i="19"/>
  <c r="C62" i="19" s="1"/>
  <c r="C1240" i="19"/>
  <c r="C1109" i="19" s="1"/>
  <c r="C1110" i="19" s="1"/>
  <c r="I385" i="16"/>
  <c r="I841" i="16" s="1"/>
  <c r="I843" i="16" s="1"/>
  <c r="E420" i="19"/>
  <c r="E427" i="19" s="1"/>
  <c r="E381" i="19"/>
  <c r="E382" i="19" s="1"/>
  <c r="E380" i="19" s="1"/>
  <c r="D2038" i="19"/>
  <c r="D2045" i="19" s="1"/>
  <c r="D1972" i="19" s="1"/>
  <c r="D1973" i="19" s="1"/>
  <c r="E2040" i="19"/>
  <c r="E2038" i="19" s="1"/>
  <c r="E2045" i="19" s="1"/>
  <c r="E1972" i="19" s="1"/>
  <c r="E1973" i="19" s="1"/>
  <c r="O840" i="16"/>
  <c r="C125" i="20"/>
  <c r="C2045" i="19"/>
  <c r="C1972" i="19" s="1"/>
  <c r="C1973" i="19" s="1"/>
  <c r="L2246" i="16"/>
  <c r="L2248" i="16" s="1"/>
  <c r="D1599" i="19"/>
  <c r="Q844" i="16"/>
  <c r="N843" i="16"/>
  <c r="D57" i="19"/>
  <c r="D55" i="19" s="1"/>
  <c r="D62" i="19" s="1"/>
  <c r="S15" i="18"/>
  <c r="E76" i="20"/>
  <c r="E953" i="19"/>
  <c r="E951" i="19" s="1"/>
  <c r="E958" i="19" s="1"/>
  <c r="D951" i="19"/>
  <c r="D958" i="19" s="1"/>
  <c r="D2058" i="19"/>
  <c r="D1974" i="19" s="1"/>
  <c r="D1975" i="19" s="1"/>
  <c r="E1807" i="19"/>
  <c r="E1728" i="19" s="1"/>
  <c r="E1729" i="19" s="1"/>
  <c r="E44" i="20"/>
  <c r="L2519" i="16"/>
  <c r="G10" i="29" s="1"/>
  <c r="H10" i="29" s="1"/>
  <c r="C58" i="20"/>
  <c r="E58" i="20" s="1"/>
  <c r="C958" i="19"/>
  <c r="D1807" i="19"/>
  <c r="D1728" i="19" s="1"/>
  <c r="D1729" i="19" s="1"/>
  <c r="D76" i="19"/>
  <c r="E2058" i="19"/>
  <c r="E1974" i="19" s="1"/>
  <c r="E1975" i="19" s="1"/>
  <c r="L5037" i="16"/>
  <c r="C584" i="19"/>
  <c r="D770" i="19"/>
  <c r="D769" i="19" s="1"/>
  <c r="D7" i="34"/>
  <c r="D87" i="20"/>
  <c r="C1407" i="19"/>
  <c r="C1309" i="19" s="1"/>
  <c r="C1310" i="19" s="1"/>
  <c r="D65" i="20"/>
  <c r="E65" i="20" s="1"/>
  <c r="C1065" i="19"/>
  <c r="C1007" i="19" s="1"/>
  <c r="C16" i="18"/>
  <c r="D16" i="18" s="1"/>
  <c r="C2134" i="19"/>
  <c r="C2141" i="19" s="1"/>
  <c r="D1023" i="19"/>
  <c r="E1051" i="19"/>
  <c r="D1050" i="19"/>
  <c r="C1376" i="19"/>
  <c r="D1378" i="19"/>
  <c r="C1323" i="19"/>
  <c r="D1205" i="19"/>
  <c r="D1212" i="19" s="1"/>
  <c r="D1104" i="19" s="1"/>
  <c r="D1106" i="19" s="1"/>
  <c r="E1207" i="19"/>
  <c r="E1205" i="19" s="1"/>
  <c r="E1212" i="19" s="1"/>
  <c r="E1104" i="19" s="1"/>
  <c r="D1748" i="19"/>
  <c r="D1747" i="19" s="1"/>
  <c r="D1763" i="19"/>
  <c r="E1764" i="19"/>
  <c r="E1181" i="19"/>
  <c r="E1184" i="19" s="1"/>
  <c r="E1103" i="19" s="1"/>
  <c r="I387" i="16"/>
  <c r="L387" i="16" s="1"/>
  <c r="E60" i="19"/>
  <c r="E59" i="19" s="1"/>
  <c r="E73" i="19"/>
  <c r="H9" i="28"/>
  <c r="J6" i="28"/>
  <c r="C56" i="20"/>
  <c r="E56" i="20" s="1"/>
  <c r="C933" i="19"/>
  <c r="E124" i="20"/>
  <c r="C20" i="18"/>
  <c r="D20" i="18" s="1"/>
  <c r="F20" i="18" s="1"/>
  <c r="C1682" i="19"/>
  <c r="C1689" i="19" s="1"/>
  <c r="E2101" i="19"/>
  <c r="E1980" i="19" s="1"/>
  <c r="E1982" i="19" s="1"/>
  <c r="D810" i="19"/>
  <c r="D813" i="19" s="1"/>
  <c r="D743" i="19" s="1"/>
  <c r="D746" i="19" s="1"/>
  <c r="E811" i="19"/>
  <c r="E810" i="19" s="1"/>
  <c r="E813" i="19" s="1"/>
  <c r="E743" i="19" s="1"/>
  <c r="E16" i="18"/>
  <c r="D521" i="19"/>
  <c r="D528" i="19" s="1"/>
  <c r="D476" i="19" s="1"/>
  <c r="E523" i="19"/>
  <c r="E521" i="19" s="1"/>
  <c r="E528" i="19" s="1"/>
  <c r="E476" i="19" s="1"/>
  <c r="C33" i="20"/>
  <c r="C528" i="19"/>
  <c r="D1290" i="19"/>
  <c r="D1293" i="19" s="1"/>
  <c r="D1114" i="19" s="1"/>
  <c r="D1115" i="19" s="1"/>
  <c r="E1291" i="19"/>
  <c r="E1290" i="19" s="1"/>
  <c r="E11" i="18"/>
  <c r="E705" i="19"/>
  <c r="E677" i="19"/>
  <c r="E676" i="19" s="1"/>
  <c r="C1475" i="19"/>
  <c r="D1476" i="19"/>
  <c r="P8" i="18"/>
  <c r="J8" i="18"/>
  <c r="C10" i="34"/>
  <c r="D926" i="19"/>
  <c r="D933" i="19" s="1"/>
  <c r="D754" i="19" s="1"/>
  <c r="E928" i="19"/>
  <c r="E926" i="19" s="1"/>
  <c r="E933" i="19" s="1"/>
  <c r="E754" i="19" s="1"/>
  <c r="C1313" i="19"/>
  <c r="C20" i="20"/>
  <c r="E20" i="20" s="1"/>
  <c r="C267" i="19"/>
  <c r="C34" i="19" s="1"/>
  <c r="C35" i="19" s="1"/>
  <c r="E69" i="19"/>
  <c r="E1698" i="19"/>
  <c r="D1684" i="19"/>
  <c r="D1682" i="19" s="1"/>
  <c r="D1696" i="19"/>
  <c r="D1703" i="19" s="1"/>
  <c r="D133" i="20"/>
  <c r="C2171" i="19"/>
  <c r="C2121" i="19" s="1"/>
  <c r="C2122" i="19" s="1"/>
  <c r="E701" i="19"/>
  <c r="E97" i="19"/>
  <c r="E104" i="19" s="1"/>
  <c r="E56" i="19"/>
  <c r="D83" i="19"/>
  <c r="D90" i="19" s="1"/>
  <c r="E85" i="19"/>
  <c r="E83" i="19" s="1"/>
  <c r="E90" i="19" s="1"/>
  <c r="C115" i="20"/>
  <c r="C1883" i="19"/>
  <c r="C1844" i="19" s="1"/>
  <c r="C1846" i="19" s="1"/>
  <c r="D93" i="20"/>
  <c r="C1507" i="19"/>
  <c r="C1455" i="19" s="1"/>
  <c r="C1456" i="19" s="1"/>
  <c r="C1465" i="19" s="1"/>
  <c r="E464" i="19"/>
  <c r="D463" i="19"/>
  <c r="D385" i="19"/>
  <c r="D384" i="19" s="1"/>
  <c r="D387" i="19" s="1"/>
  <c r="D37" i="20"/>
  <c r="C7" i="31" s="1"/>
  <c r="D10" i="34" s="1"/>
  <c r="L10" i="34" s="1"/>
  <c r="E39" i="20"/>
  <c r="E37" i="20" s="1"/>
  <c r="D75" i="20"/>
  <c r="C1226" i="19"/>
  <c r="C1107" i="19" s="1"/>
  <c r="C1108" i="19" s="1"/>
  <c r="E262" i="19"/>
  <c r="E260" i="19" s="1"/>
  <c r="E267" i="19" s="1"/>
  <c r="D260" i="19"/>
  <c r="D267" i="19" s="1"/>
  <c r="D137" i="20"/>
  <c r="E137" i="20" s="1"/>
  <c r="C2223" i="19"/>
  <c r="C2126" i="19" s="1"/>
  <c r="C108" i="20"/>
  <c r="B16" i="31" s="1"/>
  <c r="O5037" i="16"/>
  <c r="C1300" i="19"/>
  <c r="C1301" i="19" s="1"/>
  <c r="F1343" i="19"/>
  <c r="E2169" i="19"/>
  <c r="D2168" i="19"/>
  <c r="D2171" i="19" s="1"/>
  <c r="D2121" i="19" s="1"/>
  <c r="D2122" i="19" s="1"/>
  <c r="D2139" i="19"/>
  <c r="D2138" i="19" s="1"/>
  <c r="C26" i="20"/>
  <c r="E26" i="20" s="1"/>
  <c r="C414" i="19"/>
  <c r="I2248" i="16"/>
  <c r="I5037" i="16"/>
  <c r="D127" i="20"/>
  <c r="E127" i="20" s="1"/>
  <c r="C2072" i="19"/>
  <c r="C1976" i="19" s="1"/>
  <c r="C1977" i="19" s="1"/>
  <c r="D891" i="19"/>
  <c r="D894" i="19" s="1"/>
  <c r="D750" i="19" s="1"/>
  <c r="E892" i="19"/>
  <c r="E891" i="19" s="1"/>
  <c r="E894" i="19" s="1"/>
  <c r="E750" i="19" s="1"/>
  <c r="D708" i="19"/>
  <c r="D661" i="19" s="1"/>
  <c r="D662" i="19" s="1"/>
  <c r="D991" i="19"/>
  <c r="C989" i="19"/>
  <c r="C767" i="19"/>
  <c r="C8" i="20"/>
  <c r="C90" i="19"/>
  <c r="C9" i="19" s="1"/>
  <c r="C10" i="19" s="1"/>
  <c r="D1863" i="19"/>
  <c r="D1861" i="19" s="1"/>
  <c r="E1878" i="19"/>
  <c r="D1876" i="19"/>
  <c r="D1883" i="19" s="1"/>
  <c r="D1844" i="19" s="1"/>
  <c r="D1846" i="19" s="1"/>
  <c r="E1505" i="19"/>
  <c r="E1504" i="19" s="1"/>
  <c r="E1507" i="19" s="1"/>
  <c r="E1455" i="19" s="1"/>
  <c r="E1456" i="19" s="1"/>
  <c r="E1465" i="19" s="1"/>
  <c r="D1504" i="19"/>
  <c r="D1507" i="19" s="1"/>
  <c r="D1455" i="19" s="1"/>
  <c r="D1456" i="19" s="1"/>
  <c r="D1465" i="19" s="1"/>
  <c r="C5" i="31"/>
  <c r="D8" i="34" s="1"/>
  <c r="L8" i="34" s="1"/>
  <c r="E2205" i="19"/>
  <c r="E2203" i="19" s="1"/>
  <c r="E2210" i="19" s="1"/>
  <c r="E2125" i="19" s="1"/>
  <c r="D2203" i="19"/>
  <c r="D2210" i="19" s="1"/>
  <c r="D2125" i="19" s="1"/>
  <c r="C280" i="19"/>
  <c r="C36" i="19" s="1"/>
  <c r="C37" i="19" s="1"/>
  <c r="C30" i="20"/>
  <c r="E30" i="20" s="1"/>
  <c r="C466" i="19"/>
  <c r="E1224" i="19"/>
  <c r="E1223" i="19" s="1"/>
  <c r="E1226" i="19" s="1"/>
  <c r="E1107" i="19" s="1"/>
  <c r="E1108" i="19" s="1"/>
  <c r="D1223" i="19"/>
  <c r="D1226" i="19" s="1"/>
  <c r="D1107" i="19" s="1"/>
  <c r="D1108" i="19" s="1"/>
  <c r="C46" i="20"/>
  <c r="E46" i="20" s="1"/>
  <c r="C734" i="19"/>
  <c r="C664" i="19" s="1"/>
  <c r="C665" i="19" s="1"/>
  <c r="E34" i="20"/>
  <c r="E2065" i="19"/>
  <c r="E1992" i="19"/>
  <c r="E1990" i="19" s="1"/>
  <c r="E2221" i="19"/>
  <c r="E2220" i="19" s="1"/>
  <c r="E2223" i="19" s="1"/>
  <c r="E2126" i="19" s="1"/>
  <c r="D2220" i="19"/>
  <c r="D2223" i="19" s="1"/>
  <c r="D2126" i="19" s="1"/>
  <c r="E1761" i="19"/>
  <c r="D1745" i="19"/>
  <c r="D1743" i="19" s="1"/>
  <c r="D1759" i="19"/>
  <c r="D1034" i="19"/>
  <c r="C1020" i="19"/>
  <c r="C1032" i="19"/>
  <c r="E82" i="20"/>
  <c r="D5" i="18"/>
  <c r="E1405" i="19"/>
  <c r="D1404" i="19"/>
  <c r="D1407" i="19" s="1"/>
  <c r="D1309" i="19" s="1"/>
  <c r="D1310" i="19" s="1"/>
  <c r="D1326" i="19"/>
  <c r="D1325" i="19" s="1"/>
  <c r="C7" i="18"/>
  <c r="D7" i="18" s="1"/>
  <c r="C489" i="19"/>
  <c r="E409" i="19"/>
  <c r="E407" i="19" s="1"/>
  <c r="E414" i="19" s="1"/>
  <c r="E369" i="19" s="1"/>
  <c r="E371" i="19" s="1"/>
  <c r="D407" i="19"/>
  <c r="D414" i="19" s="1"/>
  <c r="D369" i="19" s="1"/>
  <c r="D371" i="19" s="1"/>
  <c r="E2070" i="19"/>
  <c r="D2069" i="19"/>
  <c r="D2072" i="19" s="1"/>
  <c r="D1976" i="19" s="1"/>
  <c r="D1977" i="19" s="1"/>
  <c r="D1995" i="19"/>
  <c r="D1994" i="19" s="1"/>
  <c r="D1997" i="19" s="1"/>
  <c r="E38" i="19"/>
  <c r="E39" i="19" s="1"/>
  <c r="E50" i="19" s="1"/>
  <c r="P840" i="16"/>
  <c r="D993" i="19"/>
  <c r="E994" i="19"/>
  <c r="E993" i="19" s="1"/>
  <c r="E104" i="20"/>
  <c r="E100" i="20" s="1"/>
  <c r="C100" i="20"/>
  <c r="B18" i="31" s="1"/>
  <c r="D18" i="31" s="1"/>
  <c r="H19" i="18" s="1"/>
  <c r="E746" i="19"/>
  <c r="C18" i="18"/>
  <c r="D18" i="18" s="1"/>
  <c r="C1861" i="19"/>
  <c r="E1660" i="19"/>
  <c r="E1667" i="19" s="1"/>
  <c r="E1597" i="19" s="1"/>
  <c r="E1598" i="19" s="1"/>
  <c r="E1599" i="19" s="1"/>
  <c r="E1608" i="19"/>
  <c r="E1606" i="19" s="1"/>
  <c r="E1613" i="19" s="1"/>
  <c r="D117" i="20"/>
  <c r="C1910" i="19"/>
  <c r="C1849" i="19" s="1"/>
  <c r="C1852" i="19" s="1"/>
  <c r="C136" i="20"/>
  <c r="E136" i="20" s="1"/>
  <c r="C2210" i="19"/>
  <c r="C2125" i="19" s="1"/>
  <c r="E461" i="19"/>
  <c r="E459" i="19" s="1"/>
  <c r="D459" i="19"/>
  <c r="C1997" i="19"/>
  <c r="E729" i="19"/>
  <c r="E727" i="19" s="1"/>
  <c r="E734" i="19" s="1"/>
  <c r="E664" i="19" s="1"/>
  <c r="E665" i="19" s="1"/>
  <c r="D727" i="19"/>
  <c r="D734" i="19" s="1"/>
  <c r="D664" i="19" s="1"/>
  <c r="D665" i="19" s="1"/>
  <c r="C1599" i="19"/>
  <c r="E2185" i="19"/>
  <c r="E2123" i="19" s="1"/>
  <c r="C17" i="18"/>
  <c r="D17" i="18" s="1"/>
  <c r="C1743" i="19"/>
  <c r="C1750" i="19" s="1"/>
  <c r="E355" i="19"/>
  <c r="E353" i="19" s="1"/>
  <c r="E360" i="19" s="1"/>
  <c r="D353" i="19"/>
  <c r="D360" i="19" s="1"/>
  <c r="P4843" i="16"/>
  <c r="P5032" i="16"/>
  <c r="P5033" i="16" s="1"/>
  <c r="D107" i="20"/>
  <c r="C1715" i="19"/>
  <c r="P19" i="18"/>
  <c r="J19" i="18"/>
  <c r="E1908" i="19"/>
  <c r="E1907" i="19" s="1"/>
  <c r="E1910" i="19" s="1"/>
  <c r="E1849" i="19" s="1"/>
  <c r="E1852" i="19" s="1"/>
  <c r="D1907" i="19"/>
  <c r="D1910" i="19" s="1"/>
  <c r="D1849" i="19" s="1"/>
  <c r="D1852" i="19" s="1"/>
  <c r="E1293" i="19"/>
  <c r="E1114" i="19" s="1"/>
  <c r="E1115" i="19" s="1"/>
  <c r="R15" i="18"/>
  <c r="F15" i="18"/>
  <c r="E153" i="19"/>
  <c r="E151" i="19" s="1"/>
  <c r="E158" i="19" s="1"/>
  <c r="D151" i="19"/>
  <c r="D158" i="19" s="1"/>
  <c r="C25" i="20"/>
  <c r="C401" i="19"/>
  <c r="D179" i="19"/>
  <c r="D186" i="19" s="1"/>
  <c r="E181" i="19"/>
  <c r="E179" i="19" s="1"/>
  <c r="E186" i="19" s="1"/>
  <c r="C1293" i="19"/>
  <c r="C1114" i="19" s="1"/>
  <c r="C1115" i="19" s="1"/>
  <c r="C565" i="19"/>
  <c r="D566" i="19"/>
  <c r="C494" i="19"/>
  <c r="C493" i="19" s="1"/>
  <c r="E7" i="18" s="1"/>
  <c r="C16" i="34"/>
  <c r="E595" i="19"/>
  <c r="E594" i="19" s="1"/>
  <c r="E597" i="19" s="1"/>
  <c r="E621" i="19"/>
  <c r="E624" i="19" s="1"/>
  <c r="E578" i="19" s="1"/>
  <c r="E579" i="19" s="1"/>
  <c r="E584" i="19" s="1"/>
  <c r="D1313" i="19"/>
  <c r="D1315" i="19" s="1"/>
  <c r="D554" i="19"/>
  <c r="D478" i="19" s="1"/>
  <c r="C12" i="18"/>
  <c r="D12" i="18" s="1"/>
  <c r="F12" i="18" s="1"/>
  <c r="C1121" i="19"/>
  <c r="C1128" i="19" s="1"/>
  <c r="E1063" i="19"/>
  <c r="E1062" i="19" s="1"/>
  <c r="E1065" i="19" s="1"/>
  <c r="E1007" i="19" s="1"/>
  <c r="D1062" i="19"/>
  <c r="D1065" i="19" s="1"/>
  <c r="D1007" i="19" s="1"/>
  <c r="C894" i="19"/>
  <c r="K5038" i="16"/>
  <c r="R843" i="16"/>
  <c r="D1712" i="19"/>
  <c r="D1715" i="19" s="1"/>
  <c r="D1687" i="19"/>
  <c r="D1686" i="19" s="1"/>
  <c r="E1713" i="19"/>
  <c r="D689" i="19"/>
  <c r="C674" i="19"/>
  <c r="C687" i="19"/>
  <c r="E17" i="18"/>
  <c r="I5036" i="16"/>
  <c r="D1126" i="19"/>
  <c r="D1125" i="19" s="1"/>
  <c r="D1128" i="19" s="1"/>
  <c r="C13" i="20"/>
  <c r="E13" i="20" s="1"/>
  <c r="C158" i="19"/>
  <c r="C19" i="19" s="1"/>
  <c r="C21" i="19" s="1"/>
  <c r="C6" i="18"/>
  <c r="D6" i="18" s="1"/>
  <c r="F6" i="18" s="1"/>
  <c r="C380" i="19"/>
  <c r="C387" i="19" s="1"/>
  <c r="C14" i="20"/>
  <c r="E14" i="20" s="1"/>
  <c r="C186" i="19"/>
  <c r="C22" i="19" s="1"/>
  <c r="C23" i="19" s="1"/>
  <c r="E80" i="20"/>
  <c r="C1982" i="19"/>
  <c r="E1238" i="19"/>
  <c r="E1237" i="19" s="1"/>
  <c r="E1240" i="19" s="1"/>
  <c r="E1109" i="19" s="1"/>
  <c r="E1110" i="19" s="1"/>
  <c r="D1237" i="19"/>
  <c r="D1240" i="19" s="1"/>
  <c r="D1109" i="19" s="1"/>
  <c r="D1110" i="19" s="1"/>
  <c r="E278" i="19"/>
  <c r="E277" i="19" s="1"/>
  <c r="E280" i="19" s="1"/>
  <c r="D277" i="19"/>
  <c r="D280" i="19" s="1"/>
  <c r="P385" i="16"/>
  <c r="E1313" i="19"/>
  <c r="E1315" i="19" s="1"/>
  <c r="E554" i="19"/>
  <c r="E478" i="19" s="1"/>
  <c r="P1199" i="16"/>
  <c r="E53" i="20"/>
  <c r="O385" i="16"/>
  <c r="D64" i="20"/>
  <c r="C1053" i="19"/>
  <c r="C1006" i="19" s="1"/>
  <c r="C74" i="20"/>
  <c r="C1212" i="19"/>
  <c r="C1103" i="19" s="1"/>
  <c r="C1106" i="19" s="1"/>
  <c r="D109" i="20"/>
  <c r="D108" i="20" s="1"/>
  <c r="C16" i="31" s="1"/>
  <c r="C1766" i="19"/>
  <c r="C1724" i="19" s="1"/>
  <c r="C1725" i="19" s="1"/>
  <c r="C1736" i="19" s="1"/>
  <c r="C1865" i="19"/>
  <c r="E1336" i="19"/>
  <c r="E1343" i="19" s="1"/>
  <c r="E1300" i="19" s="1"/>
  <c r="E1301" i="19" s="1"/>
  <c r="E396" i="19"/>
  <c r="E394" i="19" s="1"/>
  <c r="E401" i="19" s="1"/>
  <c r="E366" i="19" s="1"/>
  <c r="E367" i="19" s="1"/>
  <c r="D394" i="19"/>
  <c r="D401" i="19" s="1"/>
  <c r="D366" i="19" s="1"/>
  <c r="D367" i="19" s="1"/>
  <c r="C106" i="20"/>
  <c r="C1703" i="19"/>
  <c r="C1673" i="19" s="1"/>
  <c r="C1675" i="19" s="1"/>
  <c r="D50" i="20"/>
  <c r="C813" i="19"/>
  <c r="D2136" i="19"/>
  <c r="D2134" i="19" s="1"/>
  <c r="C1008" i="19" l="1"/>
  <c r="I5038" i="16"/>
  <c r="I5040" i="16" s="1"/>
  <c r="I5042" i="16" s="1"/>
  <c r="E756" i="19"/>
  <c r="C2127" i="19"/>
  <c r="C2128" i="19" s="1"/>
  <c r="L385" i="16"/>
  <c r="L841" i="16" s="1"/>
  <c r="L5036" i="16" s="1"/>
  <c r="E479" i="19"/>
  <c r="D1855" i="19"/>
  <c r="G9" i="29"/>
  <c r="H9" i="29" s="1"/>
  <c r="C760" i="19"/>
  <c r="Q845" i="16"/>
  <c r="Q846" i="16" s="1"/>
  <c r="C122" i="20"/>
  <c r="B14" i="31" s="1"/>
  <c r="E125" i="20"/>
  <c r="E122" i="20" s="1"/>
  <c r="D466" i="19"/>
  <c r="D373" i="19" s="1"/>
  <c r="D374" i="19" s="1"/>
  <c r="D375" i="19" s="1"/>
  <c r="K5040" i="16"/>
  <c r="N5038" i="16"/>
  <c r="E2136" i="19"/>
  <c r="E2134" i="19" s="1"/>
  <c r="E1106" i="19"/>
  <c r="E1116" i="19" s="1"/>
  <c r="D756" i="19"/>
  <c r="E2127" i="19"/>
  <c r="C50" i="19"/>
  <c r="D2127" i="19"/>
  <c r="D2128" i="19" s="1"/>
  <c r="D479" i="19"/>
  <c r="C1855" i="19"/>
  <c r="E1123" i="19"/>
  <c r="E1121" i="19" s="1"/>
  <c r="C1983" i="19"/>
  <c r="D1984" i="19" s="1"/>
  <c r="D122" i="20"/>
  <c r="C14" i="31" s="1"/>
  <c r="E57" i="19"/>
  <c r="E55" i="19" s="1"/>
  <c r="E62" i="19" s="1"/>
  <c r="D1116" i="19"/>
  <c r="C1116" i="19"/>
  <c r="E1404" i="19"/>
  <c r="E1407" i="19" s="1"/>
  <c r="E1309" i="19" s="1"/>
  <c r="E1310" i="19" s="1"/>
  <c r="E1326" i="19"/>
  <c r="E1325" i="19" s="1"/>
  <c r="E1476" i="19"/>
  <c r="E1475" i="19" s="1"/>
  <c r="E1478" i="19" s="1"/>
  <c r="D1475" i="19"/>
  <c r="D1478" i="19" s="1"/>
  <c r="F5" i="18"/>
  <c r="C10" i="18"/>
  <c r="D10" i="18" s="1"/>
  <c r="F10" i="18" s="1"/>
  <c r="C765" i="19"/>
  <c r="C772" i="19" s="1"/>
  <c r="E115" i="20"/>
  <c r="C114" i="20"/>
  <c r="B17" i="31" s="1"/>
  <c r="D7" i="31"/>
  <c r="H8" i="18" s="1"/>
  <c r="E14" i="18"/>
  <c r="F14" i="18" s="1"/>
  <c r="C1478" i="19"/>
  <c r="C85" i="20"/>
  <c r="C1383" i="19"/>
  <c r="C1302" i="19" s="1"/>
  <c r="C1304" i="19" s="1"/>
  <c r="C1316" i="19" s="1"/>
  <c r="F1316" i="19" s="1"/>
  <c r="P12" i="18"/>
  <c r="J12" i="18"/>
  <c r="C61" i="20"/>
  <c r="E61" i="20" s="1"/>
  <c r="C996" i="19"/>
  <c r="C131" i="20"/>
  <c r="B15" i="31" s="1"/>
  <c r="D131" i="20"/>
  <c r="E133" i="20"/>
  <c r="E131" i="20" s="1"/>
  <c r="K10" i="34"/>
  <c r="M10" i="34" s="1"/>
  <c r="E10" i="34"/>
  <c r="E33" i="20"/>
  <c r="C31" i="20"/>
  <c r="E1763" i="19"/>
  <c r="E1748" i="19"/>
  <c r="E1747" i="19" s="1"/>
  <c r="D1022" i="19"/>
  <c r="D1053" i="19"/>
  <c r="D1006" i="19" s="1"/>
  <c r="D1008" i="19" s="1"/>
  <c r="P15" i="18"/>
  <c r="J15" i="18"/>
  <c r="E1866" i="19"/>
  <c r="E1745" i="19"/>
  <c r="E1743" i="19" s="1"/>
  <c r="E1759" i="19"/>
  <c r="E991" i="19"/>
  <c r="D989" i="19"/>
  <c r="D996" i="19" s="1"/>
  <c r="D757" i="19" s="1"/>
  <c r="D758" i="19" s="1"/>
  <c r="D759" i="19" s="1"/>
  <c r="D1983" i="19"/>
  <c r="E76" i="19"/>
  <c r="D1766" i="19"/>
  <c r="D1724" i="19" s="1"/>
  <c r="D1725" i="19" s="1"/>
  <c r="D1736" i="19" s="1"/>
  <c r="E1050" i="19"/>
  <c r="E1023" i="19"/>
  <c r="D62" i="20"/>
  <c r="C10" i="31" s="1"/>
  <c r="D13" i="34" s="1"/>
  <c r="L13" i="34" s="1"/>
  <c r="E64" i="20"/>
  <c r="C496" i="19"/>
  <c r="F499" i="19" s="1"/>
  <c r="D767" i="19"/>
  <c r="D765" i="19" s="1"/>
  <c r="D772" i="19" s="1"/>
  <c r="E708" i="19"/>
  <c r="E661" i="19" s="1"/>
  <c r="E662" i="19" s="1"/>
  <c r="J20" i="18"/>
  <c r="P20" i="18"/>
  <c r="D1750" i="19"/>
  <c r="E87" i="20"/>
  <c r="D81" i="20"/>
  <c r="C12" i="31" s="1"/>
  <c r="D15" i="34" s="1"/>
  <c r="L15" i="34" s="1"/>
  <c r="D36" i="20"/>
  <c r="C568" i="19"/>
  <c r="E8" i="20"/>
  <c r="C6" i="20"/>
  <c r="O387" i="16"/>
  <c r="O841" i="16"/>
  <c r="K16" i="34"/>
  <c r="E25" i="20"/>
  <c r="C24" i="20"/>
  <c r="F7" i="18"/>
  <c r="E770" i="19"/>
  <c r="E769" i="19" s="1"/>
  <c r="E1863" i="19"/>
  <c r="E1861" i="19" s="1"/>
  <c r="E1876" i="19"/>
  <c r="E1883" i="19" s="1"/>
  <c r="E1844" i="19" s="1"/>
  <c r="E1846" i="19" s="1"/>
  <c r="E1855" i="19" s="1"/>
  <c r="P5037" i="16"/>
  <c r="D2141" i="19"/>
  <c r="E109" i="20"/>
  <c r="E108" i="20" s="1"/>
  <c r="E463" i="19"/>
  <c r="E466" i="19" s="1"/>
  <c r="E373" i="19" s="1"/>
  <c r="E374" i="19" s="1"/>
  <c r="E375" i="19" s="1"/>
  <c r="E385" i="19"/>
  <c r="E384" i="19" s="1"/>
  <c r="E387" i="19" s="1"/>
  <c r="D1689" i="19"/>
  <c r="L7" i="34"/>
  <c r="E689" i="19"/>
  <c r="D687" i="19"/>
  <c r="D694" i="19" s="1"/>
  <c r="D659" i="19" s="1"/>
  <c r="D660" i="19" s="1"/>
  <c r="D666" i="19" s="1"/>
  <c r="D674" i="19"/>
  <c r="D672" i="19" s="1"/>
  <c r="D679" i="19" s="1"/>
  <c r="P6" i="18"/>
  <c r="J6" i="18"/>
  <c r="E1712" i="19"/>
  <c r="E1715" i="19" s="1"/>
  <c r="E1687" i="19"/>
  <c r="E1686" i="19" s="1"/>
  <c r="C1868" i="19"/>
  <c r="E18" i="18"/>
  <c r="F18" i="18" s="1"/>
  <c r="C43" i="20"/>
  <c r="C694" i="19"/>
  <c r="C659" i="19" s="1"/>
  <c r="C660" i="19" s="1"/>
  <c r="C666" i="19" s="1"/>
  <c r="C63" i="20"/>
  <c r="C1039" i="19"/>
  <c r="C1004" i="19" s="1"/>
  <c r="C1005" i="19" s="1"/>
  <c r="D16" i="31"/>
  <c r="E75" i="20"/>
  <c r="D68" i="20"/>
  <c r="C11" i="31" s="1"/>
  <c r="D14" i="34" s="1"/>
  <c r="L14" i="34" s="1"/>
  <c r="E1684" i="19"/>
  <c r="E1682" i="19" s="1"/>
  <c r="E1696" i="19"/>
  <c r="E1703" i="19" s="1"/>
  <c r="D105" i="20"/>
  <c r="E107" i="20"/>
  <c r="D1020" i="19"/>
  <c r="D1018" i="19" s="1"/>
  <c r="E1034" i="19"/>
  <c r="D1032" i="19"/>
  <c r="D1039" i="19" s="1"/>
  <c r="D1004" i="19" s="1"/>
  <c r="D1005" i="19" s="1"/>
  <c r="E1378" i="19"/>
  <c r="D1376" i="19"/>
  <c r="D1383" i="19" s="1"/>
  <c r="D1302" i="19" s="1"/>
  <c r="D1304" i="19" s="1"/>
  <c r="D1316" i="19" s="1"/>
  <c r="D1323" i="19"/>
  <c r="D1321" i="19" s="1"/>
  <c r="D1328" i="19" s="1"/>
  <c r="E74" i="20"/>
  <c r="C68" i="20"/>
  <c r="B11" i="31" s="1"/>
  <c r="E50" i="20"/>
  <c r="D47" i="20"/>
  <c r="C9" i="31" s="1"/>
  <c r="D12" i="34" s="1"/>
  <c r="L12" i="34" s="1"/>
  <c r="C105" i="20"/>
  <c r="E106" i="20"/>
  <c r="P387" i="16"/>
  <c r="P841" i="16"/>
  <c r="C9" i="18"/>
  <c r="D9" i="18" s="1"/>
  <c r="F9" i="18" s="1"/>
  <c r="C672" i="19"/>
  <c r="C679" i="19" s="1"/>
  <c r="D494" i="19"/>
  <c r="D493" i="19" s="1"/>
  <c r="D496" i="19" s="1"/>
  <c r="E566" i="19"/>
  <c r="D565" i="19"/>
  <c r="D568" i="19" s="1"/>
  <c r="D480" i="19" s="1"/>
  <c r="D481" i="19" s="1"/>
  <c r="F17" i="18"/>
  <c r="E117" i="20"/>
  <c r="D114" i="20"/>
  <c r="C17" i="31" s="1"/>
  <c r="E1995" i="19"/>
  <c r="E1994" i="19" s="1"/>
  <c r="E1997" i="19" s="1"/>
  <c r="E2069" i="19"/>
  <c r="E2072" i="19" s="1"/>
  <c r="E1976" i="19" s="1"/>
  <c r="E1977" i="19" s="1"/>
  <c r="E1983" i="19" s="1"/>
  <c r="C11" i="18"/>
  <c r="D11" i="18" s="1"/>
  <c r="F11" i="18" s="1"/>
  <c r="C1018" i="19"/>
  <c r="C1025" i="19" s="1"/>
  <c r="E1865" i="19"/>
  <c r="D1865" i="19"/>
  <c r="D1868" i="19" s="1"/>
  <c r="E2168" i="19"/>
  <c r="E2171" i="19" s="1"/>
  <c r="E2121" i="19" s="1"/>
  <c r="E2122" i="19" s="1"/>
  <c r="E2139" i="19"/>
  <c r="E2138" i="19" s="1"/>
  <c r="D91" i="20"/>
  <c r="C13" i="31" s="1"/>
  <c r="E93" i="20"/>
  <c r="E91" i="20" s="1"/>
  <c r="E1126" i="19"/>
  <c r="E1125" i="19" s="1"/>
  <c r="C13" i="18"/>
  <c r="D13" i="18" s="1"/>
  <c r="F13" i="18" s="1"/>
  <c r="C1321" i="19"/>
  <c r="C1328" i="19" s="1"/>
  <c r="F16" i="18"/>
  <c r="L843" i="16" l="1"/>
  <c r="L5038" i="16" s="1"/>
  <c r="L5040" i="16" s="1"/>
  <c r="L5042" i="16" s="1"/>
  <c r="E1128" i="19"/>
  <c r="C1012" i="19"/>
  <c r="D14" i="31"/>
  <c r="H15" i="18" s="1"/>
  <c r="E2128" i="19"/>
  <c r="E47" i="20"/>
  <c r="E2141" i="19"/>
  <c r="K5042" i="16"/>
  <c r="N5042" i="16" s="1"/>
  <c r="N5040" i="16"/>
  <c r="D1012" i="19"/>
  <c r="D482" i="19"/>
  <c r="E114" i="20"/>
  <c r="E68" i="20"/>
  <c r="E85" i="20"/>
  <c r="E81" i="20" s="1"/>
  <c r="C81" i="20"/>
  <c r="B12" i="31" s="1"/>
  <c r="J16" i="18"/>
  <c r="P16" i="18"/>
  <c r="H17" i="18"/>
  <c r="P17" i="18"/>
  <c r="J17" i="18"/>
  <c r="E105" i="20"/>
  <c r="E141" i="20" s="1"/>
  <c r="E43" i="20"/>
  <c r="E42" i="20" s="1"/>
  <c r="C42" i="20"/>
  <c r="B8" i="31" s="1"/>
  <c r="D21" i="18"/>
  <c r="E1868" i="19"/>
  <c r="C141" i="20"/>
  <c r="B19" i="31"/>
  <c r="E1376" i="19"/>
  <c r="E1383" i="19" s="1"/>
  <c r="E1302" i="19" s="1"/>
  <c r="E1304" i="19" s="1"/>
  <c r="E1316" i="19" s="1"/>
  <c r="E1323" i="19"/>
  <c r="E1321" i="19" s="1"/>
  <c r="E1328" i="19" s="1"/>
  <c r="E1689" i="19"/>
  <c r="B4" i="31"/>
  <c r="E6" i="20"/>
  <c r="C47" i="20"/>
  <c r="B9" i="31" s="1"/>
  <c r="D1025" i="19"/>
  <c r="C15" i="31"/>
  <c r="D15" i="31" s="1"/>
  <c r="H16" i="18" s="1"/>
  <c r="F21" i="18"/>
  <c r="G10" i="18" s="1"/>
  <c r="P5" i="18"/>
  <c r="J5" i="18"/>
  <c r="E21" i="18"/>
  <c r="P11" i="18"/>
  <c r="J11" i="18"/>
  <c r="P9" i="18"/>
  <c r="J9" i="18"/>
  <c r="C21" i="18"/>
  <c r="P5036" i="16"/>
  <c r="P843" i="16"/>
  <c r="P5038" i="16" s="1"/>
  <c r="P5040" i="16" s="1"/>
  <c r="P5042" i="16" s="1"/>
  <c r="D141" i="20"/>
  <c r="C19" i="31"/>
  <c r="O5036" i="16"/>
  <c r="O843" i="16"/>
  <c r="O5038" i="16" s="1"/>
  <c r="O5040" i="16" s="1"/>
  <c r="O5042" i="16" s="1"/>
  <c r="J10" i="18"/>
  <c r="U10" i="18"/>
  <c r="P10" i="18"/>
  <c r="P18" i="18"/>
  <c r="J18" i="18"/>
  <c r="J13" i="18"/>
  <c r="P13" i="18"/>
  <c r="E494" i="19"/>
  <c r="E493" i="19" s="1"/>
  <c r="E496" i="19" s="1"/>
  <c r="E565" i="19"/>
  <c r="E568" i="19" s="1"/>
  <c r="E480" i="19" s="1"/>
  <c r="E481" i="19" s="1"/>
  <c r="E482" i="19" s="1"/>
  <c r="P7" i="18"/>
  <c r="J7" i="18"/>
  <c r="E1750" i="19"/>
  <c r="P14" i="18"/>
  <c r="J14" i="18"/>
  <c r="E687" i="19"/>
  <c r="E694" i="19" s="1"/>
  <c r="E659" i="19" s="1"/>
  <c r="E660" i="19" s="1"/>
  <c r="E666" i="19" s="1"/>
  <c r="E674" i="19"/>
  <c r="E672" i="19" s="1"/>
  <c r="E679" i="19" s="1"/>
  <c r="B5" i="31"/>
  <c r="E24" i="20"/>
  <c r="E989" i="19"/>
  <c r="E996" i="19" s="1"/>
  <c r="E757" i="19" s="1"/>
  <c r="E758" i="19" s="1"/>
  <c r="E759" i="19" s="1"/>
  <c r="E767" i="19"/>
  <c r="E765" i="19" s="1"/>
  <c r="E772" i="19" s="1"/>
  <c r="E1766" i="19"/>
  <c r="E1724" i="19" s="1"/>
  <c r="E1725" i="19" s="1"/>
  <c r="E1736" i="19" s="1"/>
  <c r="E36" i="20"/>
  <c r="D31" i="20"/>
  <c r="C6" i="31" s="1"/>
  <c r="E1053" i="19"/>
  <c r="E1006" i="19" s="1"/>
  <c r="E1008" i="19" s="1"/>
  <c r="E1022" i="19"/>
  <c r="B6" i="31"/>
  <c r="G4" i="29"/>
  <c r="D17" i="31"/>
  <c r="H18" i="18" s="1"/>
  <c r="E1020" i="19"/>
  <c r="E1018" i="19" s="1"/>
  <c r="E1032" i="19"/>
  <c r="E1039" i="19" s="1"/>
  <c r="E1004" i="19" s="1"/>
  <c r="E1005" i="19" s="1"/>
  <c r="C14" i="34"/>
  <c r="D11" i="31"/>
  <c r="H12" i="18" s="1"/>
  <c r="C62" i="20"/>
  <c r="B10" i="31" s="1"/>
  <c r="E63" i="20"/>
  <c r="E62" i="20" s="1"/>
  <c r="D16" i="34"/>
  <c r="D13" i="31"/>
  <c r="H14" i="18" s="1"/>
  <c r="D22" i="18" l="1"/>
  <c r="E22" i="18"/>
  <c r="G11" i="18"/>
  <c r="F26" i="15"/>
  <c r="G13" i="18"/>
  <c r="G9" i="18"/>
  <c r="G14" i="18"/>
  <c r="G17" i="18"/>
  <c r="G18" i="18"/>
  <c r="G5" i="18"/>
  <c r="E31" i="20"/>
  <c r="E139" i="20" s="1"/>
  <c r="C12" i="34"/>
  <c r="D9" i="31"/>
  <c r="H10" i="18" s="1"/>
  <c r="D6" i="31"/>
  <c r="H7" i="18" s="1"/>
  <c r="C9" i="34"/>
  <c r="E1025" i="19"/>
  <c r="J21" i="18"/>
  <c r="D4" i="31"/>
  <c r="B20" i="31"/>
  <c r="C7" i="34"/>
  <c r="C11" i="34"/>
  <c r="D8" i="31"/>
  <c r="H9" i="18" s="1"/>
  <c r="E1012" i="19"/>
  <c r="C8" i="34"/>
  <c r="D5" i="31"/>
  <c r="H6" i="18" s="1"/>
  <c r="G20" i="29"/>
  <c r="H4" i="29"/>
  <c r="H20" i="29" s="1"/>
  <c r="F22" i="18"/>
  <c r="F24" i="18"/>
  <c r="F25" i="18" s="1"/>
  <c r="G8" i="18"/>
  <c r="G19" i="18"/>
  <c r="B22" i="18"/>
  <c r="G15" i="18"/>
  <c r="G6" i="18"/>
  <c r="G20" i="18"/>
  <c r="G12" i="18"/>
  <c r="C139" i="20"/>
  <c r="C140" i="20" s="1"/>
  <c r="C142" i="20" s="1"/>
  <c r="L16" i="34"/>
  <c r="M16" i="34" s="1"/>
  <c r="E16" i="34"/>
  <c r="D139" i="20"/>
  <c r="D140" i="20" s="1"/>
  <c r="D142" i="20" s="1"/>
  <c r="D12" i="31"/>
  <c r="H13" i="18" s="1"/>
  <c r="C15" i="34"/>
  <c r="C13" i="34"/>
  <c r="D10" i="31"/>
  <c r="H11" i="18" s="1"/>
  <c r="E14" i="34"/>
  <c r="K14" i="34"/>
  <c r="M14" i="34" s="1"/>
  <c r="D9" i="34"/>
  <c r="C20" i="31"/>
  <c r="G7" i="18"/>
  <c r="C22" i="18"/>
  <c r="D19" i="31"/>
  <c r="H20" i="18" s="1"/>
  <c r="G16" i="18"/>
  <c r="E140" i="20" l="1"/>
  <c r="E142" i="20" s="1"/>
  <c r="E143" i="20" s="1"/>
  <c r="G21" i="18"/>
  <c r="D20" i="31"/>
  <c r="D23" i="31" s="1"/>
  <c r="H5" i="18"/>
  <c r="K9" i="34"/>
  <c r="E9" i="34"/>
  <c r="L9" i="34"/>
  <c r="L23" i="34" s="1"/>
  <c r="D23" i="34"/>
  <c r="K8" i="34"/>
  <c r="M8" i="34" s="1"/>
  <c r="E8" i="34"/>
  <c r="K11" i="34"/>
  <c r="M11" i="34" s="1"/>
  <c r="E11" i="34"/>
  <c r="E13" i="34"/>
  <c r="K13" i="34"/>
  <c r="M13" i="34" s="1"/>
  <c r="K15" i="34"/>
  <c r="M15" i="34" s="1"/>
  <c r="E15" i="34"/>
  <c r="C23" i="34"/>
  <c r="K7" i="34"/>
  <c r="E7" i="34"/>
  <c r="E12" i="34"/>
  <c r="K12" i="34"/>
  <c r="M12" i="34" s="1"/>
  <c r="D143" i="20" l="1"/>
  <c r="B21" i="31"/>
  <c r="C143" i="20"/>
  <c r="C21" i="31"/>
  <c r="M9" i="34"/>
  <c r="E23" i="34"/>
  <c r="K23" i="34"/>
  <c r="M7" i="34"/>
  <c r="M23" i="34" s="1"/>
  <c r="D21"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Mardin it</author>
  </authors>
  <commentList>
    <comment ref="E12" authorId="0" shapeId="0" xr:uid="{00000000-0006-0000-0F00-000001000000}">
      <text>
        <r>
          <rPr>
            <b/>
            <sz val="9"/>
            <color indexed="81"/>
            <rFont val="Tahoma"/>
            <family val="2"/>
          </rPr>
          <t>Mardin it:</t>
        </r>
        <r>
          <rPr>
            <sz val="9"/>
            <color indexed="81"/>
            <rFont val="Tahoma"/>
            <family val="2"/>
          </rPr>
          <t xml:space="preserve">
Payment of Governor's Administration Block electricity bill. Each month electricity bill is Ksh.350,000.00</t>
        </r>
      </text>
    </comment>
    <comment ref="L12" authorId="0" shapeId="0" xr:uid="{00000000-0006-0000-0F00-000002000000}">
      <text>
        <r>
          <rPr>
            <b/>
            <sz val="9"/>
            <color indexed="81"/>
            <rFont val="Tahoma"/>
            <family val="2"/>
          </rPr>
          <t>Mardin it:</t>
        </r>
        <r>
          <rPr>
            <sz val="9"/>
            <color indexed="81"/>
            <rFont val="Tahoma"/>
            <family val="2"/>
          </rPr>
          <t xml:space="preserve">
Payment of Governor's Administration Block electricity bill. Each month electricity bill is Ksh.350,000.00</t>
        </r>
      </text>
    </comment>
    <comment ref="E13" authorId="0" shapeId="0" xr:uid="{00000000-0006-0000-0F00-000003000000}">
      <text>
        <r>
          <rPr>
            <b/>
            <sz val="9"/>
            <color indexed="81"/>
            <rFont val="Tahoma"/>
            <family val="2"/>
          </rPr>
          <t>Mardin it:</t>
        </r>
        <r>
          <rPr>
            <sz val="9"/>
            <color indexed="81"/>
            <rFont val="Tahoma"/>
            <family val="2"/>
          </rPr>
          <t xml:space="preserve">
Payment of water bill estimated at Ksh.79,165 each month
</t>
        </r>
      </text>
    </comment>
    <comment ref="L13" authorId="0" shapeId="0" xr:uid="{00000000-0006-0000-0F00-000004000000}">
      <text>
        <r>
          <rPr>
            <b/>
            <sz val="9"/>
            <color indexed="81"/>
            <rFont val="Tahoma"/>
            <family val="2"/>
          </rPr>
          <t>Mardin it:</t>
        </r>
        <r>
          <rPr>
            <sz val="9"/>
            <color indexed="81"/>
            <rFont val="Tahoma"/>
            <family val="2"/>
          </rPr>
          <t xml:space="preserve">
Payment of water bill estimated at Ksh.79,165 each month
</t>
        </r>
      </text>
    </comment>
    <comment ref="E28" authorId="0" shapeId="0" xr:uid="{00000000-0006-0000-0F00-000005000000}">
      <text>
        <r>
          <rPr>
            <b/>
            <sz val="9"/>
            <color indexed="81"/>
            <rFont val="Tahoma"/>
            <family val="2"/>
          </rPr>
          <t>Mardin it:</t>
        </r>
        <r>
          <rPr>
            <sz val="9"/>
            <color indexed="81"/>
            <rFont val="Tahoma"/>
            <family val="2"/>
          </rPr>
          <t xml:space="preserve">
Each month we spend Ksh.50,000 to purchase newspapers</t>
        </r>
      </text>
    </comment>
    <comment ref="L28" authorId="0" shapeId="0" xr:uid="{00000000-0006-0000-0F00-000006000000}">
      <text>
        <r>
          <rPr>
            <b/>
            <sz val="9"/>
            <color indexed="81"/>
            <rFont val="Tahoma"/>
            <family val="2"/>
          </rPr>
          <t>Mardin it:</t>
        </r>
        <r>
          <rPr>
            <sz val="9"/>
            <color indexed="81"/>
            <rFont val="Tahoma"/>
            <family val="2"/>
          </rPr>
          <t xml:space="preserve">
Each month we spend Ksh.50,000 to purchase newspapers</t>
        </r>
      </text>
    </comment>
    <comment ref="E41" authorId="0" shapeId="0" xr:uid="{00000000-0006-0000-0F00-000007000000}">
      <text>
        <r>
          <rPr>
            <b/>
            <sz val="9"/>
            <color indexed="81"/>
            <rFont val="Tahoma"/>
            <family val="2"/>
          </rPr>
          <t>Mardin it:</t>
        </r>
        <r>
          <rPr>
            <sz val="9"/>
            <color indexed="81"/>
            <rFont val="Tahoma"/>
            <family val="2"/>
          </rPr>
          <t xml:space="preserve">
Celebrate 2 National Holidays each estimated at Ksh. 6M</t>
        </r>
      </text>
    </comment>
    <comment ref="L41" authorId="0" shapeId="0" xr:uid="{00000000-0006-0000-0F00-000008000000}">
      <text>
        <r>
          <rPr>
            <b/>
            <sz val="9"/>
            <color indexed="81"/>
            <rFont val="Tahoma"/>
            <family val="2"/>
          </rPr>
          <t>Mardin it:</t>
        </r>
        <r>
          <rPr>
            <sz val="9"/>
            <color indexed="81"/>
            <rFont val="Tahoma"/>
            <family val="2"/>
          </rPr>
          <t xml:space="preserve">
Celebrate 2 National Holidays each estimated at Ksh. 6M</t>
        </r>
      </text>
    </comment>
    <comment ref="E55" authorId="0" shapeId="0" xr:uid="{00000000-0006-0000-0F00-000009000000}">
      <text>
        <r>
          <rPr>
            <b/>
            <sz val="9"/>
            <color indexed="81"/>
            <rFont val="Tahoma"/>
            <family val="2"/>
          </rPr>
          <t>Mardin it:</t>
        </r>
        <r>
          <rPr>
            <sz val="9"/>
            <color indexed="81"/>
            <rFont val="Tahoma"/>
            <family val="2"/>
          </rPr>
          <t xml:space="preserve">
Each month contracted guards are paid Ksh.120,000</t>
        </r>
      </text>
    </comment>
    <comment ref="L55" authorId="0" shapeId="0" xr:uid="{00000000-0006-0000-0F00-00000A000000}">
      <text>
        <r>
          <rPr>
            <b/>
            <sz val="9"/>
            <color indexed="81"/>
            <rFont val="Tahoma"/>
            <family val="2"/>
          </rPr>
          <t>Mardin it:</t>
        </r>
        <r>
          <rPr>
            <sz val="9"/>
            <color indexed="81"/>
            <rFont val="Tahoma"/>
            <family val="2"/>
          </rPr>
          <t xml:space="preserve">
Each month contracted guards are paid Ksh.120,000</t>
        </r>
      </text>
    </comment>
    <comment ref="E64" authorId="0" shapeId="0" xr:uid="{00000000-0006-0000-0F00-00000B000000}">
      <text>
        <r>
          <rPr>
            <b/>
            <sz val="9"/>
            <color indexed="81"/>
            <rFont val="Tahoma"/>
            <family val="2"/>
          </rPr>
          <t>Mardin it:</t>
        </r>
        <r>
          <rPr>
            <sz val="9"/>
            <color indexed="81"/>
            <rFont val="Tahoma"/>
            <family val="2"/>
          </rPr>
          <t xml:space="preserve">
The Governor's boardroom will be fitted with air conditioners</t>
        </r>
      </text>
    </comment>
    <comment ref="L64" authorId="0" shapeId="0" xr:uid="{00000000-0006-0000-0F00-00000C000000}">
      <text>
        <r>
          <rPr>
            <b/>
            <sz val="9"/>
            <color indexed="81"/>
            <rFont val="Tahoma"/>
            <family val="2"/>
          </rPr>
          <t>Mardin it:</t>
        </r>
        <r>
          <rPr>
            <sz val="9"/>
            <color indexed="81"/>
            <rFont val="Tahoma"/>
            <family val="2"/>
          </rPr>
          <t xml:space="preserve">
The Governor's boardroom will be fitted with air conditioners</t>
        </r>
      </text>
    </comment>
    <comment ref="E71" authorId="0" shapeId="0" xr:uid="{00000000-0006-0000-0F00-00000D000000}">
      <text>
        <r>
          <rPr>
            <b/>
            <sz val="9"/>
            <color indexed="81"/>
            <rFont val="Tahoma"/>
            <family val="2"/>
          </rPr>
          <t>Mardin it:</t>
        </r>
        <r>
          <rPr>
            <sz val="9"/>
            <color indexed="81"/>
            <rFont val="Tahoma"/>
            <family val="2"/>
          </rPr>
          <t xml:space="preserve">
Each month documentation of cabinet papers and reports require a budget of Ksh.100,000</t>
        </r>
      </text>
    </comment>
    <comment ref="L71" authorId="0" shapeId="0" xr:uid="{00000000-0006-0000-0F00-00000E000000}">
      <text>
        <r>
          <rPr>
            <b/>
            <sz val="9"/>
            <color indexed="81"/>
            <rFont val="Tahoma"/>
            <family val="2"/>
          </rPr>
          <t>Mardin it:</t>
        </r>
        <r>
          <rPr>
            <sz val="9"/>
            <color indexed="81"/>
            <rFont val="Tahoma"/>
            <family val="2"/>
          </rPr>
          <t xml:space="preserve">
Each month documentation of cabinet papers and reports require a budget of Ksh.100,000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Mardin it</author>
  </authors>
  <commentList>
    <comment ref="F12" authorId="0" shapeId="0" xr:uid="{00000000-0006-0000-1400-000001000000}">
      <text>
        <r>
          <rPr>
            <b/>
            <sz val="9"/>
            <color indexed="81"/>
            <rFont val="Tahoma"/>
            <family val="2"/>
          </rPr>
          <t>Mardin it:</t>
        </r>
        <r>
          <rPr>
            <sz val="9"/>
            <color indexed="81"/>
            <rFont val="Tahoma"/>
            <family val="2"/>
          </rPr>
          <t xml:space="preserve">
Payment of Governor's Administration Block electricity bill. Each month electricity bill is Ksh.350,000.00</t>
        </r>
      </text>
    </comment>
    <comment ref="L12" authorId="0" shapeId="0" xr:uid="{00000000-0006-0000-1400-000002000000}">
      <text>
        <r>
          <rPr>
            <b/>
            <sz val="9"/>
            <color indexed="81"/>
            <rFont val="Tahoma"/>
            <family val="2"/>
          </rPr>
          <t>Mardin it:</t>
        </r>
        <r>
          <rPr>
            <sz val="9"/>
            <color indexed="81"/>
            <rFont val="Tahoma"/>
            <family val="2"/>
          </rPr>
          <t xml:space="preserve">
Payment of Governor's Administration Block electricity bill. Each month electricity bill is Ksh.350,000.00</t>
        </r>
      </text>
    </comment>
    <comment ref="F13" authorId="0" shapeId="0" xr:uid="{00000000-0006-0000-1400-000003000000}">
      <text>
        <r>
          <rPr>
            <b/>
            <sz val="9"/>
            <color indexed="81"/>
            <rFont val="Tahoma"/>
            <family val="2"/>
          </rPr>
          <t>Mardin it:</t>
        </r>
        <r>
          <rPr>
            <sz val="9"/>
            <color indexed="81"/>
            <rFont val="Tahoma"/>
            <family val="2"/>
          </rPr>
          <t xml:space="preserve">
Payment of water bill estimated at Ksh.79,165 each month
</t>
        </r>
      </text>
    </comment>
    <comment ref="L13" authorId="0" shapeId="0" xr:uid="{00000000-0006-0000-1400-000004000000}">
      <text>
        <r>
          <rPr>
            <b/>
            <sz val="9"/>
            <color indexed="81"/>
            <rFont val="Tahoma"/>
            <family val="2"/>
          </rPr>
          <t>Mardin it:</t>
        </r>
        <r>
          <rPr>
            <sz val="9"/>
            <color indexed="81"/>
            <rFont val="Tahoma"/>
            <family val="2"/>
          </rPr>
          <t xml:space="preserve">
Payment of water bill estimated at Ksh.79,165 each month
</t>
        </r>
      </text>
    </comment>
    <comment ref="F28" authorId="0" shapeId="0" xr:uid="{00000000-0006-0000-1400-000005000000}">
      <text>
        <r>
          <rPr>
            <b/>
            <sz val="9"/>
            <color indexed="81"/>
            <rFont val="Tahoma"/>
            <family val="2"/>
          </rPr>
          <t>Mardin it:</t>
        </r>
        <r>
          <rPr>
            <sz val="9"/>
            <color indexed="81"/>
            <rFont val="Tahoma"/>
            <family val="2"/>
          </rPr>
          <t xml:space="preserve">
Each month we spend Ksh.50,000 to purchase newspapers</t>
        </r>
      </text>
    </comment>
    <comment ref="L28" authorId="0" shapeId="0" xr:uid="{00000000-0006-0000-1400-000006000000}">
      <text>
        <r>
          <rPr>
            <b/>
            <sz val="9"/>
            <color indexed="81"/>
            <rFont val="Tahoma"/>
            <family val="2"/>
          </rPr>
          <t>Mardin it:</t>
        </r>
        <r>
          <rPr>
            <sz val="9"/>
            <color indexed="81"/>
            <rFont val="Tahoma"/>
            <family val="2"/>
          </rPr>
          <t xml:space="preserve">
Each month we spend Ksh.50,000 to purchase newspapers</t>
        </r>
      </text>
    </comment>
    <comment ref="F41" authorId="0" shapeId="0" xr:uid="{00000000-0006-0000-1400-000007000000}">
      <text>
        <r>
          <rPr>
            <b/>
            <sz val="9"/>
            <color indexed="81"/>
            <rFont val="Tahoma"/>
            <family val="2"/>
          </rPr>
          <t>Mardin it:</t>
        </r>
        <r>
          <rPr>
            <sz val="9"/>
            <color indexed="81"/>
            <rFont val="Tahoma"/>
            <family val="2"/>
          </rPr>
          <t xml:space="preserve">
Celebrate 2 National Holidays each estimated at Ksh. 6M</t>
        </r>
      </text>
    </comment>
    <comment ref="L41" authorId="0" shapeId="0" xr:uid="{00000000-0006-0000-1400-000008000000}">
      <text>
        <r>
          <rPr>
            <b/>
            <sz val="9"/>
            <color indexed="81"/>
            <rFont val="Tahoma"/>
            <family val="2"/>
          </rPr>
          <t>Mardin it:</t>
        </r>
        <r>
          <rPr>
            <sz val="9"/>
            <color indexed="81"/>
            <rFont val="Tahoma"/>
            <family val="2"/>
          </rPr>
          <t xml:space="preserve">
Celebrate 2 National Holidays each estimated at Ksh. 6M</t>
        </r>
      </text>
    </comment>
    <comment ref="F55" authorId="0" shapeId="0" xr:uid="{00000000-0006-0000-1400-000009000000}">
      <text>
        <r>
          <rPr>
            <b/>
            <sz val="9"/>
            <color indexed="81"/>
            <rFont val="Tahoma"/>
            <family val="2"/>
          </rPr>
          <t>Mardin it:</t>
        </r>
        <r>
          <rPr>
            <sz val="9"/>
            <color indexed="81"/>
            <rFont val="Tahoma"/>
            <family val="2"/>
          </rPr>
          <t xml:space="preserve">
Each month contracted guards are paid Ksh.120,000</t>
        </r>
      </text>
    </comment>
    <comment ref="L55" authorId="0" shapeId="0" xr:uid="{00000000-0006-0000-1400-00000A000000}">
      <text>
        <r>
          <rPr>
            <b/>
            <sz val="9"/>
            <color indexed="81"/>
            <rFont val="Tahoma"/>
            <family val="2"/>
          </rPr>
          <t>Mardin it:</t>
        </r>
        <r>
          <rPr>
            <sz val="9"/>
            <color indexed="81"/>
            <rFont val="Tahoma"/>
            <family val="2"/>
          </rPr>
          <t xml:space="preserve">
Each month contracted guards are paid Ksh.120,000</t>
        </r>
      </text>
    </comment>
    <comment ref="F64" authorId="0" shapeId="0" xr:uid="{00000000-0006-0000-1400-00000B000000}">
      <text>
        <r>
          <rPr>
            <b/>
            <sz val="9"/>
            <color indexed="81"/>
            <rFont val="Tahoma"/>
            <family val="2"/>
          </rPr>
          <t>Mardin it:</t>
        </r>
        <r>
          <rPr>
            <sz val="9"/>
            <color indexed="81"/>
            <rFont val="Tahoma"/>
            <family val="2"/>
          </rPr>
          <t xml:space="preserve">
The Governor's boardroom will be fitted with air conditioners</t>
        </r>
      </text>
    </comment>
    <comment ref="L64" authorId="0" shapeId="0" xr:uid="{00000000-0006-0000-1400-00000C000000}">
      <text>
        <r>
          <rPr>
            <b/>
            <sz val="9"/>
            <color indexed="81"/>
            <rFont val="Tahoma"/>
            <family val="2"/>
          </rPr>
          <t>Mardin it:</t>
        </r>
        <r>
          <rPr>
            <sz val="9"/>
            <color indexed="81"/>
            <rFont val="Tahoma"/>
            <family val="2"/>
          </rPr>
          <t xml:space="preserve">
The Governor's boardroom will be fitted with air conditioners</t>
        </r>
      </text>
    </comment>
    <comment ref="F71" authorId="0" shapeId="0" xr:uid="{00000000-0006-0000-1400-00000D000000}">
      <text>
        <r>
          <rPr>
            <b/>
            <sz val="9"/>
            <color indexed="81"/>
            <rFont val="Tahoma"/>
            <family val="2"/>
          </rPr>
          <t>Mardin it:</t>
        </r>
        <r>
          <rPr>
            <sz val="9"/>
            <color indexed="81"/>
            <rFont val="Tahoma"/>
            <family val="2"/>
          </rPr>
          <t xml:space="preserve">
Each month documentation of cabinet papers and reports require a budget of Ksh.100,000</t>
        </r>
      </text>
    </comment>
    <comment ref="L71" authorId="0" shapeId="0" xr:uid="{00000000-0006-0000-1400-00000E000000}">
      <text>
        <r>
          <rPr>
            <b/>
            <sz val="9"/>
            <color indexed="81"/>
            <rFont val="Tahoma"/>
            <family val="2"/>
          </rPr>
          <t>Mardin it:</t>
        </r>
        <r>
          <rPr>
            <sz val="9"/>
            <color indexed="81"/>
            <rFont val="Tahoma"/>
            <family val="2"/>
          </rPr>
          <t xml:space="preserve">
Each month documentation of cabinet papers and reports require a budget of Ksh.100,000</t>
        </r>
      </text>
    </comment>
  </commentList>
</comments>
</file>

<file path=xl/sharedStrings.xml><?xml version="1.0" encoding="utf-8"?>
<sst xmlns="http://schemas.openxmlformats.org/spreadsheetml/2006/main" count="26944" uniqueCount="2610">
  <si>
    <t>County Ministry</t>
  </si>
  <si>
    <t>Recurrent Estimates</t>
  </si>
  <si>
    <t>Total Recurrent Estimates</t>
  </si>
  <si>
    <t>Head</t>
  </si>
  <si>
    <t>Sub-Head</t>
  </si>
  <si>
    <t>Item Code</t>
  </si>
  <si>
    <t>Item Description</t>
  </si>
  <si>
    <t>Projected Estimates 2025/26</t>
  </si>
  <si>
    <t>VOTE 3711: OFFICE OF THE GOVERNOR</t>
  </si>
  <si>
    <t>#1</t>
  </si>
  <si>
    <t>Public Service Management &amp; General Administration</t>
  </si>
  <si>
    <t>0701003710 P1 General Administration, Planning, Support Services</t>
  </si>
  <si>
    <t xml:space="preserve">0701013710 SP 1.1 General Administration, Human Resources, Protocol,  Monitoring and Research and Support Services </t>
  </si>
  <si>
    <t>Basic Salaries - Permanent Employees</t>
  </si>
  <si>
    <t>Basic Salaries - Civil Service</t>
  </si>
  <si>
    <t>Basic Wages- Temporary Employees</t>
  </si>
  <si>
    <t>Utilities Supplies and Services</t>
  </si>
  <si>
    <t>Electricity</t>
  </si>
  <si>
    <t>Water and sewerage charges</t>
  </si>
  <si>
    <t>2210200</t>
  </si>
  <si>
    <t>Communication, Supplies and Services</t>
  </si>
  <si>
    <t>Telephone, Telex, Facsmile and Mobile Phone Services</t>
  </si>
  <si>
    <t>Internet Connections</t>
  </si>
  <si>
    <t>Courier and Postal Services</t>
  </si>
  <si>
    <t>Domestic Travel and Subsistence, and Other Transportation Costs</t>
  </si>
  <si>
    <t>Travel Costs (airlines, bus, railway, mileage allowances, etc.)</t>
  </si>
  <si>
    <t>Accommodation - Domestic Travel</t>
  </si>
  <si>
    <t>Daily Subsistence Allowance</t>
  </si>
  <si>
    <t>Sundry Items (e.g. airport tax, taxis, etc…)</t>
  </si>
  <si>
    <t>Foreign Travel and Subsistence Allowance</t>
  </si>
  <si>
    <t>Accommodation - Foreign Travel</t>
  </si>
  <si>
    <t>Printing , Advertising and Information Supplies and Services</t>
  </si>
  <si>
    <t>Subscriptions to Newspapers, Magazines and Periodicals</t>
  </si>
  <si>
    <t>Advertising, Awareness and Publicity Campaigns</t>
  </si>
  <si>
    <t>Printing, advertising-other (adverts,reports)</t>
  </si>
  <si>
    <t>Training Expense (including capacity building)</t>
  </si>
  <si>
    <t>Travel Allowance</t>
  </si>
  <si>
    <t>Remuneration of Instructors and Contract Based Training Services</t>
  </si>
  <si>
    <t>Hire of Training Facilities and Equipment</t>
  </si>
  <si>
    <t>Accommodation Allowance</t>
  </si>
  <si>
    <t>Kenya School of Government</t>
  </si>
  <si>
    <t>Training Expenses - Other (Bud</t>
  </si>
  <si>
    <t>Hospitality Supplies and Services</t>
  </si>
  <si>
    <t>Catering Services (receptions), Accommodation, Gifts, Food and Drinks</t>
  </si>
  <si>
    <t>Purchase of Coffins</t>
  </si>
  <si>
    <t xml:space="preserve">Boards, Committees, Conferences and Seminars </t>
  </si>
  <si>
    <t>Insurance Costs</t>
  </si>
  <si>
    <t>Building Insurance</t>
  </si>
  <si>
    <t>Motor Vehicle insurance</t>
  </si>
  <si>
    <t xml:space="preserve"> Specialised Materials and Supplies</t>
  </si>
  <si>
    <t>Purchase of Uniforms and Clothing</t>
  </si>
  <si>
    <t>Office and General Supplies and Services</t>
  </si>
  <si>
    <t>General Office Supplies (papers, pencils, forms, small office equipment etc)</t>
  </si>
  <si>
    <t>Supplies and Accessories for Computers and Printers</t>
  </si>
  <si>
    <t>Sanitary and Cleaning Materials, Supplies and Services</t>
  </si>
  <si>
    <t>Fuel Oil and Lubricants</t>
  </si>
  <si>
    <t>Refined Fuels and Lubricants for Transport</t>
  </si>
  <si>
    <t>Other Operating Expenses</t>
  </si>
  <si>
    <t>Membership Fees, Dues and Subscriptions to Professional and Trade Bodies</t>
  </si>
  <si>
    <t>Contracted Professional  Services</t>
  </si>
  <si>
    <t>Contracted professional services</t>
  </si>
  <si>
    <t>Other Operating Expenses-Other (Facilitation for Governor's movements)</t>
  </si>
  <si>
    <t>Routine Maintenance - Vehicles and Other Transport Equipment</t>
  </si>
  <si>
    <t>Maintenance Expenses - Motor Vehicles</t>
  </si>
  <si>
    <t>Routine Maintenance - Vehicles</t>
  </si>
  <si>
    <t>Purchase of Vehicles and Other Transport Equipment</t>
  </si>
  <si>
    <t xml:space="preserve">3110900 </t>
  </si>
  <si>
    <t>Purchase of Household Furniture and Institutional Equipment</t>
  </si>
  <si>
    <t>Purchase of Photocopiers</t>
  </si>
  <si>
    <t>Purchase of Office Furniture and General Equipment</t>
  </si>
  <si>
    <t>Purchase of Office Furniture and Fittings</t>
  </si>
  <si>
    <t>Purchase of Computers, Printers and other IT Equipment</t>
  </si>
  <si>
    <t>3111100</t>
  </si>
  <si>
    <t>Purchase of Specialised Plant, Equipment and Machinery</t>
  </si>
  <si>
    <t xml:space="preserve">3111111 </t>
  </si>
  <si>
    <t xml:space="preserve"> Research, Feasibility Studies, Project Preparation and Design, Project S</t>
  </si>
  <si>
    <t xml:space="preserve"> Pre-feasibility, Feasibility and Appraisal Studies (CLIDP Administrative budget)</t>
  </si>
  <si>
    <t>Sub-Total</t>
  </si>
  <si>
    <t>DEVELOPMENT</t>
  </si>
  <si>
    <t>Construction of Buildings</t>
  </si>
  <si>
    <t>Construction and Civil works</t>
  </si>
  <si>
    <t>Other Infrastructure and Civil Works-CLIDP (72% Infrastructure)</t>
  </si>
  <si>
    <t>Other Infrastructure and Civil Works-CLIDP (25% Infrastructure)</t>
  </si>
  <si>
    <t>Sub-Total Development</t>
  </si>
  <si>
    <t>Total SP</t>
  </si>
  <si>
    <t>Maintenance expenses -Motor vehicle and cycles</t>
  </si>
  <si>
    <t>Routine maintenance- Other Assets</t>
  </si>
  <si>
    <t>Maintenance of Office Furniture and Equipment</t>
  </si>
  <si>
    <t>2640100</t>
  </si>
  <si>
    <t>Scholarships and other Educational Benefits</t>
  </si>
  <si>
    <t>Research, Feasibility Studies, Project Preparation and Design, Projects</t>
  </si>
  <si>
    <t>Sub-Total Recurrent</t>
  </si>
  <si>
    <t>Development</t>
  </si>
  <si>
    <t>0703003710 P3: Enforcement Unit</t>
  </si>
  <si>
    <t>0703023710 SP 3.2 General Admininistration - Enforcement Unit</t>
  </si>
  <si>
    <t>Remuneration of Instructors and Contract based Training Services</t>
  </si>
  <si>
    <t>Training Expenses-Other (Enforcement Unit)</t>
  </si>
  <si>
    <t>Boards, Committees, Conferences and Seminars</t>
  </si>
  <si>
    <t>3111001</t>
  </si>
  <si>
    <t>Total Recurrent</t>
  </si>
  <si>
    <t>#2</t>
  </si>
  <si>
    <t>Governor's Service Unit and Public Communication</t>
  </si>
  <si>
    <t>2210300</t>
  </si>
  <si>
    <t>Staff Expenses other</t>
  </si>
  <si>
    <t>Staff Uniforms and promotional materials</t>
  </si>
  <si>
    <t>Publishing and Printing Services</t>
  </si>
  <si>
    <t xml:space="preserve">Advertising, Awareness and Publicity Campaigns </t>
  </si>
  <si>
    <t>Production and Printing of Training Materials</t>
  </si>
  <si>
    <t>Supplies and Accessories for Computers and Printers(for zoom camera lenses, batteries, power back ups, expansion external hard drivers, drone camera)</t>
  </si>
  <si>
    <t>Public Relations and Customer Care</t>
  </si>
  <si>
    <t>Advertising, Awareness and Publicity Campaigns (public feedback and inputs)</t>
  </si>
  <si>
    <t xml:space="preserve">0707003710 P4: Monitoring and Evaluation </t>
  </si>
  <si>
    <t xml:space="preserve">0707013710 SP: 4.1: County Integrated Monitoring and Evaluation (Tracking of county programmes) </t>
  </si>
  <si>
    <t>Telephone, Telex, Facsimile and Mobile Phone Services</t>
  </si>
  <si>
    <t>Training Expenses</t>
  </si>
  <si>
    <t>Trainer Allowance</t>
  </si>
  <si>
    <t>National Celebrations</t>
  </si>
  <si>
    <t>Medals, Awards and Honors</t>
  </si>
  <si>
    <t>Specialised Materials and Supplies</t>
  </si>
  <si>
    <t>Purchase/Production of Photographic and Audio-Visual Materials</t>
  </si>
  <si>
    <t>General Office Supplies (papers, pencils, forms, small office equipment</t>
  </si>
  <si>
    <t>2211399</t>
  </si>
  <si>
    <t>Other Operating Expenses (Enhanced Budget for Governor's Communications Activities: Engage external media, newspaper supplements, outside broadcasts, livestreams)</t>
  </si>
  <si>
    <t>County Documentaries, magazines and newsletters and counnty publicity</t>
  </si>
  <si>
    <t>Routine Maintenance - Other Assets</t>
  </si>
  <si>
    <t>Maintenance of Buildings and Stations -- Non-Residential</t>
  </si>
  <si>
    <t xml:space="preserve">Research, Feasibility Studies, Project Preparation &amp; Design, Project S </t>
  </si>
  <si>
    <t>Pre-Feasibility, Feasibility and Appraisal Studies (M&amp;E of County Projects and programmes)</t>
  </si>
  <si>
    <t>Sub Total Recurrent</t>
  </si>
  <si>
    <t>Training Expenses-Other</t>
  </si>
  <si>
    <t>Maintenance of Office Furniture and Equipment; carpet cleaning</t>
  </si>
  <si>
    <t xml:space="preserve">Pre-feasibility, Feasibility and Appraisal Studies </t>
  </si>
  <si>
    <t xml:space="preserve"> County Attorney</t>
  </si>
  <si>
    <t>Training Expenses-Other (P.C, CPD)</t>
  </si>
  <si>
    <t>2210801</t>
  </si>
  <si>
    <t>2211310</t>
  </si>
  <si>
    <t xml:space="preserve">Research, Feasibility Studies, Project Preparation and Design, Projects </t>
  </si>
  <si>
    <t>Pre-feasibility, Feasibility and Appraisal Studies (GBV victims &amp; HIV Aids Victims Program)</t>
  </si>
  <si>
    <t>Office of the Chief of Staff</t>
  </si>
  <si>
    <t>Temporary Committee Expenses - (Liaison meetings between County Executive and County Assembly</t>
  </si>
  <si>
    <t>Purchase of Motor Vehicles</t>
  </si>
  <si>
    <t>Total Governor's Service Unit and Public Communication</t>
  </si>
  <si>
    <t>#3</t>
  </si>
  <si>
    <t>Decentralized Units Service Delivery Cordination</t>
  </si>
  <si>
    <t>0002</t>
  </si>
  <si>
    <t>0705003710 P2:  County Government Administration and Field Services</t>
  </si>
  <si>
    <t>01</t>
  </si>
  <si>
    <t xml:space="preserve"> 0705013710 SP2.1 Planning and Field administration services</t>
  </si>
  <si>
    <t>Basic Wages - Temporary Employees</t>
  </si>
  <si>
    <t>2110202</t>
  </si>
  <si>
    <t xml:space="preserve">Casual Labour </t>
  </si>
  <si>
    <t>Domestic Travel and Subsistence, and Other Transportation Costs (Decentralized units)</t>
  </si>
  <si>
    <t>Accommodation - Domestic Travel ( To cater for Facilitation of Vas, Sub County Admns, DSCA, Ward Admns During Meetings )</t>
  </si>
  <si>
    <t>Daily Subsistence Allowance( VAs paid 5,000 each(247), Ward Admns 7,000 Each (40), DSCA 8,000(8), Sub-C.Admins 10,000(8) )</t>
  </si>
  <si>
    <t>Rentals of Produced Assets</t>
  </si>
  <si>
    <t>Rents and Rates - Non-Residential (To cater for VAs and Ward Admns offices rent)</t>
  </si>
  <si>
    <t>Tuition Fees Allowance</t>
  </si>
  <si>
    <t>Insurance for Plant and Machinery</t>
  </si>
  <si>
    <t>Motor Vehicle Insurance</t>
  </si>
  <si>
    <t>Purchase of Uniforms and Clothing - ( For all Vas, Was, DSCAs, SCAs, Directors and other DUSIR Staff )</t>
  </si>
  <si>
    <t>Specialised Materials - Other</t>
  </si>
  <si>
    <t>Refined Fuels and Lubricants for Transport( To cater for 40 Motorbikes for Ward Admns offices and 10 motor vehicles(HQ and Sub-county))</t>
  </si>
  <si>
    <t>2211300</t>
  </si>
  <si>
    <t>Maintenance of Computers, Software, and Networks</t>
  </si>
  <si>
    <t xml:space="preserve"> Construction of Building</t>
  </si>
  <si>
    <t>3110299</t>
  </si>
  <si>
    <t>Acquisition of Land</t>
  </si>
  <si>
    <t xml:space="preserve">Sub Total Developemt </t>
  </si>
  <si>
    <t>0003</t>
  </si>
  <si>
    <t>0706003710 P3: Devolution Services</t>
  </si>
  <si>
    <t>0706013710 SP 3.1:  Management of Devolution Affairs</t>
  </si>
  <si>
    <t>Advertising, Awareness and Publicity Campaigns (Civic Education)</t>
  </si>
  <si>
    <t xml:space="preserve"> Purchase of Vehicles and Other Transport Equipment</t>
  </si>
  <si>
    <t xml:space="preserve">Research, Feasibility Studies, Project Preparation and Design, Project </t>
  </si>
  <si>
    <t>Operationalization of Kitui County Alcoholic Drinks Control Act 2014 (to cater for Liquor licencing board and sub-county commitees)</t>
  </si>
  <si>
    <t>Total Development</t>
  </si>
  <si>
    <t>Total Vote 3711</t>
  </si>
  <si>
    <t xml:space="preserve">VOTE 3728: OFFICE OF THE DEPUTY GOVERNOR </t>
  </si>
  <si>
    <t>0001</t>
  </si>
  <si>
    <t>100100 P1 General Administration, Planning and Support Services</t>
  </si>
  <si>
    <t>100101 SP. 1.1 General Administration, Planning and Support Services</t>
  </si>
  <si>
    <t xml:space="preserve"> Personal Allowance - Paid as Part of Salary</t>
  </si>
  <si>
    <t>House Allowance</t>
  </si>
  <si>
    <t>Transport Allowance</t>
  </si>
  <si>
    <t>Employer Contributions to Compulsory National Social Security Schemes</t>
  </si>
  <si>
    <t>Employer Contributions to National Social Security Fund</t>
  </si>
  <si>
    <t>Employer Contribution to Staff Pensions Scheme</t>
  </si>
  <si>
    <t xml:space="preserve">Telephone, Telex, Facsmile and Mobile Phone Services </t>
  </si>
  <si>
    <t xml:space="preserve">Travel Costs (airlines, bus, railway, mileage allowances, etc.) </t>
  </si>
  <si>
    <t>Foreign Travel and Subsistence, and other transportation costs</t>
  </si>
  <si>
    <t>Travel Costs (airlines, bus, railway, etc.)</t>
  </si>
  <si>
    <t xml:space="preserve">Accommodation </t>
  </si>
  <si>
    <t>Trade Shows and Exhibitions</t>
  </si>
  <si>
    <t>Hire of Transport</t>
  </si>
  <si>
    <t>Training Expense (including capacity building) Locally</t>
  </si>
  <si>
    <t xml:space="preserve">Catering Services (receptions), Accommodation, Gifts, Food and Drinks </t>
  </si>
  <si>
    <t>Purchase of Uniforms and Clothing - Staff</t>
  </si>
  <si>
    <t xml:space="preserve">General Office Supplies (papers, pencils, forms, small office equipment, computers and accessories) </t>
  </si>
  <si>
    <t>Bank Service Commission and Charges</t>
  </si>
  <si>
    <t>Routine Maintenance,  Vehicles and Other Transport Equipment, garbage handling machinery</t>
  </si>
  <si>
    <t>Maintenance Expenses - Motor Vehicles and cycles</t>
  </si>
  <si>
    <t>Recurrent</t>
  </si>
  <si>
    <t>Total P1 General Administration, Planning and Support Services</t>
  </si>
  <si>
    <t>1003023710 P. 2 Wildlife Conservation and Security</t>
  </si>
  <si>
    <t>1003023710 SP. 2.1 Wildlife Conservation and Security</t>
  </si>
  <si>
    <t>Basic Salaries -Permanent Employees</t>
  </si>
  <si>
    <t>Basic Salaries- Civil Service</t>
  </si>
  <si>
    <t>Utilities Suppliers and Services</t>
  </si>
  <si>
    <t>Field Operational Allowance</t>
  </si>
  <si>
    <t xml:space="preserve">Training Expenses </t>
  </si>
  <si>
    <t>Training Expenses - Other (Training of Rangers and Game Scouts)</t>
  </si>
  <si>
    <t>National Celebrations (World Wildlife Day)</t>
  </si>
  <si>
    <t xml:space="preserve"> Specialised Materials - Rangers Uniform, Surveilance Drones, and other Specialized supplies</t>
  </si>
  <si>
    <t>Supplies and Accessories for computers and printers</t>
  </si>
  <si>
    <t>Security Operations</t>
  </si>
  <si>
    <t>Other Operating Expenses -(Provision of Rations for Rangers)</t>
  </si>
  <si>
    <t>Purchase of office furniture and general equipment</t>
  </si>
  <si>
    <t>Development vote</t>
  </si>
  <si>
    <t>Total for SP. 2.1 Wildlife Conservation and Security</t>
  </si>
  <si>
    <t>0305003710 P 3: Tourism Development and Promotion</t>
  </si>
  <si>
    <t>0305013710 SP3.1 Tourism promotion and Marketing</t>
  </si>
  <si>
    <t>Basic Salaries Permanent Employee</t>
  </si>
  <si>
    <t>Basic Salary-Civil Service</t>
  </si>
  <si>
    <t xml:space="preserve">Daily Subsistence Allowance </t>
  </si>
  <si>
    <t>Advertising, Awareness and Publicity Campaigns (Tourism Promotion and Marketing events of familiarization trips, camping expeditions and end year tourism expos)</t>
  </si>
  <si>
    <t>Trade Shows and Exhibitions (Tourism investment and hospitality workshops)</t>
  </si>
  <si>
    <t>Printing, Advertising - Other</t>
  </si>
  <si>
    <t xml:space="preserve"> Hospitality Supplies and Services</t>
  </si>
  <si>
    <t xml:space="preserve"> Catering Services (receptions), Accommodation, Gifts, Food and Drinks</t>
  </si>
  <si>
    <t>National Celebrations (World Tourism Day)</t>
  </si>
  <si>
    <t xml:space="preserve">Hospitality Supplies - other </t>
  </si>
  <si>
    <t>Total SP 3.1 Tourism Promotion and Marketing</t>
  </si>
  <si>
    <t>SP 3.2 0305033710 Tourism Infrastructure Development</t>
  </si>
  <si>
    <t>Basic Salaries permanent staff</t>
  </si>
  <si>
    <t>Purchase of Office furniture and fittings</t>
  </si>
  <si>
    <t xml:space="preserve">Other Infrastructure and Civil Works (Development phase 2 of Kalundu Eco-park (Swimming pool, Orphanage, Zipline, Quick  Shops, Benches, Nature trails, Landscaping) </t>
  </si>
  <si>
    <t xml:space="preserve">Other Infrastructure and Civil Works- (Development of Ikoo Valley (Bazaar 
View Point) and Development of Yanzuu Rock Retreat centre) </t>
  </si>
  <si>
    <t>Total for Tourism infrastructure</t>
  </si>
  <si>
    <t>Total Recurrent Tourism and Administration Departments</t>
  </si>
  <si>
    <t>Total Development Tourism and AdministrationDepartments</t>
  </si>
  <si>
    <t>Total Tourism and Administration Departments</t>
  </si>
  <si>
    <t>0717003710 Performance Contracting, Disaster and Emergency Services</t>
  </si>
  <si>
    <t>SP1. 0717013710Performance Contracting.</t>
  </si>
  <si>
    <t>Basic Salaries - Civil Service (Rewards for best performing Ministries)</t>
  </si>
  <si>
    <t>2210100</t>
  </si>
  <si>
    <t>Publishing &amp; Printing Services</t>
  </si>
  <si>
    <t xml:space="preserve">Boards, Committees, Conferences and Seminars (Inter-Ministerial Committee plus secretariat (Committee allowances and catering services)
</t>
  </si>
  <si>
    <t>2211203</t>
  </si>
  <si>
    <t>Refined Fuels and Lubricants---Other</t>
  </si>
  <si>
    <t>2220100</t>
  </si>
  <si>
    <t>Maintenance expenses -Motor vehicle</t>
  </si>
  <si>
    <t>Refurbishment of Buildings</t>
  </si>
  <si>
    <t>Refurbishment of Non-Residential Buildings</t>
  </si>
  <si>
    <t>Purchase of other Office Equipment</t>
  </si>
  <si>
    <t xml:space="preserve">Research and Prefeasibility studies </t>
  </si>
  <si>
    <t>Prefeasibility, feasibility and Appraisal studies</t>
  </si>
  <si>
    <t>SP2. 0717013710. Disaster and Emergency Services</t>
  </si>
  <si>
    <t>Boards, Committees, Conferences and Seminars (Finalization of policy document (Disaster Risk Management and Emergency Services Policy)</t>
  </si>
  <si>
    <t>Contracted Professional Services (For consultation on policy fomulation)</t>
  </si>
  <si>
    <t>Maintenance of Plant, Machinery and Equipment (including lifts)</t>
  </si>
  <si>
    <t>Construction and Civil Works</t>
  </si>
  <si>
    <t>Sub Total Development</t>
  </si>
  <si>
    <t>Total Performance Contracting and Disaster Management</t>
  </si>
  <si>
    <t>Total Vote 3728</t>
  </si>
  <si>
    <t xml:space="preserve"> 0101003710 P1: General Administration Planning and Support Services</t>
  </si>
  <si>
    <t>0101013710 SP 1.1 Administration Services</t>
  </si>
  <si>
    <t xml:space="preserve">Civil Service </t>
  </si>
  <si>
    <t>Domestic Travel and Subsistence, and Other Transportation</t>
  </si>
  <si>
    <t>Travel Costs (bus, railway, mileage allowances, etc.)</t>
  </si>
  <si>
    <t>Accommodation-Domestic travel</t>
  </si>
  <si>
    <t>Accomodation</t>
  </si>
  <si>
    <t xml:space="preserve"> Training Expenses</t>
  </si>
  <si>
    <t xml:space="preserve"> Travel Allowance</t>
  </si>
  <si>
    <t xml:space="preserve"> Production and Printing of Training Materials</t>
  </si>
  <si>
    <t xml:space="preserve"> Hire of Training Facilities and Equipment</t>
  </si>
  <si>
    <t>Catering Services(receptions), accomodation, Gifts, Food and Drinks</t>
  </si>
  <si>
    <t xml:space="preserve"> Office and General Supplies and Services</t>
  </si>
  <si>
    <t>General Office Supplies (papers, pencils forms, small office equipment,etc.)</t>
  </si>
  <si>
    <t>Total SP Administration Services</t>
  </si>
  <si>
    <t>WATER</t>
  </si>
  <si>
    <t>0101013710 SP 1.1 Administration Services (Water Department)</t>
  </si>
  <si>
    <t>Tuition Fees</t>
  </si>
  <si>
    <t>Construction of Building</t>
  </si>
  <si>
    <t>0111003710 P.4 Water Resources Management</t>
  </si>
  <si>
    <t>0111013710 SP. 4.1 Water Storage and Flood Control</t>
  </si>
  <si>
    <t xml:space="preserve"> Utilities Supplies and Services</t>
  </si>
  <si>
    <t xml:space="preserve"> Communication, Supplies and Services</t>
  </si>
  <si>
    <t>Travel allowance</t>
  </si>
  <si>
    <t>Accommodation allowance</t>
  </si>
  <si>
    <t xml:space="preserve">General Office Supplies (papers, pencils, forms, small office equipment etc) </t>
  </si>
  <si>
    <t xml:space="preserve">Maintenance Expenses - Motor Vehicles and cycles </t>
  </si>
  <si>
    <t xml:space="preserve"> Routine Maintenance - Other Assets</t>
  </si>
  <si>
    <t>Maintenanance of Plant machinery &amp; Equipment</t>
  </si>
  <si>
    <t xml:space="preserve"> Refurbishment of Buildings</t>
  </si>
  <si>
    <t>Research,Feasibility Studies, Project Preparation and Design, Project Supervision</t>
  </si>
  <si>
    <t>Recurrent Sub Total</t>
  </si>
  <si>
    <t>Construction and Civil Works (Construction of water structures)</t>
  </si>
  <si>
    <t xml:space="preserve">Other Infrastructure and Civil Works (Construction of Water Structures) </t>
  </si>
  <si>
    <t>0111023710 SP. 4.2  Water Supply Infrastructure</t>
  </si>
  <si>
    <t xml:space="preserve"> 305 Recurrent Department of Water</t>
  </si>
  <si>
    <t>Research, Feasibility Studies, Project Preparation and Design, Project Supervision</t>
  </si>
  <si>
    <t>Subsidies to Non- Financial Public Enterprises</t>
  </si>
  <si>
    <t>Construction and Civil Works (Repairs and Rehabilitations)</t>
  </si>
  <si>
    <t>Other Infrastructure and Civil Works (Repairs &amp; Rehabilitations)</t>
  </si>
  <si>
    <t>Total on WATER</t>
  </si>
  <si>
    <t>IRRIGATION</t>
  </si>
  <si>
    <t>0104003710 P4: Irrigation and drainage infrastructure (Farm water resource development and irrigation)</t>
  </si>
  <si>
    <t>0104013710 SP 4.1 Small scale cluster irrigation development</t>
  </si>
  <si>
    <t>Training allowance</t>
  </si>
  <si>
    <t>Agricultural Materials, Supplies and Small Equipment</t>
  </si>
  <si>
    <t>Sub Total</t>
  </si>
  <si>
    <t>Water harvesting for smallscale irrigation project</t>
  </si>
  <si>
    <t>Other Infrastructure and Civil Works (Solar powered irrigation)</t>
  </si>
  <si>
    <t xml:space="preserve">Total Recurrent </t>
  </si>
  <si>
    <t>0501013710 SP 1.1: General Administration and Planning</t>
  </si>
  <si>
    <t>Leave Allowances</t>
  </si>
  <si>
    <t>ECDE Co-Curricular activities</t>
  </si>
  <si>
    <t>Foreign travel and subsistence and other transportation cost</t>
  </si>
  <si>
    <t>Staff Uniforms</t>
  </si>
  <si>
    <t>Purchase of Office Furniture and fittings</t>
  </si>
  <si>
    <t>Total of 0001-01 General Administration and Planning</t>
  </si>
  <si>
    <t>Basic Education Department</t>
  </si>
  <si>
    <t>Basic Education, ECDE &amp; Childcare Facilities</t>
  </si>
  <si>
    <t>0502003710 P.2: Primary Education</t>
  </si>
  <si>
    <t>0502013710 SP 2.1: Early Child Development</t>
  </si>
  <si>
    <t>Training Expenses-Training of ECDE  teachers on CBC curriculum</t>
  </si>
  <si>
    <t>Purchase of specialised plant equipment and machinery</t>
  </si>
  <si>
    <t>Purchase of Furniture and fittings ECDE</t>
  </si>
  <si>
    <t>Purchase of educational aids and related equipment (ECDE CBC Curriculum Teaching and learning materials)</t>
  </si>
  <si>
    <t>Development sub total</t>
  </si>
  <si>
    <t>Total SP Early Child Development</t>
  </si>
  <si>
    <t>Polytechnics, Vocational Centres and Homecraft Centres</t>
  </si>
  <si>
    <t>Department Training and Skills Development</t>
  </si>
  <si>
    <t>0503003710 P3:  Training and Development</t>
  </si>
  <si>
    <t>0503013710 SP 3.1: Revitalization of Youth Polytechnics</t>
  </si>
  <si>
    <t>Casual labour</t>
  </si>
  <si>
    <t>Casual Labour - 15 VTC Trainers</t>
  </si>
  <si>
    <t xml:space="preserve">Travel Allowance </t>
  </si>
  <si>
    <t>Grade Test  -VTC Examinations</t>
  </si>
  <si>
    <t>Trainee Allowance</t>
  </si>
  <si>
    <t>Training expenses (Capacity building of VTC instructors and Board of Governors)</t>
  </si>
  <si>
    <t>Purchase of Furniture and other Equipment</t>
  </si>
  <si>
    <t>Purchase of Computers,Printers &amp; IT equipment</t>
  </si>
  <si>
    <t>purchase of other Office equipment</t>
  </si>
  <si>
    <t>Pre-Feasibility, Feasibility and Appraisal Studies (Co-Curricular activities fo VTC centers)</t>
  </si>
  <si>
    <t>Construction of Buldings</t>
  </si>
  <si>
    <t>Other infrastructure and civil works- Face lifting of existing VTCs.</t>
  </si>
  <si>
    <t>Provision of Start- up tool kits to VTC graduates</t>
  </si>
  <si>
    <t>Supply of training tools and Equipment to VTCs</t>
  </si>
  <si>
    <t>0504013710 P5: Quality Assurance and Standards</t>
  </si>
  <si>
    <t>0503013710 SP 5.1: Examination and Certification</t>
  </si>
  <si>
    <t>Feasibility Studies - (Education Quality Standards  Improvement Programme: Improve the curriculum to include market demand courses)</t>
  </si>
  <si>
    <t>Total Develoment</t>
  </si>
  <si>
    <t>Total Polytechnics, Vocational Centres and Homecraft Centres</t>
  </si>
  <si>
    <t>010100 3710: General Administration and Planning</t>
  </si>
  <si>
    <t>0101013710: 1.1: Administration, Planning and support services</t>
  </si>
  <si>
    <t>Leave Allowance</t>
  </si>
  <si>
    <t>Temporary Employee</t>
  </si>
  <si>
    <t>Casuals Labour- Others</t>
  </si>
  <si>
    <t>Internet connection</t>
  </si>
  <si>
    <t>Sundry Items (Airpot tax, taxis etc)</t>
  </si>
  <si>
    <t>Accommodation  Allowance</t>
  </si>
  <si>
    <t>Kenya School of Governemnt</t>
  </si>
  <si>
    <t>Purchase of Workshop Tools, Spares and Small Equipment</t>
  </si>
  <si>
    <t>Education and Library Supplies</t>
  </si>
  <si>
    <t>Contracted Guards and Cleaning Services</t>
  </si>
  <si>
    <t>Purchase of Tyres and other equipments wearing parts</t>
  </si>
  <si>
    <t xml:space="preserve">Maintenance of Plant, Machinery and Equipment </t>
  </si>
  <si>
    <t>Purchase of office Furniture and Fittings</t>
  </si>
  <si>
    <t>Purchase of Computers,printers and other IT equipment</t>
  </si>
  <si>
    <t>Total for General Administration &amp; Planning</t>
  </si>
  <si>
    <t>Roads &amp; Public Works</t>
  </si>
  <si>
    <t>0109003710: Public Works</t>
  </si>
  <si>
    <t>0109013710: Stalled and New government Buildings</t>
  </si>
  <si>
    <t>Feasibility Study, Engineeering and Designs (to promote designs, strength of materials and software for production of quality structures )</t>
  </si>
  <si>
    <t>Construction of Building/ Construction of Offices &amp; Stores</t>
  </si>
  <si>
    <t xml:space="preserve">Total for Department of Public works </t>
  </si>
  <si>
    <t>0110013710: Construction of Roads and Bridges</t>
  </si>
  <si>
    <t xml:space="preserve">Feasibility study, Engineering and Designs </t>
  </si>
  <si>
    <t>Total for Dept.of Roads &amp; Allied Infra. and Transport &amp; Mechanical</t>
  </si>
  <si>
    <t>Rentals of Produced Assets - Construction and Civil Works</t>
  </si>
  <si>
    <t>Construction of Roads</t>
  </si>
  <si>
    <t>Purchase of Lab Equipment and tools</t>
  </si>
  <si>
    <t>Total Development for Department of Roads</t>
  </si>
  <si>
    <t>Transport and Boda Boda Sector</t>
  </si>
  <si>
    <t>Department of Transport and Boda Boda Sector</t>
  </si>
  <si>
    <t>02</t>
  </si>
  <si>
    <t>0203013710 Department of Transport and Mechanical Services</t>
  </si>
  <si>
    <t>Boda Boda Training including purchase of helmets, reflectors and issue of licenses</t>
  </si>
  <si>
    <t>Total for Dept.of Transport and Mechanical Services</t>
  </si>
  <si>
    <t>Department of Transport and Mechanical Services</t>
  </si>
  <si>
    <t xml:space="preserve">Purchase of Workshop Tools, Spares and Small Equipment </t>
  </si>
  <si>
    <t>VOTE 3716: MINISTRY OF HEALTH AND SANITATION</t>
  </si>
  <si>
    <t>MEDICAL SERVICES</t>
  </si>
  <si>
    <t>0401003710 P 1  GENERAL ADMINISTRATION, PLANNING &amp; SUPPORT SERVICES</t>
  </si>
  <si>
    <t>0401013710 SP 1.1 HUMAN RESOURCE MANAGEMENT {GENERAL ADMINISTRATION AND PUBLIC PARTICIPATION}</t>
  </si>
  <si>
    <t xml:space="preserve">Basic Salaries - Civil Service </t>
  </si>
  <si>
    <t xml:space="preserve">Publishing and Printing Services </t>
  </si>
  <si>
    <t xml:space="preserve">Advertising, Awareness and Publicity Campaigns(printing of assorted registers and reporting tools ) </t>
  </si>
  <si>
    <t>Training Fees</t>
  </si>
  <si>
    <t>Training Expenses - Other</t>
  </si>
  <si>
    <t>Boards and committees - Management Committees/ Facility Health Committtees</t>
  </si>
  <si>
    <t xml:space="preserve">Sanitary and Cleaning Materials, Supplies and Services </t>
  </si>
  <si>
    <t>Maintenance expenses- motor vehicle</t>
  </si>
  <si>
    <t>Routine maintenance- Tyres &amp; Tubes</t>
  </si>
  <si>
    <t>Routine Maintenance-Other Assets</t>
  </si>
  <si>
    <t>Total Recurent</t>
  </si>
  <si>
    <t>TOTAL- SP 1.1 (040404) HUMAN RESOURCE MANAGEMENT {GENERAL ADMINISTRATION AND PUBLIC PARTICIPATION}</t>
  </si>
  <si>
    <t>0401033710 SP. 1.3 HEALTH STANDARDS, QUALITY ASSURANCE &amp; STANDARDS (SUB-COUNTY SUPPORT SUB- PROGRAMME)</t>
  </si>
  <si>
    <t>TOTAL- SUB- PROGRAMME:  SP. 1.2 HEALTH STANDARDS, QUALITY ASSURANCE &amp; STANDARDS (SUB-COUNTY SUPPORT SUB- PROGRAMME)</t>
  </si>
  <si>
    <t xml:space="preserve"> 0401023710 SP. 1.2 HEALTH POLICY, PLANNING &amp; FINANCING</t>
  </si>
  <si>
    <t xml:space="preserve"> Accommodation - Domestic Travel</t>
  </si>
  <si>
    <t xml:space="preserve"> Development (040102)</t>
  </si>
  <si>
    <t>Non-Residential Buildings (offices, schools, hospitals, etc..)</t>
  </si>
  <si>
    <t>Other Infrastructure and Civil Works</t>
  </si>
  <si>
    <t>TOTAL- SP. 1.2 (040102) HEALTH POLICY, PLANNING &amp; FINANCING</t>
  </si>
  <si>
    <t>TOTAL-PROGRAMM:  P.1 GENERAL ADMINISTRATION, PLANNING &amp; SUPPORT SERVICES</t>
  </si>
  <si>
    <t>0402023710 SP 3.2  County Referral Services {Ambulance Referal Services Sub- Programme}</t>
  </si>
  <si>
    <t xml:space="preserve">Total   </t>
  </si>
  <si>
    <t>0402033710  Other Current Transfers</t>
  </si>
  <si>
    <t xml:space="preserve"> HOSPITAL FIF /COST SHARING REFunds FOR THE 14 COUNTY HOSPITALS </t>
  </si>
  <si>
    <t xml:space="preserve">2640400 </t>
  </si>
  <si>
    <t>Other Current Transfers, Grants and Subsidies</t>
  </si>
  <si>
    <t>2640499</t>
  </si>
  <si>
    <t xml:space="preserve">KITUI COUNTY REFERRAL </t>
  </si>
  <si>
    <t>KITUI COUNTY REFERRAL-AMENITY</t>
  </si>
  <si>
    <t>MWINGI SUB COUNTY HOSPITAL</t>
  </si>
  <si>
    <t>MIGWANI SUB COUNTY HOSPITAL</t>
  </si>
  <si>
    <t>KATULANI HOSPITAL</t>
  </si>
  <si>
    <t>MUTITU SUB COUNTY HOSPITAL</t>
  </si>
  <si>
    <t>IKANGA HOSPITAL</t>
  </si>
  <si>
    <t>NUU SUB COUNTY HOSPITAL</t>
  </si>
  <si>
    <t>KANYANGI SUB COUNTY HOSPITAL</t>
  </si>
  <si>
    <t>KYUSO SUB COUNTY HOSPITAL</t>
  </si>
  <si>
    <t>KAUWI SUB COUNTY HOSPITAL</t>
  </si>
  <si>
    <t>TSEIKURU SUB COUNTY HOSPITAL</t>
  </si>
  <si>
    <t>IKUTHA SUB COUNTY HOSPITAL</t>
  </si>
  <si>
    <t>MUTOMO HOSPITAL</t>
  </si>
  <si>
    <t>ZOMBE HOSPITAL</t>
  </si>
  <si>
    <t>TOTAL MEDICAL SERVICES</t>
  </si>
  <si>
    <t>PUBLIC HEALTH AND SANITATION</t>
  </si>
  <si>
    <t xml:space="preserve">0403003710 P2: PREVENTIVE &amp; PROMOTIVE HEALTH SERVICES </t>
  </si>
  <si>
    <t>0403023710</t>
  </si>
  <si>
    <t>Purchase of Bicycles and Motorcycles(5 sub-counties)</t>
  </si>
  <si>
    <t>3110302</t>
  </si>
  <si>
    <t>Total development</t>
  </si>
  <si>
    <t>0402013710 OTHER CAPITAL GRANTS AND TRANSFERS</t>
  </si>
  <si>
    <t>0004</t>
  </si>
  <si>
    <t xml:space="preserve"> Universal Healthcare in Devolved System Program from DANIDA - To support level 1 facilities</t>
  </si>
  <si>
    <t xml:space="preserve"> TOTAL CAPITAL GRANTS </t>
  </si>
  <si>
    <t>Primary Health Facility (Health Centres &amp; dispensaries) Support. To supplement Donor funding</t>
  </si>
  <si>
    <t>Primary Health Facility (Health Centres &amp; dispensaries) -County funding</t>
  </si>
  <si>
    <t xml:space="preserve">0404033710 SP. 2.2 IMMUNIZATION AND DISEASE SURVEILLANCE </t>
  </si>
  <si>
    <t>Casual Labour - Others (Stipents for Community Health Volunteers)(247 villages 10 CHvs per village*3000 monthly stipend for 12 months)</t>
  </si>
  <si>
    <t xml:space="preserve"> Domestic Travel and Subsistence, and Other Transportation Costs</t>
  </si>
  <si>
    <t>0005</t>
  </si>
  <si>
    <t>0403033710 SP 2.3 HEALTH PROMOTION SUB PROGRAMME(HIV/ AIDS &amp; TB SUB PROGRAMME)</t>
  </si>
  <si>
    <t xml:space="preserve">SUB PROGRAMME: 2.4 (040301) COMMUNICABLE DISEASE CONTROL {Public health Operations - Programme} </t>
  </si>
  <si>
    <t>SUB PROGRAMME: 2.5 (040302) NON-COMMUNICABLE DISEASE PREVENTION &amp; CONTROL {Nutrition sub programme}</t>
  </si>
  <si>
    <t>SUB-TOTAL</t>
  </si>
  <si>
    <t>SUB PROGRAMME: 2.6:(040401) HEALTH PROMOTION</t>
  </si>
  <si>
    <t>Advertising, Awareness and Publicity Campaigns (Radio Talkshows)</t>
  </si>
  <si>
    <t>TOTAL- HEALTH PROMOTION</t>
  </si>
  <si>
    <t>SP. 3.3 (040402) Specilalised Services { Mobile Health Clinic Services and rehabilitative services Sub- Programme}</t>
  </si>
  <si>
    <t>Total SP 3.3</t>
  </si>
  <si>
    <t>TOTAL PUBLIC HEALTH AND SANITATION</t>
  </si>
  <si>
    <t>DRUGS AND MEDICAL SUPPLIES MANAGEMENT</t>
  </si>
  <si>
    <t>0402003710 P.3 CURATIVE HEALTH SERVICES</t>
  </si>
  <si>
    <t>0006</t>
  </si>
  <si>
    <t>0402013710 SP. 3.1 FORENSIC AND DIAGNOSTICS {Health Products and Technologies)</t>
  </si>
  <si>
    <t xml:space="preserve"> Travel Costs (airlines, bus, railway, mileage allowances, etc.)</t>
  </si>
  <si>
    <t>Pharmaceutical Medical Items</t>
  </si>
  <si>
    <t>Dressings and Other Non-Pharmaceutical Medical Items</t>
  </si>
  <si>
    <t xml:space="preserve">2220203 </t>
  </si>
  <si>
    <t xml:space="preserve">Development </t>
  </si>
  <si>
    <t>Purchase of Medical and Dental Equipment</t>
  </si>
  <si>
    <t>TOTAL DRUGS AND MEDICAL SUPPLIES MANAGEMENT</t>
  </si>
  <si>
    <t>Total Vote 3716</t>
  </si>
  <si>
    <t>030101 P.1 General administration planning and support services</t>
  </si>
  <si>
    <t>Basic Salaries - Civil Service ( consolidated)</t>
  </si>
  <si>
    <t>Casual wages</t>
  </si>
  <si>
    <t>Electricity (various markets and existing plants)</t>
  </si>
  <si>
    <t>Gas expenses</t>
  </si>
  <si>
    <t>Passage and Transfer Expenses</t>
  </si>
  <si>
    <t>Foreign travel and Subsistence Allowance</t>
  </si>
  <si>
    <t>Accommodation</t>
  </si>
  <si>
    <t>Sundry Items (Airport tax, taxis etc)</t>
  </si>
  <si>
    <t xml:space="preserve">Publishing and printing services  </t>
  </si>
  <si>
    <t xml:space="preserve">Trade Shows and Exhibitions </t>
  </si>
  <si>
    <t>Rents and Rates - Non-Residential</t>
  </si>
  <si>
    <t>Tuition fees</t>
  </si>
  <si>
    <t>Plant, Equipment and Machinery Insurance</t>
  </si>
  <si>
    <t>Fuel, Oil and Lubricants</t>
  </si>
  <si>
    <t>Refined Fuels and Lubricants for Transport ( Office Operations)</t>
  </si>
  <si>
    <t xml:space="preserve"> Membership Fees, Dues &amp; Subscriptions to Professional &amp; Trade Bodies</t>
  </si>
  <si>
    <t>Maintenance of office equipments and repairs</t>
  </si>
  <si>
    <t>Trade, Industry, MSMEs, Innovations &amp; Cooperatives</t>
  </si>
  <si>
    <t xml:space="preserve">030300 P 2: TRADE DEVELOPMENT AND PROMOTION  </t>
  </si>
  <si>
    <t>030301 S.P 2.1:Domestic Trade Development</t>
  </si>
  <si>
    <t>Electricity (various markets)</t>
  </si>
  <si>
    <t>Water and sewerage charges (various markets and sub county offices)</t>
  </si>
  <si>
    <t xml:space="preserve">Conduct  and organize a trade fair </t>
  </si>
  <si>
    <t xml:space="preserve">Project Allowance:Capacity building on entrepreneurship and business skills to  entrepreneurs </t>
  </si>
  <si>
    <t xml:space="preserve"> Routine Maintenance</t>
  </si>
  <si>
    <t>Routine maintenance - Buildings</t>
  </si>
  <si>
    <t>Construction of buildings</t>
  </si>
  <si>
    <t>Construction and civil works</t>
  </si>
  <si>
    <t>Purchase of Workshop Tools, Spares and Small Equipment (Weight and Measures)</t>
  </si>
  <si>
    <t xml:space="preserve">Maintenance of civil works equipment </t>
  </si>
  <si>
    <t>verifying weighing scales and consumer protection</t>
  </si>
  <si>
    <t>Total</t>
  </si>
  <si>
    <t>Cooperatives and Citizen Group Economic Empowerment Initiatives</t>
  </si>
  <si>
    <t>030400 P.3: COOPERATIVE DEVELOPMENT AND MANAGEMENT</t>
  </si>
  <si>
    <t>030401 SP. 3.1 : GOVERNANCE AND ACCOUNTABILITY</t>
  </si>
  <si>
    <t>Board Allowance-Conduct Co-operative Audits</t>
  </si>
  <si>
    <t>Other operating expenses</t>
  </si>
  <si>
    <t>Management Fees- Supervision of Society Elections</t>
  </si>
  <si>
    <t>030403 SP. 3.2: MARKETING VALUE ADDITION AND RESEARCH (Marketing-Branding)</t>
  </si>
  <si>
    <t>Routine Maintenance - Vehicles and Other equipments</t>
  </si>
  <si>
    <t>Maintenance expenses -equipments</t>
  </si>
  <si>
    <t xml:space="preserve">Sub Total </t>
  </si>
  <si>
    <t>ENVIRONMENT, CLIMATE CHANGE &amp; FORESTRY DEPARTMENT</t>
  </si>
  <si>
    <t xml:space="preserve"> Internet Connections</t>
  </si>
  <si>
    <t>Hire of Equipment, Plant and Machinery</t>
  </si>
  <si>
    <t xml:space="preserve">Office and General Supplies </t>
  </si>
  <si>
    <t>Maintenance of Communications Equipment</t>
  </si>
  <si>
    <t>Total Recurrent Vote</t>
  </si>
  <si>
    <t xml:space="preserve">Basic Wages - Temporary Employees </t>
  </si>
  <si>
    <t>Casual Labour-Others</t>
  </si>
  <si>
    <t>100400 P1 Waste Management</t>
  </si>
  <si>
    <t>100401 SP. 1.1 Sustainable Waste Management</t>
  </si>
  <si>
    <t>Research, Feasibility Studies, Project Preparation and Design</t>
  </si>
  <si>
    <t>Climate Change Adaptation and Mitigation</t>
  </si>
  <si>
    <t>Climate change Adaptation and Mitigation</t>
  </si>
  <si>
    <t>Capital grants to government agencies and other levels of government</t>
  </si>
  <si>
    <t>Capital grants - (1.5% of the County Development budget  contribution towards operationalisation of county climate fund)</t>
  </si>
  <si>
    <t xml:space="preserve">100300 P1 Natural Resources Conservation and Management </t>
  </si>
  <si>
    <t>100301 SP. 1.1 Forest Conservation and Tree Growing</t>
  </si>
  <si>
    <t xml:space="preserve"> Fungicides, Insecticides and Sprays</t>
  </si>
  <si>
    <t>Purchase of Certified Seeds, Breeding Stock and Live Animals</t>
  </si>
  <si>
    <t>100200 P1 Environmental Management and Protection</t>
  </si>
  <si>
    <t>100201 SP. 1.1 Catchment Rehabilitation and Conservation</t>
  </si>
  <si>
    <t>ENERGY, MINERALS &amp; NATURAL RESOURCES DEPARTMENT</t>
  </si>
  <si>
    <t>100500 P1  Power Transmission &amp; Distribution</t>
  </si>
  <si>
    <t>100501 SP. 1.1 Rural Electrification Programme</t>
  </si>
  <si>
    <t>Other Infrastructure and Civil Works (Rural Electrification, Power Transmission and Distribution)</t>
  </si>
  <si>
    <t>100600  Alternative Energy Technologies</t>
  </si>
  <si>
    <t>100601 SP. 1.1 Alternative Energy Technologies</t>
  </si>
  <si>
    <t xml:space="preserve">3110500 </t>
  </si>
  <si>
    <t>Rehabilitation of Civil Works</t>
  </si>
  <si>
    <t>Mineral Resources Programme</t>
  </si>
  <si>
    <t>Sub programme: 100701 Community sensitization and awareness creation in minerals rich areas</t>
  </si>
  <si>
    <t>Sub programme: 100304 Training and Capacity building</t>
  </si>
  <si>
    <t>Sub programme: 100801 Minerals Resources Development</t>
  </si>
  <si>
    <t xml:space="preserve"> Hire of Equipment, Plant and Machinery</t>
  </si>
  <si>
    <t>0301003710 P 1: General Administration, Planning and Support Services</t>
  </si>
  <si>
    <t>0301013710 S.P 1.1: General administration planning and support services </t>
  </si>
  <si>
    <t>Courier and Postal Services,</t>
  </si>
  <si>
    <t>Daily Subsistence allowance</t>
  </si>
  <si>
    <t>Sundry Item (e.g. Airport tax, taxis )</t>
  </si>
  <si>
    <t xml:space="preserve"> Printing , Advertising and Information Supplies and Services</t>
  </si>
  <si>
    <t xml:space="preserve"> Subscriptions to Newspapers, Magazines and Periodicals</t>
  </si>
  <si>
    <t>Trade Shows and Exhibition</t>
  </si>
  <si>
    <t xml:space="preserve"> Printing, Advertising - Other</t>
  </si>
  <si>
    <t>Training Expenses-Other(Capacity Building and training)</t>
  </si>
  <si>
    <t>Boards, Committees, Conferences,Seminars and trainings</t>
  </si>
  <si>
    <t>Routine maintenance</t>
  </si>
  <si>
    <t>Routine maintenance - Motor Veh.</t>
  </si>
  <si>
    <t>Office furniture and fittings</t>
  </si>
  <si>
    <t>Total of 930 General Aministration and Planning Services</t>
  </si>
  <si>
    <t>Youth, Sports, ICT &amp; Innovations</t>
  </si>
  <si>
    <t>0506013710 Youth Development Services</t>
  </si>
  <si>
    <t>Publishing and Printing Services  advertizsements</t>
  </si>
  <si>
    <t>Training Expense (including Capacity Building)</t>
  </si>
  <si>
    <t>Travel Allowance, training costs</t>
  </si>
  <si>
    <t>National Celebrations  - International Youth Day</t>
  </si>
  <si>
    <t>Organize youth exchange programmes within and outside the county</t>
  </si>
  <si>
    <t xml:space="preserve">General Office Supplies (Stationery and small office equipment etc) </t>
  </si>
  <si>
    <t xml:space="preserve">Maintenance Expenses - Motor Vehicles </t>
  </si>
  <si>
    <t xml:space="preserve">Purchase of Photocopiers </t>
  </si>
  <si>
    <t xml:space="preserve">Total SP </t>
  </si>
  <si>
    <t xml:space="preserve"> PROGRAMME 2: ICT INFRASTRUCTURE DEVELOPMENT</t>
  </si>
  <si>
    <t>0505013710  ICT Infrastructure Connectivity</t>
  </si>
  <si>
    <t>Communication, Supplies - Other</t>
  </si>
  <si>
    <t xml:space="preserve"> Purchase of Specialised Plant, Equipment and Machinery</t>
  </si>
  <si>
    <t>Totals for sub-programme-recurrent</t>
  </si>
  <si>
    <t>030600 P.5 Sports</t>
  </si>
  <si>
    <t>0306013710 S.P 5.1 Sport Training and Competitons</t>
  </si>
  <si>
    <t xml:space="preserve">2210504 </t>
  </si>
  <si>
    <t>Advertising, Awareness and Publicity Campaigns - County tournament in football, volleyball, atheletics, and basketball from Village level culminating into Govenrors road race and Governmors cup)</t>
  </si>
  <si>
    <t>Project Allowance- County competitions and tournaments in popular sports disciplines to nurture, develop and expose sports talent (including Kenya Youth Inter-county Sports Association – KYISA and Kenya Inter-County Sports and Cultural Association – KICOSCA)</t>
  </si>
  <si>
    <t>Specialised Materials -(Procure and Supply sports equipment such as uniforms, balls, nets and playing boots to all active Sports clubs in the County.)</t>
  </si>
  <si>
    <t xml:space="preserve">Membership Fees, Dues and Subscriptions to Professional and Trade Bodies- Support Federation Tournaments and trainings (Athletics Kenya, Football Federation of Kenya and Kenya Volleyball Federation </t>
  </si>
  <si>
    <t>Total Reccurent</t>
  </si>
  <si>
    <t>Total for S.P 5.1 Sport Training and Competitons</t>
  </si>
  <si>
    <t>0306023710 SP. 5.2 Development and Management of Sport Facilities</t>
  </si>
  <si>
    <t>Total for SP. 5.2 Development and Management of Sport Facilities</t>
  </si>
  <si>
    <t>Total Youth, Sports, ICT &amp; Innovations</t>
  </si>
  <si>
    <t>Culture, Gender &amp; Social Services</t>
  </si>
  <si>
    <t>030700 P 4 Gender and socio economic empowerment</t>
  </si>
  <si>
    <t>0307023710 S.P 4.1 Gender and socio economic empowerment</t>
  </si>
  <si>
    <t>Specialised Materials - (Procure and supply materials for support of groups to start income generating activities as per the group requests – Socio-economic empowerment</t>
  </si>
  <si>
    <t>Research, Feasibility Studies, Project Preparation and Design, Project S</t>
  </si>
  <si>
    <t>Total for  S.P 4.1 Gender and socio economic empowerment</t>
  </si>
  <si>
    <t xml:space="preserve">030700 P. 6 Culture </t>
  </si>
  <si>
    <t>0307013710 SP. 6.1 Conservation of Heritage</t>
  </si>
  <si>
    <t xml:space="preserve">Total Development </t>
  </si>
  <si>
    <t>Total for  SP. 6.1 Conservation of Heritage</t>
  </si>
  <si>
    <t>030800 P.7 Social Development And Children services</t>
  </si>
  <si>
    <t>0308013710 SP. 7.1 Community mobilization and development</t>
  </si>
  <si>
    <t>Total SP. 7.1 Community mobilization and development</t>
  </si>
  <si>
    <t>0308023710 SP. 7.2 Child Community Support services</t>
  </si>
  <si>
    <t>Donations - Support of Community Children Charitable Insititutions with food and other utilities</t>
  </si>
  <si>
    <t>Total for  SP. 7.2 Child Community Support services</t>
  </si>
  <si>
    <t>Total Culture, Gender &amp; Social Services</t>
  </si>
  <si>
    <t>070100 P1: General Administration Planning and Support Services</t>
  </si>
  <si>
    <t>070101 S.P.1.1 General Administration and Support Services</t>
  </si>
  <si>
    <t>Employer Contribution to Staff Pensions Scheme - Implementation of superanuation scheme for the devolved county staff</t>
  </si>
  <si>
    <t>Boards, Committees, Conferences and Seminars (Finalization of various policy documents (Risk Management Policy, disaster recovery plan)</t>
  </si>
  <si>
    <t xml:space="preserve">Other Operating Expenses </t>
  </si>
  <si>
    <t xml:space="preserve">                                   -   </t>
  </si>
  <si>
    <t>Economic Planning &amp; Budgeting</t>
  </si>
  <si>
    <t xml:space="preserve"> 0710003710 P2: Economic Policy and Planning</t>
  </si>
  <si>
    <t xml:space="preserve"> 0710013710 S.P.1.1 Economic Planning Coordination services                  -   </t>
  </si>
  <si>
    <t>Advertising, Awareness and Publicity Campaigns(Public participation)</t>
  </si>
  <si>
    <t>Purchase of other Office Equipment (Laptops)</t>
  </si>
  <si>
    <t>0712023710 SP4.2 Budget Formulation Coordination and Management</t>
  </si>
  <si>
    <t>Totals SP</t>
  </si>
  <si>
    <t>0710023710 SP4.3 Monitoring and Evaluation</t>
  </si>
  <si>
    <t>Sundry Items (e.g. airport tax, taxis, etc)</t>
  </si>
  <si>
    <t xml:space="preserve"> Temporary Committees Expenses (Review of development plans and generation of indicators)</t>
  </si>
  <si>
    <t>Total Economic Planning &amp; Budgeting</t>
  </si>
  <si>
    <t>Finance, Revenue Management and Accounting</t>
  </si>
  <si>
    <t>0712003710 P4. Public Financial Management</t>
  </si>
  <si>
    <t>0712013710 SP4. 1 Resource Mobilisation (Revenue Department)</t>
  </si>
  <si>
    <t xml:space="preserve">Casual labour - others </t>
  </si>
  <si>
    <t>Daily Subsistance Allowance (Formulation of Finance Bill)</t>
  </si>
  <si>
    <t>Field Allowance (Revenue inspection and control)</t>
  </si>
  <si>
    <t>Publishing &amp; Printing Services (Formulation of Finance Bill)</t>
  </si>
  <si>
    <t>Advertising, Awareness and Publicity Campaigns  (Formulation  of Finance Bill)</t>
  </si>
  <si>
    <t>Other Operating Expenses - oth (Revenue Enhancement system)</t>
  </si>
  <si>
    <t>Purchase of Weights and Measures Equipments</t>
  </si>
  <si>
    <t>0712033710 SP4.3 Audit Services</t>
  </si>
  <si>
    <t>Sundry Items (e.g. airport tax, taxis, etc?)</t>
  </si>
  <si>
    <t>Publishing and Printing</t>
  </si>
  <si>
    <t xml:space="preserve">Catering Services (receptions), Accommodation, Gifts, Food  </t>
  </si>
  <si>
    <t>Boards, Committees, Conferences and Seminars (Audit Committee)</t>
  </si>
  <si>
    <t xml:space="preserve"> Maintenance of Office Furniture and Equipment</t>
  </si>
  <si>
    <t>071205 SP4.5 Financial Services</t>
  </si>
  <si>
    <t>2210710</t>
  </si>
  <si>
    <t>2210711</t>
  </si>
  <si>
    <t>2210799</t>
  </si>
  <si>
    <t>Refined Fuels and Lubricants -- Other</t>
  </si>
  <si>
    <t>Temporary Committees Expenses</t>
  </si>
  <si>
    <t>Other Operating Expenses - Others</t>
  </si>
  <si>
    <t>Purchase of Airconditioners, Fans and Heating Appliances</t>
  </si>
  <si>
    <t>Sub totals - Recurrent</t>
  </si>
  <si>
    <t>0704003710 Department of Supply Chain Management Services</t>
  </si>
  <si>
    <t>0704013710 SP 4.1 Procurement of Goods and Management of Services</t>
  </si>
  <si>
    <t xml:space="preserve">Total Finance, Revenue Management and Accounting </t>
  </si>
  <si>
    <t>VOTE 3722: COUNTY PUBLIC SERVICE BOARD</t>
  </si>
  <si>
    <t>Programme: 072500 P.1 General Administration, Planning and Support Services</t>
  </si>
  <si>
    <t>Sub programme: 072501 SP. 1.1: Administration</t>
  </si>
  <si>
    <t>2210400</t>
  </si>
  <si>
    <t>Foreign Travel and Subsistence, and Other Transportation Costs</t>
  </si>
  <si>
    <t>Training Expense - Others</t>
  </si>
  <si>
    <t>2210900</t>
  </si>
  <si>
    <t>2210901</t>
  </si>
  <si>
    <t>Group Personal Insurance</t>
  </si>
  <si>
    <t>Contracted Professional Services</t>
  </si>
  <si>
    <t>Maintence of Buildings and stations-Non Residential</t>
  </si>
  <si>
    <t>Recurrent Total</t>
  </si>
  <si>
    <t>Sub Program Total</t>
  </si>
  <si>
    <t>2210301</t>
  </si>
  <si>
    <t>Totals</t>
  </si>
  <si>
    <t>Total Vote 3722</t>
  </si>
  <si>
    <t>VOTE 3723: COUNTY ASSEMBLY SERVICE BOARD</t>
  </si>
  <si>
    <t>Total Vote 3723</t>
  </si>
  <si>
    <t>VOTE 3724: KITUI MUNICIPALITY</t>
  </si>
  <si>
    <t>001</t>
  </si>
  <si>
    <t>General Administration And Planning</t>
  </si>
  <si>
    <t>General Administration And Planning- Headquarters</t>
  </si>
  <si>
    <t>Casuals Labour-other-147 casuals working in Township ward,Kwa Vonza shopping centre,Nzambani ward(Chuluni&amp;mwembe Tayari),Kyangwitya west ward(Kyamathyaka,Nduumoni,Itoleka,Ithiani&amp;Mulutu),Kyangithya East ward(Kwa Ngindu,Mutune&amp;Museve),Matinyani ward(Matinyani Market),Mulango ward(Katulani&amp;wikililye)</t>
  </si>
  <si>
    <t>Training Expenses - Other (Training &amp; Capacity Building)</t>
  </si>
  <si>
    <t>Catering Services (receptions)-office tea &amp;water</t>
  </si>
  <si>
    <t>Boards, Committees, Conferences and Seminars allowances for municipality board members</t>
  </si>
  <si>
    <t>Sanitary and Cleaning Materials, Supplies and Services-For offices</t>
  </si>
  <si>
    <t>Maintenance of office Computers and printers,Software, and Networks</t>
  </si>
  <si>
    <t>Maintenance of Communications Equipment- Municipality website renewal</t>
  </si>
  <si>
    <t xml:space="preserve"> Construction and Civil Works</t>
  </si>
  <si>
    <t>Total S.P</t>
  </si>
  <si>
    <t>Finance and Revenue Assurance</t>
  </si>
  <si>
    <t>Subscriptions to Newspapers, Magazines and Periodicals-5No.head of sections and reception</t>
  </si>
  <si>
    <t>Training Expenses - Other (Training &amp; Capacity Building,Public Participation fora )</t>
  </si>
  <si>
    <t>Purchase of Uniforms and Clothing - For Revenue collectors</t>
  </si>
  <si>
    <t>Maintenance Expenses  - Vehicles</t>
  </si>
  <si>
    <t>Planning, Development Control, Transport and Infrastructure</t>
  </si>
  <si>
    <t>Planning, Development Control, Transport and Infrastructure - Headquarters</t>
  </si>
  <si>
    <t xml:space="preserve"> Field Operational Allowance (Emergency and response allowances)</t>
  </si>
  <si>
    <t>Training Expenses - Other (Training, Capacity Building &amp; fire drill exercises)</t>
  </si>
  <si>
    <t xml:space="preserve"> Maintenance of Plant, Machinery and Equipment  -Fire Engine&amp;Fire fighting Motor bikes</t>
  </si>
  <si>
    <t xml:space="preserve"> Construction of Roads</t>
  </si>
  <si>
    <t xml:space="preserve"> Overhaul and Refurbishment of Construction and Civil Works</t>
  </si>
  <si>
    <t>Trade,Commerce and Industrialisation</t>
  </si>
  <si>
    <t xml:space="preserve">Daily Subsistance Allowance </t>
  </si>
  <si>
    <t>Training Expenses - Other (Training &amp; Capacity Building for staff and Training for MSMEs  )</t>
  </si>
  <si>
    <t xml:space="preserve"> Other Operating Expenses</t>
  </si>
  <si>
    <t>Enviroment,Culture, Recreation and Community Development</t>
  </si>
  <si>
    <t>Enviroment,Culture, Recreation and Community Development - Headquarters</t>
  </si>
  <si>
    <t xml:space="preserve">Daily Subsistance Allowance (cleansing staff during weekends&amp;public holidays) </t>
  </si>
  <si>
    <t>Training Expenses - Other (Training &amp; Capacity Building&amp; awareness  forums on environmental management)</t>
  </si>
  <si>
    <t>Purchase of Safety Gear- for Cleansing casuals both in Kitui town and other wards within kitui municipality )-Hand Gloves,gumboots and helmets</t>
  </si>
  <si>
    <t>Sanitary and Cleaning Materials, Supplies and Services-For offices and  public toilets</t>
  </si>
  <si>
    <t>KUSP GRANTS</t>
  </si>
  <si>
    <t>Total Vote 3724</t>
  </si>
  <si>
    <t>VOTE 3725: MWINGI TOWN ADMINISTRATION</t>
  </si>
  <si>
    <t>0201003710 P1 General Administration Planning and Support Services</t>
  </si>
  <si>
    <t>0201013710 SP.1.1 Administration, Planning &amp; Support Services</t>
  </si>
  <si>
    <t>Basic Salaries - Permanent - Others</t>
  </si>
  <si>
    <t>Casual Labour - Others (Cleaners Revenue)</t>
  </si>
  <si>
    <t>Subotal Mwingi Town Personnel Emoluments</t>
  </si>
  <si>
    <t xml:space="preserve">Tel., Telex, Facsimile &amp; Mob. Phone Services </t>
  </si>
  <si>
    <t>Domestic Travel &amp; Subsistence &amp; Other Transportation Costs</t>
  </si>
  <si>
    <t>Printing, Advertising and Information Supplies and Services</t>
  </si>
  <si>
    <t xml:space="preserve">Accommodation Allowance </t>
  </si>
  <si>
    <t xml:space="preserve">Catering Services (receptions), Accommodation, Gifts, Food &amp; Drinks </t>
  </si>
  <si>
    <t xml:space="preserve"> Purchase W/shop Tools, Spares &amp; Equip, (S/hse tools &amp;equipment)</t>
  </si>
  <si>
    <t xml:space="preserve">General Office Supplies (papers, pencils, forms, small off. Equip't etc) </t>
  </si>
  <si>
    <t>Legal Dues/ Fees,Arbitration and Compensation Payments</t>
  </si>
  <si>
    <t>Maintenance of Plant, Machinery and Equipment</t>
  </si>
  <si>
    <t>Sub-total Mwingi Town Use of Goods/Services</t>
  </si>
  <si>
    <t>0109003710 P2 Government Buildings</t>
  </si>
  <si>
    <t>0109013710 SP.2.1 Stalled and new Government Buildings.</t>
  </si>
  <si>
    <t>Accommodation Allowance ( ISWM)</t>
  </si>
  <si>
    <t>Trainee Allowance (Comm. awareness on pri. Solid Waste Storage</t>
  </si>
  <si>
    <t>Subtotal Mwingi Town Use of Goods/Services</t>
  </si>
  <si>
    <t>Construction of Civil Works</t>
  </si>
  <si>
    <t>0207003710 P3 Urban and Metropolitan Development</t>
  </si>
  <si>
    <t>0207013710 SP.3.1 Urban Mobility and Transport</t>
  </si>
  <si>
    <t>Prod./Print of Training Materials (Staff Cap. bldg)</t>
  </si>
  <si>
    <t>Trainee Allowance (Community awareness on development control)</t>
  </si>
  <si>
    <t>Subotal Mwingi Town Use of Goods/Services</t>
  </si>
  <si>
    <t>03</t>
  </si>
  <si>
    <t>0207023710 SP.3.2 Safety and Emergency</t>
  </si>
  <si>
    <t>Accommodation Allowance (B/marking on ISWM)</t>
  </si>
  <si>
    <t>Trainee Allowance (Community awareness on disaster Management)</t>
  </si>
  <si>
    <t>0207033710 SP.3.3 Urban Markets Development</t>
  </si>
  <si>
    <t>100100P.4 General Administration, Planning and Support Services</t>
  </si>
  <si>
    <t>100101 SP.4.1 Environmental Policy Management</t>
  </si>
  <si>
    <t>Purch. tools &amp; equip. (Purch./repair cleansing &amp; san. tools &amp; supplies)</t>
  </si>
  <si>
    <t>0706003710 P5: Devolution Services</t>
  </si>
  <si>
    <t>0706013710 SP.5.1 Capacity Building</t>
  </si>
  <si>
    <t>Other Infrast./Civil Works  (Construction/installation of slaughterhouse gate, slab and other renovation works)</t>
  </si>
  <si>
    <t>Total Vote 3725</t>
  </si>
  <si>
    <t>Catering Services (receptions), accomodation, Gifts, Food and Drinks</t>
  </si>
  <si>
    <t xml:space="preserve">0102003710 P2: Crops Development and management </t>
  </si>
  <si>
    <t>0102013710 SP 2.1  Farm Input Support (Crops development support)</t>
  </si>
  <si>
    <t>Trade fairs and Exhibitions</t>
  </si>
  <si>
    <t>Capital grants-World Bank (Emergency Locust Response Project - ELRP)</t>
  </si>
  <si>
    <t xml:space="preserve"> Purch. of Certified Seeds - (promote horticulture production through SHEP approach)</t>
  </si>
  <si>
    <t>Returns of equity holdings in international organizations</t>
  </si>
  <si>
    <t>Total sub programme</t>
  </si>
  <si>
    <t xml:space="preserve">0103003710 P3: Agribusiness and Information Management </t>
  </si>
  <si>
    <t xml:space="preserve"> 0103013710 SP 3.1 Agribusiness and Market Development</t>
  </si>
  <si>
    <t>Field allowance</t>
  </si>
  <si>
    <t>Building Capacity of AMS</t>
  </si>
  <si>
    <t>Other Infrastructure and Civil Works (subsidized tractor ploughing services)</t>
  </si>
  <si>
    <t>World Bank funded (NAVCD Project)</t>
  </si>
  <si>
    <t xml:space="preserve"> 0103023710  SP 3.2 Agricultural Information Management (Extension services)</t>
  </si>
  <si>
    <t>DSTV Services - (ATC)</t>
  </si>
  <si>
    <t xml:space="preserve"> Rentals of Produced Assets</t>
  </si>
  <si>
    <t>Travel allowance (farmer demonstrations and field days)</t>
  </si>
  <si>
    <t xml:space="preserve">Catering Services receptions </t>
  </si>
  <si>
    <t>Chemicals and Industrial Gases</t>
  </si>
  <si>
    <t>Supplies for production (ATC)</t>
  </si>
  <si>
    <t>Contracted Guards and Cleaning Services (Mwingi &amp; ATC)</t>
  </si>
  <si>
    <t>Other Current Transfers, Grants and Sudsidies</t>
  </si>
  <si>
    <t>Other Current Transfers - Other (ATC)</t>
  </si>
  <si>
    <t>Recurrent sub total</t>
  </si>
  <si>
    <t xml:space="preserve"> Purchase of Office Furniture and General Equipment</t>
  </si>
  <si>
    <t xml:space="preserve"> Purchase of Computers, Printers and other IT Equipment (Procure 15 assorted Extension ICT equipment)</t>
  </si>
  <si>
    <t>0105003710 P5: Fisheries Development and Management</t>
  </si>
  <si>
    <t>0105013710 SP 5: 1 Aquaculture Development</t>
  </si>
  <si>
    <t>303 Recurrent  Fisheries</t>
  </si>
  <si>
    <t>Payment of Electricity</t>
  </si>
  <si>
    <t>Water and sewerage</t>
  </si>
  <si>
    <t>Telephone, Facsimile &amp; Mobile</t>
  </si>
  <si>
    <t>Travel Accomodation</t>
  </si>
  <si>
    <t>Printing training materials</t>
  </si>
  <si>
    <t xml:space="preserve">Travel allowances </t>
  </si>
  <si>
    <t>Hall Hire</t>
  </si>
  <si>
    <t>Agricultural materials and small equipments</t>
  </si>
  <si>
    <t>General office supplies</t>
  </si>
  <si>
    <t>Supplies and accessories for computers and printers</t>
  </si>
  <si>
    <t>Maintenance of Office Furniture and Equipments</t>
  </si>
  <si>
    <t>Maintenance of computers</t>
  </si>
  <si>
    <t>Recurrent Sub total</t>
  </si>
  <si>
    <t>Total Recurrent agriculture and fisheries</t>
  </si>
  <si>
    <t>Total Development agriculture and fisheries</t>
  </si>
  <si>
    <t>0106013710 Livestock and Apiculture</t>
  </si>
  <si>
    <t>Civil Service</t>
  </si>
  <si>
    <t xml:space="preserve">0106003710  P 6: Livestock Resources Management and Development </t>
  </si>
  <si>
    <t>0106013710 SP 6.1  Livestock Production and Management</t>
  </si>
  <si>
    <t>306 Recurrent Livestock Development</t>
  </si>
  <si>
    <t xml:space="preserve">Internet Connections </t>
  </si>
  <si>
    <t>Supplies of production</t>
  </si>
  <si>
    <t xml:space="preserve"> Maintenance of Buildings and Stations -- Non-Residential</t>
  </si>
  <si>
    <t>Total Sub programme</t>
  </si>
  <si>
    <t>0106023710 SP 6.2 Livestock Diseases Management and Control</t>
  </si>
  <si>
    <t>Total recurrent Livestock</t>
  </si>
  <si>
    <t>Total Development Livestock</t>
  </si>
  <si>
    <t>Total Livestock</t>
  </si>
  <si>
    <t>Registration of Land</t>
  </si>
  <si>
    <t>Lands &amp; Housing</t>
  </si>
  <si>
    <t>0107003710: Housing Development and Human Settlement</t>
  </si>
  <si>
    <t>0107013710: Housing Development</t>
  </si>
  <si>
    <t>Maintenance of Buildings -- Residential</t>
  </si>
  <si>
    <t>Total for Department of Housing</t>
  </si>
  <si>
    <t>Pre-feasibility, Feasibility and Appraisal Studies (Collection of more data and storage into the existing geodatabase)</t>
  </si>
  <si>
    <t>Pre-feasibility, Feasibility and Appraisal Studies-(Formulation of a Policy on alternative building technology within the county)</t>
  </si>
  <si>
    <t>Preliminary training and capacity building of staff</t>
  </si>
  <si>
    <t>Valuation of County Assets</t>
  </si>
  <si>
    <t>Data register for the county houses for book purposes</t>
  </si>
  <si>
    <t>0108003710: Land Policy and Planning</t>
  </si>
  <si>
    <t>0108023710: 2.2 :Land Survey</t>
  </si>
  <si>
    <t>508 Department of Survey &amp; Mapping</t>
  </si>
  <si>
    <t>Total for Department of Survey and Mapping</t>
  </si>
  <si>
    <t>0108023710 Department of  Land Registry, Adjudication &amp; Settlement</t>
  </si>
  <si>
    <t>Tribunals Costs</t>
  </si>
  <si>
    <t>Prefeasibility, Research, Project Preparation and Design</t>
  </si>
  <si>
    <t>Plot verification, plot valuation and plot mapping</t>
  </si>
  <si>
    <t>Total of Department of Land Adjudication</t>
  </si>
  <si>
    <t>Department of Land Registry &amp; Adjudication &amp; Settlement</t>
  </si>
  <si>
    <t>Total for Department of Land Adjudication &amp; Settlement Development</t>
  </si>
  <si>
    <t>Urban Development</t>
  </si>
  <si>
    <t>0108013710 2.1:  Land Information and management</t>
  </si>
  <si>
    <t>507 Department of Physical Planning</t>
  </si>
  <si>
    <t>Total for Department of Physical Planning</t>
  </si>
  <si>
    <t>Department of Physical Planning</t>
  </si>
  <si>
    <t xml:space="preserve"> Geographical layout across entire county, Project Preparation and Design, Project Supervision geographical layout across entire county</t>
  </si>
  <si>
    <t>Total for Department of Physical Planning Development</t>
  </si>
  <si>
    <t>Total Lands and Housing Development</t>
  </si>
  <si>
    <t>Department of  Urban Development</t>
  </si>
  <si>
    <t>0107003710: Urban Development and Human Settlement</t>
  </si>
  <si>
    <t>Total for Department of Urban Development</t>
  </si>
  <si>
    <t xml:space="preserve">2211300 </t>
  </si>
  <si>
    <t>2211301</t>
  </si>
  <si>
    <t>TOTAL RECURRENT</t>
  </si>
  <si>
    <t>TOTAL DEVELOPMENT</t>
  </si>
  <si>
    <t>TOTAL COUNTY EXECUTIVE</t>
  </si>
  <si>
    <t>COUNTY ASSEMBLY</t>
  </si>
  <si>
    <t>TOTAL COUNTY BUDGET</t>
  </si>
  <si>
    <t>RESOURCE ENVELOPE</t>
  </si>
  <si>
    <t>SURPLUS/DEFICIT</t>
  </si>
  <si>
    <t>KITUI COUNTY GOVERNMENT</t>
  </si>
  <si>
    <t>Part F: Summary of Expenditure by Programmes, 2022/23 – 2025/26</t>
  </si>
  <si>
    <t>Programme</t>
  </si>
  <si>
    <t>Revised Estimates 2022/23</t>
  </si>
  <si>
    <t>Estimates 2023/24</t>
  </si>
  <si>
    <t>Projected Estimates</t>
  </si>
  <si>
    <t>2024/25</t>
  </si>
  <si>
    <t>2025/26</t>
  </si>
  <si>
    <t xml:space="preserve">070101 SP.1.1 General Administration Planning and Support Services </t>
  </si>
  <si>
    <t>0701003710 P1: General Administration Planning and Support Services</t>
  </si>
  <si>
    <t>090901 S.P 2.1: Social Assistance to Vulnerable Groups</t>
  </si>
  <si>
    <t>0702003710 P2: National Social Safety Net</t>
  </si>
  <si>
    <t>070201 SP 3.1 Management of Cabinet Affairs</t>
  </si>
  <si>
    <t>0703003710 P3: Cabinet Affairs</t>
  </si>
  <si>
    <t>SP 4.2 Public Relations and Customer Care</t>
  </si>
  <si>
    <t>0704003710 P4: Public Financial Management</t>
  </si>
  <si>
    <t xml:space="preserve">0707013710 SP: 8.1: County Integrated Monitoring and Evaluation (Tracking of county programmes) </t>
  </si>
  <si>
    <t xml:space="preserve">0707003710 P8: Monitoring and Evaluation </t>
  </si>
  <si>
    <t>Office of the County Attorney</t>
  </si>
  <si>
    <t>0705003710 P6: County Government Administration and Field Services</t>
  </si>
  <si>
    <t>SP7.1: 071201:  Management of devolution affairs</t>
  </si>
  <si>
    <t>0706003710 P7: Devolution Services</t>
  </si>
  <si>
    <t>Total Expenditure of Vote</t>
  </si>
  <si>
    <t>TABLE G</t>
  </si>
  <si>
    <t xml:space="preserve">Expenditure Classification </t>
  </si>
  <si>
    <t xml:space="preserve">Recurrent </t>
  </si>
  <si>
    <t>Compensation to Employees</t>
  </si>
  <si>
    <t>Use of goods and services</t>
  </si>
  <si>
    <t>Other Recurrent</t>
  </si>
  <si>
    <t>Capital Expenditure</t>
  </si>
  <si>
    <t xml:space="preserve">Acquisition of Non-financial Assets                                      </t>
  </si>
  <si>
    <t>Other Development</t>
  </si>
  <si>
    <t>Total Expenditure by Vote</t>
  </si>
  <si>
    <t>PART H: Summary of Expenditure by Programme and Economic Classification</t>
  </si>
  <si>
    <t>070100 P1 General Administration Planning and Support Services</t>
  </si>
  <si>
    <t>070101 SP.1.1 General Administration Planning and Support Services</t>
  </si>
  <si>
    <t>Recurrent Expenditure</t>
  </si>
  <si>
    <t>Acquisition of Non-financial Assets</t>
  </si>
  <si>
    <t>Other development</t>
  </si>
  <si>
    <t>Total Expenditure by Programme</t>
  </si>
  <si>
    <t>VOTE 3728: OFFICE OF THE DEPUTY GOVERNOR</t>
  </si>
  <si>
    <t xml:space="preserve">0701003710 P1: General Administration Planning and Support Services </t>
  </si>
  <si>
    <t>030601 S.P 2.1: Tourism Promotion and Marketing</t>
  </si>
  <si>
    <t>030603 S.P 2.2: Tourism Infrastructure Development</t>
  </si>
  <si>
    <t>100303 SP. 2.3 Wildlife Conservation and Security </t>
  </si>
  <si>
    <t>030600 P 2: Tourism Development and Promotion</t>
  </si>
  <si>
    <t>SP1. 0717013710 Performance Contracting.</t>
  </si>
  <si>
    <t>SP2. 0717023710. Disaster and Emergency Services</t>
  </si>
  <si>
    <t>070300371 P3: Performance Contracting, Disaster and Emergency Services</t>
  </si>
  <si>
    <t>PART G: Summary of Expenditure by Vote and Economic Classification</t>
  </si>
  <si>
    <t>030600 P 3: Tourism Development and Promotion</t>
  </si>
  <si>
    <t>030601 S.P 3.1: Tourism Promotion and Marketing</t>
  </si>
  <si>
    <t>100303 SP. 2.2 Wildlife Conservation and Security </t>
  </si>
  <si>
    <t>0104013710 SP 5.1 Small Scale Cluster Irrigation Development</t>
  </si>
  <si>
    <t>0104003710 P5: Irrigation Development and Management(Agricultural mechanization and Irrigation Services)</t>
  </si>
  <si>
    <t>0111013710 SP. 8.1 Water Storage and Flood Control</t>
  </si>
  <si>
    <t>0111023710 SP. 8.2  Water Supply Sustainability</t>
  </si>
  <si>
    <t>0111003710 P.8 Water Resources Management</t>
  </si>
  <si>
    <t>Total Expenditure</t>
  </si>
  <si>
    <t>Part G. Summary of Expenditure by Vote and Economic Classification</t>
  </si>
  <si>
    <t>Acquisition of Non-Financial Assets</t>
  </si>
  <si>
    <t>Total Expenditure of Vote 0 &amp;1</t>
  </si>
  <si>
    <t>Part H. Summary of Expenditure by Programme and Economic Classification</t>
  </si>
  <si>
    <t>301 General Administration and Planning</t>
  </si>
  <si>
    <t xml:space="preserve">                     -   </t>
  </si>
  <si>
    <t xml:space="preserve">                   -   </t>
  </si>
  <si>
    <t>0111003710 P8: Water Resources Management</t>
  </si>
  <si>
    <t>0111023710 SP. 8.2  Water Supply Infrastructure</t>
  </si>
  <si>
    <t>0104003710 P2: Irrigation Development and Management(Agricultural mechanization and Irrigation Services)</t>
  </si>
  <si>
    <t>0104013710 SP 2.1 Small Scale Cluster Irrigation Development</t>
  </si>
  <si>
    <t>SP1.1 General Administration planning and support services</t>
  </si>
  <si>
    <t>P1. General Administration, Planning and Support Services</t>
  </si>
  <si>
    <t>P2. Primary education</t>
  </si>
  <si>
    <t>P4 Youth training and development</t>
  </si>
  <si>
    <t>P5 Quality assurance and standards</t>
  </si>
  <si>
    <t>TOTAL</t>
  </si>
  <si>
    <t>P. 2.      050100 Primary Education</t>
  </si>
  <si>
    <t>P. 4      050700 Youth Training and Development</t>
  </si>
  <si>
    <t>P. 4     050300 Quality Assurance and Standards</t>
  </si>
  <si>
    <t>SP 1.1. Administration, Planning &amp; Support Services</t>
  </si>
  <si>
    <t>010600 P 1 General Administration Planning and Support Services</t>
  </si>
  <si>
    <t>SP 3.1. Stalled and new Government buildings</t>
  </si>
  <si>
    <t>010300 P 3 Government Buildings</t>
  </si>
  <si>
    <t>SP 5.1 Construction of Roads and Bridges</t>
  </si>
  <si>
    <t>SP 5.2 Mechanial Services</t>
  </si>
  <si>
    <t>020200 P.5 Road Transport</t>
  </si>
  <si>
    <t>0101013710:P1. General Administration Planning and Support Services</t>
  </si>
  <si>
    <t>0101013710SP 1.1. Administration, Planning &amp; Support Services</t>
  </si>
  <si>
    <t>Other</t>
  </si>
  <si>
    <t>0109003710 P4. Government Buildings</t>
  </si>
  <si>
    <t>0109013710 SP 4.1. Stalled and new Government buildings</t>
  </si>
  <si>
    <t>0110003710 P5. Road Transport</t>
  </si>
  <si>
    <t>0110013710 SP 5.1 Construction of Roads and Bridges</t>
  </si>
  <si>
    <t>0110013710 SP 5.2 Mechanical Services</t>
  </si>
  <si>
    <t xml:space="preserve">Programme </t>
  </si>
  <si>
    <t>SP 1.1 (040404) Human Resource Management</t>
  </si>
  <si>
    <t>SP. 1.2 (040401) Health Policy, planning and Finance</t>
  </si>
  <si>
    <t>SP. 1.3 (040402) Standards, Quality Assurance &amp; Standards</t>
  </si>
  <si>
    <t>SUB PROGRAMME: SP. 4.2 (040201) County Referral Services {Ambulance Referal Services Sub- Programme}</t>
  </si>
  <si>
    <t>040202 SP. 4.5 MENTAL HEALTH (HOSPITAL FIF /COST SHARING FUNDS FOR 11 COUNTY HOSPITALS)</t>
  </si>
  <si>
    <t>SUB PROGRAMME: 040501 SP. 2.1 FAMILY PLANNING SERVICES</t>
  </si>
  <si>
    <t xml:space="preserve">SUB PROGRAMME: 3.2 (040301) COMMUNICABLE DISEASE CONTROL {Public health Operations Sub- Programme} </t>
  </si>
  <si>
    <t>SUB PROGRAMME SP. 3.3 : (040102) NON-COMMUNICABLE DISEASE PREVENTION &amp; CONTROL {Tulinde Afya Yetu  Sub- Programme}</t>
  </si>
  <si>
    <t>SP. 4.3 (040402) Specilalised Services { Mobile Health Clinic Services Sub- Programme}</t>
  </si>
  <si>
    <t xml:space="preserve">SUB PROGRAMME: SP 4.4 (040203) Free Primary Health (Compensation for User fees) - </t>
  </si>
  <si>
    <t>SUB PROGRAMME: SP. 4.1 (040204) FORENSIC AND DIAGNOSTICS {Health Products and Technologies sub- Programme}</t>
  </si>
  <si>
    <t xml:space="preserve"> DRUGS AND MEDICAL SUPPLIES MANAGEMENT</t>
  </si>
  <si>
    <t>PART H: SUMMARY OF EXPENDITURE BY PROGRAMME AND ECONOMIC CLASSIFICATION</t>
  </si>
  <si>
    <t xml:space="preserve"> 4.5 HOSPITAL FIF /COST SHARING REFUNDS FOR THE 11 COUNTY HOSPITALS - Assign code</t>
  </si>
  <si>
    <t>SUB PROGRAMME: SP 3.1 Health Promotion Sub Programme</t>
  </si>
  <si>
    <t>030101 S.P 1 General administration and support</t>
  </si>
  <si>
    <t>030100 P.1 General administration and support-H/Qs</t>
  </si>
  <si>
    <t>030701 S.P 2.1Domestic Trade Development</t>
  </si>
  <si>
    <t xml:space="preserve"> 030702 S.P 2.2 Fair Trade Practice and Consumer Protection</t>
  </si>
  <si>
    <t>030700 P 2:Trade  development and Promotion</t>
  </si>
  <si>
    <t>030401 SP. 3.1 governance and accountability</t>
  </si>
  <si>
    <t>030403 SP. 3.2 Marketing, Value Addition and Research</t>
  </si>
  <si>
    <t xml:space="preserve">Total Expenditure of all programmes </t>
  </si>
  <si>
    <t xml:space="preserve">030101 SP1 General Administration and support services </t>
  </si>
  <si>
    <t xml:space="preserve">Other development </t>
  </si>
  <si>
    <t xml:space="preserve">030700 P 2 Trade development and Promotion </t>
  </si>
  <si>
    <t>030701 S.P 2.1 Domestic Trade Development</t>
  </si>
  <si>
    <t>030702 S.P 2.2 Fair Trade Practice and Consumer Protection</t>
  </si>
  <si>
    <t>030400 P 3 Cooperative Development and Management</t>
  </si>
  <si>
    <t>030401 SP. 3.1 Governance and Accountability</t>
  </si>
  <si>
    <t>Sub-programme: 030403 SP. 3.2 Marketing, Value Addition and Research</t>
  </si>
  <si>
    <t>100101 SP 1 Environmental Policy Management</t>
  </si>
  <si>
    <t>100401SP. 4.1  Environmental Management and Awareness</t>
  </si>
  <si>
    <t xml:space="preserve"> 100202 SP.   2.2 Environmental Research and Development</t>
  </si>
  <si>
    <t>100402 Forest Conservation and Management</t>
  </si>
  <si>
    <t>100200 P2 Environment Management and Protection</t>
  </si>
  <si>
    <t>021302 SP 5 Rural Electrification</t>
  </si>
  <si>
    <t>021300 P5 Power  Transmission and Distribution</t>
  </si>
  <si>
    <t>021401 SP 6 Alternative Energy Technologies</t>
  </si>
  <si>
    <t>021400 P6 Alternative Energy Technologies</t>
  </si>
  <si>
    <t>021203 Community sensitization and awareness creation in minerals rich areas</t>
  </si>
  <si>
    <t>100701 Training and Capacity building</t>
  </si>
  <si>
    <t>100701 SP 8 Mining Policy Development and Coordination</t>
  </si>
  <si>
    <t>100901 SP. 9 Mineral Resources Development</t>
  </si>
  <si>
    <t>100900 P8 Mineral Resources Management</t>
  </si>
  <si>
    <t>100100 P1. General Administration, Planning and Support Services</t>
  </si>
  <si>
    <t>100101 SP 1.1 Environmental Policy Management</t>
  </si>
  <si>
    <t>Programme 2: 100200 Environmental Research and development</t>
  </si>
  <si>
    <t>021300 P 5:  Power Transmission and Distribution</t>
  </si>
  <si>
    <t>021302 SP 5.1 Rural Electrification</t>
  </si>
  <si>
    <t>021400 P 6:  Alternative Energy Technologies</t>
  </si>
  <si>
    <t>021401 SP 6.1 Alternative Energy Technologies</t>
  </si>
  <si>
    <t>Sub programme: 021203 Community sensitization and awareness creation in minerals rich areas</t>
  </si>
  <si>
    <t>Sub programme: 100701 Training and Capacity building</t>
  </si>
  <si>
    <t>100900 P.8. Mineral Resources Management</t>
  </si>
  <si>
    <t>100701 SP 8.1 Mining Policy Development and Coordination</t>
  </si>
  <si>
    <t>100901 SP.8.2 Mineral Resources Development</t>
  </si>
  <si>
    <t>030801 S.P 1.1: General administration planning and support services</t>
  </si>
  <si>
    <t>030800 P1 General Administration</t>
  </si>
  <si>
    <t>090101 SP. 3.1 Sports Training and competitions</t>
  </si>
  <si>
    <t>090102 SP. 3.2 Development and Management of Sports Facilities</t>
  </si>
  <si>
    <t>090100 P.3 Sports</t>
  </si>
  <si>
    <t>090200 P.4 Culture</t>
  </si>
  <si>
    <t>071106 P.5 Gender &amp; Socio-economic empowerment</t>
  </si>
  <si>
    <t>071100 P5: Gender</t>
  </si>
  <si>
    <t>090802 S.P 6.1: Community Mobilization and development</t>
  </si>
  <si>
    <t>090803 S.P 6.2:  Child Community Support Services</t>
  </si>
  <si>
    <t>090800 P 6: Social Development and Children Services</t>
  </si>
  <si>
    <t>S.P.4.2 Youth Development Services</t>
  </si>
  <si>
    <t>P4 Youth Development Services</t>
  </si>
  <si>
    <t>SP 3.1: ICT Infrastructure Connectivity</t>
  </si>
  <si>
    <t>021000 P3 ICT Infrastructure Development</t>
  </si>
  <si>
    <t>071103 S.P.4.2 Youth Development Services</t>
  </si>
  <si>
    <t>021001 SP 3.1: ICT Infrastructure Connectivity</t>
  </si>
  <si>
    <t xml:space="preserve">090101 SP. 3.1 Sports Training and competitions </t>
  </si>
  <si>
    <t>071106 S.P.2.2 Gender</t>
  </si>
  <si>
    <t>090201 SP. 4.1 Conservation of Heritage</t>
  </si>
  <si>
    <t>090800 P 5: Social Development and Children Services</t>
  </si>
  <si>
    <t xml:space="preserve">090802 S.P 5.1: Community Mobilization and development </t>
  </si>
  <si>
    <t>090803 S.P 5.2:  Child Community Support Services</t>
  </si>
  <si>
    <t>SP1.1 Human Resources and Support Services</t>
  </si>
  <si>
    <t>SP2.1 Economic Planning Coordination services</t>
  </si>
  <si>
    <t>P2. Economic Policy and National Planning</t>
  </si>
  <si>
    <t>SP3.1 County Integrated Monitoring and Evaluation</t>
  </si>
  <si>
    <t>P3. Monitoring and Evaluation Services</t>
  </si>
  <si>
    <t>SP4.1 Resource Mobilization</t>
  </si>
  <si>
    <t>SP4.2 Budget Formulation Coordination and Management</t>
  </si>
  <si>
    <t>SP4.3 Audit Services</t>
  </si>
  <si>
    <t>SP4.4 Financial Services</t>
  </si>
  <si>
    <t>SP4.5 Supply Chain Management Services</t>
  </si>
  <si>
    <t>P4. Public Financial Management</t>
  </si>
  <si>
    <t>070900 P1: General Administration Planning and Support Services</t>
  </si>
  <si>
    <t xml:space="preserve"> 070901 S.P.1.1 Human Resources and Support Services</t>
  </si>
  <si>
    <t xml:space="preserve"> </t>
  </si>
  <si>
    <t xml:space="preserve"> 070600 P2: Economic Policy and National Planning</t>
  </si>
  <si>
    <t xml:space="preserve"> 070601 S.P2.1 Economic Planning Coordination services</t>
  </si>
  <si>
    <t>071802 SP 4.2 Budget Formulation Coordination and Management</t>
  </si>
  <si>
    <t>070800 P3: Monitoring and Evaluation Services</t>
  </si>
  <si>
    <t>070801 S.P.3.1 County Integrated Monitoring and Evaluation</t>
  </si>
  <si>
    <t xml:space="preserve"> 071800 P 4: Public Financial Management</t>
  </si>
  <si>
    <t xml:space="preserve"> 071801 SP 4.1 Resource Mobilization</t>
  </si>
  <si>
    <t>071803 SP 2.3 Audit Services</t>
  </si>
  <si>
    <t>071804 SP 2.5 Financial Services</t>
  </si>
  <si>
    <t>0704003710 P4: Department of Supply Chain Management Services</t>
  </si>
  <si>
    <t>072501 SP. 1.1: Administration</t>
  </si>
  <si>
    <t>072500 P.1 General Administration, Planning and Support Services</t>
  </si>
  <si>
    <t>072602 SP. 2.1: Human Resource Management</t>
  </si>
  <si>
    <t>072603 SP. 2.2: Human Resource Development</t>
  </si>
  <si>
    <t>72600 P.2 Human Resource Management and Development</t>
  </si>
  <si>
    <t>Sub programme: 072702 SP. 3.1: Ethics, Governance and County value</t>
  </si>
  <si>
    <t>Programme: 072700 P.3 Governance and County Values</t>
  </si>
  <si>
    <t>072600 P.2 Human Resource Management and Development</t>
  </si>
  <si>
    <t>072700 P.3 Governance and National Values</t>
  </si>
  <si>
    <t>072702 SP. 3.1: Ethics, Governance and National Values</t>
  </si>
  <si>
    <t>071501 P.2 Legislation, Representation and Oversight</t>
  </si>
  <si>
    <t>070101 P.1 General Administration, Planning and Support Services</t>
  </si>
  <si>
    <t>010601 SP.1.1 Administration, Planning &amp; Support Services</t>
  </si>
  <si>
    <t>020201 SP. 2.1 Construction of Roads and Bridges</t>
  </si>
  <si>
    <t>020200 P.2 Road Transport</t>
  </si>
  <si>
    <t xml:space="preserve"> 030701 S.P 3.1: Domestic Trade Development</t>
  </si>
  <si>
    <t xml:space="preserve"> 030700 P 3: Trade Development and Promotion</t>
  </si>
  <si>
    <t xml:space="preserve"> 073202 SP 3.2 Finance Management Services</t>
  </si>
  <si>
    <t xml:space="preserve"> 073000 P.1 Control and Management of Public finances</t>
  </si>
  <si>
    <t xml:space="preserve"> 090200 P.2 Culture</t>
  </si>
  <si>
    <t>090000 P .5 Social Protection, Culture and Recreation</t>
  </si>
  <si>
    <t>KUSP</t>
  </si>
  <si>
    <t>P.6 Kenya Urban Support Programme</t>
  </si>
  <si>
    <t>Total Expenditure by vote</t>
  </si>
  <si>
    <t>Programme:010600 P 1 General Administration Planning and   Support Services</t>
  </si>
  <si>
    <t>Sub-programme:010601 SP.1.1 Administration, Planning &amp; Support Services</t>
  </si>
  <si>
    <t>Total Expenditure by Sub-Programme</t>
  </si>
  <si>
    <t>0202013710 SP. 2.1 Construction of Roads and Bridges Services</t>
  </si>
  <si>
    <t xml:space="preserve">Environment, Culture, Recreation and Community Development  </t>
  </si>
  <si>
    <t>090000 P .1Social Protection, Culture and Recreation</t>
  </si>
  <si>
    <t>Kenya Urban Support Programme</t>
  </si>
  <si>
    <t>SP.1.1 Administration, Planning &amp; Support Services</t>
  </si>
  <si>
    <t>SP.4.1 Environmental Policy Management</t>
  </si>
  <si>
    <t>010600 P1 General Administration Planning and Support Services</t>
  </si>
  <si>
    <t>SP.2.1 Stalled and new Government buildings</t>
  </si>
  <si>
    <t>010300 P2 Government Buildings</t>
  </si>
  <si>
    <t>SP.3.1 Urban Mobility and Transport</t>
  </si>
  <si>
    <t>SP.3.2 Safety and Emergency</t>
  </si>
  <si>
    <t>SP.3.3 Urban Markets Development</t>
  </si>
  <si>
    <t>010500 P3 Urban and Metropolitan Development</t>
  </si>
  <si>
    <t>SP.5.1 Capacity Building</t>
  </si>
  <si>
    <t>071200 P4: Devolution Services</t>
  </si>
  <si>
    <t>P1 General Administration Planning and Support Services</t>
  </si>
  <si>
    <t>Total Expenditure by Sub-programme</t>
  </si>
  <si>
    <t>1001000000 Environmental Policy Management</t>
  </si>
  <si>
    <t>P2 Government Buildings</t>
  </si>
  <si>
    <t>SP.2.1 Stalled and new Government buildings.</t>
  </si>
  <si>
    <t>P3 Urban and Metropolitan Development</t>
  </si>
  <si>
    <t>P4: Devolution Services</t>
  </si>
  <si>
    <t>SP.4.1 Capacity Building</t>
  </si>
  <si>
    <t xml:space="preserve">0101013710 SP 1.1 Administration Services </t>
  </si>
  <si>
    <t>0102013710 SP 2.1  Farm Input Support/Seed Bulking-Fruit trees/vegetable nurseries development</t>
  </si>
  <si>
    <t>0102003710 P2: Land and Crops Development(Crop Development and Management)</t>
  </si>
  <si>
    <t>0103023710 SP 3.1 Farm and Agribusiness Management</t>
  </si>
  <si>
    <t>0103003710 P3: Agribusiness and Information Management (Farm development and Agribusiness development)</t>
  </si>
  <si>
    <t>P 4: Agricultural Extension Services and Training</t>
  </si>
  <si>
    <t>0105003710 SP 2: 1 Aquaculture Development</t>
  </si>
  <si>
    <t>0105003710 P2: Fisheries Development and Management</t>
  </si>
  <si>
    <t>0106013710 SP 3.1  Livestock Production and Management</t>
  </si>
  <si>
    <t>0106023710 SP 3.2 Livestock Diseases Management and Control</t>
  </si>
  <si>
    <t xml:space="preserve">0106003710  P 3: Livestock Resources Management and Development </t>
  </si>
  <si>
    <t>General Administration and Planning</t>
  </si>
  <si>
    <t>302 Department of Agriculture</t>
  </si>
  <si>
    <t>P1. General Administration Planning and Support Services</t>
  </si>
  <si>
    <t>SP 3.1. Housing Development</t>
  </si>
  <si>
    <t>010200 P.2 Housing Development and Human Settlement</t>
  </si>
  <si>
    <t>SP 2.1. Land Information Management</t>
  </si>
  <si>
    <t>SP 2.2. Land Survey</t>
  </si>
  <si>
    <t>SP 2.3. Land Adjudication</t>
  </si>
  <si>
    <t>SP 2.4 Urban Development and Human Settlement</t>
  </si>
  <si>
    <t> 010100 P 2 Land Policy and Planning</t>
  </si>
  <si>
    <t>010700371 P3. Housing Development and Human Settlement</t>
  </si>
  <si>
    <t>0107013710 SP 3.1. Housing Development</t>
  </si>
  <si>
    <t>P2. Land Policy and Planning</t>
  </si>
  <si>
    <t>COUNTY GOVERNMENT OF KITUI</t>
  </si>
  <si>
    <t>VOTE CODE TITLE</t>
  </si>
  <si>
    <t>PROGRAMME CODE AND TITLE</t>
  </si>
  <si>
    <t>RECURRENT ESTIMATES</t>
  </si>
  <si>
    <t>DEVELOPMENT ESTIMATES</t>
  </si>
  <si>
    <t>Kshs</t>
  </si>
  <si>
    <t>Office of The Governor</t>
  </si>
  <si>
    <t>0704003710 SP 4.1 Public Communication</t>
  </si>
  <si>
    <t>Office of The Deputy Governor</t>
  </si>
  <si>
    <t>0305003710 P2: Tourism Development and Promotion</t>
  </si>
  <si>
    <t>Performance Contracting, Disaster and Emergency Services</t>
  </si>
  <si>
    <t>Agriculture, Water &amp; Irrigation</t>
  </si>
  <si>
    <t>0101003710 P1: General Administration Planning and Support Services</t>
  </si>
  <si>
    <t>Education,Training &amp; Skills Development</t>
  </si>
  <si>
    <t>0501003710 P1: General Administration, Planning and Support Services</t>
  </si>
  <si>
    <t>0502003710 P2: Primary Education</t>
  </si>
  <si>
    <t>0507003710 P4: Youth Training and Development</t>
  </si>
  <si>
    <t>0503003710 P5: Quality Assurance and Standards</t>
  </si>
  <si>
    <t>Roads, Public Works &amp; Transport</t>
  </si>
  <si>
    <t>0109003710 P4: Government Buildings</t>
  </si>
  <si>
    <t>0110003710 P5: Road Transport</t>
  </si>
  <si>
    <t>Health &amp; Sanitation</t>
  </si>
  <si>
    <t>0401003710 P1: General Administration, Planning &amp; Support Services</t>
  </si>
  <si>
    <t>0301003710 P1: General administration and support-H/Qs</t>
  </si>
  <si>
    <t>0303003710 P2: Trade  development and Promotion</t>
  </si>
  <si>
    <t>Energy, Environment, Forestry, Natural &amp; Mineral Resources</t>
  </si>
  <si>
    <t>1001003710 P1 General Administration, Planning and Support Services</t>
  </si>
  <si>
    <t>1002003710 P2 Environment Management and Protection</t>
  </si>
  <si>
    <t>Culture, Gender, Youth, ICT, Sports and Social Services</t>
  </si>
  <si>
    <t>0301003710 P1: General Administration, Planning and Support Services</t>
  </si>
  <si>
    <t>Finance, Economic Planning &amp; Revenue Management</t>
  </si>
  <si>
    <t>0701003710 P1: General Administration, Planning and Support Services</t>
  </si>
  <si>
    <t>0710003710 P2: Economic Policy and County Planning</t>
  </si>
  <si>
    <t>0711003710 P3: Monitoring and Evaluation Services</t>
  </si>
  <si>
    <t>County Public Service Board</t>
  </si>
  <si>
    <t>0713003710 P2: Human Resource Management and Development</t>
  </si>
  <si>
    <t>0714003710 P3: Governance and County Values</t>
  </si>
  <si>
    <t>County Assembly Service Board</t>
  </si>
  <si>
    <t>0701013710 P1: General Administration, Planning and Support Services</t>
  </si>
  <si>
    <t>0715013710 P2: Legislation, Representation and Oversight</t>
  </si>
  <si>
    <t>Kitui Municipality</t>
  </si>
  <si>
    <t>0201003710 P1: General Administration Planning and Support Services</t>
  </si>
  <si>
    <t>Mwingi Town Administration</t>
  </si>
  <si>
    <t>Agriculture &amp; Livestock</t>
  </si>
  <si>
    <t>Lands, Housing &amp; Urban Development</t>
  </si>
  <si>
    <t>Total Voted Expenditure Kshs</t>
  </si>
  <si>
    <t>County Executive</t>
  </si>
  <si>
    <t>County Assembly</t>
  </si>
  <si>
    <t>Total County Budget</t>
  </si>
  <si>
    <t>PERCENTAGE</t>
  </si>
  <si>
    <t>KITUI COUNTY GOVERNMENT - BUDGET FY 2023/24</t>
  </si>
  <si>
    <t>Development Estimates</t>
  </si>
  <si>
    <t>Total Budget Estimates</t>
  </si>
  <si>
    <t>%</t>
  </si>
  <si>
    <t>PE</t>
  </si>
  <si>
    <t>O&amp;M</t>
  </si>
  <si>
    <t>Office of the Governor</t>
  </si>
  <si>
    <t>Office of the Deputy Governor</t>
  </si>
  <si>
    <t>Ministry of Water &amp; Irrigation</t>
  </si>
  <si>
    <t>Ministry of Education, Training &amp; Skills Development</t>
  </si>
  <si>
    <t>Ministry of Roads, Public Works &amp; Transport</t>
  </si>
  <si>
    <t>Ministry of Health &amp; Sanitation</t>
  </si>
  <si>
    <t>Ministry of Trade, Industry, MSMEs, Innovation &amp; Cooperatives</t>
  </si>
  <si>
    <t>Ministry of Energy, Environment, Forestry, Natural &amp; Mineral Resources</t>
  </si>
  <si>
    <t>Ministry of Culture, Gender, Youth, ICT, Sports &amp; Social Services</t>
  </si>
  <si>
    <t>Ministry of Finance, Economic Planning &amp; Revenue Management</t>
  </si>
  <si>
    <t>Ministry of Agriculture &amp; Livestock</t>
  </si>
  <si>
    <t>Ministry of Lands, Housing and Urban Development</t>
  </si>
  <si>
    <t>TOTALS</t>
  </si>
  <si>
    <t>PERCENTAGES</t>
  </si>
  <si>
    <t>GROSS CURRENT ESTIMATES</t>
  </si>
  <si>
    <t>GROSS CAPITAL ESTIMATES</t>
  </si>
  <si>
    <t>GROSS TOTAL ESTIMATES</t>
  </si>
  <si>
    <t>2023/24 - Kshs</t>
  </si>
  <si>
    <t>S/No</t>
  </si>
  <si>
    <t>Source</t>
  </si>
  <si>
    <t>Equitable share</t>
  </si>
  <si>
    <t>Transfer of Library Services</t>
  </si>
  <si>
    <t>Sub Total Equitable Share</t>
  </si>
  <si>
    <t>Grants</t>
  </si>
  <si>
    <t>Free Maternal Healthcare</t>
  </si>
  <si>
    <t>Compensation for User Fees Forgone</t>
  </si>
  <si>
    <t>Road Maintenance Fuel Levy</t>
  </si>
  <si>
    <t>Grants from World Bank (KDSP)</t>
  </si>
  <si>
    <t>World Bank (Universal Health)</t>
  </si>
  <si>
    <t>World Bank (Agriculture - Rural Growth)</t>
  </si>
  <si>
    <t>-</t>
  </si>
  <si>
    <t>World Bank (Emergency Locust Response Project (ELRP))</t>
  </si>
  <si>
    <t>IDA (World Bank) credit (National Agricultural Value Chain Development Project (NAVCDP)</t>
  </si>
  <si>
    <t>HSSP/HSPS - (DANIDA/IDA)</t>
  </si>
  <si>
    <t>World Bank loan to Supplement financing of  County Health Facilities</t>
  </si>
  <si>
    <t>World Bank Credit to Finance Locally - Led Climate Action Program (FLLoCA)</t>
  </si>
  <si>
    <t>UNFPA (9th Country Programme Implementation)</t>
  </si>
  <si>
    <t>Development of Youth Polytechnics</t>
  </si>
  <si>
    <t>Other GOK Grants (Doctors &amp; Nurses Allowance)</t>
  </si>
  <si>
    <t>Kenya Urban Support Project - World Bank</t>
  </si>
  <si>
    <t>Kenya Urban Support Project (UIG)- World Bank</t>
  </si>
  <si>
    <t>ASDSP</t>
  </si>
  <si>
    <t>KCEP-KRLA</t>
  </si>
  <si>
    <t>FAO</t>
  </si>
  <si>
    <t xml:space="preserve">GoK Conditional Grant - Covid Fund </t>
  </si>
  <si>
    <t>Pro Poor</t>
  </si>
  <si>
    <t>Subtotal</t>
  </si>
  <si>
    <t>Own Revenue</t>
  </si>
  <si>
    <t>County Ministry/ Entity</t>
  </si>
  <si>
    <t>Ministry of Health and Sanitation</t>
  </si>
  <si>
    <t>Ministry of Water and Irrigation</t>
  </si>
  <si>
    <t>Ministry of Lands, Housing &amp; Urban Development</t>
  </si>
  <si>
    <t>% of Equitable Share</t>
  </si>
  <si>
    <t>% of Own Resources</t>
  </si>
  <si>
    <t>% of Grants</t>
  </si>
  <si>
    <t>Revote from previous budget</t>
  </si>
  <si>
    <t>Total Resource Envelope</t>
  </si>
  <si>
    <t>2210712</t>
  </si>
  <si>
    <t>Trainee Allowance (Allowance for PC Implementation)</t>
  </si>
  <si>
    <t>Training Expense Other - Community Capacity Building and Training on Awareness and Response to Disaster</t>
  </si>
  <si>
    <t>2210899</t>
  </si>
  <si>
    <t>Hospitality Supplies - Others</t>
  </si>
  <si>
    <t>Domestic Loans to Individuals and Households</t>
  </si>
  <si>
    <t>New</t>
  </si>
  <si>
    <t>Var</t>
  </si>
  <si>
    <t>Pre-feasibility, Feasibility and Appraisal Studies (Organize Investors Conference )</t>
  </si>
  <si>
    <t>Boards, Committees, Conferences and Seminars - Ward Development Committee</t>
  </si>
  <si>
    <t xml:space="preserve">ECDE Deworming  programme </t>
  </si>
  <si>
    <t>VOTE 3729: MINISTRY OF WATER AND IRRIGATION</t>
  </si>
  <si>
    <t>VOTE 3730: MINISTRY OF EDUCATION, TRAINING AND SKILLS DEVELOPMENT</t>
  </si>
  <si>
    <t>VOTE 3731: MINISTRY OF ROADS, PUBLIC WORKS &amp; TRANSPORT</t>
  </si>
  <si>
    <t>VOTE 3732: MINISTRY OF TRADE, INDUSTRY, MSMEs, INNOVATIONS &amp; COOPERATIVES</t>
  </si>
  <si>
    <t xml:space="preserve">VOTE 3733: ENERGY, ENVIRONMENT, FORESTRY, NATURAL AND MINERAL RESOURCES </t>
  </si>
  <si>
    <t>VOTE 3734: MINISTRY OF CULTURE, GENDER, YOUTH, ICT, SPORTS &amp; SOCIAL SERVICES</t>
  </si>
  <si>
    <t>VOTE 3735: MINISTRY OF FINANCE, ECONOMIC PLANNING AND REVENUE MANAGEMENT</t>
  </si>
  <si>
    <t xml:space="preserve">3736: MINISTRY OF AGRICULTURE AND LIVESTOCK </t>
  </si>
  <si>
    <t>VOTE 3737: MINISTRY OF LANDS, HOUSING &amp; URBAN DEVELOPMENT</t>
  </si>
  <si>
    <t xml:space="preserve">Major Roads ( support to dustless town programme-) - Tarmacking of 1.5km Kyusyani Sub County Headquarters. </t>
  </si>
  <si>
    <t>Lease/ Hire of Tractors and other Equipments (Hire of equipments) - 50kms per Ward translating to 2000kms in the County</t>
  </si>
  <si>
    <t xml:space="preserve">Major Roads (Roads construction works and maintenance of box culverts,drifts,gravelling, concrete slabs, gabions) - 1No. project per Ward and/ or crosscutting two ore more wards
</t>
  </si>
  <si>
    <t>Purchase of Motor Vehicles - Purchase of 3 Pool vehicles for the Ministry</t>
  </si>
  <si>
    <t>Pre-feasibility, Feasibility and Appraisal Studies - Training / Capacity Building of Contractors - 50No. Per Ward</t>
  </si>
  <si>
    <t>Non-Residential Buildings/ Construction of Offices Offices (Storm water drainage and associated civil works at Public Works Headquarters’ Block – Kshs. 2.0 Million)</t>
  </si>
  <si>
    <t xml:space="preserve">Public Communication and Protocol </t>
  </si>
  <si>
    <t>Construction of Roads - ( Road widening and Dozing works.) - New - 5kms per Ward translating to 200kms in the County</t>
  </si>
  <si>
    <t>Total Vote 3729</t>
  </si>
  <si>
    <t>Total Vote 3730</t>
  </si>
  <si>
    <t>Total Vote 3731</t>
  </si>
  <si>
    <t>Total Vote 3732</t>
  </si>
  <si>
    <t>Total Vote 3733</t>
  </si>
  <si>
    <t>Total Vote 3734</t>
  </si>
  <si>
    <t>Total Vote 3735</t>
  </si>
  <si>
    <t>Total Vote 3736</t>
  </si>
  <si>
    <t>Total Vote 3737</t>
  </si>
  <si>
    <t>VOTE 3730: MINISTRY OF EDUCATION, TRAINING &amp; SKILLS DEVELOPMENT</t>
  </si>
  <si>
    <t>VOTE 3733: MINISTRY OF ENERGY, ENVIRONMENT, FORESTRY, NATURAL &amp; MINERAL RESOURCES</t>
  </si>
  <si>
    <t>VOTE 3734: MINISTRY OF CULTURE, GENDER, YOUTH, ICT,SPORTS AND SOCIAL SERVICES</t>
  </si>
  <si>
    <t>VOTE 3735: FINANCE, ECONOMIC PLANNING &amp; REVENUE MANAGEMENT</t>
  </si>
  <si>
    <t>VOTE 3736: MINISTRY OF AGRICULTURE &amp; LIVESTOCK</t>
  </si>
  <si>
    <t>General Administration, Planning and Support Services</t>
  </si>
  <si>
    <t>Basic Salaries - Civil Servants</t>
  </si>
  <si>
    <t>Basic Salaries - County Assembly Members</t>
  </si>
  <si>
    <t>Contractual Employees</t>
  </si>
  <si>
    <t>Committees, Conferences and Seminars</t>
  </si>
  <si>
    <t>Tribunal Costs (Audit Committee)</t>
  </si>
  <si>
    <t>Board Allowances &amp; Seminars</t>
  </si>
  <si>
    <t>Buildings Insurance</t>
  </si>
  <si>
    <t>Medical Insurance</t>
  </si>
  <si>
    <t xml:space="preserve">Legal Dues/fees, Arbitration and Compensation Payments </t>
  </si>
  <si>
    <t>Ward Office Operations</t>
  </si>
  <si>
    <t>Other Operating Expenses - Fringe Benefit Tax</t>
  </si>
  <si>
    <t>Government Pension and Retirement Benefits</t>
  </si>
  <si>
    <t>Gratuity - Civil Servants</t>
  </si>
  <si>
    <t>Gratuity - Members of Parliament</t>
  </si>
  <si>
    <t>Purchase of Firefighting Vehicles and Equipment</t>
  </si>
  <si>
    <t>Purchase of a Generator</t>
  </si>
  <si>
    <t>Purchase of ICT Networking</t>
  </si>
  <si>
    <t xml:space="preserve"> Withholding Taxes </t>
  </si>
  <si>
    <t xml:space="preserve"> General Withholding Tax  </t>
  </si>
  <si>
    <t>Legislation, Representation and Oversight</t>
  </si>
  <si>
    <t>Personal Allowance Paid as Part of Salary</t>
  </si>
  <si>
    <t>Top-up House Allowance</t>
  </si>
  <si>
    <t>Domestic Servant Allowance</t>
  </si>
  <si>
    <t>County Assembly Attendance Allowance</t>
  </si>
  <si>
    <t>Ward Office Holders Allowance</t>
  </si>
  <si>
    <t>Legislation Total</t>
  </si>
  <si>
    <t>General Administration Recurrent Total</t>
  </si>
  <si>
    <t xml:space="preserve"> Budget Estimates 2024/25</t>
  </si>
  <si>
    <t>Projected Estimates 2026/27</t>
  </si>
  <si>
    <t>County Aggregation and Industrial Parks Programme</t>
  </si>
  <si>
    <t>Community Health Promoters</t>
  </si>
  <si>
    <t>Allocation for Court Fines</t>
  </si>
  <si>
    <t>Allocation for 20% Share of Mineral Royalties</t>
  </si>
  <si>
    <t>Pre-feasibility, Feasibility and Appraisal Studies</t>
  </si>
  <si>
    <t>Other Infrastructure and Civil Works (Repairs &amp; Rehabilitations) - Pending Bills as approved by PBRC</t>
  </si>
  <si>
    <t>Capacity building of water management committees</t>
  </si>
  <si>
    <t>Cash For Assets (CFA) Water pipeline extensions</t>
  </si>
  <si>
    <t>Subsidies to Non- Financial (other budget - KITWASCO/KIMWASCO)</t>
  </si>
  <si>
    <t>Training Expenses - Capacity Building of Farmers</t>
  </si>
  <si>
    <t>Construction of Cluster irrigation projects</t>
  </si>
  <si>
    <t>Construction of Farm Ponds</t>
  </si>
  <si>
    <t>Maintenance Expenses - Mechinery</t>
  </si>
  <si>
    <t>Maintainance of buldings-Refurbishment of CECM Office</t>
  </si>
  <si>
    <t xml:space="preserve">Research, Feasibility Studies </t>
  </si>
  <si>
    <t>Research, Feasibility Studies (Farmer Extension supervision  )</t>
  </si>
  <si>
    <t xml:space="preserve">Fungicides, Insecticides and Sprays </t>
  </si>
  <si>
    <t>Casual Labour - Tractor Operators</t>
  </si>
  <si>
    <t>Refined Fuels and Lubricants for Production-Tractor Ploughing</t>
  </si>
  <si>
    <t xml:space="preserve">Maintenanance of heavy Plant machinery &amp; Equipment </t>
  </si>
  <si>
    <t>Purchase of Agricultural Machinery and Equipment (Levelling kits)</t>
  </si>
  <si>
    <t>World Bank funded (NAVCD Project)-Counter part fund</t>
  </si>
  <si>
    <t>Casual Labour - AMS, ATC, Showground &amp; Mwingi Office</t>
  </si>
  <si>
    <t xml:space="preserve"> Purchase of Computers, Printers and other IT Equipment </t>
  </si>
  <si>
    <t>Research, Feasibility Studies (Extension and Advisory services programme)</t>
  </si>
  <si>
    <t>Improving the capacity of ATC to provide quality services to farmers/customers</t>
  </si>
  <si>
    <t>Agricultural Materials, Supplies and Small Equipment (ICT Equipements)</t>
  </si>
  <si>
    <t>Other Infrastructure and Civil Works (Refurbishment of ATC)</t>
  </si>
  <si>
    <t>Other Infrastructure and Civil Works (Upgrading Ithokwe Showground)</t>
  </si>
  <si>
    <t>Research, Feasibility Studies (Extension and Advisory services programme )</t>
  </si>
  <si>
    <t>Maintenance of building and station - non residential</t>
  </si>
  <si>
    <t>Aquaculture Development</t>
  </si>
  <si>
    <t>Dam stocking</t>
  </si>
  <si>
    <t>Agricultural Materials, Supplies and Small Equipment (To Procure and assign transport units)</t>
  </si>
  <si>
    <t>Livestock Breed improvement (Goat and Dairy Breeds)</t>
  </si>
  <si>
    <t>Research, Feasibility Studies (Extension and Advisory services programme,Improve extension skills of extension staff)</t>
  </si>
  <si>
    <t>Purchase of Vaccines with Vaccination Services</t>
  </si>
  <si>
    <t>Casuals Labour-other for 147 casuals working in Township ward,Kwa Vonza shopping centre,Nzambani ward(Chuluni&amp;mwembe Tayari),Kyangwitya west ward(Kyamathyaka,Nduumoni,Itoleka,Ithiani&amp;Mulutu),Kyangithya East ward(Kwa Ngindu,Mutune&amp;Museve),Matinyani ward(Matinyani Market),Mulango ward(Katulani&amp;wikililye)</t>
  </si>
  <si>
    <t>Water and Sewarage Charges(Offices,&amp;4public toilets in town ).</t>
  </si>
  <si>
    <t xml:space="preserve">Catering Services (receptions) </t>
  </si>
  <si>
    <t>Board Committees, Conferences and Seminars allowances for municipality board members</t>
  </si>
  <si>
    <t>Refined Fuels and Lubricants for Transport( Two Double cabs, Six waste management Vehicles &amp; one Fire Engine,  two Firefighting Motorbikes and five motorbikes for revenue collection Cater deficit for remaining five months</t>
  </si>
  <si>
    <t>Routine Maintenance of office generator and cleansing tools and equipment(Repair of rakes, wheelbarrow and skipbins)</t>
  </si>
  <si>
    <t>Installation and Maintanance  of Street/Security lights in Municipality (Solar powered with concrete post) Within Municipality</t>
  </si>
  <si>
    <t>Construction of pedestrian walkways Huduma Centre-Kitui Amenity Gate-300M</t>
  </si>
  <si>
    <t>Marking of parking slots in Kitui Town</t>
  </si>
  <si>
    <t>Water and Sewarage Charges(Offices,4No.public toilets in town-water boozer ).</t>
  </si>
  <si>
    <t xml:space="preserve">Daily Subsistance Allowance ( (Revenue collectors during market days and public  holidays)on Monday and Thursday every week </t>
  </si>
  <si>
    <t>Recording of all businesses in the municipality and updating the register to enhance own source revenue</t>
  </si>
  <si>
    <t xml:space="preserve">Construction of new barrier point along Kitui-Kibwezi road </t>
  </si>
  <si>
    <t>Installation of revenue collection booths-4</t>
  </si>
  <si>
    <t>Water and Sewarage Charges(slaughter house).</t>
  </si>
  <si>
    <t xml:space="preserve">Purchase of Uniforms and Clothing </t>
  </si>
  <si>
    <t>Grading and Gravelling Works St. Ursula-Isangwa-Green Africa-Signal Hotel Road-1KM</t>
  </si>
  <si>
    <t>Upgrading Roads to Bitumen Standard, Thome wa Akristo -St. Raphael Catholic Pre School-0.5KM</t>
  </si>
  <si>
    <t xml:space="preserve">Construction of pedestrian walkways from Muslim Primary- Masjid Noor Mosque-0.25KM
</t>
  </si>
  <si>
    <t>Construction of Car parking area from Magunas-Kalundu River Bridge with Drainage Works and construction of Footbridges-0.25KM</t>
  </si>
  <si>
    <t>Road opening from Delta to Seku town campus with drift construction-1KM</t>
  </si>
  <si>
    <t>Review of existing ISUDP, Data collection, Validation workshop, Approval and official launch</t>
  </si>
  <si>
    <t>Fabrication and Installation of two Barrier point at Kunda Kindu bus Entry and Syongila barrier-2</t>
  </si>
  <si>
    <t>Construction of four door pit latrine at Kwa Kinyai shopping Centre</t>
  </si>
  <si>
    <t>Purchase of Uniforms and Clothing - Casual Cleaners, watchment and Loaders</t>
  </si>
  <si>
    <t>Maintenance Expenses-vehicle repair and service</t>
  </si>
  <si>
    <t>Routine Maintenance  - Motor Vehicles(.waste management vehicles)</t>
  </si>
  <si>
    <t>Landscape and plant flowers and ornamental shrubs –flower garden along hospital perimeter wall from Huduma Centre to Rubis Petrol Stationuse</t>
  </si>
  <si>
    <t>Grow assorted 1000 shrubs (ornamental) in Kitui town especially along the streets and</t>
  </si>
  <si>
    <t>Purchase, label and distribute plastic   waste receptacles (medium for households and large for business premises)-pilot project</t>
  </si>
  <si>
    <t>Purchase of Assorted  Cleaning Tools and Equipment</t>
  </si>
  <si>
    <t>Trade Shows and Exhib. (Kitui Agric. show)</t>
  </si>
  <si>
    <t>Purchase of Uniforms and Clothing - Staff &amp; cleansing sec.</t>
  </si>
  <si>
    <t>Other Infrastructure and Civil Works- (Cabro paving works alongKyuso Junction road next to KANU Hall)</t>
  </si>
  <si>
    <t>Other infrastructure and civil works (3rd Phase of Rehabilitation of street lights)</t>
  </si>
  <si>
    <t>Refurbishment of Non-Residential Buildings (General maintenance of Non-Residentials)</t>
  </si>
  <si>
    <t>Accommodation Allowance for training</t>
  </si>
  <si>
    <t>Catering Services (receptions), Accommodation, Gifts, Food &amp; Drinks (Hotel Catering Services</t>
  </si>
  <si>
    <t>Construct. Bldgs - Other (Public toilets at Thokoa and Musuuani markets )</t>
  </si>
  <si>
    <t>Other infrastructure and civil works (Installation of  solar ‘Mulika Mwizi’ at Kyomo/Kyethani, Waita and Migwani wards)</t>
  </si>
  <si>
    <t>Other infrastructure and civil works (Grading and slab construction  along Kiberiti – Kwa Mukeni road)</t>
  </si>
  <si>
    <t>Other Infrast./Civil Works  (Construction of open storm water  drains along Ideal-Kathonzweni road (phase 2)</t>
  </si>
  <si>
    <t>Other Infrast./Civil Works  (Construction of stone fence at Mwingi Slaughterhouse)</t>
  </si>
  <si>
    <t>Other Infrast./Civil Works  (Installation of highmast floodlight between Police line and St. Gabriel school)</t>
  </si>
  <si>
    <t>Other Infrast./Civil Works  (Construction of open storm water  drainage along Kitui Teachers Sacco Junction to AIC Township road )</t>
  </si>
  <si>
    <t xml:space="preserve">General Office Supplies (papers, pencils, forms,Furnitures,small office equipment etc) </t>
  </si>
  <si>
    <t>Supplies and Accessories for Computers,Printers,Cameras and other devices</t>
  </si>
  <si>
    <t>Maintenance of GIS labaratory</t>
  </si>
  <si>
    <t>Equipping and updating of County Land registry</t>
  </si>
  <si>
    <t>Support for land titling and adjudication</t>
  </si>
  <si>
    <t>Supplementary Valuation roll</t>
  </si>
  <si>
    <t>Geo refferenced market layouts in each of 8 subcounties</t>
  </si>
  <si>
    <t>Pending bills</t>
  </si>
  <si>
    <t>Beautification along the urban roads and urban open spaces in the 6 Urban areas</t>
  </si>
  <si>
    <t>Preparation of Integrated Urban development plans for upcoming urban areas</t>
  </si>
  <si>
    <t>Fencing of Kyuso Town buspark and dumpsite</t>
  </si>
  <si>
    <t>Construction of Transfer stations and installation of assorted dust bins at upcoming Urban Areas</t>
  </si>
  <si>
    <t>Installation,repair and maintain 300 integrated solar energy street lights in upcoming urban areas</t>
  </si>
  <si>
    <t>Dustless Towns</t>
  </si>
  <si>
    <t>Walk ways, Culverts, Storm water drains in the upcoming Urban areas</t>
  </si>
  <si>
    <t>Improve the Mutomo dumpsite access road( Grading and Gravelling)</t>
  </si>
  <si>
    <t xml:space="preserve">Construction and  desiliting of 600M stormwater drainage channels in the upcoming Urban </t>
  </si>
  <si>
    <t xml:space="preserve">Kenya Urban Support Project ( UIG) - World Bank </t>
  </si>
  <si>
    <t>Installation of cabro paved walkways and parking slots in the  upcoming  urban areas</t>
  </si>
  <si>
    <t>Internet Connections ( Wifi maintenance costs)</t>
  </si>
  <si>
    <t>Communication, Supplies-other (Installation and extension of PABX telephone system</t>
  </si>
  <si>
    <t>Training Expenses - Other (refresher courses on livelihood value addition initiatives)</t>
  </si>
  <si>
    <t xml:space="preserve">Contracted guards and cleaning services </t>
  </si>
  <si>
    <t>Purchase of photocopiers</t>
  </si>
  <si>
    <t>Advertising, Awareness and Publicity Campaigns (Public participation on market management , market elections , market mapping , market categorizing and market launch)</t>
  </si>
  <si>
    <t>Acommodation allowance</t>
  </si>
  <si>
    <t xml:space="preserve">Refined Fuels and Lubricants for Transport </t>
  </si>
  <si>
    <t xml:space="preserve">Maintenance expenses -Motor vehicle  </t>
  </si>
  <si>
    <t>Development and improvement of a policy for trade and 
markets)</t>
  </si>
  <si>
    <t>Market infrastructure and livestock market development</t>
  </si>
  <si>
    <t>Market infrastructure and livestock market development- (pending bills)</t>
  </si>
  <si>
    <t>Other civil works(Installation of Market Security Lights)</t>
  </si>
  <si>
    <t>Other civil works(Establishment of dumping sites and waste bins in the markets)</t>
  </si>
  <si>
    <t>Training Expenses-KCAIP Administration</t>
  </si>
  <si>
    <t>Maintainance of equipment(Crusher Valuations equipments and machines)</t>
  </si>
  <si>
    <t>Purchase of Bicycles and  motocycles</t>
  </si>
  <si>
    <t>Establishment of aggregation and industrial park at the Economic and Investment zone ( CAIP)</t>
  </si>
  <si>
    <t>Establishment of aggregation and industrial park -Grant</t>
  </si>
  <si>
    <t>operationalization of the County’s Economic and Investment Zones (EIZs)</t>
  </si>
  <si>
    <t>Research,feasibility studies(Consultancy on the County Industrial Parks - Multiyear 
project</t>
  </si>
  <si>
    <t>Research,feasibility studies(Development and establishment of Value addition of 
value chains (Cereals and Pulses, Horticulture, 
Livestock, Apiculture, Textile and Apparel and Forest, 
Forestry)</t>
  </si>
  <si>
    <t>Hire of training facilities and Equipment-(Cooperators training )</t>
  </si>
  <si>
    <t>Project Allowance -Cooperative societies exchange visits</t>
  </si>
  <si>
    <t>Training Expenses- training cooperatives on value addition and processing</t>
  </si>
  <si>
    <t>Trainee allowance-(Conduct Cooperative societies governance training workshops)</t>
  </si>
  <si>
    <t>Boards, Committees, Conferences and Seminars(Attend Cooperative Societies General &amp; Management 
Committee Meetings)</t>
  </si>
  <si>
    <t>Temporary commitees expenses-Inspection of cooperative societies</t>
  </si>
  <si>
    <t>Promote formation &amp; registration of new cooperative societies</t>
  </si>
  <si>
    <t>Pre-Feasibility, Feasibility and Appraisal Studies (Kitui County coopperative bill &amp; Kitui county cooperative policy)</t>
  </si>
  <si>
    <t>Advertising, Awareness and Publicity Campaigns-(Brand all ongoing county projects with standard county 
brand colours and architecture including branding of the 
County Industrial Parks;Branded roll-up banners for all ministries, highlighting 
ministry vision. mission and objectives, duties and responsibilities, to be strategically placed at each 
ministry’s main gates)</t>
  </si>
  <si>
    <t>Pre-feasibility, Feasibility and Appraisal Studies (Active participation in various sales and marketing 
activities to create product and services awareness)</t>
  </si>
  <si>
    <t>Other civil works(Installation of  county-branded light boxes to be used to generate advertising revenues)</t>
  </si>
  <si>
    <t>KSG</t>
  </si>
  <si>
    <t>Membership Fees, Dues and Subscriptions to Professional and Trad</t>
  </si>
  <si>
    <t xml:space="preserve">M&amp;E of ECDE programmes </t>
  </si>
  <si>
    <t>Purchase of Office Furniture and General Equipment (Furniture for Sub County ECDE Coordinators)</t>
  </si>
  <si>
    <t>Non-residential buildings- Pending Bills</t>
  </si>
  <si>
    <t>To improve hygiene and sanitation in ECDE centres (WASH Programme)</t>
  </si>
  <si>
    <t>Advertising, Awareness and Publicity Campaigns- Destigmatizing of VTCs through sensitization campaigns</t>
  </si>
  <si>
    <t>Boards, Committees, Conferences and Seminars Support reqular meetings for Boards of Management of VTCs for updates)</t>
  </si>
  <si>
    <t>Mounting of workshops for Training Officers, VTC managers and instructors</t>
  </si>
  <si>
    <t>Pending Bills</t>
  </si>
  <si>
    <t>pre-Feasibility, Feasibility and Appraisal Studies</t>
  </si>
  <si>
    <t>Regular Assessment of Curriculum implementation and management of VTCs</t>
  </si>
  <si>
    <t>Purchase of Educational Aids and Related Equipment (Educational and awareness creation materials)</t>
  </si>
  <si>
    <t>Purchase tree seeds and seedlings (Pending Bills)</t>
  </si>
  <si>
    <t>Other Infrastructure and Civil Works (Installation of solar security lights in upcoming markets in Kitui County)</t>
  </si>
  <si>
    <t xml:space="preserve">3110599 </t>
  </si>
  <si>
    <t xml:space="preserve">Other Infrastructure and Civil Works (Maintenance of solar security lights in upcoming markets in Kitui County) </t>
  </si>
  <si>
    <t>Other Infrastructure and Civil Works (Installation of solar powered water pumping system)</t>
  </si>
  <si>
    <t>Other Infrastructure and Civil Works (Pending Bills)</t>
  </si>
  <si>
    <t>Specialised Materials (Tools of work)</t>
  </si>
  <si>
    <t>Purchase of Motor Vehicles ( 2 double cabin pick - ups @8.5 million)</t>
  </si>
  <si>
    <t>Purchase of Bicycles and Motorcycles ( 5 motorcycles @ 300,000 )</t>
  </si>
  <si>
    <t xml:space="preserve">Environmental Management Plans </t>
  </si>
  <si>
    <t xml:space="preserve">Establishment of Aggregation sites </t>
  </si>
  <si>
    <t xml:space="preserve">Development and implementation of Basin Based Environmental Management Plans </t>
  </si>
  <si>
    <t>Pre-feasibility, Feasibility and Appraisal Studies (Community sensitization in mineral reach areas)</t>
  </si>
  <si>
    <t>Research (Establishment of Mineral Database)</t>
  </si>
  <si>
    <t>Advertising, Awareness and Publicity Campaigns - Organize a youth entrepreneurship  and innovation challenge within the County (Plug Mtaani)</t>
  </si>
  <si>
    <t>Training Expenses - Conduct trainings on youth employment and leadership</t>
  </si>
  <si>
    <t>Prefeasibility - Youth Empowerment and development Policy</t>
  </si>
  <si>
    <t>Other Infrastructure and Civil Works - Pending Bills</t>
  </si>
  <si>
    <t xml:space="preserve">Membership Fees, Dues and Subscriptions to Professional and Trade Bodies </t>
  </si>
  <si>
    <t>Purchase of ICT networking and Communications Equipment - Equip at least 2 VTCs with ICT equipment’s at an average cost of 1,600,000 per centre</t>
  </si>
  <si>
    <t>Purchase of ICT networking and Communications Equipment - Installation of Wi-Fi in vocational training centres</t>
  </si>
  <si>
    <t>Other Infrastructure and Civil Works - Establishment of Kitui County Innovation Hub (KCIH)</t>
  </si>
  <si>
    <t>Acquisition of Land - Purchase land for construction of Kyuso Stadium</t>
  </si>
  <si>
    <t>Other Infrastructure and Civil Works - Grading, levelling, chain link fencing, erection of two gates, installation of football goal posts, volleyball posts for boys and girls and construction of 4-door pit latrine</t>
  </si>
  <si>
    <t>Advertising, Awareness and Publicity Campaigns - Community GBV Sensitization Programs</t>
  </si>
  <si>
    <t>Project Allowance - Socio-economic empowerment for women groups.</t>
  </si>
  <si>
    <t>National Celebrations - International Days Celebrated (International women’s day, Day for the people with disability celebrated</t>
  </si>
  <si>
    <t>Temporary Committees Expenses - Cascading of gender mainstreaming committee at ward level</t>
  </si>
  <si>
    <t>Acquisition of Land - Purchase land for construction of Kyuso Social Hall</t>
  </si>
  <si>
    <t>Other Infrastructure and Civil Works - construction of Kyuso Social Hall</t>
  </si>
  <si>
    <t xml:space="preserve">Field Training Attachments </t>
  </si>
  <si>
    <t>National Celebrations ( Cultural day) - Hosting cultural festival (Exhibitions and performances on Kamba culture)</t>
  </si>
  <si>
    <t>Pre-feasibility, Feasibility and Appraisal Studies (Develop the Kitui County Culture and Heritage Policy)</t>
  </si>
  <si>
    <t>Other civil works - Construction of sump-well and solarisation at Lower Eastern Heritage Centre</t>
  </si>
  <si>
    <t>Training Expenses - To conduct Community sensitization programs on AGPO</t>
  </si>
  <si>
    <t>Purchase of Safety Gears - To procure and distribute Assistive Devices  for PWDs</t>
  </si>
  <si>
    <t>Non-Residential Buildings/ Construction of Offices Offices  - Refurbishment and renovation work at Kitui
South, Public Work&amp;#39;s HQs Offices and
Mechanical &amp;amp;
Transport Offices</t>
  </si>
  <si>
    <t xml:space="preserve">Other Infrastructure and Civil Works - Construction of Office block at Kitui East(Zombe)
</t>
  </si>
  <si>
    <t xml:space="preserve">Other Infrastructure and Civil Works - Construction of Office block at Mwingi North(Kyuso)
</t>
  </si>
  <si>
    <t xml:space="preserve">Major Roads (Fuel Levy - Grant Revote) RMLF
</t>
  </si>
  <si>
    <t>Construction of Roads - ( Road widening works.) - Cash For Assets (CFA) Programme - Bush and Road Clearance</t>
  </si>
  <si>
    <t xml:space="preserve">Major Roads (pending bills - Outstanding commitments for FY 2023-24) </t>
  </si>
  <si>
    <t>Purchase of Workshop Tools, Spares and Small Equipment - Wearing parts of Equipments</t>
  </si>
  <si>
    <t>Refined  Lubricants for Transport</t>
  </si>
  <si>
    <t xml:space="preserve">Pre-feasibility, Feasibility and Appraisal Studies - Training </t>
  </si>
  <si>
    <t>Boda Boda Sector - Pending bills</t>
  </si>
  <si>
    <t>Purchase of various Mechanical and other relevant equipment - Purchase of 1No. Heavy Plant Machinery (1 Grader)</t>
  </si>
  <si>
    <t>Pre-feasibility, Feasibility and Appraisal Studies - Training of 1,000No. Boda boda riders to issuance of Smart Driving Licences</t>
  </si>
  <si>
    <t xml:space="preserve">Pre-feasibility, Feasibility and Appraisal Studies -Develop Boda-boda Policy </t>
  </si>
  <si>
    <t>Pre-feasibility, Feasibility and Appraisal Studies - Purchase and Issuance of safety riding gears to 2,000No. (FY 2024/2025 trained Riders-helmets, reflectors</t>
  </si>
  <si>
    <t>Internet Connections (Wifi maintenance costs)</t>
  </si>
  <si>
    <t>KDSP</t>
  </si>
  <si>
    <t xml:space="preserve"> Temporary Committees Expenses </t>
  </si>
  <si>
    <t>Pre-feasibility, Feasibility and Appraisal Studies-(county statistical abstract)</t>
  </si>
  <si>
    <t>Pre-feasibility, Feasibility and Appraisal Studies - (county sectoral plan)</t>
  </si>
  <si>
    <t>3110704</t>
  </si>
  <si>
    <t>Purchase of Bicycles and Motorcycles (4 motorcycles for revenue collectors)</t>
  </si>
  <si>
    <t xml:space="preserve">Trainee Allowance </t>
  </si>
  <si>
    <t>Other Infrastructure and Civil Works (Construction of Entrance gate and sentry at George Adamson in Mwingi National Reserve)</t>
  </si>
  <si>
    <t>Research Allowance (Development of Tourism support infrastructure  nature trails and camping structures at Mumoni and Mutitu Hills IBAs.)</t>
  </si>
  <si>
    <t xml:space="preserve">Other Infrastructure and Civil Works (Establishment of Mutomo Reptile  Park: Construction of crocodile pen, construction of snake house floor and ceiling, and stocking of the reptile park) </t>
  </si>
  <si>
    <t>2210807</t>
  </si>
  <si>
    <t>Medals, Awards and Honors (Performance Contracting Awards)</t>
  </si>
  <si>
    <t>Contracted Professional Services (Evaluation and ranking 
of the departments (2 Weeks) done 
by independent evaluators)</t>
  </si>
  <si>
    <t>Other Operating Expenses (Enhanced Budget for Monitoring of performance of  Performance Contract Indicators by Ministries)</t>
  </si>
  <si>
    <t>Other Infrastructure and Civil Works (Construction and rehabilitation of projects affected by disasters and response to cases of emergencies)</t>
  </si>
  <si>
    <t>Other Infrastructure and Civil Works (Construction and installation of ICT infrastructure at the Emergency Response Centre)</t>
  </si>
  <si>
    <t xml:space="preserve">Other Infrastructure and Civil Works (Construction of Phase II Emergency 
Response Center) 
</t>
  </si>
  <si>
    <t>Catering Services (receptions), Accommodation, Gifts, Food and Drinks)</t>
  </si>
  <si>
    <t>Catering Services (receptions), Accommodation, Gifts, Food and Drinks)-Pending bills</t>
  </si>
  <si>
    <t>National Celebrations: Jamhuri @6M</t>
  </si>
  <si>
    <t xml:space="preserve">Hospitality Supplies –Others (Governor’s Residence Reception) </t>
  </si>
  <si>
    <t>Medical Insurance (Group Cover Insurance)</t>
  </si>
  <si>
    <t>Refined Fuels and Lubricants for Transport- facilitate GVN movement</t>
  </si>
  <si>
    <t>Contracted Guards and Cleaning Services-procure sanitary bins disposal</t>
  </si>
  <si>
    <t xml:space="preserve">Temporary Committee Expenses </t>
  </si>
  <si>
    <t xml:space="preserve"> Purchase of Airconditioners, Fans and Heating Appliances-fitting GVN boardroom</t>
  </si>
  <si>
    <t>Non-Residential Buildings-Construction of Additional office space</t>
  </si>
  <si>
    <t>Non-Residential Buildings-Construction of Enforcement Office Block</t>
  </si>
  <si>
    <t xml:space="preserve">3111108 </t>
  </si>
  <si>
    <t>Purchase of Police and Security Equipment-CCTV surveillance for GVN Block</t>
  </si>
  <si>
    <t>Other Infrastructure and Civil Works - CLIDP Pending Bills</t>
  </si>
  <si>
    <t>2211031</t>
  </si>
  <si>
    <t>Specialised Materials - Other (Enforcement barrets, touch)</t>
  </si>
  <si>
    <t>Maintenance of Buildings and Stations - Non-Residential</t>
  </si>
  <si>
    <t>Research (Formulation of enforcement policy)</t>
  </si>
  <si>
    <t xml:space="preserve">Catering Services (receptions), Accommodation, Gifts, Food and Drinks) </t>
  </si>
  <si>
    <t>Total Current</t>
  </si>
  <si>
    <t>0704023710 SP 4.1 Human Resource Management Unit</t>
  </si>
  <si>
    <t>Human Resource Reforms (Digitization of HR payroll system)</t>
  </si>
  <si>
    <t>Research (Formulation of human resource development policy)</t>
  </si>
  <si>
    <t>0705023710 SP 5.1 Special Programmes</t>
  </si>
  <si>
    <t>0707023710 SP 7.1 Policy Development and Coordination</t>
  </si>
  <si>
    <t>Research (Design of policy repository)</t>
  </si>
  <si>
    <t>Total Recurrent Budget-PSMGA</t>
  </si>
  <si>
    <t>Total Development Budget-PSMGA</t>
  </si>
  <si>
    <t>Total Public Service Management and General Administration Department</t>
  </si>
  <si>
    <t>0706023710 SP 4.1 Records Management</t>
  </si>
  <si>
    <t>3111112</t>
  </si>
  <si>
    <t>Purchase of Software (Record Management Information System)</t>
  </si>
  <si>
    <t>0708003710 P8: Head of Public Service Administration (Office of the County Secretary)</t>
  </si>
  <si>
    <t>0704013710 SP 8.1 General Administration - County Secretary</t>
  </si>
  <si>
    <t>0709003710 P9: Cabinet Affairs</t>
  </si>
  <si>
    <t>0709013710 SP 9.1 Cabinet Affairs</t>
  </si>
  <si>
    <t>Catering Services (receptions), Accommodation, Gifts, Food and Drinks)- To cater for cabinets sessions</t>
  </si>
  <si>
    <t>Total Office of the County Secretary</t>
  </si>
  <si>
    <t>Total Recurrent Budget-PSMGA and CS</t>
  </si>
  <si>
    <t>Total Development Budget-PSMGA and CS</t>
  </si>
  <si>
    <t>Total PSMGA Department and CS Office</t>
  </si>
  <si>
    <t xml:space="preserve">Maintenance of Building and stations-non residential- Customer care desk refurbishment </t>
  </si>
  <si>
    <t>Temporary Committees Expenses (Formulation of Kitui Vision for Economic &amp; Social Transformation- KIVEST II)</t>
  </si>
  <si>
    <t>Advertising, Awareness and Publicity Campaigns( Investor Conference documentary)</t>
  </si>
  <si>
    <t>Other Operating Expenses-Other</t>
  </si>
  <si>
    <t xml:space="preserve">3111004 </t>
  </si>
  <si>
    <t>Purchase of Exchanges and other Communications Equipment (Purchase of a podium with portable Mic)</t>
  </si>
  <si>
    <t>General Office Supplies (papers, pencils, forms, small office equipment) - Pending Bills</t>
  </si>
  <si>
    <t>Boards, Committees, Conferences and Seminars(Liason commitees)</t>
  </si>
  <si>
    <t>Other Operating Expenses-   (Council of Governors Activities, Intergovernmental,SEKEB,  intra and intercounty activities)</t>
  </si>
  <si>
    <t>SEKEB  and Intergovernmental Relations</t>
  </si>
  <si>
    <t>Boards, Committees, Conferences and Seminars ( cater for Implementation and Operationalization of intergovernmental relation Acts and Sekeb-(and Commitees expenses) ,</t>
  </si>
  <si>
    <t>Purchase of Office Furniture and Fittings(Furnishing of Sekeb offices)</t>
  </si>
  <si>
    <t>Training Expenses-Other (PROTOCAL UNIT)</t>
  </si>
  <si>
    <t>Casual Labour(Casuals- Market 235 casuals, Cleaners’ engagement (233) casual/market cleaners for 20 days per month @ksh.411 amounting to ksh.1,915,260 Monthly hence ksh. 22,983,120. per annum.Cleaners’ engagement (2) Kabati market; for 30 days per month @ksh.411 amounting to 24,660 Monthly hence ksh. 295,920 per annum.Employers’ contribution on Nssf @ 6% and 1.5% Housing levy) amounting to Ksh.1,745,927 )</t>
  </si>
  <si>
    <t xml:space="preserve">Other Operating Expenses-Other </t>
  </si>
  <si>
    <t xml:space="preserve"> Purchase of Airconditioners, Fans and Heating Appliances</t>
  </si>
  <si>
    <t>Purchase of Office Furniture and Fittings( Furnishing all the 247 Village administrators offices across the County)</t>
  </si>
  <si>
    <t xml:space="preserve"> Pre-feasibility, Feasibility and Appraisal Studies</t>
  </si>
  <si>
    <t xml:space="preserve">Construction of Buildings  (Construction of three (3) police stations (Tseikuru, Nuu and Kanziku) </t>
  </si>
  <si>
    <t>Construction of Buildings  (Pending Bills)</t>
  </si>
  <si>
    <t xml:space="preserve"> Kenya School of Government</t>
  </si>
  <si>
    <t>Training Expense (including capacity building+ Training of Health facility management committees)</t>
  </si>
  <si>
    <t xml:space="preserve">Pending bill- Catering Services </t>
  </si>
  <si>
    <t>Legal Dues/fees, Arbitration and Compensation Payments</t>
  </si>
  <si>
    <t>Maintenance expenses- motor vehicle ( ambulances + utility vehicles)</t>
  </si>
  <si>
    <t>Pending bill- Maintenance expenses- motor vehicle ( ambulances )</t>
  </si>
  <si>
    <t>Operationalization of Integrated Health management information system(IHMIS) in hospitals</t>
  </si>
  <si>
    <t>Sub-County Health Management Team support programme</t>
  </si>
  <si>
    <t>Construction of a kitchen at Kyuso sub-county hospital</t>
  </si>
  <si>
    <t>Completion and operationalization of kitchen at Migwani sub-county hospital</t>
  </si>
  <si>
    <t>Construction of Kyuso general theatre</t>
  </si>
  <si>
    <t>Construction of Kyuso female Ward</t>
  </si>
  <si>
    <t>Construction of Kyuso Paediatric Ward</t>
  </si>
  <si>
    <t>Continuation of construction of stalled Kitui County referral hospital Amenity/ Surgical Ward</t>
  </si>
  <si>
    <t>Continuation of construction of Nzamba Kitonga Memorial Hospital</t>
  </si>
  <si>
    <t>Continuation of Construction of renal centre KCRH</t>
  </si>
  <si>
    <t>Continuation of Construction of medical/female ward at Mwingi Level IV hospital (stalled)</t>
  </si>
  <si>
    <t>Initiate upgrading of Sosoma dispensary to a level 3B</t>
  </si>
  <si>
    <t>Initiate construction of Mwakini dispensary</t>
  </si>
  <si>
    <t>Continuation of upgrading of Mbitini health centre to a level 3B</t>
  </si>
  <si>
    <t>Continuation of Upgrading of Kanziko health centre to a level 3B</t>
  </si>
  <si>
    <t>Initiate upgrading of Katse health centre to a level 3B</t>
  </si>
  <si>
    <t>Continuation of Upgrading of Endau dispensary to a level 3B</t>
  </si>
  <si>
    <t>Continuation of Upgrading of Tiva dispensary to a level 3B</t>
  </si>
  <si>
    <t>Completion of Kauwi Sub-County Hospital theatre(Walkway, water tank installation,gas cubicles, drainage and electrical works)</t>
  </si>
  <si>
    <t>Renovations of primary health facilities (Tharaka and Yanzuu health centres)</t>
  </si>
  <si>
    <t>Continuation of construction of perimeter wall and chain-link Fencing at Mwingi level 1V hospital (stalled)</t>
  </si>
  <si>
    <t>Continuation of construction of perimeter wall and chain-link Fencing at KCRH</t>
  </si>
  <si>
    <t>264099</t>
  </si>
  <si>
    <t xml:space="preserve">Pending bills- KITUI COUNTY REFERRAL </t>
  </si>
  <si>
    <t>Pending bills-MWINGI SUB COUNTY HOSPITAL</t>
  </si>
  <si>
    <t>0402013710 OTHER CURRENT TRANSFERS-OTHER</t>
  </si>
  <si>
    <t>Universal Healthcare in Devolved System Program from DANIDA - support for  Health centres &amp; dispensaries</t>
  </si>
  <si>
    <t>Total Recurrent Medical Services</t>
  </si>
  <si>
    <t>Total Development Medical Services</t>
  </si>
  <si>
    <t xml:space="preserve">Advertising, Awareness and Publicity Campaigns(printing of assorted registers and reporting tools  for community health services) </t>
  </si>
  <si>
    <t xml:space="preserve"> Other Current Transfers, Grants and Subsidies</t>
  </si>
  <si>
    <t xml:space="preserve"> Other Current Transfers - Other (Community Health Promoters grant)</t>
  </si>
  <si>
    <t>Procurement of cold chain equipment  for Usiani dispensary,Makongo dispensary, Ilika dispensary,Kakeani health centre, Mwala dispensary, Nyaani dispensary,  mbondoni dispensary and Usueni dispensary</t>
  </si>
  <si>
    <t>Procurement of paqua lab (water quality analysis)</t>
  </si>
  <si>
    <t>Purchase of 2 coolers for Kyuso mortuary</t>
  </si>
  <si>
    <t>Pending bill- Repair of mortuary coolers at Mutomo Sub-County hospital</t>
  </si>
  <si>
    <t xml:space="preserve">Completion and equipping of KCRH and Mwingi level IV mortuaries </t>
  </si>
  <si>
    <t xml:space="preserve">Pending bill- Construction of KCRH mortuary by millenium stores ltd </t>
  </si>
  <si>
    <t>Construction of  pit latrines for  health care facilities- at Zombe sub-county hospital, Kiomo dispensary, Tulia health centre, Kamayangi dispensary, Kangalu dispensary,Ngiluni dispensary (Mwingi Central), Ngaaka Yakwa dispensary and Wii dispensary</t>
  </si>
  <si>
    <t>0404043710 PRIMARY CARE NETWORKS (Establishment and Strengthening  of primary care networks in the county (training and sensitization)</t>
  </si>
  <si>
    <t>Other Fuels (wood, charcoal, cooking gas etc?)</t>
  </si>
  <si>
    <t>Maintenance expenses-  motor cycles</t>
  </si>
  <si>
    <t>Domestic Travel and Subsistence, and Other Transportation Costs (Baby Friendly Community Initiative (BFCI- Nutrition promotion activities for under-fives) and malezi bora programme(Vitamin A supplementation and deworming)</t>
  </si>
  <si>
    <t>Trade Shows and Exhibitions (Commemorate World Health days, agricultural show and trade fair)</t>
  </si>
  <si>
    <t xml:space="preserve">Daily Subsistence Allowance  </t>
  </si>
  <si>
    <t>Advertising, Awareness and Publicity Campaigns (Printing and Distribution of assorted Registers and Summary tools)</t>
  </si>
  <si>
    <t xml:space="preserve">Pending bill-Catering Services </t>
  </si>
  <si>
    <t>Maintenance of Medical and Dental Equipment (maintenance of haematology,  biochemistry, CT scan, Ultra sound machines, mortury coolants,washing machines, generators, renal dialysis machine,anaesthesia,oxygen analyser, ECG machines, water purification machine at the dialysis unit)</t>
  </si>
  <si>
    <t xml:space="preserve">Purchase of Computers, Printers and other IT Equipment </t>
  </si>
  <si>
    <t>Equipping Laboratory Units in 4 hospitals with: Semi automated hematology analyser.The facilities are: Mutomo,Katulani, Kanyangi and Kyuso hospitals for all round diagnosis</t>
  </si>
  <si>
    <t>Equiping of 2 hospitals with bio safety cabinets each at Kshs. 1,500,000. These include KCRH, Mwingi level iv hospital  for screening of TB and other contagious diseases</t>
  </si>
  <si>
    <t>Purchase of 2 microscopes for Mutitu hospital and Mwitika health centre</t>
  </si>
  <si>
    <t>Purchase of laundry machine for KCRH (electrolux washer 45kgs) to replace the obsolete one</t>
  </si>
  <si>
    <t>Purchase of dental chair for KCRH to replace the current obsolete dental chair</t>
  </si>
  <si>
    <t>Equipment to operationalize 3 completed maternity units (Malalani health centre, Nguni health centre,  Kauma health centre)</t>
  </si>
  <si>
    <t>Purchase of medical equipment for rehabilitation departments Mwingi Level IV Hospital for orthopaedic technology</t>
  </si>
  <si>
    <t>Continuation of equipping of surgical/amenity ward at mwingi level IV hospital enhance healthcare delivery in the facility</t>
  </si>
  <si>
    <t>Purchase of 3 incubators for Mwingi level iv hospital (1), KCRH(1),Tseikuru(1)</t>
  </si>
  <si>
    <t xml:space="preserve">Purchase of CPAP machines for five newborn units KCRH , Mwingi level IV Kanyangi, Kauwi and  Tseikuru </t>
  </si>
  <si>
    <t>Equipping of 8 primary health facilities one per sub-county based on priority needs with essential basic equipment (Blood Pressure Machines, Thermometers, Pulse Oximeters, Adult weighing scale, Newborn weighing scales and Stethoscopes, etc) Tharaka health centre, Waita health centre, Thitani health centre, Kwa Mutonga health centre, Tiva dispensary, Endau dispensary, Ngiluni dispensary, Kanziko health centre</t>
  </si>
  <si>
    <t xml:space="preserve">Procurement of delivery beds for Nguni health centre and Tseikuru hospital </t>
  </si>
  <si>
    <t>Upgrading medical stores at Kyuso sub-county hospital (shelving , permanent door and ceiling),Mwingi level IV hospital (shelving,ceiling and airconditioning),Migwani  sub-county hospital (shelving, permanent door and tiling), Nuu  sub-county hospital (shelving, permanent door and tiling) and Zombe sub-county hospital (Shelving and airconditioning)</t>
  </si>
  <si>
    <t>Continuation of construction of a medical store at Mwingi level IV hospital</t>
  </si>
  <si>
    <t xml:space="preserve">Completion and equipping of a medical store at KCRH </t>
  </si>
  <si>
    <t xml:space="preserve"> Recurrent Estimates </t>
  </si>
  <si>
    <t xml:space="preserve"> Total Recurrent Estimates </t>
  </si>
  <si>
    <t xml:space="preserve"> Development Estimates </t>
  </si>
  <si>
    <t xml:space="preserve"> PE </t>
  </si>
  <si>
    <t xml:space="preserve"> O&amp;M </t>
  </si>
  <si>
    <t xml:space="preserve"> PERCENTAGES </t>
  </si>
  <si>
    <t>Ceiling</t>
  </si>
  <si>
    <t xml:space="preserve"> Total Budget Estimates - Submitted</t>
  </si>
  <si>
    <t>Variance</t>
  </si>
  <si>
    <t>Emergency Fund</t>
  </si>
  <si>
    <t xml:space="preserve">Accommodation - Domestic Travel </t>
  </si>
  <si>
    <t>Protocol Unit</t>
  </si>
  <si>
    <t>Estimates  2024/25</t>
  </si>
  <si>
    <t>Revised Estimates 2023/24</t>
  </si>
  <si>
    <t>2026/27</t>
  </si>
  <si>
    <t>0703003710 P3 Legal and Head of Public Service Administration (Office of the County Secretary)</t>
  </si>
  <si>
    <t xml:space="preserve">0703013710 SP 3.1 General Administration - County Secretary,Enforcement and Transport </t>
  </si>
  <si>
    <t>Public Communication</t>
  </si>
  <si>
    <t>0704003710 SP 4.0 Human Resource Management Unit</t>
  </si>
  <si>
    <t>0705003710 SP 5.0 Special Programmes</t>
  </si>
  <si>
    <t>0706003710 SP 4.0 Records Management</t>
  </si>
  <si>
    <t>0707003710 SP 7.0 Policy Development and Coordination</t>
  </si>
  <si>
    <t>Estimates 2024/25</t>
  </si>
  <si>
    <t>S P    2.1 Early Child Development and Education</t>
  </si>
  <si>
    <t xml:space="preserve">S P    3.1 Revitalization of Youth Polytechnics </t>
  </si>
  <si>
    <t>S P     5.1 Examination and Certification</t>
  </si>
  <si>
    <t>SP 1.1 070101 SP1.1 General Administration planning and support services</t>
  </si>
  <si>
    <t>S P         050104 Early Child Development and Education</t>
  </si>
  <si>
    <t xml:space="preserve">S P    4.1   050701 Revitalization of Youth Polytechnics </t>
  </si>
  <si>
    <t>S P     3.1 050302   Examination and Certification</t>
  </si>
  <si>
    <t>PROGRAMME: P.1 (040400) GENERAL ADMINISTRATION, PLANNING &amp; SUPPORT SERVICES</t>
  </si>
  <si>
    <t>SP 1.1 (040404) HUMAN RESOURCE MANAGEMENT {GENERAL ADMINISTRATION AND PUBLIC PARTICIPATION}</t>
  </si>
  <si>
    <t>PROGRAMME: P.2 (040500) MATERNAL AND CHILD HEALTH</t>
  </si>
  <si>
    <t>SUB PROGRAMME: SP. 2.2 (040502) 2.2 Maternity (Free Maternity Grant)</t>
  </si>
  <si>
    <t>PROGRAMME: P.3 (040100) PREVENTIVE &amp; PROMOTIVE HEALTH SERVICES</t>
  </si>
  <si>
    <t>PROGRAMME: P.4 (040200) CURATIVE HEALTH SERVICES</t>
  </si>
  <si>
    <t>030400 P3 Cooperative development and Management</t>
  </si>
  <si>
    <t>P1. 030800 P 1: General Administration, Planning and Support Services</t>
  </si>
  <si>
    <t>0704023710 SP 4.0 Human Resource Management Unit</t>
  </si>
  <si>
    <t>0705023710 SP 5.0 Special Programmes</t>
  </si>
  <si>
    <t>Completion of Musovo dispensary</t>
  </si>
  <si>
    <t>0202003710 P.2 Planning, Development Control, Transport and Infrastructure</t>
  </si>
  <si>
    <r>
      <t>030603 S.P 3.3: Tourism Infrastructure Development</t>
    </r>
    <r>
      <rPr>
        <sz val="14"/>
        <color rgb="FF000000"/>
        <rFont val="Times New Roman"/>
        <family val="1"/>
      </rPr>
      <t> </t>
    </r>
  </si>
  <si>
    <r>
      <t>030100 P.1</t>
    </r>
    <r>
      <rPr>
        <sz val="14"/>
        <color rgb="FF000000"/>
        <rFont val="Times New Roman"/>
        <family val="1"/>
      </rPr>
      <t xml:space="preserve"> </t>
    </r>
    <r>
      <rPr>
        <b/>
        <sz val="14"/>
        <color rgb="FF000000"/>
        <rFont val="Times New Roman"/>
        <family val="1"/>
      </rPr>
      <t>General Administration and Support services</t>
    </r>
  </si>
  <si>
    <r>
      <t xml:space="preserve">090201 SP. 4.1 </t>
    </r>
    <r>
      <rPr>
        <b/>
        <sz val="14"/>
        <color rgb="FF000000"/>
        <rFont val="Times New Roman"/>
        <family val="1"/>
      </rPr>
      <t xml:space="preserve"> </t>
    </r>
    <r>
      <rPr>
        <sz val="14"/>
        <color rgb="FF000000"/>
        <rFont val="Times New Roman"/>
        <family val="1"/>
      </rPr>
      <t>Conservation of Heritage</t>
    </r>
  </si>
  <si>
    <r>
      <t>PART G: Summary of Expenditure by Vote and Economic Classification</t>
    </r>
    <r>
      <rPr>
        <sz val="14"/>
        <color rgb="FF000000"/>
        <rFont val="Times New Roman"/>
        <family val="1"/>
      </rPr>
      <t> </t>
    </r>
  </si>
  <si>
    <r>
      <t>030801 S.P 1.1: General administration planning and support services</t>
    </r>
    <r>
      <rPr>
        <sz val="14"/>
        <color rgb="FF000000"/>
        <rFont val="Times New Roman"/>
        <family val="1"/>
      </rPr>
      <t> </t>
    </r>
  </si>
  <si>
    <r>
      <t>SP4.2</t>
    </r>
    <r>
      <rPr>
        <sz val="14"/>
        <color rgb="FF000000"/>
        <rFont val="Times New Roman"/>
        <family val="1"/>
      </rPr>
      <t xml:space="preserve"> Agricultural Extension and  advisory services</t>
    </r>
  </si>
  <si>
    <r>
      <t>0102013710 SP 2.1  Farm Input Support/Seed Bulking-</t>
    </r>
    <r>
      <rPr>
        <sz val="14"/>
        <color rgb="FF000000"/>
        <rFont val="Times New Roman"/>
        <family val="1"/>
      </rPr>
      <t>Fruit trees/vegetable nurseries development</t>
    </r>
  </si>
  <si>
    <t>Part F: Summary of Expenditure by Programmes, 2023/24 – 2026/27</t>
  </si>
  <si>
    <t>s</t>
  </si>
  <si>
    <t xml:space="preserve">SUB PROGRAMME: '0404043710 PRIMARY CARE NETWORKS </t>
  </si>
  <si>
    <t xml:space="preserve">SUB PROGRAMME: SP. 2.2  '0404043710 PRIMARY CARE NETWORKS </t>
  </si>
  <si>
    <t xml:space="preserve">SUB PROGRAMME: 0404033710 SP. 2.2 IMMUNIZATION AND DISEASE SURVEILLANCE </t>
  </si>
  <si>
    <t xml:space="preserve">SUB PROGRAMME: SP. 0404033710 SP. 2.2 IMMUNIZATION AND DISEASE SURVEILLANCE </t>
  </si>
  <si>
    <t xml:space="preserve">SUB PROGRAMME:0404033710 SP. 2.2 IMMUNIZATION AND DISEASE SURVEILLANCE </t>
  </si>
  <si>
    <t>SUB PROGRAMME: 0402003710 P.3 CURATIVE HEALTH SERVICES</t>
  </si>
  <si>
    <t>SP. 1.20401033710 SP. 1.3 HEALTH STANDARDS, QUALITY ASSURANCE &amp; STANDARD</t>
  </si>
  <si>
    <t>SP. 1.3  0401023710 SP. 1.2 HEALTH POLICY, PLANNING &amp; FINANCING</t>
  </si>
  <si>
    <t>SP. 4.3 0403033710 SUB PROGRAMME: 2.6:(040401) HEALTH PROMOTION</t>
  </si>
  <si>
    <t>2.5 SUB PROGRAMME: 2.4 (040301) COMMUNICABLE DISEASE CONTROL</t>
  </si>
  <si>
    <t>2.5 2.6SUB PROGRAMME: 2.5 (040302) NON-COMMUNICABLE DISEASE PREVENTION &amp; CONTROL {Nutrition sub programme}</t>
  </si>
  <si>
    <t>2.5 2.6:SUB PROGRAMME: 2.6:(040401) HEALTH PROMOTION</t>
  </si>
  <si>
    <t xml:space="preserve">2.5 2.6:SP. 3.3 (040402) Specilalised Services </t>
  </si>
  <si>
    <t>100200 Environmental Research and development</t>
  </si>
  <si>
    <t>100201 Environmental Research and Development</t>
  </si>
  <si>
    <t>100300 Climate Change Adaptation and Mitigation</t>
  </si>
  <si>
    <t>100301 Climate change Adaptation and Mitigation</t>
  </si>
  <si>
    <t xml:space="preserve">070100 P1 Natural Resources Conservation and Management </t>
  </si>
  <si>
    <t>070102  SP. 1.1 Forest Conservation and Tree Growing</t>
  </si>
  <si>
    <t>Purchase tree seeds and seedlings (Cash For Assets Programme - CFA - Tree Growing)</t>
  </si>
  <si>
    <t>Cash For Assets</t>
  </si>
  <si>
    <t>Cash For Assets (Community remuneration)</t>
  </si>
  <si>
    <t>Research allowance ( M&amp;E, Supervision, Recruitment &amp; caregiving)</t>
  </si>
  <si>
    <t>070100 P1 Environmental Management and Protection</t>
  </si>
  <si>
    <t>070102  SP. 1.1 Catchment Rehabilitation and Conservation</t>
  </si>
  <si>
    <t>Research (Development of community liason committee in Kitui South – Kanziko)</t>
  </si>
  <si>
    <t>Purchase of Educational Aids and Related Equipment (Training and capacity building materials on value addition of gemstones and other minerals)</t>
  </si>
  <si>
    <t xml:space="preserve">Sub programme </t>
  </si>
  <si>
    <t>100702 Mining Policy Development and Coordination (Operationalization of Kitui County River Basins Sand Utilization and Conservation Act 2024)</t>
  </si>
  <si>
    <t xml:space="preserve">Construction of Buildings </t>
  </si>
  <si>
    <t>Part F: Summary of Expenditure by Programmes, 2023/24– 2026/27</t>
  </si>
  <si>
    <t>0707003710 P4: Protocol Unit</t>
  </si>
  <si>
    <t>0707003710 P4:  County Attorney</t>
  </si>
  <si>
    <t>0707003710 P4: Office of the Chief of Staff</t>
  </si>
  <si>
    <t>0707013710 SP: 4.1: Office of the Chief of Staff</t>
  </si>
  <si>
    <t>0707013710 SP: 4.1: County Attorney</t>
  </si>
  <si>
    <t>0707013710 SP: 4.1: Protocol Unit</t>
  </si>
  <si>
    <t>0707003710 P4: Decentralized Units Service Delivery Cordination</t>
  </si>
  <si>
    <t>0705003710 P2:  Decentralized Units Service Delivery Cordination</t>
  </si>
  <si>
    <t>2025/27</t>
  </si>
  <si>
    <t>PART H: Summary of Expenditure by Programme and Economic Classification FY 2023/2024 – 2026/27</t>
  </si>
  <si>
    <t>Part F: Summary of Expenditure by Programmes, 2022/23 – 2026/27</t>
  </si>
  <si>
    <t>Total for Department of Public Works</t>
  </si>
  <si>
    <t xml:space="preserve">0110003710: Roads </t>
  </si>
  <si>
    <t>Access Roads (Fuel, maintenance of plant and machinery)-In-house grading 1,600km - 40km per
Ward)</t>
  </si>
  <si>
    <t>Other Infrastructure and Civil Works (Construction of BODABODA sheds and associated civil works - Construction of 15No. Boda Boda sheds)</t>
  </si>
  <si>
    <t>0110003710 P5. Transport and Boda Boda Sector</t>
  </si>
  <si>
    <t>County Attorney</t>
  </si>
  <si>
    <t>0707003710: County Government Administration and Field Services</t>
  </si>
  <si>
    <t>Part F: Summary of Expenditure by Programmes, 2022/23 – 2025/27</t>
  </si>
  <si>
    <t>0104003710 P2: Irrigation Development and Management(</t>
  </si>
  <si>
    <t xml:space="preserve">0111003710 P8: Water Resources Management Administration Services </t>
  </si>
  <si>
    <t>Revised Estimates 2024/25</t>
  </si>
  <si>
    <t>0110003710 P5. Transport and Boda Boda Secto</t>
  </si>
  <si>
    <t>SUB PROGRAMME: SP. 4.2 (040201) County Referral Services</t>
  </si>
  <si>
    <t xml:space="preserve"> 4.5 HOSPITAL FIF /COST SHARING REFUNDS FOR THE 11 COUNTY HOSPITALS </t>
  </si>
  <si>
    <t>2.5 2.6SUB PROGRAMME: 2.5 (040302) NON-COMMUNICABLE DISEASE PREVENTION &amp; CONTROL</t>
  </si>
  <si>
    <t>Estimates 2024/2</t>
  </si>
  <si>
    <t>1006003710 P4 Climate Change Adaptation and Mitigation</t>
  </si>
  <si>
    <t>090200 P.4 Culture Conservation of Heritage</t>
  </si>
  <si>
    <t>090803 S.P 5.2:  Child Community Support Serv</t>
  </si>
  <si>
    <t>072600 P.2 Human Resource Management and Developmen</t>
  </si>
  <si>
    <t>2024526</t>
  </si>
  <si>
    <t>0106003710  P 3: Livestock Resources Management and Development</t>
  </si>
  <si>
    <t xml:space="preserve">Purchase of Motor Vehicles </t>
  </si>
  <si>
    <t xml:space="preserve">Printing, Advertising </t>
  </si>
  <si>
    <t>Logistical support during AI, beehives, capacity building of farmers during pasture seed distribution and establishment)</t>
  </si>
  <si>
    <t>Supplies for production-Vaccination suplies</t>
  </si>
  <si>
    <t>Pre-feasibility, Feasibility and Appraisal Studies (logistical support during vaccinations and vaccination services</t>
  </si>
  <si>
    <t>Construction  and equiping a laboratory</t>
  </si>
  <si>
    <t xml:space="preserve">Pending Bills </t>
  </si>
  <si>
    <t>DEPARTMENT OF TRADE AND MARKETS (DIRECTORATE OF MARKETING AND INVESTMENT)</t>
  </si>
  <si>
    <t>Acquisition of Land (purchase of land for Ngomeni livestock yard and Mutha Market)</t>
  </si>
  <si>
    <t>030702 S.P 2.2: FAIR TRADE AND CONSUMER PROTECTION(INDUSTRY &amp; INVESTMENT)</t>
  </si>
  <si>
    <t>Publishing and printing services-(nformation pamphlets to highlight the various county
programmes being undertaken and success stories)</t>
  </si>
  <si>
    <t>Purchase of Motor Vehicles (3 double cabins for SCAs)</t>
  </si>
  <si>
    <t xml:space="preserve">3130100 </t>
  </si>
  <si>
    <t>Acquisition of Land-(For construction of Ward office-Kyangwithya East).</t>
  </si>
  <si>
    <t>Purchase of motor vehicle(Double Cabin for Directorate)</t>
  </si>
  <si>
    <t>Purchase of motor cycles</t>
  </si>
  <si>
    <t>Total Decentralized Unit</t>
  </si>
  <si>
    <t>Daily Subsistance Allowance</t>
  </si>
  <si>
    <t>TOTAL ENVIRONMENT, CLIMATE CHANGE &amp; FORESTRY DEPARTMENT</t>
  </si>
  <si>
    <t>TOTAL ENERGY, MINERALS &amp; NATURAL RESOURCES DEPARTMENT</t>
  </si>
  <si>
    <t>SUMMARY OF SUBMITTED BUDGETS VS CEILINGS</t>
  </si>
  <si>
    <t>Advertising, Awareness and Publicity Campaigns - Public Participation</t>
  </si>
  <si>
    <t>Legal Dues/ Fees, Arbitration and Compensation Payments(including on-going cases)- with pending bills</t>
  </si>
  <si>
    <t xml:space="preserve"> KITUI COUNTY BUDGET FY 2024/25</t>
  </si>
  <si>
    <t>PROTOCOL UNIT</t>
  </si>
  <si>
    <t>Livestock and apiculture</t>
  </si>
  <si>
    <t>0101020000 P.4 Agricultural Information Management (Extension services)</t>
  </si>
  <si>
    <t xml:space="preserve">Construction/operationalization of dispensaries at katumbi (Tseikuru), Kimangao,  Katumbi (Endau/ Malalani), Ngwate,gatoroni,Kimela, Kilimu, Nguutani/Katuyu/Mukauni,Kangondi, Nzunguni-kasang'o, Kathithu,Thitha, Kamanyi,Tuvaani, Kwa Song'e, Kaliwa, Mikauni, Kimangao, Mwambuni, Yumbu </t>
  </si>
  <si>
    <t>Q OR NOT</t>
  </si>
  <si>
    <t>MINISTRY</t>
  </si>
  <si>
    <t>Q</t>
  </si>
  <si>
    <t>Column Labels</t>
  </si>
  <si>
    <t>(blank)</t>
  </si>
  <si>
    <t>Grand Total</t>
  </si>
  <si>
    <t>Row Labels</t>
  </si>
  <si>
    <t>Sum of  Budget Estimates 2024/25</t>
  </si>
  <si>
    <t>MCA WARD OFFICES 0.5 ACRES</t>
  </si>
  <si>
    <t xml:space="preserve">Sports </t>
  </si>
  <si>
    <t>CLIDP</t>
  </si>
  <si>
    <t>Stakeholders Meeting</t>
  </si>
  <si>
    <t>Support to SEKEB Secretariat</t>
  </si>
  <si>
    <t>Acquisition of Land - Purchase 0.5 acres for construction of 40 Ward Offices</t>
  </si>
  <si>
    <t xml:space="preserve"> Other Operating Expenses - Oth (Sports talent search and development - Promoting, Supporting, Motivating, Incentivising, Rewarding, Nurturing Sporting Talents)</t>
  </si>
  <si>
    <t>Other Operating Expenses- Support to SEKEB Secretariat</t>
  </si>
  <si>
    <t>Scholarships and other Educational Benefits (Pro-Poor Programme) (3%)</t>
  </si>
  <si>
    <t>Scholarships and other Educational Benefits (Pro-Poor Programme) (72%)</t>
  </si>
  <si>
    <t xml:space="preserve">Education support programme (Pro-poor)- pro-poor infrastructure support programme 25%: </t>
  </si>
  <si>
    <t xml:space="preserve"> Non-Residential Buildings - support  waste disposal projects in the informal sector by converting pit latrines to modern hygienic flushable toilets and construction of modern toilets in the urban areas  </t>
  </si>
  <si>
    <t>Boards, Committees, Conferences and Seminars (CBEF facilitation)</t>
  </si>
  <si>
    <t>Basic Salaries - Civil Service(To recruit VTCs instructors)</t>
  </si>
  <si>
    <t>PERCENTAGE (%)</t>
  </si>
  <si>
    <t>Other Operating Expenses- Stake holders forum Subscription - SEKEB</t>
  </si>
  <si>
    <t>Other Infrastructure and Civil Works - Construction of two stadia (Kyoani &amp; Kivou)</t>
  </si>
  <si>
    <t>Cab</t>
  </si>
  <si>
    <t>CFSP</t>
  </si>
  <si>
    <t>Variae</t>
  </si>
  <si>
    <t>sekeb</t>
  </si>
  <si>
    <t>CA +CE Consu Forum</t>
  </si>
  <si>
    <t>Other Operating Expenses-(Composing, mastering and copyrighting of the Kamba Signature)</t>
  </si>
  <si>
    <t>Purchase of other Office Equipment - Furnishing of CPSB offices</t>
  </si>
  <si>
    <r>
      <t xml:space="preserve">Capital grants - Allocation for 20% for Mineral Royalties - </t>
    </r>
    <r>
      <rPr>
        <b/>
        <sz val="12"/>
        <rFont val="Times New Roman"/>
        <family val="1"/>
      </rPr>
      <t xml:space="preserve">Grants </t>
    </r>
  </si>
  <si>
    <t>Purchase of voltage stabilizers 50KVA for X-Rays power protection at Kanyangi, Zombe, Katulani and Kyuso hospitals  (4.38M) and Purchase of Computed Radiography (CR) Processor for Migwani Sub County Hospital (3.5M) to convert the X-Ray from analogue to digital.</t>
  </si>
  <si>
    <t>Utilities, Supplies- Other (Electricity for KCRH and Mwingi Level 4 Hospitals)</t>
  </si>
  <si>
    <t>Construction of Kyuso Outpatient Block</t>
  </si>
  <si>
    <t>Non-Residential Buildings (Offices,Schools, Hospitals) - • Construction of County Public Service offices and External Works for new office premises</t>
  </si>
  <si>
    <t>General Administration</t>
  </si>
  <si>
    <t>Economic Planning</t>
  </si>
  <si>
    <t>Revenue</t>
  </si>
  <si>
    <t>Audit</t>
  </si>
  <si>
    <t>Procurement</t>
  </si>
  <si>
    <t>Budget Formulation</t>
  </si>
  <si>
    <t>Monitoring and Evaluation</t>
  </si>
  <si>
    <t>Financial Services</t>
  </si>
  <si>
    <t>Construction of Buildings (Construction of mineral testing and procurement gemology laboratory)</t>
  </si>
  <si>
    <t>Other Operating Expenses- 2M Annual Contribution to COG</t>
  </si>
  <si>
    <t xml:space="preserve">Other Operating Expenses 5M-Annual Contribution to SEKEB </t>
  </si>
  <si>
    <t>Non-Residential Buildings (Offices,Schools, Hospitals)- Completion of 4 Ward offices</t>
  </si>
  <si>
    <t>Construction of Buildings  (Completion of construction of 5 Police stations along the Borderline ;KONAKALITI/ KATUMBA/TWAMBUI/MANDONGOI/IMUMBA</t>
  </si>
  <si>
    <t xml:space="preserve">General Office Supplies (papers, pencils, forms, small office equipment-Supply of stationary for 247 VAs, 40 Was and 8 SCAs) </t>
  </si>
  <si>
    <t>Other Infrastructure and Civil Works (Construction of 120 sand dams - 3 per ward for irrigation)</t>
  </si>
  <si>
    <t>Casual Labour - Others (Locum + CHMT)</t>
  </si>
  <si>
    <t xml:space="preserve">Capital grants - Allocation for 20% for Mineral Royalties - Grants </t>
  </si>
  <si>
    <t>Housing loans to public servants - Car and Mortgage Facility for County Executive Staff</t>
  </si>
  <si>
    <t>Programme: 072600 P.2 Human Resource Management and Development</t>
  </si>
  <si>
    <t>Sub programme: 072602 SP. 2.1: Human Resource Management</t>
  </si>
  <si>
    <t>Sub programme: 072603 SP. 2.2: Human Resource Development</t>
  </si>
  <si>
    <t>Revised 2024/25</t>
  </si>
  <si>
    <t>Purchase of Motor Vehicles (1 Double Cab@ 8.5M)</t>
  </si>
  <si>
    <t>Construction of Buildings (Construction of mineral testing and gemology laboratory)</t>
  </si>
  <si>
    <t xml:space="preserve">Non-Residential Buildings (Offices,Schools, Hospitals) - • Construction of County Public Service offices </t>
  </si>
  <si>
    <t>Cabinet</t>
  </si>
  <si>
    <t>REVISED- KITUI COUNTY GOVERNMENT - BUDGET FY 2024/25</t>
  </si>
  <si>
    <t>D</t>
  </si>
  <si>
    <t>Utilities, Supplies- Other (Electricity for other Health Facilities)</t>
  </si>
  <si>
    <t>Catering Services (receptions), Accommodation, Gifts, Food and Drinks &amp; Pending Bills</t>
  </si>
  <si>
    <t>Catering Services (receptions), Accommodation, Gifts, Food and Drinks &amp; Pening bills</t>
  </si>
  <si>
    <t>Non-Residential Buildings-Construction of Additional office space. Two (2) No. One Storied office blocks</t>
  </si>
  <si>
    <t>VOTE/MINISTRY</t>
  </si>
  <si>
    <t>PROJECTS</t>
  </si>
  <si>
    <t>LOCATION/ WARDS</t>
  </si>
  <si>
    <t>AMOUNT</t>
  </si>
  <si>
    <t>Headquarters</t>
  </si>
  <si>
    <t xml:space="preserve"> CLIDP </t>
  </si>
  <si>
    <t xml:space="preserve"> All Wards </t>
  </si>
  <si>
    <t xml:space="preserve"> CLIDP Pending Bills </t>
  </si>
  <si>
    <t>Completion of 4 Ward offices</t>
  </si>
  <si>
    <t xml:space="preserve">Construction of three (3) police stations (Tseikuru, Nuu and Kanziku) </t>
  </si>
  <si>
    <t>Tseikuru, Nuu and Kanziku</t>
  </si>
  <si>
    <r>
      <t>Completion of construction of 5 Police stations along the Borderline ;</t>
    </r>
    <r>
      <rPr>
        <b/>
        <sz val="12"/>
        <rFont val="Times New Roman"/>
        <family val="1"/>
      </rPr>
      <t>KONAKALITI/ KATUMBA/TWAMBUI/MANDONGOI/IMUMBA</t>
    </r>
  </si>
  <si>
    <t>Endau/Malalani, Mutha wards</t>
  </si>
  <si>
    <t>All Wards</t>
  </si>
  <si>
    <t>Development of Tourism support infrastructure  nature trails and camping structures at Mumoni and Mutitu Hills IBAs.</t>
  </si>
  <si>
    <t xml:space="preserve"> Mumoni and Mutitu </t>
  </si>
  <si>
    <t>Development phase 2 of Kalundu Eco-park (Swimming pool, Orphanage, Zipline, Quick  Shops, Benches, Nature trails, Landscaping.</t>
  </si>
  <si>
    <t>Township</t>
  </si>
  <si>
    <t xml:space="preserve">Establishment of Mutomo Reptile  Park: Construction of crocodile pen, construction of snake house floor and ceiling, and stocking of the reptile park) </t>
  </si>
  <si>
    <t>Mutomo</t>
  </si>
  <si>
    <t>Development of Ikoo Valley (Bazaar</t>
  </si>
  <si>
    <t xml:space="preserve">View Point) and Development of Yanzuu Rock Retreat centre) </t>
  </si>
  <si>
    <t>Migwani</t>
  </si>
  <si>
    <t>Construction of Entrance gate and sentry at George Adamson in Mwingi National Reserve)</t>
  </si>
  <si>
    <t>Tseikuru</t>
  </si>
  <si>
    <t xml:space="preserve"> Construction and rehabilitation of projects affected by disasters and response to cases of emergencies) </t>
  </si>
  <si>
    <t xml:space="preserve"> Construction and installation of ICT infrastructure at the Emergency Response Centre) </t>
  </si>
  <si>
    <t xml:space="preserve"> Headquarters </t>
  </si>
  <si>
    <t xml:space="preserve"> Construction of Phase II Emergency Response Center)</t>
  </si>
  <si>
    <t xml:space="preserve"> TOTAL </t>
  </si>
  <si>
    <t xml:space="preserve">Construction of Water Structures) </t>
  </si>
  <si>
    <t>Subsidies to Non- Financial (KITWASCO/KIMWASCO)</t>
  </si>
  <si>
    <t>Township and Mwingi Central</t>
  </si>
  <si>
    <t>Water structures Repairs &amp; Rehabilitations)</t>
  </si>
  <si>
    <t>Water structures Repairs &amp; Rehabilitations) - Pending Bills as approved by PBRC</t>
  </si>
  <si>
    <r>
      <t>Construction of 120 sand dams -</t>
    </r>
    <r>
      <rPr>
        <b/>
        <sz val="12"/>
        <rFont val="Times New Roman"/>
        <family val="1"/>
      </rPr>
      <t xml:space="preserve"> 3 per ward</t>
    </r>
    <r>
      <rPr>
        <sz val="12"/>
        <rFont val="Times New Roman"/>
        <family val="1"/>
      </rPr>
      <t xml:space="preserve"> for irrigation)</t>
    </r>
  </si>
  <si>
    <t>Solar powered irrigation</t>
  </si>
  <si>
    <t xml:space="preserve"> Education support programme (Pro-poor)- pro-poor infrastructure support programme 25%:  </t>
  </si>
  <si>
    <t xml:space="preserve"> Face lifting of existing VTCs.</t>
  </si>
  <si>
    <t>Education Quality Standards  Improvement Programme: Improve the curriculum to include market demand courses)</t>
  </si>
  <si>
    <t xml:space="preserve"> Construction of Office block at Kitui East(Zombe)</t>
  </si>
  <si>
    <t>Zombe/ Mwitika</t>
  </si>
  <si>
    <t>Construction of Office block at Mwingi North(Kyuso)</t>
  </si>
  <si>
    <t>Kyuso</t>
  </si>
  <si>
    <t>Major Roads (Roads construction works and maintenance of box culverts,drifts,gravelling, concrete slabs, gabions) - 1No. project per Ward and/ or crosscutting two ore more wards</t>
  </si>
  <si>
    <t>Major Roads (Fuel Levy - Grant Revote) RMLF</t>
  </si>
  <si>
    <t>Construction of BODABODA sheds and associated civil works - Construction of 15No. Boda Boda sheds)</t>
  </si>
  <si>
    <t>Purchase and Issuance of safety riding gears to 2,000No. (FY 2024/2025 trained Riders-helmets, reflectors</t>
  </si>
  <si>
    <t xml:space="preserve"> Deevelopement of hospitals </t>
  </si>
  <si>
    <t>Tharaka</t>
  </si>
  <si>
    <t xml:space="preserve"> Continuation of construction of perimeter wall and chain-link Fencing at Mwingi level 1V hospital (stalled) </t>
  </si>
  <si>
    <t xml:space="preserve"> Central  </t>
  </si>
  <si>
    <t xml:space="preserve"> Procurement of cold chain equipment  for Usiani dispensary,Makongo dispensary, Ilika dispensary,Kakeani health centre, Mwala dispensary, Nyaani dispensary,  mbondoni dispensary and Usueni dispensary </t>
  </si>
  <si>
    <t xml:space="preserve"> Tseikuru,Kiomo/kyethani </t>
  </si>
  <si>
    <t xml:space="preserve"> Completion and equipping of KCRH and Mwingi level IV mortuaries  </t>
  </si>
  <si>
    <t xml:space="preserve"> Township </t>
  </si>
  <si>
    <t xml:space="preserve"> Pending bill- Construction of KCRH mortuary by millenium stores ltd  </t>
  </si>
  <si>
    <t xml:space="preserve">Zombe/ Mwitika, Kiomo/Kyethani, Migwani, Tharaka, </t>
  </si>
  <si>
    <t xml:space="preserve">Mutomo,Mulango, Kanyangi and Kyuso </t>
  </si>
  <si>
    <t>Mutitu/Kaliku, Zombe/Mwitika</t>
  </si>
  <si>
    <t>Endau/Malalani, Nguni, Matinyani</t>
  </si>
  <si>
    <t xml:space="preserve">Central </t>
  </si>
  <si>
    <t>Central, Tseikuru</t>
  </si>
  <si>
    <t>All Sub-counties</t>
  </si>
  <si>
    <t>Nguni , Tseikuru</t>
  </si>
  <si>
    <t xml:space="preserve">Kanyangi, Zombe, Mulango and Kyuso </t>
  </si>
  <si>
    <t>Central, Kyuso, Nuu, Zombe/Mwitika, Migwani</t>
  </si>
  <si>
    <t>Central</t>
  </si>
  <si>
    <t>All wards</t>
  </si>
  <si>
    <t>Establishment of dumping sites and waste bins in the markets)</t>
  </si>
  <si>
    <t>Ngomeni, Mutha</t>
  </si>
  <si>
    <t>Yatta/Kwa Vonza</t>
  </si>
  <si>
    <t>Organize Investors Conference )</t>
  </si>
  <si>
    <t>Consultancy on the County Industrial Parks - Multiyear</t>
  </si>
  <si>
    <t>project</t>
  </si>
  <si>
    <t>Development and establishment of Value addition of</t>
  </si>
  <si>
    <t>value chains (Cereals and Pulses, Horticulture,</t>
  </si>
  <si>
    <t>Installation of  county-branded light boxes to be used to generate advertising revenues)</t>
  </si>
  <si>
    <t>Rural Electrification, Power Transmission and Distribution</t>
  </si>
  <si>
    <t>Installation of solar security lights in upcoming markets in Kitui County</t>
  </si>
  <si>
    <t>Maintenance of solar security lights in upcoming markets in Kitui County</t>
  </si>
  <si>
    <t>Installation of solar powered water pumping system</t>
  </si>
  <si>
    <t>Pending Bills)</t>
  </si>
  <si>
    <t>Development of community liason committee in Kitui South – Kanziko)</t>
  </si>
  <si>
    <t>Kanziku</t>
  </si>
  <si>
    <t>Construction of mineral testing and gemology laboratory)</t>
  </si>
  <si>
    <t>Establishment of Kitui County Innovation Hub (KCIH)</t>
  </si>
  <si>
    <t>Grading, levelling, chain link fencing, erection of two gates, installation of football goal posts, volleyball posts for boys and girls and construction of 4-door pit latrine</t>
  </si>
  <si>
    <t>Construction of two stadia (Kyoani &amp; Kivou)</t>
  </si>
  <si>
    <t>Kivou, Ikutha</t>
  </si>
  <si>
    <t>Construction of Kyuso Social Hall</t>
  </si>
  <si>
    <t xml:space="preserve"> Pending Bills</t>
  </si>
  <si>
    <t>Construction of sump-well and solarisation at Lower Eastern Heritage Centre</t>
  </si>
  <si>
    <t xml:space="preserve">Construction of County Public Service offices </t>
  </si>
  <si>
    <t xml:space="preserve">Construction of  offices </t>
  </si>
  <si>
    <t>Construction of pedestrian walkways from Muslim Primary- Masjid Noor Mosque-0.25KM</t>
  </si>
  <si>
    <t>Cabro paving works alongKyuso Junction road next to KANU Hall</t>
  </si>
  <si>
    <t xml:space="preserve">Central/Kivou </t>
  </si>
  <si>
    <t>3rd Phase of Rehabilitation of street lights</t>
  </si>
  <si>
    <t>Construct Public toilets at Thokoa and Musuuani markets )</t>
  </si>
  <si>
    <t>Installation of  solar ‘Mulika Mwizi’ at Kyomo/Kyethani, Waita and Migwani wards</t>
  </si>
  <si>
    <t>Grading and slab construction  along Kiberiti – Kwa Mukeni road</t>
  </si>
  <si>
    <t>Construction of open storm water  drains along Ideal-Kathonzweni road (phase 2</t>
  </si>
  <si>
    <t>Construction of stone fence at Mwingi Slaughterhouse</t>
  </si>
  <si>
    <t>Installation of highmast floodlight between Police line and St. Gabriel school</t>
  </si>
  <si>
    <t xml:space="preserve">Construction of open storm water  drainage along Kitui Teachers Sacco Junction to AIC Township road </t>
  </si>
  <si>
    <t xml:space="preserve"> Improving the capacity of ATC to provide quality services to farmers/customers </t>
  </si>
  <si>
    <t>Supplies of ICT Equipements)</t>
  </si>
  <si>
    <t>Refurbishment of ATC</t>
  </si>
  <si>
    <t>Upgrading Ithokwe Showground</t>
  </si>
  <si>
    <t xml:space="preserve">Extension and Advisory services programme </t>
  </si>
  <si>
    <t>Extension and Advisory services programme,Improve extension skills of extension staff</t>
  </si>
  <si>
    <t xml:space="preserve"> Equipping and updating of County Land registry </t>
  </si>
  <si>
    <t xml:space="preserve"> Support for land titling and adjudication </t>
  </si>
  <si>
    <t xml:space="preserve"> Plot verification, plot valuation and plot mapping </t>
  </si>
  <si>
    <t xml:space="preserve"> Acquisition of Land - Purchase 0.5 acres for construction of 40 Ward Offices </t>
  </si>
  <si>
    <t xml:space="preserve">Support  waste disposal projects in the informal sector by converting pit latrines to modern hygienic flushable toilets and construction of modern toilets in the urban areas  </t>
  </si>
  <si>
    <t xml:space="preserve">NET TOTAL </t>
  </si>
  <si>
    <t>Access Roads (Fuel, maintenance of plant and machinery)-In-house grading 1,600km - 40km per Ward)</t>
  </si>
  <si>
    <t>Livestock, Apiculture, Textile and Apparel and Forest, Forestry)</t>
  </si>
  <si>
    <t>LIST OF DEVELOPMENT PROJECTS</t>
  </si>
  <si>
    <r>
      <t>Non-Residential Buildings-Construction of Additional office space.</t>
    </r>
    <r>
      <rPr>
        <b/>
        <sz val="12"/>
        <rFont val="Times New Roman"/>
        <family val="1"/>
      </rPr>
      <t xml:space="preserve"> Two (2) No. One Storied office blocks</t>
    </r>
  </si>
  <si>
    <t>COMPARISON OF THE SUBMITTED ESTIMATES TO THE APPROVED CFSP</t>
  </si>
  <si>
    <t>FOR FY 2024/2025</t>
  </si>
  <si>
    <t>S. No.</t>
  </si>
  <si>
    <t>Submitted Recurrent Budget Estimates</t>
  </si>
  <si>
    <t>Submitted Development Budget Estimates</t>
  </si>
  <si>
    <t xml:space="preserve"> Total Submitted Budget Estimates </t>
  </si>
  <si>
    <t>Approved CFSP Recurrent Ceiling</t>
  </si>
  <si>
    <t>Approved CFSP Development Ceiling</t>
  </si>
  <si>
    <t>Approved CFSP Total Ceiling</t>
  </si>
  <si>
    <t>2110300</t>
  </si>
  <si>
    <t>2110330</t>
  </si>
  <si>
    <t>Clerical Trainers Allowances</t>
  </si>
  <si>
    <t>2210310</t>
  </si>
  <si>
    <t>2210401</t>
  </si>
  <si>
    <t>2210600</t>
  </si>
  <si>
    <t>2210604</t>
  </si>
  <si>
    <t>2710300</t>
  </si>
  <si>
    <t>2710399</t>
  </si>
  <si>
    <t>Employer Social Benefits</t>
  </si>
  <si>
    <t>Employer Social Benefits - fringe benefit</t>
  </si>
  <si>
    <t>3110700</t>
  </si>
  <si>
    <t>3110701</t>
  </si>
  <si>
    <t>2210713</t>
  </si>
  <si>
    <t>Physical Fitness and Aptitude Assessment Training</t>
  </si>
  <si>
    <t>2220202</t>
  </si>
  <si>
    <t>2710115</t>
  </si>
  <si>
    <t>Refund Exgratia and Other Service Gratuity</t>
  </si>
  <si>
    <t>Legislation Total Recurrent Expenditure</t>
  </si>
  <si>
    <t>3110202</t>
  </si>
  <si>
    <t>3110200</t>
  </si>
  <si>
    <t>Acquisition of land</t>
  </si>
  <si>
    <t>Purchase of land</t>
  </si>
  <si>
    <t>Legislation Total Development Expenditure</t>
  </si>
  <si>
    <t>Construction of Roads - ( Road widening and Dozing works.) - New - 10kms per Ward translating to 200kms in the County</t>
  </si>
  <si>
    <t>Purchase of two dialysis machines for KCRH</t>
  </si>
  <si>
    <t>Construction/operationalization of dispensaries at katumbi (Tseikuru), Kimangao,  Katumbi (Endau/ Malalani), Ngwate,gatoroni,Kimela, Kilimu, Nguutani/Katuyu/Mukauni,Kangondi, Nzunguni-kasang'o, Kathithu,Thitha, Kamanyi,Tuvaani, Kwa Song'e, Kaliwa, Mikauni, Kimangao, Mwambuni, Yumbu, Kaliwa, Muthaand Kavumbuni</t>
  </si>
  <si>
    <t>Other Infrastructure and Civil Works - Construction of Dias at Kanziko and Tseikuru Stadia</t>
  </si>
  <si>
    <t>KDSP Matching Fund</t>
  </si>
  <si>
    <t xml:space="preserve"> Kshs</t>
  </si>
  <si>
    <t xml:space="preserve">Other Infrastructure and Civil Works- (Fencing of the proposed Utalii College Kitui Campus - Tiva) </t>
  </si>
  <si>
    <t>Other infrastructure and civil works- Construction of Mother Homecraft Centre.</t>
  </si>
  <si>
    <t>ANNEX VIII:</t>
  </si>
  <si>
    <t>Addition/ Reduction in Revenue</t>
  </si>
  <si>
    <t>Actual Revote</t>
  </si>
  <si>
    <t xml:space="preserve"> Supplementary I Budget 2024/25</t>
  </si>
  <si>
    <t>Reallocations</t>
  </si>
  <si>
    <t>Name of supplier</t>
  </si>
  <si>
    <t>Description of work done</t>
  </si>
  <si>
    <t>Ward</t>
  </si>
  <si>
    <t>LPO/LSO contract no.</t>
  </si>
  <si>
    <t>Date of the LPO/LSO</t>
  </si>
  <si>
    <t>LSO/LPO amount</t>
  </si>
  <si>
    <t>Scope of work done(%)</t>
  </si>
  <si>
    <t>Amount paid</t>
  </si>
  <si>
    <r>
      <t>Balance (Outstanding pending bills amount as at 30</t>
    </r>
    <r>
      <rPr>
        <b/>
        <vertAlign val="superscript"/>
        <sz val="11"/>
        <color rgb="FF000000"/>
        <rFont val="Times New Roman"/>
        <family val="1"/>
      </rPr>
      <t>th</t>
    </r>
    <r>
      <rPr>
        <b/>
        <sz val="11"/>
        <color rgb="FF000000"/>
        <rFont val="Times New Roman"/>
        <family val="1"/>
      </rPr>
      <t xml:space="preserve"> June 2024 (Ksh)</t>
    </r>
  </si>
  <si>
    <t>Afrosyaminic K Ltd</t>
  </si>
  <si>
    <t>Procurement of Office Laptops</t>
  </si>
  <si>
    <t>Kitui Central</t>
  </si>
  <si>
    <r>
      <t>30</t>
    </r>
    <r>
      <rPr>
        <vertAlign val="superscript"/>
        <sz val="11"/>
        <color rgb="FF000000"/>
        <rFont val="Times New Roman"/>
        <family val="1"/>
      </rPr>
      <t>th</t>
    </r>
    <r>
      <rPr>
        <sz val="11"/>
        <color rgb="FF000000"/>
        <rFont val="Times New Roman"/>
        <family val="1"/>
      </rPr>
      <t xml:space="preserve"> May 2024</t>
    </r>
  </si>
  <si>
    <t>Complete</t>
  </si>
  <si>
    <t>Grubby Busters Ltd</t>
  </si>
  <si>
    <t>Procurement of tires for motor vehicle Reg No 15CG 074A, 15CG 048A &amp; 15CG 215A</t>
  </si>
  <si>
    <r>
      <t>3</t>
    </r>
    <r>
      <rPr>
        <vertAlign val="superscript"/>
        <sz val="11"/>
        <color rgb="FF000000"/>
        <rFont val="Times New Roman"/>
        <family val="1"/>
      </rPr>
      <t>rd</t>
    </r>
    <r>
      <rPr>
        <sz val="11"/>
        <color rgb="FF000000"/>
        <rFont val="Times New Roman"/>
        <family val="1"/>
      </rPr>
      <t xml:space="preserve"> June 2024</t>
    </r>
  </si>
  <si>
    <t>complete</t>
  </si>
  <si>
    <t>Enzakah Merchants Ltd</t>
  </si>
  <si>
    <t>Procurement of Office Stationeries</t>
  </si>
  <si>
    <r>
      <t>17</t>
    </r>
    <r>
      <rPr>
        <vertAlign val="superscript"/>
        <sz val="11"/>
        <color rgb="FF000000"/>
        <rFont val="Times New Roman"/>
        <family val="1"/>
      </rPr>
      <t>th</t>
    </r>
    <r>
      <rPr>
        <sz val="11"/>
        <color rgb="FF000000"/>
        <rFont val="Times New Roman"/>
        <family val="1"/>
      </rPr>
      <t xml:space="preserve"> March 2024</t>
    </r>
  </si>
  <si>
    <t>Training Expenses-Other (PROTOCOL UNIT)</t>
  </si>
  <si>
    <t>Capital grants - World Bank Credit to Finance Locally - Led Climate Action Programme (FLLoCA), County Climate Resilience Investment (CCRI) Grant - Revote</t>
  </si>
  <si>
    <t>Other Current Transfers - Othe</t>
  </si>
  <si>
    <t>Support Agricultural Extension and Advisory services</t>
  </si>
  <si>
    <t>World Bank funded (NARIGP Project)</t>
  </si>
  <si>
    <t>Agricultural Materials, Supplies and Small Equipment ( food processing materials &amp; procesing accessories - 23, )</t>
  </si>
  <si>
    <t>Purchase of Software</t>
  </si>
  <si>
    <t>Training Expenses - Other (Training of revenue clerks at mutomo reptile park to enable automation)</t>
  </si>
  <si>
    <t>Purchase of Office furniture and fittings (To enable automation)</t>
  </si>
  <si>
    <t>Purchase of Computers, Printers and other IT Equipment (To enable automation)</t>
  </si>
  <si>
    <t xml:space="preserve">Other Infrastructure and Civil Works (Completion of ticketing gate at Mutomo Reptile  Park to enhance automation) </t>
  </si>
  <si>
    <t>Prefeasibility, feasibility and Appraisal studies  (to define the scope  including the types of emergencies the Emergency Response center will respond to , the services it will provide (e.g., dispatch, on-site response, coordination with other agencies), and the geographic area it will cover.)</t>
  </si>
  <si>
    <t>Research Allowance (Research and mapping of disaster-prone areas in the county to enhance emergency preparedness and planning)</t>
  </si>
  <si>
    <t>Advertising, Awareness and Publicity Campaigns - County tournament in football from Village level culminating into Govenors cup)</t>
  </si>
  <si>
    <t>Mortgage and Car Loans for Members</t>
  </si>
  <si>
    <r>
      <t>Other Infrastructure and Civil Works (Construction of 120 sand dams -</t>
    </r>
    <r>
      <rPr>
        <b/>
        <sz val="12"/>
        <rFont val="Tahoma"/>
        <family val="2"/>
      </rPr>
      <t xml:space="preserve"> 3 per ward</t>
    </r>
    <r>
      <rPr>
        <sz val="12"/>
        <rFont val="Tahoma"/>
        <family val="2"/>
      </rPr>
      <t xml:space="preserve"> for irrigation)</t>
    </r>
  </si>
  <si>
    <t>Capital Grants to VTCs</t>
  </si>
  <si>
    <t xml:space="preserve"> Communication, Supplies - Other - Business Mapping and Automation of OSR</t>
  </si>
  <si>
    <t>x</t>
  </si>
  <si>
    <t xml:space="preserve"> Purchase of Software - Land Information Management System</t>
  </si>
  <si>
    <t>Payment for Mwingi Urban Development Plan</t>
  </si>
  <si>
    <t>X</t>
  </si>
  <si>
    <t>Other Operating Expenses - M&amp;E</t>
  </si>
  <si>
    <t>Other Infrastructure and Civil Works - Revote</t>
  </si>
  <si>
    <t>-3375000</t>
  </si>
  <si>
    <t>Feasibility - Engagement of National Government in the installation of Afya Ke Software in the twelve sub county Hospitals</t>
  </si>
  <si>
    <t>Automation of 12 sub-county hospitals(Ikutha,Mutomo,Ikanga,Zombe,Mutitu,Katulani,Kauwi,Migwani,Nuu,Kyuso,Tseikuru,Kanyangi). This includes desktop computers, Epos printers,interlinking of the facilities stores dashboards, networking and internet connection</t>
  </si>
  <si>
    <t xml:space="preserve">Construction of dispensaries in 17 villages with no dispensary structures. The villages are Kalundu
Kenze,Kyanika/Mwembe Tayari,Nyanyaa/Ndunguni,Ithumula,Kathungu,Ndili
Kaliakatune,Kyeng'e,Kyondoni,Mulang'a,Kyanika,Mathyakani,(Nguni),Kimela/Syumani,Kanyengya/Gatoroni,Nguutani/Katuyu/Mukauni,Nzawa/Mavuni
</t>
  </si>
  <si>
    <t xml:space="preserve">Renovation of 17 facilities (Currently with structures that need facelifting). These are Katyethoka Dispensary,Katumbi Dispensary - Endau Malalani,Munyuni Dispensary,Kasangu Dispensary,Kisiuni Dispensary,Yana Dispensary,Ngwate Dispensary,Isaa Dispensary,Kilimu Dispensary,Kangondi Dispensary,Ithumbi Dispensary,Katinga Dispensary, Kitooni dispensary
Kasarani Dispensary - Mwingi Central,Sosoma Dispensary,Maongoa Dispensary,Kaliwa Dispensary
Katumbi Dispensary - Tseikuru,Nzanzeni Dispensary
</t>
  </si>
  <si>
    <t>Upgrading of Musavani and Yumbu dispensaries to health centres</t>
  </si>
  <si>
    <t>Primary Health Facility (Health Centres &amp; dispensaries) -County funding for the operational facilities+5,935,995 to cater for operationalization of the new 34 dispensaries for 5 months(watchman, cleaner , utilities,sanitation, committee allowances)</t>
  </si>
  <si>
    <t>PROPOSED COMPETION OF KATHINI DISPENSARY -Pending bill</t>
  </si>
  <si>
    <t>PROPOSED COMPLETION OF MORTUARY BLOCK AT KITUI REFERRAL HOSPITAL -Pending bill</t>
  </si>
  <si>
    <t>Health products  and technologies for the 34 facilities to be operationalized +5 newly operationalized facilities</t>
  </si>
  <si>
    <t>Purchase of vaporizers for KCRH theatre</t>
  </si>
  <si>
    <t>Purchase of x-ray tube for KCRH X-ray machine</t>
  </si>
  <si>
    <t>Purchase of theatre operating table for Mwingi level IV hospital</t>
  </si>
  <si>
    <t>Purchase of basic equipment for the operationalization of 34 dispensaries in the 34 villages</t>
  </si>
  <si>
    <t>PROPOSED INSTALLATION OF SOLAR POWER SYSTEM FOR KAMUWONGO, Kwavonza and Yalatani DISPENSARIES- Pending bills</t>
  </si>
  <si>
    <t>Purchase of Motor Vehicle</t>
  </si>
  <si>
    <t>Formulation of Kitui County Risk Management Policy for the 8 sub county urban areas</t>
  </si>
  <si>
    <t>Installation of solar flood lights at CHMT-pending bill</t>
  </si>
  <si>
    <t>Continuation of construction of Nzamba Kitonga Memorial Hospital + Pending Bills</t>
  </si>
  <si>
    <t>Continuation of Construction of renal centre KCRH +Pending Bills</t>
  </si>
  <si>
    <t>Installation of 3-phase electricity at Kauwi sub-county hospital to operstionalize theatre and X-ray</t>
  </si>
  <si>
    <t>Pending bills for construction works(Re-roofing of cancer centre at KCRH, construction of Kakithya dispensary, renovation of Kanyangi Thearte, Completion of Kyandui Dispensary,  chainlink fencing and gate at kawala, renovation of Endau Dispensary,  construction of placenta pit at Tharaka Health Centre,  construction of maternity theatre at Kanziku health centre, roofing of kitchen block at KCRH, completion and extension of theatre at Mutomo sub-county hospital, renovation of maternity block at tiva dispensary, construction of women unit at Mwingi level iv hospital, construction of Kitoo dispensary, completion of Tseikuru X-ray block)</t>
  </si>
  <si>
    <r>
      <t xml:space="preserve">Casual Labour - Others (Locum </t>
    </r>
    <r>
      <rPr>
        <b/>
        <sz val="12"/>
        <rFont val="Tahoma"/>
        <family val="2"/>
      </rPr>
      <t>+</t>
    </r>
    <r>
      <rPr>
        <sz val="12"/>
        <rFont val="Tahoma"/>
        <family val="2"/>
      </rPr>
      <t xml:space="preserve"> CHMT) +(Stipends for locum nurses for 5 months in the 112 facilities manned by 1 nurse))</t>
    </r>
  </si>
  <si>
    <t>Basic Salaries - Civil Service + (Employment of 39 nurses for operationalization of the 34 health facilities+ 5 newly operationalized facilities+112 facilities manned by 1 nurse+ 8 facilities manned by locum staff  to cater for 5 months salary)</t>
  </si>
  <si>
    <t>Summary of Changes</t>
  </si>
  <si>
    <t xml:space="preserve"> Acquisition of Land</t>
  </si>
  <si>
    <t>3130101</t>
  </si>
  <si>
    <t>Pre-feasibility, Feasibility and Appraisal Studies - Payment for Mwingi Urban Development Plan</t>
  </si>
  <si>
    <t>Other Infrast./Civil Works  (Construction and Repair of Bitumen Road )</t>
  </si>
  <si>
    <t>1.695M required to cater for Engagement of National Government in the installation of Afya KE Software in the twelve sub county Hospitals</t>
  </si>
  <si>
    <t>Additional 12.8M to cater for Automation of 12 sub-county hospitals(Ikutha,Mutomo,Ikanga,Zombe,Mutitu,Katulani,Kauwi,Migwani,Nuu,Kyuso,Tseikuru,Kanyangi). This includes desktop computers, Epos printers,interlinking of the facilities stores dashboards, networking and internet connection</t>
  </si>
  <si>
    <t>Additional 30.658M to cater for pending bills for various construction works(Re-roofing of cancer centre at KCRH, construction of Kakithya dispensary, renovation of Kanyangi Thearte, Completion of Kyandui Dispensary,  chainlink fencing and gate at kawala, renovation of Endau Dispensary,  construction of placenta pit at Tharaka Health Centre,  construction of maternity theatre at Kanziku health centre, roofing of kitchen block at KCRH, completion and extension of theatre at Mutomo sub-county hospital, renovation of maternity block at tiva dispensary, construction of women unit at Mwingi level iv hospital, construction of Kitoo dispensary, completion of Tseikuru X-ray block)</t>
  </si>
  <si>
    <t>Additional 35M to cater for purchase of non pharmaceuticals</t>
  </si>
  <si>
    <t>Additional 10.664M to cater for purchase of Health products  and technologies for the 34 facilities to be operationalized +5 newly operationalized facilities</t>
  </si>
  <si>
    <t>Additional 0.4M to cater for Purchase of theatre operating table for Mwingi level IV hospital</t>
  </si>
  <si>
    <t>Additional 18.207M to cater for Purchase of basic equipment for the operationalization of 34 dispensaries in the 34 villages</t>
  </si>
  <si>
    <t>Additional 2M to cater for the pending bills</t>
  </si>
  <si>
    <t>Readuction of 3M to cater for outstanding pending bills</t>
  </si>
  <si>
    <t>Additional 0.5M to cater for the pending bills</t>
  </si>
  <si>
    <t>Additional 0.0137M to cater for the pending bills</t>
  </si>
  <si>
    <t>Additional 0.2328M to cater for the pending bills - KSG tuition fees for 2 officers who attended training and their fees was not cleared by close of the last financial year</t>
  </si>
  <si>
    <t>Additional 0.01624M to cater for the pending bills</t>
  </si>
  <si>
    <t>Additional 0.769M to cater for the pending bills</t>
  </si>
  <si>
    <t>Additional 0.899M to cater for the pending bills</t>
  </si>
  <si>
    <t>Additional 0.657M to cater for the pending bills</t>
  </si>
  <si>
    <t>Additional 7.649M to cater for the pending bills</t>
  </si>
  <si>
    <t>Additional 76.062M to cater for the pending bills for works done on completion of ward offices and construction of police stations</t>
  </si>
  <si>
    <t>PRIORITY AREAS - CABINET</t>
  </si>
  <si>
    <t>1. YOUTH EMPOWERMENT</t>
  </si>
  <si>
    <t>2. DATA MAPPING</t>
  </si>
  <si>
    <t>3. MOVE KYUSO TO LEVEL 4</t>
  </si>
  <si>
    <t>4. MOVE MUSAVANI IN TSEIKURU TO LEVEL 3B</t>
  </si>
  <si>
    <t>5. CA OFFICE BLOCK - REDUCE BY 100M</t>
  </si>
  <si>
    <t>6. ADD CLIDP - 50M</t>
  </si>
  <si>
    <t>ecde</t>
  </si>
  <si>
    <t>executive</t>
  </si>
  <si>
    <t>others</t>
  </si>
  <si>
    <t>Reduction of 7M meant to cater for provision for pending bills</t>
  </si>
  <si>
    <t>Reduction of 4M meant to cater for emerging priorities under health and staff medical cover</t>
  </si>
  <si>
    <t>Reduction of 8M meant to cater for emerging priorities under health and staff medical cover</t>
  </si>
  <si>
    <t>Revote amounting Kshs 0.332M to cater for pending bils</t>
  </si>
  <si>
    <t>Reallocation of 37.5M meant to transfer the KDSP Budget to Economic Planning and Budgeting Department</t>
  </si>
  <si>
    <t>Reallocation of 5.625M meant to transfer the KDSP Budget to Economic Planning and Budgeting Department</t>
  </si>
  <si>
    <t>Reallocation of 5.625M meant to transfer the KDSP Budget from General Administration Department</t>
  </si>
  <si>
    <t>Revote amounting Kshs 39.6M as a result of unspent KDSP I allocation. Further, reallocation of 37.5M meant to transfer the KDSP Budget from General Administration Department</t>
  </si>
  <si>
    <t>Allocation of 36.2M meant to automate revenue collection under various streams</t>
  </si>
  <si>
    <t xml:space="preserve"> Communication, Supplies - Other -Renewal of ZIZI software</t>
  </si>
  <si>
    <t>Project Allowance - Youth Engangement Forum</t>
  </si>
  <si>
    <t>The allocation is meant to cater for hosting a forum on youth engangement forum. The forum will provide a unique opportunity to engage our youth in a constructive dialogue on key policy interventions to solve the challenges they face. The forum will bring various stakeholders together including 1000 youth from across our 247 villages in the County. Further, the youth exhibitors from key thematic areas such as Agriculture, ICT &amp; Digital economy, Sports &amp; Creative arts will showcase opportunities that exist for our ever-rising population.</t>
  </si>
  <si>
    <t>Additional 55.67M to cater for recuitment of a total of 159 nurses to cater for 5 months salary- (39 nurses for operationalization of the 34 health facilities+ 5 newly operationalized facilities+112 facilities manned by 1 nurse+ 8 facilities manned by locum staff  )</t>
  </si>
  <si>
    <t>PROPOSED INSTALLATION OF SOLAR POWER SYSTEM FOR KAMUWONGO, Kwavonza and Yalatani DISPENSARIES- 1.1M Pending bills+ Revote for Oxygen Van 5.5M + Revote for Laundry Washing Machine &amp; Drier Machine for Migwani Sub County Hospital - 7.7M</t>
  </si>
  <si>
    <t>Kshs 25M  is in respect to  Outstanding legal fees cleared by the Kitui County Pending Bills Review Committee, 2022.</t>
  </si>
  <si>
    <t>The additional Kshs 100M  is in respect to outstanding court decrees being enforced in court against the county government of Kitui. The decrees continue to add interest against the government as they remain unsettled.</t>
  </si>
  <si>
    <t>yep</t>
  </si>
  <si>
    <t>vtcs</t>
  </si>
  <si>
    <t>toos</t>
  </si>
  <si>
    <t>comm</t>
  </si>
  <si>
    <t>cldp</t>
  </si>
  <si>
    <t>gem</t>
  </si>
  <si>
    <t>A Land Information and Management System is an automated comprehensive web and mobile integrated system that manages and provides information related to land and its use as well as streamlining critical processes associated with land obligations and payment. It combines spatial data (geographic information) with attribute data (non- spatial information) to create a database that supports various land-related applications. LIMS is a tool for legal, administrative, economic decision making and an aid for planning and development. LIMS consists of a GIS database containing spatially referenced land-related data (parcels) for a defined area and procedures and techniques for the systematic collection, updating, processing and distribution of the data. The end result of a LIMS is an integrated database for land ownership that has a software aspect which facilitates other processes such as transactions relating to land ownership, payment of fees relating to land specifically land rates, electronic application of development approvals among others. The direct impact is reduced land disputes by eliminating multiple allocation of plots and enhanced revenue collection by digitizing the process through which revenue emanating from land related  Key Aspects and Functionalities of LIMS:- 1.  Spatial Data Management; 2.  Cadastre Information: LIMS typically includes information about individual land parcels, including ownership details, land use 3.  Land use planning classifications, land tenure and legal descriptions. This data is very crucial for property assessment, taxation as well as land management; 4.  Revenue Mobilization: Electronic development application and approval, automated billing for land rates; 5.  Zoning and Regulation Compliance: LIMS can assist in enforcing zoning regulations by tracking land use changes, ensuring compliance with zoning laws and facilitating the permitting process; 6.  Enhanced security of land tenure through tracking of land transfers transactions is billed and paid for.</t>
  </si>
  <si>
    <t>The NHIF arrears amounting to Kshs. 121,742,201 which was not remitted to the Ministry of Health and Sanitation by close of FY 2023/24</t>
  </si>
  <si>
    <t>Additional 5.5M to cater for Governor's Communications Activities: Engage external media, newspaper supplements, outside broadcasts, livestreams</t>
  </si>
  <si>
    <t>Additional Ksh 0.7M  to support operations for the office of Deputy Governor</t>
  </si>
  <si>
    <t>Additional Ksh 0.2M  to support operations for the office of Deputy Governor</t>
  </si>
  <si>
    <t>Additional Ksh 0.4M  to support operations for the office of Deputy Governor</t>
  </si>
  <si>
    <t>Revote amounting 0.6M  to pay pending bills. Further reduction of 0.06M to cater for budget shortfalls.</t>
  </si>
  <si>
    <t>Reallocation of 0.2M to cater for budget shortfall</t>
  </si>
  <si>
    <t>Additional 0.45M to cater for training of revenue clerks at mutomo reptile park to enable automation</t>
  </si>
  <si>
    <t>Reduction 0.45M to provide for budget for training of revenue clerks and enable automation.</t>
  </si>
  <si>
    <t>The additional 82.4M meant to boost allocation for staff medical cover. In the FY 2023/24, the number of staff increased from xx to xx as a result of ECDE teachers transiting to P&amp;P. As a result, an additional Kshs 87M is required to accommodate the increased number of staff. sha will not be giving enhanced cover for staff henve need tom outsource for private insurance.</t>
  </si>
  <si>
    <t>REFUND OF UN-UTILISED PREMIUM PAID FOR UHC MEDICAL PROGRAM (Over payment during FY 2020/21 - Elders Universal Coverage - Part of the KCHIC)</t>
  </si>
  <si>
    <t xml:space="preserve">  Budget Estimates 2024/25</t>
  </si>
  <si>
    <t xml:space="preserve"> Actual Revote</t>
  </si>
  <si>
    <t xml:space="preserve"> Addition/ Reduction in Revenue</t>
  </si>
  <si>
    <t xml:space="preserve">  Supplementary I Budget 2024/25</t>
  </si>
  <si>
    <t xml:space="preserve"> Budget Notes </t>
  </si>
  <si>
    <t xml:space="preserve"> Medical Insurance (Group Cover Insurance)</t>
  </si>
  <si>
    <t xml:space="preserve">  Acquisition of Land</t>
  </si>
  <si>
    <t xml:space="preserve"> Acquisition of land at Kivou Village </t>
  </si>
  <si>
    <t xml:space="preserve"> Other Infrastructure and Civil Works - CLIDP Pending Bills</t>
  </si>
  <si>
    <t xml:space="preserve"> Revote amounting to Kshs 156.7M to finance outstanding CLIDP commitments for FY 2023/24. Reduction of 1.625M meant to cater for acquisition of land at Kivou village</t>
  </si>
  <si>
    <t xml:space="preserve"> Additional 2M to cater for the pending bills</t>
  </si>
  <si>
    <t xml:space="preserve"> Other Operating Expenses- Support to SEKEB Secretariat</t>
  </si>
  <si>
    <t xml:space="preserve"> Readuction of 3M to cater for outstanding pending bills</t>
  </si>
  <si>
    <t xml:space="preserve"> Other Operating Expenses (Enhanced Budget for Governor's Communications Activities: Engage external media, newspaper supplements, outside broadcasts, livestreams) </t>
  </si>
  <si>
    <t xml:space="preserve"> Additional 5.5M to cater for Governor's Communications Activities: Engage external media, newspaper supplements, outside broadcasts, livestreams </t>
  </si>
  <si>
    <t xml:space="preserve"> Additional 0.5M to cater for the pending bills</t>
  </si>
  <si>
    <t xml:space="preserve"> Legal Dues/ Fees, Arbitration and Compensation Payments(including on-going cases)- with pending bills </t>
  </si>
  <si>
    <t xml:space="preserve">                        -   </t>
  </si>
  <si>
    <t xml:space="preserve"> Contracted Professional  Services </t>
  </si>
  <si>
    <t xml:space="preserve"> Additional 0.0137M to cater for the pending bills </t>
  </si>
  <si>
    <t xml:space="preserve"> Additional 0.2328M to cater for the pending bills - KSG tuition fees for 2 officers who attended training and their fees was not cleared by close of the last financial year </t>
  </si>
  <si>
    <t xml:space="preserve"> Additional 0.01624M to cater for the pending bills </t>
  </si>
  <si>
    <t xml:space="preserve"> Additional 0.769M to cater for the pending bills </t>
  </si>
  <si>
    <t xml:space="preserve"> Additional 0.899M to cater for the pending bills </t>
  </si>
  <si>
    <t xml:space="preserve"> Additional 0.657M to cater for the pending bills </t>
  </si>
  <si>
    <t xml:space="preserve"> Purchase of Office Furniture and Fittings( Furnishing all the 247 Village administrators offices across the County) </t>
  </si>
  <si>
    <t xml:space="preserve"> Additional 7.649M to cater for the pending bills </t>
  </si>
  <si>
    <t xml:space="preserve"> Readuction of 3M to cater for outstanding pending bills </t>
  </si>
  <si>
    <t xml:space="preserve"> Additional 76.062M to cater for the pending bills for works done on completion of ward offices and construction of police stations </t>
  </si>
  <si>
    <t xml:space="preserve"> Additional Ksh 0.7M  to support operations for the office of Deputy Governor</t>
  </si>
  <si>
    <t xml:space="preserve"> Additional Ksh 0.2M  to support operations for the office of Deputy Governor</t>
  </si>
  <si>
    <t xml:space="preserve"> Additional Ksh 0.4M  to support operations for the office of Deputy Governor</t>
  </si>
  <si>
    <t>General Office Supplies (papers, pencils, forms, small office equipment, computers and accessories)</t>
  </si>
  <si>
    <t xml:space="preserve"> Revote amounting 0.6M  to pay pending bills. Further reduction of 0.06M to cater for budget shortfalls.</t>
  </si>
  <si>
    <t xml:space="preserve"> Reallocation of 0.2M to cater for budget shortfall</t>
  </si>
  <si>
    <t xml:space="preserve">                                      -  </t>
  </si>
  <si>
    <t xml:space="preserve"> Additional 0.45M to cater for training of revenue clerks at mutomo reptile park to enable automation</t>
  </si>
  <si>
    <t xml:space="preserve"> Refined Fuels and Lubricants---Other</t>
  </si>
  <si>
    <t xml:space="preserve"> Reduction 0.45M to provide for budget for training of revenue clerks and enable automation.</t>
  </si>
  <si>
    <t xml:space="preserve"> Casual Labour - Others (Locum + CHMT) +(Stipends for locum nurses for 5 months in the 112 facilities manned by 1 nurse)) </t>
  </si>
  <si>
    <t xml:space="preserve"> Additional 25.2M to cater for Stipends for locum nurses for 5 months in the 112 facilities manned by 1 nurse </t>
  </si>
  <si>
    <t xml:space="preserve"> Feasibility - Engagement of National Government in the installation of Afya Ke Software in the twelve sub county Hospitals </t>
  </si>
  <si>
    <t xml:space="preserve"> 1.695M required to cater for Engagement of National Government in the installation of Afya KE Software in the twelve sub county Hospitals </t>
  </si>
  <si>
    <t xml:space="preserve"> Completion and operationalization of kitchen at Migwani sub-county hospital</t>
  </si>
  <si>
    <t xml:space="preserve"> Reduction of 0.5M to cater for pending bills </t>
  </si>
  <si>
    <t xml:space="preserve"> Reduction of 8M to cater for pending bills </t>
  </si>
  <si>
    <t xml:space="preserve"> Construction of Kyuso female Ward </t>
  </si>
  <si>
    <t xml:space="preserve">                                -   </t>
  </si>
  <si>
    <t xml:space="preserve"> Reduction of 0.3M to cater for pending bills </t>
  </si>
  <si>
    <t xml:space="preserve"> Reduction of 4M to cater for pending bills </t>
  </si>
  <si>
    <t xml:space="preserve">                           -  </t>
  </si>
  <si>
    <t xml:space="preserve"> Reduction of 5M to cater for pending bills </t>
  </si>
  <si>
    <t xml:space="preserve"> Additional 14.7 M to cater for pending bills for previous works done for Nzamba kitonga.</t>
  </si>
  <si>
    <t xml:space="preserve">Reduction of 6M to cater for other priority areas </t>
  </si>
  <si>
    <t xml:space="preserve"> Additional 21.8M to cater for pending bills for previous works done for renal centre at KCRH</t>
  </si>
  <si>
    <t xml:space="preserve">Reduction of 1M to cater for other priority areas </t>
  </si>
  <si>
    <t xml:space="preserve"> Reduction of 19.9M to cater for operationalization of villages without operational facilities </t>
  </si>
  <si>
    <t>Construction of dispensaries in 17 villages with no dispensary structures. The villages are Kalundu</t>
  </si>
  <si>
    <t>Kenze,Kyanika/Mwembe Tayari,Nyanyaa/Ndunguni,Ithumula,Kathungu,Ndili</t>
  </si>
  <si>
    <t>Kaliakatune,Kyeng'e,Kyondoni,Mulang'a,Kyanika,Mathyakani,(Nguni),Kimela/Syumani,Kanyengya/Gatoroni,Nguutani/Katuyu/Mukauni,Nzawa/Mavuni</t>
  </si>
  <si>
    <t>Additional 63.022M to cater for construction of dispensaries in 17 villages with no dispensary structures. The villages are Kalundu</t>
  </si>
  <si>
    <t>Renovation of 17 facilities (Currently with structures that need facelifting). These are Katyethoka Dispensary,Katumbi Dispensary - Endau Malalani,Munyuni Dispensary,Kasangu Dispensary,Kisiuni Dispensary,Yana Dispensary,Ngwate Dispensary,Isaa Dispensary,Kilimu Dispensary,Kangondi Dispensary,Ithumbi Dispensary,Katinga Dispensary, Kitooni dispensary</t>
  </si>
  <si>
    <t>Kasarani Dispensary - Mwingi Central,Sosoma Dispensary,Maongoa Dispensary,Kaliwa Dispensary</t>
  </si>
  <si>
    <t>Katumbi Dispensary - Tseikuru,Nzanzeni Dispensary</t>
  </si>
  <si>
    <t>Additional 34m to cater for Renovation of 17 facilities (Currently with structures that need facelifting). These are Katyethoka Dispensary,Katumbi Dispensary - Endau Malalani,Munyuni Dispensary,Kasangu Dispensary,Kisiuni Dispensary,Yana Dispensary,Ngwate Dispensary,Isaa Dispensary,Kilimu Dispensary,Kangondi Dispensary,Ithumbi Dispensary,Katinga Dispensary, Kitooni dispensary</t>
  </si>
  <si>
    <t xml:space="preserve"> Additional 1.5M to cater for upgrading of Musavani - 5M (Maternity Block + An OPD with a Lab) and Yumbu -1.5M (Operationalize the maternity) dispensaries to health centres </t>
  </si>
  <si>
    <t xml:space="preserve"> Additional 1.279M to cater for pending bill for Installation of solar flood lights at CHMT </t>
  </si>
  <si>
    <t xml:space="preserve"> Additional 5.934M to cater for operationalization of the new 34 dispensaries for 5 months(watchman, cleaner , utilities,sanitation, committee allowances) </t>
  </si>
  <si>
    <t xml:space="preserve"> Revote under DANIDA </t>
  </si>
  <si>
    <t xml:space="preserve"> Completion and equipping of KCRH - 18M and Mwingi level IV - 6.2M mortuaries  </t>
  </si>
  <si>
    <t xml:space="preserve"> Additional 1.499M to cater for pending bill on COMPETION OF KATHINI DISPENSARY  </t>
  </si>
  <si>
    <t xml:space="preserve"> Additional 6.446M to cater for pending bill on COMPLETION OF MORTUARY BLOCK AT KITUI REFERRAL HOSPITAL </t>
  </si>
  <si>
    <t xml:space="preserve"> Pharmaceutical Medical Items </t>
  </si>
  <si>
    <t xml:space="preserve"> Additional 61M to cater for purchase of drugs </t>
  </si>
  <si>
    <t xml:space="preserve"> Dressings and Other Non-Pharmaceutical Medical Items </t>
  </si>
  <si>
    <t xml:space="preserve"> Additional 35M to cater for purchase of non pharmaceuticals </t>
  </si>
  <si>
    <t xml:space="preserve"> Health products  and technologies for the 34 facilities to be operationalized +5 newly operationalized facilities </t>
  </si>
  <si>
    <t xml:space="preserve"> Additional 10.664M to cater for purchase of Health products  and technologies for the 34 facilities to be operationalized +5 newly operationalized facilities </t>
  </si>
  <si>
    <t xml:space="preserve"> Reduction of 3M to cater for purchase of X-ray tube for KCRH x-ray machine </t>
  </si>
  <si>
    <t xml:space="preserve"> Reduction of 0.452M to cater for purchase of theatre operating table for Mwingi level IV hospital </t>
  </si>
  <si>
    <t xml:space="preserve"> Reduction of 1.0476M to cater for purchase of vaporizers for KCRH theatre </t>
  </si>
  <si>
    <t xml:space="preserve"> Rearrangement </t>
  </si>
  <si>
    <t xml:space="preserve"> Additional 1.3M to cater for Purchase of vaporizers for KCRH theatre </t>
  </si>
  <si>
    <t xml:space="preserve"> Additional 2.8M to cater for Purchase of x-ray tube for KCRH X-ray machine </t>
  </si>
  <si>
    <t xml:space="preserve"> Additional 1.3M to cater for Installation of 3-phase electricity at Kauwi sub-county hospital to operstionalize theatre and X-ray </t>
  </si>
  <si>
    <t xml:space="preserve"> Additional Revote amounting 0.309M to cater for pending bills </t>
  </si>
  <si>
    <t xml:space="preserve"> Additional Revote amounting 0.309M to cater for pending bills. Further reduction amounting 0.185M meant to cater forautomation.</t>
  </si>
  <si>
    <t xml:space="preserve"> Additional Revote amounting 0.239M to cater for pending bills </t>
  </si>
  <si>
    <t xml:space="preserve"> Additional Revote amounting 0.02M to cater for pending bills </t>
  </si>
  <si>
    <t xml:space="preserve"> Additional Revote amounting 0.292M to cater for pending bills </t>
  </si>
  <si>
    <t xml:space="preserve"> Additional Revote amounting 0.12M to cater for pending bills </t>
  </si>
  <si>
    <t>Contracted guards and cleaning services</t>
  </si>
  <si>
    <t xml:space="preserve"> Additional Revote amounting 0.06M to cater for pending bills </t>
  </si>
  <si>
    <t xml:space="preserve"> Additional Revote amounting 0.048M to cater for pending bills </t>
  </si>
  <si>
    <t>Maintenance of Building and stations-non residential- Customer care desk refurbishment</t>
  </si>
  <si>
    <t xml:space="preserve"> Additional Revote amounting 1.77M to cater for pending bills </t>
  </si>
  <si>
    <t xml:space="preserve"> Additional 3M meant  for automation - to procure gadgets to be used for revenue collection under two revenue streams i.e.,  weights and measures and cooperatives</t>
  </si>
  <si>
    <t xml:space="preserve"> Reduction of 7M meant to cater for provision for pending bills </t>
  </si>
  <si>
    <t xml:space="preserve"> Additional 21.7M budgeted to pay outstanding commitments which were not paid by 30th June 2024 as well as pending bills clearesd by Pending Bills Review Committee, 2022</t>
  </si>
  <si>
    <t xml:space="preserve"> Additional 9.123M budgeted to pay outstanding commitments which were not paid by 30th June 2024 as well as pending bills clearesd by Pending Bills Review Committee, 2022</t>
  </si>
  <si>
    <t xml:space="preserve"> Reduction of 4M meant to cater for emerging priorities under health and staff medical cover </t>
  </si>
  <si>
    <t>Research,feasibility studies(Consultancy on the County Industrial Parks - Multiyear</t>
  </si>
  <si>
    <t xml:space="preserve"> Reduction of 8M meant to cater for emerging priorities under health and staff medical cover </t>
  </si>
  <si>
    <t xml:space="preserve"> Reduction of 1M meant to cater for emerging priorities under health and staff medical cover </t>
  </si>
  <si>
    <t xml:space="preserve"> Reduction of Kshs 0.55M to cater for budgetary provision for Cop -29 conference t Azerbaijan </t>
  </si>
  <si>
    <t xml:space="preserve"> Additional Allocation of Kshs 0.556M to cater for budgetary provision for Cop -29 conference t Azerbaijan </t>
  </si>
  <si>
    <t xml:space="preserve"> Reduction of Kshs 0.244M to cater for budgetary provision for Cop -29 conference at Azerbaijan</t>
  </si>
  <si>
    <t xml:space="preserve"> Additional Allocation of Kshs 0.3M to cater for pending Bills  </t>
  </si>
  <si>
    <t xml:space="preserve"> Reduction of Kshs 0.3M to cater for pending Bills  </t>
  </si>
  <si>
    <t xml:space="preserve"> Reduction of 5.4M to cater for budgetary provision for emerging issues under health, staff medical cover, etc. </t>
  </si>
  <si>
    <t xml:space="preserve"> Revote amounting to Kshs 12.9M meant to cater for pending bills. Further reduction of Kshs 35M to cater for emerging priorities under health, medical cover, etc </t>
  </si>
  <si>
    <t xml:space="preserve"> Additional Kshs 0.3M to cater for pending bills</t>
  </si>
  <si>
    <t xml:space="preserve"> Additional Kshs 0.15M to cater for pending bills</t>
  </si>
  <si>
    <t xml:space="preserve"> Revote amounting to Kshs 5.4M meant to cater for pending bills. </t>
  </si>
  <si>
    <t xml:space="preserve"> Addition allocation of Kshs 0.15M meant to cater for the pending bills</t>
  </si>
  <si>
    <t xml:space="preserve"> A revote of Kshs 0.998M to cater for the pending bills. Further reduction amounting Kshs 1M to cater for pending bills</t>
  </si>
  <si>
    <t xml:space="preserve"> A revote of Kshs 2.399M to cater for the pending bills. Further reduction amounting Kshs 7.679M to cater for emerging priorities under health, staff medical cover, automation, etc</t>
  </si>
  <si>
    <t xml:space="preserve"> A revote amounting to Kshs 0.568M meant to cater for pending bills</t>
  </si>
  <si>
    <t xml:space="preserve"> Revote amounting Kshs 2.849M to cater for pending bils</t>
  </si>
  <si>
    <t xml:space="preserve"> Revote amounting Kshs 4.377M to cater for pending bils</t>
  </si>
  <si>
    <t xml:space="preserve"> Revote amounting Kshs 0.315M to cater for pending bils</t>
  </si>
  <si>
    <t xml:space="preserve"> Revote amounting Kshs 0.186M to cater for pending bils</t>
  </si>
  <si>
    <t xml:space="preserve"> Revote amounting Kshs 0.132M to cater for pending bils</t>
  </si>
  <si>
    <t xml:space="preserve">                              -  </t>
  </si>
  <si>
    <t xml:space="preserve">                           -   </t>
  </si>
  <si>
    <t xml:space="preserve"> Reallocation of 37.5M meant to transfer the KDSP Budget to Economic Planning and Budgeting Department</t>
  </si>
  <si>
    <t xml:space="preserve"> Reallocation of 5.625M meant to transfer the KDSP Budget to Economic Planning and Budgeting Department</t>
  </si>
  <si>
    <t xml:space="preserve"> Revote amounting Kshs 39.6M as a result of unspent KDSP I allocation. Further, reallocation of 37.5M meant to transfer the KDSP Budget from General Administration Department</t>
  </si>
  <si>
    <t xml:space="preserve"> Reallocation of 5.625M meant to transfer the KDSP Budget from General Administration Department</t>
  </si>
  <si>
    <t xml:space="preserve"> Allocation of 6.386M meant to M&amp;E programme under Economic Planning and Budgeting Programme</t>
  </si>
  <si>
    <t xml:space="preserve"> Revote amounting Kshs 3M to cater for pending bills </t>
  </si>
  <si>
    <t xml:space="preserve"> Allocation of 36.2M meant to automate revenue collection under various streams </t>
  </si>
  <si>
    <t xml:space="preserve"> Revote of Kshs 14.734M meant for settlement of outstanding commitment for construction of CPSB office block </t>
  </si>
  <si>
    <t xml:space="preserve"> Development</t>
  </si>
  <si>
    <t xml:space="preserve"> Non-Residential Buildings (offices, schools, hospitals, etc..) </t>
  </si>
  <si>
    <t xml:space="preserve"> Reduce Kshs 133M (i.e. 100M for County Assembly's Office Block and 33M for Construction of Ward Offices) to cater emerging priorities. The reallocation is meant to provide for additional allocation for healthcare </t>
  </si>
  <si>
    <t xml:space="preserve">  Addition for Board members for the municipality  </t>
  </si>
  <si>
    <t xml:space="preserve">  pending bill for Batosh of 202,000  </t>
  </si>
  <si>
    <t xml:space="preserve">  deduction to cater for pending bill  </t>
  </si>
  <si>
    <t xml:space="preserve">  cater for pending bill  </t>
  </si>
  <si>
    <t xml:space="preserve">  deduction to cater for various pending bills  </t>
  </si>
  <si>
    <t xml:space="preserve">  cater for pending bill and trainings  </t>
  </si>
  <si>
    <t xml:space="preserve">  cater for pending bill Dayland company of Ksh. 645,000.00 </t>
  </si>
  <si>
    <t xml:space="preserve">  cater for pending bill for IDEP Plan  </t>
  </si>
  <si>
    <t xml:space="preserve">  addition for pending bill of Gaslos contractors - public toilet Ksh. 1,590,000 </t>
  </si>
  <si>
    <t xml:space="preserve">  realloction to cater for damaged bitumen road </t>
  </si>
  <si>
    <t xml:space="preserve">  for seminars and conferences </t>
  </si>
  <si>
    <t xml:space="preserve">  for trainings </t>
  </si>
  <si>
    <t xml:space="preserve">  pending bill for phantom - installation of 3no. Gates Ksh. 743,967 </t>
  </si>
  <si>
    <t xml:space="preserve">  cater for pending bills </t>
  </si>
  <si>
    <t xml:space="preserve">  improvement of road </t>
  </si>
  <si>
    <t xml:space="preserve"> Telephone, Telex, Facsmile and Mobile Phone Services </t>
  </si>
  <si>
    <t xml:space="preserve"> Revote amounting </t>
  </si>
  <si>
    <t xml:space="preserve">  Purchase of Software - Land Information Management System </t>
  </si>
  <si>
    <t xml:space="preserve">Ministry </t>
  </si>
  <si>
    <t>REVOTE amounting 0.899M  to pay pending bills. Further reduction of 0.06M to cater for budget shortfalls.</t>
  </si>
  <si>
    <t>Reduction 0.2M to provide for budget for training of revenue clerks and enable automation.</t>
  </si>
  <si>
    <t>Reduction of 0.2M to cater for the pending bills</t>
  </si>
  <si>
    <t>Reduction of 0.1M to cater for the pending bills</t>
  </si>
  <si>
    <t>Reduction of 0.27M to cater for the pending bills</t>
  </si>
  <si>
    <t>Reduction of 0.2417M to cater for the pending bills</t>
  </si>
  <si>
    <t>Reduction of 0.5M to cater for automation</t>
  </si>
  <si>
    <t>Reduction of 0.05M to cater for automation</t>
  </si>
  <si>
    <t>Reduction of 3.5M to cater for emerging priority areas in health and automation</t>
  </si>
  <si>
    <t>Additional 0.2M to cater for pending bills</t>
  </si>
  <si>
    <t>Additional 0.07M to cater for pending bills</t>
  </si>
  <si>
    <t>Additional 0.035M to cater for pending bills</t>
  </si>
  <si>
    <t>Construction / Upgrading of Musavani, Yumbu and Kathithu dispensaries to health centres</t>
  </si>
  <si>
    <t xml:space="preserve">Renovation/ Operationalization of 19 facilities (Currently with structures that need facelifting). These are Katyethoka Dispensary,Katumbi Dispensary - Endau Malalani,Munyuni Dispensary,Kasangu Dispensary,Kisiuni Dispensary,Yana Dispensary,Ngwate Dispensary,Isaa Dispensary,Kilimu Dispensary, Masavi Dispensary, Kitoo Dispensary, Kangondi Dispensary,Ithumbi Dispensary,Katinga Dispensary, Kitooni dispensary
Kasarani Dispensary - Mwingi Central,Sosoma Dispensary,Maongoa Dispensary,Kaliwa Dispensary
Katumbi Dispensary - Tseikuru,Nzanzeni Dispensary
</t>
  </si>
  <si>
    <t>Reduce Kshs 133M from the County Assembly's Development Revote amounting 202M  (i.e. 100M for County Assembly's Office Block and 33M for Construction of Ward Offices) to cater emerging priorities. The reallocation is meant to provide for additional allocation for healthcare. The County Assembly to postone construction of ward offices in order to release some funds to cater for healthcare - procurement of drugs, operationalization of 34 dispensaries in various villages as well as recruitment of additional staff to man our health facilities.</t>
  </si>
  <si>
    <t>Other Operating Expenses - oth (Kitui Data Collection and Enhancement of Service Delivery)</t>
  </si>
  <si>
    <t>Kitui Data Collection and Enhancement of Service Delivery</t>
  </si>
  <si>
    <t>Ministry</t>
  </si>
  <si>
    <t>Budget Estimates 2024/25</t>
  </si>
  <si>
    <t>Supplementary I Budget 2024/25</t>
  </si>
  <si>
    <t>Budget Notes</t>
  </si>
  <si>
    <t>Pre-feasibility, Feasibility and Appraisal Studies (CLIDP Administrative budget)</t>
  </si>
  <si>
    <t>Retain CLIDP allocation as approved</t>
  </si>
  <si>
    <t>Reduction of 3M to cater for outstanding pending bills</t>
  </si>
  <si>
    <t>Legal Dues/ Fees, Arbitration and Compensation Payments (including on-going cases)- with pending bills</t>
  </si>
  <si>
    <t>The additional Kshs 100M is in respect to outstanding court decrees being enforced in court against the county government of Kitui. The decrees continue to add interest against the government as they remain unsettled.</t>
  </si>
  <si>
    <t>Kshs 25M is in respect to Outstanding legal fees cleared by the Kitui County Pending Bills Review Committee, 2022.</t>
  </si>
  <si>
    <t>0705013710 SP2.1 Planning and Field administration services</t>
  </si>
  <si>
    <t>Construction of Buildings  (Construction of three (3) police stations (Tseikuru, Nuu and Kanziku)</t>
  </si>
  <si>
    <t>Other Infrastructure and Civil Works (Establishment of Mutomo Reptile  Park: Construction of crocodile pen, construction of snake house floor and ceiling, and stocking of the reptile park)</t>
  </si>
  <si>
    <t>Other Infrastructure and Civil Works- (Fencing of the proposed Utalii College Kitui Campus - Tiva)</t>
  </si>
  <si>
    <t>Other Infrastructure and Civil Works (Completion of ticketing gate at Mutomo Reptile  Park to enhance automation)</t>
  </si>
  <si>
    <t>Additional 2M meant for Completion of ticketing gate at Mutomo Reptile  Park to enhance automation</t>
  </si>
  <si>
    <t>Boards, Committees, Conferences and Seminars (Inter-Ministerial Committee plus secretariat (Committee allowances and catering services)</t>
  </si>
  <si>
    <t>Other Infrastructure and Civil Works (Construction of Phase II Emergency</t>
  </si>
  <si>
    <t>Response Center)</t>
  </si>
  <si>
    <t>Education support programme (Pro-poor)- pro-poor infrastructure support programme 25%:</t>
  </si>
  <si>
    <t>Retain allocation for Major Roads (Fuel Levy - Grant Revote) RMLF</t>
  </si>
  <si>
    <t>Casual Labour - Others (Locum + CHMT) +(Stipends for locum nurses for 5 months in the 112 facilities manned by 1 nurse))</t>
  </si>
  <si>
    <t>Additional 14.7 M to cater for pending bills for previous works done for Nzamba kitonga.</t>
  </si>
  <si>
    <t>Additional 21.8M to cater for pending bills for previous works done for renal centre at KCRH</t>
  </si>
  <si>
    <t>Completion and equipping of KCRH and Mwingi level IV mortuaries</t>
  </si>
  <si>
    <t>Completion and equipping of KCRH - 18M and Mwingi level IV - 6.2M mortuaries</t>
  </si>
  <si>
    <t>VOTE 3733: ENERGY, ENVIRONMENT, FORESTRY, NATURAL AND MINERAL RESOURCES</t>
  </si>
  <si>
    <t>Communication, Supplies - Other -Renewal of ZIZI software</t>
  </si>
  <si>
    <t>Installation and Maintenance of Street/Security lights in Municipality (Solar powered with concrete post) Within Municipality</t>
  </si>
  <si>
    <t>3736: MINISTRY OF AGRICULTURE AND LIVESTOCK</t>
  </si>
  <si>
    <t>Research, Feasibility Studies (Farmer Extension supervision)</t>
  </si>
  <si>
    <t>Research, Feasibility Studies (Extension and Advisory services programme, Improve extension skills of extension staff)</t>
  </si>
  <si>
    <t>Purchase of Software - Land Information Management System</t>
  </si>
  <si>
    <t>Total Reallocations</t>
  </si>
  <si>
    <t xml:space="preserve">Total </t>
  </si>
  <si>
    <t>Reduction amounting to Kshs 3M meant to cater for emerging priorities under Health, Automation and Staff Medical Cover</t>
  </si>
  <si>
    <t xml:space="preserve"> KITUI COUNTY SUPPLEMENTARY I BUDGET FY 2024/25 - BUDGET NOTES</t>
  </si>
  <si>
    <t>Reduction amounting to Kshs 5M meant to cater for emerging priorities under Health, Automation and Staff Medical Cover</t>
  </si>
  <si>
    <t>jd</t>
  </si>
  <si>
    <t>jy</t>
  </si>
  <si>
    <t xml:space="preserve">Additional Kshs. 10M to cater for Kitui Agricultural Show &amp; Trade Fair (KASTF 2024) pending bills. The department was allocated Kshs. 16,957,992 for the Show in FY2024-2025 </t>
  </si>
  <si>
    <t>Additional Kshs 2M to support Agricultural advisory and Extension services. The department with a total of 169 technical officers, allocated budget of Kshs. 3,453,655 is inadequate to be meet their facilitation and fuel and this will adversely affect effective service delivery.</t>
  </si>
  <si>
    <t>Reduction amounting to Kshs 3.2M meant to cater for emerging priorities under Health Sector</t>
  </si>
  <si>
    <t>Allocation amounting Kshs 4.7M to cater for pending bill for IDEP Plan</t>
  </si>
  <si>
    <t>Additional 63.022M to cater for construction of dispensaries in 17 villages with no dispensary structures. The villages are Kalundu Kenze,Kyanika/Mwembe Tayari,Nyanyaa/Ndunguni,Ithumula,Kathungu,Ndili Kaliakatune,Kyeng'e,Kyondoni,Mulang'a,Kyanika,Mathyakani,(Nguni),Kimela/Syumani,Kanyengya/Gatoroni,Nguutani/Katuyu/Mukauni,Nzawa/Mavuni</t>
  </si>
  <si>
    <t>Construction of dispensaries in 17 villages with no dispensary structures. The villages are Kalundu Kenze,Kyanika/Mwembe Tayari,Nyanyaa/Ndunguni,Ithumula,Kathungu,Ndili, Kaliakatune,Kyeng'e,Kyondoni,Mulang'a,Kyanika,Mathyakani,(Nguni),Kimela/Syumani,Kanyengya/Gatoroni,Nguutani/Katuyu/Mukauni,Nzawa/Mavuni</t>
  </si>
  <si>
    <t>Additional 30m to cater for Renovation of 19 facilities (Currently with structures that need facelifting). These are Katyethoka Dispensary,Katumbi Dispensary - Endau Malalani,Munyuni Dispensary,Kasangu Dispensary,Kisiuni Dispensary,Yana Dispensary,Ngwate Dispensary,Isaa Dispensary,Kilimu Dispensary,Kangondi Dispensary,Ithumbi Dispensary,Katinga Dispensary, Kitooni dispensary, Kasarani Dispensary - Mwingi Central,Sosoma Dispensary,Maongoa Dispensary,Kaliwa Dispensary, Katumbi Dispensary - Tseikuru,Nzanzeni Dispensary</t>
  </si>
  <si>
    <t>Renovation/ Operationalization of 19 facilities (Currently with structures that need facelifting). These are Katyethoka Dispensary,Katumbi Dispensary - Endau Malalani,Munyuni Dispensary,Kasangu Dispensary,Kisiuni Dispensary,Yana Dispensary,Ngwate Dispensary,Isaa Dispensary,Kilimu Dispensary, Masavi Dispensary, Kitoo Dispensary, Kangondi Dispensary,Ithumbi Dispensary,Katinga Dispensary, Kitooni dispensary, Kasarani Dispensary - Mwingi Central,Sosoma Dispensary,Maongoa Dispensary,Kaliwa Dispensary, Katumbi Dispensary - Tseikuru,Nzanzeni Dispensary</t>
  </si>
  <si>
    <t>Allocate Kshs 11.5M to cater for upgrading of Musavani - 5M (Maternity Block + An OPD with a Lab) and Yumbu -1.5M (Operationalize the maternity) dispensaries to health centres + Kathithu Dispensary Completion - 5M</t>
  </si>
  <si>
    <t>The allocation is meant to cater for hosting a youth engangement forum. The forum will provide a unique opportunity to engage our youth in a constructive dialogue on key policy interventions to solve the challenges they face. The forum will bring various stakeholders together including 1000 youth from across our 247 villages in the County. Further, the youth exhibitors from key thematic areas such as Agriculture, ICT &amp; Digital economy, Sports &amp; Creative arts will showcase opportunities that exist for our ever-rising population.</t>
  </si>
  <si>
    <t>Reduction of Kshs 10M to cater for Emerging Priorities under Health, Automation and Staff Medical Cover</t>
  </si>
  <si>
    <t>Reduction of Kshs 8.6M to cater for Emerging Priorities under Health, Automation and Staff Medical Cover</t>
  </si>
  <si>
    <t>Reduction of Kshs 20M to cater for Emerging Priorities under Health, Automation and Staff Medical Cover</t>
  </si>
  <si>
    <t>Reduction of Kshs 14.4M to cater for Emerging Priorities under Health, Automation and Staff Medical Cover</t>
  </si>
  <si>
    <t>Reduction of Kshs 0.6M to cater for Emerging Priorities under Health, Automation and Staff Medical Cover</t>
  </si>
  <si>
    <t>Reduction of Kshs 5M to cater for Emerging Priorities under Health, Automation and Staff Medical Cover</t>
  </si>
  <si>
    <t>Reduction of Kshs 2.749M to cater for Emerging Priorities under Health, Automation and Staff Medical Cover</t>
  </si>
  <si>
    <t>Reduction of Kshs 3.37M to cater for Emerging Priorities under Health, Automation and Staff Medical Cover</t>
  </si>
  <si>
    <t>Reduction of Kshs 4.45M to cater for Emerging Priorities under Health, Automation and Staff Medical Cover</t>
  </si>
  <si>
    <t>Additional 48.369M to cater for recuitment of a total of 159 nurses to cater for 5 months salary- (39 nurses for operationalization of the 34 health facilities+ 5 newly operationalized facilities+112 facilities manned by 1 nurse+ 8 facilities manned by locum staff  )</t>
  </si>
  <si>
    <t>Additional 20.2M to cater for Stipends for locum nurses for 5 months in the 112 facilities manned by 1 nurse</t>
  </si>
  <si>
    <t>Reduction of 0.3M to cater for emerging priorities</t>
  </si>
  <si>
    <t>Additional 53M to cater for purchase of drugs</t>
  </si>
  <si>
    <t>Revote amounting to Kshs 22.058M meant to cater for pending bills. Further reduction of Kshs 35M to cater for emerging priorities under health, medical cover, etc</t>
  </si>
  <si>
    <t>The additional 114.089M meant to boost allocation for staff medical cover. In the FY 2023/24, the number of staff increased from xx to xx as a result of ECDE teachers transiting to P&amp;P. As a result, an additional Kshs 114M is required to accommodate the increased number of staff. SHA will not be giving enhanced cover for staff hence need to outsource for private insurance.</t>
  </si>
  <si>
    <t>Scholarships and other Educational Benefits (Pro-Poor Programme) (3% - Administrative Budget)</t>
  </si>
  <si>
    <t>Scholarships and other Educational Benefits (Pro-Poor Programme) (72% - Bursaries)</t>
  </si>
  <si>
    <t xml:space="preserve">Construction of dispensaries in 17 villages with no health facilities. The villages are Kalundu
Kenze,Kyanika/Mwembe Tayari,Nyanyaa/Ndunguni,Ithumula,Kathungu,Ndili
Kaliakatune,Kyeng'e,Kaliakatya/ Katheuni,Mulang'a,Kyanika,Mathyakani,(Nguni),Kimela/Syumani,Kanyengya/Gatoroni,Nguutani/Katuyu/Mukauni,Nzawa/Mavuni
</t>
  </si>
  <si>
    <t>Construction of Mwingi North Subcounty Headquarter Hospital - Upgrading Kyuso to Level IV -  general theatre and Kitchen</t>
  </si>
  <si>
    <t>Construction of Mwingi North Subcounty Headquarter Hospital - Upgrading Kyuso to Level IV - Construction of Kyuso female Ward and paedriatic ward</t>
  </si>
  <si>
    <t>Construction / Upgrading of Musavani in Tseikuru, Yumbu in Mui and Kathithu in Ikanga/ Kyatune dispensaries to health centres</t>
  </si>
  <si>
    <t>Outstanding Commitments for Budgeted Works Done, Valued and Not Paid by Close of FY 2023/24</t>
  </si>
  <si>
    <t>Catering Services (receptions), Accommodation, Gifts, Food and Drinks &amp; Outstanding Commitments for Budgeted Services Done, Valued and Not Paid by Close of FY 2023/24</t>
  </si>
  <si>
    <t>General Office Supplies (papers, pencils, forms, small office equipment) - Outstanding Commitments for Budgeted Works/ Services Done, Valued and Not Paid by Close of FY 2023/24</t>
  </si>
  <si>
    <t>Catering Services (receptions), Accommodation, Gifts, Food and Drinks)- - Outstanding Commitments for Budgeted Works/ Services Done, Valued and Not Paid by Close of FY 2023/24</t>
  </si>
  <si>
    <t>Catering Services (receptions), Accommodation, Gifts, Food and Drinks &amp;  - Outstanding Commitments for Budgeted Works/ Services Done, Valued and Not Paid by Close of FY 2023/24</t>
  </si>
  <si>
    <t>Legal Dues/ Fees, Arbitration and Compensation Payments(including on-going cases)- with  - Outstanding Commitments for Budgeted Works/ Services Done, Valued and Not Paid by Close of FY 2023/24</t>
  </si>
  <si>
    <t>General Office Supplies (papers, pencils, forms, small office equipment) -  - Outstanding Commitments for Budgeted Works/ Services Done, Valued and Not Paid by Close of FY 2023/24</t>
  </si>
  <si>
    <t>Construction of Buildings  ( - Outstanding Commitments for Budgeted Works/ Services Done, Valued and Not Paid by Close of FY 2023/24)</t>
  </si>
  <si>
    <t xml:space="preserve"> - Outstanding Commitments for Budgeted Works/ Services Done, Valued and Not Paid by Close of FY 2023/24</t>
  </si>
  <si>
    <t>Other Infrastructure and Civil Works (Repairs &amp; Rehabilitations) -  - Outstanding Commitments for Budgeted Works/ Services Done, Valued and Not Paid by Close of FY 2023/24 as approved by PBRC</t>
  </si>
  <si>
    <t>Non-residential buildings-  - Outstanding Commitments for Budgeted Works/ Services Done, Valued and Not Paid by Close of FY 2023/24</t>
  </si>
  <si>
    <t xml:space="preserve">Major Roads ( - Outstanding Commitments for Budgeted Works/ Services Done, Valued and Not Paid by Close of FY 2023/24 - Outstanding commitments for FY 2023-24) </t>
  </si>
  <si>
    <t>Boda Boda Sector -  - Outstanding Commitments for Budgeted Works/ Services Done, Valued and Not Paid by Close of FY 2023/24</t>
  </si>
  <si>
    <t>Continuation of construction of Nzamba Kitonga Memorial Hospital +  - Outstanding Commitments for Budgeted Works/ Services Done, Valued and Not Paid by Close of FY 2023/24</t>
  </si>
  <si>
    <t>Continuation of Construction of renal centre KCRH + - Outstanding Commitments for Budgeted Works/ Services Done, Valued and Not Paid by Close of FY 2023/24</t>
  </si>
  <si>
    <t xml:space="preserve"> - Outstanding Commitments for Budgeted Works/ Services Done, Valued and Not Paid by Close of FY 2023/24 for construction works(Re-roofing of cancer centre at KCRH, construction of Kakithya dispensary, renovation of Kanyangi Thearte, Completion of Kyandui Dispensary,  chainlink fencing and gate at kawala, renovation of Endau Dispensary,  construction of placenta pit at Tharaka Health Centre,  construction of maternity theatre at Kanziku health centre, roofing of kitchen block at KCRH, completion and extension of theatre at Mutomo sub-county hospital, renovation of maternity block at tiva dispensary, construction of women unit at Mwingi level iv hospital, construction of Kitoo dispensary, completion of Tseikuru X-ray block)</t>
  </si>
  <si>
    <t xml:space="preserve"> - Outstanding Commitments for Budgeted Works/ Services Done, Valued and Not Paid by Close of FY 2023/24- KITUI COUNTY REFERRAL </t>
  </si>
  <si>
    <t xml:space="preserve"> - Outstanding Commitments for Budgeted Works/ Services Done, Valued and Not Paid by Close of FY 2023/24-MWINGI SUB COUNTY HOSPITAL</t>
  </si>
  <si>
    <t>PROPOSED INSTALLATION OF SOLAR POWER SYSTEM FOR KAMUWONGO, Kwavonza and Yalatani DISPENSARIES-  - Outstanding Commitments for Budgeted Works/ Services Done, Valued and Not Paid by Close of FY 2023/24</t>
  </si>
  <si>
    <t>supplies for production -Covid 19  - Outstanding Commitments for Budgeted Works/ Services Done, Valued and Not Paid by Close of FY 2023/24: Procurement of raw materials and equipments for Kitui Pharma Industries Kshs 4,661,525 ; Procurement of screening thermometers for KCRH Kshs 1,889,910 and Procurement of ICU equipments for KCRH Kshs 8,627,900</t>
  </si>
  <si>
    <t>Market infrastructure and livestock market development- ( - Outstanding Commitments for Budgeted Works/ Services Done, Valued and Not Paid by Close of FY 2023/24)</t>
  </si>
  <si>
    <t>Purchase tree seeds and seedlings ( - Outstanding Commitments for Budgeted Works/ Services Done, Valued and Not Paid by Close of FY 2023/24)</t>
  </si>
  <si>
    <t>Other Infrastructure and Civil Works ( - Outstanding Commitments for Budgeted Works/ Services Done, Valued and Not Paid by Close of FY 2023/24)</t>
  </si>
  <si>
    <t>Other Infrastructure and Civil Works -  - Outstanding Commitments for Budgeted Works/ Services Done, Valued and Not Paid by Close of FY 2023/24</t>
  </si>
  <si>
    <t xml:space="preserve"> - Outstanding Commitments for Budgeted Works/ Services Done, Valued and Not Paid by Close of FY 2023/24 </t>
  </si>
  <si>
    <r>
      <t xml:space="preserve">Other Infrastructure and Civil Works - CLIDP - </t>
    </r>
    <r>
      <rPr>
        <i/>
        <sz val="12"/>
        <rFont val="Times New Roman"/>
        <family val="1"/>
      </rPr>
      <t>Outstanding Commitments for Budgeted Works Done, Valued and Not Paid by Close of FY 2023/24</t>
    </r>
  </si>
  <si>
    <r>
      <t xml:space="preserve">Other Operating Expenses- </t>
    </r>
    <r>
      <rPr>
        <b/>
        <i/>
        <sz val="12"/>
        <color rgb="FFFF0000"/>
        <rFont val="Times New Roman"/>
        <family val="1"/>
      </rPr>
      <t>2M Annual Contribution to COG</t>
    </r>
  </si>
  <si>
    <r>
      <t>Other Operating Expenses 5</t>
    </r>
    <r>
      <rPr>
        <b/>
        <i/>
        <sz val="12"/>
        <color rgb="FFFF0000"/>
        <rFont val="Times New Roman"/>
        <family val="1"/>
      </rPr>
      <t xml:space="preserve">M-Annual Contribution to SEKEB </t>
    </r>
  </si>
  <si>
    <r>
      <t>Construction of Buildings  (Completion of construction of 5 Police stations along the Borderline ;</t>
    </r>
    <r>
      <rPr>
        <b/>
        <sz val="12"/>
        <rFont val="Times New Roman"/>
        <family val="1"/>
      </rPr>
      <t>KONAKALITI/ KATUMBA/TWAMBUI/MANDONGOI/IMUMBA</t>
    </r>
  </si>
  <si>
    <r>
      <t>General Office Supplies (</t>
    </r>
    <r>
      <rPr>
        <i/>
        <sz val="12"/>
        <color indexed="10"/>
        <rFont val="Times New Roman"/>
        <family val="1"/>
      </rPr>
      <t>papers, pencils, forms, small office equipment-Supply of stationary for 247 VAs, 40 Was and 8 SCAs</t>
    </r>
    <r>
      <rPr>
        <sz val="12"/>
        <rFont val="Times New Roman"/>
        <family val="1"/>
      </rPr>
      <t xml:space="preserve">) </t>
    </r>
  </si>
  <si>
    <r>
      <t>Housing loans to public servants -</t>
    </r>
    <r>
      <rPr>
        <b/>
        <sz val="12"/>
        <color rgb="FF000000"/>
        <rFont val="Times New Roman"/>
        <family val="1"/>
      </rPr>
      <t xml:space="preserve"> Car and Mortgage Facility for County Executive Staff</t>
    </r>
  </si>
  <si>
    <r>
      <t xml:space="preserve">Programme: </t>
    </r>
    <r>
      <rPr>
        <sz val="12"/>
        <rFont val="Times New Roman"/>
        <family val="1"/>
      </rPr>
      <t>072600 P.2 Human Resource Management and Development</t>
    </r>
  </si>
  <si>
    <r>
      <t>Sub programme:</t>
    </r>
    <r>
      <rPr>
        <sz val="12"/>
        <rFont val="Times New Roman"/>
        <family val="1"/>
      </rPr>
      <t xml:space="preserve"> 072602 SP. 2.1: Human Resource Management</t>
    </r>
  </si>
  <si>
    <r>
      <t>Sub programme:</t>
    </r>
    <r>
      <rPr>
        <sz val="12"/>
        <rFont val="Times New Roman"/>
        <family val="1"/>
      </rPr>
      <t xml:space="preserve"> 072603 SP. 2.2: Human Resource Development</t>
    </r>
  </si>
  <si>
    <r>
      <t xml:space="preserve">Programme: </t>
    </r>
    <r>
      <rPr>
        <sz val="12"/>
        <rFont val="Times New Roman"/>
        <family val="1"/>
      </rPr>
      <t>072700 P.3 Governance and County Values</t>
    </r>
  </si>
  <si>
    <r>
      <t>Sub programme:</t>
    </r>
    <r>
      <rPr>
        <sz val="12"/>
        <rFont val="Times New Roman"/>
        <family val="1"/>
      </rPr>
      <t xml:space="preserve"> 072702 SP. 3.1: Ethics, Governance and County value</t>
    </r>
  </si>
  <si>
    <r>
      <t xml:space="preserve">Non-Residential Buildings (Offices,Schools, Hospitals)- </t>
    </r>
    <r>
      <rPr>
        <sz val="12"/>
        <color indexed="10"/>
        <rFont val="Times New Roman"/>
        <family val="1"/>
      </rPr>
      <t>Completion of 4 Ward offices</t>
    </r>
  </si>
  <si>
    <r>
      <t>Other Infrastructure and Civil Works (Construction of 120 sand dams -</t>
    </r>
    <r>
      <rPr>
        <b/>
        <sz val="12"/>
        <rFont val="Times New Roman"/>
        <family val="1"/>
      </rPr>
      <t xml:space="preserve"> 3 per ward</t>
    </r>
    <r>
      <rPr>
        <sz val="12"/>
        <rFont val="Times New Roman"/>
        <family val="1"/>
      </rPr>
      <t xml:space="preserve"> for irrigation)</t>
    </r>
  </si>
  <si>
    <r>
      <t xml:space="preserve">Casual Labour - Others (Locum </t>
    </r>
    <r>
      <rPr>
        <b/>
        <sz val="12"/>
        <rFont val="Times New Roman"/>
        <family val="1"/>
      </rPr>
      <t>+</t>
    </r>
    <r>
      <rPr>
        <sz val="12"/>
        <rFont val="Times New Roman"/>
        <family val="1"/>
      </rPr>
      <t xml:space="preserve"> CHMT) +(Stipends for locum nurses for 5 months in the 112 facilities manned by 1 nurse))</t>
    </r>
  </si>
  <si>
    <t>Lease/ Hire of Tractors and other Equipments (Hire of equipments) - 60kms per Ward translating to 2400kms in the County</t>
  </si>
  <si>
    <t>Access Roads (Fuel, maintenance of plant and machinery)-In-house grading 704km - 17.6km per
Ward)</t>
  </si>
  <si>
    <t>Approved Revenue Estimates 2024/2025</t>
  </si>
  <si>
    <t>Proposed Revenue Supplementary Estimates 2024/25</t>
  </si>
  <si>
    <t>Variance (Additions/reductions</t>
  </si>
  <si>
    <t>% of Revote</t>
  </si>
  <si>
    <t>VOTELINE</t>
  </si>
  <si>
    <t>VOTELINE DESCRIPTION</t>
  </si>
  <si>
    <t>CABINET APPROVED</t>
  </si>
  <si>
    <t>CA PROPOSED ADDITION/  REDUCTION</t>
  </si>
  <si>
    <t>PROPOSED ADJUSTMENTS IN THE  MEMORANDUM</t>
  </si>
  <si>
    <t>PROPOSED FINAL SUP I BUDGET</t>
  </si>
  <si>
    <t xml:space="preserve">                         -   </t>
  </si>
  <si>
    <t>Other Operating Expenses (Enhanced Budget for Governor's Communications Activities: Engage external media, newspaper supplements, outside broadcasts, livestreams &amp; Develop County Scorecard)</t>
  </si>
  <si>
    <t>Sub -Total</t>
  </si>
  <si>
    <t xml:space="preserve">Ministry of Roads, Public Works and Transport </t>
  </si>
  <si>
    <t>Major Roads (Roads construction works and maintenance of box culverts ,drifts, gravelling, concrete slabs, gabions) - 1No. project per Ward and/ or crosscutting two ore more wards</t>
  </si>
  <si>
    <t>Access Roads (Fuel, maintenance of plant and machinery)-In-house grading 2,400km - 60km per</t>
  </si>
  <si>
    <t>Ward)</t>
  </si>
  <si>
    <t>Lease/ Hire of Tractors and other Equipment (Hire of equipment) - 50kms per Ward translating to 2000kms in the County</t>
  </si>
  <si>
    <t xml:space="preserve">                       -   </t>
  </si>
  <si>
    <t>Specialised Materials -(Procure and Supply sports equipment such as uniforms, balls, nets and playing boots for active Sports clubs in the County.)</t>
  </si>
  <si>
    <t>Reinstate Kshs 100M for Construction of County Assembly's Office Block</t>
  </si>
  <si>
    <t xml:space="preserve">Construction of MCAs'Offices  Ward Offices </t>
  </si>
  <si>
    <t>ANNEX VI: PROPOSED MEMORANDUM ADJUSTMENTS FOR CONSIDERATION OF FY 2024/25 SUPPLEMENTARY BUDGET, I</t>
  </si>
  <si>
    <t xml:space="preserve"> Supplementary II Budget 2024/25</t>
  </si>
  <si>
    <t xml:space="preserve">KITUI COUNTY SUPPLEMENTARY II BUDGET FY 2024/25 </t>
  </si>
  <si>
    <t xml:space="preserve"> KITUI COUNTY SUPPLEMENTARY II BUDGET FY 2024/25</t>
  </si>
  <si>
    <t xml:space="preserve"> SUMMARY OF RECOMMENDED EXPENDITURE BY PROGRAMME FOR SUPPLEMENTARY II BUDGET FY 2024/25</t>
  </si>
  <si>
    <t>GLOBAL SUPPLEMENTARY II BUDGET FY 2024/25</t>
  </si>
  <si>
    <t xml:space="preserve"> RESOURCE ENVELOP FOR SUPPLEMENTARY BUDGET II FY 2024/2025</t>
  </si>
  <si>
    <t>Maintenance of Communications Equipment- PENDING BILL (Municipality website renewal)</t>
  </si>
  <si>
    <t>PENDING BILL for renewal of Kitui Municipality website</t>
  </si>
  <si>
    <t>To cater for Revenue Collectors Substistance Allowances</t>
  </si>
  <si>
    <t>Reallocation from Uniform  to fuel, which was wrongly captured under programme of planning control and transport</t>
  </si>
  <si>
    <t>Cater for updating of business data base and Inspection of business permit compliance within Kitui Municipality to enhance own source revenue</t>
  </si>
  <si>
    <t xml:space="preserve"> for Fire and Emergency Disaster response</t>
  </si>
  <si>
    <t>purchase of workshop tools, spares</t>
  </si>
  <si>
    <t>Wrongly captured as Uniform instead of fuel</t>
  </si>
  <si>
    <t>To cater for PENDING Bills for Financial year 2023/2024 and Current financial year</t>
  </si>
  <si>
    <t>To cater for Reduction in Revenus</t>
  </si>
  <si>
    <t>Development of two By laws (Street Venders Contral and Animal Control) and Kitui Municipality  2nd  Generation five years   Integrated Development Plan IDeP for 2025_2030</t>
  </si>
  <si>
    <t>To cater for Electricity  bills</t>
  </si>
  <si>
    <t>PENDING BILLS-Works done for financial year 2023/2024 (Perimerwall and Cabro works, )</t>
  </si>
  <si>
    <t>Purchase of Uniforms and Clothing - PENDING BILLS (Staff Uniform)</t>
  </si>
  <si>
    <t xml:space="preserve">PENDING BILL  for Supplied Agricultural Show Staff Uniform </t>
  </si>
  <si>
    <t>To Cater Deficit for waste collection Vehicles Fuel</t>
  </si>
  <si>
    <t>PENDING BILLS (Repair and service for vehicles registration numbers:GK 062L,15CG025A, KCA277F, KBY779C &amp; Supply of Vehicle tyres )</t>
  </si>
  <si>
    <t>To cater for last year Pending bills</t>
  </si>
  <si>
    <t>cater for Electricity bills and Kitui Trade Fair Show</t>
  </si>
  <si>
    <t xml:space="preserve">Reduction to support staff training </t>
  </si>
  <si>
    <t>Addition to facilitate staff training</t>
  </si>
  <si>
    <t>Addition to provide officecatering service</t>
  </si>
  <si>
    <t>Reduction to facilitate catering services</t>
  </si>
  <si>
    <t>Addition to facilitate farmer training</t>
  </si>
  <si>
    <t>Reduction to support farmer training</t>
  </si>
  <si>
    <t>Reduction to cover county budget deficit</t>
  </si>
  <si>
    <t>Reduction facilitate catering services</t>
  </si>
  <si>
    <t>Addition to facilitate catering services</t>
  </si>
  <si>
    <t>Reduction to support office catering</t>
  </si>
  <si>
    <t>Reduction to facilitate farmer training</t>
  </si>
  <si>
    <t>Reduction to support agriculture extension and advisory service</t>
  </si>
  <si>
    <t>Addition to support agriculture extension and advisory service</t>
  </si>
  <si>
    <t xml:space="preserve">Reduction to support procurement of furniture for livestock office </t>
  </si>
  <si>
    <t>Addition to facilitate staff training on promotional courses</t>
  </si>
  <si>
    <t>Reduction to support staff training on promotional courses</t>
  </si>
  <si>
    <t>Addition to procure furniture for livestock office</t>
  </si>
  <si>
    <t xml:space="preserve">Addition to enable monthly payment of office wifi </t>
  </si>
  <si>
    <t>Reduction to support monthly payment for office wifi</t>
  </si>
  <si>
    <t>Addition to support livestock mass vaccination</t>
  </si>
  <si>
    <t>reduction to support livestock mass vaccinations</t>
  </si>
  <si>
    <t>General maintenance of Non-Residentials</t>
  </si>
  <si>
    <t>The reduction is to cater for Refined fuel and Lubricants</t>
  </si>
  <si>
    <t>The addition is to cater for airtime (85,000 from Subscription to Newspapers, 100,000 from printing and publishing and another 36,400 from publishing and printing)</t>
  </si>
  <si>
    <t>The reduction is to cater for catering pending bills</t>
  </si>
  <si>
    <t>The reallocation is to cater for NEMI pending bills (132,000 for Foreign travel, 174,000 from Foreign accomodation and 28950 from Foreign sundry items)</t>
  </si>
  <si>
    <t>The reduction is to cater for domestic air travel pending bills</t>
  </si>
  <si>
    <t>The reduction is to cater for domestic air travel pending bills @ 28.950 and catering pending bills @ 26,150</t>
  </si>
  <si>
    <t>The reduction is to cater for airtime</t>
  </si>
  <si>
    <t>The reallocation is to cater for Catering services pending bills (31,676 being balances from domestic travel allowance and 28,950 from foreign sundry)</t>
  </si>
  <si>
    <t>The reallocation is due deficit in the refined fuel (29,000 from subscription to Newspaper, 49520 from electricity, 15031 from water and sewerage and 29000 from subscription to newspapers)</t>
  </si>
  <si>
    <t>Other Operating Expenses -  Trade Show Pending Bills</t>
  </si>
  <si>
    <t>The reallocation is to cater for Trade show pending bills (293598 from acquisition of Land, 32905 from other infrastructure outstanding commitment for budgeted works, 323497 Prefeasibility on developing the Kitui County Culture and Heritage Policy)</t>
  </si>
  <si>
    <t>The reallocation is to cater vehicle maintenance from the field training attachment</t>
  </si>
  <si>
    <t>The reallocation is to cater Youth Engagement Forum pending bills (626979 from Other Infrastructure and Civil Works -  - Outstanding Commitments for Budgeted Works/ Services Done, Valued and Not Paid by Close of FY 2023/24)</t>
  </si>
  <si>
    <t>The reduction is to cater for Supplies of computer accessories pending bills</t>
  </si>
  <si>
    <t xml:space="preserve">Purchase of ICT networking and Communications Equipment </t>
  </si>
  <si>
    <t>Pending Bills for Technology Solution Centre</t>
  </si>
  <si>
    <t>The reallocation is to cater for Supplies of Computer accessories pending bills (1,500,00 from Other Infrastructure and Civil Works - Grading, levelling, chain link fencing, erection of two gates, installation of football goal posts, volleyball posts for boys and girls and construction of 4-door pit latrine and 735,380 fromOther Infrastructure and Civil Works - Establishment of Kitui County Innovation Hub (KCIH))</t>
  </si>
  <si>
    <t>The reduction is pay for Trade show pending bills</t>
  </si>
  <si>
    <t>The reduction is to cater for routine maintenance of motor vehicle</t>
  </si>
  <si>
    <t>The reduction is to cater for Trade Show pending bills</t>
  </si>
  <si>
    <t>Other civil works - Construction of sump-well and solarisation at Lower Eastern Heritage Centre( 4m for completion of electrical works and plumbing for curators resident, 2m for renovation/ refurbishment of gallery and 2.5m for furnishing of gallery, offices &amp; curators residence at South Eastern Heritage Centre)</t>
  </si>
  <si>
    <t>The reallocation is to cater for airtime form electricity</t>
  </si>
  <si>
    <t>Basic Salary Arrears for County Government Health Workers</t>
  </si>
  <si>
    <t>KABDP - Kenya Agricultural Business Development Project - SWEDEN</t>
  </si>
  <si>
    <t>The reduction is to cater for Drivers training expenses</t>
  </si>
  <si>
    <t>The reallocation is to cater for Drivers training expenses</t>
  </si>
  <si>
    <t>The reduction is to cater for ICT Technology Solutions pending Bills @ 1999522 and Youth Engagement Forum pending bills @626979</t>
  </si>
  <si>
    <t>The reallocation is to cater for ICT Technology Solutions pending Bills (1,999, 522 from Other Infrastructure and Civil Works -  - Outstanding Commitments for Budgeted Works/ Services Done, Valued and Not Paid by Close of FY 2023/24, 1300000 - Other Infrastructure and Civil Works - Grading, levelling, chain link fencing, erection of two gates, installation of football goal posts, volleyball posts for boys and girls and construction of 4-door pit latrine, 206402 - Acquisition of Land - Purchase land for construction of Kyuso Social Hall, 1410000 - Other Operating Expenses-(Composing, mastering and copyrighting of the Kamba Signature), -1683598 - Other civil works - Construction of sump-well and solarisation at Lower Eastern Heritage Centre( 4m for completion of electrical works and plumbing for curators resident, 2m for renovation/ refurbishment of gallery and 2.5m for furnishing of gallery, offices &amp; curators residence at South Eastern Heritage Centre))</t>
  </si>
  <si>
    <t>The reduction is to cater for ICT Technology Solutions pending Bills @ 1300000 and Supplies of Computer accessories pending bills @ 1500000</t>
  </si>
  <si>
    <t>The reduction is to cater for ICT Technology pending bills @ 206402 and Trade Show pending bills @ 293598</t>
  </si>
  <si>
    <t>The reduction is to cater for ICT Technology Solutions Pending Bills</t>
  </si>
  <si>
    <t>The reduction is to cater for ICT technology Solutions pending Bills. The 8.5M is to cater for the changed scope of works</t>
  </si>
  <si>
    <t>2210304</t>
  </si>
  <si>
    <t>Other Operating Expenses (Budget for response to disasters)</t>
  </si>
  <si>
    <t>Purchase of spare parts equipment for Kyuso mortuary</t>
  </si>
  <si>
    <t>Purchase of equipment for Thitani and Yatta Mortuaries</t>
  </si>
  <si>
    <t>Total recurrent Public Health and Sanitation</t>
  </si>
  <si>
    <t>Total development Public Health and Sanitation</t>
  </si>
  <si>
    <t xml:space="preserve">Purchase of wheelchairs for Kauwi, Mwingi and Kitui County Referral hospitals </t>
  </si>
  <si>
    <t>Solarization of mathuki health centre due to frequent power outages to support refrigeration of immunization commodities</t>
  </si>
  <si>
    <t>Purchase of theatre equipment for Kanyangi maternity theatre inoder to operationalize the theatre</t>
  </si>
  <si>
    <t>Installation of CCTV cameras at KCRH main drug store</t>
  </si>
  <si>
    <t xml:space="preserve">Procurement of DR Scanner for X-ray machine at migwani Sub-County Hospital </t>
  </si>
  <si>
    <t>Procurement of X-ray service, work station desktop, CR-scanner ejector tray cables and intergrated bipolar transistor circuit boards(igbts) for Zombe, Kyuso,Nuu and Mutitu Sub-County Hospital</t>
  </si>
  <si>
    <t>Completion of Kitui County blood satelite centre (Floor, internal painting and ceiling)</t>
  </si>
  <si>
    <t>Other Capital Grants and Trans</t>
  </si>
  <si>
    <t>Other Capital Grants and Trans - KUSP UDG (World Bank)</t>
  </si>
  <si>
    <t>Other Capital Grants and Trans - KABDP - Kenya Agricultural Business Development Project - SWEDEN</t>
  </si>
  <si>
    <t>Change in CARA/ CGAAB, 2025</t>
  </si>
  <si>
    <t>Key Items</t>
  </si>
  <si>
    <t>CA</t>
  </si>
  <si>
    <t xml:space="preserve">Proposed Revenue Supplementary I Estimates 2024/25 – Kshs (B) </t>
  </si>
  <si>
    <t>Proposed Revenue Supplementary II Estimates 2024/25 – Kshs (C)</t>
  </si>
  <si>
    <t>CE</t>
  </si>
  <si>
    <t>OSR</t>
  </si>
  <si>
    <t>Sub-heading</t>
  </si>
  <si>
    <t>Variance (C-B)</t>
  </si>
  <si>
    <t>Approved Revenue Estimates 2024/2025 – Kshs (A)</t>
  </si>
  <si>
    <t>Proposed Revenue Supplementary I Estimates 2024/25 – Kshs (B)</t>
  </si>
  <si>
    <t>Variance 2- Kshs (C-B)</t>
  </si>
  <si>
    <t>IDA (World Bank) - Kenya Devolution Support Programme - II (KDSP II)</t>
  </si>
  <si>
    <t>IDA (World Bank) - Emergency Locust Response Project (ELRP)</t>
  </si>
  <si>
    <t>IDA World Bank Loan for the National Agricultural Value Chain Development Project (NAVCDP)</t>
  </si>
  <si>
    <t>DANIDA Grant to Finance Primary Healthcare in Devolved Context</t>
  </si>
  <si>
    <t>Sweden - Kenya Agricultural Development Programme</t>
  </si>
  <si>
    <t>County Aggregation and Industrial Parks (CAIP) Programme</t>
  </si>
  <si>
    <t>Community Health Promoters Project</t>
  </si>
  <si>
    <t>Basic Salary Arrears for County Government Workers</t>
  </si>
  <si>
    <t>IDA (World Bank) - Credit: Kenya Urban Support Programme (KUSP) - Urban Institutional Grant (UIG)</t>
  </si>
  <si>
    <t>IDA (World Bank) - Credit: Kenya Urban Support Programme (KUSP) - Urban Development Grant (UDG)</t>
  </si>
  <si>
    <t>Ministries TARGET</t>
  </si>
  <si>
    <t>Revote from previous budget – FY 2023/24</t>
  </si>
  <si>
    <t>Refund of un-utilized premium paid to NHIF for UHC Medical Programme</t>
  </si>
  <si>
    <t>Mwingi Municipality</t>
  </si>
  <si>
    <t>Revote</t>
  </si>
  <si>
    <t>CAIPS</t>
  </si>
  <si>
    <t>IFMIS BALANCE</t>
  </si>
  <si>
    <t>NATURE OF BALANCE AFTER SUPPL</t>
  </si>
  <si>
    <t>Operationalize A-in-A Budget for Public Health Facilities</t>
  </si>
  <si>
    <t>Increase in the Revenue target for the Ministry of Health and Sanitation to cater for FIF allocation during the 1st Quarter of the FY 2025/2026</t>
  </si>
  <si>
    <t>ANNEX IV:</t>
  </si>
  <si>
    <t>ANNEX III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</si>
</sst>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0.00_);_(* \(#,##0.00\);_(* &quot;-&quot;??_);_(@_)"/>
    <numFmt numFmtId="165" formatCode="#,##0_);[Red]\!\(#,##0\!\)"/>
    <numFmt numFmtId="166" formatCode="_(* #,##0_);_(* \(#,##0\);_(* &quot;-&quot;??_);_(@_)"/>
    <numFmt numFmtId="167" formatCode="_-* #,##0_-;\-* #,##0_-;_-* &quot;-&quot;??_-;_-@_-"/>
    <numFmt numFmtId="168" formatCode="_(* #,##0.000_);_(* \(#,##0.000\);_(* &quot;-&quot;??_);_(@_)"/>
    <numFmt numFmtId="169" formatCode="_(* #,##0_);_(* \(#,##0\);_(* &quot;-&quot;_);_(@_)"/>
    <numFmt numFmtId="170" formatCode="#,##0_);\!\(#,##0\!\)"/>
    <numFmt numFmtId="171" formatCode="#,##0.00_);[Red]\!\(#,##0.00\!\)"/>
    <numFmt numFmtId="172" formatCode="_(* #,##0.00_);_(* \(#,##0.00\);_(* &quot;-&quot;_);_(@_)"/>
    <numFmt numFmtId="173" formatCode="#,##0.00_);\!\(#,##0.00\!\)"/>
    <numFmt numFmtId="174" formatCode="0.0000%"/>
    <numFmt numFmtId="175" formatCode="0.0%"/>
    <numFmt numFmtId="176" formatCode="_(* #,##0.000_);_(* \(#,##0.000\);_(* &quot;-&quot;??.000_);_(@_)"/>
    <numFmt numFmtId="177" formatCode="_(* #,##0.0_);_(* \(#,##0.0\);_(* &quot;-&quot;??_);_(@_)"/>
    <numFmt numFmtId="178" formatCode="_(* #,##0_);_(* \(#,##0\);_(* &quot;-&quot;?_);_(@_)"/>
    <numFmt numFmtId="179" formatCode="0.000"/>
    <numFmt numFmtId="180" formatCode="#,##0_ ;[Red]\-#,##0\ "/>
  </numFmts>
  <fonts count="143">
    <font>
      <sz val="11"/>
      <name val="Calibri"/>
    </font>
    <font>
      <sz val="11"/>
      <color rgb="FF000000"/>
      <name val="Calibri"/>
      <family val="2"/>
    </font>
    <font>
      <sz val="11"/>
      <name val="Calibri"/>
      <family val="2"/>
    </font>
    <font>
      <sz val="12"/>
      <name val="Tahoma"/>
      <family val="2"/>
    </font>
    <font>
      <b/>
      <sz val="12"/>
      <color rgb="FF7030A0"/>
      <name val="Tahoma"/>
      <family val="2"/>
    </font>
    <font>
      <b/>
      <sz val="12"/>
      <name val="Tahoma"/>
      <family val="2"/>
    </font>
    <font>
      <sz val="12"/>
      <color rgb="FF7030A0"/>
      <name val="Tahoma"/>
      <family val="2"/>
    </font>
    <font>
      <sz val="12"/>
      <color rgb="FFFF0000"/>
      <name val="Tahoma"/>
      <family val="2"/>
    </font>
    <font>
      <b/>
      <sz val="12"/>
      <color rgb="FF000000"/>
      <name val="Tahoma"/>
      <family val="2"/>
    </font>
    <font>
      <sz val="12"/>
      <color rgb="FF000000"/>
      <name val="Tahoma"/>
      <family val="2"/>
    </font>
    <font>
      <sz val="12"/>
      <color rgb="FF2A21A5"/>
      <name val="Tahoma"/>
      <family val="2"/>
    </font>
    <font>
      <b/>
      <sz val="12"/>
      <color rgb="FF0070C0"/>
      <name val="Tahoma"/>
      <family val="2"/>
    </font>
    <font>
      <sz val="16"/>
      <color rgb="FF000000"/>
      <name val="Calibri"/>
      <family val="2"/>
    </font>
    <font>
      <b/>
      <sz val="16"/>
      <name val="Tahoma"/>
      <family val="2"/>
    </font>
    <font>
      <b/>
      <sz val="14"/>
      <color rgb="FF000000"/>
      <name val="Tahoma"/>
      <family val="2"/>
    </font>
    <font>
      <b/>
      <sz val="14"/>
      <name val="Tahoma"/>
      <family val="2"/>
    </font>
    <font>
      <sz val="14"/>
      <name val="Tahoma"/>
      <family val="2"/>
    </font>
    <font>
      <sz val="14"/>
      <color rgb="FF000000"/>
      <name val="Tahoma"/>
      <family val="2"/>
    </font>
    <font>
      <sz val="14"/>
      <color rgb="FFFF0000"/>
      <name val="Tahoma"/>
      <family val="2"/>
    </font>
    <font>
      <b/>
      <sz val="24"/>
      <name val="Calibri"/>
      <family val="2"/>
    </font>
    <font>
      <sz val="11"/>
      <name val="Tahoma"/>
      <family val="2"/>
    </font>
    <font>
      <sz val="11"/>
      <color rgb="FF000000"/>
      <name val="Tahoma"/>
      <family val="2"/>
    </font>
    <font>
      <b/>
      <sz val="72"/>
      <color rgb="FF7030A0"/>
      <name val="Tahoma"/>
      <family val="2"/>
    </font>
    <font>
      <b/>
      <sz val="28"/>
      <color rgb="FF7030A0"/>
      <name val="Tahoma"/>
      <family val="2"/>
    </font>
    <font>
      <b/>
      <sz val="11"/>
      <color rgb="FF7030A0"/>
      <name val="Tahoma"/>
      <family val="2"/>
    </font>
    <font>
      <b/>
      <sz val="48"/>
      <color rgb="FF7030A0"/>
      <name val="Tahoma"/>
      <family val="2"/>
    </font>
    <font>
      <sz val="48"/>
      <name val="Tahoma"/>
      <family val="2"/>
    </font>
    <font>
      <sz val="48"/>
      <color rgb="FF000000"/>
      <name val="Tahoma"/>
      <family val="2"/>
    </font>
    <font>
      <b/>
      <sz val="11"/>
      <name val="Tahoma"/>
      <family val="2"/>
    </font>
    <font>
      <b/>
      <sz val="48"/>
      <name val="Tahoma"/>
      <family val="2"/>
    </font>
    <font>
      <b/>
      <sz val="48"/>
      <color rgb="FF000000"/>
      <name val="Tahoma"/>
      <family val="2"/>
    </font>
    <font>
      <sz val="11"/>
      <name val="Calibri"/>
      <family val="2"/>
    </font>
    <font>
      <sz val="16"/>
      <name val="Calibri"/>
      <family val="2"/>
    </font>
    <font>
      <b/>
      <sz val="16"/>
      <color rgb="FF7030A0"/>
      <name val="Tahoma"/>
      <family val="2"/>
    </font>
    <font>
      <b/>
      <sz val="16"/>
      <color rgb="FF7030A0"/>
      <name val="Calibri"/>
      <family val="2"/>
    </font>
    <font>
      <sz val="16"/>
      <name val="Tahoma"/>
      <family val="2"/>
    </font>
    <font>
      <sz val="16"/>
      <color rgb="FF000000"/>
      <name val="Tahoma"/>
      <family val="2"/>
    </font>
    <font>
      <sz val="24"/>
      <name val="Tahoma"/>
      <family val="2"/>
    </font>
    <font>
      <b/>
      <sz val="24"/>
      <name val="Tahoma"/>
      <family val="2"/>
    </font>
    <font>
      <sz val="11"/>
      <name val="Calibri"/>
      <family val="2"/>
    </font>
    <font>
      <b/>
      <sz val="11"/>
      <color rgb="FF000000"/>
      <name val="Times New Roman"/>
      <family val="1"/>
    </font>
    <font>
      <sz val="11"/>
      <color rgb="FF000000"/>
      <name val="Times New Roman"/>
      <family val="1"/>
    </font>
    <font>
      <sz val="11"/>
      <color rgb="FF000000"/>
      <name val="Calibri"/>
      <family val="2"/>
    </font>
    <font>
      <sz val="14"/>
      <name val="Verdana"/>
      <family val="2"/>
    </font>
    <font>
      <sz val="14"/>
      <color rgb="FF000000"/>
      <name val="Verdana"/>
      <family val="2"/>
    </font>
    <font>
      <i/>
      <sz val="14"/>
      <name val="Verdana"/>
      <family val="2"/>
    </font>
    <font>
      <i/>
      <sz val="14"/>
      <color rgb="FF000000"/>
      <name val="Verdana"/>
      <family val="2"/>
    </font>
    <font>
      <b/>
      <sz val="14"/>
      <name val="Verdana"/>
      <family val="2"/>
    </font>
    <font>
      <b/>
      <sz val="14"/>
      <color rgb="FF000000"/>
      <name val="Verdana"/>
      <family val="2"/>
    </font>
    <font>
      <sz val="12"/>
      <name val="Times New Roman"/>
      <family val="1"/>
    </font>
    <font>
      <sz val="12"/>
      <color rgb="FF000000"/>
      <name val="Times New Roman"/>
      <family val="1"/>
    </font>
    <font>
      <sz val="12"/>
      <color rgb="FF7030A0"/>
      <name val="Times New Roman"/>
      <family val="1"/>
    </font>
    <font>
      <b/>
      <sz val="12"/>
      <color rgb="FF000000"/>
      <name val="Times New Roman"/>
      <family val="1"/>
    </font>
    <font>
      <b/>
      <sz val="12"/>
      <color rgb="FF7030A0"/>
      <name val="Times New Roman"/>
      <family val="1"/>
    </font>
    <font>
      <b/>
      <sz val="36"/>
      <color rgb="FF7030A0"/>
      <name val="Times New Roman"/>
      <family val="1"/>
    </font>
    <font>
      <b/>
      <sz val="12"/>
      <color rgb="FF000000"/>
      <name val="Times New Roman"/>
      <family val="1"/>
    </font>
    <font>
      <b/>
      <sz val="12"/>
      <name val="Times New Roman"/>
      <family val="1"/>
    </font>
    <font>
      <sz val="12"/>
      <color rgb="FF000000"/>
      <name val="Times New Roman"/>
      <family val="1"/>
    </font>
    <font>
      <sz val="12"/>
      <color rgb="FFFF0000"/>
      <name val="Times New Roman"/>
      <family val="1"/>
    </font>
    <font>
      <sz val="12"/>
      <color rgb="FF0C0C0C"/>
      <name val="Times New Roman"/>
      <family val="1"/>
    </font>
    <font>
      <b/>
      <sz val="12"/>
      <color rgb="FF0C0C0C"/>
      <name val="Times New Roman"/>
      <family val="1"/>
    </font>
    <font>
      <b/>
      <sz val="12"/>
      <color rgb="FF3B1EEA"/>
      <name val="Times New Roman"/>
      <family val="1"/>
    </font>
    <font>
      <b/>
      <sz val="12"/>
      <color rgb="FFFF0000"/>
      <name val="Times New Roman"/>
      <family val="1"/>
    </font>
    <font>
      <sz val="12"/>
      <color rgb="FF3B1EEA"/>
      <name val="Times New Roman"/>
      <family val="1"/>
    </font>
    <font>
      <b/>
      <sz val="12"/>
      <color rgb="FF8E1EEA"/>
      <name val="Times New Roman"/>
      <family val="1"/>
    </font>
    <font>
      <b/>
      <sz val="12"/>
      <color rgb="FF2A21A5"/>
      <name val="Times New Roman"/>
      <family val="1"/>
    </font>
    <font>
      <sz val="12"/>
      <color rgb="FF8E1EEA"/>
      <name val="Times New Roman"/>
      <family val="1"/>
    </font>
    <font>
      <sz val="12"/>
      <color rgb="FF2A21A5"/>
      <name val="Times New Roman"/>
      <family val="1"/>
    </font>
    <font>
      <sz val="12"/>
      <color rgb="FFFF00FF"/>
      <name val="Times New Roman"/>
      <family val="1"/>
    </font>
    <font>
      <sz val="12"/>
      <name val="Calibri"/>
      <family val="2"/>
    </font>
    <font>
      <sz val="12"/>
      <name val="Calibri"/>
      <family val="2"/>
    </font>
    <font>
      <sz val="12"/>
      <color rgb="FF000000"/>
      <name val="Arial"/>
      <family val="2"/>
    </font>
    <font>
      <b/>
      <sz val="12"/>
      <color indexed="8"/>
      <name val="Times New Roman"/>
      <family val="1"/>
    </font>
    <font>
      <sz val="12"/>
      <color indexed="8"/>
      <name val="Times New Roman"/>
      <family val="1"/>
    </font>
    <font>
      <sz val="12"/>
      <color rgb="FF70AD46"/>
      <name val="Times New Roman"/>
      <family val="1"/>
    </font>
    <font>
      <b/>
      <sz val="12"/>
      <color rgb="FF0070C0"/>
      <name val="Times New Roman"/>
      <family val="1"/>
    </font>
    <font>
      <sz val="12"/>
      <color rgb="FF00B0F0"/>
      <name val="Times New Roman"/>
      <family val="1"/>
    </font>
    <font>
      <b/>
      <sz val="12"/>
      <color rgb="FF00B0F0"/>
      <name val="Times New Roman"/>
      <family val="1"/>
    </font>
    <font>
      <b/>
      <sz val="12"/>
      <color rgb="FF00B050"/>
      <name val="Times New Roman"/>
      <family val="1"/>
    </font>
    <font>
      <u/>
      <sz val="12"/>
      <color rgb="FF000000"/>
      <name val="Times New Roman"/>
      <family val="1"/>
    </font>
    <font>
      <sz val="14"/>
      <name val="Calibri"/>
      <family val="2"/>
    </font>
    <font>
      <b/>
      <sz val="18"/>
      <color rgb="FF000000"/>
      <name val="Tahoma"/>
      <family val="2"/>
    </font>
    <font>
      <b/>
      <sz val="10"/>
      <color rgb="FF000000"/>
      <name val="Tahoma"/>
      <family val="2"/>
    </font>
    <font>
      <sz val="10"/>
      <color rgb="FF000000"/>
      <name val="Tahoma"/>
      <family val="2"/>
    </font>
    <font>
      <b/>
      <sz val="11"/>
      <color rgb="FF000000"/>
      <name val="Tahoma"/>
      <family val="2"/>
    </font>
    <font>
      <sz val="14"/>
      <color rgb="FF000000"/>
      <name val="Times New Roman"/>
      <family val="1"/>
    </font>
    <font>
      <b/>
      <sz val="14"/>
      <color rgb="FF000000"/>
      <name val="Times New Roman"/>
      <family val="1"/>
    </font>
    <font>
      <b/>
      <sz val="14"/>
      <color rgb="FF000000"/>
      <name val="Times New Roman"/>
      <family val="1"/>
    </font>
    <font>
      <sz val="14"/>
      <name val="Times New Roman"/>
      <family val="1"/>
    </font>
    <font>
      <b/>
      <sz val="14"/>
      <name val="Times New Roman"/>
      <family val="1"/>
    </font>
    <font>
      <b/>
      <sz val="14"/>
      <color rgb="FF000000"/>
      <name val="Times New Roman"/>
      <family val="1"/>
    </font>
    <font>
      <sz val="16"/>
      <color rgb="FF000000"/>
      <name val="Times New Roman"/>
      <family val="1"/>
    </font>
    <font>
      <b/>
      <sz val="16"/>
      <color rgb="FF000000"/>
      <name val="Times New Roman"/>
      <family val="1"/>
    </font>
    <font>
      <sz val="14"/>
      <color indexed="8"/>
      <name val="Times New Roman"/>
      <family val="1"/>
    </font>
    <font>
      <b/>
      <sz val="12"/>
      <color rgb="FFFF0000"/>
      <name val="Tahoma"/>
      <family val="2"/>
    </font>
    <font>
      <b/>
      <sz val="12"/>
      <color rgb="FF2A21A5"/>
      <name val="Tahoma"/>
      <family val="2"/>
    </font>
    <font>
      <b/>
      <sz val="12"/>
      <color rgb="FF3B1EEA"/>
      <name val="Tahoma"/>
      <family val="2"/>
    </font>
    <font>
      <sz val="12"/>
      <color rgb="FF8E1EEA"/>
      <name val="Tahoma"/>
      <family val="2"/>
    </font>
    <font>
      <b/>
      <sz val="12"/>
      <color rgb="FF8E1EEA"/>
      <name val="Tahoma"/>
      <family val="2"/>
    </font>
    <font>
      <b/>
      <sz val="12"/>
      <color rgb="FF000000"/>
      <name val="Tahoma"/>
      <family val="2"/>
    </font>
    <font>
      <b/>
      <sz val="12"/>
      <color indexed="8"/>
      <name val="Tahoma"/>
      <family val="2"/>
    </font>
    <font>
      <sz val="12"/>
      <color indexed="8"/>
      <name val="Tahoma"/>
      <family val="2"/>
    </font>
    <font>
      <sz val="12"/>
      <color rgb="FF70AD46"/>
      <name val="Tahoma"/>
      <family val="2"/>
    </font>
    <font>
      <b/>
      <sz val="12"/>
      <color rgb="FF00B0F0"/>
      <name val="Tahoma"/>
      <family val="2"/>
    </font>
    <font>
      <b/>
      <sz val="12"/>
      <color rgb="FF00B050"/>
      <name val="Tahoma"/>
      <family val="2"/>
    </font>
    <font>
      <sz val="12"/>
      <color rgb="FF00B0F0"/>
      <name val="Tahoma"/>
      <family val="2"/>
    </font>
    <font>
      <b/>
      <sz val="48"/>
      <name val="Times New Roman"/>
      <family val="1"/>
    </font>
    <font>
      <sz val="48"/>
      <name val="Calibri"/>
      <family val="2"/>
    </font>
    <font>
      <sz val="36"/>
      <color rgb="FF000000"/>
      <name val="Calibri"/>
      <family val="2"/>
    </font>
    <font>
      <sz val="18"/>
      <name val="Calibri"/>
      <family val="2"/>
    </font>
    <font>
      <sz val="20"/>
      <color rgb="FF000000"/>
      <name val="Calibri"/>
      <family val="2"/>
    </font>
    <font>
      <sz val="36"/>
      <name val="Calibri"/>
      <family val="2"/>
    </font>
    <font>
      <sz val="12"/>
      <color rgb="FF000000"/>
      <name val="Tahoma"/>
      <family val="2"/>
    </font>
    <font>
      <sz val="22"/>
      <color rgb="FF000000"/>
      <name val="Calibri"/>
      <family val="2"/>
    </font>
    <font>
      <b/>
      <sz val="11"/>
      <color rgb="FF000000"/>
      <name val="Calibri"/>
      <family val="2"/>
    </font>
    <font>
      <b/>
      <sz val="11"/>
      <color rgb="FF000000"/>
      <name val="Times New Roman"/>
      <family val="1"/>
    </font>
    <font>
      <sz val="11"/>
      <color rgb="FF000000"/>
      <name val="Times New Roman"/>
      <family val="1"/>
    </font>
    <font>
      <b/>
      <sz val="11"/>
      <color rgb="FF000000"/>
      <name val="Calibri"/>
      <family val="2"/>
    </font>
    <font>
      <b/>
      <sz val="11"/>
      <color rgb="FF000000"/>
      <name val="Times New Roman"/>
      <family val="1"/>
    </font>
    <font>
      <sz val="10"/>
      <color rgb="FF000000"/>
      <name val="Times New Roman"/>
      <family val="1"/>
    </font>
    <font>
      <b/>
      <sz val="10"/>
      <color rgb="FF000000"/>
      <name val="Times New Roman"/>
      <family val="1"/>
    </font>
    <font>
      <b/>
      <sz val="10"/>
      <color rgb="FF000000"/>
      <name val="Times New Roman"/>
      <family val="1"/>
    </font>
    <font>
      <sz val="10"/>
      <color rgb="FF000000"/>
      <name val="Times New Roman"/>
      <family val="1"/>
    </font>
    <font>
      <sz val="10"/>
      <name val="Times New Roman"/>
      <family val="1"/>
    </font>
    <font>
      <b/>
      <sz val="10"/>
      <name val="Times New Roman"/>
      <family val="1"/>
    </font>
    <font>
      <sz val="10"/>
      <color rgb="FF000000"/>
      <name val="Times New Roman"/>
      <family val="1"/>
    </font>
    <font>
      <sz val="9"/>
      <color rgb="FF000000"/>
      <name val="Times New Roman"/>
      <family val="1"/>
    </font>
    <font>
      <sz val="9"/>
      <name val="Times New Roman"/>
      <family val="1"/>
    </font>
    <font>
      <b/>
      <sz val="9"/>
      <color rgb="FF000000"/>
      <name val="Times New Roman"/>
      <family val="1"/>
    </font>
    <font>
      <sz val="11"/>
      <color rgb="FF000000"/>
      <name val="Calibri"/>
      <family val="2"/>
    </font>
    <font>
      <sz val="11"/>
      <color indexed="8"/>
      <name val="Calibri"/>
      <family val="2"/>
    </font>
    <font>
      <sz val="10"/>
      <name val="Arial"/>
      <family val="2"/>
    </font>
    <font>
      <sz val="11"/>
      <name val="Calibri"/>
      <family val="2"/>
    </font>
    <font>
      <sz val="11"/>
      <color rgb="FF000000"/>
      <name val="Calibri"/>
      <family val="2"/>
    </font>
    <font>
      <b/>
      <vertAlign val="superscript"/>
      <sz val="11"/>
      <color rgb="FF000000"/>
      <name val="Times New Roman"/>
      <family val="1"/>
    </font>
    <font>
      <vertAlign val="superscript"/>
      <sz val="11"/>
      <color rgb="FF000000"/>
      <name val="Times New Roman"/>
      <family val="1"/>
    </font>
    <font>
      <i/>
      <sz val="12"/>
      <name val="Times New Roman"/>
      <family val="1"/>
    </font>
    <font>
      <b/>
      <i/>
      <sz val="12"/>
      <color rgb="FFFF0000"/>
      <name val="Times New Roman"/>
      <family val="1"/>
    </font>
    <font>
      <i/>
      <sz val="12"/>
      <color indexed="10"/>
      <name val="Times New Roman"/>
      <family val="1"/>
    </font>
    <font>
      <sz val="12"/>
      <color indexed="10"/>
      <name val="Times New Roman"/>
      <family val="1"/>
    </font>
    <font>
      <b/>
      <sz val="9"/>
      <color indexed="81"/>
      <name val="Tahoma"/>
      <family val="2"/>
    </font>
    <font>
      <sz val="9"/>
      <color indexed="81"/>
      <name val="Tahoma"/>
      <family val="2"/>
    </font>
    <font>
      <b/>
      <sz val="12"/>
      <color rgb="FF7030A0"/>
      <name val="Times New Roman"/>
      <family val="1"/>
    </font>
  </fonts>
  <fills count="23">
    <fill>
      <patternFill patternType="none"/>
    </fill>
    <fill>
      <patternFill patternType="gray125"/>
    </fill>
    <fill>
      <patternFill patternType="solid">
        <fgColor rgb="FFFFE598"/>
        <bgColor indexed="64"/>
      </patternFill>
    </fill>
    <fill>
      <patternFill patternType="solid">
        <fgColor rgb="FFD9E3F3"/>
        <bgColor indexed="64"/>
      </patternFill>
    </fill>
    <fill>
      <patternFill patternType="solid">
        <fgColor rgb="FFFFFFFF"/>
        <bgColor indexed="64"/>
      </patternFill>
    </fill>
    <fill>
      <patternFill patternType="solid">
        <fgColor rgb="FFFFF2CC"/>
        <bgColor indexed="64"/>
      </patternFill>
    </fill>
    <fill>
      <patternFill patternType="solid">
        <fgColor rgb="FFCCFFCC"/>
        <bgColor indexed="64"/>
      </patternFill>
    </fill>
    <fill>
      <patternFill patternType="solid">
        <fgColor rgb="FF92D050"/>
        <bgColor indexed="64"/>
      </patternFill>
    </fill>
    <fill>
      <patternFill patternType="solid">
        <fgColor rgb="FFD9E1F2"/>
        <bgColor indexed="64"/>
      </patternFill>
    </fill>
    <fill>
      <patternFill patternType="solid">
        <fgColor rgb="FFFFFF00"/>
        <bgColor indexed="64"/>
      </patternFill>
    </fill>
    <fill>
      <patternFill patternType="solid">
        <fgColor rgb="FFFF99CC"/>
        <bgColor indexed="64"/>
      </patternFill>
    </fill>
    <fill>
      <patternFill patternType="solid">
        <fgColor rgb="FFC6E0B4"/>
        <bgColor indexed="64"/>
      </patternFill>
    </fill>
    <fill>
      <patternFill patternType="solid">
        <fgColor rgb="FFE2EFDA"/>
        <bgColor indexed="64"/>
      </patternFill>
    </fill>
    <fill>
      <patternFill patternType="solid">
        <fgColor rgb="FFFFF2CB"/>
        <bgColor indexed="64"/>
      </patternFill>
    </fill>
    <fill>
      <patternFill patternType="solid">
        <fgColor rgb="FFD5DCE4"/>
        <bgColor indexed="64"/>
      </patternFill>
    </fill>
    <fill>
      <patternFill patternType="solid">
        <fgColor rgb="FFDBDBDB"/>
        <bgColor indexed="64"/>
      </patternFill>
    </fill>
    <fill>
      <patternFill patternType="solid">
        <fgColor rgb="FFED7B30"/>
        <bgColor indexed="64"/>
      </patternFill>
    </fill>
    <fill>
      <patternFill patternType="solid">
        <fgColor rgb="FFFFE599"/>
        <bgColor indexed="64"/>
      </patternFill>
    </fill>
    <fill>
      <patternFill patternType="solid">
        <fgColor rgb="FFF7CAAC"/>
        <bgColor indexed="64"/>
      </patternFill>
    </fill>
    <fill>
      <patternFill patternType="solid">
        <fgColor rgb="FFF8CBAD"/>
        <bgColor indexed="64"/>
      </patternFill>
    </fill>
    <fill>
      <patternFill patternType="solid">
        <fgColor rgb="FFA8D08E"/>
        <bgColor indexed="64"/>
      </patternFill>
    </fill>
    <fill>
      <patternFill patternType="solid">
        <fgColor rgb="FF9DC3E5"/>
        <bgColor indexed="64"/>
      </patternFill>
    </fill>
    <fill>
      <patternFill patternType="solid">
        <fgColor rgb="FFFBE4D5"/>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style="medium">
        <color indexed="64"/>
      </left>
      <right/>
      <top/>
      <bottom style="medium">
        <color indexed="64"/>
      </bottom>
      <diagonal/>
    </border>
    <border>
      <left style="medium">
        <color indexed="64"/>
      </left>
      <right/>
      <top/>
      <bottom/>
      <diagonal/>
    </border>
    <border>
      <left/>
      <right/>
      <top/>
      <bottom style="double">
        <color indexed="64"/>
      </bottom>
      <diagonal/>
    </border>
  </borders>
  <cellStyleXfs count="17">
    <xf numFmtId="0" fontId="0" fillId="0" borderId="0">
      <alignment vertical="center"/>
    </xf>
    <xf numFmtId="164" fontId="1" fillId="0" borderId="0">
      <protection locked="0"/>
    </xf>
    <xf numFmtId="164" fontId="1" fillId="0" borderId="0">
      <protection locked="0"/>
    </xf>
    <xf numFmtId="0" fontId="129" fillId="0" borderId="0">
      <protection locked="0"/>
    </xf>
    <xf numFmtId="164" fontId="129" fillId="0" borderId="0">
      <protection locked="0"/>
    </xf>
    <xf numFmtId="43" fontId="130" fillId="0" borderId="0">
      <protection locked="0"/>
    </xf>
    <xf numFmtId="0" fontId="2" fillId="0" borderId="0">
      <protection locked="0"/>
    </xf>
    <xf numFmtId="43" fontId="1" fillId="0" borderId="0">
      <protection locked="0"/>
    </xf>
    <xf numFmtId="0" fontId="131" fillId="0" borderId="0">
      <protection locked="0"/>
    </xf>
    <xf numFmtId="0" fontId="132" fillId="0" borderId="0">
      <protection locked="0"/>
    </xf>
    <xf numFmtId="164" fontId="133" fillId="0" borderId="0">
      <protection locked="0"/>
    </xf>
    <xf numFmtId="43" fontId="1" fillId="0" borderId="0">
      <protection locked="0"/>
    </xf>
    <xf numFmtId="0" fontId="1" fillId="0" borderId="0">
      <protection locked="0"/>
    </xf>
    <xf numFmtId="0" fontId="132" fillId="0" borderId="0">
      <protection locked="0"/>
    </xf>
    <xf numFmtId="43" fontId="129" fillId="0" borderId="0">
      <protection locked="0"/>
    </xf>
    <xf numFmtId="9" fontId="1" fillId="0" borderId="0">
      <protection locked="0"/>
    </xf>
    <xf numFmtId="43" fontId="1" fillId="0" borderId="0">
      <protection locked="0"/>
    </xf>
  </cellStyleXfs>
  <cellXfs count="2301">
    <xf numFmtId="0" fontId="0" fillId="0" borderId="0" xfId="0">
      <alignment vertical="center"/>
    </xf>
    <xf numFmtId="164" fontId="1" fillId="0" borderId="0" xfId="1">
      <protection locked="0"/>
    </xf>
    <xf numFmtId="0" fontId="2" fillId="0" borderId="0" xfId="0" applyFont="1">
      <alignment vertical="center"/>
    </xf>
    <xf numFmtId="164" fontId="1" fillId="0" borderId="0" xfId="0" applyNumberFormat="1" applyFont="1" applyAlignment="1" applyProtection="1">
      <protection locked="0"/>
    </xf>
    <xf numFmtId="0" fontId="2" fillId="0" borderId="0" xfId="0" applyFont="1" applyAlignment="1">
      <alignment horizontal="left" vertical="center"/>
    </xf>
    <xf numFmtId="0" fontId="3" fillId="0" borderId="0" xfId="0" applyFont="1">
      <alignment vertical="center"/>
    </xf>
    <xf numFmtId="165" fontId="3" fillId="0" borderId="0" xfId="0" applyNumberFormat="1" applyFont="1" applyAlignment="1">
      <alignment horizontal="right" vertical="center"/>
    </xf>
    <xf numFmtId="49" fontId="4" fillId="2" borderId="1" xfId="1" applyNumberFormat="1" applyFont="1" applyFill="1" applyBorder="1" applyAlignment="1" applyProtection="1">
      <alignment horizontal="center" vertical="top"/>
    </xf>
    <xf numFmtId="0" fontId="4" fillId="2" borderId="1" xfId="1" applyNumberFormat="1" applyFont="1" applyFill="1" applyBorder="1" applyAlignment="1" applyProtection="1">
      <alignment horizontal="left" vertical="top"/>
    </xf>
    <xf numFmtId="165" fontId="5" fillId="2" borderId="1" xfId="0" applyNumberFormat="1" applyFont="1" applyFill="1" applyBorder="1" applyAlignment="1">
      <alignment horizontal="center" vertical="top" wrapText="1"/>
    </xf>
    <xf numFmtId="165" fontId="4" fillId="2" borderId="1" xfId="1" applyNumberFormat="1" applyFont="1" applyFill="1" applyBorder="1" applyAlignment="1" applyProtection="1">
      <alignment horizontal="right" vertical="top" wrapText="1"/>
    </xf>
    <xf numFmtId="166" fontId="4" fillId="0" borderId="0" xfId="1" applyNumberFormat="1" applyFont="1" applyAlignment="1" applyProtection="1">
      <alignment horizontal="center" vertical="top" wrapText="1"/>
    </xf>
    <xf numFmtId="0" fontId="6" fillId="3" borderId="1" xfId="0" applyFont="1" applyFill="1" applyBorder="1" applyAlignment="1">
      <alignment vertical="top"/>
    </xf>
    <xf numFmtId="0" fontId="4" fillId="3" borderId="1" xfId="0" applyFont="1" applyFill="1" applyBorder="1" applyAlignment="1">
      <alignment horizontal="left" vertical="top"/>
    </xf>
    <xf numFmtId="0" fontId="5" fillId="3" borderId="1" xfId="0" applyFont="1" applyFill="1" applyBorder="1" applyAlignment="1">
      <alignment horizontal="left" vertical="top" wrapText="1"/>
    </xf>
    <xf numFmtId="165" fontId="6" fillId="3" borderId="1" xfId="2" applyNumberFormat="1" applyFont="1" applyFill="1" applyBorder="1" applyAlignment="1" applyProtection="1">
      <alignment horizontal="right" vertical="top"/>
    </xf>
    <xf numFmtId="165" fontId="4" fillId="3" borderId="1" xfId="0" applyNumberFormat="1" applyFont="1" applyFill="1" applyBorder="1" applyAlignment="1">
      <alignment horizontal="right" vertical="top" wrapText="1"/>
    </xf>
    <xf numFmtId="166" fontId="6" fillId="0" borderId="0" xfId="2" applyNumberFormat="1" applyFont="1" applyAlignment="1" applyProtection="1">
      <alignment horizontal="center" vertical="top"/>
    </xf>
    <xf numFmtId="0" fontId="7" fillId="0" borderId="1" xfId="0" applyFont="1" applyBorder="1" applyAlignment="1">
      <alignment vertical="top"/>
    </xf>
    <xf numFmtId="49" fontId="3" fillId="0" borderId="1" xfId="0" applyNumberFormat="1" applyFont="1" applyBorder="1" applyAlignment="1">
      <alignment horizontal="left" vertical="top"/>
    </xf>
    <xf numFmtId="167" fontId="3" fillId="0" borderId="1" xfId="0" applyNumberFormat="1" applyFont="1" applyBorder="1" applyAlignment="1">
      <alignment horizontal="left" vertical="top" wrapText="1"/>
    </xf>
    <xf numFmtId="165" fontId="3" fillId="0" borderId="1" xfId="2" applyNumberFormat="1" applyFont="1" applyBorder="1" applyAlignment="1" applyProtection="1">
      <alignment horizontal="right" vertical="top"/>
    </xf>
    <xf numFmtId="165" fontId="3" fillId="0" borderId="1" xfId="0" applyNumberFormat="1" applyFont="1" applyBorder="1" applyAlignment="1">
      <alignment horizontal="right" vertical="top" wrapText="1"/>
    </xf>
    <xf numFmtId="165" fontId="6" fillId="0" borderId="1" xfId="2" applyNumberFormat="1" applyFont="1" applyBorder="1" applyAlignment="1" applyProtection="1">
      <alignment horizontal="right" vertical="top"/>
    </xf>
    <xf numFmtId="166" fontId="3" fillId="0" borderId="0" xfId="2" applyNumberFormat="1" applyFont="1" applyAlignment="1" applyProtection="1">
      <alignment horizontal="center" vertical="top"/>
    </xf>
    <xf numFmtId="0" fontId="3" fillId="0" borderId="1" xfId="0" applyFont="1" applyBorder="1" applyAlignment="1">
      <alignment vertical="top"/>
    </xf>
    <xf numFmtId="0" fontId="5" fillId="0" borderId="1" xfId="0" applyFont="1" applyBorder="1" applyAlignment="1">
      <alignment vertical="top"/>
    </xf>
    <xf numFmtId="0" fontId="8" fillId="0" borderId="1" xfId="0" applyFont="1" applyBorder="1" applyAlignment="1">
      <alignment vertical="top"/>
    </xf>
    <xf numFmtId="49" fontId="9" fillId="0" borderId="1" xfId="0" applyNumberFormat="1" applyFont="1" applyBorder="1" applyAlignment="1">
      <alignment horizontal="left" vertical="top"/>
    </xf>
    <xf numFmtId="167" fontId="3" fillId="0" borderId="1" xfId="0" applyNumberFormat="1" applyFont="1" applyBorder="1" applyAlignment="1">
      <alignment vertical="top" wrapText="1"/>
    </xf>
    <xf numFmtId="165" fontId="9" fillId="0" borderId="1" xfId="0" applyNumberFormat="1" applyFont="1" applyBorder="1" applyAlignment="1">
      <alignment horizontal="right" vertical="top"/>
    </xf>
    <xf numFmtId="165" fontId="9" fillId="0" borderId="1" xfId="0" applyNumberFormat="1" applyFont="1" applyBorder="1" applyAlignment="1">
      <alignment horizontal="right" vertical="top" wrapText="1"/>
    </xf>
    <xf numFmtId="0" fontId="3" fillId="3" borderId="1" xfId="0" applyFont="1" applyFill="1" applyBorder="1" applyAlignment="1">
      <alignment vertical="top"/>
    </xf>
    <xf numFmtId="0" fontId="4" fillId="3" borderId="1" xfId="0" applyFont="1" applyFill="1" applyBorder="1" applyAlignment="1">
      <alignment vertical="top"/>
    </xf>
    <xf numFmtId="0" fontId="5" fillId="3" borderId="1" xfId="0" applyFont="1" applyFill="1" applyBorder="1" applyAlignment="1">
      <alignment vertical="top" wrapText="1"/>
    </xf>
    <xf numFmtId="165" fontId="4" fillId="3" borderId="1" xfId="0" applyNumberFormat="1" applyFont="1" applyFill="1" applyBorder="1" applyAlignment="1">
      <alignment horizontal="right" vertical="top"/>
    </xf>
    <xf numFmtId="0" fontId="6" fillId="0" borderId="1" xfId="0" applyFont="1" applyBorder="1" applyAlignment="1">
      <alignment vertical="top"/>
    </xf>
    <xf numFmtId="165" fontId="3" fillId="0" borderId="1" xfId="1" applyNumberFormat="1" applyFont="1" applyBorder="1" applyAlignment="1">
      <alignment horizontal="right" vertical="top"/>
      <protection locked="0"/>
    </xf>
    <xf numFmtId="0" fontId="10" fillId="0" borderId="1" xfId="0" applyFont="1" applyBorder="1" applyAlignment="1">
      <alignment vertical="top"/>
    </xf>
    <xf numFmtId="0" fontId="3" fillId="0" borderId="1" xfId="2" applyNumberFormat="1" applyFont="1" applyBorder="1" applyAlignment="1" applyProtection="1">
      <alignment horizontal="left" vertical="top"/>
    </xf>
    <xf numFmtId="166" fontId="3" fillId="0" borderId="1" xfId="2" applyNumberFormat="1" applyFont="1" applyBorder="1" applyAlignment="1" applyProtection="1">
      <alignment horizontal="left" vertical="top" wrapText="1"/>
    </xf>
    <xf numFmtId="165" fontId="3" fillId="0" borderId="1" xfId="2" applyNumberFormat="1" applyFont="1" applyBorder="1" applyAlignment="1" applyProtection="1">
      <alignment horizontal="right" vertical="top" wrapText="1"/>
    </xf>
    <xf numFmtId="0" fontId="9" fillId="3" borderId="1" xfId="0" applyFont="1" applyFill="1" applyBorder="1" applyAlignment="1">
      <alignment vertical="top"/>
    </xf>
    <xf numFmtId="0" fontId="3" fillId="3" borderId="1" xfId="0" applyFont="1" applyFill="1" applyBorder="1" applyAlignment="1">
      <alignment vertical="top" wrapText="1"/>
    </xf>
    <xf numFmtId="165" fontId="6" fillId="3" borderId="1" xfId="1" applyNumberFormat="1" applyFont="1" applyFill="1" applyBorder="1" applyAlignment="1" applyProtection="1">
      <alignment horizontal="right" vertical="top"/>
    </xf>
    <xf numFmtId="165" fontId="6" fillId="3" borderId="1" xfId="0" applyNumberFormat="1" applyFont="1" applyFill="1" applyBorder="1" applyAlignment="1">
      <alignment horizontal="right" vertical="top" wrapText="1"/>
    </xf>
    <xf numFmtId="0" fontId="9" fillId="0" borderId="1" xfId="0" applyFont="1" applyBorder="1" applyAlignment="1">
      <alignment vertical="top"/>
    </xf>
    <xf numFmtId="0" fontId="3" fillId="0" borderId="1" xfId="3" applyFont="1" applyBorder="1" applyAlignment="1" applyProtection="1">
      <alignment horizontal="left" vertical="top"/>
    </xf>
    <xf numFmtId="0" fontId="3" fillId="0" borderId="1" xfId="3" applyFont="1" applyBorder="1" applyAlignment="1" applyProtection="1">
      <alignment vertical="top" wrapText="1"/>
    </xf>
    <xf numFmtId="165" fontId="3" fillId="0" borderId="1" xfId="4" applyNumberFormat="1" applyFont="1" applyBorder="1" applyAlignment="1" applyProtection="1">
      <alignment horizontal="right" vertical="top"/>
    </xf>
    <xf numFmtId="165" fontId="3" fillId="0" borderId="1" xfId="3" applyNumberFormat="1" applyFont="1" applyBorder="1" applyAlignment="1" applyProtection="1">
      <alignment horizontal="right" vertical="top" wrapText="1"/>
    </xf>
    <xf numFmtId="0" fontId="3" fillId="0" borderId="1" xfId="3" quotePrefix="1" applyFont="1" applyBorder="1" applyAlignment="1" applyProtection="1">
      <alignment vertical="top" wrapText="1"/>
    </xf>
    <xf numFmtId="165" fontId="3" fillId="0" borderId="1" xfId="3" quotePrefix="1" applyNumberFormat="1" applyFont="1" applyBorder="1" applyAlignment="1" applyProtection="1">
      <alignment horizontal="right" vertical="top" wrapText="1"/>
    </xf>
    <xf numFmtId="49" fontId="4" fillId="3" borderId="1" xfId="0" applyNumberFormat="1" applyFont="1" applyFill="1" applyBorder="1" applyAlignment="1">
      <alignment horizontal="left" vertical="top"/>
    </xf>
    <xf numFmtId="165" fontId="9" fillId="3" borderId="1" xfId="0" applyNumberFormat="1" applyFont="1" applyFill="1" applyBorder="1" applyAlignment="1">
      <alignment horizontal="right" vertical="top"/>
    </xf>
    <xf numFmtId="49" fontId="5" fillId="0" borderId="1" xfId="0" applyNumberFormat="1" applyFont="1" applyBorder="1" applyAlignment="1">
      <alignment horizontal="left" vertical="top"/>
    </xf>
    <xf numFmtId="166" fontId="6" fillId="0" borderId="0" xfId="2" applyNumberFormat="1" applyFont="1" applyAlignment="1" applyProtection="1">
      <alignment horizontal="left" vertical="top"/>
    </xf>
    <xf numFmtId="0" fontId="3" fillId="0" borderId="1" xfId="5" applyNumberFormat="1" applyFont="1" applyBorder="1" applyAlignment="1" applyProtection="1">
      <alignment horizontal="left" vertical="top"/>
    </xf>
    <xf numFmtId="165" fontId="3" fillId="0" borderId="1" xfId="0" applyNumberFormat="1" applyFont="1" applyBorder="1" applyAlignment="1">
      <alignment horizontal="left" vertical="top" wrapText="1"/>
    </xf>
    <xf numFmtId="0" fontId="6" fillId="3" borderId="1" xfId="0" applyFont="1" applyFill="1" applyBorder="1" applyAlignment="1">
      <alignment horizontal="left" vertical="top"/>
    </xf>
    <xf numFmtId="165" fontId="6" fillId="3" borderId="1" xfId="0" applyNumberFormat="1" applyFont="1" applyFill="1" applyBorder="1" applyAlignment="1">
      <alignment horizontal="right" vertical="top"/>
    </xf>
    <xf numFmtId="0" fontId="3" fillId="0" borderId="1" xfId="0" applyFont="1" applyBorder="1" applyAlignment="1">
      <alignment horizontal="left" vertical="top"/>
    </xf>
    <xf numFmtId="0" fontId="3" fillId="0" borderId="1" xfId="1" applyNumberFormat="1" applyFont="1" applyBorder="1" applyAlignment="1" applyProtection="1">
      <alignment horizontal="left" vertical="top"/>
    </xf>
    <xf numFmtId="49" fontId="3" fillId="0" borderId="1" xfId="1" applyNumberFormat="1" applyFont="1" applyBorder="1" applyAlignment="1" applyProtection="1">
      <alignment horizontal="left" vertical="top" wrapText="1"/>
    </xf>
    <xf numFmtId="165" fontId="3" fillId="0" borderId="1" xfId="0" applyNumberFormat="1" applyFont="1" applyBorder="1" applyAlignment="1">
      <alignment horizontal="right" vertical="top"/>
    </xf>
    <xf numFmtId="165" fontId="3" fillId="0" borderId="1" xfId="1" applyNumberFormat="1" applyFont="1" applyBorder="1" applyAlignment="1" applyProtection="1">
      <alignment horizontal="right" vertical="top" wrapText="1"/>
    </xf>
    <xf numFmtId="165" fontId="7" fillId="0" borderId="1" xfId="1" applyNumberFormat="1" applyFont="1" applyBorder="1" applyAlignment="1" applyProtection="1">
      <alignment horizontal="right" vertical="top" wrapText="1"/>
    </xf>
    <xf numFmtId="164" fontId="6" fillId="3" borderId="1" xfId="2" applyFont="1" applyFill="1" applyBorder="1" applyAlignment="1" applyProtection="1">
      <alignment horizontal="left" vertical="top"/>
    </xf>
    <xf numFmtId="0" fontId="4" fillId="3" borderId="1" xfId="2" applyNumberFormat="1" applyFont="1" applyFill="1" applyBorder="1" applyAlignment="1" applyProtection="1">
      <alignment horizontal="left" vertical="top"/>
    </xf>
    <xf numFmtId="164" fontId="3" fillId="3" borderId="1" xfId="2" applyFont="1" applyFill="1" applyBorder="1" applyAlignment="1" applyProtection="1">
      <alignment horizontal="left" vertical="top" wrapText="1"/>
    </xf>
    <xf numFmtId="165" fontId="6" fillId="3" borderId="1" xfId="2" applyNumberFormat="1" applyFont="1" applyFill="1" applyBorder="1" applyAlignment="1" applyProtection="1">
      <alignment horizontal="right" vertical="top" wrapText="1"/>
    </xf>
    <xf numFmtId="164" fontId="3" fillId="0" borderId="1" xfId="2" applyFont="1" applyBorder="1" applyAlignment="1" applyProtection="1">
      <alignment horizontal="left" vertical="top"/>
    </xf>
    <xf numFmtId="0" fontId="3" fillId="0" borderId="1" xfId="2" applyNumberFormat="1" applyFont="1" applyBorder="1" applyAlignment="1" applyProtection="1">
      <alignment horizontal="left" vertical="top" wrapText="1"/>
    </xf>
    <xf numFmtId="164" fontId="3" fillId="0" borderId="1" xfId="2" applyFont="1" applyBorder="1" applyAlignment="1" applyProtection="1">
      <alignment horizontal="left" vertical="top" wrapText="1"/>
    </xf>
    <xf numFmtId="0" fontId="3" fillId="0" borderId="1" xfId="0" applyFont="1" applyBorder="1" applyAlignment="1">
      <alignment vertical="top" wrapText="1"/>
    </xf>
    <xf numFmtId="166" fontId="3" fillId="0" borderId="0" xfId="2" applyNumberFormat="1" applyFont="1" applyAlignment="1" applyProtection="1">
      <alignment horizontal="left" vertical="top"/>
    </xf>
    <xf numFmtId="49" fontId="3" fillId="0" borderId="1" xfId="2" applyNumberFormat="1" applyFont="1" applyBorder="1" applyAlignment="1" applyProtection="1">
      <alignment horizontal="left" vertical="top" wrapText="1"/>
    </xf>
    <xf numFmtId="164" fontId="5" fillId="0" borderId="1" xfId="2" applyFont="1" applyBorder="1" applyAlignment="1" applyProtection="1">
      <alignment horizontal="left" vertical="top"/>
    </xf>
    <xf numFmtId="165" fontId="8" fillId="3" borderId="1" xfId="1" applyNumberFormat="1" applyFont="1" applyFill="1" applyBorder="1" applyAlignment="1" applyProtection="1">
      <alignment horizontal="right" vertical="top"/>
    </xf>
    <xf numFmtId="165" fontId="8" fillId="3" borderId="1" xfId="0" applyNumberFormat="1" applyFont="1" applyFill="1" applyBorder="1" applyAlignment="1">
      <alignment horizontal="right" vertical="top" wrapText="1"/>
    </xf>
    <xf numFmtId="0" fontId="9" fillId="0" borderId="1" xfId="0" applyFont="1" applyBorder="1" applyAlignment="1">
      <alignment horizontal="left" vertical="top"/>
    </xf>
    <xf numFmtId="165" fontId="9" fillId="0" borderId="1" xfId="2" applyNumberFormat="1" applyFont="1" applyBorder="1" applyAlignment="1" applyProtection="1">
      <alignment horizontal="right" vertical="top"/>
    </xf>
    <xf numFmtId="165" fontId="9" fillId="0" borderId="1" xfId="1" applyNumberFormat="1" applyFont="1" applyBorder="1" applyAlignment="1">
      <alignment horizontal="right"/>
      <protection locked="0"/>
    </xf>
    <xf numFmtId="166" fontId="3" fillId="0" borderId="0" xfId="2" applyNumberFormat="1" applyFont="1" applyAlignment="1" applyProtection="1">
      <alignment horizontal="right" vertical="top"/>
    </xf>
    <xf numFmtId="49" fontId="8" fillId="0" borderId="1" xfId="0" applyNumberFormat="1" applyFont="1" applyBorder="1" applyAlignment="1">
      <alignment horizontal="right" vertical="top"/>
    </xf>
    <xf numFmtId="0" fontId="9" fillId="0" borderId="1" xfId="0" applyFont="1" applyBorder="1" applyAlignment="1">
      <alignment horizontal="right" vertical="top"/>
    </xf>
    <xf numFmtId="0" fontId="3" fillId="0" borderId="1" xfId="0" applyFont="1" applyBorder="1" applyAlignment="1">
      <alignment horizontal="left" vertical="top" wrapText="1"/>
    </xf>
    <xf numFmtId="165" fontId="9" fillId="0" borderId="1" xfId="1" applyNumberFormat="1" applyFont="1" applyBorder="1" applyAlignment="1" applyProtection="1">
      <alignment horizontal="right" vertical="top"/>
    </xf>
    <xf numFmtId="166" fontId="9" fillId="0" borderId="0" xfId="1" applyNumberFormat="1" applyFont="1" applyAlignment="1" applyProtection="1">
      <alignment vertical="top"/>
    </xf>
    <xf numFmtId="49" fontId="3" fillId="0" borderId="1" xfId="0" applyNumberFormat="1" applyFont="1" applyBorder="1" applyAlignment="1">
      <alignment horizontal="right" vertical="top"/>
    </xf>
    <xf numFmtId="0" fontId="3" fillId="0" borderId="1" xfId="0" applyFont="1" applyBorder="1" applyAlignment="1">
      <alignment horizontal="right" vertical="top"/>
    </xf>
    <xf numFmtId="0" fontId="9" fillId="0" borderId="1" xfId="1" applyNumberFormat="1" applyFont="1" applyBorder="1" applyAlignment="1" applyProtection="1">
      <alignment horizontal="left" vertical="top"/>
    </xf>
    <xf numFmtId="49" fontId="3" fillId="0" borderId="1" xfId="0" applyNumberFormat="1" applyFont="1" applyBorder="1" applyAlignment="1">
      <alignment vertical="top"/>
    </xf>
    <xf numFmtId="165" fontId="3" fillId="0" borderId="1" xfId="6" applyNumberFormat="1" applyFont="1" applyBorder="1" applyAlignment="1" applyProtection="1">
      <alignment horizontal="right" vertical="top" wrapText="1"/>
    </xf>
    <xf numFmtId="0" fontId="5" fillId="3" borderId="1" xfId="0" applyFont="1" applyFill="1" applyBorder="1" applyAlignment="1">
      <alignment horizontal="center" vertical="top" wrapText="1"/>
    </xf>
    <xf numFmtId="165" fontId="4" fillId="3" borderId="1" xfId="1" applyNumberFormat="1" applyFont="1" applyFill="1" applyBorder="1" applyAlignment="1" applyProtection="1">
      <alignment horizontal="right" vertical="top"/>
    </xf>
    <xf numFmtId="165" fontId="11" fillId="3" borderId="1" xfId="0" applyNumberFormat="1" applyFont="1" applyFill="1" applyBorder="1" applyAlignment="1">
      <alignment horizontal="right" vertical="top"/>
    </xf>
    <xf numFmtId="49" fontId="5" fillId="3" borderId="1" xfId="0" applyNumberFormat="1" applyFont="1" applyFill="1" applyBorder="1" applyAlignment="1">
      <alignment horizontal="right" vertical="top"/>
    </xf>
    <xf numFmtId="165" fontId="3" fillId="3" borderId="1" xfId="2" applyNumberFormat="1" applyFont="1" applyFill="1" applyBorder="1" applyAlignment="1" applyProtection="1">
      <alignment horizontal="right" vertical="top"/>
    </xf>
    <xf numFmtId="165" fontId="3" fillId="0" borderId="1" xfId="0" quotePrefix="1" applyNumberFormat="1" applyFont="1" applyBorder="1" applyAlignment="1">
      <alignment horizontal="left" vertical="top" wrapText="1"/>
    </xf>
    <xf numFmtId="165" fontId="3" fillId="0" borderId="1" xfId="1" applyNumberFormat="1" applyFont="1" applyBorder="1" applyAlignment="1" applyProtection="1">
      <alignment horizontal="right" vertical="top"/>
    </xf>
    <xf numFmtId="165" fontId="3" fillId="0" borderId="1" xfId="0" quotePrefix="1" applyNumberFormat="1" applyFont="1" applyBorder="1" applyAlignment="1">
      <alignment horizontal="right" vertical="top" wrapText="1"/>
    </xf>
    <xf numFmtId="166" fontId="3" fillId="0" borderId="0" xfId="1" applyNumberFormat="1" applyFont="1" applyAlignment="1" applyProtection="1">
      <alignment vertical="top"/>
    </xf>
    <xf numFmtId="165" fontId="5" fillId="3" borderId="1" xfId="0" applyNumberFormat="1" applyFont="1" applyFill="1" applyBorder="1" applyAlignment="1">
      <alignment horizontal="center" vertical="top" wrapText="1"/>
    </xf>
    <xf numFmtId="165" fontId="4" fillId="3" borderId="1" xfId="7" applyNumberFormat="1" applyFont="1" applyFill="1" applyBorder="1" applyAlignment="1" applyProtection="1">
      <alignment horizontal="right" vertical="top"/>
    </xf>
    <xf numFmtId="0" fontId="9" fillId="0" borderId="1" xfId="7" applyNumberFormat="1" applyFont="1" applyBorder="1" applyAlignment="1" applyProtection="1">
      <alignment horizontal="left" vertical="top"/>
    </xf>
    <xf numFmtId="166" fontId="3" fillId="0" borderId="1" xfId="7" applyNumberFormat="1" applyFont="1" applyBorder="1" applyAlignment="1" applyProtection="1">
      <alignment horizontal="left" vertical="top" wrapText="1"/>
    </xf>
    <xf numFmtId="165" fontId="9" fillId="0" borderId="1" xfId="7" applyNumberFormat="1" applyFont="1" applyBorder="1" applyAlignment="1" applyProtection="1">
      <alignment horizontal="right" vertical="top"/>
    </xf>
    <xf numFmtId="166" fontId="9" fillId="0" borderId="0" xfId="7" applyNumberFormat="1" applyFont="1" applyAlignment="1" applyProtection="1">
      <alignment horizontal="right" vertical="top"/>
    </xf>
    <xf numFmtId="166" fontId="6" fillId="3" borderId="1" xfId="2" applyNumberFormat="1" applyFont="1" applyFill="1" applyBorder="1" applyAlignment="1" applyProtection="1">
      <alignment horizontal="center" vertical="top"/>
    </xf>
    <xf numFmtId="0" fontId="4" fillId="3" borderId="1" xfId="0" applyFont="1" applyFill="1" applyBorder="1" applyAlignment="1">
      <alignment horizontal="left" vertical="top" wrapText="1"/>
    </xf>
    <xf numFmtId="2" fontId="4" fillId="3" borderId="1" xfId="0" applyNumberFormat="1" applyFont="1" applyFill="1" applyBorder="1" applyAlignment="1">
      <alignment horizontal="left" vertical="top" wrapText="1"/>
    </xf>
    <xf numFmtId="0" fontId="7" fillId="4" borderId="1" xfId="0" applyFont="1" applyFill="1" applyBorder="1" applyAlignment="1">
      <alignment vertical="top"/>
    </xf>
    <xf numFmtId="49" fontId="3" fillId="4" borderId="1" xfId="0" applyNumberFormat="1" applyFont="1" applyFill="1" applyBorder="1" applyAlignment="1">
      <alignment horizontal="left" vertical="top"/>
    </xf>
    <xf numFmtId="167" fontId="3" fillId="4" borderId="1" xfId="0" applyNumberFormat="1" applyFont="1" applyFill="1" applyBorder="1" applyAlignment="1">
      <alignment horizontal="left" vertical="top" wrapText="1"/>
    </xf>
    <xf numFmtId="166" fontId="3" fillId="4" borderId="1" xfId="2" applyNumberFormat="1" applyFont="1" applyFill="1" applyBorder="1" applyAlignment="1" applyProtection="1">
      <alignment horizontal="left" vertical="top"/>
    </xf>
    <xf numFmtId="2" fontId="3" fillId="4" borderId="1" xfId="0" applyNumberFormat="1" applyFont="1" applyFill="1" applyBorder="1" applyAlignment="1">
      <alignment horizontal="left" vertical="top" wrapText="1"/>
    </xf>
    <xf numFmtId="166" fontId="6" fillId="4" borderId="1" xfId="2" applyNumberFormat="1" applyFont="1" applyFill="1" applyBorder="1" applyAlignment="1" applyProtection="1">
      <alignment horizontal="center" vertical="top"/>
    </xf>
    <xf numFmtId="0" fontId="3" fillId="4" borderId="1" xfId="0" applyFont="1" applyFill="1" applyBorder="1" applyAlignment="1">
      <alignment vertical="top"/>
    </xf>
    <xf numFmtId="0" fontId="5" fillId="4" borderId="1" xfId="0" applyFont="1" applyFill="1" applyBorder="1" applyAlignment="1">
      <alignment vertical="top"/>
    </xf>
    <xf numFmtId="0" fontId="8" fillId="4" borderId="1" xfId="0" applyFont="1" applyFill="1" applyBorder="1" applyAlignment="1">
      <alignment vertical="top"/>
    </xf>
    <xf numFmtId="49" fontId="9" fillId="4" borderId="1" xfId="0" applyNumberFormat="1" applyFont="1" applyFill="1" applyBorder="1" applyAlignment="1">
      <alignment horizontal="left" vertical="top"/>
    </xf>
    <xf numFmtId="167" fontId="3" fillId="4" borderId="1" xfId="0" applyNumberFormat="1" applyFont="1" applyFill="1" applyBorder="1" applyAlignment="1">
      <alignment vertical="top" wrapText="1"/>
    </xf>
    <xf numFmtId="166" fontId="9" fillId="4" borderId="1" xfId="0" applyNumberFormat="1" applyFont="1" applyFill="1" applyBorder="1" applyAlignment="1">
      <alignment vertical="top"/>
    </xf>
    <xf numFmtId="167" fontId="9" fillId="4" borderId="1" xfId="0" applyNumberFormat="1" applyFont="1" applyFill="1" applyBorder="1" applyAlignment="1">
      <alignment vertical="top" wrapText="1"/>
    </xf>
    <xf numFmtId="2" fontId="9" fillId="4" borderId="1" xfId="0" applyNumberFormat="1" applyFont="1" applyFill="1" applyBorder="1" applyAlignment="1">
      <alignment vertical="top" wrapText="1"/>
    </xf>
    <xf numFmtId="166" fontId="4" fillId="3" borderId="1" xfId="0" applyNumberFormat="1" applyFont="1" applyFill="1" applyBorder="1" applyAlignment="1">
      <alignment vertical="top"/>
    </xf>
    <xf numFmtId="0" fontId="4" fillId="3" borderId="1" xfId="0" applyFont="1" applyFill="1" applyBorder="1" applyAlignment="1">
      <alignment vertical="top" wrapText="1"/>
    </xf>
    <xf numFmtId="2" fontId="4" fillId="3" borderId="1" xfId="0" applyNumberFormat="1" applyFont="1" applyFill="1" applyBorder="1" applyAlignment="1">
      <alignment vertical="top" wrapText="1"/>
    </xf>
    <xf numFmtId="164" fontId="3" fillId="0" borderId="1" xfId="1" applyFont="1" applyBorder="1" applyAlignment="1">
      <alignment vertical="top"/>
      <protection locked="0"/>
    </xf>
    <xf numFmtId="2" fontId="3" fillId="0" borderId="1" xfId="1" applyNumberFormat="1" applyFont="1" applyBorder="1" applyAlignment="1">
      <alignment vertical="top"/>
      <protection locked="0"/>
    </xf>
    <xf numFmtId="166" fontId="6" fillId="0" borderId="1" xfId="2" applyNumberFormat="1" applyFont="1" applyBorder="1" applyAlignment="1" applyProtection="1">
      <alignment horizontal="center" vertical="top"/>
    </xf>
    <xf numFmtId="166" fontId="6" fillId="3" borderId="1" xfId="1" applyNumberFormat="1" applyFont="1" applyFill="1" applyBorder="1" applyAlignment="1" applyProtection="1">
      <alignment vertical="top"/>
    </xf>
    <xf numFmtId="0" fontId="6" fillId="3" borderId="1" xfId="0" applyFont="1" applyFill="1" applyBorder="1" applyAlignment="1">
      <alignment vertical="top" wrapText="1"/>
    </xf>
    <xf numFmtId="2" fontId="6" fillId="3" borderId="1" xfId="0" applyNumberFormat="1" applyFont="1" applyFill="1" applyBorder="1" applyAlignment="1">
      <alignment vertical="top" wrapText="1"/>
    </xf>
    <xf numFmtId="166" fontId="3" fillId="0" borderId="1" xfId="4" applyNumberFormat="1" applyFont="1" applyBorder="1" applyAlignment="1" applyProtection="1">
      <alignment vertical="top"/>
    </xf>
    <xf numFmtId="2" fontId="3" fillId="0" borderId="1" xfId="3" applyNumberFormat="1" applyFont="1" applyBorder="1" applyAlignment="1" applyProtection="1">
      <alignment vertical="top" wrapText="1"/>
    </xf>
    <xf numFmtId="2" fontId="3" fillId="0" borderId="1" xfId="3" quotePrefix="1" applyNumberFormat="1" applyFont="1" applyBorder="1" applyAlignment="1" applyProtection="1">
      <alignment vertical="top" wrapText="1"/>
    </xf>
    <xf numFmtId="166" fontId="9" fillId="3" borderId="1" xfId="0" applyNumberFormat="1" applyFont="1" applyFill="1" applyBorder="1" applyAlignment="1">
      <alignment horizontal="left" vertical="top"/>
    </xf>
    <xf numFmtId="166" fontId="3" fillId="0" borderId="1" xfId="2" applyNumberFormat="1" applyFont="1" applyBorder="1" applyAlignment="1" applyProtection="1">
      <alignment horizontal="center" vertical="top"/>
    </xf>
    <xf numFmtId="2" fontId="3" fillId="0" borderId="1" xfId="0" applyNumberFormat="1" applyFont="1" applyBorder="1" applyAlignment="1">
      <alignment horizontal="left" vertical="top" wrapText="1"/>
    </xf>
    <xf numFmtId="166" fontId="9" fillId="0" borderId="1" xfId="0" applyNumberFormat="1" applyFont="1" applyBorder="1" applyAlignment="1">
      <alignment horizontal="left" vertical="top"/>
    </xf>
    <xf numFmtId="166" fontId="6" fillId="3" borderId="1" xfId="0" applyNumberFormat="1" applyFont="1" applyFill="1" applyBorder="1" applyAlignment="1">
      <alignment vertical="top"/>
    </xf>
    <xf numFmtId="3" fontId="3" fillId="0" borderId="1" xfId="0" applyNumberFormat="1" applyFont="1" applyBorder="1" applyAlignment="1">
      <alignment horizontal="right" vertical="top"/>
    </xf>
    <xf numFmtId="2" fontId="3" fillId="0" borderId="1" xfId="1" applyNumberFormat="1" applyFont="1" applyBorder="1" applyAlignment="1" applyProtection="1">
      <alignment horizontal="left" vertical="top" wrapText="1"/>
    </xf>
    <xf numFmtId="49" fontId="7" fillId="0" borderId="1" xfId="1" applyNumberFormat="1" applyFont="1" applyBorder="1" applyAlignment="1" applyProtection="1">
      <alignment horizontal="left" vertical="top" wrapText="1"/>
    </xf>
    <xf numFmtId="2" fontId="7" fillId="0" borderId="1" xfId="1" applyNumberFormat="1" applyFont="1" applyBorder="1" applyAlignment="1" applyProtection="1">
      <alignment horizontal="left" vertical="top" wrapText="1"/>
    </xf>
    <xf numFmtId="166" fontId="9" fillId="3" borderId="1" xfId="0" applyNumberFormat="1" applyFont="1" applyFill="1" applyBorder="1" applyAlignment="1">
      <alignment vertical="top"/>
    </xf>
    <xf numFmtId="164" fontId="6" fillId="3" borderId="1" xfId="2" applyFont="1" applyFill="1" applyBorder="1" applyAlignment="1" applyProtection="1">
      <alignment horizontal="left" vertical="top" wrapText="1"/>
    </xf>
    <xf numFmtId="2" fontId="6" fillId="3" borderId="1" xfId="2" applyNumberFormat="1" applyFont="1" applyFill="1" applyBorder="1" applyAlignment="1" applyProtection="1">
      <alignment horizontal="left" vertical="top" wrapText="1"/>
    </xf>
    <xf numFmtId="166" fontId="3" fillId="0" borderId="1" xfId="2" applyNumberFormat="1" applyFont="1" applyBorder="1" applyAlignment="1" applyProtection="1">
      <alignment horizontal="right" vertical="top"/>
    </xf>
    <xf numFmtId="2" fontId="3" fillId="0" borderId="1" xfId="2" applyNumberFormat="1" applyFont="1" applyBorder="1" applyAlignment="1" applyProtection="1">
      <alignment horizontal="left" vertical="top" wrapText="1"/>
    </xf>
    <xf numFmtId="3" fontId="9" fillId="0" borderId="1" xfId="0" applyNumberFormat="1" applyFont="1" applyBorder="1" applyAlignment="1">
      <alignment horizontal="right" vertical="top"/>
    </xf>
    <xf numFmtId="166" fontId="3" fillId="0" borderId="1" xfId="0" applyNumberFormat="1" applyFont="1" applyBorder="1" applyAlignment="1">
      <alignment horizontal="right" vertical="top"/>
    </xf>
    <xf numFmtId="166" fontId="8" fillId="3" borderId="1" xfId="1" applyNumberFormat="1" applyFont="1" applyFill="1" applyBorder="1" applyAlignment="1" applyProtection="1">
      <alignment horizontal="right" vertical="top"/>
    </xf>
    <xf numFmtId="0" fontId="8" fillId="3" borderId="1" xfId="0" applyFont="1" applyFill="1" applyBorder="1" applyAlignment="1">
      <alignment vertical="top" wrapText="1"/>
    </xf>
    <xf numFmtId="2" fontId="8" fillId="3" borderId="1" xfId="0" applyNumberFormat="1" applyFont="1" applyFill="1" applyBorder="1" applyAlignment="1">
      <alignment vertical="top" wrapText="1"/>
    </xf>
    <xf numFmtId="166" fontId="9" fillId="0" borderId="1" xfId="2" applyNumberFormat="1" applyFont="1" applyBorder="1" applyAlignment="1" applyProtection="1">
      <alignment horizontal="right" vertical="top"/>
    </xf>
    <xf numFmtId="0" fontId="9" fillId="0" borderId="1" xfId="0" applyFont="1" applyBorder="1" applyAlignment="1">
      <alignment vertical="top" wrapText="1"/>
    </xf>
    <xf numFmtId="166" fontId="1" fillId="0" borderId="1" xfId="1" applyNumberFormat="1" applyBorder="1">
      <protection locked="0"/>
    </xf>
    <xf numFmtId="2" fontId="9" fillId="0" borderId="1" xfId="0" applyNumberFormat="1" applyFont="1" applyBorder="1" applyAlignment="1">
      <alignment vertical="top" wrapText="1"/>
    </xf>
    <xf numFmtId="166" fontId="9" fillId="0" borderId="1" xfId="1" applyNumberFormat="1" applyFont="1" applyBorder="1" applyAlignment="1" applyProtection="1">
      <alignment vertical="top"/>
    </xf>
    <xf numFmtId="0" fontId="9" fillId="0" borderId="1" xfId="0" applyFont="1" applyBorder="1" applyAlignment="1">
      <alignment horizontal="left" vertical="top" wrapText="1"/>
    </xf>
    <xf numFmtId="2" fontId="9" fillId="0" borderId="1" xfId="0" applyNumberFormat="1" applyFont="1" applyBorder="1" applyAlignment="1">
      <alignment horizontal="left" vertical="top" wrapText="1"/>
    </xf>
    <xf numFmtId="166" fontId="3" fillId="0" borderId="1" xfId="0" applyNumberFormat="1" applyFont="1" applyBorder="1" applyAlignment="1">
      <alignment vertical="top"/>
    </xf>
    <xf numFmtId="0" fontId="3" fillId="0" borderId="1" xfId="6" applyFont="1" applyBorder="1" applyAlignment="1" applyProtection="1">
      <alignment vertical="top" wrapText="1"/>
    </xf>
    <xf numFmtId="2" fontId="3" fillId="0" borderId="1" xfId="6" applyNumberFormat="1" applyFont="1" applyBorder="1" applyAlignment="1" applyProtection="1">
      <alignment vertical="top" wrapText="1"/>
    </xf>
    <xf numFmtId="166" fontId="12" fillId="0" borderId="1" xfId="1" applyNumberFormat="1" applyFont="1" applyBorder="1">
      <protection locked="0"/>
    </xf>
    <xf numFmtId="2" fontId="3" fillId="0" borderId="1" xfId="0" applyNumberFormat="1" applyFont="1" applyBorder="1" applyAlignment="1">
      <alignment vertical="top" wrapText="1"/>
    </xf>
    <xf numFmtId="166" fontId="9" fillId="0" borderId="1" xfId="0" applyNumberFormat="1" applyFont="1" applyBorder="1" applyAlignment="1">
      <alignment vertical="top"/>
    </xf>
    <xf numFmtId="166" fontId="4" fillId="3" borderId="1" xfId="0" applyNumberFormat="1" applyFont="1" applyFill="1" applyBorder="1" applyAlignment="1">
      <alignment horizontal="right" vertical="top"/>
    </xf>
    <xf numFmtId="166" fontId="4" fillId="3" borderId="1" xfId="1" applyNumberFormat="1" applyFont="1" applyFill="1" applyBorder="1" applyAlignment="1" applyProtection="1">
      <alignment horizontal="right" vertical="top"/>
    </xf>
    <xf numFmtId="0" fontId="4" fillId="3" borderId="1" xfId="0" applyFont="1" applyFill="1" applyBorder="1" applyAlignment="1">
      <alignment horizontal="center" vertical="top" wrapText="1"/>
    </xf>
    <xf numFmtId="2" fontId="4" fillId="3" borderId="1" xfId="0" applyNumberFormat="1" applyFont="1" applyFill="1" applyBorder="1" applyAlignment="1">
      <alignment horizontal="center" vertical="top" wrapText="1"/>
    </xf>
    <xf numFmtId="166" fontId="3" fillId="0" borderId="1" xfId="1" applyNumberFormat="1" applyFont="1" applyBorder="1" applyAlignment="1" applyProtection="1">
      <alignment vertical="top"/>
    </xf>
    <xf numFmtId="49" fontId="3" fillId="0" borderId="1" xfId="1" applyNumberFormat="1" applyFont="1" applyBorder="1" applyAlignment="1" applyProtection="1">
      <alignment horizontal="left" vertical="top" wrapText="1" shrinkToFit="1"/>
    </xf>
    <xf numFmtId="166" fontId="3" fillId="0" borderId="1" xfId="1" applyNumberFormat="1" applyFont="1" applyBorder="1" applyAlignment="1" applyProtection="1">
      <alignment horizontal="left" vertical="top" wrapText="1" shrinkToFit="1"/>
    </xf>
    <xf numFmtId="166" fontId="3" fillId="0" borderId="1" xfId="1" applyNumberFormat="1" applyFont="1" applyBorder="1" applyAlignment="1" applyProtection="1">
      <alignment horizontal="right" vertical="top"/>
    </xf>
    <xf numFmtId="166" fontId="9" fillId="0" borderId="1" xfId="1" applyNumberFormat="1" applyFont="1" applyBorder="1" applyAlignment="1" applyProtection="1">
      <alignment horizontal="right" vertical="top" wrapText="1" shrinkToFit="1"/>
    </xf>
    <xf numFmtId="166" fontId="9" fillId="0" borderId="1" xfId="1" applyNumberFormat="1" applyFont="1" applyBorder="1" applyAlignment="1" applyProtection="1">
      <alignment horizontal="left" vertical="top" wrapText="1" shrinkToFit="1"/>
    </xf>
    <xf numFmtId="2" fontId="9" fillId="0" borderId="1" xfId="1" applyNumberFormat="1" applyFont="1" applyBorder="1" applyAlignment="1" applyProtection="1">
      <alignment horizontal="left" vertical="top" wrapText="1" shrinkToFit="1"/>
    </xf>
    <xf numFmtId="166" fontId="11" fillId="3" borderId="1" xfId="0" applyNumberFormat="1" applyFont="1" applyFill="1" applyBorder="1" applyAlignment="1">
      <alignment horizontal="left" vertical="top"/>
    </xf>
    <xf numFmtId="166" fontId="3" fillId="3" borderId="1" xfId="2" applyNumberFormat="1" applyFont="1" applyFill="1" applyBorder="1" applyAlignment="1" applyProtection="1">
      <alignment vertical="top"/>
    </xf>
    <xf numFmtId="166" fontId="3" fillId="0" borderId="1" xfId="2" applyNumberFormat="1" applyFont="1" applyBorder="1" applyAlignment="1" applyProtection="1">
      <alignment vertical="top"/>
    </xf>
    <xf numFmtId="166" fontId="4" fillId="3" borderId="1" xfId="1" applyNumberFormat="1" applyFont="1" applyFill="1" applyBorder="1" applyAlignment="1" applyProtection="1">
      <alignment vertical="top"/>
    </xf>
    <xf numFmtId="164" fontId="3" fillId="0" borderId="1" xfId="1" applyFont="1" applyBorder="1" applyAlignment="1" applyProtection="1">
      <alignment vertical="top"/>
    </xf>
    <xf numFmtId="2" fontId="3" fillId="0" borderId="1" xfId="0" quotePrefix="1" applyNumberFormat="1" applyFont="1" applyBorder="1" applyAlignment="1">
      <alignment horizontal="left" vertical="top" wrapText="1"/>
    </xf>
    <xf numFmtId="166" fontId="4" fillId="3" borderId="1" xfId="7" applyNumberFormat="1" applyFont="1" applyFill="1" applyBorder="1" applyAlignment="1" applyProtection="1">
      <alignment horizontal="right" vertical="top"/>
    </xf>
    <xf numFmtId="165" fontId="4" fillId="3" borderId="1" xfId="0" applyNumberFormat="1" applyFont="1" applyFill="1" applyBorder="1" applyAlignment="1">
      <alignment horizontal="center" vertical="top" wrapText="1"/>
    </xf>
    <xf numFmtId="166" fontId="9" fillId="0" borderId="1" xfId="7" applyNumberFormat="1" applyFont="1" applyBorder="1" applyAlignment="1" applyProtection="1">
      <alignment horizontal="right" vertical="top"/>
    </xf>
    <xf numFmtId="2" fontId="9" fillId="0" borderId="1" xfId="7" applyNumberFormat="1" applyFont="1" applyBorder="1" applyAlignment="1" applyProtection="1">
      <alignment horizontal="right" vertical="top"/>
    </xf>
    <xf numFmtId="166" fontId="9" fillId="0" borderId="1" xfId="0" applyNumberFormat="1" applyFont="1" applyBorder="1" applyAlignment="1">
      <alignment horizontal="right" vertical="top"/>
    </xf>
    <xf numFmtId="0" fontId="2" fillId="0" borderId="0" xfId="0" applyFont="1" applyAlignment="1">
      <alignment vertical="top"/>
    </xf>
    <xf numFmtId="0" fontId="14" fillId="5" borderId="3" xfId="0" applyFont="1" applyFill="1" applyBorder="1" applyAlignment="1">
      <alignment vertical="center" wrapText="1"/>
    </xf>
    <xf numFmtId="0" fontId="14" fillId="5" borderId="4" xfId="0" applyFont="1" applyFill="1" applyBorder="1" applyAlignment="1">
      <alignment vertical="center" wrapText="1"/>
    </xf>
    <xf numFmtId="0" fontId="16" fillId="0" borderId="6" xfId="0" applyFont="1" applyBorder="1" applyAlignment="1">
      <alignment vertical="center" wrapText="1"/>
    </xf>
    <xf numFmtId="3" fontId="16" fillId="0" borderId="6" xfId="0" applyNumberFormat="1" applyFont="1" applyBorder="1" applyAlignment="1">
      <alignment horizontal="right" vertical="center" wrapText="1"/>
    </xf>
    <xf numFmtId="0" fontId="17" fillId="6" borderId="6" xfId="0" applyFont="1" applyFill="1" applyBorder="1" applyAlignment="1">
      <alignment horizontal="right" vertical="center" wrapText="1"/>
    </xf>
    <xf numFmtId="0" fontId="16" fillId="0" borderId="6" xfId="0" applyFont="1" applyBorder="1" applyAlignment="1">
      <alignment horizontal="right" vertical="center" wrapText="1"/>
    </xf>
    <xf numFmtId="3" fontId="17" fillId="6" borderId="6" xfId="0" applyNumberFormat="1" applyFont="1" applyFill="1" applyBorder="1" applyAlignment="1">
      <alignment horizontal="right" vertical="center" wrapText="1"/>
    </xf>
    <xf numFmtId="0" fontId="17" fillId="7" borderId="6" xfId="0" applyFont="1" applyFill="1" applyBorder="1" applyAlignment="1">
      <alignment vertical="center" wrapText="1"/>
    </xf>
    <xf numFmtId="3" fontId="17" fillId="7" borderId="6" xfId="0" applyNumberFormat="1" applyFont="1" applyFill="1" applyBorder="1" applyAlignment="1">
      <alignment horizontal="right" vertical="center" wrapText="1"/>
    </xf>
    <xf numFmtId="0" fontId="15" fillId="0" borderId="8" xfId="0" applyFont="1" applyBorder="1" applyAlignment="1">
      <alignment vertical="center" wrapText="1"/>
    </xf>
    <xf numFmtId="3" fontId="14" fillId="8" borderId="6" xfId="0" applyNumberFormat="1" applyFont="1" applyFill="1" applyBorder="1" applyAlignment="1">
      <alignment horizontal="right" vertical="center" wrapText="1"/>
    </xf>
    <xf numFmtId="3" fontId="17" fillId="0" borderId="6" xfId="0" applyNumberFormat="1" applyFont="1" applyBorder="1" applyAlignment="1">
      <alignment horizontal="right" vertical="center" wrapText="1"/>
    </xf>
    <xf numFmtId="3" fontId="18" fillId="0" borderId="6" xfId="0" applyNumberFormat="1" applyFont="1" applyBorder="1" applyAlignment="1">
      <alignment horizontal="right" vertical="center" wrapText="1"/>
    </xf>
    <xf numFmtId="0" fontId="16" fillId="0" borderId="11" xfId="0" applyFont="1" applyBorder="1" applyAlignment="1">
      <alignment vertical="center" wrapText="1"/>
    </xf>
    <xf numFmtId="0" fontId="17" fillId="0" borderId="6" xfId="0" applyFont="1" applyBorder="1" applyAlignment="1">
      <alignment horizontal="right" vertical="center" wrapText="1"/>
    </xf>
    <xf numFmtId="3" fontId="18" fillId="6" borderId="6" xfId="0" applyNumberFormat="1" applyFont="1" applyFill="1" applyBorder="1" applyAlignment="1">
      <alignment horizontal="right" vertical="center" wrapText="1"/>
    </xf>
    <xf numFmtId="0" fontId="17" fillId="9" borderId="6" xfId="0" applyFont="1" applyFill="1" applyBorder="1" applyAlignment="1">
      <alignment vertical="center" wrapText="1"/>
    </xf>
    <xf numFmtId="3" fontId="17" fillId="9" borderId="6" xfId="0" applyNumberFormat="1" applyFont="1" applyFill="1" applyBorder="1" applyAlignment="1">
      <alignment horizontal="right" vertical="center" wrapText="1"/>
    </xf>
    <xf numFmtId="0" fontId="17" fillId="0" borderId="6" xfId="0" applyFont="1" applyBorder="1" applyAlignment="1">
      <alignment vertical="center" wrapText="1"/>
    </xf>
    <xf numFmtId="0" fontId="17" fillId="10" borderId="6" xfId="0" applyFont="1" applyFill="1" applyBorder="1" applyAlignment="1">
      <alignment vertical="center" wrapText="1"/>
    </xf>
    <xf numFmtId="0" fontId="14" fillId="8" borderId="6" xfId="0" applyFont="1" applyFill="1" applyBorder="1" applyAlignment="1">
      <alignment horizontal="right" vertical="center" wrapText="1"/>
    </xf>
    <xf numFmtId="0" fontId="2" fillId="0" borderId="0" xfId="0" applyFont="1" applyAlignment="1">
      <alignment vertical="top" wrapText="1"/>
    </xf>
    <xf numFmtId="3" fontId="14" fillId="11" borderId="4" xfId="0" applyNumberFormat="1" applyFont="1" applyFill="1" applyBorder="1" applyAlignment="1">
      <alignment horizontal="right" vertical="center" wrapText="1"/>
    </xf>
    <xf numFmtId="0" fontId="17" fillId="0" borderId="6" xfId="0" applyFont="1" applyBorder="1" applyAlignment="1">
      <alignment horizontal="right" vertical="center"/>
    </xf>
    <xf numFmtId="3" fontId="17" fillId="0" borderId="6" xfId="0" applyNumberFormat="1" applyFont="1" applyBorder="1" applyAlignment="1">
      <alignment horizontal="right" vertical="center"/>
    </xf>
    <xf numFmtId="3" fontId="17" fillId="6" borderId="6" xfId="0" applyNumberFormat="1" applyFont="1" applyFill="1" applyBorder="1" applyAlignment="1">
      <alignment horizontal="right" vertical="center"/>
    </xf>
    <xf numFmtId="0" fontId="17" fillId="6" borderId="6" xfId="0" applyFont="1" applyFill="1" applyBorder="1" applyAlignment="1">
      <alignment horizontal="right" vertical="center"/>
    </xf>
    <xf numFmtId="0" fontId="14" fillId="12" borderId="8" xfId="0" applyFont="1" applyFill="1" applyBorder="1" applyAlignment="1">
      <alignment vertical="center" wrapText="1"/>
    </xf>
    <xf numFmtId="0" fontId="14" fillId="12" borderId="6" xfId="0" applyFont="1" applyFill="1" applyBorder="1" applyAlignment="1">
      <alignment vertical="center" wrapText="1"/>
    </xf>
    <xf numFmtId="3" fontId="14" fillId="12" borderId="6" xfId="0" applyNumberFormat="1" applyFont="1" applyFill="1" applyBorder="1" applyAlignment="1">
      <alignment horizontal="right" vertical="center"/>
    </xf>
    <xf numFmtId="0" fontId="19" fillId="0" borderId="0" xfId="0" applyFont="1">
      <alignment vertical="center"/>
    </xf>
    <xf numFmtId="0" fontId="20" fillId="0" borderId="0" xfId="0" applyFont="1" applyAlignment="1">
      <alignment vertical="top"/>
    </xf>
    <xf numFmtId="166" fontId="21" fillId="0" borderId="0" xfId="1" applyNumberFormat="1" applyFont="1" applyAlignment="1">
      <alignment vertical="top"/>
      <protection locked="0"/>
    </xf>
    <xf numFmtId="165" fontId="21" fillId="0" borderId="0" xfId="1" applyNumberFormat="1" applyFont="1" applyAlignment="1">
      <alignment vertical="top"/>
      <protection locked="0"/>
    </xf>
    <xf numFmtId="0" fontId="22" fillId="0" borderId="1" xfId="1" applyNumberFormat="1" applyFont="1" applyBorder="1" applyAlignment="1" applyProtection="1">
      <alignment vertical="top"/>
    </xf>
    <xf numFmtId="0" fontId="23" fillId="0" borderId="1" xfId="1" applyNumberFormat="1" applyFont="1" applyBorder="1" applyAlignment="1" applyProtection="1">
      <alignment vertical="top"/>
    </xf>
    <xf numFmtId="0" fontId="23" fillId="0" borderId="0" xfId="1" applyNumberFormat="1" applyFont="1" applyAlignment="1" applyProtection="1">
      <alignment horizontal="center" vertical="top"/>
    </xf>
    <xf numFmtId="0" fontId="6" fillId="0" borderId="0" xfId="0" applyFont="1" applyAlignment="1">
      <alignment vertical="top"/>
    </xf>
    <xf numFmtId="0" fontId="24" fillId="0" borderId="0" xfId="0" applyFont="1" applyAlignment="1">
      <alignment vertical="top" wrapText="1"/>
    </xf>
    <xf numFmtId="0" fontId="25" fillId="13" borderId="1" xfId="0" applyFont="1" applyFill="1" applyBorder="1" applyAlignment="1">
      <alignment vertical="top" wrapText="1"/>
    </xf>
    <xf numFmtId="166" fontId="25" fillId="13" borderId="1" xfId="1" applyNumberFormat="1" applyFont="1" applyFill="1" applyBorder="1" applyAlignment="1">
      <alignment vertical="top" wrapText="1"/>
      <protection locked="0"/>
    </xf>
    <xf numFmtId="165" fontId="25" fillId="13" borderId="1" xfId="1" applyNumberFormat="1" applyFont="1" applyFill="1" applyBorder="1" applyAlignment="1">
      <alignment vertical="top" wrapText="1"/>
      <protection locked="0"/>
    </xf>
    <xf numFmtId="0" fontId="25" fillId="0" borderId="1" xfId="0" applyFont="1" applyBorder="1" applyAlignment="1">
      <alignment vertical="top"/>
    </xf>
    <xf numFmtId="0" fontId="26" fillId="0" borderId="1" xfId="0" applyFont="1" applyBorder="1" applyAlignment="1">
      <alignment vertical="top" wrapText="1"/>
    </xf>
    <xf numFmtId="166" fontId="27" fillId="0" borderId="1" xfId="1" applyNumberFormat="1" applyFont="1" applyBorder="1" applyAlignment="1">
      <alignment vertical="top"/>
      <protection locked="0"/>
    </xf>
    <xf numFmtId="165" fontId="27" fillId="0" borderId="1" xfId="1" applyNumberFormat="1" applyFont="1" applyBorder="1" applyAlignment="1">
      <alignment vertical="top"/>
      <protection locked="0"/>
    </xf>
    <xf numFmtId="0" fontId="26" fillId="0" borderId="1" xfId="0" applyFont="1" applyBorder="1" applyAlignment="1">
      <alignment vertical="top"/>
    </xf>
    <xf numFmtId="0" fontId="27" fillId="0" borderId="1" xfId="0" applyFont="1" applyBorder="1" applyAlignment="1">
      <alignment vertical="top"/>
    </xf>
    <xf numFmtId="0" fontId="27" fillId="0" borderId="1" xfId="0" applyFont="1" applyBorder="1" applyAlignment="1">
      <alignment vertical="top" wrapText="1"/>
    </xf>
    <xf numFmtId="0" fontId="28" fillId="0" borderId="0" xfId="0" applyFont="1" applyAlignment="1">
      <alignment vertical="top"/>
    </xf>
    <xf numFmtId="0" fontId="29" fillId="0" borderId="1" xfId="0" applyFont="1" applyBorder="1" applyAlignment="1">
      <alignment vertical="top"/>
    </xf>
    <xf numFmtId="165" fontId="30" fillId="0" borderId="1" xfId="1" applyNumberFormat="1" applyFont="1" applyBorder="1" applyAlignment="1">
      <alignment vertical="top"/>
      <protection locked="0"/>
    </xf>
    <xf numFmtId="0" fontId="31" fillId="13" borderId="0" xfId="0" applyFont="1" applyFill="1">
      <alignment vertical="center"/>
    </xf>
    <xf numFmtId="0" fontId="31" fillId="2" borderId="0" xfId="0" applyFont="1" applyFill="1">
      <alignment vertical="center"/>
    </xf>
    <xf numFmtId="0" fontId="32" fillId="0" borderId="0" xfId="0" applyFont="1" applyAlignment="1">
      <alignment vertical="top"/>
    </xf>
    <xf numFmtId="0" fontId="33" fillId="0" borderId="0" xfId="7" applyNumberFormat="1" applyFont="1" applyAlignment="1" applyProtection="1">
      <alignment horizontal="left" vertical="top" wrapText="1"/>
    </xf>
    <xf numFmtId="0" fontId="33" fillId="0" borderId="0" xfId="7" applyNumberFormat="1" applyFont="1" applyAlignment="1" applyProtection="1">
      <alignment horizontal="center" vertical="top"/>
    </xf>
    <xf numFmtId="0" fontId="34" fillId="0" borderId="0" xfId="0" applyFont="1" applyAlignment="1">
      <alignment vertical="top"/>
    </xf>
    <xf numFmtId="0" fontId="33" fillId="13" borderId="1" xfId="0" applyFont="1" applyFill="1" applyBorder="1" applyAlignment="1">
      <alignment vertical="top"/>
    </xf>
    <xf numFmtId="0" fontId="33" fillId="13" borderId="1" xfId="0" applyFont="1" applyFill="1" applyBorder="1" applyAlignment="1">
      <alignment vertical="top" wrapText="1"/>
    </xf>
    <xf numFmtId="0" fontId="35" fillId="0" borderId="1" xfId="0" applyFont="1" applyBorder="1" applyAlignment="1">
      <alignment vertical="top"/>
    </xf>
    <xf numFmtId="0" fontId="35" fillId="0" borderId="1" xfId="0" applyFont="1" applyBorder="1" applyAlignment="1">
      <alignment vertical="top" wrapText="1"/>
    </xf>
    <xf numFmtId="3" fontId="35" fillId="0" borderId="1" xfId="0" applyNumberFormat="1" applyFont="1" applyBorder="1" applyAlignment="1">
      <alignment vertical="top"/>
    </xf>
    <xf numFmtId="3" fontId="35" fillId="0" borderId="1" xfId="0" applyNumberFormat="1" applyFont="1" applyBorder="1" applyAlignment="1">
      <alignment vertical="top" wrapText="1"/>
    </xf>
    <xf numFmtId="0" fontId="36" fillId="0" borderId="1" xfId="0" applyFont="1" applyBorder="1" applyAlignment="1">
      <alignment vertical="top"/>
    </xf>
    <xf numFmtId="0" fontId="36" fillId="0" borderId="1" xfId="0" applyFont="1" applyBorder="1" applyAlignment="1">
      <alignment vertical="top" wrapText="1"/>
    </xf>
    <xf numFmtId="3" fontId="36" fillId="0" borderId="1" xfId="0" applyNumberFormat="1" applyFont="1" applyBorder="1" applyAlignment="1">
      <alignment vertical="top"/>
    </xf>
    <xf numFmtId="3" fontId="36" fillId="0" borderId="1" xfId="0" applyNumberFormat="1" applyFont="1" applyBorder="1" applyAlignment="1">
      <alignment vertical="top" wrapText="1"/>
    </xf>
    <xf numFmtId="4" fontId="36" fillId="0" borderId="1" xfId="0" applyNumberFormat="1" applyFont="1" applyBorder="1" applyAlignment="1">
      <alignment vertical="top" wrapText="1"/>
    </xf>
    <xf numFmtId="0" fontId="37" fillId="0" borderId="0" xfId="0" applyFont="1">
      <alignment vertical="center"/>
    </xf>
    <xf numFmtId="0" fontId="38" fillId="0" borderId="0" xfId="0" applyFont="1">
      <alignment vertical="center"/>
    </xf>
    <xf numFmtId="0" fontId="39" fillId="0" borderId="0" xfId="0" applyFont="1">
      <alignment vertical="center"/>
    </xf>
    <xf numFmtId="0" fontId="40" fillId="0" borderId="8" xfId="0" applyFont="1" applyBorder="1" applyAlignment="1">
      <alignment vertical="center" wrapText="1"/>
    </xf>
    <xf numFmtId="0" fontId="40" fillId="0" borderId="6" xfId="0" applyFont="1" applyBorder="1" applyAlignment="1">
      <alignment vertical="center" wrapText="1"/>
    </xf>
    <xf numFmtId="0" fontId="41" fillId="0" borderId="8" xfId="0" applyFont="1" applyBorder="1" applyAlignment="1">
      <alignment vertical="center" wrapText="1"/>
    </xf>
    <xf numFmtId="0" fontId="41" fillId="0" borderId="6" xfId="0" applyFont="1" applyBorder="1" applyAlignment="1">
      <alignment vertical="center" wrapText="1"/>
    </xf>
    <xf numFmtId="4" fontId="41" fillId="0" borderId="6" xfId="0" applyNumberFormat="1" applyFont="1" applyBorder="1" applyAlignment="1">
      <alignment vertical="center" wrapText="1"/>
    </xf>
    <xf numFmtId="0" fontId="40" fillId="0" borderId="8" xfId="0" applyFont="1" applyBorder="1">
      <alignment vertical="center"/>
    </xf>
    <xf numFmtId="0" fontId="42" fillId="0" borderId="6" xfId="0" applyFont="1" applyBorder="1">
      <alignment vertical="center"/>
    </xf>
    <xf numFmtId="4" fontId="40" fillId="0" borderId="6" xfId="0" applyNumberFormat="1" applyFont="1" applyBorder="1">
      <alignment vertical="center"/>
    </xf>
    <xf numFmtId="0" fontId="43" fillId="0" borderId="0" xfId="0" applyFont="1">
      <alignment vertical="center"/>
    </xf>
    <xf numFmtId="0" fontId="43" fillId="0" borderId="0" xfId="0" applyFont="1" applyAlignment="1">
      <alignment vertical="center" wrapText="1"/>
    </xf>
    <xf numFmtId="166" fontId="44" fillId="0" borderId="0" xfId="1" applyNumberFormat="1" applyFont="1">
      <protection locked="0"/>
    </xf>
    <xf numFmtId="0" fontId="43" fillId="14" borderId="12" xfId="0" applyFont="1" applyFill="1" applyBorder="1" applyAlignment="1">
      <alignment vertical="center" wrapText="1"/>
    </xf>
    <xf numFmtId="0" fontId="43" fillId="14" borderId="13" xfId="0" applyFont="1" applyFill="1" applyBorder="1" applyAlignment="1">
      <alignment horizontal="left" vertical="center" wrapText="1"/>
    </xf>
    <xf numFmtId="166" fontId="44" fillId="14" borderId="13" xfId="1" applyNumberFormat="1" applyFont="1" applyFill="1" applyBorder="1" applyAlignment="1">
      <alignment horizontal="left" wrapText="1"/>
      <protection locked="0"/>
    </xf>
    <xf numFmtId="0" fontId="43" fillId="14" borderId="14" xfId="0" applyFont="1" applyFill="1" applyBorder="1" applyAlignment="1">
      <alignment horizontal="left" vertical="center" wrapText="1"/>
    </xf>
    <xf numFmtId="166" fontId="43" fillId="0" borderId="0" xfId="0" applyNumberFormat="1" applyFont="1">
      <alignment vertical="center"/>
    </xf>
    <xf numFmtId="0" fontId="43" fillId="0" borderId="12" xfId="0" applyFont="1" applyBorder="1" applyAlignment="1">
      <alignment vertical="center" wrapText="1"/>
    </xf>
    <xf numFmtId="166" fontId="44" fillId="0" borderId="13" xfId="1" applyNumberFormat="1" applyFont="1" applyBorder="1">
      <protection locked="0"/>
    </xf>
    <xf numFmtId="166" fontId="43" fillId="0" borderId="14" xfId="0" applyNumberFormat="1" applyFont="1" applyBorder="1">
      <alignment vertical="center"/>
    </xf>
    <xf numFmtId="0" fontId="45" fillId="15" borderId="12" xfId="0" applyFont="1" applyFill="1" applyBorder="1" applyAlignment="1">
      <alignment vertical="center" wrapText="1"/>
    </xf>
    <xf numFmtId="166" fontId="46" fillId="15" borderId="13" xfId="1" applyNumberFormat="1" applyFont="1" applyFill="1" applyBorder="1">
      <protection locked="0"/>
    </xf>
    <xf numFmtId="166" fontId="45" fillId="15" borderId="14" xfId="0" applyNumberFormat="1" applyFont="1" applyFill="1" applyBorder="1">
      <alignment vertical="center"/>
    </xf>
    <xf numFmtId="166" fontId="44" fillId="9" borderId="13" xfId="1" applyNumberFormat="1" applyFont="1" applyFill="1" applyBorder="1">
      <protection locked="0"/>
    </xf>
    <xf numFmtId="0" fontId="47" fillId="0" borderId="0" xfId="0" applyFont="1">
      <alignment vertical="center"/>
    </xf>
    <xf numFmtId="0" fontId="47" fillId="0" borderId="12" xfId="0" applyFont="1" applyBorder="1" applyAlignment="1">
      <alignment vertical="center" wrapText="1"/>
    </xf>
    <xf numFmtId="166" fontId="48" fillId="0" borderId="13" xfId="1" applyNumberFormat="1" applyFont="1" applyBorder="1">
      <protection locked="0"/>
    </xf>
    <xf numFmtId="166" fontId="47" fillId="0" borderId="14" xfId="0" applyNumberFormat="1" applyFont="1" applyBorder="1">
      <alignment vertical="center"/>
    </xf>
    <xf numFmtId="166" fontId="43" fillId="9" borderId="0" xfId="0" applyNumberFormat="1" applyFont="1" applyFill="1">
      <alignment vertical="center"/>
    </xf>
    <xf numFmtId="166" fontId="44" fillId="9" borderId="0" xfId="1" applyNumberFormat="1" applyFont="1" applyFill="1">
      <protection locked="0"/>
    </xf>
    <xf numFmtId="168" fontId="44" fillId="0" borderId="0" xfId="1" applyNumberFormat="1" applyFont="1">
      <protection locked="0"/>
    </xf>
    <xf numFmtId="49" fontId="49" fillId="0" borderId="0" xfId="0" applyNumberFormat="1" applyFont="1" applyAlignment="1">
      <alignment horizontal="right" vertical="top"/>
    </xf>
    <xf numFmtId="0" fontId="49" fillId="0" borderId="0" xfId="0" applyFont="1" applyAlignment="1">
      <alignment horizontal="left" vertical="top"/>
    </xf>
    <xf numFmtId="0" fontId="49" fillId="0" borderId="0" xfId="0" applyFont="1" applyAlignment="1">
      <alignment vertical="top" wrapText="1"/>
    </xf>
    <xf numFmtId="169" fontId="49" fillId="0" borderId="0" xfId="1" applyNumberFormat="1" applyFont="1" applyAlignment="1" applyProtection="1">
      <alignment vertical="top"/>
    </xf>
    <xf numFmtId="169" fontId="49" fillId="0" borderId="0" xfId="0" applyNumberFormat="1" applyFont="1" applyAlignment="1">
      <alignment vertical="top" wrapText="1"/>
    </xf>
    <xf numFmtId="169" fontId="50" fillId="0" borderId="0" xfId="1" applyNumberFormat="1" applyFont="1" applyAlignment="1" applyProtection="1">
      <alignment vertical="top"/>
    </xf>
    <xf numFmtId="166" fontId="51" fillId="0" borderId="0" xfId="1" applyNumberFormat="1" applyFont="1" applyAlignment="1" applyProtection="1">
      <alignment vertical="top"/>
    </xf>
    <xf numFmtId="166" fontId="49" fillId="0" borderId="15" xfId="1" applyNumberFormat="1" applyFont="1" applyBorder="1" applyAlignment="1" applyProtection="1">
      <alignment vertical="top"/>
    </xf>
    <xf numFmtId="0" fontId="49" fillId="0" borderId="0" xfId="0" applyFont="1" applyAlignment="1">
      <alignment vertical="top"/>
    </xf>
    <xf numFmtId="169" fontId="52" fillId="0" borderId="0" xfId="1" applyNumberFormat="1" applyFont="1" applyAlignment="1" applyProtection="1">
      <alignment vertical="top"/>
    </xf>
    <xf numFmtId="0" fontId="53" fillId="0" borderId="16" xfId="1" applyNumberFormat="1" applyFont="1" applyBorder="1" applyAlignment="1" applyProtection="1">
      <alignment vertical="top"/>
    </xf>
    <xf numFmtId="0" fontId="53" fillId="0" borderId="0" xfId="1" applyNumberFormat="1" applyFont="1" applyAlignment="1" applyProtection="1">
      <alignment vertical="top"/>
    </xf>
    <xf numFmtId="49" fontId="53" fillId="0" borderId="0" xfId="0" applyNumberFormat="1" applyFont="1" applyAlignment="1">
      <alignment horizontal="left" vertical="top" wrapText="1"/>
    </xf>
    <xf numFmtId="49" fontId="53" fillId="0" borderId="1" xfId="1" applyNumberFormat="1" applyFont="1" applyBorder="1" applyAlignment="1" applyProtection="1">
      <alignment horizontal="left" vertical="top" wrapText="1"/>
    </xf>
    <xf numFmtId="49" fontId="53" fillId="0" borderId="1" xfId="0" applyNumberFormat="1" applyFont="1" applyBorder="1" applyAlignment="1">
      <alignment horizontal="left" vertical="top" wrapText="1"/>
    </xf>
    <xf numFmtId="49" fontId="53" fillId="0" borderId="14" xfId="1" applyNumberFormat="1" applyFont="1" applyBorder="1" applyAlignment="1" applyProtection="1">
      <alignment horizontal="left" vertical="top" wrapText="1"/>
    </xf>
    <xf numFmtId="49" fontId="53" fillId="2" borderId="1" xfId="1" applyNumberFormat="1" applyFont="1" applyFill="1" applyBorder="1" applyAlignment="1" applyProtection="1">
      <alignment horizontal="left" vertical="top" wrapText="1"/>
    </xf>
    <xf numFmtId="0" fontId="51" fillId="0" borderId="0" xfId="0" applyFont="1" applyAlignment="1">
      <alignment vertical="top"/>
    </xf>
    <xf numFmtId="0" fontId="51" fillId="0" borderId="1" xfId="0" applyFont="1" applyBorder="1" applyAlignment="1">
      <alignment vertical="top"/>
    </xf>
    <xf numFmtId="0" fontId="53" fillId="0" borderId="1" xfId="0" applyFont="1" applyBorder="1" applyAlignment="1">
      <alignment horizontal="left" vertical="top"/>
    </xf>
    <xf numFmtId="169" fontId="51" fillId="0" borderId="1" xfId="2" applyNumberFormat="1" applyFont="1" applyBorder="1" applyAlignment="1" applyProtection="1">
      <alignment horizontal="center" vertical="top"/>
    </xf>
    <xf numFmtId="169" fontId="53" fillId="0" borderId="1" xfId="0" applyNumberFormat="1" applyFont="1" applyBorder="1" applyAlignment="1">
      <alignment horizontal="left" vertical="top"/>
    </xf>
    <xf numFmtId="169" fontId="50" fillId="0" borderId="1" xfId="2" applyNumberFormat="1" applyFont="1" applyBorder="1" applyAlignment="1" applyProtection="1">
      <alignment horizontal="center" vertical="top"/>
    </xf>
    <xf numFmtId="166" fontId="51" fillId="0" borderId="14" xfId="2" applyNumberFormat="1" applyFont="1" applyBorder="1" applyAlignment="1" applyProtection="1">
      <alignment horizontal="center" vertical="top"/>
    </xf>
    <xf numFmtId="166" fontId="51" fillId="0" borderId="1" xfId="2" applyNumberFormat="1" applyFont="1" applyBorder="1" applyAlignment="1" applyProtection="1">
      <alignment horizontal="center" vertical="top"/>
    </xf>
    <xf numFmtId="169" fontId="52" fillId="2" borderId="1" xfId="2" applyNumberFormat="1" applyFont="1" applyFill="1" applyBorder="1" applyAlignment="1" applyProtection="1">
      <alignment horizontal="center" vertical="top"/>
    </xf>
    <xf numFmtId="0" fontId="51" fillId="0" borderId="19" xfId="0" applyFont="1" applyBorder="1" applyAlignment="1">
      <alignment vertical="top"/>
    </xf>
    <xf numFmtId="0" fontId="53" fillId="0" borderId="19" xfId="0" applyFont="1" applyBorder="1" applyAlignment="1">
      <alignment horizontal="left" vertical="top"/>
    </xf>
    <xf numFmtId="169" fontId="51" fillId="0" borderId="19" xfId="2" applyNumberFormat="1" applyFont="1" applyBorder="1" applyAlignment="1" applyProtection="1">
      <alignment horizontal="center" vertical="top"/>
    </xf>
    <xf numFmtId="169" fontId="53" fillId="0" borderId="19" xfId="0" applyNumberFormat="1" applyFont="1" applyBorder="1" applyAlignment="1">
      <alignment horizontal="left" vertical="top"/>
    </xf>
    <xf numFmtId="0" fontId="55" fillId="0" borderId="0" xfId="0" applyFont="1" applyAlignment="1">
      <alignment vertical="top"/>
    </xf>
    <xf numFmtId="0" fontId="55" fillId="0" borderId="1" xfId="0" applyFont="1" applyBorder="1" applyAlignment="1">
      <alignment vertical="top"/>
    </xf>
    <xf numFmtId="49" fontId="55" fillId="0" borderId="1" xfId="0" applyNumberFormat="1" applyFont="1" applyBorder="1" applyAlignment="1">
      <alignment horizontal="left" vertical="top"/>
    </xf>
    <xf numFmtId="0" fontId="55" fillId="0" borderId="1" xfId="0" applyFont="1" applyBorder="1" applyAlignment="1">
      <alignment horizontal="left" vertical="top"/>
    </xf>
    <xf numFmtId="169" fontId="56" fillId="0" borderId="1" xfId="2" applyNumberFormat="1" applyFont="1" applyBorder="1" applyAlignment="1" applyProtection="1">
      <alignment horizontal="left" vertical="top"/>
    </xf>
    <xf numFmtId="0" fontId="49" fillId="0" borderId="1" xfId="0" applyFont="1" applyBorder="1" applyAlignment="1">
      <alignment vertical="top"/>
    </xf>
    <xf numFmtId="49" fontId="49" fillId="0" borderId="1" xfId="0" applyNumberFormat="1" applyFont="1" applyBorder="1" applyAlignment="1">
      <alignment horizontal="left" vertical="top"/>
    </xf>
    <xf numFmtId="0" fontId="49" fillId="0" borderId="1" xfId="0" applyFont="1" applyBorder="1" applyAlignment="1">
      <alignment horizontal="left" vertical="top"/>
    </xf>
    <xf numFmtId="169" fontId="49" fillId="0" borderId="1" xfId="2" applyNumberFormat="1" applyFont="1" applyBorder="1" applyAlignment="1" applyProtection="1">
      <alignment horizontal="left" vertical="top"/>
    </xf>
    <xf numFmtId="169" fontId="49" fillId="0" borderId="1" xfId="0" applyNumberFormat="1" applyFont="1" applyBorder="1" applyAlignment="1">
      <alignment horizontal="left" vertical="top"/>
    </xf>
    <xf numFmtId="166" fontId="50" fillId="0" borderId="1" xfId="1" applyNumberFormat="1" applyFont="1" applyBorder="1" applyProtection="1"/>
    <xf numFmtId="166" fontId="49" fillId="0" borderId="1" xfId="2" applyNumberFormat="1" applyFont="1" applyBorder="1" applyAlignment="1" applyProtection="1">
      <alignment horizontal="center" vertical="top"/>
    </xf>
    <xf numFmtId="0" fontId="56" fillId="0" borderId="0" xfId="0" applyFont="1" applyAlignment="1">
      <alignment vertical="top"/>
    </xf>
    <xf numFmtId="0" fontId="56" fillId="0" borderId="1" xfId="0" applyFont="1" applyBorder="1" applyAlignment="1">
      <alignment vertical="top"/>
    </xf>
    <xf numFmtId="49" fontId="56" fillId="0" borderId="1" xfId="0" applyNumberFormat="1" applyFont="1" applyBorder="1" applyAlignment="1">
      <alignment horizontal="left" vertical="top"/>
    </xf>
    <xf numFmtId="0" fontId="56" fillId="0" borderId="1" xfId="0" applyFont="1" applyBorder="1" applyAlignment="1">
      <alignment horizontal="left" vertical="top"/>
    </xf>
    <xf numFmtId="167" fontId="49" fillId="0" borderId="1" xfId="0" applyNumberFormat="1" applyFont="1" applyBorder="1" applyAlignment="1">
      <alignment horizontal="left" vertical="top"/>
    </xf>
    <xf numFmtId="167" fontId="56" fillId="0" borderId="1" xfId="0" applyNumberFormat="1" applyFont="1" applyBorder="1" applyAlignment="1">
      <alignment horizontal="left" vertical="top" wrapText="1"/>
    </xf>
    <xf numFmtId="167" fontId="56" fillId="0" borderId="1" xfId="0" applyNumberFormat="1" applyFont="1" applyBorder="1" applyAlignment="1">
      <alignment horizontal="left" vertical="top"/>
    </xf>
    <xf numFmtId="0" fontId="57" fillId="0" borderId="0" xfId="0" applyFont="1" applyAlignment="1">
      <alignment vertical="top"/>
    </xf>
    <xf numFmtId="0" fontId="57" fillId="0" borderId="1" xfId="0" applyFont="1" applyBorder="1" applyAlignment="1">
      <alignment vertical="top"/>
    </xf>
    <xf numFmtId="49" fontId="57" fillId="0" borderId="1" xfId="0" applyNumberFormat="1" applyFont="1" applyBorder="1" applyAlignment="1">
      <alignment horizontal="left" vertical="top"/>
    </xf>
    <xf numFmtId="167" fontId="57" fillId="0" borderId="1" xfId="0" applyNumberFormat="1" applyFont="1" applyBorder="1" applyAlignment="1">
      <alignment horizontal="left" vertical="top"/>
    </xf>
    <xf numFmtId="169" fontId="57" fillId="0" borderId="1" xfId="0" applyNumberFormat="1" applyFont="1" applyBorder="1" applyAlignment="1">
      <alignment horizontal="left" vertical="top"/>
    </xf>
    <xf numFmtId="166" fontId="57" fillId="0" borderId="1" xfId="2" applyNumberFormat="1" applyFont="1" applyBorder="1" applyAlignment="1" applyProtection="1">
      <alignment horizontal="center" vertical="top"/>
    </xf>
    <xf numFmtId="0" fontId="58" fillId="0" borderId="0" xfId="0" applyFont="1" applyAlignment="1">
      <alignment vertical="top"/>
    </xf>
    <xf numFmtId="166" fontId="49" fillId="0" borderId="1" xfId="0" applyNumberFormat="1" applyFont="1" applyBorder="1" applyAlignment="1">
      <alignment horizontal="left" vertical="top"/>
    </xf>
    <xf numFmtId="0" fontId="49" fillId="0" borderId="20" xfId="0" applyFont="1" applyBorder="1" applyAlignment="1">
      <alignment vertical="top"/>
    </xf>
    <xf numFmtId="49" fontId="49" fillId="0" borderId="20" xfId="0" applyNumberFormat="1" applyFont="1" applyBorder="1" applyAlignment="1">
      <alignment horizontal="left" vertical="top"/>
    </xf>
    <xf numFmtId="167" fontId="49" fillId="0" borderId="20" xfId="0" applyNumberFormat="1" applyFont="1" applyBorder="1" applyAlignment="1">
      <alignment horizontal="left" vertical="top"/>
    </xf>
    <xf numFmtId="169" fontId="49" fillId="0" borderId="20" xfId="2" applyNumberFormat="1" applyFont="1" applyBorder="1" applyAlignment="1" applyProtection="1">
      <alignment horizontal="left" vertical="top"/>
    </xf>
    <xf numFmtId="0" fontId="58" fillId="0" borderId="1" xfId="0" applyFont="1" applyBorder="1" applyAlignment="1">
      <alignment vertical="top"/>
    </xf>
    <xf numFmtId="166" fontId="49" fillId="0" borderId="14" xfId="2" applyNumberFormat="1" applyFont="1" applyBorder="1" applyAlignment="1" applyProtection="1">
      <alignment horizontal="center" vertical="top"/>
    </xf>
    <xf numFmtId="0" fontId="56" fillId="0" borderId="19" xfId="0" applyFont="1" applyBorder="1" applyAlignment="1">
      <alignment vertical="top"/>
    </xf>
    <xf numFmtId="49" fontId="56" fillId="0" borderId="19" xfId="0" applyNumberFormat="1" applyFont="1" applyBorder="1" applyAlignment="1">
      <alignment horizontal="left" vertical="top"/>
    </xf>
    <xf numFmtId="167" fontId="56" fillId="0" borderId="19" xfId="0" applyNumberFormat="1" applyFont="1" applyBorder="1" applyAlignment="1">
      <alignment horizontal="left" vertical="top"/>
    </xf>
    <xf numFmtId="169" fontId="56" fillId="0" borderId="19" xfId="2" applyNumberFormat="1" applyFont="1" applyBorder="1" applyAlignment="1" applyProtection="1">
      <alignment horizontal="left" vertical="top"/>
    </xf>
    <xf numFmtId="166" fontId="56" fillId="0" borderId="1" xfId="1" applyNumberFormat="1" applyFont="1" applyBorder="1" applyAlignment="1" applyProtection="1">
      <alignment horizontal="left" vertical="top"/>
    </xf>
    <xf numFmtId="167" fontId="49" fillId="0" borderId="1" xfId="0" quotePrefix="1" applyNumberFormat="1" applyFont="1" applyBorder="1" applyAlignment="1">
      <alignment horizontal="left" vertical="top"/>
    </xf>
    <xf numFmtId="169" fontId="49" fillId="0" borderId="1" xfId="0" quotePrefix="1" applyNumberFormat="1" applyFont="1" applyBorder="1" applyAlignment="1">
      <alignment horizontal="left" vertical="top"/>
    </xf>
    <xf numFmtId="0" fontId="49" fillId="9" borderId="0" xfId="0" applyFont="1" applyFill="1" applyAlignment="1">
      <alignment vertical="top"/>
    </xf>
    <xf numFmtId="0" fontId="49" fillId="9" borderId="1" xfId="0" applyFont="1" applyFill="1" applyBorder="1" applyAlignment="1">
      <alignment vertical="top"/>
    </xf>
    <xf numFmtId="49" fontId="49" fillId="9" borderId="1" xfId="0" applyNumberFormat="1" applyFont="1" applyFill="1" applyBorder="1" applyAlignment="1">
      <alignment horizontal="left" vertical="top"/>
    </xf>
    <xf numFmtId="167" fontId="49" fillId="9" borderId="1" xfId="0" applyNumberFormat="1" applyFont="1" applyFill="1" applyBorder="1" applyAlignment="1">
      <alignment horizontal="left" vertical="top"/>
    </xf>
    <xf numFmtId="169" fontId="49" fillId="9" borderId="1" xfId="0" applyNumberFormat="1" applyFont="1" applyFill="1" applyBorder="1" applyAlignment="1">
      <alignment horizontal="left" vertical="top"/>
    </xf>
    <xf numFmtId="169" fontId="53" fillId="9" borderId="19" xfId="0" applyNumberFormat="1" applyFont="1" applyFill="1" applyBorder="1" applyAlignment="1">
      <alignment horizontal="left" vertical="top"/>
    </xf>
    <xf numFmtId="166" fontId="50" fillId="9" borderId="1" xfId="1" applyNumberFormat="1" applyFont="1" applyFill="1" applyBorder="1" applyProtection="1"/>
    <xf numFmtId="169" fontId="50" fillId="9" borderId="1" xfId="2" applyNumberFormat="1" applyFont="1" applyFill="1" applyBorder="1" applyAlignment="1" applyProtection="1">
      <alignment horizontal="center" vertical="top"/>
    </xf>
    <xf numFmtId="166" fontId="49" fillId="9" borderId="1" xfId="2" applyNumberFormat="1" applyFont="1" applyFill="1" applyBorder="1" applyAlignment="1" applyProtection="1">
      <alignment horizontal="center" vertical="top"/>
    </xf>
    <xf numFmtId="169" fontId="49" fillId="9" borderId="0" xfId="0" applyNumberFormat="1" applyFont="1" applyFill="1" applyAlignment="1">
      <alignment vertical="top"/>
    </xf>
    <xf numFmtId="49" fontId="56" fillId="0" borderId="1" xfId="0" quotePrefix="1" applyNumberFormat="1" applyFont="1" applyBorder="1" applyAlignment="1">
      <alignment horizontal="left" vertical="top"/>
    </xf>
    <xf numFmtId="0" fontId="56" fillId="0" borderId="20" xfId="0" applyFont="1" applyBorder="1" applyAlignment="1">
      <alignment vertical="top"/>
    </xf>
    <xf numFmtId="49" fontId="56" fillId="0" borderId="20" xfId="0" applyNumberFormat="1" applyFont="1" applyBorder="1" applyAlignment="1">
      <alignment horizontal="left" vertical="top"/>
    </xf>
    <xf numFmtId="167" fontId="56" fillId="0" borderId="20" xfId="0" applyNumberFormat="1" applyFont="1" applyBorder="1" applyAlignment="1">
      <alignment horizontal="left" vertical="top"/>
    </xf>
    <xf numFmtId="169" fontId="56" fillId="0" borderId="20" xfId="2" applyNumberFormat="1" applyFont="1" applyBorder="1" applyAlignment="1" applyProtection="1">
      <alignment horizontal="left" vertical="top"/>
    </xf>
    <xf numFmtId="169" fontId="56" fillId="0" borderId="19" xfId="0" applyNumberFormat="1" applyFont="1" applyBorder="1" applyAlignment="1">
      <alignment horizontal="left" vertical="top"/>
    </xf>
    <xf numFmtId="166" fontId="56" fillId="0" borderId="1" xfId="0" applyNumberFormat="1" applyFont="1" applyBorder="1" applyAlignment="1">
      <alignment horizontal="left" vertical="top"/>
    </xf>
    <xf numFmtId="0" fontId="51" fillId="0" borderId="1" xfId="0" applyFont="1" applyBorder="1" applyAlignment="1">
      <alignment horizontal="left" vertical="top"/>
    </xf>
    <xf numFmtId="167" fontId="53" fillId="0" borderId="1" xfId="0" applyNumberFormat="1" applyFont="1" applyBorder="1" applyAlignment="1">
      <alignment horizontal="left" vertical="top"/>
    </xf>
    <xf numFmtId="169" fontId="56" fillId="0" borderId="1" xfId="2" applyNumberFormat="1" applyFont="1" applyBorder="1" applyAlignment="1" applyProtection="1">
      <alignment horizontal="center" vertical="top"/>
    </xf>
    <xf numFmtId="169" fontId="49" fillId="0" borderId="1" xfId="2" applyNumberFormat="1" applyFont="1" applyBorder="1" applyAlignment="1" applyProtection="1">
      <alignment horizontal="center" vertical="top"/>
    </xf>
    <xf numFmtId="169" fontId="56" fillId="0" borderId="1" xfId="0" applyNumberFormat="1" applyFont="1" applyBorder="1" applyAlignment="1">
      <alignment horizontal="left" vertical="top"/>
    </xf>
    <xf numFmtId="170" fontId="49" fillId="0" borderId="1" xfId="0" applyNumberFormat="1" applyFont="1" applyBorder="1" applyAlignment="1">
      <alignment horizontal="left" vertical="top"/>
    </xf>
    <xf numFmtId="170" fontId="56" fillId="0" borderId="1" xfId="0" applyNumberFormat="1" applyFont="1" applyBorder="1" applyAlignment="1">
      <alignment horizontal="left" vertical="top"/>
    </xf>
    <xf numFmtId="169" fontId="49" fillId="0" borderId="1" xfId="0" applyNumberFormat="1" applyFont="1" applyBorder="1" applyAlignment="1">
      <alignment vertical="top"/>
    </xf>
    <xf numFmtId="0" fontId="49" fillId="0" borderId="19" xfId="0" applyFont="1" applyBorder="1" applyAlignment="1">
      <alignment vertical="top"/>
    </xf>
    <xf numFmtId="49" fontId="49" fillId="0" borderId="19" xfId="0" applyNumberFormat="1" applyFont="1" applyBorder="1" applyAlignment="1">
      <alignment horizontal="left" vertical="top"/>
    </xf>
    <xf numFmtId="167" fontId="49" fillId="0" borderId="19" xfId="0" applyNumberFormat="1" applyFont="1" applyBorder="1" applyAlignment="1">
      <alignment horizontal="left" vertical="top"/>
    </xf>
    <xf numFmtId="169" fontId="49" fillId="0" borderId="19" xfId="2" applyNumberFormat="1" applyFont="1" applyBorder="1" applyAlignment="1" applyProtection="1">
      <alignment horizontal="left" vertical="top"/>
    </xf>
    <xf numFmtId="169" fontId="49" fillId="0" borderId="19" xfId="0" applyNumberFormat="1" applyFont="1" applyBorder="1" applyAlignment="1">
      <alignment horizontal="left" vertical="top"/>
    </xf>
    <xf numFmtId="166" fontId="56" fillId="0" borderId="1" xfId="2" applyNumberFormat="1" applyFont="1" applyBorder="1" applyAlignment="1" applyProtection="1">
      <alignment horizontal="center" vertical="top"/>
    </xf>
    <xf numFmtId="0" fontId="55" fillId="0" borderId="1" xfId="8" applyFont="1" applyBorder="1" applyAlignment="1" applyProtection="1">
      <alignment horizontal="left" vertical="top"/>
    </xf>
    <xf numFmtId="169" fontId="56" fillId="0" borderId="1" xfId="0" applyNumberFormat="1" applyFont="1" applyBorder="1" applyAlignment="1">
      <alignment vertical="top"/>
    </xf>
    <xf numFmtId="0" fontId="57" fillId="0" borderId="1" xfId="8" applyFont="1" applyBorder="1" applyAlignment="1" applyProtection="1">
      <alignment horizontal="left" vertical="top"/>
    </xf>
    <xf numFmtId="169" fontId="57" fillId="0" borderId="1" xfId="8" applyNumberFormat="1" applyFont="1" applyBorder="1" applyAlignment="1" applyProtection="1">
      <alignment horizontal="left" vertical="top"/>
    </xf>
    <xf numFmtId="167" fontId="55" fillId="0" borderId="1" xfId="0" applyNumberFormat="1" applyFont="1" applyBorder="1" applyAlignment="1">
      <alignment horizontal="left" vertical="top"/>
    </xf>
    <xf numFmtId="0" fontId="49" fillId="0" borderId="1" xfId="2" applyNumberFormat="1" applyFont="1" applyBorder="1" applyAlignment="1" applyProtection="1">
      <alignment horizontal="left" vertical="top"/>
    </xf>
    <xf numFmtId="164" fontId="49" fillId="0" borderId="1" xfId="2" applyFont="1" applyBorder="1" applyAlignment="1" applyProtection="1">
      <alignment horizontal="left" vertical="top"/>
    </xf>
    <xf numFmtId="0" fontId="56" fillId="0" borderId="1" xfId="2" applyNumberFormat="1" applyFont="1" applyBorder="1" applyAlignment="1" applyProtection="1">
      <alignment horizontal="left" vertical="top"/>
    </xf>
    <xf numFmtId="164" fontId="56" fillId="0" borderId="1" xfId="2" applyFont="1" applyBorder="1" applyAlignment="1" applyProtection="1">
      <alignment horizontal="left" vertical="top"/>
    </xf>
    <xf numFmtId="0" fontId="57" fillId="0" borderId="1" xfId="0" applyFont="1" applyBorder="1" applyAlignment="1">
      <alignment horizontal="left" vertical="top"/>
    </xf>
    <xf numFmtId="169" fontId="57" fillId="0" borderId="1" xfId="0" applyNumberFormat="1" applyFont="1" applyBorder="1" applyAlignment="1">
      <alignment vertical="top"/>
    </xf>
    <xf numFmtId="167" fontId="51" fillId="0" borderId="1" xfId="0" applyNumberFormat="1" applyFont="1" applyBorder="1" applyAlignment="1">
      <alignment horizontal="left" vertical="top"/>
    </xf>
    <xf numFmtId="49" fontId="51" fillId="0" borderId="1" xfId="9" applyNumberFormat="1" applyFont="1" applyBorder="1" applyAlignment="1" applyProtection="1">
      <alignment horizontal="right" vertical="top"/>
    </xf>
    <xf numFmtId="167" fontId="53" fillId="0" borderId="1" xfId="9" applyNumberFormat="1" applyFont="1" applyBorder="1" applyAlignment="1" applyProtection="1">
      <alignment vertical="top"/>
    </xf>
    <xf numFmtId="169" fontId="49" fillId="0" borderId="1" xfId="9" applyNumberFormat="1" applyFont="1" applyBorder="1" applyAlignment="1" applyProtection="1">
      <alignment vertical="top"/>
    </xf>
    <xf numFmtId="169" fontId="53" fillId="0" borderId="1" xfId="9" applyNumberFormat="1" applyFont="1" applyBorder="1" applyAlignment="1" applyProtection="1">
      <alignment vertical="top"/>
    </xf>
    <xf numFmtId="49" fontId="57" fillId="0" borderId="1" xfId="9" applyNumberFormat="1" applyFont="1" applyBorder="1" applyAlignment="1" applyProtection="1">
      <alignment horizontal="right" vertical="top"/>
    </xf>
    <xf numFmtId="169" fontId="56" fillId="0" borderId="1" xfId="9" applyNumberFormat="1" applyFont="1" applyBorder="1" applyAlignment="1" applyProtection="1">
      <alignment vertical="top"/>
    </xf>
    <xf numFmtId="49" fontId="55" fillId="0" borderId="1" xfId="9" applyNumberFormat="1" applyFont="1" applyBorder="1" applyAlignment="1" applyProtection="1">
      <alignment horizontal="right" vertical="top"/>
    </xf>
    <xf numFmtId="49" fontId="55" fillId="0" borderId="1" xfId="9" applyNumberFormat="1" applyFont="1" applyBorder="1" applyAlignment="1" applyProtection="1">
      <alignment horizontal="left" vertical="top"/>
    </xf>
    <xf numFmtId="167" fontId="55" fillId="0" borderId="1" xfId="9" applyNumberFormat="1" applyFont="1" applyBorder="1" applyAlignment="1" applyProtection="1">
      <alignment horizontal="left" vertical="top"/>
    </xf>
    <xf numFmtId="49" fontId="57" fillId="0" borderId="1" xfId="9" applyNumberFormat="1" applyFont="1" applyBorder="1" applyAlignment="1" applyProtection="1">
      <alignment horizontal="left" vertical="top"/>
    </xf>
    <xf numFmtId="167" fontId="57" fillId="0" borderId="1" xfId="9" applyNumberFormat="1" applyFont="1" applyBorder="1" applyAlignment="1" applyProtection="1">
      <alignment horizontal="left" vertical="top"/>
    </xf>
    <xf numFmtId="169" fontId="57" fillId="0" borderId="1" xfId="9" applyNumberFormat="1" applyFont="1" applyBorder="1" applyAlignment="1" applyProtection="1">
      <alignment horizontal="left" vertical="top"/>
    </xf>
    <xf numFmtId="49" fontId="49" fillId="0" borderId="1" xfId="9" applyNumberFormat="1" applyFont="1" applyBorder="1" applyAlignment="1" applyProtection="1">
      <alignment horizontal="left" vertical="top"/>
    </xf>
    <xf numFmtId="167" fontId="49" fillId="0" borderId="1" xfId="9" applyNumberFormat="1" applyFont="1" applyBorder="1" applyAlignment="1" applyProtection="1">
      <alignment vertical="top"/>
    </xf>
    <xf numFmtId="169" fontId="49" fillId="0" borderId="1" xfId="1" applyNumberFormat="1" applyFont="1" applyBorder="1" applyAlignment="1" applyProtection="1">
      <alignment vertical="top"/>
    </xf>
    <xf numFmtId="0" fontId="55" fillId="0" borderId="1" xfId="9" applyFont="1" applyBorder="1" applyAlignment="1" applyProtection="1">
      <alignment horizontal="left" vertical="top"/>
    </xf>
    <xf numFmtId="0" fontId="55" fillId="0" borderId="1" xfId="9" applyFont="1" applyBorder="1" applyAlignment="1" applyProtection="1">
      <alignment vertical="top"/>
    </xf>
    <xf numFmtId="0" fontId="57" fillId="0" borderId="1" xfId="9" applyFont="1" applyBorder="1" applyAlignment="1" applyProtection="1">
      <alignment horizontal="left" vertical="top"/>
    </xf>
    <xf numFmtId="0" fontId="57" fillId="0" borderId="1" xfId="9" applyFont="1" applyBorder="1" applyAlignment="1" applyProtection="1">
      <alignment vertical="top"/>
    </xf>
    <xf numFmtId="169" fontId="57" fillId="0" borderId="1" xfId="9" applyNumberFormat="1" applyFont="1" applyBorder="1" applyAlignment="1" applyProtection="1">
      <alignment vertical="top"/>
    </xf>
    <xf numFmtId="49" fontId="56" fillId="0" borderId="1" xfId="9" applyNumberFormat="1" applyFont="1" applyBorder="1" applyAlignment="1" applyProtection="1">
      <alignment horizontal="left" vertical="top"/>
    </xf>
    <xf numFmtId="167" fontId="56" fillId="0" borderId="1" xfId="9" applyNumberFormat="1" applyFont="1" applyBorder="1" applyAlignment="1" applyProtection="1">
      <alignment horizontal="left" vertical="top"/>
    </xf>
    <xf numFmtId="169" fontId="56" fillId="0" borderId="1" xfId="9" applyNumberFormat="1" applyFont="1" applyBorder="1" applyAlignment="1" applyProtection="1">
      <alignment horizontal="left" vertical="top"/>
    </xf>
    <xf numFmtId="166" fontId="56" fillId="0" borderId="1" xfId="9" applyNumberFormat="1" applyFont="1" applyBorder="1" applyAlignment="1" applyProtection="1">
      <alignment horizontal="left" vertical="top"/>
    </xf>
    <xf numFmtId="167" fontId="49" fillId="0" borderId="1" xfId="9" applyNumberFormat="1" applyFont="1" applyBorder="1" applyAlignment="1" applyProtection="1">
      <alignment horizontal="left" vertical="top"/>
    </xf>
    <xf numFmtId="169" fontId="49" fillId="0" borderId="1" xfId="9" applyNumberFormat="1" applyFont="1" applyBorder="1" applyAlignment="1" applyProtection="1">
      <alignment horizontal="left" vertical="top"/>
    </xf>
    <xf numFmtId="169" fontId="55" fillId="0" borderId="1" xfId="9" applyNumberFormat="1" applyFont="1" applyBorder="1" applyAlignment="1" applyProtection="1">
      <alignment horizontal="left" vertical="top"/>
    </xf>
    <xf numFmtId="3" fontId="56" fillId="0" borderId="1" xfId="9" applyNumberFormat="1" applyFont="1" applyBorder="1" applyAlignment="1" applyProtection="1">
      <alignment vertical="top"/>
    </xf>
    <xf numFmtId="49" fontId="57" fillId="0" borderId="1" xfId="0" applyNumberFormat="1" applyFont="1" applyBorder="1" applyAlignment="1">
      <alignment horizontal="right" vertical="top"/>
    </xf>
    <xf numFmtId="167" fontId="53" fillId="0" borderId="1" xfId="0" applyNumberFormat="1" applyFont="1" applyBorder="1" applyAlignment="1">
      <alignment vertical="top"/>
    </xf>
    <xf numFmtId="169" fontId="53" fillId="0" borderId="1" xfId="0" applyNumberFormat="1" applyFont="1" applyBorder="1" applyAlignment="1">
      <alignment vertical="top"/>
    </xf>
    <xf numFmtId="0" fontId="53" fillId="0" borderId="1" xfId="8" applyFont="1" applyBorder="1" applyAlignment="1" applyProtection="1">
      <alignment horizontal="left" vertical="top"/>
    </xf>
    <xf numFmtId="3" fontId="56" fillId="0" borderId="1" xfId="0" applyNumberFormat="1" applyFont="1" applyBorder="1" applyAlignment="1">
      <alignment vertical="top"/>
    </xf>
    <xf numFmtId="167" fontId="55" fillId="0" borderId="1" xfId="9" applyNumberFormat="1" applyFont="1" applyBorder="1" applyAlignment="1" applyProtection="1">
      <alignment vertical="top"/>
    </xf>
    <xf numFmtId="169" fontId="55" fillId="0" borderId="1" xfId="9" applyNumberFormat="1" applyFont="1" applyBorder="1" applyAlignment="1" applyProtection="1">
      <alignment vertical="top"/>
    </xf>
    <xf numFmtId="167" fontId="53" fillId="0" borderId="1" xfId="9" applyNumberFormat="1" applyFont="1" applyBorder="1" applyAlignment="1" applyProtection="1">
      <alignment horizontal="left" vertical="top"/>
    </xf>
    <xf numFmtId="0" fontId="49" fillId="0" borderId="1" xfId="9" applyFont="1" applyBorder="1" applyAlignment="1" applyProtection="1">
      <alignment horizontal="left" vertical="top"/>
    </xf>
    <xf numFmtId="0" fontId="53" fillId="0" borderId="1" xfId="9" applyFont="1" applyBorder="1" applyAlignment="1" applyProtection="1">
      <alignment horizontal="left" vertical="top"/>
    </xf>
    <xf numFmtId="0" fontId="53" fillId="0" borderId="0" xfId="0" applyFont="1" applyAlignment="1">
      <alignment vertical="top"/>
    </xf>
    <xf numFmtId="0" fontId="53" fillId="0" borderId="1" xfId="0" applyFont="1" applyBorder="1" applyAlignment="1">
      <alignment vertical="top"/>
    </xf>
    <xf numFmtId="169" fontId="53" fillId="0" borderId="1" xfId="9" applyNumberFormat="1" applyFont="1" applyBorder="1" applyAlignment="1" applyProtection="1">
      <alignment horizontal="left" vertical="top"/>
    </xf>
    <xf numFmtId="170" fontId="56" fillId="0" borderId="1" xfId="0" quotePrefix="1" applyNumberFormat="1" applyFont="1" applyBorder="1" applyAlignment="1">
      <alignment horizontal="left" vertical="top"/>
    </xf>
    <xf numFmtId="169" fontId="56" fillId="0" borderId="1" xfId="0" quotePrefix="1" applyNumberFormat="1" applyFont="1" applyBorder="1" applyAlignment="1">
      <alignment horizontal="left" vertical="top"/>
    </xf>
    <xf numFmtId="166" fontId="56" fillId="0" borderId="1" xfId="2" applyNumberFormat="1" applyFont="1" applyBorder="1" applyAlignment="1" applyProtection="1">
      <alignment horizontal="left" vertical="top"/>
    </xf>
    <xf numFmtId="170" fontId="49" fillId="0" borderId="1" xfId="0" quotePrefix="1" applyNumberFormat="1" applyFont="1" applyBorder="1" applyAlignment="1">
      <alignment horizontal="left" vertical="top"/>
    </xf>
    <xf numFmtId="49" fontId="56" fillId="0" borderId="1" xfId="0" applyNumberFormat="1" applyFont="1" applyBorder="1" applyAlignment="1" applyProtection="1">
      <alignment horizontal="left" vertical="top"/>
      <protection locked="0"/>
    </xf>
    <xf numFmtId="167" fontId="56" fillId="0" borderId="1" xfId="0" applyNumberFormat="1" applyFont="1" applyBorder="1" applyAlignment="1" applyProtection="1">
      <alignment horizontal="left" vertical="top"/>
      <protection locked="0"/>
    </xf>
    <xf numFmtId="49" fontId="49" fillId="0" borderId="1" xfId="0" applyNumberFormat="1" applyFont="1" applyBorder="1" applyAlignment="1" applyProtection="1">
      <alignment horizontal="left" vertical="top"/>
      <protection locked="0"/>
    </xf>
    <xf numFmtId="167" fontId="49" fillId="0" borderId="1" xfId="0" applyNumberFormat="1" applyFont="1" applyBorder="1" applyAlignment="1" applyProtection="1">
      <alignment horizontal="left" vertical="top"/>
      <protection locked="0"/>
    </xf>
    <xf numFmtId="169" fontId="49" fillId="0" borderId="1" xfId="0" applyNumberFormat="1" applyFont="1" applyBorder="1" applyAlignment="1" applyProtection="1">
      <alignment horizontal="left" vertical="top"/>
      <protection locked="0"/>
    </xf>
    <xf numFmtId="169" fontId="49" fillId="0" borderId="1" xfId="2" applyNumberFormat="1" applyFont="1" applyBorder="1" applyAlignment="1">
      <alignment horizontal="left" vertical="top"/>
      <protection locked="0"/>
    </xf>
    <xf numFmtId="169" fontId="55" fillId="0" borderId="1" xfId="0" applyNumberFormat="1" applyFont="1" applyBorder="1" applyAlignment="1">
      <alignment horizontal="left" vertical="top"/>
    </xf>
    <xf numFmtId="167" fontId="55" fillId="0" borderId="1" xfId="0" applyNumberFormat="1" applyFont="1" applyBorder="1" applyAlignment="1">
      <alignment vertical="top"/>
    </xf>
    <xf numFmtId="169" fontId="55" fillId="0" borderId="1" xfId="0" applyNumberFormat="1" applyFont="1" applyBorder="1" applyAlignment="1">
      <alignment vertical="top"/>
    </xf>
    <xf numFmtId="169" fontId="55" fillId="0" borderId="1" xfId="2" applyNumberFormat="1" applyFont="1" applyBorder="1" applyAlignment="1" applyProtection="1">
      <alignment horizontal="left" vertical="top"/>
    </xf>
    <xf numFmtId="166" fontId="50" fillId="0" borderId="1" xfId="1" applyNumberFormat="1" applyFont="1" applyBorder="1" applyAlignment="1" applyProtection="1">
      <alignment horizontal="left"/>
    </xf>
    <xf numFmtId="166" fontId="49" fillId="0" borderId="1" xfId="2" applyNumberFormat="1" applyFont="1" applyBorder="1" applyAlignment="1" applyProtection="1">
      <alignment horizontal="left" vertical="top"/>
    </xf>
    <xf numFmtId="167" fontId="57" fillId="0" borderId="1" xfId="0" applyNumberFormat="1" applyFont="1" applyBorder="1" applyAlignment="1">
      <alignment vertical="top"/>
    </xf>
    <xf numFmtId="0" fontId="55" fillId="0" borderId="1" xfId="5" applyNumberFormat="1" applyFont="1" applyBorder="1" applyAlignment="1" applyProtection="1">
      <alignment horizontal="left" vertical="top"/>
    </xf>
    <xf numFmtId="165" fontId="55" fillId="0" borderId="1" xfId="0" applyNumberFormat="1" applyFont="1" applyBorder="1" applyAlignment="1">
      <alignment horizontal="left" vertical="top"/>
    </xf>
    <xf numFmtId="0" fontId="57" fillId="0" borderId="1" xfId="5" applyNumberFormat="1" applyFont="1" applyBorder="1" applyAlignment="1" applyProtection="1">
      <alignment horizontal="left" vertical="top"/>
    </xf>
    <xf numFmtId="165" fontId="57" fillId="0" borderId="1" xfId="0" applyNumberFormat="1" applyFont="1" applyBorder="1" applyAlignment="1">
      <alignment horizontal="left" vertical="top"/>
    </xf>
    <xf numFmtId="166" fontId="57" fillId="0" borderId="1" xfId="1" applyNumberFormat="1" applyFont="1" applyBorder="1" applyAlignment="1" applyProtection="1">
      <alignment horizontal="left" vertical="top"/>
    </xf>
    <xf numFmtId="166" fontId="49" fillId="0" borderId="1" xfId="0" applyNumberFormat="1" applyFont="1" applyBorder="1" applyAlignment="1">
      <alignment vertical="top"/>
    </xf>
    <xf numFmtId="169" fontId="55" fillId="0" borderId="1" xfId="2" applyNumberFormat="1" applyFont="1" applyBorder="1" applyAlignment="1" applyProtection="1">
      <alignment vertical="top"/>
    </xf>
    <xf numFmtId="49" fontId="57" fillId="0" borderId="1" xfId="0" applyNumberFormat="1" applyFont="1" applyBorder="1" applyAlignment="1">
      <alignment vertical="top"/>
    </xf>
    <xf numFmtId="166" fontId="56" fillId="0" borderId="1" xfId="0" applyNumberFormat="1" applyFont="1" applyBorder="1" applyAlignment="1">
      <alignment vertical="top"/>
    </xf>
    <xf numFmtId="49" fontId="55" fillId="0" borderId="1" xfId="0" applyNumberFormat="1" applyFont="1" applyBorder="1" applyAlignment="1">
      <alignment vertical="top"/>
    </xf>
    <xf numFmtId="166" fontId="55" fillId="0" borderId="1" xfId="0" applyNumberFormat="1" applyFont="1" applyBorder="1" applyAlignment="1">
      <alignment vertical="top"/>
    </xf>
    <xf numFmtId="169" fontId="57" fillId="0" borderId="1" xfId="2" applyNumberFormat="1" applyFont="1" applyBorder="1" applyAlignment="1" applyProtection="1">
      <alignment horizontal="left" vertical="top"/>
    </xf>
    <xf numFmtId="166" fontId="55" fillId="0" borderId="1" xfId="1" applyNumberFormat="1" applyFont="1" applyBorder="1" applyAlignment="1" applyProtection="1">
      <alignment horizontal="left" vertical="top"/>
    </xf>
    <xf numFmtId="166" fontId="55" fillId="0" borderId="1" xfId="2" applyNumberFormat="1" applyFont="1" applyBorder="1" applyAlignment="1" applyProtection="1">
      <alignment horizontal="left" vertical="top"/>
    </xf>
    <xf numFmtId="167" fontId="57" fillId="0" borderId="1" xfId="0" quotePrefix="1" applyNumberFormat="1" applyFont="1" applyBorder="1" applyAlignment="1">
      <alignment horizontal="left" vertical="top"/>
    </xf>
    <xf numFmtId="169" fontId="57" fillId="0" borderId="1" xfId="0" quotePrefix="1" applyNumberFormat="1" applyFont="1" applyBorder="1" applyAlignment="1">
      <alignment horizontal="left" vertical="top"/>
    </xf>
    <xf numFmtId="169" fontId="55" fillId="0" borderId="20" xfId="2" applyNumberFormat="1" applyFont="1" applyBorder="1" applyAlignment="1" applyProtection="1">
      <alignment horizontal="left" vertical="top"/>
    </xf>
    <xf numFmtId="0" fontId="57" fillId="0" borderId="20" xfId="0" applyFont="1" applyBorder="1" applyAlignment="1">
      <alignment vertical="top"/>
    </xf>
    <xf numFmtId="49" fontId="55" fillId="0" borderId="20" xfId="0" applyNumberFormat="1" applyFont="1" applyBorder="1" applyAlignment="1">
      <alignment horizontal="left" vertical="top"/>
    </xf>
    <xf numFmtId="167" fontId="55" fillId="0" borderId="20" xfId="0" applyNumberFormat="1" applyFont="1" applyBorder="1" applyAlignment="1">
      <alignment vertical="top"/>
    </xf>
    <xf numFmtId="0" fontId="49" fillId="0" borderId="0" xfId="0" applyFont="1" applyAlignment="1">
      <alignment horizontal="center" vertical="top"/>
    </xf>
    <xf numFmtId="0" fontId="57" fillId="0" borderId="1" xfId="0" applyFont="1" applyBorder="1" applyAlignment="1">
      <alignment horizontal="center" vertical="top"/>
    </xf>
    <xf numFmtId="49" fontId="57" fillId="0" borderId="1" xfId="0" applyNumberFormat="1" applyFont="1" applyBorder="1" applyAlignment="1">
      <alignment horizontal="center" vertical="top"/>
    </xf>
    <xf numFmtId="167" fontId="57" fillId="0" borderId="1" xfId="0" quotePrefix="1" applyNumberFormat="1" applyFont="1" applyBorder="1" applyAlignment="1">
      <alignment horizontal="center" vertical="top"/>
    </xf>
    <xf numFmtId="169" fontId="57" fillId="0" borderId="1" xfId="0" applyNumberFormat="1" applyFont="1" applyBorder="1" applyAlignment="1">
      <alignment horizontal="center" vertical="top"/>
    </xf>
    <xf numFmtId="169" fontId="57" fillId="0" borderId="1" xfId="0" quotePrefix="1" applyNumberFormat="1" applyFont="1" applyBorder="1" applyAlignment="1">
      <alignment horizontal="center" vertical="top"/>
    </xf>
    <xf numFmtId="169" fontId="57" fillId="0" borderId="19" xfId="0" quotePrefix="1" applyNumberFormat="1" applyFont="1" applyBorder="1" applyAlignment="1">
      <alignment vertical="top"/>
    </xf>
    <xf numFmtId="0" fontId="55" fillId="0" borderId="19" xfId="0" applyFont="1" applyBorder="1" applyAlignment="1">
      <alignment vertical="top"/>
    </xf>
    <xf numFmtId="49" fontId="57" fillId="0" borderId="19" xfId="0" applyNumberFormat="1" applyFont="1" applyBorder="1" applyAlignment="1">
      <alignment horizontal="left" vertical="top"/>
    </xf>
    <xf numFmtId="167" fontId="57" fillId="0" borderId="19" xfId="0" quotePrefix="1" applyNumberFormat="1" applyFont="1" applyBorder="1" applyAlignment="1">
      <alignment vertical="top"/>
    </xf>
    <xf numFmtId="169" fontId="57" fillId="0" borderId="19" xfId="0" applyNumberFormat="1" applyFont="1" applyBorder="1" applyAlignment="1">
      <alignment vertical="top"/>
    </xf>
    <xf numFmtId="170" fontId="55" fillId="0" borderId="1" xfId="0" quotePrefix="1" applyNumberFormat="1" applyFont="1" applyBorder="1" applyAlignment="1">
      <alignment horizontal="left" vertical="top"/>
    </xf>
    <xf numFmtId="0" fontId="56" fillId="0" borderId="1" xfId="0" applyFont="1" applyBorder="1" applyAlignment="1">
      <alignment horizontal="left" vertical="top" shrinkToFit="1"/>
    </xf>
    <xf numFmtId="169" fontId="49" fillId="0" borderId="1" xfId="0" applyNumberFormat="1" applyFont="1" applyBorder="1" applyAlignment="1">
      <alignment horizontal="left" vertical="top" shrinkToFit="1"/>
    </xf>
    <xf numFmtId="0" fontId="49" fillId="0" borderId="1" xfId="0" applyFont="1" applyBorder="1" applyAlignment="1">
      <alignment horizontal="left" vertical="top" shrinkToFit="1"/>
    </xf>
    <xf numFmtId="169" fontId="57" fillId="0" borderId="1" xfId="2" applyNumberFormat="1" applyFont="1" applyBorder="1" applyAlignment="1" applyProtection="1">
      <alignment horizontal="center" vertical="top"/>
    </xf>
    <xf numFmtId="169" fontId="55" fillId="0" borderId="1" xfId="2" applyNumberFormat="1" applyFont="1" applyBorder="1" applyAlignment="1" applyProtection="1">
      <alignment horizontal="center" vertical="top"/>
    </xf>
    <xf numFmtId="166" fontId="57" fillId="0" borderId="1" xfId="0" applyNumberFormat="1" applyFont="1" applyBorder="1" applyAlignment="1">
      <alignment vertical="top"/>
    </xf>
    <xf numFmtId="169" fontId="57" fillId="0" borderId="19" xfId="2" applyNumberFormat="1" applyFont="1" applyBorder="1" applyAlignment="1" applyProtection="1">
      <alignment horizontal="left" vertical="top"/>
    </xf>
    <xf numFmtId="166" fontId="49" fillId="0" borderId="14" xfId="2" applyNumberFormat="1" applyFont="1" applyBorder="1" applyAlignment="1" applyProtection="1">
      <alignment horizontal="left" vertical="top"/>
    </xf>
    <xf numFmtId="0" fontId="57" fillId="0" borderId="19" xfId="0" applyFont="1" applyBorder="1" applyAlignment="1">
      <alignment vertical="top"/>
    </xf>
    <xf numFmtId="49" fontId="55" fillId="0" borderId="19" xfId="0" applyNumberFormat="1" applyFont="1" applyBorder="1" applyAlignment="1">
      <alignment horizontal="left" vertical="top"/>
    </xf>
    <xf numFmtId="170" fontId="55" fillId="0" borderId="19" xfId="0" quotePrefix="1" applyNumberFormat="1" applyFont="1" applyBorder="1" applyAlignment="1">
      <alignment horizontal="left" vertical="top"/>
    </xf>
    <xf numFmtId="169" fontId="55" fillId="0" borderId="19" xfId="2" applyNumberFormat="1" applyFont="1" applyBorder="1" applyAlignment="1" applyProtection="1">
      <alignment horizontal="left" vertical="top"/>
    </xf>
    <xf numFmtId="170" fontId="57" fillId="0" borderId="1" xfId="0" quotePrefix="1" applyNumberFormat="1" applyFont="1" applyBorder="1" applyAlignment="1">
      <alignment horizontal="left" vertical="top"/>
    </xf>
    <xf numFmtId="169" fontId="57" fillId="0" borderId="1" xfId="0" quotePrefix="1" applyNumberFormat="1" applyFont="1" applyBorder="1" applyAlignment="1">
      <alignment vertical="top"/>
    </xf>
    <xf numFmtId="167" fontId="57" fillId="0" borderId="1" xfId="0" quotePrefix="1" applyNumberFormat="1" applyFont="1" applyBorder="1" applyAlignment="1">
      <alignment vertical="top"/>
    </xf>
    <xf numFmtId="169" fontId="51" fillId="0" borderId="1" xfId="2" applyNumberFormat="1" applyFont="1" applyBorder="1" applyAlignment="1" applyProtection="1">
      <alignment vertical="top"/>
    </xf>
    <xf numFmtId="169" fontId="51" fillId="0" borderId="1" xfId="0" applyNumberFormat="1" applyFont="1" applyBorder="1" applyAlignment="1">
      <alignment vertical="top"/>
    </xf>
    <xf numFmtId="169" fontId="53" fillId="0" borderId="1" xfId="2" applyNumberFormat="1" applyFont="1" applyBorder="1" applyAlignment="1" applyProtection="1">
      <alignment vertical="top"/>
    </xf>
    <xf numFmtId="0" fontId="56" fillId="0" borderId="1" xfId="0" applyFont="1" applyBorder="1" applyAlignment="1" applyProtection="1">
      <alignment vertical="top"/>
      <protection locked="0"/>
    </xf>
    <xf numFmtId="0" fontId="56" fillId="0" borderId="1" xfId="0" applyFont="1" applyBorder="1" applyAlignment="1" applyProtection="1">
      <alignment horizontal="left" vertical="top"/>
      <protection locked="0"/>
    </xf>
    <xf numFmtId="169" fontId="56" fillId="0" borderId="1" xfId="2" applyNumberFormat="1" applyFont="1" applyBorder="1" applyAlignment="1" applyProtection="1">
      <alignment vertical="top"/>
    </xf>
    <xf numFmtId="0" fontId="49" fillId="0" borderId="1" xfId="0" applyFont="1" applyBorder="1" applyAlignment="1" applyProtection="1">
      <alignment vertical="top"/>
      <protection locked="0"/>
    </xf>
    <xf numFmtId="0" fontId="49" fillId="0" borderId="1" xfId="0" applyFont="1" applyBorder="1" applyAlignment="1" applyProtection="1">
      <alignment horizontal="left" vertical="top"/>
      <protection locked="0"/>
    </xf>
    <xf numFmtId="169" fontId="49" fillId="0" borderId="1" xfId="0" applyNumberFormat="1" applyFont="1" applyBorder="1" applyAlignment="1" applyProtection="1">
      <alignment vertical="top"/>
      <protection locked="0"/>
    </xf>
    <xf numFmtId="169" fontId="59" fillId="0" borderId="1" xfId="2" applyNumberFormat="1" applyFont="1" applyBorder="1" applyAlignment="1" applyProtection="1">
      <alignment horizontal="center" vertical="top"/>
    </xf>
    <xf numFmtId="169" fontId="49" fillId="0" borderId="1" xfId="2" applyNumberFormat="1" applyFont="1" applyBorder="1" applyAlignment="1">
      <alignment vertical="top"/>
      <protection locked="0"/>
    </xf>
    <xf numFmtId="167" fontId="56" fillId="0" borderId="1" xfId="0" applyNumberFormat="1" applyFont="1" applyBorder="1" applyAlignment="1" applyProtection="1">
      <alignment vertical="top"/>
      <protection locked="0"/>
    </xf>
    <xf numFmtId="49" fontId="49" fillId="0" borderId="1" xfId="0" applyNumberFormat="1" applyFont="1" applyBorder="1" applyAlignment="1" applyProtection="1">
      <alignment vertical="top"/>
      <protection locked="0"/>
    </xf>
    <xf numFmtId="167" fontId="49" fillId="0" borderId="1" xfId="0" applyNumberFormat="1" applyFont="1" applyBorder="1" applyAlignment="1" applyProtection="1">
      <alignment vertical="top"/>
      <protection locked="0"/>
    </xf>
    <xf numFmtId="166" fontId="56" fillId="0" borderId="1" xfId="2" applyNumberFormat="1" applyFont="1" applyBorder="1" applyAlignment="1" applyProtection="1">
      <alignment vertical="top"/>
    </xf>
    <xf numFmtId="49" fontId="56" fillId="0" borderId="1" xfId="0" quotePrefix="1" applyNumberFormat="1" applyFont="1" applyBorder="1" applyAlignment="1" applyProtection="1">
      <alignment horizontal="left" vertical="top"/>
      <protection locked="0"/>
    </xf>
    <xf numFmtId="169" fontId="49" fillId="0" borderId="1" xfId="2" applyNumberFormat="1" applyFont="1" applyBorder="1" applyAlignment="1" applyProtection="1">
      <alignment vertical="top"/>
    </xf>
    <xf numFmtId="0" fontId="51" fillId="0" borderId="1" xfId="0" applyFont="1" applyBorder="1" applyAlignment="1" applyProtection="1">
      <alignment vertical="top"/>
      <protection locked="0"/>
    </xf>
    <xf numFmtId="166" fontId="49" fillId="0" borderId="1" xfId="2" applyNumberFormat="1" applyFont="1" applyBorder="1" applyAlignment="1">
      <alignment vertical="top"/>
      <protection locked="0"/>
    </xf>
    <xf numFmtId="0" fontId="49" fillId="0" borderId="20" xfId="0" applyFont="1" applyBorder="1" applyAlignment="1" applyProtection="1">
      <alignment vertical="top"/>
      <protection locked="0"/>
    </xf>
    <xf numFmtId="49" fontId="56" fillId="0" borderId="20" xfId="0" applyNumberFormat="1" applyFont="1" applyBorder="1" applyAlignment="1" applyProtection="1">
      <alignment horizontal="left" vertical="top"/>
      <protection locked="0"/>
    </xf>
    <xf numFmtId="167" fontId="56" fillId="0" borderId="20" xfId="0" applyNumberFormat="1" applyFont="1" applyBorder="1" applyAlignment="1" applyProtection="1">
      <alignment vertical="top"/>
      <protection locked="0"/>
    </xf>
    <xf numFmtId="169" fontId="56" fillId="0" borderId="20" xfId="2" applyNumberFormat="1" applyFont="1" applyBorder="1" applyAlignment="1" applyProtection="1">
      <alignment vertical="top"/>
    </xf>
    <xf numFmtId="166" fontId="49" fillId="0" borderId="14" xfId="0" applyNumberFormat="1" applyFont="1" applyBorder="1" applyAlignment="1">
      <alignment vertical="top"/>
    </xf>
    <xf numFmtId="0" fontId="49" fillId="0" borderId="19" xfId="0" applyFont="1" applyBorder="1" applyAlignment="1" applyProtection="1">
      <alignment vertical="top"/>
      <protection locked="0"/>
    </xf>
    <xf numFmtId="49" fontId="49" fillId="0" borderId="19" xfId="0" applyNumberFormat="1" applyFont="1" applyBorder="1" applyAlignment="1" applyProtection="1">
      <alignment horizontal="left" vertical="top"/>
      <protection locked="0"/>
    </xf>
    <xf numFmtId="167" fontId="49" fillId="0" borderId="19" xfId="0" applyNumberFormat="1" applyFont="1" applyBorder="1" applyAlignment="1" applyProtection="1">
      <alignment horizontal="left" vertical="top"/>
      <protection locked="0"/>
    </xf>
    <xf numFmtId="169" fontId="49" fillId="0" borderId="19" xfId="0" applyNumberFormat="1" applyFont="1" applyBorder="1" applyAlignment="1" applyProtection="1">
      <alignment vertical="top"/>
      <protection locked="0"/>
    </xf>
    <xf numFmtId="169" fontId="49" fillId="0" borderId="19" xfId="0" applyNumberFormat="1" applyFont="1" applyBorder="1" applyAlignment="1" applyProtection="1">
      <alignment horizontal="left" vertical="top"/>
      <protection locked="0"/>
    </xf>
    <xf numFmtId="0" fontId="51" fillId="0" borderId="1" xfId="0" applyFont="1" applyBorder="1" applyAlignment="1" applyProtection="1">
      <alignment horizontal="left" vertical="top"/>
      <protection locked="0"/>
    </xf>
    <xf numFmtId="0" fontId="53" fillId="0" borderId="1" xfId="0" applyFont="1" applyBorder="1" applyAlignment="1" applyProtection="1">
      <alignment vertical="top"/>
      <protection locked="0"/>
    </xf>
    <xf numFmtId="169" fontId="56" fillId="0" borderId="1" xfId="0" applyNumberFormat="1" applyFont="1" applyBorder="1" applyAlignment="1" applyProtection="1">
      <alignment vertical="top"/>
      <protection locked="0"/>
    </xf>
    <xf numFmtId="0" fontId="53" fillId="0" borderId="20" xfId="0" applyFont="1" applyBorder="1" applyAlignment="1" applyProtection="1">
      <alignment vertical="top"/>
      <protection locked="0"/>
    </xf>
    <xf numFmtId="0" fontId="56" fillId="0" borderId="20" xfId="0" applyFont="1" applyBorder="1" applyAlignment="1" applyProtection="1">
      <alignment horizontal="left" vertical="top"/>
      <protection locked="0"/>
    </xf>
    <xf numFmtId="0" fontId="56" fillId="0" borderId="20" xfId="0" applyFont="1" applyBorder="1" applyAlignment="1" applyProtection="1">
      <alignment vertical="top"/>
      <protection locked="0"/>
    </xf>
    <xf numFmtId="170" fontId="49" fillId="0" borderId="1" xfId="0" applyNumberFormat="1" applyFont="1" applyBorder="1" applyAlignment="1" applyProtection="1">
      <alignment horizontal="left" vertical="top"/>
      <protection locked="0"/>
    </xf>
    <xf numFmtId="166" fontId="50" fillId="0" borderId="1" xfId="1" applyNumberFormat="1" applyFont="1" applyBorder="1" applyAlignment="1" applyProtection="1">
      <alignment vertical="top"/>
    </xf>
    <xf numFmtId="0" fontId="53" fillId="0" borderId="21" xfId="0" applyFont="1" applyBorder="1" applyAlignment="1" applyProtection="1">
      <alignment vertical="top"/>
      <protection locked="0"/>
    </xf>
    <xf numFmtId="49" fontId="49" fillId="0" borderId="21" xfId="0" applyNumberFormat="1" applyFont="1" applyBorder="1" applyAlignment="1" applyProtection="1">
      <alignment horizontal="left" vertical="top"/>
      <protection locked="0"/>
    </xf>
    <xf numFmtId="170" fontId="49" fillId="0" borderId="21" xfId="0" applyNumberFormat="1" applyFont="1" applyBorder="1" applyAlignment="1" applyProtection="1">
      <alignment horizontal="left" vertical="top"/>
      <protection locked="0"/>
    </xf>
    <xf numFmtId="169" fontId="49" fillId="0" borderId="21" xfId="2" applyNumberFormat="1" applyFont="1" applyBorder="1" applyAlignment="1">
      <alignment horizontal="left" vertical="top"/>
      <protection locked="0"/>
    </xf>
    <xf numFmtId="169" fontId="49" fillId="0" borderId="21" xfId="0" applyNumberFormat="1" applyFont="1" applyBorder="1" applyAlignment="1" applyProtection="1">
      <alignment horizontal="left" vertical="top"/>
      <protection locked="0"/>
    </xf>
    <xf numFmtId="166" fontId="49" fillId="0" borderId="1" xfId="2" applyNumberFormat="1" applyFont="1" applyBorder="1" applyAlignment="1" applyProtection="1">
      <alignment vertical="top"/>
    </xf>
    <xf numFmtId="169" fontId="49" fillId="0" borderId="1" xfId="0" applyNumberFormat="1" applyFont="1" applyBorder="1" applyAlignment="1" applyProtection="1">
      <alignment horizontal="right" vertical="top"/>
      <protection locked="0"/>
    </xf>
    <xf numFmtId="166" fontId="56" fillId="0" borderId="14" xfId="2" applyNumberFormat="1" applyFont="1" applyBorder="1" applyAlignment="1" applyProtection="1">
      <alignment vertical="top"/>
    </xf>
    <xf numFmtId="0" fontId="56" fillId="0" borderId="19" xfId="0" applyFont="1" applyBorder="1" applyAlignment="1" applyProtection="1">
      <alignment vertical="top"/>
      <protection locked="0"/>
    </xf>
    <xf numFmtId="49" fontId="56" fillId="0" borderId="19" xfId="0" applyNumberFormat="1" applyFont="1" applyBorder="1" applyAlignment="1" applyProtection="1">
      <alignment horizontal="left" vertical="top"/>
      <protection locked="0"/>
    </xf>
    <xf numFmtId="170" fontId="56" fillId="0" borderId="19" xfId="0" applyNumberFormat="1" applyFont="1" applyBorder="1" applyAlignment="1" applyProtection="1">
      <alignment horizontal="left" vertical="top"/>
      <protection locked="0"/>
    </xf>
    <xf numFmtId="169" fontId="60" fillId="0" borderId="1" xfId="2" applyNumberFormat="1" applyFont="1" applyBorder="1" applyAlignment="1" applyProtection="1">
      <alignment horizontal="center" vertical="top"/>
    </xf>
    <xf numFmtId="0" fontId="53" fillId="0" borderId="1" xfId="0" applyFont="1" applyBorder="1" applyAlignment="1" applyProtection="1">
      <alignment horizontal="left" vertical="top"/>
      <protection locked="0"/>
    </xf>
    <xf numFmtId="169" fontId="56" fillId="0" borderId="1" xfId="2" applyNumberFormat="1" applyFont="1" applyBorder="1" applyAlignment="1">
      <alignment vertical="top"/>
      <protection locked="0"/>
    </xf>
    <xf numFmtId="169" fontId="53" fillId="0" borderId="1" xfId="0" applyNumberFormat="1" applyFont="1" applyBorder="1" applyAlignment="1" applyProtection="1">
      <alignment vertical="top"/>
      <protection locked="0"/>
    </xf>
    <xf numFmtId="166" fontId="49" fillId="0" borderId="1" xfId="0" applyNumberFormat="1" applyFont="1" applyBorder="1" applyAlignment="1" applyProtection="1">
      <alignment vertical="top"/>
      <protection locked="0"/>
    </xf>
    <xf numFmtId="0" fontId="49" fillId="0" borderId="1" xfId="0" quotePrefix="1" applyFont="1" applyBorder="1" applyAlignment="1" applyProtection="1">
      <alignment horizontal="left" vertical="top"/>
      <protection locked="0"/>
    </xf>
    <xf numFmtId="0" fontId="57" fillId="0" borderId="0" xfId="0" applyFont="1" applyAlignment="1" applyProtection="1">
      <alignment vertical="top"/>
      <protection locked="0"/>
    </xf>
    <xf numFmtId="169" fontId="57" fillId="0" borderId="0" xfId="0" applyNumberFormat="1" applyFont="1" applyAlignment="1" applyProtection="1">
      <alignment vertical="top"/>
      <protection locked="0"/>
    </xf>
    <xf numFmtId="0" fontId="53" fillId="0" borderId="0" xfId="0" applyFont="1" applyAlignment="1" applyProtection="1">
      <alignment vertical="top"/>
      <protection locked="0"/>
    </xf>
    <xf numFmtId="169" fontId="53" fillId="0" borderId="0" xfId="0" applyNumberFormat="1" applyFont="1" applyAlignment="1">
      <alignment vertical="top"/>
    </xf>
    <xf numFmtId="169" fontId="53" fillId="2" borderId="1" xfId="2" applyNumberFormat="1" applyFont="1" applyFill="1" applyBorder="1" applyAlignment="1" applyProtection="1">
      <alignment vertical="top"/>
    </xf>
    <xf numFmtId="0" fontId="53" fillId="0" borderId="12" xfId="0" applyFont="1" applyBorder="1" applyAlignment="1">
      <alignment horizontal="center" vertical="top"/>
    </xf>
    <xf numFmtId="0" fontId="53" fillId="0" borderId="14" xfId="0" applyFont="1" applyBorder="1" applyAlignment="1">
      <alignment horizontal="center" vertical="top"/>
    </xf>
    <xf numFmtId="0" fontId="53" fillId="0" borderId="1" xfId="0" applyFont="1" applyBorder="1" applyAlignment="1">
      <alignment horizontal="center" vertical="top"/>
    </xf>
    <xf numFmtId="169" fontId="53" fillId="0" borderId="1" xfId="1" applyNumberFormat="1" applyFont="1" applyBorder="1" applyAlignment="1" applyProtection="1">
      <alignment horizontal="left" vertical="top"/>
    </xf>
    <xf numFmtId="169" fontId="53" fillId="0" borderId="1" xfId="0" applyNumberFormat="1" applyFont="1" applyBorder="1" applyAlignment="1">
      <alignment horizontal="center" vertical="top"/>
    </xf>
    <xf numFmtId="169" fontId="49" fillId="0" borderId="0" xfId="0" applyNumberFormat="1" applyFont="1" applyAlignment="1">
      <alignment vertical="top"/>
    </xf>
    <xf numFmtId="0" fontId="53" fillId="0" borderId="20" xfId="0" applyFont="1" applyBorder="1" applyAlignment="1">
      <alignment horizontal="left" vertical="top"/>
    </xf>
    <xf numFmtId="0" fontId="53" fillId="0" borderId="20" xfId="0" applyFont="1" applyBorder="1" applyAlignment="1">
      <alignment horizontal="center" vertical="top"/>
    </xf>
    <xf numFmtId="169" fontId="53" fillId="0" borderId="20" xfId="1" applyNumberFormat="1" applyFont="1" applyBorder="1" applyAlignment="1" applyProtection="1">
      <alignment horizontal="left" vertical="top"/>
    </xf>
    <xf numFmtId="169" fontId="53" fillId="0" borderId="20" xfId="0" applyNumberFormat="1" applyFont="1" applyBorder="1" applyAlignment="1">
      <alignment horizontal="center" vertical="top"/>
    </xf>
    <xf numFmtId="0" fontId="55" fillId="0" borderId="19" xfId="0" applyFont="1" applyBorder="1" applyAlignment="1">
      <alignment horizontal="right" vertical="top"/>
    </xf>
    <xf numFmtId="0" fontId="55" fillId="0" borderId="19" xfId="0" applyFont="1" applyBorder="1" applyAlignment="1">
      <alignment horizontal="left" vertical="top"/>
    </xf>
    <xf numFmtId="169" fontId="57" fillId="0" borderId="19" xfId="1" applyNumberFormat="1" applyFont="1" applyBorder="1" applyAlignment="1" applyProtection="1">
      <alignment vertical="top"/>
    </xf>
    <xf numFmtId="0" fontId="49" fillId="0" borderId="1" xfId="0" applyFont="1" applyBorder="1" applyAlignment="1">
      <alignment horizontal="right" vertical="top"/>
    </xf>
    <xf numFmtId="0" fontId="55" fillId="0" borderId="1" xfId="0" applyFont="1" applyBorder="1" applyAlignment="1">
      <alignment horizontal="right" vertical="top"/>
    </xf>
    <xf numFmtId="169" fontId="57" fillId="0" borderId="1" xfId="1" applyNumberFormat="1" applyFont="1" applyBorder="1" applyAlignment="1" applyProtection="1">
      <alignment vertical="top"/>
    </xf>
    <xf numFmtId="0" fontId="56" fillId="0" borderId="1" xfId="0" applyFont="1" applyBorder="1" applyAlignment="1">
      <alignment horizontal="right" vertical="top"/>
    </xf>
    <xf numFmtId="0" fontId="56" fillId="0" borderId="1" xfId="8" applyFont="1" applyBorder="1" applyAlignment="1" applyProtection="1">
      <alignment horizontal="left" vertical="top"/>
    </xf>
    <xf numFmtId="169" fontId="56" fillId="0" borderId="1" xfId="1" applyNumberFormat="1" applyFont="1" applyBorder="1" applyAlignment="1">
      <alignment vertical="top"/>
      <protection locked="0"/>
    </xf>
    <xf numFmtId="0" fontId="58" fillId="0" borderId="1" xfId="0" applyFont="1" applyBorder="1" applyAlignment="1">
      <alignment horizontal="right" vertical="top"/>
    </xf>
    <xf numFmtId="0" fontId="49" fillId="0" borderId="1" xfId="8" applyFont="1" applyBorder="1" applyAlignment="1" applyProtection="1">
      <alignment horizontal="left" vertical="top"/>
    </xf>
    <xf numFmtId="169" fontId="49" fillId="0" borderId="1" xfId="1" applyNumberFormat="1" applyFont="1" applyBorder="1" applyAlignment="1">
      <alignment vertical="top"/>
      <protection locked="0"/>
    </xf>
    <xf numFmtId="169" fontId="49" fillId="0" borderId="1" xfId="8" applyNumberFormat="1" applyFont="1" applyBorder="1" applyAlignment="1" applyProtection="1">
      <alignment horizontal="left" vertical="top"/>
    </xf>
    <xf numFmtId="164" fontId="50" fillId="0" borderId="1" xfId="1" applyFont="1" applyBorder="1" applyProtection="1"/>
    <xf numFmtId="0" fontId="57" fillId="0" borderId="1" xfId="0" applyFont="1" applyBorder="1" applyAlignment="1">
      <alignment horizontal="right" vertical="top"/>
    </xf>
    <xf numFmtId="0" fontId="61" fillId="0" borderId="0" xfId="0" applyFont="1" applyAlignment="1">
      <alignment vertical="top"/>
    </xf>
    <xf numFmtId="0" fontId="62" fillId="0" borderId="1" xfId="0" applyFont="1" applyBorder="1" applyAlignment="1">
      <alignment horizontal="right" vertical="top"/>
    </xf>
    <xf numFmtId="0" fontId="63" fillId="0" borderId="0" xfId="0" applyFont="1" applyAlignment="1">
      <alignment vertical="top"/>
    </xf>
    <xf numFmtId="0" fontId="64" fillId="0" borderId="0" xfId="0" applyFont="1" applyAlignment="1">
      <alignment vertical="top"/>
    </xf>
    <xf numFmtId="169" fontId="55" fillId="0" borderId="1" xfId="8" applyNumberFormat="1" applyFont="1" applyBorder="1" applyAlignment="1" applyProtection="1">
      <alignment horizontal="left" vertical="top"/>
    </xf>
    <xf numFmtId="166" fontId="56" fillId="0" borderId="1" xfId="1" applyNumberFormat="1" applyFont="1" applyBorder="1" applyAlignment="1">
      <alignment vertical="top"/>
      <protection locked="0"/>
    </xf>
    <xf numFmtId="0" fontId="55" fillId="0" borderId="1" xfId="8" applyFont="1" applyBorder="1" applyAlignment="1" applyProtection="1">
      <alignment vertical="top"/>
    </xf>
    <xf numFmtId="166" fontId="55" fillId="0" borderId="1" xfId="8" applyNumberFormat="1" applyFont="1" applyBorder="1" applyAlignment="1" applyProtection="1">
      <alignment vertical="top"/>
    </xf>
    <xf numFmtId="169" fontId="55" fillId="0" borderId="1" xfId="1" applyNumberFormat="1" applyFont="1" applyBorder="1" applyAlignment="1" applyProtection="1">
      <alignment vertical="top"/>
    </xf>
    <xf numFmtId="49" fontId="65" fillId="0" borderId="1" xfId="0" applyNumberFormat="1" applyFont="1" applyBorder="1" applyAlignment="1">
      <alignment vertical="top"/>
    </xf>
    <xf numFmtId="0" fontId="65" fillId="0" borderId="1" xfId="0" applyFont="1" applyBorder="1" applyAlignment="1">
      <alignment horizontal="left" vertical="top"/>
    </xf>
    <xf numFmtId="0" fontId="65" fillId="0" borderId="1" xfId="0" applyFont="1" applyBorder="1" applyAlignment="1">
      <alignment vertical="top"/>
    </xf>
    <xf numFmtId="169" fontId="65" fillId="0" borderId="1" xfId="1" applyNumberFormat="1" applyFont="1" applyBorder="1" applyAlignment="1" applyProtection="1">
      <alignment vertical="top"/>
    </xf>
    <xf numFmtId="169" fontId="65" fillId="0" borderId="1" xfId="0" applyNumberFormat="1" applyFont="1" applyBorder="1" applyAlignment="1">
      <alignment vertical="top"/>
    </xf>
    <xf numFmtId="49" fontId="49" fillId="0" borderId="1" xfId="0" applyNumberFormat="1" applyFont="1" applyBorder="1" applyAlignment="1">
      <alignment vertical="top"/>
    </xf>
    <xf numFmtId="49" fontId="56" fillId="0" borderId="1" xfId="0" applyNumberFormat="1" applyFont="1" applyBorder="1" applyAlignment="1">
      <alignment vertical="top"/>
    </xf>
    <xf numFmtId="49" fontId="61" fillId="0" borderId="1" xfId="0" applyNumberFormat="1" applyFont="1" applyBorder="1" applyAlignment="1">
      <alignment vertical="top"/>
    </xf>
    <xf numFmtId="0" fontId="52" fillId="0" borderId="0" xfId="0" applyFont="1" applyAlignment="1">
      <alignment vertical="top"/>
    </xf>
    <xf numFmtId="169" fontId="56" fillId="0" borderId="1" xfId="1" quotePrefix="1" applyNumberFormat="1" applyFont="1" applyBorder="1" applyAlignment="1">
      <alignment vertical="top"/>
      <protection locked="0"/>
    </xf>
    <xf numFmtId="169" fontId="57" fillId="0" borderId="0" xfId="0" applyNumberFormat="1" applyFont="1" applyAlignment="1">
      <alignment vertical="top"/>
    </xf>
    <xf numFmtId="49" fontId="53" fillId="0" borderId="1" xfId="0" applyNumberFormat="1" applyFont="1" applyBorder="1" applyAlignment="1">
      <alignment vertical="top"/>
    </xf>
    <xf numFmtId="166" fontId="53" fillId="0" borderId="1" xfId="0" applyNumberFormat="1" applyFont="1" applyBorder="1" applyAlignment="1">
      <alignment horizontal="left" vertical="top"/>
    </xf>
    <xf numFmtId="169" fontId="53" fillId="0" borderId="1" xfId="1" applyNumberFormat="1" applyFont="1" applyBorder="1" applyAlignment="1" applyProtection="1">
      <alignment vertical="top"/>
    </xf>
    <xf numFmtId="0" fontId="56" fillId="0" borderId="1" xfId="0" quotePrefix="1" applyFont="1" applyBorder="1" applyAlignment="1">
      <alignment horizontal="left" vertical="top"/>
    </xf>
    <xf numFmtId="169" fontId="56" fillId="0" borderId="1" xfId="1" applyNumberFormat="1" applyFont="1" applyBorder="1" applyAlignment="1" applyProtection="1">
      <alignment horizontal="left" vertical="top"/>
    </xf>
    <xf numFmtId="169" fontId="56" fillId="0" borderId="1" xfId="1" applyNumberFormat="1" applyFont="1" applyBorder="1" applyAlignment="1" applyProtection="1">
      <alignment vertical="top"/>
    </xf>
    <xf numFmtId="0" fontId="66" fillId="0" borderId="0" xfId="0" applyFont="1" applyAlignment="1">
      <alignment vertical="top"/>
    </xf>
    <xf numFmtId="164" fontId="56" fillId="0" borderId="1" xfId="1" applyFont="1" applyBorder="1" applyAlignment="1">
      <alignment vertical="top"/>
      <protection locked="0"/>
    </xf>
    <xf numFmtId="0" fontId="67" fillId="0" borderId="0" xfId="0" applyFont="1" applyAlignment="1">
      <alignment vertical="top"/>
    </xf>
    <xf numFmtId="43" fontId="53" fillId="0" borderId="1" xfId="0" applyNumberFormat="1" applyFont="1" applyBorder="1" applyAlignment="1">
      <alignment horizontal="left" vertical="top"/>
    </xf>
    <xf numFmtId="0" fontId="65" fillId="0" borderId="0" xfId="0" applyFont="1" applyAlignment="1">
      <alignment vertical="top"/>
    </xf>
    <xf numFmtId="49" fontId="66" fillId="0" borderId="1" xfId="0" applyNumberFormat="1" applyFont="1" applyBorder="1" applyAlignment="1">
      <alignment vertical="top"/>
    </xf>
    <xf numFmtId="0" fontId="66" fillId="0" borderId="1" xfId="0" applyFont="1" applyBorder="1" applyAlignment="1">
      <alignment horizontal="left" vertical="top"/>
    </xf>
    <xf numFmtId="0" fontId="66" fillId="0" borderId="1" xfId="0" applyFont="1" applyBorder="1" applyAlignment="1">
      <alignment vertical="top"/>
    </xf>
    <xf numFmtId="169" fontId="66" fillId="0" borderId="1" xfId="1" applyNumberFormat="1" applyFont="1" applyBorder="1" applyAlignment="1" applyProtection="1">
      <alignment vertical="top"/>
    </xf>
    <xf numFmtId="169" fontId="66" fillId="0" borderId="1" xfId="0" applyNumberFormat="1" applyFont="1" applyBorder="1" applyAlignment="1">
      <alignment vertical="top"/>
    </xf>
    <xf numFmtId="43" fontId="56" fillId="0" borderId="1" xfId="0" applyNumberFormat="1" applyFont="1" applyBorder="1" applyAlignment="1">
      <alignment horizontal="left" vertical="top"/>
    </xf>
    <xf numFmtId="49" fontId="58" fillId="0" borderId="1" xfId="0" applyNumberFormat="1" applyFont="1" applyBorder="1" applyAlignment="1">
      <alignment vertical="top"/>
    </xf>
    <xf numFmtId="165" fontId="56" fillId="0" borderId="1" xfId="0" applyNumberFormat="1" applyFont="1" applyBorder="1" applyAlignment="1">
      <alignment horizontal="left" vertical="top"/>
    </xf>
    <xf numFmtId="165" fontId="56" fillId="0" borderId="1" xfId="0" applyNumberFormat="1" applyFont="1" applyBorder="1" applyAlignment="1">
      <alignment vertical="top"/>
    </xf>
    <xf numFmtId="169" fontId="49" fillId="0" borderId="20" xfId="1" applyNumberFormat="1" applyFont="1" applyBorder="1" applyAlignment="1">
      <alignment vertical="top"/>
      <protection locked="0"/>
    </xf>
    <xf numFmtId="169" fontId="49" fillId="0" borderId="19" xfId="1" applyNumberFormat="1" applyFont="1" applyBorder="1" applyAlignment="1">
      <alignment vertical="top"/>
      <protection locked="0"/>
    </xf>
    <xf numFmtId="166" fontId="51" fillId="0" borderId="22" xfId="2" applyNumberFormat="1" applyFont="1" applyBorder="1" applyAlignment="1" applyProtection="1">
      <alignment horizontal="center" vertical="top"/>
    </xf>
    <xf numFmtId="166" fontId="51" fillId="0" borderId="19" xfId="2" applyNumberFormat="1" applyFont="1" applyBorder="1" applyAlignment="1" applyProtection="1">
      <alignment horizontal="center" vertical="top"/>
    </xf>
    <xf numFmtId="0" fontId="58" fillId="0" borderId="19" xfId="0" applyFont="1" applyBorder="1" applyAlignment="1">
      <alignment vertical="top"/>
    </xf>
    <xf numFmtId="169" fontId="56" fillId="0" borderId="19" xfId="1" applyNumberFormat="1" applyFont="1" applyBorder="1" applyAlignment="1">
      <alignment vertical="top"/>
      <protection locked="0"/>
    </xf>
    <xf numFmtId="167" fontId="49" fillId="0" borderId="1" xfId="0" quotePrefix="1" applyNumberFormat="1" applyFont="1" applyBorder="1" applyAlignment="1">
      <alignment vertical="top"/>
    </xf>
    <xf numFmtId="169" fontId="49" fillId="0" borderId="1" xfId="1" quotePrefix="1" applyNumberFormat="1" applyFont="1" applyBorder="1" applyAlignment="1">
      <alignment vertical="top"/>
      <protection locked="0"/>
    </xf>
    <xf numFmtId="0" fontId="67" fillId="0" borderId="1" xfId="0" applyFont="1" applyBorder="1" applyAlignment="1">
      <alignment vertical="top"/>
    </xf>
    <xf numFmtId="0" fontId="64" fillId="0" borderId="1" xfId="2" applyNumberFormat="1" applyFont="1" applyBorder="1" applyAlignment="1" applyProtection="1">
      <alignment horizontal="left" vertical="top"/>
    </xf>
    <xf numFmtId="169" fontId="49" fillId="0" borderId="1" xfId="1" applyNumberFormat="1" applyFont="1" applyBorder="1" applyAlignment="1" applyProtection="1">
      <alignment horizontal="left" vertical="top"/>
    </xf>
    <xf numFmtId="0" fontId="67" fillId="0" borderId="20" xfId="0" applyFont="1" applyBorder="1" applyAlignment="1">
      <alignment vertical="top"/>
    </xf>
    <xf numFmtId="0" fontId="49" fillId="0" borderId="20" xfId="2" applyNumberFormat="1" applyFont="1" applyBorder="1" applyAlignment="1" applyProtection="1">
      <alignment horizontal="left" vertical="top"/>
    </xf>
    <xf numFmtId="166" fontId="49" fillId="0" borderId="20" xfId="2" applyNumberFormat="1" applyFont="1" applyBorder="1" applyAlignment="1" applyProtection="1">
      <alignment horizontal="left" vertical="top"/>
    </xf>
    <xf numFmtId="0" fontId="65" fillId="0" borderId="19" xfId="0" applyFont="1" applyBorder="1" applyAlignment="1">
      <alignment vertical="top"/>
    </xf>
    <xf numFmtId="0" fontId="56" fillId="0" borderId="19" xfId="2" applyNumberFormat="1" applyFont="1" applyBorder="1" applyAlignment="1" applyProtection="1">
      <alignment horizontal="left" vertical="top"/>
    </xf>
    <xf numFmtId="166" fontId="56" fillId="0" borderId="19" xfId="2" applyNumberFormat="1" applyFont="1" applyBorder="1" applyAlignment="1" applyProtection="1">
      <alignment horizontal="left" vertical="top"/>
    </xf>
    <xf numFmtId="0" fontId="50" fillId="0" borderId="1" xfId="2" applyNumberFormat="1" applyFont="1" applyBorder="1" applyAlignment="1" applyProtection="1">
      <alignment horizontal="left" vertical="top"/>
    </xf>
    <xf numFmtId="166" fontId="53" fillId="0" borderId="1" xfId="2" applyNumberFormat="1" applyFont="1" applyBorder="1" applyAlignment="1" applyProtection="1">
      <alignment horizontal="left" vertical="top"/>
    </xf>
    <xf numFmtId="169" fontId="64" fillId="0" borderId="1" xfId="1" applyNumberFormat="1" applyFont="1" applyBorder="1" applyAlignment="1" applyProtection="1">
      <alignment horizontal="left" vertical="top"/>
    </xf>
    <xf numFmtId="169" fontId="53" fillId="2" borderId="1" xfId="1" applyNumberFormat="1" applyFont="1" applyFill="1" applyBorder="1" applyAlignment="1" applyProtection="1">
      <alignment horizontal="left" vertical="top"/>
    </xf>
    <xf numFmtId="49" fontId="56" fillId="0" borderId="20" xfId="0" applyNumberFormat="1" applyFont="1" applyBorder="1" applyAlignment="1">
      <alignment horizontal="right" vertical="top"/>
    </xf>
    <xf numFmtId="0" fontId="49" fillId="0" borderId="20" xfId="0" applyFont="1" applyBorder="1" applyAlignment="1">
      <alignment horizontal="left" vertical="top"/>
    </xf>
    <xf numFmtId="169" fontId="49" fillId="0" borderId="20" xfId="1" applyNumberFormat="1" applyFont="1" applyBorder="1" applyAlignment="1" applyProtection="1">
      <alignment horizontal="right" vertical="top"/>
    </xf>
    <xf numFmtId="169" fontId="49" fillId="0" borderId="20" xfId="0" applyNumberFormat="1" applyFont="1" applyBorder="1" applyAlignment="1">
      <alignment vertical="top"/>
    </xf>
    <xf numFmtId="169" fontId="51" fillId="0" borderId="1" xfId="1" applyNumberFormat="1" applyFont="1" applyBorder="1" applyAlignment="1" applyProtection="1">
      <alignment vertical="top"/>
    </xf>
    <xf numFmtId="0" fontId="53" fillId="0" borderId="19" xfId="0" applyFont="1" applyBorder="1" applyAlignment="1">
      <alignment vertical="top"/>
    </xf>
    <xf numFmtId="169" fontId="53" fillId="0" borderId="19" xfId="2" applyNumberFormat="1" applyFont="1" applyBorder="1" applyAlignment="1" applyProtection="1">
      <alignment vertical="top"/>
    </xf>
    <xf numFmtId="169" fontId="53" fillId="0" borderId="19" xfId="0" applyNumberFormat="1" applyFont="1" applyBorder="1" applyAlignment="1">
      <alignment vertical="top"/>
    </xf>
    <xf numFmtId="169" fontId="53" fillId="0" borderId="1" xfId="2" applyNumberFormat="1" applyFont="1" applyBorder="1" applyAlignment="1" applyProtection="1">
      <alignment horizontal="left" vertical="top"/>
    </xf>
    <xf numFmtId="0" fontId="49" fillId="0" borderId="1" xfId="3" applyFont="1" applyBorder="1" applyAlignment="1" applyProtection="1">
      <alignment horizontal="left" vertical="top"/>
    </xf>
    <xf numFmtId="0" fontId="49" fillId="0" borderId="1" xfId="3" applyFont="1" applyBorder="1" applyAlignment="1" applyProtection="1">
      <alignment vertical="top"/>
    </xf>
    <xf numFmtId="169" fontId="49" fillId="0" borderId="1" xfId="3" applyNumberFormat="1" applyFont="1" applyBorder="1" applyAlignment="1" applyProtection="1">
      <alignment vertical="top"/>
    </xf>
    <xf numFmtId="169" fontId="49" fillId="0" borderId="1" xfId="2" applyNumberFormat="1" applyFont="1" applyBorder="1" applyAlignment="1" applyProtection="1">
      <alignment horizontal="right" vertical="top"/>
    </xf>
    <xf numFmtId="170" fontId="49" fillId="0" borderId="1" xfId="3" quotePrefix="1" applyNumberFormat="1" applyFont="1" applyBorder="1" applyAlignment="1" applyProtection="1">
      <alignment horizontal="left" vertical="top"/>
    </xf>
    <xf numFmtId="169" fontId="49" fillId="0" borderId="1" xfId="3" quotePrefix="1" applyNumberFormat="1" applyFont="1" applyBorder="1" applyAlignment="1" applyProtection="1">
      <alignment horizontal="left" vertical="top"/>
    </xf>
    <xf numFmtId="169" fontId="49" fillId="0" borderId="1" xfId="4" applyNumberFormat="1" applyFont="1" applyBorder="1" applyAlignment="1" applyProtection="1">
      <alignment vertical="top"/>
    </xf>
    <xf numFmtId="0" fontId="49" fillId="0" borderId="20" xfId="3" applyFont="1" applyBorder="1" applyAlignment="1" applyProtection="1">
      <alignment horizontal="left" vertical="top"/>
    </xf>
    <xf numFmtId="0" fontId="49" fillId="0" borderId="20" xfId="3" applyFont="1" applyBorder="1" applyAlignment="1" applyProtection="1">
      <alignment vertical="top"/>
    </xf>
    <xf numFmtId="169" fontId="49" fillId="0" borderId="20" xfId="4" applyNumberFormat="1" applyFont="1" applyBorder="1" applyAlignment="1" applyProtection="1">
      <alignment vertical="top"/>
    </xf>
    <xf numFmtId="169" fontId="49" fillId="0" borderId="20" xfId="3" applyNumberFormat="1" applyFont="1" applyBorder="1" applyAlignment="1" applyProtection="1">
      <alignment vertical="top"/>
    </xf>
    <xf numFmtId="169" fontId="53" fillId="0" borderId="19" xfId="1" applyNumberFormat="1" applyFont="1" applyBorder="1" applyAlignment="1" applyProtection="1">
      <alignment vertical="top"/>
    </xf>
    <xf numFmtId="169" fontId="51" fillId="0" borderId="1" xfId="1" applyNumberFormat="1" applyFont="1" applyBorder="1" applyAlignment="1" applyProtection="1">
      <alignment horizontal="right" vertical="top"/>
    </xf>
    <xf numFmtId="0" fontId="56" fillId="0" borderId="20" xfId="0" applyFont="1" applyBorder="1" applyAlignment="1">
      <alignment horizontal="left" vertical="top"/>
    </xf>
    <xf numFmtId="169" fontId="56" fillId="0" borderId="20" xfId="1" applyNumberFormat="1" applyFont="1" applyBorder="1" applyAlignment="1" applyProtection="1">
      <alignment vertical="top"/>
    </xf>
    <xf numFmtId="0" fontId="49" fillId="0" borderId="1" xfId="3" quotePrefix="1" applyFont="1" applyBorder="1" applyAlignment="1" applyProtection="1">
      <alignment vertical="top"/>
    </xf>
    <xf numFmtId="169" fontId="49" fillId="0" borderId="1" xfId="3" quotePrefix="1" applyNumberFormat="1" applyFont="1" applyBorder="1" applyAlignment="1" applyProtection="1">
      <alignment vertical="top"/>
    </xf>
    <xf numFmtId="0" fontId="57" fillId="16" borderId="0" xfId="0" applyFont="1" applyFill="1" applyAlignment="1">
      <alignment vertical="top"/>
    </xf>
    <xf numFmtId="0" fontId="57" fillId="16" borderId="1" xfId="0" applyFont="1" applyFill="1" applyBorder="1" applyAlignment="1">
      <alignment vertical="top"/>
    </xf>
    <xf numFmtId="0" fontId="49" fillId="16" borderId="1" xfId="3" applyFont="1" applyFill="1" applyBorder="1" applyAlignment="1" applyProtection="1">
      <alignment horizontal="left" vertical="top"/>
    </xf>
    <xf numFmtId="0" fontId="49" fillId="16" borderId="1" xfId="3" quotePrefix="1" applyFont="1" applyFill="1" applyBorder="1" applyAlignment="1" applyProtection="1">
      <alignment vertical="top"/>
    </xf>
    <xf numFmtId="169" fontId="49" fillId="16" borderId="1" xfId="4" applyNumberFormat="1" applyFont="1" applyFill="1" applyBorder="1" applyAlignment="1" applyProtection="1">
      <alignment vertical="top"/>
    </xf>
    <xf numFmtId="169" fontId="49" fillId="16" borderId="1" xfId="3" quotePrefix="1" applyNumberFormat="1" applyFont="1" applyFill="1" applyBorder="1" applyAlignment="1" applyProtection="1">
      <alignment vertical="top"/>
    </xf>
    <xf numFmtId="169" fontId="53" fillId="16" borderId="19" xfId="0" applyNumberFormat="1" applyFont="1" applyFill="1" applyBorder="1" applyAlignment="1">
      <alignment horizontal="left" vertical="top"/>
    </xf>
    <xf numFmtId="166" fontId="51" fillId="16" borderId="14" xfId="2" applyNumberFormat="1" applyFont="1" applyFill="1" applyBorder="1" applyAlignment="1" applyProtection="1">
      <alignment horizontal="center" vertical="top"/>
    </xf>
    <xf numFmtId="166" fontId="51" fillId="16" borderId="1" xfId="2" applyNumberFormat="1" applyFont="1" applyFill="1" applyBorder="1" applyAlignment="1" applyProtection="1">
      <alignment horizontal="center" vertical="top"/>
    </xf>
    <xf numFmtId="0" fontId="49" fillId="0" borderId="19" xfId="3" applyFont="1" applyBorder="1" applyAlignment="1" applyProtection="1">
      <alignment horizontal="left" vertical="top"/>
    </xf>
    <xf numFmtId="170" fontId="49" fillId="0" borderId="19" xfId="3" quotePrefix="1" applyNumberFormat="1" applyFont="1" applyBorder="1" applyAlignment="1" applyProtection="1">
      <alignment horizontal="left" vertical="top"/>
    </xf>
    <xf numFmtId="169" fontId="49" fillId="0" borderId="19" xfId="4" applyNumberFormat="1" applyFont="1" applyBorder="1" applyAlignment="1" applyProtection="1">
      <alignment vertical="top"/>
    </xf>
    <xf numFmtId="169" fontId="49" fillId="0" borderId="19" xfId="3" quotePrefix="1" applyNumberFormat="1" applyFont="1" applyBorder="1" applyAlignment="1" applyProtection="1">
      <alignment horizontal="left" vertical="top"/>
    </xf>
    <xf numFmtId="171" fontId="53" fillId="0" borderId="1" xfId="0" quotePrefix="1" applyNumberFormat="1" applyFont="1" applyBorder="1" applyAlignment="1">
      <alignment horizontal="left" vertical="top"/>
    </xf>
    <xf numFmtId="169" fontId="53" fillId="2" borderId="1" xfId="1" applyNumberFormat="1" applyFont="1" applyFill="1" applyBorder="1" applyAlignment="1" applyProtection="1">
      <alignment vertical="top"/>
    </xf>
    <xf numFmtId="0" fontId="57" fillId="9" borderId="0" xfId="0" applyFont="1" applyFill="1" applyAlignment="1">
      <alignment vertical="top"/>
    </xf>
    <xf numFmtId="169" fontId="53" fillId="0" borderId="1" xfId="1" applyNumberFormat="1" applyFont="1" applyBorder="1" applyAlignment="1" applyProtection="1">
      <alignment horizontal="right" vertical="top"/>
    </xf>
    <xf numFmtId="169" fontId="53" fillId="0" borderId="20" xfId="1" applyNumberFormat="1" applyFont="1" applyBorder="1" applyAlignment="1" applyProtection="1">
      <alignment horizontal="right" vertical="top"/>
    </xf>
    <xf numFmtId="0" fontId="57" fillId="0" borderId="0" xfId="0" applyFont="1" applyAlignment="1">
      <alignment horizontal="left" vertical="top"/>
    </xf>
    <xf numFmtId="49" fontId="53" fillId="0" borderId="1" xfId="0" applyNumberFormat="1" applyFont="1" applyBorder="1" applyAlignment="1">
      <alignment horizontal="left" vertical="top"/>
    </xf>
    <xf numFmtId="49" fontId="53" fillId="0" borderId="19" xfId="0" applyNumberFormat="1" applyFont="1" applyBorder="1" applyAlignment="1">
      <alignment horizontal="left" vertical="top"/>
    </xf>
    <xf numFmtId="165" fontId="53" fillId="0" borderId="19" xfId="0" applyNumberFormat="1" applyFont="1" applyBorder="1" applyAlignment="1">
      <alignment horizontal="left" vertical="top"/>
    </xf>
    <xf numFmtId="169" fontId="57" fillId="0" borderId="19" xfId="0" applyNumberFormat="1" applyFont="1" applyBorder="1" applyAlignment="1">
      <alignment horizontal="left" vertical="top"/>
    </xf>
    <xf numFmtId="0" fontId="56" fillId="0" borderId="1" xfId="5" applyNumberFormat="1" applyFont="1" applyBorder="1" applyAlignment="1" applyProtection="1">
      <alignment horizontal="left" vertical="top"/>
    </xf>
    <xf numFmtId="0" fontId="49" fillId="0" borderId="1" xfId="5" applyNumberFormat="1" applyFont="1" applyBorder="1" applyAlignment="1" applyProtection="1">
      <alignment horizontal="left" vertical="top"/>
    </xf>
    <xf numFmtId="165" fontId="49" fillId="0" borderId="1" xfId="0" applyNumberFormat="1" applyFont="1" applyBorder="1" applyAlignment="1">
      <alignment horizontal="left" vertical="top"/>
    </xf>
    <xf numFmtId="166" fontId="51" fillId="0" borderId="1" xfId="2" applyNumberFormat="1" applyFont="1" applyBorder="1" applyAlignment="1" applyProtection="1">
      <alignment horizontal="left" vertical="top"/>
    </xf>
    <xf numFmtId="164" fontId="49" fillId="0" borderId="0" xfId="1" applyFont="1" applyAlignment="1" applyProtection="1">
      <alignment horizontal="left" vertical="top"/>
    </xf>
    <xf numFmtId="165" fontId="53" fillId="0" borderId="1" xfId="0" applyNumberFormat="1" applyFont="1" applyBorder="1" applyAlignment="1">
      <alignment horizontal="left" vertical="top"/>
    </xf>
    <xf numFmtId="169" fontId="57" fillId="0" borderId="0" xfId="4" applyNumberFormat="1" applyFont="1" applyAlignment="1" applyProtection="1">
      <alignment horizontal="left" vertical="top"/>
    </xf>
    <xf numFmtId="169" fontId="49" fillId="0" borderId="0" xfId="0" applyNumberFormat="1" applyFont="1" applyAlignment="1">
      <alignment horizontal="left" vertical="top"/>
    </xf>
    <xf numFmtId="169" fontId="56" fillId="0" borderId="20" xfId="2" applyNumberFormat="1" applyFont="1" applyBorder="1" applyAlignment="1" applyProtection="1">
      <alignment horizontal="center" vertical="top"/>
    </xf>
    <xf numFmtId="169" fontId="49" fillId="0" borderId="14" xfId="2" applyNumberFormat="1" applyFont="1" applyBorder="1" applyAlignment="1" applyProtection="1">
      <alignment horizontal="left" vertical="top"/>
    </xf>
    <xf numFmtId="166" fontId="51" fillId="0" borderId="14" xfId="2" applyNumberFormat="1" applyFont="1" applyBorder="1" applyAlignment="1" applyProtection="1">
      <alignment horizontal="left" vertical="top"/>
    </xf>
    <xf numFmtId="0" fontId="56" fillId="0" borderId="19" xfId="5" applyNumberFormat="1" applyFont="1" applyBorder="1" applyAlignment="1" applyProtection="1">
      <alignment horizontal="left" vertical="top"/>
    </xf>
    <xf numFmtId="170" fontId="56" fillId="0" borderId="19" xfId="0" quotePrefix="1" applyNumberFormat="1" applyFont="1" applyBorder="1" applyAlignment="1">
      <alignment horizontal="left" vertical="top"/>
    </xf>
    <xf numFmtId="0" fontId="53" fillId="0" borderId="1" xfId="5" applyNumberFormat="1" applyFont="1" applyBorder="1" applyAlignment="1" applyProtection="1">
      <alignment horizontal="left" vertical="top"/>
    </xf>
    <xf numFmtId="169" fontId="49" fillId="0" borderId="1" xfId="4" applyNumberFormat="1" applyFont="1" applyBorder="1" applyAlignment="1" applyProtection="1">
      <alignment horizontal="left" vertical="top"/>
    </xf>
    <xf numFmtId="0" fontId="57" fillId="16" borderId="0" xfId="0" applyFont="1" applyFill="1" applyAlignment="1">
      <alignment horizontal="left" vertical="top"/>
    </xf>
    <xf numFmtId="49" fontId="56" fillId="16" borderId="1" xfId="0" applyNumberFormat="1" applyFont="1" applyFill="1" applyBorder="1" applyAlignment="1">
      <alignment horizontal="left" vertical="top"/>
    </xf>
    <xf numFmtId="0" fontId="49" fillId="16" borderId="1" xfId="5" applyNumberFormat="1" applyFont="1" applyFill="1" applyBorder="1" applyAlignment="1" applyProtection="1">
      <alignment horizontal="left" vertical="top"/>
    </xf>
    <xf numFmtId="165" fontId="49" fillId="16" borderId="1" xfId="0" applyNumberFormat="1" applyFont="1" applyFill="1" applyBorder="1" applyAlignment="1">
      <alignment horizontal="left" vertical="top"/>
    </xf>
    <xf numFmtId="169" fontId="57" fillId="16" borderId="1" xfId="0" applyNumberFormat="1" applyFont="1" applyFill="1" applyBorder="1" applyAlignment="1">
      <alignment horizontal="left" vertical="top"/>
    </xf>
    <xf numFmtId="169" fontId="49" fillId="16" borderId="1" xfId="0" applyNumberFormat="1" applyFont="1" applyFill="1" applyBorder="1" applyAlignment="1">
      <alignment horizontal="left" vertical="top"/>
    </xf>
    <xf numFmtId="166" fontId="51" fillId="16" borderId="1" xfId="2" applyNumberFormat="1" applyFont="1" applyFill="1" applyBorder="1" applyAlignment="1" applyProtection="1">
      <alignment horizontal="left" vertical="top"/>
    </xf>
    <xf numFmtId="0" fontId="53" fillId="0" borderId="19" xfId="5" applyNumberFormat="1" applyFont="1" applyBorder="1" applyAlignment="1" applyProtection="1">
      <alignment horizontal="left" vertical="top"/>
    </xf>
    <xf numFmtId="169" fontId="53" fillId="0" borderId="19" xfId="1" applyNumberFormat="1" applyFont="1" applyBorder="1" applyAlignment="1" applyProtection="1">
      <alignment horizontal="left" vertical="top"/>
    </xf>
    <xf numFmtId="0" fontId="55" fillId="0" borderId="0" xfId="0" applyFont="1" applyAlignment="1">
      <alignment horizontal="left" vertical="top"/>
    </xf>
    <xf numFmtId="1" fontId="53" fillId="0" borderId="1" xfId="0" applyNumberFormat="1" applyFont="1" applyBorder="1" applyAlignment="1">
      <alignment horizontal="left" vertical="top"/>
    </xf>
    <xf numFmtId="169" fontId="57" fillId="0" borderId="0" xfId="0" applyNumberFormat="1" applyFont="1" applyAlignment="1">
      <alignment horizontal="left" vertical="top"/>
    </xf>
    <xf numFmtId="169" fontId="57" fillId="0" borderId="0" xfId="0" quotePrefix="1" applyNumberFormat="1" applyFont="1" applyAlignment="1">
      <alignment horizontal="left" vertical="top"/>
    </xf>
    <xf numFmtId="3" fontId="49" fillId="0" borderId="0" xfId="0" applyNumberFormat="1" applyFont="1" applyAlignment="1">
      <alignment horizontal="left" vertical="top"/>
    </xf>
    <xf numFmtId="165" fontId="49" fillId="0" borderId="1" xfId="8" applyNumberFormat="1" applyFont="1" applyBorder="1" applyAlignment="1" applyProtection="1">
      <alignment horizontal="left" vertical="top"/>
    </xf>
    <xf numFmtId="165" fontId="56" fillId="0" borderId="1" xfId="8" applyNumberFormat="1" applyFont="1" applyBorder="1" applyAlignment="1" applyProtection="1">
      <alignment horizontal="left" vertical="top"/>
    </xf>
    <xf numFmtId="169" fontId="56" fillId="0" borderId="1" xfId="5" applyNumberFormat="1" applyFont="1" applyBorder="1" applyAlignment="1" applyProtection="1">
      <alignment horizontal="left" vertical="top"/>
    </xf>
    <xf numFmtId="0" fontId="56" fillId="0" borderId="20" xfId="5" applyNumberFormat="1" applyFont="1" applyBorder="1" applyAlignment="1" applyProtection="1">
      <alignment horizontal="left" vertical="top"/>
    </xf>
    <xf numFmtId="165" fontId="56" fillId="0" borderId="20" xfId="0" applyNumberFormat="1" applyFont="1" applyBorder="1" applyAlignment="1">
      <alignment horizontal="left" vertical="top"/>
    </xf>
    <xf numFmtId="166" fontId="51" fillId="16" borderId="14" xfId="2" applyNumberFormat="1" applyFont="1" applyFill="1" applyBorder="1" applyAlignment="1" applyProtection="1">
      <alignment horizontal="left" vertical="top"/>
    </xf>
    <xf numFmtId="166" fontId="51" fillId="0" borderId="23" xfId="2" applyNumberFormat="1" applyFont="1" applyBorder="1" applyAlignment="1" applyProtection="1">
      <alignment horizontal="left" vertical="top"/>
    </xf>
    <xf numFmtId="166" fontId="51" fillId="0" borderId="20" xfId="2" applyNumberFormat="1" applyFont="1" applyBorder="1" applyAlignment="1" applyProtection="1">
      <alignment horizontal="left" vertical="top"/>
    </xf>
    <xf numFmtId="0" fontId="56" fillId="0" borderId="21" xfId="5" applyNumberFormat="1" applyFont="1" applyBorder="1" applyAlignment="1" applyProtection="1">
      <alignment horizontal="left" vertical="top"/>
    </xf>
    <xf numFmtId="165" fontId="56" fillId="0" borderId="21" xfId="0" applyNumberFormat="1" applyFont="1" applyBorder="1" applyAlignment="1">
      <alignment horizontal="left" vertical="top"/>
    </xf>
    <xf numFmtId="169" fontId="56" fillId="0" borderId="21" xfId="2" applyNumberFormat="1" applyFont="1" applyBorder="1" applyAlignment="1" applyProtection="1">
      <alignment horizontal="left" vertical="top"/>
    </xf>
    <xf numFmtId="0" fontId="49" fillId="0" borderId="19" xfId="5" applyNumberFormat="1" applyFont="1" applyBorder="1" applyAlignment="1" applyProtection="1">
      <alignment horizontal="left" vertical="top"/>
    </xf>
    <xf numFmtId="165" fontId="49" fillId="0" borderId="19" xfId="0" applyNumberFormat="1" applyFont="1" applyBorder="1" applyAlignment="1">
      <alignment horizontal="left" vertical="top"/>
    </xf>
    <xf numFmtId="166" fontId="51" fillId="0" borderId="19" xfId="2" applyNumberFormat="1" applyFont="1" applyBorder="1" applyAlignment="1" applyProtection="1">
      <alignment horizontal="left" vertical="top"/>
    </xf>
    <xf numFmtId="169" fontId="56" fillId="0" borderId="1" xfId="8" applyNumberFormat="1" applyFont="1" applyBorder="1" applyAlignment="1" applyProtection="1">
      <alignment horizontal="left" vertical="top"/>
    </xf>
    <xf numFmtId="165" fontId="56" fillId="0" borderId="12" xfId="0" applyNumberFormat="1" applyFont="1" applyBorder="1" applyAlignment="1">
      <alignment vertical="top"/>
    </xf>
    <xf numFmtId="165" fontId="56" fillId="0" borderId="13" xfId="0" applyNumberFormat="1" applyFont="1" applyBorder="1" applyAlignment="1">
      <alignment vertical="top"/>
    </xf>
    <xf numFmtId="169" fontId="56" fillId="0" borderId="13" xfId="0" applyNumberFormat="1" applyFont="1" applyBorder="1" applyAlignment="1">
      <alignment vertical="top"/>
    </xf>
    <xf numFmtId="165" fontId="56" fillId="0" borderId="14" xfId="0" applyNumberFormat="1" applyFont="1" applyBorder="1" applyAlignment="1">
      <alignment vertical="top"/>
    </xf>
    <xf numFmtId="169" fontId="57" fillId="0" borderId="1" xfId="4" applyNumberFormat="1" applyFont="1" applyBorder="1" applyAlignment="1" applyProtection="1">
      <alignment horizontal="left" vertical="top"/>
    </xf>
    <xf numFmtId="169" fontId="53" fillId="0" borderId="0" xfId="4" applyNumberFormat="1" applyFont="1" applyAlignment="1" applyProtection="1">
      <alignment horizontal="left" vertical="top"/>
    </xf>
    <xf numFmtId="49" fontId="51" fillId="0" borderId="1" xfId="0" applyNumberFormat="1" applyFont="1" applyBorder="1" applyAlignment="1">
      <alignment horizontal="left" vertical="top"/>
    </xf>
    <xf numFmtId="165" fontId="53" fillId="0" borderId="12" xfId="0" applyNumberFormat="1" applyFont="1" applyBorder="1" applyAlignment="1">
      <alignment horizontal="center" vertical="top"/>
    </xf>
    <xf numFmtId="165" fontId="53" fillId="0" borderId="14" xfId="0" applyNumberFormat="1" applyFont="1" applyBorder="1" applyAlignment="1">
      <alignment horizontal="center" vertical="top"/>
    </xf>
    <xf numFmtId="165" fontId="53" fillId="0" borderId="1" xfId="0" applyNumberFormat="1" applyFont="1" applyBorder="1" applyAlignment="1">
      <alignment horizontal="center" vertical="top"/>
    </xf>
    <xf numFmtId="49" fontId="51" fillId="0" borderId="20" xfId="0" applyNumberFormat="1" applyFont="1" applyBorder="1" applyAlignment="1">
      <alignment horizontal="left" vertical="top"/>
    </xf>
    <xf numFmtId="165" fontId="53" fillId="0" borderId="20" xfId="0" applyNumberFormat="1" applyFont="1" applyBorder="1" applyAlignment="1">
      <alignment horizontal="left" vertical="top"/>
    </xf>
    <xf numFmtId="165" fontId="53" fillId="0" borderId="20" xfId="0" applyNumberFormat="1" applyFont="1" applyBorder="1" applyAlignment="1">
      <alignment horizontal="center" vertical="top"/>
    </xf>
    <xf numFmtId="0" fontId="49" fillId="0" borderId="19" xfId="0" applyFont="1" applyBorder="1" applyAlignment="1">
      <alignment horizontal="left" vertical="top"/>
    </xf>
    <xf numFmtId="166" fontId="56" fillId="0" borderId="19" xfId="1" applyNumberFormat="1" applyFont="1" applyBorder="1" applyAlignment="1" applyProtection="1">
      <alignment horizontal="left" vertical="top"/>
    </xf>
    <xf numFmtId="49" fontId="56" fillId="0" borderId="19" xfId="1" applyNumberFormat="1" applyFont="1" applyBorder="1" applyAlignment="1" applyProtection="1">
      <alignment vertical="top"/>
    </xf>
    <xf numFmtId="169" fontId="49" fillId="0" borderId="19" xfId="0" applyNumberFormat="1" applyFont="1" applyBorder="1" applyAlignment="1">
      <alignment vertical="top"/>
    </xf>
    <xf numFmtId="169" fontId="56" fillId="0" borderId="19" xfId="1" applyNumberFormat="1" applyFont="1" applyBorder="1" applyAlignment="1" applyProtection="1">
      <alignment vertical="top"/>
    </xf>
    <xf numFmtId="49" fontId="56" fillId="0" borderId="1" xfId="1" applyNumberFormat="1" applyFont="1" applyBorder="1" applyAlignment="1" applyProtection="1">
      <alignment vertical="top"/>
    </xf>
    <xf numFmtId="0" fontId="56" fillId="0" borderId="1" xfId="1" applyNumberFormat="1" applyFont="1" applyBorder="1" applyAlignment="1" applyProtection="1">
      <alignment horizontal="left" vertical="top"/>
    </xf>
    <xf numFmtId="49" fontId="56" fillId="0" borderId="1" xfId="1" applyNumberFormat="1" applyFont="1" applyBorder="1" applyAlignment="1" applyProtection="1">
      <alignment horizontal="left" vertical="top"/>
    </xf>
    <xf numFmtId="169" fontId="56" fillId="0" borderId="1" xfId="0" applyNumberFormat="1" applyFont="1" applyBorder="1" applyAlignment="1">
      <alignment horizontal="right" vertical="top"/>
    </xf>
    <xf numFmtId="0" fontId="49" fillId="0" borderId="1" xfId="1" applyNumberFormat="1" applyFont="1" applyBorder="1" applyAlignment="1" applyProtection="1">
      <alignment horizontal="left" vertical="top"/>
    </xf>
    <xf numFmtId="49" fontId="49" fillId="0" borderId="1" xfId="1" applyNumberFormat="1" applyFont="1" applyBorder="1" applyAlignment="1" applyProtection="1">
      <alignment horizontal="left" vertical="top"/>
    </xf>
    <xf numFmtId="169" fontId="49" fillId="0" borderId="0" xfId="0" applyNumberFormat="1" applyFont="1" applyAlignment="1">
      <alignment horizontal="right" vertical="top"/>
    </xf>
    <xf numFmtId="169" fontId="49" fillId="0" borderId="0" xfId="1" applyNumberFormat="1" applyFont="1" applyAlignment="1" applyProtection="1">
      <alignment horizontal="left" vertical="top"/>
    </xf>
    <xf numFmtId="166" fontId="51" fillId="0" borderId="1" xfId="2" applyNumberFormat="1" applyFont="1" applyBorder="1" applyAlignment="1" applyProtection="1">
      <alignment vertical="top"/>
    </xf>
    <xf numFmtId="169" fontId="49" fillId="0" borderId="1" xfId="0" applyNumberFormat="1" applyFont="1" applyBorder="1" applyAlignment="1">
      <alignment horizontal="right" vertical="top"/>
    </xf>
    <xf numFmtId="166" fontId="53" fillId="0" borderId="1" xfId="2" applyNumberFormat="1" applyFont="1" applyBorder="1" applyAlignment="1" applyProtection="1">
      <alignment vertical="top"/>
    </xf>
    <xf numFmtId="166" fontId="53" fillId="0" borderId="1" xfId="1" applyNumberFormat="1" applyFont="1" applyBorder="1" applyAlignment="1" applyProtection="1">
      <alignment horizontal="left" vertical="top"/>
    </xf>
    <xf numFmtId="49" fontId="53" fillId="0" borderId="1" xfId="1" applyNumberFormat="1" applyFont="1" applyBorder="1" applyAlignment="1" applyProtection="1">
      <alignment vertical="top"/>
    </xf>
    <xf numFmtId="169" fontId="53" fillId="0" borderId="1" xfId="0" applyNumberFormat="1" applyFont="1" applyBorder="1" applyAlignment="1">
      <alignment horizontal="right" vertical="top"/>
    </xf>
    <xf numFmtId="49" fontId="56" fillId="0" borderId="1" xfId="2" applyNumberFormat="1" applyFont="1" applyBorder="1" applyAlignment="1" applyProtection="1">
      <alignment horizontal="right" vertical="top"/>
    </xf>
    <xf numFmtId="169" fontId="56" fillId="0" borderId="1" xfId="2" applyNumberFormat="1" applyFont="1" applyBorder="1" applyAlignment="1" applyProtection="1">
      <alignment horizontal="right" vertical="top"/>
    </xf>
    <xf numFmtId="49" fontId="53" fillId="0" borderId="1" xfId="2" applyNumberFormat="1" applyFont="1" applyBorder="1" applyAlignment="1" applyProtection="1">
      <alignment horizontal="left" vertical="top"/>
    </xf>
    <xf numFmtId="169" fontId="53" fillId="0" borderId="1" xfId="2" applyNumberFormat="1" applyFont="1" applyBorder="1" applyAlignment="1" applyProtection="1">
      <alignment horizontal="right" vertical="top"/>
    </xf>
    <xf numFmtId="169" fontId="51" fillId="0" borderId="1" xfId="0" applyNumberFormat="1" applyFont="1" applyBorder="1" applyAlignment="1">
      <alignment horizontal="right" vertical="top"/>
    </xf>
    <xf numFmtId="166" fontId="49" fillId="0" borderId="1" xfId="0" applyNumberFormat="1" applyFont="1" applyBorder="1" applyAlignment="1">
      <alignment horizontal="right" vertical="top"/>
    </xf>
    <xf numFmtId="169" fontId="56" fillId="0" borderId="1" xfId="1" applyNumberFormat="1" applyFont="1" applyBorder="1" applyAlignment="1" applyProtection="1">
      <alignment horizontal="right" vertical="top"/>
    </xf>
    <xf numFmtId="169" fontId="49" fillId="0" borderId="1" xfId="1" applyNumberFormat="1" applyFont="1" applyBorder="1" applyAlignment="1" applyProtection="1">
      <alignment horizontal="right" vertical="top"/>
    </xf>
    <xf numFmtId="166" fontId="51" fillId="0" borderId="1" xfId="1" applyNumberFormat="1" applyFont="1" applyBorder="1" applyAlignment="1" applyProtection="1">
      <alignment vertical="top"/>
    </xf>
    <xf numFmtId="166" fontId="53" fillId="0" borderId="1" xfId="1" applyNumberFormat="1" applyFont="1" applyBorder="1" applyAlignment="1" applyProtection="1">
      <alignment horizontal="right" vertical="top"/>
    </xf>
    <xf numFmtId="166" fontId="53" fillId="0" borderId="1" xfId="1" applyNumberFormat="1" applyFont="1" applyBorder="1" applyAlignment="1" applyProtection="1">
      <alignment vertical="top"/>
    </xf>
    <xf numFmtId="166" fontId="56" fillId="0" borderId="1" xfId="1" applyNumberFormat="1" applyFont="1" applyBorder="1" applyAlignment="1" applyProtection="1">
      <alignment horizontal="right" vertical="top"/>
    </xf>
    <xf numFmtId="49" fontId="53" fillId="0" borderId="1" xfId="1" applyNumberFormat="1" applyFont="1" applyBorder="1" applyAlignment="1" applyProtection="1">
      <alignment horizontal="right" vertical="top"/>
    </xf>
    <xf numFmtId="49" fontId="56" fillId="0" borderId="1" xfId="1" applyNumberFormat="1" applyFont="1" applyBorder="1" applyAlignment="1" applyProtection="1">
      <alignment horizontal="right" vertical="top"/>
    </xf>
    <xf numFmtId="166" fontId="53" fillId="0" borderId="1" xfId="0" applyNumberFormat="1" applyFont="1" applyBorder="1" applyAlignment="1">
      <alignment vertical="top"/>
    </xf>
    <xf numFmtId="49" fontId="49" fillId="0" borderId="1" xfId="1" applyNumberFormat="1" applyFont="1" applyBorder="1" applyAlignment="1" applyProtection="1">
      <alignment vertical="top"/>
    </xf>
    <xf numFmtId="0" fontId="49" fillId="0" borderId="20" xfId="1" applyNumberFormat="1" applyFont="1" applyBorder="1" applyAlignment="1" applyProtection="1">
      <alignment horizontal="left" vertical="top"/>
    </xf>
    <xf numFmtId="49" fontId="49" fillId="0" borderId="20" xfId="0" applyNumberFormat="1" applyFont="1" applyBorder="1" applyAlignment="1">
      <alignment vertical="top"/>
    </xf>
    <xf numFmtId="169" fontId="49" fillId="0" borderId="20" xfId="0" applyNumberFormat="1" applyFont="1" applyBorder="1" applyAlignment="1">
      <alignment horizontal="right" vertical="top"/>
    </xf>
    <xf numFmtId="166" fontId="51" fillId="0" borderId="20" xfId="2" applyNumberFormat="1" applyFont="1" applyBorder="1" applyAlignment="1" applyProtection="1">
      <alignment horizontal="center" vertical="top"/>
    </xf>
    <xf numFmtId="0" fontId="49" fillId="0" borderId="21" xfId="0" applyFont="1" applyBorder="1" applyAlignment="1">
      <alignment horizontal="left" vertical="top"/>
    </xf>
    <xf numFmtId="49" fontId="56" fillId="0" borderId="21" xfId="0" applyNumberFormat="1" applyFont="1" applyBorder="1" applyAlignment="1">
      <alignment horizontal="left" vertical="top"/>
    </xf>
    <xf numFmtId="0" fontId="49" fillId="0" borderId="21" xfId="1" applyNumberFormat="1" applyFont="1" applyBorder="1" applyAlignment="1" applyProtection="1">
      <alignment horizontal="left" vertical="top"/>
    </xf>
    <xf numFmtId="49" fontId="49" fillId="0" borderId="21" xfId="1" applyNumberFormat="1" applyFont="1" applyBorder="1" applyAlignment="1" applyProtection="1">
      <alignment horizontal="left" vertical="top"/>
    </xf>
    <xf numFmtId="0" fontId="49" fillId="0" borderId="19" xfId="1" applyNumberFormat="1" applyFont="1" applyBorder="1" applyAlignment="1" applyProtection="1">
      <alignment horizontal="left" vertical="top"/>
    </xf>
    <xf numFmtId="49" fontId="58" fillId="0" borderId="19" xfId="0" applyNumberFormat="1" applyFont="1" applyBorder="1" applyAlignment="1">
      <alignment vertical="top"/>
    </xf>
    <xf numFmtId="169" fontId="58" fillId="0" borderId="0" xfId="0" applyNumberFormat="1" applyFont="1" applyAlignment="1">
      <alignment vertical="top"/>
    </xf>
    <xf numFmtId="49" fontId="57" fillId="0" borderId="1" xfId="0" quotePrefix="1" applyNumberFormat="1" applyFont="1" applyBorder="1" applyAlignment="1">
      <alignment horizontal="left" vertical="top"/>
    </xf>
    <xf numFmtId="49" fontId="49" fillId="0" borderId="1" xfId="0" quotePrefix="1" applyNumberFormat="1" applyFont="1" applyBorder="1" applyAlignment="1">
      <alignment horizontal="left" vertical="top"/>
    </xf>
    <xf numFmtId="49" fontId="62" fillId="0" borderId="12" xfId="1" applyNumberFormat="1" applyFont="1" applyBorder="1" applyAlignment="1" applyProtection="1">
      <alignment horizontal="left" vertical="top"/>
    </xf>
    <xf numFmtId="169" fontId="49" fillId="0" borderId="17" xfId="0" applyNumberFormat="1" applyFont="1" applyBorder="1" applyAlignment="1">
      <alignment horizontal="right" vertical="top"/>
    </xf>
    <xf numFmtId="169" fontId="62" fillId="0" borderId="17" xfId="1" applyNumberFormat="1" applyFont="1" applyBorder="1" applyAlignment="1" applyProtection="1">
      <alignment horizontal="left" vertical="top"/>
    </xf>
    <xf numFmtId="169" fontId="49" fillId="0" borderId="16" xfId="0" applyNumberFormat="1" applyFont="1" applyBorder="1" applyAlignment="1">
      <alignment horizontal="right" vertical="top"/>
    </xf>
    <xf numFmtId="0" fontId="56" fillId="0" borderId="20" xfId="1" applyNumberFormat="1" applyFont="1" applyBorder="1" applyAlignment="1" applyProtection="1">
      <alignment horizontal="left" vertical="top"/>
    </xf>
    <xf numFmtId="49" fontId="56" fillId="0" borderId="20" xfId="1" applyNumberFormat="1" applyFont="1" applyBorder="1" applyAlignment="1" applyProtection="1">
      <alignment horizontal="left" vertical="top"/>
    </xf>
    <xf numFmtId="169" fontId="56" fillId="0" borderId="20" xfId="0" applyNumberFormat="1" applyFont="1" applyBorder="1" applyAlignment="1">
      <alignment horizontal="right" vertical="top"/>
    </xf>
    <xf numFmtId="49" fontId="50" fillId="0" borderId="1" xfId="1" applyNumberFormat="1" applyFont="1" applyBorder="1" applyAlignment="1" applyProtection="1">
      <alignment horizontal="left" vertical="top"/>
    </xf>
    <xf numFmtId="169" fontId="58" fillId="0" borderId="1" xfId="1" applyNumberFormat="1" applyFont="1" applyBorder="1" applyAlignment="1" applyProtection="1">
      <alignment horizontal="left" vertical="top"/>
    </xf>
    <xf numFmtId="166" fontId="50" fillId="0" borderId="1" xfId="2" applyNumberFormat="1" applyFont="1" applyBorder="1" applyAlignment="1" applyProtection="1">
      <alignment vertical="top"/>
    </xf>
    <xf numFmtId="0" fontId="56" fillId="0" borderId="19" xfId="1" applyNumberFormat="1" applyFont="1" applyBorder="1" applyAlignment="1" applyProtection="1">
      <alignment horizontal="left" vertical="top"/>
    </xf>
    <xf numFmtId="49" fontId="56" fillId="0" borderId="19" xfId="1" applyNumberFormat="1" applyFont="1" applyBorder="1" applyAlignment="1" applyProtection="1">
      <alignment horizontal="left" vertical="top"/>
    </xf>
    <xf numFmtId="169" fontId="56" fillId="0" borderId="19" xfId="1" applyNumberFormat="1" applyFont="1" applyBorder="1" applyAlignment="1" applyProtection="1">
      <alignment horizontal="right" vertical="top"/>
    </xf>
    <xf numFmtId="169" fontId="56" fillId="0" borderId="20" xfId="1" applyNumberFormat="1" applyFont="1" applyBorder="1" applyAlignment="1" applyProtection="1">
      <alignment horizontal="right" vertical="top"/>
    </xf>
    <xf numFmtId="49" fontId="49" fillId="0" borderId="19" xfId="1" applyNumberFormat="1" applyFont="1" applyBorder="1" applyAlignment="1" applyProtection="1">
      <alignment horizontal="left" vertical="top"/>
    </xf>
    <xf numFmtId="169" fontId="53" fillId="2" borderId="1" xfId="1" applyNumberFormat="1" applyFont="1" applyFill="1" applyBorder="1" applyAlignment="1" applyProtection="1">
      <alignment horizontal="right" vertical="top"/>
    </xf>
    <xf numFmtId="164" fontId="51" fillId="0" borderId="1" xfId="2" applyFont="1" applyBorder="1" applyAlignment="1" applyProtection="1">
      <alignment horizontal="left" vertical="top"/>
    </xf>
    <xf numFmtId="0" fontId="53" fillId="0" borderId="1" xfId="2" applyNumberFormat="1" applyFont="1" applyBorder="1" applyAlignment="1" applyProtection="1">
      <alignment horizontal="left" vertical="top"/>
    </xf>
    <xf numFmtId="169" fontId="51" fillId="0" borderId="1" xfId="2" applyNumberFormat="1" applyFont="1" applyBorder="1" applyAlignment="1" applyProtection="1">
      <alignment horizontal="left" vertical="top"/>
    </xf>
    <xf numFmtId="164" fontId="51" fillId="0" borderId="19" xfId="2" applyFont="1" applyBorder="1" applyAlignment="1" applyProtection="1">
      <alignment horizontal="left" vertical="top"/>
    </xf>
    <xf numFmtId="0" fontId="53" fillId="0" borderId="19" xfId="2" applyNumberFormat="1" applyFont="1" applyBorder="1" applyAlignment="1" applyProtection="1">
      <alignment horizontal="left" vertical="top"/>
    </xf>
    <xf numFmtId="169" fontId="53" fillId="0" borderId="19" xfId="2" applyNumberFormat="1" applyFont="1" applyBorder="1" applyAlignment="1" applyProtection="1">
      <alignment horizontal="left" vertical="top"/>
    </xf>
    <xf numFmtId="164" fontId="56" fillId="0" borderId="1" xfId="2" applyFont="1" applyBorder="1" applyAlignment="1" applyProtection="1">
      <alignment vertical="top"/>
    </xf>
    <xf numFmtId="0" fontId="56" fillId="0" borderId="1" xfId="2" applyNumberFormat="1" applyFont="1" applyBorder="1" applyAlignment="1" applyProtection="1">
      <alignment vertical="top"/>
    </xf>
    <xf numFmtId="164" fontId="56" fillId="0" borderId="20" xfId="2" applyFont="1" applyBorder="1" applyAlignment="1" applyProtection="1">
      <alignment horizontal="left" vertical="top"/>
    </xf>
    <xf numFmtId="0" fontId="56" fillId="0" borderId="20" xfId="2" applyNumberFormat="1" applyFont="1" applyBorder="1" applyAlignment="1" applyProtection="1">
      <alignment horizontal="left" vertical="top"/>
    </xf>
    <xf numFmtId="169" fontId="56" fillId="0" borderId="20" xfId="2" applyNumberFormat="1" applyFont="1" applyBorder="1" applyAlignment="1" applyProtection="1">
      <alignment horizontal="right" vertical="top"/>
    </xf>
    <xf numFmtId="0" fontId="49" fillId="0" borderId="1" xfId="2" applyNumberFormat="1" applyFont="1" applyBorder="1" applyAlignment="1" applyProtection="1">
      <alignment vertical="top"/>
    </xf>
    <xf numFmtId="169" fontId="68" fillId="0" borderId="1" xfId="2" applyNumberFormat="1" applyFont="1" applyBorder="1" applyAlignment="1" applyProtection="1">
      <alignment horizontal="center" vertical="top"/>
    </xf>
    <xf numFmtId="172" fontId="68" fillId="0" borderId="1" xfId="2" applyNumberFormat="1" applyFont="1" applyBorder="1" applyAlignment="1" applyProtection="1">
      <alignment horizontal="center" vertical="top"/>
    </xf>
    <xf numFmtId="164" fontId="56" fillId="0" borderId="21" xfId="2" applyFont="1" applyBorder="1" applyAlignment="1" applyProtection="1">
      <alignment horizontal="left" vertical="top"/>
    </xf>
    <xf numFmtId="0" fontId="56" fillId="0" borderId="21" xfId="2" applyNumberFormat="1" applyFont="1" applyBorder="1" applyAlignment="1" applyProtection="1">
      <alignment horizontal="left" vertical="top"/>
    </xf>
    <xf numFmtId="169" fontId="56" fillId="0" borderId="21" xfId="0" applyNumberFormat="1" applyFont="1" applyBorder="1" applyAlignment="1">
      <alignment horizontal="right" vertical="top"/>
    </xf>
    <xf numFmtId="164" fontId="49" fillId="0" borderId="1" xfId="2" applyFont="1" applyBorder="1" applyAlignment="1" applyProtection="1">
      <alignment vertical="top"/>
    </xf>
    <xf numFmtId="169" fontId="68" fillId="0" borderId="1" xfId="2" applyNumberFormat="1" applyFont="1" applyBorder="1" applyAlignment="1" applyProtection="1">
      <alignment vertical="top"/>
    </xf>
    <xf numFmtId="164" fontId="56" fillId="0" borderId="19" xfId="2" applyFont="1" applyBorder="1" applyAlignment="1" applyProtection="1">
      <alignment horizontal="left" vertical="top"/>
    </xf>
    <xf numFmtId="169" fontId="56" fillId="0" borderId="19" xfId="2" applyNumberFormat="1" applyFont="1" applyBorder="1" applyAlignment="1" applyProtection="1">
      <alignment horizontal="right" vertical="top"/>
    </xf>
    <xf numFmtId="0" fontId="69" fillId="0" borderId="1" xfId="0" applyFont="1" applyBorder="1" applyAlignment="1"/>
    <xf numFmtId="169" fontId="50" fillId="0" borderId="1" xfId="2" applyNumberFormat="1" applyFont="1" applyBorder="1" applyAlignment="1" applyProtection="1">
      <alignment vertical="top"/>
    </xf>
    <xf numFmtId="169" fontId="57" fillId="0" borderId="1" xfId="0" applyNumberFormat="1" applyFont="1" applyBorder="1" applyAlignment="1">
      <alignment horizontal="right" vertical="top"/>
    </xf>
    <xf numFmtId="169" fontId="57" fillId="0" borderId="0" xfId="1" applyNumberFormat="1" applyFont="1">
      <protection locked="0"/>
    </xf>
    <xf numFmtId="164" fontId="49" fillId="0" borderId="20" xfId="2" applyFont="1" applyBorder="1" applyAlignment="1" applyProtection="1">
      <alignment horizontal="left" vertical="top"/>
    </xf>
    <xf numFmtId="169" fontId="49" fillId="0" borderId="20" xfId="2" applyNumberFormat="1" applyFont="1" applyBorder="1" applyAlignment="1" applyProtection="1">
      <alignment horizontal="right" vertical="top"/>
    </xf>
    <xf numFmtId="164" fontId="53" fillId="0" borderId="19" xfId="2" applyFont="1" applyBorder="1" applyAlignment="1" applyProtection="1">
      <alignment horizontal="left" vertical="top"/>
    </xf>
    <xf numFmtId="2" fontId="49" fillId="0" borderId="1" xfId="2" applyNumberFormat="1" applyFont="1" applyBorder="1" applyAlignment="1" applyProtection="1">
      <alignment horizontal="left" vertical="top"/>
    </xf>
    <xf numFmtId="164" fontId="49" fillId="0" borderId="19" xfId="2" applyFont="1" applyBorder="1" applyAlignment="1" applyProtection="1">
      <alignment horizontal="left" vertical="top"/>
    </xf>
    <xf numFmtId="169" fontId="55" fillId="0" borderId="19" xfId="0" applyNumberFormat="1" applyFont="1" applyBorder="1" applyAlignment="1">
      <alignment vertical="top"/>
    </xf>
    <xf numFmtId="164" fontId="53" fillId="0" borderId="1" xfId="2" applyFont="1" applyBorder="1" applyAlignment="1" applyProtection="1">
      <alignment horizontal="left" vertical="top"/>
    </xf>
    <xf numFmtId="49" fontId="56" fillId="0" borderId="1" xfId="2" applyNumberFormat="1" applyFont="1" applyBorder="1" applyAlignment="1" applyProtection="1">
      <alignment horizontal="left" vertical="top"/>
    </xf>
    <xf numFmtId="164" fontId="49" fillId="0" borderId="21" xfId="2" applyFont="1" applyBorder="1" applyAlignment="1" applyProtection="1">
      <alignment horizontal="left" vertical="top"/>
    </xf>
    <xf numFmtId="0" fontId="49" fillId="0" borderId="21" xfId="2" applyNumberFormat="1" applyFont="1" applyBorder="1" applyAlignment="1" applyProtection="1">
      <alignment horizontal="left" vertical="top"/>
    </xf>
    <xf numFmtId="169" fontId="49" fillId="0" borderId="21" xfId="2" applyNumberFormat="1" applyFont="1" applyBorder="1" applyAlignment="1" applyProtection="1">
      <alignment horizontal="right" vertical="top"/>
    </xf>
    <xf numFmtId="169" fontId="49" fillId="0" borderId="21" xfId="2" applyNumberFormat="1" applyFont="1" applyBorder="1" applyAlignment="1" applyProtection="1">
      <alignment horizontal="left" vertical="top"/>
    </xf>
    <xf numFmtId="49" fontId="49" fillId="0" borderId="1" xfId="2" applyNumberFormat="1" applyFont="1" applyBorder="1" applyAlignment="1" applyProtection="1">
      <alignment vertical="top"/>
    </xf>
    <xf numFmtId="169" fontId="57" fillId="0" borderId="20" xfId="0" applyNumberFormat="1" applyFont="1" applyBorder="1" applyAlignment="1">
      <alignment horizontal="right" vertical="top"/>
    </xf>
    <xf numFmtId="164" fontId="49" fillId="9" borderId="1" xfId="2" applyFont="1" applyFill="1" applyBorder="1" applyAlignment="1" applyProtection="1">
      <alignment horizontal="left" vertical="top"/>
    </xf>
    <xf numFmtId="0" fontId="49" fillId="9" borderId="1" xfId="2" applyNumberFormat="1" applyFont="1" applyFill="1" applyBorder="1" applyAlignment="1" applyProtection="1">
      <alignment horizontal="left" vertical="top"/>
    </xf>
    <xf numFmtId="49" fontId="49" fillId="9" borderId="1" xfId="2" applyNumberFormat="1" applyFont="1" applyFill="1" applyBorder="1" applyAlignment="1" applyProtection="1">
      <alignment vertical="top"/>
    </xf>
    <xf numFmtId="169" fontId="57" fillId="9" borderId="1" xfId="0" applyNumberFormat="1" applyFont="1" applyFill="1" applyBorder="1" applyAlignment="1">
      <alignment horizontal="right" vertical="top"/>
    </xf>
    <xf numFmtId="169" fontId="49" fillId="9" borderId="1" xfId="2" applyNumberFormat="1" applyFont="1" applyFill="1" applyBorder="1" applyAlignment="1" applyProtection="1">
      <alignment horizontal="right" vertical="top"/>
    </xf>
    <xf numFmtId="0" fontId="69" fillId="9" borderId="1" xfId="0" applyFont="1" applyFill="1" applyBorder="1" applyAlignment="1"/>
    <xf numFmtId="166" fontId="49" fillId="9" borderId="14" xfId="2" applyNumberFormat="1" applyFont="1" applyFill="1" applyBorder="1" applyAlignment="1" applyProtection="1">
      <alignment horizontal="left" vertical="top"/>
    </xf>
    <xf numFmtId="166" fontId="49" fillId="9" borderId="1" xfId="2" applyNumberFormat="1" applyFont="1" applyFill="1" applyBorder="1" applyAlignment="1" applyProtection="1">
      <alignment horizontal="left" vertical="top"/>
    </xf>
    <xf numFmtId="0" fontId="49" fillId="0" borderId="19" xfId="2" applyNumberFormat="1" applyFont="1" applyBorder="1" applyAlignment="1" applyProtection="1">
      <alignment horizontal="left" vertical="top"/>
    </xf>
    <xf numFmtId="169" fontId="57" fillId="0" borderId="19" xfId="0" applyNumberFormat="1" applyFont="1" applyBorder="1" applyAlignment="1">
      <alignment horizontal="right" vertical="top"/>
    </xf>
    <xf numFmtId="164" fontId="49" fillId="9" borderId="20" xfId="2" applyFont="1" applyFill="1" applyBorder="1" applyAlignment="1" applyProtection="1">
      <alignment horizontal="left" vertical="top"/>
    </xf>
    <xf numFmtId="0" fontId="49" fillId="9" borderId="20" xfId="2" applyNumberFormat="1" applyFont="1" applyFill="1" applyBorder="1" applyAlignment="1" applyProtection="1">
      <alignment horizontal="left" vertical="top"/>
    </xf>
    <xf numFmtId="169" fontId="57" fillId="9" borderId="20" xfId="0" applyNumberFormat="1" applyFont="1" applyFill="1" applyBorder="1" applyAlignment="1">
      <alignment horizontal="right" vertical="top"/>
    </xf>
    <xf numFmtId="169" fontId="57" fillId="9" borderId="20" xfId="0" applyNumberFormat="1" applyFont="1" applyFill="1" applyBorder="1" applyAlignment="1">
      <alignment vertical="top"/>
    </xf>
    <xf numFmtId="169" fontId="68" fillId="9" borderId="1" xfId="2" applyNumberFormat="1" applyFont="1" applyFill="1" applyBorder="1" applyAlignment="1" applyProtection="1">
      <alignment vertical="top"/>
    </xf>
    <xf numFmtId="169" fontId="57" fillId="0" borderId="21" xfId="0" applyNumberFormat="1" applyFont="1" applyBorder="1" applyAlignment="1">
      <alignment horizontal="right" vertical="top"/>
    </xf>
    <xf numFmtId="169" fontId="56" fillId="0" borderId="19" xfId="0" applyNumberFormat="1" applyFont="1" applyBorder="1" applyAlignment="1">
      <alignment horizontal="right" vertical="top"/>
    </xf>
    <xf numFmtId="49" fontId="51" fillId="0" borderId="1" xfId="0" applyNumberFormat="1" applyFont="1" applyBorder="1" applyAlignment="1">
      <alignment horizontal="right" vertical="top"/>
    </xf>
    <xf numFmtId="169" fontId="57" fillId="0" borderId="1" xfId="10" applyNumberFormat="1" applyFont="1" applyBorder="1" applyAlignment="1" applyProtection="1">
      <alignment horizontal="right" vertical="top"/>
    </xf>
    <xf numFmtId="169" fontId="55" fillId="0" borderId="1" xfId="10" applyNumberFormat="1" applyFont="1" applyBorder="1" applyAlignment="1" applyProtection="1">
      <alignment horizontal="right" vertical="top"/>
    </xf>
    <xf numFmtId="0" fontId="53" fillId="0" borderId="1" xfId="2" applyNumberFormat="1" applyFont="1" applyBorder="1" applyAlignment="1" applyProtection="1">
      <alignment vertical="top"/>
    </xf>
    <xf numFmtId="0" fontId="57" fillId="0" borderId="1" xfId="2" applyNumberFormat="1" applyFont="1" applyBorder="1" applyAlignment="1" applyProtection="1">
      <alignment horizontal="left" vertical="top"/>
    </xf>
    <xf numFmtId="164" fontId="57" fillId="0" borderId="1" xfId="2" applyFont="1" applyBorder="1" applyAlignment="1" applyProtection="1">
      <alignment horizontal="left" vertical="top"/>
    </xf>
    <xf numFmtId="49" fontId="56" fillId="0" borderId="20" xfId="2" applyNumberFormat="1" applyFont="1" applyBorder="1" applyAlignment="1" applyProtection="1">
      <alignment horizontal="left" vertical="top"/>
    </xf>
    <xf numFmtId="49" fontId="56" fillId="0" borderId="19" xfId="2" applyNumberFormat="1" applyFont="1" applyBorder="1" applyAlignment="1" applyProtection="1">
      <alignment horizontal="left" vertical="top"/>
    </xf>
    <xf numFmtId="169" fontId="49" fillId="0" borderId="19" xfId="0" applyNumberFormat="1" applyFont="1" applyBorder="1" applyAlignment="1">
      <alignment horizontal="right" vertical="top"/>
    </xf>
    <xf numFmtId="2" fontId="56" fillId="0" borderId="12" xfId="2" quotePrefix="1" applyNumberFormat="1" applyFont="1" applyBorder="1" applyAlignment="1" applyProtection="1">
      <alignment vertical="top"/>
    </xf>
    <xf numFmtId="2" fontId="56" fillId="0" borderId="14" xfId="2" quotePrefix="1" applyNumberFormat="1" applyFont="1" applyBorder="1" applyAlignment="1" applyProtection="1">
      <alignment vertical="top"/>
    </xf>
    <xf numFmtId="169" fontId="56" fillId="0" borderId="14" xfId="2" quotePrefix="1" applyNumberFormat="1" applyFont="1" applyBorder="1" applyAlignment="1" applyProtection="1">
      <alignment vertical="top"/>
    </xf>
    <xf numFmtId="169" fontId="55" fillId="0" borderId="1" xfId="0" applyNumberFormat="1" applyFont="1" applyBorder="1" applyAlignment="1">
      <alignment horizontal="right" vertical="top"/>
    </xf>
    <xf numFmtId="49" fontId="49" fillId="0" borderId="1" xfId="0" applyNumberFormat="1" applyFont="1" applyBorder="1" applyAlignment="1">
      <alignment horizontal="right" vertical="top"/>
    </xf>
    <xf numFmtId="164" fontId="53" fillId="0" borderId="1" xfId="2" applyFont="1" applyBorder="1" applyAlignment="1" applyProtection="1">
      <alignment vertical="top"/>
    </xf>
    <xf numFmtId="0" fontId="51" fillId="0" borderId="1" xfId="2" applyNumberFormat="1" applyFont="1" applyBorder="1" applyAlignment="1" applyProtection="1">
      <alignment horizontal="left" vertical="top"/>
    </xf>
    <xf numFmtId="49" fontId="49" fillId="0" borderId="1" xfId="2" applyNumberFormat="1" applyFont="1" applyBorder="1" applyAlignment="1" applyProtection="1">
      <alignment horizontal="left" vertical="top"/>
    </xf>
    <xf numFmtId="3" fontId="57" fillId="0" borderId="1" xfId="0" applyNumberFormat="1" applyFont="1" applyBorder="1" applyAlignment="1">
      <alignment vertical="top"/>
    </xf>
    <xf numFmtId="0" fontId="70" fillId="0" borderId="1" xfId="0" applyFont="1" applyBorder="1" applyAlignment="1"/>
    <xf numFmtId="3" fontId="49" fillId="0" borderId="1" xfId="0" applyNumberFormat="1" applyFont="1" applyBorder="1" applyAlignment="1">
      <alignment vertical="top"/>
    </xf>
    <xf numFmtId="169" fontId="53" fillId="2" borderId="1" xfId="2" applyNumberFormat="1" applyFont="1" applyFill="1" applyBorder="1" applyAlignment="1" applyProtection="1">
      <alignment horizontal="left" vertical="top"/>
    </xf>
    <xf numFmtId="0" fontId="53" fillId="0" borderId="12" xfId="2" applyNumberFormat="1" applyFont="1" applyBorder="1" applyAlignment="1" applyProtection="1">
      <alignment horizontal="center" vertical="top"/>
    </xf>
    <xf numFmtId="0" fontId="53" fillId="0" borderId="14" xfId="2" applyNumberFormat="1" applyFont="1" applyBorder="1" applyAlignment="1" applyProtection="1">
      <alignment horizontal="center" vertical="top"/>
    </xf>
    <xf numFmtId="49" fontId="56" fillId="0" borderId="1" xfId="0" applyNumberFormat="1" applyFont="1" applyBorder="1" applyAlignment="1">
      <alignment horizontal="right" vertical="top"/>
    </xf>
    <xf numFmtId="170" fontId="49" fillId="0" borderId="1" xfId="0" applyNumberFormat="1" applyFont="1" applyBorder="1" applyAlignment="1">
      <alignment vertical="top"/>
    </xf>
    <xf numFmtId="170" fontId="49" fillId="0" borderId="20" xfId="0" applyNumberFormat="1" applyFont="1" applyBorder="1" applyAlignment="1">
      <alignment vertical="top"/>
    </xf>
    <xf numFmtId="169" fontId="55" fillId="0" borderId="1" xfId="1" applyNumberFormat="1" applyFont="1" applyBorder="1" applyAlignment="1" applyProtection="1">
      <alignment horizontal="right" vertical="top"/>
    </xf>
    <xf numFmtId="169" fontId="57" fillId="0" borderId="19" xfId="1" applyNumberFormat="1" applyFont="1" applyBorder="1" applyAlignment="1" applyProtection="1">
      <alignment horizontal="right" vertical="top"/>
    </xf>
    <xf numFmtId="169" fontId="55" fillId="0" borderId="1" xfId="2" applyNumberFormat="1" applyFont="1" applyBorder="1" applyAlignment="1" applyProtection="1">
      <alignment horizontal="right" vertical="top"/>
    </xf>
    <xf numFmtId="169" fontId="57" fillId="0" borderId="1" xfId="2" applyNumberFormat="1" applyFont="1" applyBorder="1" applyAlignment="1" applyProtection="1">
      <alignment horizontal="right" vertical="top"/>
    </xf>
    <xf numFmtId="0" fontId="50" fillId="0" borderId="1" xfId="0" applyFont="1" applyBorder="1" applyAlignment="1"/>
    <xf numFmtId="3" fontId="50" fillId="0" borderId="1" xfId="0" applyNumberFormat="1" applyFont="1" applyBorder="1" applyAlignment="1"/>
    <xf numFmtId="164" fontId="57" fillId="0" borderId="1" xfId="2" applyFont="1" applyBorder="1" applyAlignment="1" applyProtection="1">
      <alignment vertical="top"/>
    </xf>
    <xf numFmtId="169" fontId="57" fillId="0" borderId="1" xfId="2" applyNumberFormat="1" applyFont="1" applyBorder="1" applyAlignment="1" applyProtection="1">
      <alignment vertical="top"/>
    </xf>
    <xf numFmtId="0" fontId="57" fillId="0" borderId="1" xfId="3" applyFont="1" applyBorder="1" applyAlignment="1" applyProtection="1">
      <alignment horizontal="left" vertical="top"/>
    </xf>
    <xf numFmtId="0" fontId="57" fillId="0" borderId="1" xfId="3" applyFont="1" applyBorder="1" applyAlignment="1" applyProtection="1">
      <alignment vertical="top"/>
    </xf>
    <xf numFmtId="169" fontId="57" fillId="0" borderId="1" xfId="3" applyNumberFormat="1" applyFont="1" applyBorder="1" applyAlignment="1" applyProtection="1">
      <alignment vertical="top"/>
    </xf>
    <xf numFmtId="0" fontId="50" fillId="0" borderId="0" xfId="0" applyFont="1" applyAlignment="1"/>
    <xf numFmtId="165" fontId="55" fillId="0" borderId="1" xfId="0" applyNumberFormat="1" applyFont="1" applyBorder="1" applyAlignment="1">
      <alignment vertical="top"/>
    </xf>
    <xf numFmtId="0" fontId="55" fillId="0" borderId="20" xfId="0" applyFont="1" applyBorder="1" applyAlignment="1">
      <alignment vertical="top"/>
    </xf>
    <xf numFmtId="0" fontId="55" fillId="0" borderId="20" xfId="0" applyFont="1" applyBorder="1" applyAlignment="1">
      <alignment horizontal="left" vertical="top"/>
    </xf>
    <xf numFmtId="169" fontId="55" fillId="0" borderId="20" xfId="2" applyNumberFormat="1" applyFont="1" applyBorder="1" applyAlignment="1" applyProtection="1">
      <alignment horizontal="right" vertical="top"/>
    </xf>
    <xf numFmtId="166" fontId="1" fillId="0" borderId="0" xfId="1" applyNumberFormat="1">
      <protection locked="0"/>
    </xf>
    <xf numFmtId="0" fontId="57" fillId="0" borderId="19" xfId="0" applyFont="1" applyBorder="1" applyAlignment="1">
      <alignment horizontal="left" vertical="top"/>
    </xf>
    <xf numFmtId="169" fontId="57" fillId="0" borderId="19" xfId="2" applyNumberFormat="1" applyFont="1" applyBorder="1" applyAlignment="1" applyProtection="1">
      <alignment horizontal="right" vertical="top"/>
    </xf>
    <xf numFmtId="0" fontId="55" fillId="0" borderId="1" xfId="1" applyNumberFormat="1" applyFont="1" applyBorder="1" applyAlignment="1" applyProtection="1">
      <alignment horizontal="right" vertical="top"/>
    </xf>
    <xf numFmtId="0" fontId="57" fillId="0" borderId="1" xfId="1" applyNumberFormat="1" applyFont="1" applyBorder="1" applyAlignment="1" applyProtection="1">
      <alignment horizontal="right" vertical="top"/>
    </xf>
    <xf numFmtId="165" fontId="57" fillId="0" borderId="1" xfId="0" applyNumberFormat="1" applyFont="1" applyBorder="1" applyAlignment="1">
      <alignment vertical="top"/>
    </xf>
    <xf numFmtId="166" fontId="49" fillId="0" borderId="1" xfId="1" applyNumberFormat="1" applyFont="1" applyBorder="1" applyAlignment="1" applyProtection="1">
      <alignment horizontal="right" vertical="top"/>
    </xf>
    <xf numFmtId="166" fontId="56" fillId="0" borderId="1" xfId="2" applyNumberFormat="1" applyFont="1" applyBorder="1" applyAlignment="1" applyProtection="1">
      <alignment horizontal="right" vertical="top"/>
    </xf>
    <xf numFmtId="166" fontId="49" fillId="0" borderId="1" xfId="2" applyNumberFormat="1" applyFont="1" applyBorder="1" applyAlignment="1" applyProtection="1">
      <alignment horizontal="right" vertical="top"/>
    </xf>
    <xf numFmtId="166" fontId="57" fillId="0" borderId="1" xfId="2" applyNumberFormat="1" applyFont="1" applyBorder="1" applyAlignment="1" applyProtection="1">
      <alignment horizontal="right" vertical="top"/>
    </xf>
    <xf numFmtId="169" fontId="53" fillId="2" borderId="1" xfId="2" applyNumberFormat="1" applyFont="1" applyFill="1" applyBorder="1" applyAlignment="1" applyProtection="1">
      <alignment horizontal="right" vertical="top"/>
    </xf>
    <xf numFmtId="0" fontId="53" fillId="0" borderId="19" xfId="0" applyFont="1" applyBorder="1" applyAlignment="1">
      <alignment horizontal="right" vertical="top"/>
    </xf>
    <xf numFmtId="169" fontId="51" fillId="0" borderId="19" xfId="0" applyNumberFormat="1" applyFont="1" applyBorder="1" applyAlignment="1">
      <alignment vertical="top"/>
    </xf>
    <xf numFmtId="169" fontId="55" fillId="0" borderId="12" xfId="1" applyNumberFormat="1" applyFont="1" applyBorder="1" applyAlignment="1" applyProtection="1">
      <alignment vertical="top"/>
    </xf>
    <xf numFmtId="166" fontId="51" fillId="0" borderId="12" xfId="2" applyNumberFormat="1" applyFont="1" applyBorder="1" applyAlignment="1" applyProtection="1">
      <alignment horizontal="center" vertical="top"/>
    </xf>
    <xf numFmtId="164" fontId="50" fillId="0" borderId="0" xfId="1" applyFont="1" applyAlignment="1" applyProtection="1">
      <alignment vertical="top"/>
    </xf>
    <xf numFmtId="0" fontId="49" fillId="9" borderId="1" xfId="0" applyFont="1" applyFill="1" applyBorder="1" applyAlignment="1">
      <alignment horizontal="right" vertical="top"/>
    </xf>
    <xf numFmtId="0" fontId="49" fillId="9" borderId="1" xfId="8" applyFont="1" applyFill="1" applyBorder="1" applyAlignment="1" applyProtection="1">
      <alignment horizontal="left" vertical="top"/>
    </xf>
    <xf numFmtId="169" fontId="57" fillId="9" borderId="1" xfId="1" applyNumberFormat="1" applyFont="1" applyFill="1" applyBorder="1" applyAlignment="1" applyProtection="1">
      <alignment vertical="top"/>
    </xf>
    <xf numFmtId="169" fontId="49" fillId="9" borderId="1" xfId="8" applyNumberFormat="1" applyFont="1" applyFill="1" applyBorder="1" applyAlignment="1" applyProtection="1">
      <alignment horizontal="left" vertical="top"/>
    </xf>
    <xf numFmtId="169" fontId="51" fillId="9" borderId="1" xfId="2" applyNumberFormat="1" applyFont="1" applyFill="1" applyBorder="1" applyAlignment="1" applyProtection="1">
      <alignment horizontal="center" vertical="top"/>
    </xf>
    <xf numFmtId="166" fontId="51" fillId="9" borderId="12" xfId="2" applyNumberFormat="1" applyFont="1" applyFill="1" applyBorder="1" applyAlignment="1" applyProtection="1">
      <alignment horizontal="center" vertical="top"/>
    </xf>
    <xf numFmtId="164" fontId="50" fillId="9" borderId="0" xfId="1" applyFont="1" applyFill="1" applyAlignment="1" applyProtection="1">
      <alignment horizontal="left" vertical="top"/>
    </xf>
    <xf numFmtId="0" fontId="55" fillId="9" borderId="0" xfId="0" applyFont="1" applyFill="1" applyAlignment="1">
      <alignment vertical="top"/>
    </xf>
    <xf numFmtId="0" fontId="49" fillId="9" borderId="1" xfId="0" quotePrefix="1" applyFont="1" applyFill="1" applyBorder="1" applyAlignment="1">
      <alignment horizontal="left" vertical="top"/>
    </xf>
    <xf numFmtId="169" fontId="55" fillId="0" borderId="0" xfId="1" applyNumberFormat="1" applyFont="1" applyAlignment="1" applyProtection="1">
      <alignment vertical="top"/>
    </xf>
    <xf numFmtId="169" fontId="49" fillId="0" borderId="0" xfId="8" applyNumberFormat="1" applyFont="1" applyAlignment="1" applyProtection="1">
      <alignment horizontal="left" vertical="top"/>
    </xf>
    <xf numFmtId="169" fontId="57" fillId="9" borderId="0" xfId="0" applyNumberFormat="1" applyFont="1" applyFill="1" applyAlignment="1">
      <alignment vertical="top"/>
    </xf>
    <xf numFmtId="169" fontId="49" fillId="9" borderId="0" xfId="8" applyNumberFormat="1" applyFont="1" applyFill="1" applyAlignment="1" applyProtection="1">
      <alignment horizontal="left" vertical="top"/>
    </xf>
    <xf numFmtId="0" fontId="56" fillId="0" borderId="1" xfId="8" applyFont="1" applyBorder="1" applyAlignment="1" applyProtection="1">
      <alignment vertical="top"/>
    </xf>
    <xf numFmtId="169" fontId="55" fillId="0" borderId="0" xfId="0" applyNumberFormat="1" applyFont="1" applyAlignment="1">
      <alignment vertical="top"/>
    </xf>
    <xf numFmtId="166" fontId="55" fillId="0" borderId="12" xfId="1" applyNumberFormat="1" applyFont="1" applyBorder="1" applyAlignment="1" applyProtection="1">
      <alignment vertical="top"/>
    </xf>
    <xf numFmtId="169" fontId="55" fillId="2" borderId="1" xfId="1" applyNumberFormat="1" applyFont="1" applyFill="1" applyBorder="1" applyAlignment="1" applyProtection="1">
      <alignment vertical="top"/>
    </xf>
    <xf numFmtId="49" fontId="55" fillId="9" borderId="1" xfId="0" applyNumberFormat="1" applyFont="1" applyFill="1" applyBorder="1" applyAlignment="1">
      <alignment horizontal="right" vertical="top"/>
    </xf>
    <xf numFmtId="0" fontId="57" fillId="9" borderId="1" xfId="0" applyFont="1" applyFill="1" applyBorder="1" applyAlignment="1">
      <alignment horizontal="right" vertical="top"/>
    </xf>
    <xf numFmtId="0" fontId="57" fillId="9" borderId="1" xfId="0" applyFont="1" applyFill="1" applyBorder="1" applyAlignment="1">
      <alignment horizontal="left" vertical="top"/>
    </xf>
    <xf numFmtId="169" fontId="57" fillId="9" borderId="1" xfId="0" applyNumberFormat="1" applyFont="1" applyFill="1" applyBorder="1" applyAlignment="1">
      <alignment horizontal="left" vertical="top"/>
    </xf>
    <xf numFmtId="166" fontId="57" fillId="9" borderId="12" xfId="1" applyNumberFormat="1" applyFont="1" applyFill="1" applyBorder="1" applyAlignment="1" applyProtection="1">
      <alignment vertical="top"/>
    </xf>
    <xf numFmtId="166" fontId="56" fillId="0" borderId="12" xfId="1" applyNumberFormat="1" applyFont="1" applyBorder="1" applyAlignment="1" applyProtection="1">
      <alignment vertical="top"/>
    </xf>
    <xf numFmtId="169" fontId="56" fillId="0" borderId="12" xfId="1" applyNumberFormat="1" applyFont="1" applyBorder="1" applyAlignment="1" applyProtection="1">
      <alignment vertical="top"/>
    </xf>
    <xf numFmtId="166" fontId="53" fillId="0" borderId="12" xfId="1" applyNumberFormat="1" applyFont="1" applyBorder="1" applyAlignment="1" applyProtection="1">
      <alignment vertical="top"/>
    </xf>
    <xf numFmtId="169" fontId="56" fillId="0" borderId="1" xfId="8" applyNumberFormat="1" applyFont="1" applyBorder="1" applyAlignment="1" applyProtection="1">
      <alignment vertical="top"/>
    </xf>
    <xf numFmtId="166" fontId="57" fillId="0" borderId="12" xfId="1" applyNumberFormat="1" applyFont="1" applyBorder="1" applyAlignment="1" applyProtection="1">
      <alignment vertical="top"/>
    </xf>
    <xf numFmtId="0" fontId="62" fillId="0" borderId="0" xfId="0" applyFont="1" applyAlignment="1">
      <alignment vertical="top"/>
    </xf>
    <xf numFmtId="0" fontId="58" fillId="0" borderId="1" xfId="0" applyFont="1" applyBorder="1" applyAlignment="1">
      <alignment horizontal="left" vertical="top"/>
    </xf>
    <xf numFmtId="169" fontId="58" fillId="0" borderId="1" xfId="1" applyNumberFormat="1" applyFont="1" applyBorder="1" applyAlignment="1" applyProtection="1">
      <alignment vertical="top"/>
    </xf>
    <xf numFmtId="169" fontId="58" fillId="0" borderId="1" xfId="0" applyNumberFormat="1" applyFont="1" applyBorder="1" applyAlignment="1">
      <alignment vertical="top"/>
    </xf>
    <xf numFmtId="166" fontId="58" fillId="0" borderId="12" xfId="2" applyNumberFormat="1" applyFont="1" applyBorder="1" applyAlignment="1" applyProtection="1">
      <alignment horizontal="center" vertical="top"/>
    </xf>
    <xf numFmtId="164" fontId="50" fillId="0" borderId="0" xfId="1" applyFont="1" applyAlignment="1" applyProtection="1">
      <alignment horizontal="left" vertical="top"/>
    </xf>
    <xf numFmtId="166" fontId="49" fillId="0" borderId="12" xfId="1" applyNumberFormat="1" applyFont="1" applyBorder="1" applyAlignment="1" applyProtection="1">
      <alignment vertical="top"/>
    </xf>
    <xf numFmtId="166" fontId="58" fillId="0" borderId="12" xfId="1" applyNumberFormat="1" applyFont="1" applyBorder="1" applyAlignment="1" applyProtection="1">
      <alignment vertical="top"/>
    </xf>
    <xf numFmtId="0" fontId="53" fillId="0" borderId="1" xfId="0" applyFont="1" applyBorder="1" applyAlignment="1">
      <alignment horizontal="right" vertical="top"/>
    </xf>
    <xf numFmtId="49" fontId="62" fillId="0" borderId="1" xfId="0" applyNumberFormat="1" applyFont="1" applyBorder="1" applyAlignment="1">
      <alignment horizontal="right" vertical="top"/>
    </xf>
    <xf numFmtId="49" fontId="55" fillId="0" borderId="1" xfId="0" applyNumberFormat="1" applyFont="1" applyBorder="1" applyAlignment="1">
      <alignment horizontal="right" vertical="top"/>
    </xf>
    <xf numFmtId="164" fontId="49" fillId="0" borderId="0" xfId="1" applyFont="1" applyAlignment="1" applyProtection="1">
      <alignment vertical="top"/>
    </xf>
    <xf numFmtId="49" fontId="49" fillId="9" borderId="1" xfId="0" applyNumberFormat="1" applyFont="1" applyFill="1" applyBorder="1" applyAlignment="1">
      <alignment horizontal="right" vertical="top"/>
    </xf>
    <xf numFmtId="3" fontId="71" fillId="0" borderId="24" xfId="0" applyNumberFormat="1" applyFont="1" applyBorder="1" applyAlignment="1">
      <alignment horizontal="right" vertical="top"/>
    </xf>
    <xf numFmtId="0" fontId="56" fillId="0" borderId="20" xfId="0" applyFont="1" applyBorder="1" applyAlignment="1">
      <alignment horizontal="right" vertical="top"/>
    </xf>
    <xf numFmtId="169" fontId="55" fillId="0" borderId="20" xfId="1" applyNumberFormat="1" applyFont="1" applyBorder="1" applyAlignment="1" applyProtection="1">
      <alignment vertical="top"/>
    </xf>
    <xf numFmtId="0" fontId="62" fillId="9" borderId="0" xfId="0" applyFont="1" applyFill="1" applyAlignment="1">
      <alignment vertical="top"/>
    </xf>
    <xf numFmtId="0" fontId="57" fillId="9" borderId="1" xfId="1" applyNumberFormat="1" applyFont="1" applyFill="1" applyBorder="1" applyAlignment="1" applyProtection="1">
      <alignment horizontal="left" vertical="top"/>
    </xf>
    <xf numFmtId="0" fontId="57" fillId="9" borderId="1" xfId="0" applyFont="1" applyFill="1" applyBorder="1" applyAlignment="1">
      <alignment vertical="top"/>
    </xf>
    <xf numFmtId="169" fontId="57" fillId="9" borderId="1" xfId="0" applyNumberFormat="1" applyFont="1" applyFill="1" applyBorder="1" applyAlignment="1">
      <alignment vertical="top"/>
    </xf>
    <xf numFmtId="169" fontId="50" fillId="9" borderId="14" xfId="2" applyNumberFormat="1" applyFont="1" applyFill="1" applyBorder="1" applyAlignment="1" applyProtection="1">
      <alignment horizontal="center" vertical="top"/>
    </xf>
    <xf numFmtId="49" fontId="56" fillId="0" borderId="19" xfId="0" applyNumberFormat="1" applyFont="1" applyBorder="1" applyAlignment="1">
      <alignment horizontal="right" vertical="top"/>
    </xf>
    <xf numFmtId="0" fontId="56" fillId="0" borderId="19" xfId="0" applyFont="1" applyBorder="1" applyAlignment="1">
      <alignment horizontal="right" vertical="top"/>
    </xf>
    <xf numFmtId="0" fontId="56" fillId="0" borderId="19" xfId="0" applyFont="1" applyBorder="1" applyAlignment="1">
      <alignment horizontal="left" vertical="top"/>
    </xf>
    <xf numFmtId="169" fontId="55" fillId="0" borderId="19" xfId="1" applyNumberFormat="1" applyFont="1" applyBorder="1" applyAlignment="1" applyProtection="1">
      <alignment vertical="top"/>
    </xf>
    <xf numFmtId="169" fontId="55" fillId="0" borderId="17" xfId="1" applyNumberFormat="1" applyFont="1" applyBorder="1" applyAlignment="1" applyProtection="1">
      <alignment vertical="top"/>
    </xf>
    <xf numFmtId="0" fontId="57" fillId="0" borderId="1" xfId="1" applyNumberFormat="1" applyFont="1" applyBorder="1" applyAlignment="1" applyProtection="1">
      <alignment horizontal="left" vertical="top"/>
    </xf>
    <xf numFmtId="0" fontId="53" fillId="0" borderId="20" xfId="0" applyFont="1" applyBorder="1" applyAlignment="1">
      <alignment horizontal="right" vertical="top"/>
    </xf>
    <xf numFmtId="169" fontId="53" fillId="0" borderId="20" xfId="1" applyNumberFormat="1" applyFont="1" applyBorder="1" applyAlignment="1" applyProtection="1">
      <alignment vertical="top"/>
    </xf>
    <xf numFmtId="49" fontId="49" fillId="0" borderId="19" xfId="0" applyNumberFormat="1" applyFont="1" applyBorder="1" applyAlignment="1">
      <alignment vertical="top"/>
    </xf>
    <xf numFmtId="169" fontId="56" fillId="0" borderId="19" xfId="0" applyNumberFormat="1" applyFont="1" applyBorder="1" applyAlignment="1">
      <alignment vertical="top"/>
    </xf>
    <xf numFmtId="49" fontId="49" fillId="0" borderId="1" xfId="6" applyNumberFormat="1" applyFont="1" applyBorder="1" applyAlignment="1" applyProtection="1">
      <alignment vertical="top"/>
    </xf>
    <xf numFmtId="0" fontId="49" fillId="0" borderId="1" xfId="6" applyFont="1" applyBorder="1" applyAlignment="1" applyProtection="1">
      <alignment horizontal="left" vertical="top"/>
    </xf>
    <xf numFmtId="0" fontId="49" fillId="0" borderId="1" xfId="6" applyFont="1" applyBorder="1" applyAlignment="1" applyProtection="1">
      <alignment vertical="top"/>
    </xf>
    <xf numFmtId="169" fontId="49" fillId="0" borderId="1" xfId="6" applyNumberFormat="1" applyFont="1" applyBorder="1" applyAlignment="1" applyProtection="1">
      <alignment vertical="top"/>
    </xf>
    <xf numFmtId="166" fontId="51" fillId="0" borderId="1" xfId="11" applyNumberFormat="1" applyFont="1" applyBorder="1" applyAlignment="1" applyProtection="1">
      <alignment horizontal="center" vertical="top"/>
    </xf>
    <xf numFmtId="170" fontId="56" fillId="0" borderId="1" xfId="0" applyNumberFormat="1" applyFont="1" applyBorder="1" applyAlignment="1">
      <alignment vertical="top"/>
    </xf>
    <xf numFmtId="167" fontId="56" fillId="0" borderId="1" xfId="0" applyNumberFormat="1" applyFont="1" applyBorder="1" applyAlignment="1">
      <alignment vertical="top"/>
    </xf>
    <xf numFmtId="167" fontId="49" fillId="0" borderId="1" xfId="0" applyNumberFormat="1" applyFont="1" applyBorder="1" applyAlignment="1">
      <alignment vertical="top"/>
    </xf>
    <xf numFmtId="169" fontId="56" fillId="0" borderId="1" xfId="8" applyNumberFormat="1" applyFont="1" applyBorder="1" applyAlignment="1" applyProtection="1">
      <alignment horizontal="right" vertical="top"/>
    </xf>
    <xf numFmtId="169" fontId="49" fillId="0" borderId="1" xfId="8" applyNumberFormat="1" applyFont="1" applyBorder="1" applyAlignment="1" applyProtection="1">
      <alignment horizontal="right" vertical="top"/>
    </xf>
    <xf numFmtId="165" fontId="49" fillId="0" borderId="1" xfId="8" quotePrefix="1" applyNumberFormat="1" applyFont="1" applyBorder="1" applyAlignment="1" applyProtection="1">
      <alignment horizontal="left" vertical="top"/>
    </xf>
    <xf numFmtId="169" fontId="49" fillId="0" borderId="1" xfId="8" quotePrefix="1" applyNumberFormat="1" applyFont="1" applyBorder="1" applyAlignment="1" applyProtection="1">
      <alignment horizontal="left" vertical="top"/>
    </xf>
    <xf numFmtId="0" fontId="49" fillId="0" borderId="20" xfId="5" applyNumberFormat="1" applyFont="1" applyBorder="1" applyAlignment="1" applyProtection="1">
      <alignment horizontal="left" vertical="top"/>
    </xf>
    <xf numFmtId="165" fontId="49" fillId="0" borderId="20" xfId="8" quotePrefix="1" applyNumberFormat="1" applyFont="1" applyBorder="1" applyAlignment="1" applyProtection="1">
      <alignment horizontal="left" vertical="top"/>
    </xf>
    <xf numFmtId="169" fontId="57" fillId="0" borderId="20" xfId="2" applyNumberFormat="1" applyFont="1" applyBorder="1" applyAlignment="1" applyProtection="1">
      <alignment vertical="top"/>
    </xf>
    <xf numFmtId="169" fontId="49" fillId="0" borderId="20" xfId="8" quotePrefix="1" applyNumberFormat="1" applyFont="1" applyBorder="1" applyAlignment="1" applyProtection="1">
      <alignment horizontal="left" vertical="top"/>
    </xf>
    <xf numFmtId="165" fontId="49" fillId="0" borderId="19" xfId="8" applyNumberFormat="1" applyFont="1" applyBorder="1" applyAlignment="1" applyProtection="1">
      <alignment horizontal="left" vertical="top"/>
    </xf>
    <xf numFmtId="169" fontId="57" fillId="0" borderId="19" xfId="2" applyNumberFormat="1" applyFont="1" applyBorder="1" applyAlignment="1" applyProtection="1">
      <alignment vertical="top"/>
    </xf>
    <xf numFmtId="169" fontId="49" fillId="0" borderId="19" xfId="8" applyNumberFormat="1" applyFont="1" applyBorder="1" applyAlignment="1" applyProtection="1">
      <alignment horizontal="left" vertical="top"/>
    </xf>
    <xf numFmtId="165" fontId="49" fillId="0" borderId="1" xfId="5" applyNumberFormat="1" applyFont="1" applyBorder="1" applyAlignment="1" applyProtection="1">
      <alignment horizontal="left" vertical="top"/>
    </xf>
    <xf numFmtId="169" fontId="49" fillId="0" borderId="1" xfId="5" applyNumberFormat="1" applyFont="1" applyBorder="1" applyAlignment="1" applyProtection="1">
      <alignment horizontal="left" vertical="top"/>
    </xf>
    <xf numFmtId="169" fontId="55" fillId="0" borderId="1" xfId="11" applyNumberFormat="1" applyFont="1" applyBorder="1" applyAlignment="1" applyProtection="1">
      <alignment vertical="top"/>
    </xf>
    <xf numFmtId="169" fontId="56" fillId="0" borderId="1" xfId="6" applyNumberFormat="1" applyFont="1" applyBorder="1" applyAlignment="1" applyProtection="1">
      <alignment vertical="top"/>
    </xf>
    <xf numFmtId="49" fontId="53" fillId="0" borderId="1" xfId="0" applyNumberFormat="1" applyFont="1" applyBorder="1" applyAlignment="1">
      <alignment horizontal="right" vertical="top"/>
    </xf>
    <xf numFmtId="169" fontId="53" fillId="0" borderId="1" xfId="11" applyNumberFormat="1" applyFont="1" applyBorder="1" applyAlignment="1" applyProtection="1">
      <alignment vertical="top"/>
    </xf>
    <xf numFmtId="165" fontId="53" fillId="0" borderId="1" xfId="8" applyNumberFormat="1" applyFont="1" applyBorder="1" applyAlignment="1" applyProtection="1">
      <alignment horizontal="left" vertical="top"/>
    </xf>
    <xf numFmtId="169" fontId="53" fillId="0" borderId="1" xfId="6" applyNumberFormat="1" applyFont="1" applyBorder="1" applyAlignment="1" applyProtection="1">
      <alignment horizontal="left" vertical="top"/>
    </xf>
    <xf numFmtId="169" fontId="49" fillId="0" borderId="1" xfId="6" applyNumberFormat="1" applyFont="1" applyBorder="1" applyAlignment="1" applyProtection="1">
      <alignment horizontal="left" vertical="top"/>
    </xf>
    <xf numFmtId="169" fontId="57" fillId="0" borderId="1" xfId="11" applyNumberFormat="1" applyFont="1" applyBorder="1" applyAlignment="1" applyProtection="1">
      <alignment vertical="top"/>
    </xf>
    <xf numFmtId="169" fontId="49" fillId="0" borderId="1" xfId="6" applyNumberFormat="1" applyFont="1" applyBorder="1" applyAlignment="1" applyProtection="1">
      <alignment horizontal="right" vertical="top"/>
    </xf>
    <xf numFmtId="169" fontId="56" fillId="2" borderId="1" xfId="0" applyNumberFormat="1" applyFont="1" applyFill="1" applyBorder="1" applyAlignment="1">
      <alignment vertical="top"/>
    </xf>
    <xf numFmtId="169" fontId="53" fillId="0" borderId="1" xfId="6" applyNumberFormat="1" applyFont="1" applyBorder="1" applyAlignment="1" applyProtection="1">
      <alignment vertical="top"/>
    </xf>
    <xf numFmtId="49" fontId="56" fillId="0" borderId="1" xfId="6" applyNumberFormat="1" applyFont="1" applyBorder="1" applyAlignment="1" applyProtection="1">
      <alignment vertical="top"/>
    </xf>
    <xf numFmtId="0" fontId="56" fillId="0" borderId="1" xfId="6" applyFont="1" applyBorder="1" applyAlignment="1" applyProtection="1">
      <alignment horizontal="left" vertical="top"/>
    </xf>
    <xf numFmtId="0" fontId="56" fillId="0" borderId="1" xfId="6" applyFont="1" applyBorder="1" applyAlignment="1" applyProtection="1">
      <alignment vertical="top"/>
    </xf>
    <xf numFmtId="49" fontId="49" fillId="0" borderId="1" xfId="6" applyNumberFormat="1" applyFont="1" applyBorder="1" applyAlignment="1" applyProtection="1">
      <alignment horizontal="left" vertical="top"/>
    </xf>
    <xf numFmtId="49" fontId="62" fillId="0" borderId="1" xfId="0" applyNumberFormat="1" applyFont="1" applyBorder="1" applyAlignment="1">
      <alignment vertical="top"/>
    </xf>
    <xf numFmtId="49" fontId="51" fillId="0" borderId="1" xfId="0" applyNumberFormat="1" applyFont="1" applyBorder="1" applyAlignment="1">
      <alignment vertical="top"/>
    </xf>
    <xf numFmtId="169" fontId="53" fillId="2" borderId="1" xfId="0" applyNumberFormat="1" applyFont="1" applyFill="1" applyBorder="1" applyAlignment="1">
      <alignment vertical="top"/>
    </xf>
    <xf numFmtId="49" fontId="49" fillId="0" borderId="20" xfId="0" applyNumberFormat="1" applyFont="1" applyBorder="1" applyAlignment="1">
      <alignment horizontal="right" vertical="top"/>
    </xf>
    <xf numFmtId="169" fontId="49" fillId="0" borderId="20" xfId="1" applyNumberFormat="1" applyFont="1" applyBorder="1" applyAlignment="1" applyProtection="1">
      <alignment vertical="top"/>
    </xf>
    <xf numFmtId="0" fontId="57" fillId="0" borderId="21" xfId="0" applyFont="1" applyBorder="1" applyAlignment="1">
      <alignment vertical="top"/>
    </xf>
    <xf numFmtId="0" fontId="56" fillId="0" borderId="21" xfId="0" applyFont="1" applyBorder="1" applyAlignment="1">
      <alignment horizontal="left" vertical="top"/>
    </xf>
    <xf numFmtId="0" fontId="56" fillId="0" borderId="21" xfId="0" applyFont="1" applyBorder="1" applyAlignment="1">
      <alignment vertical="top"/>
    </xf>
    <xf numFmtId="169" fontId="56" fillId="0" borderId="21" xfId="0" applyNumberFormat="1" applyFont="1" applyBorder="1" applyAlignment="1">
      <alignment vertical="top"/>
    </xf>
    <xf numFmtId="0" fontId="57" fillId="0" borderId="1" xfId="2" applyNumberFormat="1" applyFont="1" applyBorder="1" applyAlignment="1" applyProtection="1">
      <alignment vertical="top"/>
    </xf>
    <xf numFmtId="169" fontId="57" fillId="0" borderId="20" xfId="0" applyNumberFormat="1" applyFont="1" applyBorder="1" applyAlignment="1">
      <alignment vertical="top"/>
    </xf>
    <xf numFmtId="169" fontId="55" fillId="0" borderId="20" xfId="0" applyNumberFormat="1" applyFont="1" applyBorder="1" applyAlignment="1">
      <alignment vertical="top"/>
    </xf>
    <xf numFmtId="169" fontId="56" fillId="0" borderId="20" xfId="0" applyNumberFormat="1" applyFont="1" applyBorder="1" applyAlignment="1">
      <alignment vertical="top"/>
    </xf>
    <xf numFmtId="0" fontId="57" fillId="0" borderId="20" xfId="0" applyFont="1" applyBorder="1" applyAlignment="1">
      <alignment horizontal="left" vertical="top"/>
    </xf>
    <xf numFmtId="49" fontId="55" fillId="0" borderId="19" xfId="2" applyNumberFormat="1" applyFont="1" applyBorder="1" applyAlignment="1" applyProtection="1">
      <alignment horizontal="left" vertical="top" shrinkToFit="1"/>
    </xf>
    <xf numFmtId="166" fontId="55" fillId="0" borderId="19" xfId="2" applyNumberFormat="1" applyFont="1" applyBorder="1" applyAlignment="1" applyProtection="1">
      <alignment horizontal="left" vertical="top" shrinkToFit="1"/>
    </xf>
    <xf numFmtId="169" fontId="55" fillId="0" borderId="19" xfId="2" applyNumberFormat="1" applyFont="1" applyBorder="1" applyAlignment="1" applyProtection="1">
      <alignment horizontal="right" vertical="top" shrinkToFit="1"/>
    </xf>
    <xf numFmtId="169" fontId="55" fillId="0" borderId="19" xfId="2" applyNumberFormat="1" applyFont="1" applyBorder="1" applyAlignment="1" applyProtection="1">
      <alignment horizontal="left" vertical="top" shrinkToFit="1"/>
    </xf>
    <xf numFmtId="49" fontId="57" fillId="0" borderId="1" xfId="2" applyNumberFormat="1" applyFont="1" applyBorder="1" applyAlignment="1" applyProtection="1">
      <alignment horizontal="left" vertical="top" shrinkToFit="1"/>
    </xf>
    <xf numFmtId="166" fontId="57" fillId="0" borderId="1" xfId="2" quotePrefix="1" applyNumberFormat="1" applyFont="1" applyBorder="1" applyAlignment="1" applyProtection="1">
      <alignment horizontal="left" vertical="top" shrinkToFit="1"/>
    </xf>
    <xf numFmtId="169" fontId="57" fillId="0" borderId="1" xfId="2" applyNumberFormat="1" applyFont="1" applyBorder="1" applyAlignment="1" applyProtection="1">
      <alignment horizontal="right" vertical="top" shrinkToFit="1"/>
    </xf>
    <xf numFmtId="169" fontId="57" fillId="0" borderId="1" xfId="2" quotePrefix="1" applyNumberFormat="1" applyFont="1" applyBorder="1" applyAlignment="1" applyProtection="1">
      <alignment horizontal="left" vertical="top" shrinkToFit="1"/>
    </xf>
    <xf numFmtId="0" fontId="55" fillId="0" borderId="1" xfId="0" applyFont="1" applyBorder="1" applyAlignment="1">
      <alignment horizontal="center" vertical="top"/>
    </xf>
    <xf numFmtId="169" fontId="55" fillId="0" borderId="1" xfId="0" applyNumberFormat="1" applyFont="1" applyBorder="1" applyAlignment="1">
      <alignment horizontal="center" vertical="top"/>
    </xf>
    <xf numFmtId="169" fontId="49" fillId="0" borderId="1" xfId="3" applyNumberFormat="1" applyFont="1" applyBorder="1" applyAlignment="1" applyProtection="1">
      <alignment horizontal="right" vertical="top"/>
    </xf>
    <xf numFmtId="49" fontId="58" fillId="0" borderId="1" xfId="0" applyNumberFormat="1" applyFont="1" applyBorder="1" applyAlignment="1">
      <alignment horizontal="left" vertical="top"/>
    </xf>
    <xf numFmtId="169" fontId="55" fillId="0" borderId="1" xfId="1" applyNumberFormat="1" applyFont="1" applyBorder="1" applyAlignment="1">
      <alignment vertical="top"/>
      <protection locked="0"/>
    </xf>
    <xf numFmtId="169" fontId="49" fillId="0" borderId="1" xfId="12" applyNumberFormat="1" applyFont="1" applyBorder="1" applyAlignment="1" applyProtection="1">
      <alignment vertical="top"/>
    </xf>
    <xf numFmtId="49" fontId="49" fillId="16" borderId="1" xfId="3" applyNumberFormat="1" applyFont="1" applyFill="1" applyBorder="1" applyAlignment="1" applyProtection="1">
      <alignment horizontal="left" vertical="top"/>
    </xf>
    <xf numFmtId="167" fontId="49" fillId="16" borderId="1" xfId="3" applyNumberFormat="1" applyFont="1" applyFill="1" applyBorder="1" applyAlignment="1" applyProtection="1">
      <alignment vertical="top"/>
    </xf>
    <xf numFmtId="169" fontId="57" fillId="16" borderId="0" xfId="3" applyNumberFormat="1" applyFont="1" applyFill="1" applyAlignment="1" applyProtection="1">
      <alignment vertical="top"/>
    </xf>
    <xf numFmtId="169" fontId="49" fillId="16" borderId="0" xfId="3" applyNumberFormat="1" applyFont="1" applyFill="1" applyAlignment="1" applyProtection="1">
      <alignment vertical="top"/>
    </xf>
    <xf numFmtId="169" fontId="49" fillId="0" borderId="0" xfId="12" applyNumberFormat="1" applyFont="1" applyAlignment="1" applyProtection="1">
      <alignment vertical="top"/>
    </xf>
    <xf numFmtId="166" fontId="49" fillId="16" borderId="1" xfId="2" applyNumberFormat="1" applyFont="1" applyFill="1" applyBorder="1" applyAlignment="1" applyProtection="1">
      <alignment horizontal="center" vertical="top"/>
    </xf>
    <xf numFmtId="0" fontId="58" fillId="16" borderId="1" xfId="0" applyFont="1" applyFill="1" applyBorder="1" applyAlignment="1">
      <alignment vertical="top"/>
    </xf>
    <xf numFmtId="169" fontId="49" fillId="16" borderId="1" xfId="3" applyNumberFormat="1" applyFont="1" applyFill="1" applyBorder="1" applyAlignment="1" applyProtection="1">
      <alignment vertical="top"/>
    </xf>
    <xf numFmtId="49" fontId="49" fillId="0" borderId="1" xfId="3" applyNumberFormat="1" applyFont="1" applyBorder="1" applyAlignment="1" applyProtection="1">
      <alignment horizontal="left" vertical="top"/>
    </xf>
    <xf numFmtId="169" fontId="57" fillId="0" borderId="1" xfId="1" applyNumberFormat="1" applyFont="1" applyBorder="1" applyAlignment="1">
      <alignment vertical="top"/>
      <protection locked="0"/>
    </xf>
    <xf numFmtId="169" fontId="57" fillId="0" borderId="1" xfId="2" applyNumberFormat="1" applyFont="1" applyBorder="1" applyAlignment="1">
      <alignment vertical="top"/>
      <protection locked="0"/>
    </xf>
    <xf numFmtId="171" fontId="49" fillId="0" borderId="1" xfId="3" quotePrefix="1" applyNumberFormat="1" applyFont="1" applyBorder="1" applyAlignment="1" applyProtection="1">
      <alignment horizontal="left" vertical="top"/>
    </xf>
    <xf numFmtId="169" fontId="49" fillId="0" borderId="1" xfId="12" quotePrefix="1" applyNumberFormat="1" applyFont="1" applyBorder="1" applyAlignment="1" applyProtection="1">
      <alignment horizontal="left" vertical="top"/>
    </xf>
    <xf numFmtId="49" fontId="49" fillId="0" borderId="1" xfId="3" applyNumberFormat="1" applyFont="1" applyBorder="1" applyAlignment="1" applyProtection="1">
      <alignment vertical="top"/>
    </xf>
    <xf numFmtId="167" fontId="49" fillId="0" borderId="1" xfId="3" applyNumberFormat="1" applyFont="1" applyBorder="1" applyAlignment="1" applyProtection="1">
      <alignment vertical="top"/>
    </xf>
    <xf numFmtId="0" fontId="56" fillId="0" borderId="1" xfId="0" applyFont="1" applyBorder="1" applyAlignment="1">
      <alignment horizontal="center" vertical="top"/>
    </xf>
    <xf numFmtId="169" fontId="56" fillId="0" borderId="1" xfId="0" applyNumberFormat="1" applyFont="1" applyBorder="1" applyAlignment="1">
      <alignment horizontal="center" vertical="top"/>
    </xf>
    <xf numFmtId="49" fontId="56" fillId="0" borderId="1" xfId="3" applyNumberFormat="1" applyFont="1" applyBorder="1" applyAlignment="1" applyProtection="1">
      <alignment horizontal="left" vertical="top"/>
    </xf>
    <xf numFmtId="0" fontId="56" fillId="0" borderId="1" xfId="3" applyFont="1" applyBorder="1" applyAlignment="1" applyProtection="1">
      <alignment vertical="top"/>
    </xf>
    <xf numFmtId="169" fontId="56" fillId="0" borderId="1" xfId="4" applyNumberFormat="1" applyFont="1" applyBorder="1" applyAlignment="1" applyProtection="1">
      <alignment horizontal="right" vertical="top"/>
    </xf>
    <xf numFmtId="169" fontId="56" fillId="0" borderId="1" xfId="3" applyNumberFormat="1" applyFont="1" applyBorder="1" applyAlignment="1" applyProtection="1">
      <alignment vertical="top"/>
    </xf>
    <xf numFmtId="169" fontId="56" fillId="0" borderId="1" xfId="12" applyNumberFormat="1" applyFont="1" applyBorder="1" applyAlignment="1" applyProtection="1">
      <alignment vertical="top"/>
    </xf>
    <xf numFmtId="166" fontId="56" fillId="0" borderId="1" xfId="4" applyNumberFormat="1" applyFont="1" applyBorder="1" applyAlignment="1" applyProtection="1">
      <alignment horizontal="right" vertical="top"/>
    </xf>
    <xf numFmtId="169" fontId="55" fillId="0" borderId="1" xfId="2" applyNumberFormat="1" applyFont="1" applyBorder="1" applyAlignment="1">
      <alignment vertical="top"/>
      <protection locked="0"/>
    </xf>
    <xf numFmtId="169" fontId="49" fillId="0" borderId="1" xfId="12" applyNumberFormat="1" applyFont="1" applyBorder="1" applyAlignment="1" applyProtection="1">
      <alignment horizontal="right" vertical="top"/>
    </xf>
    <xf numFmtId="169" fontId="49" fillId="0" borderId="1" xfId="3" applyNumberFormat="1" applyFont="1" applyBorder="1" applyAlignment="1" applyProtection="1">
      <alignment horizontal="left" vertical="top"/>
    </xf>
    <xf numFmtId="169" fontId="49" fillId="0" borderId="1" xfId="12" applyNumberFormat="1" applyFont="1" applyBorder="1" applyAlignment="1" applyProtection="1">
      <alignment horizontal="left" vertical="top"/>
    </xf>
    <xf numFmtId="169" fontId="49" fillId="0" borderId="1" xfId="4" applyNumberFormat="1" applyFont="1" applyBorder="1" applyAlignment="1" applyProtection="1">
      <alignment horizontal="right" vertical="top"/>
    </xf>
    <xf numFmtId="0" fontId="31" fillId="0" borderId="0" xfId="0" applyFont="1" applyAlignment="1"/>
    <xf numFmtId="169" fontId="49" fillId="9" borderId="1" xfId="12" applyNumberFormat="1" applyFont="1" applyFill="1" applyBorder="1" applyAlignment="1" applyProtection="1">
      <alignment horizontal="right" vertical="top"/>
    </xf>
    <xf numFmtId="2" fontId="49" fillId="0" borderId="1" xfId="3" applyNumberFormat="1" applyFont="1" applyBorder="1" applyAlignment="1" applyProtection="1">
      <alignment vertical="top"/>
    </xf>
    <xf numFmtId="0" fontId="62" fillId="0" borderId="1" xfId="0" applyFont="1" applyBorder="1" applyAlignment="1">
      <alignment vertical="top"/>
    </xf>
    <xf numFmtId="169" fontId="62" fillId="0" borderId="1" xfId="0" applyNumberFormat="1" applyFont="1" applyBorder="1" applyAlignment="1">
      <alignment vertical="top"/>
    </xf>
    <xf numFmtId="169" fontId="53" fillId="0" borderId="1" xfId="1" applyNumberFormat="1" applyFont="1" applyBorder="1" applyAlignment="1">
      <alignment vertical="top"/>
      <protection locked="0"/>
    </xf>
    <xf numFmtId="169" fontId="53" fillId="2" borderId="1" xfId="1" applyNumberFormat="1" applyFont="1" applyFill="1" applyBorder="1" applyAlignment="1">
      <alignment vertical="top"/>
      <protection locked="0"/>
    </xf>
    <xf numFmtId="169" fontId="53" fillId="0" borderId="0" xfId="1" applyNumberFormat="1" applyFont="1" applyAlignment="1">
      <alignment vertical="top"/>
      <protection locked="0"/>
    </xf>
    <xf numFmtId="169" fontId="53" fillId="2" borderId="0" xfId="1" applyNumberFormat="1" applyFont="1" applyFill="1" applyAlignment="1">
      <alignment vertical="top"/>
      <protection locked="0"/>
    </xf>
    <xf numFmtId="166" fontId="49" fillId="0" borderId="0" xfId="1" applyNumberFormat="1" applyFont="1" applyAlignment="1" applyProtection="1">
      <alignment vertical="top"/>
    </xf>
    <xf numFmtId="166" fontId="49" fillId="0" borderId="19" xfId="1" applyNumberFormat="1" applyFont="1" applyBorder="1" applyAlignment="1" applyProtection="1">
      <alignment vertical="top"/>
    </xf>
    <xf numFmtId="49" fontId="72" fillId="0" borderId="19" xfId="1" applyNumberFormat="1" applyFont="1" applyBorder="1" applyAlignment="1" applyProtection="1">
      <alignment horizontal="left" vertical="top" shrinkToFit="1"/>
    </xf>
    <xf numFmtId="166" fontId="55" fillId="0" borderId="19" xfId="1" applyNumberFormat="1" applyFont="1" applyBorder="1" applyAlignment="1" applyProtection="1">
      <alignment horizontal="center" vertical="top"/>
    </xf>
    <xf numFmtId="169" fontId="55" fillId="0" borderId="19" xfId="1" applyNumberFormat="1" applyFont="1" applyBorder="1" applyAlignment="1" applyProtection="1">
      <alignment horizontal="center" vertical="top"/>
    </xf>
    <xf numFmtId="166" fontId="49" fillId="0" borderId="1" xfId="1" applyNumberFormat="1" applyFont="1" applyBorder="1" applyAlignment="1" applyProtection="1">
      <alignment vertical="top"/>
    </xf>
    <xf numFmtId="166" fontId="55" fillId="0" borderId="0" xfId="1" applyNumberFormat="1" applyFont="1" applyAlignment="1" applyProtection="1">
      <alignment vertical="top"/>
    </xf>
    <xf numFmtId="166" fontId="55" fillId="0" borderId="1" xfId="1" applyNumberFormat="1" applyFont="1" applyBorder="1" applyAlignment="1" applyProtection="1">
      <alignment vertical="top"/>
    </xf>
    <xf numFmtId="49" fontId="55" fillId="0" borderId="1" xfId="1" applyNumberFormat="1" applyFont="1" applyBorder="1" applyAlignment="1" applyProtection="1">
      <alignment horizontal="left" vertical="top" shrinkToFit="1"/>
    </xf>
    <xf numFmtId="166" fontId="55" fillId="0" borderId="1" xfId="1" applyNumberFormat="1" applyFont="1" applyBorder="1" applyAlignment="1" applyProtection="1">
      <alignment horizontal="left" vertical="top" shrinkToFit="1"/>
    </xf>
    <xf numFmtId="169" fontId="55" fillId="0" borderId="1" xfId="1" applyNumberFormat="1" applyFont="1" applyBorder="1" applyAlignment="1" applyProtection="1">
      <alignment horizontal="right" vertical="top" shrinkToFit="1"/>
    </xf>
    <xf numFmtId="49" fontId="49" fillId="0" borderId="1" xfId="1" applyNumberFormat="1" applyFont="1" applyBorder="1" applyAlignment="1" applyProtection="1">
      <alignment horizontal="left" vertical="top" shrinkToFit="1"/>
    </xf>
    <xf numFmtId="166" fontId="49" fillId="0" borderId="1" xfId="1" applyNumberFormat="1" applyFont="1" applyBorder="1" applyAlignment="1" applyProtection="1">
      <alignment horizontal="left" vertical="top" shrinkToFit="1"/>
    </xf>
    <xf numFmtId="169" fontId="57" fillId="0" borderId="1" xfId="1" applyNumberFormat="1" applyFont="1" applyBorder="1" applyAlignment="1" applyProtection="1">
      <alignment horizontal="right" vertical="top" shrinkToFit="1"/>
    </xf>
    <xf numFmtId="169" fontId="49" fillId="0" borderId="1" xfId="1" applyNumberFormat="1" applyFont="1" applyBorder="1" applyAlignment="1" applyProtection="1">
      <alignment horizontal="left" vertical="top" shrinkToFit="1"/>
    </xf>
    <xf numFmtId="49" fontId="73" fillId="0" borderId="1" xfId="1" applyNumberFormat="1" applyFont="1" applyBorder="1" applyAlignment="1" applyProtection="1">
      <alignment horizontal="left" vertical="top" shrinkToFit="1"/>
    </xf>
    <xf numFmtId="166" fontId="73" fillId="0" borderId="1" xfId="1" applyNumberFormat="1" applyFont="1" applyBorder="1" applyAlignment="1" applyProtection="1">
      <alignment horizontal="left" vertical="top" shrinkToFit="1"/>
    </xf>
    <xf numFmtId="169" fontId="73" fillId="0" borderId="1" xfId="1" applyNumberFormat="1" applyFont="1" applyBorder="1" applyAlignment="1" applyProtection="1">
      <alignment horizontal="left" vertical="top" shrinkToFit="1"/>
    </xf>
    <xf numFmtId="166" fontId="55" fillId="0" borderId="1" xfId="1" applyNumberFormat="1" applyFont="1" applyBorder="1" applyAlignment="1">
      <alignment horizontal="left" vertical="top"/>
      <protection locked="0"/>
    </xf>
    <xf numFmtId="49" fontId="57" fillId="0" borderId="1" xfId="1" applyNumberFormat="1" applyFont="1" applyBorder="1" applyAlignment="1" applyProtection="1">
      <alignment horizontal="left" vertical="top" shrinkToFit="1"/>
    </xf>
    <xf numFmtId="166" fontId="57" fillId="0" borderId="1" xfId="1" applyNumberFormat="1" applyFont="1" applyBorder="1" applyAlignment="1">
      <alignment horizontal="left" vertical="top"/>
      <protection locked="0"/>
    </xf>
    <xf numFmtId="169" fontId="57" fillId="0" borderId="1" xfId="1" applyNumberFormat="1" applyFont="1" applyBorder="1" applyAlignment="1">
      <alignment horizontal="left" vertical="top"/>
      <protection locked="0"/>
    </xf>
    <xf numFmtId="166" fontId="56" fillId="0" borderId="0" xfId="1" applyNumberFormat="1" applyFont="1" applyAlignment="1" applyProtection="1">
      <alignment vertical="top"/>
    </xf>
    <xf numFmtId="166" fontId="56" fillId="0" borderId="1" xfId="1" applyNumberFormat="1" applyFont="1" applyBorder="1" applyAlignment="1" applyProtection="1">
      <alignment vertical="top"/>
    </xf>
    <xf numFmtId="166" fontId="57" fillId="0" borderId="1" xfId="1" applyNumberFormat="1" applyFont="1" applyBorder="1" applyAlignment="1" applyProtection="1">
      <alignment horizontal="left" vertical="top" shrinkToFit="1"/>
    </xf>
    <xf numFmtId="169" fontId="57" fillId="0" borderId="1" xfId="1" applyNumberFormat="1" applyFont="1" applyBorder="1" applyAlignment="1" applyProtection="1">
      <alignment horizontal="left" vertical="top" shrinkToFit="1"/>
    </xf>
    <xf numFmtId="169" fontId="57" fillId="0" borderId="1" xfId="1" applyNumberFormat="1" applyFont="1" applyBorder="1" applyAlignment="1" applyProtection="1">
      <alignment horizontal="left" vertical="top"/>
    </xf>
    <xf numFmtId="166" fontId="57" fillId="0" borderId="0" xfId="1" applyNumberFormat="1" applyFont="1" applyAlignment="1" applyProtection="1">
      <alignment vertical="top" shrinkToFit="1"/>
    </xf>
    <xf numFmtId="166" fontId="57" fillId="0" borderId="1" xfId="1" applyNumberFormat="1" applyFont="1" applyBorder="1" applyAlignment="1" applyProtection="1">
      <alignment vertical="top" shrinkToFit="1"/>
    </xf>
    <xf numFmtId="49" fontId="72" fillId="0" borderId="1" xfId="1" applyNumberFormat="1" applyFont="1" applyBorder="1" applyAlignment="1" applyProtection="1">
      <alignment horizontal="left" vertical="top" shrinkToFit="1"/>
    </xf>
    <xf numFmtId="166" fontId="57" fillId="0" borderId="1" xfId="1" applyNumberFormat="1" applyFont="1" applyBorder="1" applyAlignment="1" applyProtection="1">
      <alignment vertical="top"/>
    </xf>
    <xf numFmtId="169" fontId="57" fillId="0" borderId="1" xfId="1" applyNumberFormat="1" applyFont="1" applyBorder="1" applyAlignment="1" applyProtection="1">
      <alignment vertical="top" shrinkToFit="1"/>
    </xf>
    <xf numFmtId="166" fontId="57" fillId="0" borderId="0" xfId="1" applyNumberFormat="1" applyFont="1" applyAlignment="1" applyProtection="1">
      <alignment vertical="top"/>
    </xf>
    <xf numFmtId="49" fontId="57" fillId="0" borderId="1" xfId="1" applyNumberFormat="1" applyFont="1" applyBorder="1" applyAlignment="1" applyProtection="1">
      <alignment horizontal="left" vertical="top"/>
    </xf>
    <xf numFmtId="169" fontId="55" fillId="0" borderId="1" xfId="1" applyNumberFormat="1" applyFont="1" applyBorder="1" applyAlignment="1" applyProtection="1">
      <alignment horizontal="left" vertical="top"/>
    </xf>
    <xf numFmtId="166" fontId="49" fillId="0" borderId="1" xfId="1" applyNumberFormat="1" applyFont="1" applyBorder="1" applyAlignment="1" applyProtection="1">
      <alignment horizontal="left" vertical="top"/>
    </xf>
    <xf numFmtId="169" fontId="73" fillId="0" borderId="1" xfId="1" applyNumberFormat="1" applyFont="1" applyBorder="1" applyAlignment="1" applyProtection="1">
      <alignment horizontal="right" vertical="top" shrinkToFit="1"/>
    </xf>
    <xf numFmtId="169" fontId="72" fillId="0" borderId="1" xfId="1" applyNumberFormat="1" applyFont="1" applyBorder="1" applyAlignment="1" applyProtection="1">
      <alignment horizontal="right" vertical="top" shrinkToFit="1"/>
    </xf>
    <xf numFmtId="166" fontId="74" fillId="0" borderId="0" xfId="1" applyNumberFormat="1" applyFont="1" applyAlignment="1" applyProtection="1">
      <alignment vertical="top" shrinkToFit="1"/>
    </xf>
    <xf numFmtId="166" fontId="74" fillId="0" borderId="1" xfId="1" applyNumberFormat="1" applyFont="1" applyBorder="1" applyAlignment="1" applyProtection="1">
      <alignment vertical="top" shrinkToFit="1"/>
    </xf>
    <xf numFmtId="166" fontId="72" fillId="0" borderId="1" xfId="1" applyNumberFormat="1" applyFont="1" applyBorder="1" applyAlignment="1" applyProtection="1">
      <alignment horizontal="left" vertical="top" shrinkToFit="1"/>
    </xf>
    <xf numFmtId="166" fontId="56" fillId="0" borderId="1" xfId="1" applyNumberFormat="1" applyFont="1" applyBorder="1" applyAlignment="1" applyProtection="1">
      <alignment vertical="top" shrinkToFit="1"/>
    </xf>
    <xf numFmtId="169" fontId="56" fillId="0" borderId="1" xfId="1" applyNumberFormat="1" applyFont="1" applyBorder="1" applyAlignment="1" applyProtection="1">
      <alignment vertical="top" shrinkToFit="1"/>
    </xf>
    <xf numFmtId="166" fontId="55" fillId="0" borderId="1" xfId="1" applyNumberFormat="1" applyFont="1" applyBorder="1" applyAlignment="1" applyProtection="1">
      <alignment horizontal="center" vertical="top"/>
    </xf>
    <xf numFmtId="169" fontId="55" fillId="0" borderId="1" xfId="1" applyNumberFormat="1" applyFont="1" applyBorder="1" applyAlignment="1" applyProtection="1">
      <alignment horizontal="center" vertical="top"/>
    </xf>
    <xf numFmtId="166" fontId="73" fillId="0" borderId="1" xfId="1" applyNumberFormat="1" applyFont="1" applyBorder="1" applyAlignment="1">
      <alignment horizontal="left" vertical="top"/>
      <protection locked="0"/>
    </xf>
    <xf numFmtId="169" fontId="73" fillId="0" borderId="1" xfId="1" applyNumberFormat="1" applyFont="1" applyBorder="1" applyAlignment="1">
      <alignment horizontal="left" vertical="top"/>
      <protection locked="0"/>
    </xf>
    <xf numFmtId="169" fontId="55" fillId="0" borderId="1" xfId="1" applyNumberFormat="1" applyFont="1" applyBorder="1" applyAlignment="1" applyProtection="1">
      <alignment horizontal="left" vertical="top" shrinkToFit="1"/>
    </xf>
    <xf numFmtId="49" fontId="56" fillId="0" borderId="1" xfId="1" applyNumberFormat="1" applyFont="1" applyBorder="1" applyAlignment="1" applyProtection="1">
      <alignment horizontal="left" vertical="top" shrinkToFit="1"/>
    </xf>
    <xf numFmtId="166" fontId="49" fillId="0" borderId="20" xfId="1" applyNumberFormat="1" applyFont="1" applyBorder="1" applyAlignment="1" applyProtection="1">
      <alignment vertical="top"/>
    </xf>
    <xf numFmtId="49" fontId="56" fillId="0" borderId="20" xfId="1" applyNumberFormat="1" applyFont="1" applyBorder="1" applyAlignment="1" applyProtection="1">
      <alignment horizontal="left" vertical="top" shrinkToFit="1"/>
    </xf>
    <xf numFmtId="166" fontId="55" fillId="0" borderId="20" xfId="1" applyNumberFormat="1" applyFont="1" applyBorder="1" applyAlignment="1" applyProtection="1">
      <alignment horizontal="left" vertical="top" shrinkToFit="1"/>
    </xf>
    <xf numFmtId="166" fontId="56" fillId="0" borderId="19" xfId="1" applyNumberFormat="1" applyFont="1" applyBorder="1" applyAlignment="1" applyProtection="1">
      <alignment vertical="top"/>
    </xf>
    <xf numFmtId="166" fontId="55" fillId="0" borderId="19" xfId="1" applyNumberFormat="1" applyFont="1" applyBorder="1" applyAlignment="1" applyProtection="1">
      <alignment horizontal="center" vertical="top" shrinkToFit="1"/>
    </xf>
    <xf numFmtId="166" fontId="56" fillId="0" borderId="19" xfId="1" applyNumberFormat="1" applyFont="1" applyBorder="1" applyAlignment="1" applyProtection="1">
      <alignment horizontal="left" vertical="top" shrinkToFit="1"/>
    </xf>
    <xf numFmtId="166" fontId="57" fillId="0" borderId="1" xfId="1" applyNumberFormat="1" applyFont="1" applyBorder="1" applyAlignment="1" applyProtection="1">
      <alignment horizontal="center" vertical="top" shrinkToFit="1"/>
    </xf>
    <xf numFmtId="169" fontId="75" fillId="0" borderId="1" xfId="0" applyNumberFormat="1" applyFont="1" applyBorder="1" applyAlignment="1">
      <alignment horizontal="left" vertical="top"/>
    </xf>
    <xf numFmtId="49" fontId="57" fillId="0" borderId="19" xfId="0" applyNumberFormat="1" applyFont="1" applyBorder="1" applyAlignment="1">
      <alignment vertical="top"/>
    </xf>
    <xf numFmtId="49" fontId="55" fillId="0" borderId="19" xfId="0" applyNumberFormat="1" applyFont="1" applyBorder="1" applyAlignment="1">
      <alignment vertical="top"/>
    </xf>
    <xf numFmtId="169" fontId="57" fillId="0" borderId="1" xfId="4" applyNumberFormat="1" applyFont="1" applyBorder="1" applyAlignment="1" applyProtection="1">
      <alignment vertical="top"/>
    </xf>
    <xf numFmtId="165" fontId="53" fillId="0" borderId="1" xfId="0" applyNumberFormat="1" applyFont="1" applyBorder="1" applyAlignment="1">
      <alignment vertical="top"/>
    </xf>
    <xf numFmtId="165" fontId="49" fillId="0" borderId="1" xfId="0" applyNumberFormat="1" applyFont="1" applyBorder="1" applyAlignment="1">
      <alignment vertical="top"/>
    </xf>
    <xf numFmtId="169" fontId="76" fillId="0" borderId="1" xfId="0" applyNumberFormat="1" applyFont="1" applyBorder="1" applyAlignment="1">
      <alignment vertical="top"/>
    </xf>
    <xf numFmtId="169" fontId="56" fillId="0" borderId="1" xfId="4" applyNumberFormat="1" applyFont="1" applyBorder="1" applyAlignment="1" applyProtection="1">
      <alignment vertical="top"/>
    </xf>
    <xf numFmtId="169" fontId="58" fillId="0" borderId="1" xfId="4" applyNumberFormat="1" applyFont="1" applyBorder="1" applyAlignment="1" applyProtection="1">
      <alignment vertical="top"/>
    </xf>
    <xf numFmtId="0" fontId="49" fillId="0" borderId="1" xfId="0" applyFont="1" applyBorder="1" applyAlignment="1">
      <alignment horizontal="center" vertical="top"/>
    </xf>
    <xf numFmtId="169" fontId="55" fillId="0" borderId="1" xfId="4" applyNumberFormat="1" applyFont="1" applyBorder="1" applyAlignment="1" applyProtection="1">
      <alignment vertical="top"/>
    </xf>
    <xf numFmtId="0" fontId="55" fillId="0" borderId="1" xfId="0" quotePrefix="1" applyFont="1" applyBorder="1" applyAlignment="1">
      <alignment vertical="top"/>
    </xf>
    <xf numFmtId="169" fontId="50" fillId="0" borderId="1" xfId="0" applyNumberFormat="1" applyFont="1" applyBorder="1" applyAlignment="1">
      <alignment vertical="top"/>
    </xf>
    <xf numFmtId="173" fontId="70" fillId="0" borderId="0" xfId="1" applyNumberFormat="1" applyFont="1" applyProtection="1"/>
    <xf numFmtId="169" fontId="57" fillId="0" borderId="0" xfId="1" applyNumberFormat="1" applyFont="1" applyAlignment="1">
      <alignment vertical="top"/>
      <protection locked="0"/>
    </xf>
    <xf numFmtId="49" fontId="53" fillId="0" borderId="19" xfId="0" applyNumberFormat="1" applyFont="1" applyBorder="1" applyAlignment="1">
      <alignment horizontal="right" vertical="top"/>
    </xf>
    <xf numFmtId="169" fontId="49" fillId="0" borderId="19" xfId="2" applyNumberFormat="1" applyFont="1" applyBorder="1" applyAlignment="1" applyProtection="1">
      <alignment vertical="top"/>
    </xf>
    <xf numFmtId="170" fontId="58" fillId="0" borderId="1" xfId="0" quotePrefix="1" applyNumberFormat="1" applyFont="1" applyBorder="1" applyAlignment="1">
      <alignment horizontal="left" vertical="top"/>
    </xf>
    <xf numFmtId="169" fontId="58" fillId="0" borderId="1" xfId="2" applyNumberFormat="1" applyFont="1" applyBorder="1" applyAlignment="1" applyProtection="1">
      <alignment vertical="top"/>
    </xf>
    <xf numFmtId="169" fontId="58" fillId="0" borderId="1" xfId="0" quotePrefix="1" applyNumberFormat="1" applyFont="1" applyBorder="1" applyAlignment="1">
      <alignment horizontal="left" vertical="top"/>
    </xf>
    <xf numFmtId="0" fontId="49" fillId="0" borderId="1" xfId="0" quotePrefix="1" applyFont="1" applyBorder="1" applyAlignment="1">
      <alignment vertical="top"/>
    </xf>
    <xf numFmtId="169" fontId="49" fillId="0" borderId="1" xfId="0" quotePrefix="1" applyNumberFormat="1" applyFont="1" applyBorder="1" applyAlignment="1">
      <alignment vertical="top"/>
    </xf>
    <xf numFmtId="169" fontId="49" fillId="0" borderId="20" xfId="2" applyNumberFormat="1" applyFont="1" applyBorder="1" applyAlignment="1" applyProtection="1">
      <alignment vertical="top"/>
    </xf>
    <xf numFmtId="169" fontId="53" fillId="0" borderId="21" xfId="0" applyNumberFormat="1" applyFont="1" applyBorder="1" applyAlignment="1">
      <alignment horizontal="left" vertical="top"/>
    </xf>
    <xf numFmtId="169" fontId="53" fillId="0" borderId="20" xfId="2" applyNumberFormat="1" applyFont="1" applyBorder="1" applyAlignment="1" applyProtection="1">
      <alignment horizontal="center" vertical="top"/>
    </xf>
    <xf numFmtId="166" fontId="49" fillId="0" borderId="20" xfId="2" applyNumberFormat="1" applyFont="1" applyBorder="1" applyAlignment="1" applyProtection="1">
      <alignment horizontal="center" vertical="top"/>
    </xf>
    <xf numFmtId="0" fontId="57" fillId="0" borderId="19" xfId="0" applyFont="1" applyBorder="1" applyAlignment="1">
      <alignment horizontal="center" vertical="top"/>
    </xf>
    <xf numFmtId="0" fontId="62" fillId="0" borderId="19" xfId="0" applyFont="1" applyBorder="1" applyAlignment="1">
      <alignment horizontal="left" vertical="top"/>
    </xf>
    <xf numFmtId="0" fontId="77" fillId="0" borderId="1" xfId="0" applyFont="1" applyBorder="1" applyAlignment="1">
      <alignment horizontal="left" vertical="top"/>
    </xf>
    <xf numFmtId="0" fontId="77" fillId="0" borderId="1" xfId="0" applyFont="1" applyBorder="1" applyAlignment="1">
      <alignment vertical="top"/>
    </xf>
    <xf numFmtId="169" fontId="77" fillId="0" borderId="1" xfId="0" applyNumberFormat="1" applyFont="1" applyBorder="1" applyAlignment="1">
      <alignment vertical="top"/>
    </xf>
    <xf numFmtId="164" fontId="56" fillId="0" borderId="1" xfId="1" applyFont="1" applyBorder="1" applyAlignment="1" applyProtection="1">
      <alignment vertical="top"/>
    </xf>
    <xf numFmtId="0" fontId="62" fillId="0" borderId="1" xfId="0" applyFont="1" applyBorder="1" applyAlignment="1">
      <alignment horizontal="left" vertical="top"/>
    </xf>
    <xf numFmtId="0" fontId="50" fillId="0" borderId="1" xfId="0" applyFont="1" applyBorder="1" applyAlignment="1">
      <alignment vertical="top"/>
    </xf>
    <xf numFmtId="165" fontId="56" fillId="0" borderId="20" xfId="0" quotePrefix="1" applyNumberFormat="1" applyFont="1" applyBorder="1" applyAlignment="1">
      <alignment horizontal="left" vertical="top"/>
    </xf>
    <xf numFmtId="165" fontId="49" fillId="0" borderId="1" xfId="0" quotePrefix="1" applyNumberFormat="1" applyFont="1" applyBorder="1" applyAlignment="1">
      <alignment horizontal="left" vertical="top"/>
    </xf>
    <xf numFmtId="0" fontId="78" fillId="0" borderId="19" xfId="0" applyFont="1" applyBorder="1" applyAlignment="1">
      <alignment vertical="top"/>
    </xf>
    <xf numFmtId="0" fontId="76" fillId="0" borderId="1" xfId="0" applyFont="1" applyBorder="1" applyAlignment="1">
      <alignment horizontal="left" vertical="top"/>
    </xf>
    <xf numFmtId="0" fontId="76" fillId="0" borderId="1" xfId="0" applyFont="1" applyBorder="1" applyAlignment="1">
      <alignment vertical="top"/>
    </xf>
    <xf numFmtId="0" fontId="49" fillId="16" borderId="1" xfId="0" applyFont="1" applyFill="1" applyBorder="1" applyAlignment="1">
      <alignment horizontal="left" vertical="top"/>
    </xf>
    <xf numFmtId="0" fontId="49" fillId="16" borderId="1" xfId="0" applyFont="1" applyFill="1" applyBorder="1" applyAlignment="1">
      <alignment vertical="top"/>
    </xf>
    <xf numFmtId="169" fontId="49" fillId="16" borderId="1" xfId="1" applyNumberFormat="1" applyFont="1" applyFill="1" applyBorder="1" applyAlignment="1" applyProtection="1">
      <alignment vertical="top"/>
    </xf>
    <xf numFmtId="169" fontId="49" fillId="16" borderId="1" xfId="0" applyNumberFormat="1" applyFont="1" applyFill="1" applyBorder="1" applyAlignment="1">
      <alignment vertical="top"/>
    </xf>
    <xf numFmtId="169" fontId="57" fillId="16" borderId="1" xfId="1" applyNumberFormat="1" applyFont="1" applyFill="1" applyBorder="1" applyAlignment="1">
      <alignment vertical="top"/>
      <protection locked="0"/>
    </xf>
    <xf numFmtId="0" fontId="69" fillId="16" borderId="0" xfId="0" applyFont="1" applyFill="1" applyAlignment="1"/>
    <xf numFmtId="0" fontId="50" fillId="16" borderId="1" xfId="0" applyFont="1" applyFill="1" applyBorder="1" applyAlignment="1"/>
    <xf numFmtId="171" fontId="56" fillId="0" borderId="1" xfId="0" quotePrefix="1" applyNumberFormat="1" applyFont="1" applyBorder="1" applyAlignment="1">
      <alignment horizontal="left" vertical="top"/>
    </xf>
    <xf numFmtId="171" fontId="56" fillId="0" borderId="1" xfId="0" applyNumberFormat="1" applyFont="1" applyBorder="1" applyAlignment="1">
      <alignment horizontal="left" vertical="top"/>
    </xf>
    <xf numFmtId="169" fontId="49" fillId="0" borderId="12" xfId="1" applyNumberFormat="1" applyFont="1" applyBorder="1" applyAlignment="1" applyProtection="1">
      <alignment vertical="top"/>
    </xf>
    <xf numFmtId="169" fontId="57" fillId="0" borderId="12" xfId="0" quotePrefix="1" applyNumberFormat="1" applyFont="1" applyBorder="1" applyAlignment="1">
      <alignment horizontal="left" vertical="top"/>
    </xf>
    <xf numFmtId="169" fontId="57" fillId="0" borderId="12" xfId="0" applyNumberFormat="1" applyFont="1" applyBorder="1" applyAlignment="1">
      <alignment vertical="top"/>
    </xf>
    <xf numFmtId="169" fontId="49" fillId="0" borderId="12" xfId="0" applyNumberFormat="1" applyFont="1" applyBorder="1" applyAlignment="1">
      <alignment vertical="top"/>
    </xf>
    <xf numFmtId="171" fontId="77" fillId="0" borderId="1" xfId="0" quotePrefix="1" applyNumberFormat="1" applyFont="1" applyBorder="1" applyAlignment="1">
      <alignment horizontal="left" vertical="top"/>
    </xf>
    <xf numFmtId="0" fontId="75" fillId="0" borderId="1" xfId="0" applyFont="1" applyBorder="1" applyAlignment="1">
      <alignment vertical="top"/>
    </xf>
    <xf numFmtId="166" fontId="50" fillId="16" borderId="1" xfId="1" applyNumberFormat="1" applyFont="1" applyFill="1" applyBorder="1" applyProtection="1"/>
    <xf numFmtId="0" fontId="78" fillId="0" borderId="1" xfId="0" applyFont="1" applyBorder="1" applyAlignment="1">
      <alignment vertical="top"/>
    </xf>
    <xf numFmtId="166" fontId="50" fillId="16" borderId="1" xfId="1" applyNumberFormat="1" applyFont="1" applyFill="1" applyBorder="1" applyAlignment="1" applyProtection="1">
      <alignment vertical="top"/>
    </xf>
    <xf numFmtId="170" fontId="57" fillId="0" borderId="19" xfId="0" applyNumberFormat="1" applyFont="1" applyBorder="1" applyAlignment="1">
      <alignment horizontal="left" vertical="top"/>
    </xf>
    <xf numFmtId="167" fontId="49" fillId="0" borderId="1" xfId="1" applyNumberFormat="1" applyFont="1" applyBorder="1" applyAlignment="1" applyProtection="1">
      <alignment vertical="top"/>
    </xf>
    <xf numFmtId="169" fontId="78" fillId="0" borderId="1" xfId="0" applyNumberFormat="1" applyFont="1" applyBorder="1" applyAlignment="1">
      <alignment vertical="top"/>
    </xf>
    <xf numFmtId="167" fontId="56" fillId="0" borderId="1" xfId="1" applyNumberFormat="1" applyFont="1" applyBorder="1" applyAlignment="1" applyProtection="1">
      <alignment vertical="top"/>
    </xf>
    <xf numFmtId="169" fontId="62" fillId="0" borderId="1" xfId="1" applyNumberFormat="1" applyFont="1" applyBorder="1" applyAlignment="1" applyProtection="1">
      <alignment vertical="top"/>
    </xf>
    <xf numFmtId="0" fontId="49" fillId="0" borderId="1" xfId="13" applyFont="1" applyBorder="1" applyAlignment="1" applyProtection="1">
      <alignment horizontal="left" vertical="top"/>
    </xf>
    <xf numFmtId="0" fontId="49" fillId="0" borderId="1" xfId="13" applyFont="1" applyBorder="1" applyAlignment="1" applyProtection="1">
      <alignment vertical="top"/>
    </xf>
    <xf numFmtId="169" fontId="49" fillId="0" borderId="1" xfId="13" applyNumberFormat="1" applyFont="1" applyBorder="1" applyAlignment="1" applyProtection="1">
      <alignment vertical="top"/>
    </xf>
    <xf numFmtId="167" fontId="49" fillId="0" borderId="1" xfId="14" applyNumberFormat="1" applyFont="1" applyBorder="1" applyAlignment="1" applyProtection="1">
      <alignment vertical="top"/>
    </xf>
    <xf numFmtId="0" fontId="50" fillId="16" borderId="1" xfId="0" applyFont="1" applyFill="1" applyBorder="1" applyAlignment="1">
      <alignment vertical="top"/>
    </xf>
    <xf numFmtId="0" fontId="53" fillId="0" borderId="12" xfId="8" applyFont="1" applyBorder="1" applyAlignment="1" applyProtection="1">
      <alignment horizontal="center" vertical="top"/>
    </xf>
    <xf numFmtId="0" fontId="53" fillId="0" borderId="14" xfId="8" applyFont="1" applyBorder="1" applyAlignment="1" applyProtection="1">
      <alignment horizontal="center" vertical="top"/>
    </xf>
    <xf numFmtId="0" fontId="53" fillId="0" borderId="20" xfId="0" applyFont="1" applyBorder="1" applyAlignment="1">
      <alignment vertical="top"/>
    </xf>
    <xf numFmtId="169" fontId="53" fillId="0" borderId="20" xfId="0" applyNumberFormat="1" applyFont="1" applyBorder="1" applyAlignment="1">
      <alignment vertical="top"/>
    </xf>
    <xf numFmtId="169" fontId="53" fillId="0" borderId="1" xfId="7" applyNumberFormat="1" applyFont="1" applyBorder="1" applyAlignment="1" applyProtection="1">
      <alignment horizontal="right" vertical="top"/>
    </xf>
    <xf numFmtId="166" fontId="56" fillId="0" borderId="19" xfId="7" applyNumberFormat="1" applyFont="1" applyBorder="1" applyAlignment="1" applyProtection="1">
      <alignment horizontal="left" vertical="top"/>
    </xf>
    <xf numFmtId="166" fontId="56" fillId="0" borderId="19" xfId="7" applyNumberFormat="1" applyFont="1" applyBorder="1" applyAlignment="1" applyProtection="1">
      <alignment vertical="top"/>
    </xf>
    <xf numFmtId="169" fontId="49" fillId="0" borderId="19" xfId="7" applyNumberFormat="1" applyFont="1" applyBorder="1" applyAlignment="1" applyProtection="1">
      <alignment vertical="top"/>
    </xf>
    <xf numFmtId="169" fontId="56" fillId="0" borderId="19" xfId="7" applyNumberFormat="1" applyFont="1" applyBorder="1" applyAlignment="1" applyProtection="1">
      <alignment vertical="top"/>
    </xf>
    <xf numFmtId="0" fontId="56" fillId="0" borderId="1" xfId="7" applyNumberFormat="1" applyFont="1" applyBorder="1" applyAlignment="1" applyProtection="1">
      <alignment horizontal="left" vertical="top"/>
    </xf>
    <xf numFmtId="166" fontId="56" fillId="0" borderId="1" xfId="7" applyNumberFormat="1" applyFont="1" applyBorder="1" applyAlignment="1" applyProtection="1">
      <alignment horizontal="left" vertical="top"/>
    </xf>
    <xf numFmtId="169" fontId="56" fillId="0" borderId="1" xfId="7" applyNumberFormat="1" applyFont="1" applyBorder="1" applyAlignment="1" applyProtection="1">
      <alignment horizontal="right" vertical="top"/>
    </xf>
    <xf numFmtId="0" fontId="57" fillId="0" borderId="1" xfId="7" applyNumberFormat="1" applyFont="1" applyBorder="1" applyAlignment="1" applyProtection="1">
      <alignment horizontal="left" vertical="top"/>
    </xf>
    <xf numFmtId="166" fontId="57" fillId="0" borderId="1" xfId="7" applyNumberFormat="1" applyFont="1" applyBorder="1" applyAlignment="1" applyProtection="1">
      <alignment horizontal="left" vertical="top"/>
    </xf>
    <xf numFmtId="169" fontId="57" fillId="0" borderId="1" xfId="7" applyNumberFormat="1" applyFont="1" applyBorder="1" applyAlignment="1" applyProtection="1">
      <alignment vertical="top"/>
    </xf>
    <xf numFmtId="169" fontId="57" fillId="0" borderId="1" xfId="7" applyNumberFormat="1" applyFont="1" applyBorder="1" applyAlignment="1" applyProtection="1">
      <alignment horizontal="left" vertical="top"/>
    </xf>
    <xf numFmtId="169" fontId="49" fillId="4" borderId="1" xfId="7" applyNumberFormat="1" applyFont="1" applyFill="1" applyBorder="1" applyAlignment="1" applyProtection="1">
      <alignment horizontal="left" vertical="top"/>
    </xf>
    <xf numFmtId="169" fontId="57" fillId="0" borderId="1" xfId="7" applyNumberFormat="1" applyFont="1" applyBorder="1" applyAlignment="1" applyProtection="1">
      <alignment horizontal="right" vertical="top"/>
    </xf>
    <xf numFmtId="169" fontId="56" fillId="0" borderId="1" xfId="7" applyNumberFormat="1" applyFont="1" applyBorder="1" applyAlignment="1" applyProtection="1">
      <alignment horizontal="left" vertical="top"/>
    </xf>
    <xf numFmtId="169" fontId="56" fillId="4" borderId="1" xfId="7" applyNumberFormat="1" applyFont="1" applyFill="1" applyBorder="1" applyAlignment="1" applyProtection="1">
      <alignment horizontal="left" vertical="top"/>
    </xf>
    <xf numFmtId="0" fontId="49" fillId="0" borderId="1" xfId="7" applyNumberFormat="1" applyFont="1" applyBorder="1" applyAlignment="1" applyProtection="1">
      <alignment horizontal="left" vertical="top"/>
    </xf>
    <xf numFmtId="166" fontId="49" fillId="0" borderId="1" xfId="7" applyNumberFormat="1" applyFont="1" applyBorder="1" applyAlignment="1" applyProtection="1">
      <alignment horizontal="left" vertical="top"/>
    </xf>
    <xf numFmtId="169" fontId="49" fillId="0" borderId="1" xfId="7" applyNumberFormat="1" applyFont="1" applyBorder="1" applyAlignment="1" applyProtection="1">
      <alignment horizontal="right" vertical="top"/>
    </xf>
    <xf numFmtId="169" fontId="49" fillId="0" borderId="1" xfId="7" applyNumberFormat="1" applyFont="1" applyBorder="1" applyAlignment="1" applyProtection="1">
      <alignment horizontal="left" vertical="top"/>
    </xf>
    <xf numFmtId="169" fontId="56" fillId="4" borderId="1" xfId="7" applyNumberFormat="1" applyFont="1" applyFill="1" applyBorder="1" applyAlignment="1" applyProtection="1">
      <alignment horizontal="right" vertical="top"/>
    </xf>
    <xf numFmtId="166" fontId="53" fillId="0" borderId="1" xfId="7" applyNumberFormat="1" applyFont="1" applyBorder="1" applyAlignment="1" applyProtection="1">
      <alignment horizontal="left" vertical="top"/>
    </xf>
    <xf numFmtId="166" fontId="53" fillId="0" borderId="1" xfId="7" applyNumberFormat="1" applyFont="1" applyBorder="1" applyAlignment="1" applyProtection="1">
      <alignment vertical="top"/>
    </xf>
    <xf numFmtId="166" fontId="56" fillId="0" borderId="1" xfId="7" applyNumberFormat="1" applyFont="1" applyBorder="1" applyAlignment="1" applyProtection="1">
      <alignment vertical="top"/>
    </xf>
    <xf numFmtId="169" fontId="56" fillId="0" borderId="1" xfId="7" applyNumberFormat="1" applyFont="1" applyBorder="1" applyAlignment="1" applyProtection="1">
      <alignment vertical="top"/>
    </xf>
    <xf numFmtId="1" fontId="53" fillId="0" borderId="1" xfId="1" applyNumberFormat="1" applyFont="1" applyBorder="1" applyAlignment="1" applyProtection="1">
      <alignment horizontal="left" vertical="top"/>
    </xf>
    <xf numFmtId="1" fontId="53" fillId="0" borderId="1" xfId="1" applyNumberFormat="1" applyFont="1" applyBorder="1" applyAlignment="1" applyProtection="1">
      <alignment vertical="top"/>
    </xf>
    <xf numFmtId="0" fontId="55" fillId="0" borderId="1" xfId="7" applyNumberFormat="1" applyFont="1" applyBorder="1" applyAlignment="1" applyProtection="1">
      <alignment horizontal="left" vertical="top"/>
    </xf>
    <xf numFmtId="166" fontId="55" fillId="0" borderId="1" xfId="7" applyNumberFormat="1" applyFont="1" applyBorder="1" applyAlignment="1" applyProtection="1">
      <alignment horizontal="left" vertical="top"/>
    </xf>
    <xf numFmtId="169" fontId="55" fillId="0" borderId="1" xfId="7" applyNumberFormat="1" applyFont="1" applyBorder="1" applyAlignment="1" applyProtection="1">
      <alignment horizontal="right" vertical="top"/>
    </xf>
    <xf numFmtId="169" fontId="49" fillId="4" borderId="1" xfId="0" applyNumberFormat="1" applyFont="1" applyFill="1" applyBorder="1" applyAlignment="1">
      <alignment vertical="top"/>
    </xf>
    <xf numFmtId="0" fontId="53" fillId="0" borderId="1" xfId="1" applyNumberFormat="1" applyFont="1" applyBorder="1" applyAlignment="1" applyProtection="1">
      <alignment horizontal="left" vertical="top"/>
    </xf>
    <xf numFmtId="169" fontId="51" fillId="0" borderId="1" xfId="7" applyNumberFormat="1" applyFont="1" applyBorder="1" applyAlignment="1" applyProtection="1">
      <alignment vertical="top"/>
    </xf>
    <xf numFmtId="1" fontId="56" fillId="0" borderId="1" xfId="7" applyNumberFormat="1" applyFont="1" applyBorder="1" applyAlignment="1" applyProtection="1">
      <alignment horizontal="left" vertical="top"/>
    </xf>
    <xf numFmtId="1" fontId="56" fillId="0" borderId="1" xfId="7" applyNumberFormat="1" applyFont="1" applyBorder="1" applyAlignment="1" applyProtection="1">
      <alignment vertical="top"/>
    </xf>
    <xf numFmtId="169" fontId="49" fillId="0" borderId="1" xfId="7" applyNumberFormat="1" applyFont="1" applyBorder="1" applyAlignment="1" applyProtection="1">
      <alignment vertical="top"/>
    </xf>
    <xf numFmtId="166" fontId="53" fillId="0" borderId="1" xfId="7" applyNumberFormat="1" applyFont="1" applyBorder="1" applyAlignment="1" applyProtection="1">
      <alignment horizontal="right" vertical="top"/>
    </xf>
    <xf numFmtId="166" fontId="56" fillId="0" borderId="1" xfId="7" applyNumberFormat="1" applyFont="1" applyBorder="1" applyAlignment="1" applyProtection="1">
      <alignment horizontal="right" vertical="top"/>
    </xf>
    <xf numFmtId="1" fontId="53" fillId="0" borderId="1" xfId="7" applyNumberFormat="1" applyFont="1" applyBorder="1" applyAlignment="1" applyProtection="1">
      <alignment horizontal="left" vertical="top"/>
    </xf>
    <xf numFmtId="1" fontId="53" fillId="0" borderId="1" xfId="7" applyNumberFormat="1" applyFont="1" applyBorder="1" applyAlignment="1" applyProtection="1">
      <alignment vertical="top"/>
    </xf>
    <xf numFmtId="169" fontId="53" fillId="0" borderId="1" xfId="7" applyNumberFormat="1" applyFont="1" applyBorder="1" applyAlignment="1" applyProtection="1">
      <alignment vertical="top"/>
    </xf>
    <xf numFmtId="169" fontId="57" fillId="0" borderId="1" xfId="7" applyNumberFormat="1" applyFont="1" applyBorder="1" applyAlignment="1" applyProtection="1">
      <alignment horizontal="left"/>
    </xf>
    <xf numFmtId="0" fontId="55" fillId="0" borderId="20" xfId="7" applyNumberFormat="1" applyFont="1" applyBorder="1" applyAlignment="1" applyProtection="1">
      <alignment horizontal="left" vertical="top"/>
    </xf>
    <xf numFmtId="166" fontId="55" fillId="0" borderId="20" xfId="7" applyNumberFormat="1" applyFont="1" applyBorder="1" applyAlignment="1" applyProtection="1">
      <alignment horizontal="left" vertical="top"/>
    </xf>
    <xf numFmtId="169" fontId="55" fillId="0" borderId="20" xfId="7" applyNumberFormat="1" applyFont="1" applyBorder="1" applyAlignment="1" applyProtection="1">
      <alignment horizontal="right" vertical="top"/>
    </xf>
    <xf numFmtId="166" fontId="57" fillId="0" borderId="1" xfId="7" applyNumberFormat="1" applyFont="1" applyBorder="1" applyAlignment="1" applyProtection="1">
      <alignment horizontal="right" vertical="top"/>
    </xf>
    <xf numFmtId="0" fontId="57" fillId="0" borderId="19" xfId="7" applyNumberFormat="1" applyFont="1" applyBorder="1" applyAlignment="1" applyProtection="1">
      <alignment horizontal="left" vertical="top"/>
    </xf>
    <xf numFmtId="166" fontId="57" fillId="0" borderId="19" xfId="7" applyNumberFormat="1" applyFont="1" applyBorder="1" applyAlignment="1" applyProtection="1">
      <alignment horizontal="left" vertical="top"/>
    </xf>
    <xf numFmtId="169" fontId="57" fillId="0" borderId="19" xfId="7" applyNumberFormat="1" applyFont="1" applyBorder="1" applyAlignment="1" applyProtection="1">
      <alignment horizontal="right" vertical="top"/>
    </xf>
    <xf numFmtId="169" fontId="57" fillId="0" borderId="19" xfId="7" applyNumberFormat="1" applyFont="1" applyBorder="1" applyAlignment="1" applyProtection="1">
      <alignment horizontal="left" vertical="top"/>
    </xf>
    <xf numFmtId="169" fontId="57" fillId="0" borderId="1" xfId="7" applyNumberFormat="1" applyFont="1" applyBorder="1" applyAlignment="1" applyProtection="1">
      <alignment horizontal="right"/>
    </xf>
    <xf numFmtId="1" fontId="53" fillId="0" borderId="1" xfId="2" applyNumberFormat="1" applyFont="1" applyBorder="1" applyAlignment="1" applyProtection="1">
      <alignment horizontal="left" vertical="top"/>
    </xf>
    <xf numFmtId="1" fontId="56" fillId="0" borderId="1" xfId="2" applyNumberFormat="1" applyFont="1" applyBorder="1" applyAlignment="1" applyProtection="1">
      <alignment vertical="top"/>
    </xf>
    <xf numFmtId="169" fontId="49" fillId="4" borderId="1" xfId="7" applyNumberFormat="1" applyFont="1" applyFill="1" applyBorder="1" applyAlignment="1" applyProtection="1">
      <alignment horizontal="right" vertical="top"/>
    </xf>
    <xf numFmtId="0" fontId="57" fillId="4" borderId="0" xfId="0" applyFont="1" applyFill="1" applyAlignment="1">
      <alignment vertical="top"/>
    </xf>
    <xf numFmtId="0" fontId="57" fillId="4" borderId="1" xfId="0" applyFont="1" applyFill="1" applyBorder="1" applyAlignment="1">
      <alignment vertical="top"/>
    </xf>
    <xf numFmtId="0" fontId="57" fillId="4" borderId="1" xfId="7" applyNumberFormat="1" applyFont="1" applyFill="1" applyBorder="1" applyAlignment="1" applyProtection="1">
      <alignment horizontal="left" vertical="top"/>
    </xf>
    <xf numFmtId="169" fontId="57" fillId="4" borderId="1" xfId="0" applyNumberFormat="1" applyFont="1" applyFill="1" applyBorder="1" applyAlignment="1">
      <alignment horizontal="right" vertical="top"/>
    </xf>
    <xf numFmtId="169" fontId="57" fillId="4" borderId="1" xfId="0" applyNumberFormat="1" applyFont="1" applyFill="1" applyBorder="1" applyAlignment="1">
      <alignment vertical="top"/>
    </xf>
    <xf numFmtId="169" fontId="53" fillId="4" borderId="19" xfId="0" applyNumberFormat="1" applyFont="1" applyFill="1" applyBorder="1" applyAlignment="1">
      <alignment horizontal="left" vertical="top"/>
    </xf>
    <xf numFmtId="166" fontId="49" fillId="4" borderId="1" xfId="2" applyNumberFormat="1" applyFont="1" applyFill="1" applyBorder="1" applyAlignment="1" applyProtection="1">
      <alignment horizontal="center" vertical="top"/>
    </xf>
    <xf numFmtId="166" fontId="51" fillId="4" borderId="1" xfId="2" applyNumberFormat="1" applyFont="1" applyFill="1" applyBorder="1" applyAlignment="1" applyProtection="1">
      <alignment horizontal="center" vertical="top"/>
    </xf>
    <xf numFmtId="0" fontId="55" fillId="4" borderId="0" xfId="0" applyFont="1" applyFill="1" applyAlignment="1">
      <alignment vertical="top"/>
    </xf>
    <xf numFmtId="0" fontId="55" fillId="4" borderId="1" xfId="0" applyFont="1" applyFill="1" applyBorder="1" applyAlignment="1">
      <alignment vertical="top"/>
    </xf>
    <xf numFmtId="0" fontId="55" fillId="4" borderId="1" xfId="7" applyNumberFormat="1" applyFont="1" applyFill="1" applyBorder="1" applyAlignment="1" applyProtection="1">
      <alignment horizontal="left" vertical="top"/>
    </xf>
    <xf numFmtId="169" fontId="55" fillId="4" borderId="1" xfId="0" applyNumberFormat="1" applyFont="1" applyFill="1" applyBorder="1" applyAlignment="1">
      <alignment horizontal="right" vertical="top"/>
    </xf>
    <xf numFmtId="169" fontId="57" fillId="4" borderId="1" xfId="0" applyNumberFormat="1" applyFont="1" applyFill="1" applyBorder="1" applyAlignment="1"/>
    <xf numFmtId="0" fontId="55" fillId="4" borderId="1" xfId="1" applyNumberFormat="1" applyFont="1" applyFill="1" applyBorder="1" applyAlignment="1" applyProtection="1">
      <alignment horizontal="left" vertical="top"/>
    </xf>
    <xf numFmtId="166" fontId="55" fillId="4" borderId="1" xfId="1" applyNumberFormat="1" applyFont="1" applyFill="1" applyBorder="1" applyAlignment="1" applyProtection="1">
      <alignment horizontal="left" vertical="top"/>
    </xf>
    <xf numFmtId="169" fontId="55" fillId="4" borderId="1" xfId="7" applyNumberFormat="1" applyFont="1" applyFill="1" applyBorder="1" applyAlignment="1" applyProtection="1">
      <alignment horizontal="right" vertical="top"/>
    </xf>
    <xf numFmtId="0" fontId="57" fillId="4" borderId="1" xfId="1" applyNumberFormat="1" applyFont="1" applyFill="1" applyBorder="1" applyAlignment="1" applyProtection="1">
      <alignment horizontal="left" vertical="top"/>
    </xf>
    <xf numFmtId="0" fontId="57" fillId="0" borderId="20" xfId="7" applyNumberFormat="1" applyFont="1" applyBorder="1" applyAlignment="1" applyProtection="1">
      <alignment horizontal="left" vertical="top"/>
    </xf>
    <xf numFmtId="0" fontId="79" fillId="0" borderId="0" xfId="0" applyFont="1" applyAlignment="1">
      <alignment vertical="top"/>
    </xf>
    <xf numFmtId="169" fontId="53" fillId="2" borderId="1" xfId="7" applyNumberFormat="1" applyFont="1" applyFill="1" applyBorder="1" applyAlignment="1" applyProtection="1">
      <alignment horizontal="right" vertical="top"/>
    </xf>
    <xf numFmtId="166" fontId="53" fillId="0" borderId="0" xfId="7" applyNumberFormat="1" applyFont="1" applyAlignment="1" applyProtection="1">
      <alignment horizontal="right" vertical="top"/>
    </xf>
    <xf numFmtId="166" fontId="53" fillId="0" borderId="15" xfId="7" applyNumberFormat="1" applyFont="1" applyBorder="1" applyAlignment="1" applyProtection="1">
      <alignment horizontal="right" vertical="top"/>
    </xf>
    <xf numFmtId="169" fontId="56" fillId="2" borderId="0" xfId="0" applyNumberFormat="1" applyFont="1" applyFill="1" applyAlignment="1">
      <alignment vertical="top" wrapText="1"/>
    </xf>
    <xf numFmtId="0" fontId="53" fillId="0" borderId="0" xfId="8" applyFont="1" applyAlignment="1" applyProtection="1">
      <alignment horizontal="left" vertical="top"/>
    </xf>
    <xf numFmtId="0" fontId="53" fillId="0" borderId="1" xfId="8" applyFont="1" applyBorder="1" applyAlignment="1" applyProtection="1">
      <alignment horizontal="left" vertical="top" wrapText="1"/>
    </xf>
    <xf numFmtId="169" fontId="53" fillId="0" borderId="19" xfId="0" applyNumberFormat="1" applyFont="1" applyBorder="1" applyAlignment="1">
      <alignment horizontal="left" vertical="top" wrapText="1"/>
    </xf>
    <xf numFmtId="169" fontId="53" fillId="0" borderId="19" xfId="2" applyNumberFormat="1" applyFont="1" applyBorder="1" applyAlignment="1" applyProtection="1">
      <alignment horizontal="center" vertical="top"/>
    </xf>
    <xf numFmtId="169" fontId="53" fillId="2" borderId="19" xfId="2" applyNumberFormat="1" applyFont="1" applyFill="1" applyBorder="1" applyAlignment="1" applyProtection="1">
      <alignment horizontal="center" vertical="top"/>
    </xf>
    <xf numFmtId="0" fontId="31" fillId="0" borderId="0" xfId="0" applyFont="1" applyAlignment="1">
      <alignment vertical="center" wrapText="1"/>
    </xf>
    <xf numFmtId="0" fontId="31" fillId="0" borderId="0" xfId="0" applyFont="1" applyAlignment="1">
      <alignment horizontal="left" vertical="top" wrapText="1"/>
    </xf>
    <xf numFmtId="0" fontId="14" fillId="17" borderId="1" xfId="0" applyFont="1" applyFill="1" applyBorder="1" applyAlignment="1">
      <alignment horizontal="left" vertical="top" wrapText="1"/>
    </xf>
    <xf numFmtId="0" fontId="14" fillId="0" borderId="1" xfId="0" applyFont="1" applyBorder="1">
      <alignment vertical="center"/>
    </xf>
    <xf numFmtId="0" fontId="14" fillId="0" borderId="1" xfId="0" applyFont="1" applyBorder="1" applyAlignment="1">
      <alignment vertical="center" wrapText="1"/>
    </xf>
    <xf numFmtId="0" fontId="80" fillId="0" borderId="1" xfId="0" applyFont="1" applyBorder="1" applyAlignment="1">
      <alignment vertical="top"/>
    </xf>
    <xf numFmtId="0" fontId="17" fillId="0" borderId="1" xfId="0" applyFont="1" applyBorder="1" applyAlignment="1">
      <alignment vertical="center" wrapText="1"/>
    </xf>
    <xf numFmtId="3" fontId="17" fillId="0" borderId="1" xfId="0" applyNumberFormat="1" applyFont="1" applyBorder="1" applyAlignment="1">
      <alignment horizontal="right" vertical="top"/>
    </xf>
    <xf numFmtId="0" fontId="17" fillId="0" borderId="1" xfId="0" applyFont="1" applyBorder="1" applyAlignment="1">
      <alignment horizontal="right" vertical="top"/>
    </xf>
    <xf numFmtId="0" fontId="80" fillId="0" borderId="1" xfId="0" applyFont="1" applyBorder="1" applyAlignment="1">
      <alignment horizontal="right" vertical="top"/>
    </xf>
    <xf numFmtId="3" fontId="14" fillId="0" borderId="1" xfId="0" applyNumberFormat="1" applyFont="1" applyBorder="1" applyAlignment="1">
      <alignment horizontal="right" vertical="top"/>
    </xf>
    <xf numFmtId="0" fontId="80" fillId="0" borderId="1" xfId="0" applyFont="1" applyBorder="1" applyAlignment="1">
      <alignment vertical="top" wrapText="1"/>
    </xf>
    <xf numFmtId="0" fontId="17" fillId="0" borderId="1" xfId="0" applyFont="1" applyBorder="1" applyAlignment="1">
      <alignment horizontal="center" vertical="center"/>
    </xf>
    <xf numFmtId="4" fontId="17" fillId="0" borderId="1" xfId="0" applyNumberFormat="1" applyFont="1" applyBorder="1" applyAlignment="1">
      <alignment horizontal="right" vertical="top"/>
    </xf>
    <xf numFmtId="0" fontId="17" fillId="0" borderId="1" xfId="0" applyFont="1" applyBorder="1" applyAlignment="1">
      <alignment horizontal="center" vertical="center" wrapText="1"/>
    </xf>
    <xf numFmtId="0" fontId="14" fillId="0" borderId="1" xfId="0" applyFont="1" applyBorder="1" applyAlignment="1">
      <alignment horizontal="right" vertical="top"/>
    </xf>
    <xf numFmtId="9" fontId="17" fillId="0" borderId="1" xfId="0" applyNumberFormat="1" applyFont="1" applyBorder="1" applyAlignment="1">
      <alignment horizontal="center" vertical="center"/>
    </xf>
    <xf numFmtId="9" fontId="14" fillId="0" borderId="1" xfId="0" applyNumberFormat="1" applyFont="1" applyBorder="1" applyAlignment="1">
      <alignment horizontal="center" vertical="center"/>
    </xf>
    <xf numFmtId="0" fontId="14" fillId="0" borderId="1" xfId="0" applyFont="1" applyBorder="1" applyAlignment="1">
      <alignment horizontal="center" vertical="center" wrapText="1"/>
    </xf>
    <xf numFmtId="3" fontId="14" fillId="0" borderId="1" xfId="0" applyNumberFormat="1" applyFont="1" applyBorder="1" applyAlignment="1">
      <alignment horizontal="center" vertical="center"/>
    </xf>
    <xf numFmtId="3" fontId="31" fillId="0" borderId="0" xfId="0" applyNumberFormat="1" applyFont="1">
      <alignment vertical="center"/>
    </xf>
    <xf numFmtId="174" fontId="1" fillId="0" borderId="0" xfId="15" applyNumberFormat="1">
      <protection locked="0"/>
    </xf>
    <xf numFmtId="175" fontId="31" fillId="0" borderId="0" xfId="0" applyNumberFormat="1" applyFont="1">
      <alignment vertical="center"/>
    </xf>
    <xf numFmtId="0" fontId="21" fillId="0" borderId="0" xfId="0" applyFont="1" applyAlignment="1">
      <alignment horizontal="left" vertical="top"/>
    </xf>
    <xf numFmtId="166" fontId="21" fillId="0" borderId="0" xfId="1" applyNumberFormat="1" applyFont="1" applyAlignment="1" applyProtection="1">
      <alignment vertical="top"/>
    </xf>
    <xf numFmtId="0" fontId="21" fillId="0" borderId="0" xfId="0" applyFont="1" applyAlignment="1">
      <alignment vertical="top"/>
    </xf>
    <xf numFmtId="164" fontId="21" fillId="0" borderId="0" xfId="1" applyFont="1">
      <protection locked="0"/>
    </xf>
    <xf numFmtId="0" fontId="81" fillId="0" borderId="1" xfId="0" applyFont="1" applyBorder="1" applyAlignment="1">
      <alignment horizontal="center" vertical="top" wrapText="1"/>
    </xf>
    <xf numFmtId="164" fontId="21" fillId="0" borderId="1" xfId="1" applyFont="1" applyBorder="1">
      <protection locked="0"/>
    </xf>
    <xf numFmtId="0" fontId="21" fillId="0" borderId="1" xfId="0" applyFont="1" applyBorder="1" applyAlignment="1">
      <alignment vertical="top"/>
    </xf>
    <xf numFmtId="166" fontId="82" fillId="0" borderId="1" xfId="1" applyNumberFormat="1" applyFont="1" applyBorder="1" applyAlignment="1" applyProtection="1">
      <alignment horizontal="center" vertical="top" wrapText="1"/>
    </xf>
    <xf numFmtId="0" fontId="82" fillId="0" borderId="1" xfId="0" applyFont="1" applyBorder="1" applyAlignment="1">
      <alignment horizontal="center" vertical="top" wrapText="1"/>
    </xf>
    <xf numFmtId="166" fontId="83" fillId="0" borderId="1" xfId="1" applyNumberFormat="1" applyFont="1" applyBorder="1" applyAlignment="1" applyProtection="1">
      <alignment horizontal="left" vertical="top" wrapText="1"/>
    </xf>
    <xf numFmtId="166" fontId="83" fillId="0" borderId="1" xfId="1" applyNumberFormat="1" applyFont="1" applyBorder="1" applyAlignment="1" applyProtection="1">
      <alignment horizontal="right" vertical="top" wrapText="1"/>
    </xf>
    <xf numFmtId="9" fontId="83" fillId="0" borderId="1" xfId="15" applyFont="1" applyBorder="1" applyAlignment="1" applyProtection="1">
      <alignment vertical="top" wrapText="1"/>
    </xf>
    <xf numFmtId="166" fontId="83" fillId="0" borderId="1" xfId="15" applyNumberFormat="1" applyFont="1" applyBorder="1" applyAlignment="1" applyProtection="1">
      <alignment vertical="top" wrapText="1"/>
    </xf>
    <xf numFmtId="166" fontId="21" fillId="0" borderId="1" xfId="0" applyNumberFormat="1" applyFont="1" applyBorder="1" applyAlignment="1">
      <alignment vertical="top"/>
    </xf>
    <xf numFmtId="166" fontId="21" fillId="0" borderId="0" xfId="0" applyNumberFormat="1" applyFont="1" applyAlignment="1">
      <alignment vertical="top"/>
    </xf>
    <xf numFmtId="166" fontId="83" fillId="0" borderId="1" xfId="1" applyNumberFormat="1" applyFont="1" applyBorder="1" applyAlignment="1" applyProtection="1">
      <alignment vertical="top" wrapText="1"/>
    </xf>
    <xf numFmtId="0" fontId="84" fillId="0" borderId="0" xfId="0" applyFont="1" applyAlignment="1">
      <alignment vertical="top"/>
    </xf>
    <xf numFmtId="166" fontId="82" fillId="0" borderId="1" xfId="1" applyNumberFormat="1" applyFont="1" applyBorder="1" applyAlignment="1" applyProtection="1">
      <alignment horizontal="left" vertical="top" wrapText="1"/>
    </xf>
    <xf numFmtId="166" fontId="82" fillId="0" borderId="1" xfId="1" applyNumberFormat="1" applyFont="1" applyBorder="1" applyAlignment="1" applyProtection="1">
      <alignment horizontal="right" vertical="top" wrapText="1"/>
    </xf>
    <xf numFmtId="9" fontId="82" fillId="0" borderId="1" xfId="15" applyFont="1" applyBorder="1">
      <protection locked="0"/>
    </xf>
    <xf numFmtId="164" fontId="84" fillId="0" borderId="1" xfId="1" applyFont="1" applyBorder="1">
      <protection locked="0"/>
    </xf>
    <xf numFmtId="164" fontId="84" fillId="0" borderId="1" xfId="0" applyNumberFormat="1" applyFont="1" applyBorder="1" applyAlignment="1">
      <alignment vertical="top"/>
    </xf>
    <xf numFmtId="0" fontId="84" fillId="0" borderId="1" xfId="0" applyFont="1" applyBorder="1" applyAlignment="1">
      <alignment vertical="top"/>
    </xf>
    <xf numFmtId="9" fontId="84" fillId="0" borderId="0" xfId="1" applyNumberFormat="1" applyFont="1">
      <protection locked="0"/>
    </xf>
    <xf numFmtId="9" fontId="82" fillId="0" borderId="1" xfId="1" applyNumberFormat="1" applyFont="1" applyBorder="1" applyAlignment="1">
      <alignment horizontal="left"/>
      <protection locked="0"/>
    </xf>
    <xf numFmtId="164" fontId="83" fillId="0" borderId="1" xfId="1" applyFont="1" applyBorder="1">
      <protection locked="0"/>
    </xf>
    <xf numFmtId="9" fontId="82" fillId="0" borderId="1" xfId="1" applyNumberFormat="1" applyFont="1" applyBorder="1">
      <protection locked="0"/>
    </xf>
    <xf numFmtId="9" fontId="84" fillId="0" borderId="1" xfId="1" applyNumberFormat="1" applyFont="1" applyBorder="1">
      <protection locked="0"/>
    </xf>
    <xf numFmtId="175" fontId="21" fillId="0" borderId="0" xfId="15" applyNumberFormat="1" applyFont="1">
      <protection locked="0"/>
    </xf>
    <xf numFmtId="176" fontId="21" fillId="0" borderId="0" xfId="1" applyNumberFormat="1" applyFont="1">
      <protection locked="0"/>
    </xf>
    <xf numFmtId="0" fontId="85" fillId="0" borderId="0" xfId="0" applyFont="1" applyAlignment="1">
      <alignment horizontal="left" vertical="top"/>
    </xf>
    <xf numFmtId="166" fontId="85" fillId="0" borderId="0" xfId="1" applyNumberFormat="1" applyFont="1" applyAlignment="1" applyProtection="1">
      <alignment horizontal="left" vertical="top"/>
    </xf>
    <xf numFmtId="0" fontId="86" fillId="0" borderId="0" xfId="0" applyFont="1" applyAlignment="1">
      <alignment vertical="top"/>
    </xf>
    <xf numFmtId="0" fontId="86" fillId="0" borderId="0" xfId="0" applyFont="1" applyAlignment="1">
      <alignment horizontal="left" vertical="top"/>
    </xf>
    <xf numFmtId="166" fontId="86" fillId="0" borderId="0" xfId="1" applyNumberFormat="1" applyFont="1" applyAlignment="1" applyProtection="1">
      <alignment horizontal="left" vertical="top"/>
    </xf>
    <xf numFmtId="166" fontId="85" fillId="0" borderId="0" xfId="2" applyNumberFormat="1" applyFont="1" applyAlignment="1" applyProtection="1">
      <alignment horizontal="left" vertical="top"/>
    </xf>
    <xf numFmtId="0" fontId="86" fillId="0" borderId="20" xfId="0" applyFont="1" applyBorder="1" applyAlignment="1">
      <alignment horizontal="left" vertical="top"/>
    </xf>
    <xf numFmtId="166" fontId="86" fillId="0" borderId="20" xfId="1" applyNumberFormat="1" applyFont="1" applyBorder="1" applyAlignment="1" applyProtection="1">
      <alignment vertical="top" wrapText="1"/>
    </xf>
    <xf numFmtId="166" fontId="86" fillId="0" borderId="12" xfId="1" applyNumberFormat="1" applyFont="1" applyBorder="1" applyAlignment="1" applyProtection="1">
      <alignment vertical="top" wrapText="1"/>
    </xf>
    <xf numFmtId="166" fontId="86" fillId="0" borderId="14" xfId="1" applyNumberFormat="1" applyFont="1" applyBorder="1" applyAlignment="1" applyProtection="1">
      <alignment vertical="top" wrapText="1"/>
    </xf>
    <xf numFmtId="0" fontId="86" fillId="0" borderId="19" xfId="0" applyFont="1" applyBorder="1" applyAlignment="1">
      <alignment horizontal="left" vertical="top"/>
    </xf>
    <xf numFmtId="166" fontId="86" fillId="0" borderId="19" xfId="1" applyNumberFormat="1" applyFont="1" applyBorder="1" applyAlignment="1" applyProtection="1">
      <alignment vertical="top" wrapText="1"/>
    </xf>
    <xf numFmtId="49" fontId="86" fillId="0" borderId="1" xfId="1" applyNumberFormat="1" applyFont="1" applyBorder="1" applyAlignment="1" applyProtection="1">
      <alignment horizontal="left" vertical="top" wrapText="1"/>
    </xf>
    <xf numFmtId="0" fontId="85" fillId="0" borderId="1" xfId="0" applyFont="1" applyBorder="1" applyAlignment="1">
      <alignment horizontal="left" vertical="top" wrapText="1"/>
    </xf>
    <xf numFmtId="166" fontId="85" fillId="0" borderId="1" xfId="1" applyNumberFormat="1" applyFont="1" applyBorder="1" applyAlignment="1" applyProtection="1">
      <alignment horizontal="left" vertical="top" wrapText="1"/>
    </xf>
    <xf numFmtId="0" fontId="86" fillId="0" borderId="1" xfId="0" applyFont="1" applyBorder="1" applyAlignment="1">
      <alignment horizontal="left" vertical="top" wrapText="1"/>
    </xf>
    <xf numFmtId="166" fontId="86" fillId="0" borderId="1" xfId="1" applyNumberFormat="1" applyFont="1" applyBorder="1" applyAlignment="1" applyProtection="1">
      <alignment horizontal="left" vertical="top"/>
    </xf>
    <xf numFmtId="167" fontId="85" fillId="0" borderId="1" xfId="0" applyNumberFormat="1" applyFont="1" applyBorder="1" applyAlignment="1">
      <alignment horizontal="left" vertical="top"/>
    </xf>
    <xf numFmtId="166" fontId="85" fillId="0" borderId="1" xfId="1" applyNumberFormat="1" applyFont="1" applyBorder="1" applyAlignment="1" applyProtection="1">
      <alignment horizontal="left" vertical="top"/>
    </xf>
    <xf numFmtId="0" fontId="86" fillId="0" borderId="1" xfId="0" applyFont="1" applyBorder="1" applyAlignment="1">
      <alignment horizontal="left" vertical="top"/>
    </xf>
    <xf numFmtId="167" fontId="85" fillId="0" borderId="1" xfId="9" applyNumberFormat="1" applyFont="1" applyBorder="1" applyAlignment="1" applyProtection="1">
      <alignment horizontal="left" vertical="top"/>
    </xf>
    <xf numFmtId="0" fontId="85" fillId="0" borderId="0" xfId="0" applyFont="1" applyAlignment="1">
      <alignment horizontal="right" vertical="top"/>
    </xf>
    <xf numFmtId="167" fontId="86" fillId="0" borderId="1" xfId="9" applyNumberFormat="1" applyFont="1" applyBorder="1" applyAlignment="1" applyProtection="1">
      <alignment horizontal="left" vertical="top"/>
    </xf>
    <xf numFmtId="0" fontId="86" fillId="0" borderId="0" xfId="0" applyFont="1" applyAlignment="1">
      <alignment horizontal="right" vertical="top"/>
    </xf>
    <xf numFmtId="167" fontId="86" fillId="0" borderId="1" xfId="0" applyNumberFormat="1" applyFont="1" applyBorder="1" applyAlignment="1">
      <alignment horizontal="left" vertical="top"/>
    </xf>
    <xf numFmtId="167" fontId="85" fillId="0" borderId="0" xfId="9" applyNumberFormat="1" applyFont="1" applyAlignment="1" applyProtection="1">
      <alignment horizontal="left" vertical="top"/>
    </xf>
    <xf numFmtId="167" fontId="86" fillId="0" borderId="0" xfId="0" applyNumberFormat="1" applyFont="1" applyAlignment="1">
      <alignment horizontal="left" vertical="top"/>
    </xf>
    <xf numFmtId="167" fontId="86" fillId="0" borderId="0" xfId="9" applyNumberFormat="1" applyFont="1" applyAlignment="1" applyProtection="1">
      <alignment horizontal="left" vertical="top"/>
    </xf>
    <xf numFmtId="167" fontId="85" fillId="0" borderId="1" xfId="0" applyNumberFormat="1" applyFont="1" applyBorder="1" applyAlignment="1">
      <alignment horizontal="left" vertical="top" wrapText="1"/>
    </xf>
    <xf numFmtId="167" fontId="86" fillId="0" borderId="1" xfId="0" applyNumberFormat="1" applyFont="1" applyBorder="1" applyAlignment="1">
      <alignment horizontal="left" vertical="top" wrapText="1"/>
    </xf>
    <xf numFmtId="0" fontId="85" fillId="0" borderId="1" xfId="0" applyFont="1" applyBorder="1" applyAlignment="1">
      <alignment horizontal="left" vertical="top"/>
    </xf>
    <xf numFmtId="0" fontId="87" fillId="0" borderId="1" xfId="0" applyFont="1" applyBorder="1" applyAlignment="1">
      <alignment horizontal="left" vertical="top" wrapText="1"/>
    </xf>
    <xf numFmtId="166" fontId="86" fillId="0" borderId="1" xfId="1" applyNumberFormat="1" applyFont="1" applyBorder="1" applyAlignment="1" applyProtection="1">
      <alignment horizontal="left" vertical="top" wrapText="1"/>
    </xf>
    <xf numFmtId="167" fontId="86" fillId="0" borderId="1" xfId="1" applyNumberFormat="1" applyFont="1" applyBorder="1" applyAlignment="1" applyProtection="1">
      <alignment horizontal="left" vertical="top"/>
    </xf>
    <xf numFmtId="167" fontId="86" fillId="0" borderId="19" xfId="0" applyNumberFormat="1" applyFont="1" applyBorder="1" applyAlignment="1">
      <alignment horizontal="left" vertical="top"/>
    </xf>
    <xf numFmtId="167" fontId="86" fillId="0" borderId="1" xfId="0" applyNumberFormat="1" applyFont="1" applyBorder="1" applyAlignment="1">
      <alignment vertical="top"/>
    </xf>
    <xf numFmtId="167" fontId="86" fillId="0" borderId="1" xfId="9" applyNumberFormat="1" applyFont="1" applyBorder="1" applyAlignment="1" applyProtection="1">
      <alignment vertical="top"/>
    </xf>
    <xf numFmtId="166" fontId="86" fillId="0" borderId="19" xfId="1" applyNumberFormat="1" applyFont="1" applyBorder="1" applyAlignment="1" applyProtection="1">
      <alignment horizontal="left" vertical="top"/>
    </xf>
    <xf numFmtId="0" fontId="87" fillId="0" borderId="1" xfId="0" applyFont="1" applyBorder="1" applyAlignment="1">
      <alignment horizontal="left" vertical="top"/>
    </xf>
    <xf numFmtId="0" fontId="85" fillId="0" borderId="0" xfId="0" applyFont="1" applyAlignment="1">
      <alignment horizontal="left" vertical="top" wrapText="1"/>
    </xf>
    <xf numFmtId="166" fontId="85" fillId="0" borderId="0" xfId="0" applyNumberFormat="1" applyFont="1" applyAlignment="1">
      <alignment horizontal="left" vertical="top"/>
    </xf>
    <xf numFmtId="0" fontId="85" fillId="0" borderId="1" xfId="2" applyNumberFormat="1" applyFont="1" applyBorder="1" applyAlignment="1" applyProtection="1">
      <alignment horizontal="left" vertical="top"/>
    </xf>
    <xf numFmtId="0" fontId="86" fillId="0" borderId="0" xfId="0" applyFont="1" applyAlignment="1">
      <alignment horizontal="left" vertical="top" wrapText="1"/>
    </xf>
    <xf numFmtId="166" fontId="86" fillId="0" borderId="0" xfId="1" applyNumberFormat="1" applyFont="1" applyAlignment="1" applyProtection="1">
      <alignment horizontal="left" vertical="top" wrapText="1"/>
    </xf>
    <xf numFmtId="43" fontId="85" fillId="0" borderId="0" xfId="0" applyNumberFormat="1" applyFont="1" applyAlignment="1">
      <alignment horizontal="left" vertical="top"/>
    </xf>
    <xf numFmtId="0" fontId="87" fillId="0" borderId="0" xfId="0" applyFont="1" applyAlignment="1">
      <alignment horizontal="left" vertical="top"/>
    </xf>
    <xf numFmtId="164" fontId="85" fillId="0" borderId="0" xfId="0" applyNumberFormat="1" applyFont="1" applyAlignment="1">
      <alignment horizontal="left" vertical="top"/>
    </xf>
    <xf numFmtId="0" fontId="87" fillId="0" borderId="1" xfId="2" applyNumberFormat="1" applyFont="1" applyBorder="1" applyAlignment="1" applyProtection="1">
      <alignment horizontal="left" vertical="top"/>
    </xf>
    <xf numFmtId="166" fontId="86" fillId="0" borderId="1" xfId="1" applyNumberFormat="1" applyFont="1" applyBorder="1" applyAlignment="1" applyProtection="1">
      <alignment vertical="top" wrapText="1"/>
    </xf>
    <xf numFmtId="166" fontId="87" fillId="0" borderId="20" xfId="1" applyNumberFormat="1" applyFont="1" applyBorder="1" applyAlignment="1" applyProtection="1">
      <alignment vertical="top" wrapText="1"/>
    </xf>
    <xf numFmtId="49" fontId="87" fillId="0" borderId="1" xfId="1" applyNumberFormat="1" applyFont="1" applyBorder="1" applyAlignment="1" applyProtection="1">
      <alignment horizontal="left" vertical="top" wrapText="1"/>
    </xf>
    <xf numFmtId="166" fontId="85" fillId="0" borderId="1" xfId="2" applyNumberFormat="1" applyFont="1" applyBorder="1" applyAlignment="1" applyProtection="1">
      <alignment horizontal="left" vertical="top"/>
    </xf>
    <xf numFmtId="166" fontId="86" fillId="0" borderId="1" xfId="2" applyNumberFormat="1" applyFont="1" applyBorder="1" applyAlignment="1" applyProtection="1">
      <alignment horizontal="left" vertical="top" wrapText="1"/>
    </xf>
    <xf numFmtId="0" fontId="85" fillId="0" borderId="17" xfId="0" applyFont="1" applyBorder="1" applyAlignment="1">
      <alignment horizontal="left" vertical="top" wrapText="1"/>
    </xf>
    <xf numFmtId="166" fontId="85" fillId="0" borderId="18" xfId="2" applyNumberFormat="1" applyFont="1" applyBorder="1" applyAlignment="1" applyProtection="1">
      <alignment horizontal="left" vertical="top" wrapText="1"/>
    </xf>
    <xf numFmtId="166" fontId="85" fillId="0" borderId="1" xfId="2" applyNumberFormat="1" applyFont="1" applyBorder="1" applyAlignment="1" applyProtection="1">
      <alignment horizontal="left" vertical="top" wrapText="1"/>
    </xf>
    <xf numFmtId="166" fontId="86" fillId="0" borderId="0" xfId="2" applyNumberFormat="1" applyFont="1" applyAlignment="1" applyProtection="1">
      <alignment horizontal="left" vertical="top"/>
    </xf>
    <xf numFmtId="166" fontId="85" fillId="0" borderId="0" xfId="1" applyNumberFormat="1" applyFont="1">
      <protection locked="0"/>
    </xf>
    <xf numFmtId="167" fontId="85" fillId="0" borderId="0" xfId="0" applyNumberFormat="1" applyFont="1" applyAlignment="1">
      <alignment horizontal="left" vertical="top"/>
    </xf>
    <xf numFmtId="166" fontId="86" fillId="0" borderId="1" xfId="2" applyNumberFormat="1" applyFont="1" applyBorder="1" applyAlignment="1" applyProtection="1">
      <alignment horizontal="left" vertical="top"/>
    </xf>
    <xf numFmtId="166" fontId="85" fillId="0" borderId="0" xfId="1" applyNumberFormat="1" applyFont="1" applyAlignment="1">
      <alignment horizontal="left"/>
      <protection locked="0"/>
    </xf>
    <xf numFmtId="0" fontId="87" fillId="0" borderId="17" xfId="0" applyFont="1" applyBorder="1" applyAlignment="1">
      <alignment horizontal="left" vertical="top" wrapText="1"/>
    </xf>
    <xf numFmtId="166" fontId="86" fillId="0" borderId="18" xfId="1" applyNumberFormat="1" applyFont="1" applyBorder="1" applyAlignment="1" applyProtection="1">
      <alignment horizontal="left" vertical="top" wrapText="1"/>
    </xf>
    <xf numFmtId="1" fontId="85" fillId="0" borderId="0" xfId="0" applyNumberFormat="1" applyFont="1" applyAlignment="1">
      <alignment horizontal="left" vertical="top"/>
    </xf>
    <xf numFmtId="166" fontId="86" fillId="0" borderId="20" xfId="2" applyNumberFormat="1" applyFont="1" applyBorder="1" applyAlignment="1" applyProtection="1">
      <alignment horizontal="left" vertical="top"/>
    </xf>
    <xf numFmtId="164" fontId="86" fillId="0" borderId="1" xfId="2" applyFont="1" applyBorder="1" applyAlignment="1" applyProtection="1">
      <alignment horizontal="left" vertical="top"/>
    </xf>
    <xf numFmtId="164" fontId="85" fillId="0" borderId="1" xfId="2" applyFont="1" applyBorder="1" applyAlignment="1" applyProtection="1">
      <alignment horizontal="left" vertical="top"/>
    </xf>
    <xf numFmtId="0" fontId="86" fillId="0" borderId="18" xfId="0" applyFont="1" applyBorder="1" applyAlignment="1">
      <alignment horizontal="left" vertical="top"/>
    </xf>
    <xf numFmtId="0" fontId="87" fillId="0" borderId="18" xfId="0" applyFont="1" applyBorder="1" applyAlignment="1">
      <alignment horizontal="left" vertical="top"/>
    </xf>
    <xf numFmtId="166" fontId="86" fillId="0" borderId="18" xfId="1" applyNumberFormat="1" applyFont="1" applyBorder="1" applyAlignment="1" applyProtection="1">
      <alignment horizontal="left" vertical="top"/>
    </xf>
    <xf numFmtId="0" fontId="86" fillId="0" borderId="0" xfId="8" applyFont="1" applyAlignment="1" applyProtection="1">
      <alignment horizontal="left" vertical="top"/>
    </xf>
    <xf numFmtId="166" fontId="86" fillId="0" borderId="18" xfId="2" applyNumberFormat="1" applyFont="1" applyBorder="1" applyAlignment="1" applyProtection="1">
      <alignment horizontal="left" vertical="top" wrapText="1"/>
    </xf>
    <xf numFmtId="9" fontId="85" fillId="0" borderId="0" xfId="15" applyFont="1" applyAlignment="1" applyProtection="1">
      <alignment horizontal="left" vertical="top"/>
    </xf>
    <xf numFmtId="0" fontId="88" fillId="0" borderId="0" xfId="0" applyFont="1" applyAlignment="1">
      <alignment vertical="top"/>
    </xf>
    <xf numFmtId="0" fontId="86" fillId="0" borderId="20" xfId="0" applyFont="1" applyBorder="1" applyAlignment="1">
      <alignment vertical="top"/>
    </xf>
    <xf numFmtId="0" fontId="86" fillId="0" borderId="19" xfId="0" applyFont="1" applyBorder="1" applyAlignment="1">
      <alignment vertical="top"/>
    </xf>
    <xf numFmtId="49" fontId="86" fillId="0" borderId="1" xfId="1" applyNumberFormat="1" applyFont="1" applyBorder="1" applyAlignment="1" applyProtection="1">
      <alignment horizontal="center" vertical="top" wrapText="1"/>
    </xf>
    <xf numFmtId="0" fontId="85" fillId="0" borderId="0" xfId="0" applyFont="1" applyAlignment="1">
      <alignment vertical="top"/>
    </xf>
    <xf numFmtId="164" fontId="85" fillId="0" borderId="1" xfId="1" applyFont="1" applyBorder="1" applyAlignment="1" applyProtection="1">
      <alignment horizontal="left" vertical="top" wrapText="1"/>
    </xf>
    <xf numFmtId="164" fontId="86" fillId="0" borderId="1" xfId="1" applyFont="1" applyBorder="1" applyAlignment="1" applyProtection="1">
      <alignment horizontal="left" vertical="top" wrapText="1"/>
    </xf>
    <xf numFmtId="0" fontId="85" fillId="0" borderId="12" xfId="0" applyFont="1" applyBorder="1" applyAlignment="1">
      <alignment vertical="top" wrapText="1"/>
    </xf>
    <xf numFmtId="0" fontId="86" fillId="0" borderId="12" xfId="0" applyFont="1" applyBorder="1" applyAlignment="1">
      <alignment vertical="top" wrapText="1"/>
    </xf>
    <xf numFmtId="166" fontId="85" fillId="0" borderId="14" xfId="1" applyNumberFormat="1" applyFont="1" applyBorder="1" applyAlignment="1" applyProtection="1">
      <alignment vertical="top" wrapText="1"/>
    </xf>
    <xf numFmtId="166" fontId="88" fillId="0" borderId="1" xfId="1" applyNumberFormat="1" applyFont="1" applyBorder="1" applyAlignment="1" applyProtection="1">
      <alignment horizontal="left" vertical="top"/>
    </xf>
    <xf numFmtId="166" fontId="89" fillId="0" borderId="1" xfId="1" applyNumberFormat="1" applyFont="1" applyBorder="1" applyAlignment="1" applyProtection="1">
      <alignment horizontal="left" vertical="top"/>
    </xf>
    <xf numFmtId="0" fontId="86" fillId="0" borderId="1" xfId="1" applyNumberFormat="1" applyFont="1" applyBorder="1" applyAlignment="1" applyProtection="1">
      <alignment vertical="top" wrapText="1"/>
    </xf>
    <xf numFmtId="0" fontId="85" fillId="0" borderId="1" xfId="1" applyNumberFormat="1" applyFont="1" applyBorder="1" applyAlignment="1" applyProtection="1">
      <alignment vertical="top" wrapText="1"/>
    </xf>
    <xf numFmtId="166" fontId="85" fillId="0" borderId="1" xfId="1" applyNumberFormat="1" applyFont="1" applyBorder="1" applyAlignment="1" applyProtection="1">
      <alignment vertical="top" wrapText="1"/>
    </xf>
    <xf numFmtId="164" fontId="89" fillId="0" borderId="1" xfId="1" applyFont="1" applyBorder="1" applyAlignment="1" applyProtection="1">
      <alignment horizontal="left" vertical="top"/>
    </xf>
    <xf numFmtId="166" fontId="85" fillId="0" borderId="0" xfId="1" applyNumberFormat="1" applyFont="1" applyAlignment="1" applyProtection="1">
      <alignment vertical="top"/>
    </xf>
    <xf numFmtId="166" fontId="85" fillId="0" borderId="0" xfId="0" applyNumberFormat="1" applyFont="1" applyAlignment="1">
      <alignment vertical="top"/>
    </xf>
    <xf numFmtId="166" fontId="88" fillId="0" borderId="0" xfId="1" applyNumberFormat="1" applyFont="1" applyAlignment="1" applyProtection="1">
      <alignment vertical="top"/>
    </xf>
    <xf numFmtId="166" fontId="85" fillId="0" borderId="1" xfId="1" applyNumberFormat="1" applyFont="1" applyBorder="1" applyAlignment="1" applyProtection="1">
      <alignment horizontal="right" vertical="top"/>
    </xf>
    <xf numFmtId="166" fontId="85" fillId="0" borderId="1" xfId="1" applyNumberFormat="1" applyFont="1" applyBorder="1" applyAlignment="1" applyProtection="1">
      <alignment vertical="top"/>
    </xf>
    <xf numFmtId="0" fontId="87" fillId="0" borderId="12" xfId="0" applyFont="1" applyBorder="1" applyAlignment="1">
      <alignment vertical="top" wrapText="1"/>
    </xf>
    <xf numFmtId="49" fontId="87" fillId="0" borderId="1" xfId="1" applyNumberFormat="1" applyFont="1" applyBorder="1" applyAlignment="1" applyProtection="1">
      <alignment horizontal="center" vertical="top" wrapText="1"/>
    </xf>
    <xf numFmtId="0" fontId="87" fillId="0" borderId="1" xfId="0" applyFont="1" applyBorder="1" applyAlignment="1">
      <alignment vertical="top" wrapText="1"/>
    </xf>
    <xf numFmtId="0" fontId="87" fillId="0" borderId="1" xfId="1" applyNumberFormat="1" applyFont="1" applyBorder="1" applyAlignment="1" applyProtection="1">
      <alignment vertical="top" wrapText="1"/>
    </xf>
    <xf numFmtId="166" fontId="86" fillId="0" borderId="0" xfId="1" applyNumberFormat="1" applyFont="1" applyAlignment="1" applyProtection="1">
      <alignment vertical="top"/>
    </xf>
    <xf numFmtId="43" fontId="87" fillId="0" borderId="0" xfId="0" applyNumberFormat="1" applyFont="1" applyAlignment="1">
      <alignment horizontal="left" vertical="top"/>
    </xf>
    <xf numFmtId="166" fontId="85" fillId="0" borderId="19" xfId="1" applyNumberFormat="1" applyFont="1" applyBorder="1" applyAlignment="1" applyProtection="1">
      <alignment horizontal="left" vertical="top" wrapText="1"/>
    </xf>
    <xf numFmtId="166" fontId="86" fillId="0" borderId="19" xfId="1" applyNumberFormat="1" applyFont="1" applyBorder="1" applyAlignment="1" applyProtection="1">
      <alignment horizontal="left" vertical="top" wrapText="1"/>
    </xf>
    <xf numFmtId="0" fontId="86" fillId="0" borderId="21" xfId="0" applyFont="1" applyBorder="1" applyAlignment="1">
      <alignment horizontal="left" vertical="top"/>
    </xf>
    <xf numFmtId="0" fontId="90" fillId="0" borderId="0" xfId="0" applyFont="1" applyAlignment="1">
      <alignment horizontal="left" vertical="top"/>
    </xf>
    <xf numFmtId="164" fontId="86" fillId="0" borderId="1" xfId="1" applyFont="1" applyBorder="1" applyAlignment="1" applyProtection="1">
      <alignment horizontal="left" vertical="top"/>
    </xf>
    <xf numFmtId="164" fontId="85" fillId="0" borderId="1" xfId="1" applyFont="1" applyBorder="1" applyAlignment="1" applyProtection="1">
      <alignment horizontal="left" vertical="top"/>
    </xf>
    <xf numFmtId="164" fontId="86" fillId="0" borderId="0" xfId="1" applyFont="1" applyAlignment="1" applyProtection="1">
      <alignment horizontal="left" vertical="top"/>
    </xf>
    <xf numFmtId="0" fontId="91" fillId="0" borderId="0" xfId="0" applyFont="1" applyAlignment="1">
      <alignment horizontal="left" vertical="top" wrapText="1"/>
    </xf>
    <xf numFmtId="0" fontId="91" fillId="0" borderId="0" xfId="0" applyFont="1" applyAlignment="1">
      <alignment vertical="top" wrapText="1"/>
    </xf>
    <xf numFmtId="0" fontId="91" fillId="0" borderId="0" xfId="0" applyFont="1" applyAlignment="1">
      <alignment horizontal="center" vertical="top" wrapText="1"/>
    </xf>
    <xf numFmtId="0" fontId="86" fillId="0" borderId="1" xfId="0" applyFont="1" applyBorder="1" applyAlignment="1">
      <alignment horizontal="center" vertical="top" wrapText="1"/>
    </xf>
    <xf numFmtId="0" fontId="86" fillId="0" borderId="1" xfId="0" applyFont="1" applyBorder="1" applyAlignment="1">
      <alignment vertical="top" wrapText="1"/>
    </xf>
    <xf numFmtId="166" fontId="86" fillId="0" borderId="1" xfId="2" applyNumberFormat="1" applyFont="1" applyBorder="1" applyAlignment="1" applyProtection="1">
      <alignment vertical="top" wrapText="1"/>
    </xf>
    <xf numFmtId="0" fontId="85" fillId="0" borderId="1" xfId="0" applyFont="1" applyBorder="1" applyAlignment="1">
      <alignment vertical="top" wrapText="1"/>
    </xf>
    <xf numFmtId="166" fontId="85" fillId="0" borderId="1" xfId="2" applyNumberFormat="1" applyFont="1" applyBorder="1" applyAlignment="1" applyProtection="1">
      <alignment vertical="top" wrapText="1"/>
    </xf>
    <xf numFmtId="167" fontId="85" fillId="0" borderId="1" xfId="9" applyNumberFormat="1" applyFont="1" applyBorder="1" applyAlignment="1" applyProtection="1">
      <alignment horizontal="left" vertical="top" wrapText="1"/>
    </xf>
    <xf numFmtId="0" fontId="88" fillId="0" borderId="1" xfId="0" applyFont="1" applyBorder="1" applyAlignment="1">
      <alignment horizontal="left" vertical="top" wrapText="1"/>
    </xf>
    <xf numFmtId="0" fontId="92" fillId="0" borderId="0" xfId="0" applyFont="1" applyAlignment="1">
      <alignment vertical="top" wrapText="1"/>
    </xf>
    <xf numFmtId="166" fontId="92" fillId="0" borderId="0" xfId="0" applyNumberFormat="1" applyFont="1" applyAlignment="1">
      <alignment vertical="top" wrapText="1"/>
    </xf>
    <xf numFmtId="166" fontId="88" fillId="0" borderId="1" xfId="2" applyNumberFormat="1" applyFont="1" applyBorder="1" applyAlignment="1" applyProtection="1">
      <alignment vertical="top" wrapText="1"/>
    </xf>
    <xf numFmtId="0" fontId="85" fillId="0" borderId="1" xfId="0" applyFont="1" applyBorder="1" applyAlignment="1">
      <alignment horizontal="justify" vertical="top" wrapText="1"/>
    </xf>
    <xf numFmtId="166" fontId="89" fillId="0" borderId="1" xfId="2" applyNumberFormat="1" applyFont="1" applyBorder="1" applyAlignment="1" applyProtection="1">
      <alignment vertical="top" wrapText="1"/>
    </xf>
    <xf numFmtId="0" fontId="93" fillId="0" borderId="1" xfId="0" applyFont="1" applyBorder="1" applyAlignment="1">
      <alignment vertical="top" wrapText="1"/>
    </xf>
    <xf numFmtId="0" fontId="92" fillId="0" borderId="1" xfId="0" applyFont="1" applyBorder="1" applyAlignment="1">
      <alignment horizontal="left" vertical="top" wrapText="1"/>
    </xf>
    <xf numFmtId="0" fontId="91" fillId="0" borderId="1" xfId="0" applyFont="1" applyBorder="1" applyAlignment="1">
      <alignment vertical="top" wrapText="1"/>
    </xf>
    <xf numFmtId="166" fontId="91" fillId="0" borderId="1" xfId="2" applyNumberFormat="1" applyFont="1" applyBorder="1" applyAlignment="1" applyProtection="1">
      <alignment vertical="top" wrapText="1"/>
    </xf>
    <xf numFmtId="0" fontId="92" fillId="0" borderId="1" xfId="0" applyFont="1" applyBorder="1" applyAlignment="1">
      <alignment vertical="top" wrapText="1"/>
    </xf>
    <xf numFmtId="166" fontId="92" fillId="0" borderId="1" xfId="2" applyNumberFormat="1" applyFont="1" applyBorder="1" applyAlignment="1" applyProtection="1">
      <alignment vertical="top" wrapText="1"/>
    </xf>
    <xf numFmtId="166" fontId="92" fillId="0" borderId="1" xfId="1" applyNumberFormat="1" applyFont="1" applyBorder="1" applyAlignment="1" applyProtection="1">
      <alignment vertical="top" wrapText="1"/>
    </xf>
    <xf numFmtId="166" fontId="92" fillId="0" borderId="1" xfId="0" applyNumberFormat="1" applyFont="1" applyBorder="1" applyAlignment="1">
      <alignment vertical="top" wrapText="1"/>
    </xf>
    <xf numFmtId="0" fontId="91" fillId="0" borderId="1" xfId="0" applyFont="1" applyBorder="1" applyAlignment="1">
      <alignment horizontal="left" vertical="top" wrapText="1"/>
    </xf>
    <xf numFmtId="9" fontId="92" fillId="0" borderId="1" xfId="15" applyFont="1" applyBorder="1" applyAlignment="1">
      <alignment horizontal="center" vertical="top" wrapText="1"/>
      <protection locked="0"/>
    </xf>
    <xf numFmtId="166" fontId="91" fillId="0" borderId="0" xfId="1" applyNumberFormat="1" applyFont="1" applyAlignment="1" applyProtection="1">
      <alignment vertical="top" wrapText="1"/>
    </xf>
    <xf numFmtId="166" fontId="91" fillId="0" borderId="0" xfId="0" applyNumberFormat="1" applyFont="1" applyAlignment="1">
      <alignment vertical="top" wrapText="1"/>
    </xf>
    <xf numFmtId="0" fontId="20" fillId="0" borderId="0" xfId="0" applyFont="1">
      <alignment vertical="center"/>
    </xf>
    <xf numFmtId="49" fontId="3" fillId="0" borderId="0" xfId="0" applyNumberFormat="1" applyFont="1" applyAlignment="1">
      <alignment horizontal="right" vertical="top"/>
    </xf>
    <xf numFmtId="0" fontId="3" fillId="0" borderId="0" xfId="0" applyFont="1" applyAlignment="1">
      <alignment horizontal="left" vertical="top"/>
    </xf>
    <xf numFmtId="0" fontId="3" fillId="0" borderId="0" xfId="0" applyFont="1" applyAlignment="1">
      <alignment vertical="top" wrapText="1"/>
    </xf>
    <xf numFmtId="0" fontId="4" fillId="0" borderId="1" xfId="1" applyNumberFormat="1" applyFont="1" applyBorder="1" applyAlignment="1" applyProtection="1">
      <alignment vertical="top"/>
    </xf>
    <xf numFmtId="0" fontId="4" fillId="0" borderId="1" xfId="1" applyNumberFormat="1" applyFont="1" applyBorder="1" applyAlignment="1" applyProtection="1">
      <alignment vertical="top" wrapText="1"/>
    </xf>
    <xf numFmtId="49" fontId="4" fillId="0" borderId="1" xfId="1" applyNumberFormat="1" applyFont="1" applyBorder="1" applyAlignment="1" applyProtection="1">
      <alignment horizontal="center" vertical="top"/>
    </xf>
    <xf numFmtId="0" fontId="4" fillId="0" borderId="1" xfId="1" applyNumberFormat="1" applyFont="1" applyBorder="1" applyAlignment="1" applyProtection="1">
      <alignment horizontal="left" vertical="top"/>
    </xf>
    <xf numFmtId="165" fontId="4" fillId="0" borderId="1" xfId="0" applyNumberFormat="1" applyFont="1" applyBorder="1" applyAlignment="1">
      <alignment horizontal="center" vertical="top" wrapText="1"/>
    </xf>
    <xf numFmtId="166" fontId="4" fillId="0" borderId="1" xfId="1" applyNumberFormat="1" applyFont="1" applyBorder="1" applyAlignment="1" applyProtection="1">
      <alignment horizontal="center" vertical="top"/>
    </xf>
    <xf numFmtId="0" fontId="4" fillId="0" borderId="1" xfId="0" applyFont="1" applyBorder="1" applyAlignment="1">
      <alignment horizontal="left" vertical="top"/>
    </xf>
    <xf numFmtId="0" fontId="4" fillId="0" borderId="1" xfId="0" applyFont="1" applyBorder="1" applyAlignment="1">
      <alignment horizontal="left" vertical="top" wrapText="1"/>
    </xf>
    <xf numFmtId="49" fontId="8" fillId="0" borderId="1" xfId="0" applyNumberFormat="1" applyFont="1" applyBorder="1" applyAlignment="1">
      <alignment horizontal="left" vertical="top"/>
    </xf>
    <xf numFmtId="0" fontId="8" fillId="0" borderId="1" xfId="0" applyFont="1" applyBorder="1" applyAlignment="1">
      <alignment horizontal="left" vertical="top" wrapText="1"/>
    </xf>
    <xf numFmtId="166" fontId="5" fillId="0" borderId="1" xfId="2" applyNumberFormat="1" applyFont="1" applyBorder="1" applyAlignment="1" applyProtection="1">
      <alignment horizontal="left" vertical="top"/>
    </xf>
    <xf numFmtId="177" fontId="5" fillId="0" borderId="1" xfId="2" applyNumberFormat="1" applyFont="1" applyBorder="1" applyAlignment="1" applyProtection="1">
      <alignment horizontal="left" vertical="top"/>
    </xf>
    <xf numFmtId="166" fontId="3" fillId="0" borderId="1" xfId="2" applyNumberFormat="1" applyFont="1" applyBorder="1" applyAlignment="1" applyProtection="1">
      <alignment horizontal="left" vertical="top"/>
    </xf>
    <xf numFmtId="177" fontId="3" fillId="0" borderId="1" xfId="2" applyNumberFormat="1" applyFont="1" applyBorder="1" applyAlignment="1" applyProtection="1">
      <alignment horizontal="left" vertical="top"/>
    </xf>
    <xf numFmtId="0" fontId="5" fillId="0" borderId="1" xfId="0" applyFont="1" applyBorder="1" applyAlignment="1">
      <alignment horizontal="left" vertical="top" wrapText="1"/>
    </xf>
    <xf numFmtId="166" fontId="3" fillId="0" borderId="1" xfId="0" applyNumberFormat="1" applyFont="1" applyBorder="1" applyAlignment="1">
      <alignment horizontal="left" vertical="top"/>
    </xf>
    <xf numFmtId="177" fontId="3" fillId="0" borderId="1" xfId="0" applyNumberFormat="1" applyFont="1" applyBorder="1" applyAlignment="1">
      <alignment horizontal="left" vertical="top"/>
    </xf>
    <xf numFmtId="167" fontId="5" fillId="0" borderId="1" xfId="0" applyNumberFormat="1" applyFont="1" applyBorder="1" applyAlignment="1">
      <alignment horizontal="left" vertical="top" wrapText="1"/>
    </xf>
    <xf numFmtId="167" fontId="7" fillId="0" borderId="1" xfId="0" applyNumberFormat="1" applyFont="1" applyBorder="1" applyAlignment="1">
      <alignment horizontal="left" vertical="top" wrapText="1"/>
    </xf>
    <xf numFmtId="0" fontId="3" fillId="18" borderId="1" xfId="0" applyFont="1" applyFill="1" applyBorder="1" applyAlignment="1">
      <alignment vertical="top"/>
    </xf>
    <xf numFmtId="49" fontId="3" fillId="18" borderId="1" xfId="0" applyNumberFormat="1" applyFont="1" applyFill="1" applyBorder="1" applyAlignment="1">
      <alignment horizontal="left" vertical="top"/>
    </xf>
    <xf numFmtId="167" fontId="3" fillId="18" borderId="1" xfId="0" applyNumberFormat="1" applyFont="1" applyFill="1" applyBorder="1" applyAlignment="1">
      <alignment horizontal="left" vertical="top" wrapText="1"/>
    </xf>
    <xf numFmtId="166" fontId="3" fillId="18" borderId="1" xfId="2" applyNumberFormat="1" applyFont="1" applyFill="1" applyBorder="1" applyAlignment="1" applyProtection="1">
      <alignment horizontal="left" vertical="top"/>
    </xf>
    <xf numFmtId="167" fontId="3" fillId="0" borderId="1" xfId="0" quotePrefix="1" applyNumberFormat="1" applyFont="1" applyBorder="1" applyAlignment="1">
      <alignment horizontal="left" vertical="top" wrapText="1"/>
    </xf>
    <xf numFmtId="166" fontId="3" fillId="18" borderId="1" xfId="0" applyNumberFormat="1" applyFont="1" applyFill="1" applyBorder="1" applyAlignment="1">
      <alignment horizontal="left" vertical="top"/>
    </xf>
    <xf numFmtId="49" fontId="5" fillId="0" borderId="1" xfId="0" quotePrefix="1" applyNumberFormat="1" applyFont="1" applyBorder="1" applyAlignment="1">
      <alignment horizontal="left" vertical="top"/>
    </xf>
    <xf numFmtId="166" fontId="5" fillId="0" borderId="1" xfId="0" applyNumberFormat="1" applyFont="1" applyBorder="1" applyAlignment="1">
      <alignment horizontal="left" vertical="top"/>
    </xf>
    <xf numFmtId="0" fontId="6" fillId="0" borderId="1" xfId="0" applyFont="1" applyBorder="1" applyAlignment="1">
      <alignment horizontal="left" vertical="top"/>
    </xf>
    <xf numFmtId="167" fontId="4" fillId="0" borderId="1" xfId="0" applyNumberFormat="1" applyFont="1" applyBorder="1" applyAlignment="1">
      <alignment horizontal="left" vertical="top" wrapText="1"/>
    </xf>
    <xf numFmtId="166" fontId="5" fillId="0" borderId="1" xfId="2" applyNumberFormat="1" applyFont="1" applyBorder="1" applyAlignment="1" applyProtection="1">
      <alignment horizontal="center" vertical="top"/>
    </xf>
    <xf numFmtId="167" fontId="5" fillId="0" borderId="1" xfId="0" applyNumberFormat="1" applyFont="1" applyBorder="1" applyAlignment="1">
      <alignment horizontal="left" vertical="top"/>
    </xf>
    <xf numFmtId="170" fontId="3" fillId="0" borderId="1" xfId="0" applyNumberFormat="1" applyFont="1" applyBorder="1" applyAlignment="1">
      <alignment horizontal="left" vertical="top" wrapText="1"/>
    </xf>
    <xf numFmtId="170" fontId="5" fillId="0" borderId="1" xfId="0" applyNumberFormat="1" applyFont="1" applyBorder="1" applyAlignment="1">
      <alignment horizontal="left" vertical="top" wrapText="1"/>
    </xf>
    <xf numFmtId="167" fontId="4" fillId="0" borderId="1" xfId="0" applyNumberFormat="1" applyFont="1" applyBorder="1" applyAlignment="1">
      <alignment horizontal="left" vertical="top"/>
    </xf>
    <xf numFmtId="0" fontId="8" fillId="0" borderId="1" xfId="8" applyFont="1" applyBorder="1" applyAlignment="1" applyProtection="1">
      <alignment horizontal="left" vertical="top"/>
    </xf>
    <xf numFmtId="0" fontId="8" fillId="0" borderId="1" xfId="8" applyFont="1" applyBorder="1" applyAlignment="1" applyProtection="1">
      <alignment horizontal="left" vertical="top" wrapText="1"/>
    </xf>
    <xf numFmtId="3" fontId="5" fillId="0" borderId="1" xfId="0" applyNumberFormat="1" applyFont="1" applyBorder="1" applyAlignment="1">
      <alignment vertical="top"/>
    </xf>
    <xf numFmtId="0" fontId="9" fillId="0" borderId="1" xfId="8" applyFont="1" applyBorder="1" applyAlignment="1" applyProtection="1">
      <alignment horizontal="left" vertical="top"/>
    </xf>
    <xf numFmtId="0" fontId="9" fillId="0" borderId="1" xfId="8" applyFont="1" applyBorder="1" applyAlignment="1" applyProtection="1">
      <alignment horizontal="left" vertical="top" wrapText="1"/>
    </xf>
    <xf numFmtId="3" fontId="3" fillId="0" borderId="1" xfId="0" applyNumberFormat="1" applyFont="1" applyBorder="1" applyAlignment="1">
      <alignment vertical="top"/>
    </xf>
    <xf numFmtId="167" fontId="8" fillId="0" borderId="1" xfId="0" applyNumberFormat="1" applyFont="1" applyBorder="1" applyAlignment="1">
      <alignment horizontal="left" vertical="top" wrapText="1"/>
    </xf>
    <xf numFmtId="167" fontId="9" fillId="0" borderId="1" xfId="0" applyNumberFormat="1" applyFont="1" applyBorder="1" applyAlignment="1">
      <alignment horizontal="left" vertical="top" wrapText="1"/>
    </xf>
    <xf numFmtId="0" fontId="5" fillId="0" borderId="1" xfId="2" applyNumberFormat="1" applyFont="1" applyBorder="1" applyAlignment="1" applyProtection="1">
      <alignment horizontal="left" vertical="top"/>
    </xf>
    <xf numFmtId="164" fontId="5" fillId="0" borderId="1" xfId="2" applyFont="1" applyBorder="1" applyAlignment="1" applyProtection="1">
      <alignment horizontal="left" vertical="top" wrapText="1"/>
    </xf>
    <xf numFmtId="0" fontId="8" fillId="0" borderId="1" xfId="0" applyFont="1" applyBorder="1" applyAlignment="1">
      <alignment horizontal="left" vertical="top"/>
    </xf>
    <xf numFmtId="0" fontId="8" fillId="0" borderId="1" xfId="0" applyFont="1" applyBorder="1" applyAlignment="1">
      <alignment vertical="top" wrapText="1"/>
    </xf>
    <xf numFmtId="167" fontId="6" fillId="0" borderId="1" xfId="0" applyNumberFormat="1" applyFont="1" applyBorder="1" applyAlignment="1">
      <alignment horizontal="left" vertical="top"/>
    </xf>
    <xf numFmtId="49" fontId="6" fillId="0" borderId="1" xfId="9" applyNumberFormat="1" applyFont="1" applyBorder="1" applyAlignment="1" applyProtection="1">
      <alignment horizontal="right" vertical="top"/>
    </xf>
    <xf numFmtId="167" fontId="4" fillId="0" borderId="1" xfId="9" applyNumberFormat="1" applyFont="1" applyBorder="1" applyAlignment="1" applyProtection="1">
      <alignment vertical="top"/>
    </xf>
    <xf numFmtId="167" fontId="4" fillId="0" borderId="1" xfId="9" applyNumberFormat="1" applyFont="1" applyBorder="1" applyAlignment="1" applyProtection="1">
      <alignment vertical="top" wrapText="1"/>
    </xf>
    <xf numFmtId="0" fontId="3" fillId="0" borderId="1" xfId="9" applyFont="1" applyBorder="1" applyAlignment="1" applyProtection="1">
      <alignment vertical="top"/>
    </xf>
    <xf numFmtId="49" fontId="9" fillId="0" borderId="1" xfId="9" applyNumberFormat="1" applyFont="1" applyBorder="1" applyAlignment="1" applyProtection="1">
      <alignment horizontal="right" vertical="top"/>
    </xf>
    <xf numFmtId="3" fontId="5" fillId="0" borderId="1" xfId="9" applyNumberFormat="1" applyFont="1" applyBorder="1" applyAlignment="1" applyProtection="1">
      <alignment vertical="top"/>
    </xf>
    <xf numFmtId="3" fontId="3" fillId="0" borderId="1" xfId="9" applyNumberFormat="1" applyFont="1" applyBorder="1" applyAlignment="1" applyProtection="1">
      <alignment vertical="top"/>
    </xf>
    <xf numFmtId="49" fontId="8" fillId="0" borderId="1" xfId="9" applyNumberFormat="1" applyFont="1" applyBorder="1" applyAlignment="1" applyProtection="1">
      <alignment horizontal="right" vertical="top"/>
    </xf>
    <xf numFmtId="49" fontId="8" fillId="0" borderId="1" xfId="9" applyNumberFormat="1" applyFont="1" applyBorder="1" applyAlignment="1" applyProtection="1">
      <alignment horizontal="left" vertical="top"/>
    </xf>
    <xf numFmtId="167" fontId="8" fillId="0" borderId="1" xfId="9" applyNumberFormat="1" applyFont="1" applyBorder="1" applyAlignment="1" applyProtection="1">
      <alignment horizontal="left" vertical="top" wrapText="1"/>
    </xf>
    <xf numFmtId="49" fontId="9" fillId="0" borderId="1" xfId="9" applyNumberFormat="1" applyFont="1" applyBorder="1" applyAlignment="1" applyProtection="1">
      <alignment horizontal="left" vertical="top"/>
    </xf>
    <xf numFmtId="167" fontId="9" fillId="0" borderId="1" xfId="9" applyNumberFormat="1" applyFont="1" applyBorder="1" applyAlignment="1" applyProtection="1">
      <alignment horizontal="left" vertical="top" wrapText="1"/>
    </xf>
    <xf numFmtId="49" fontId="3" fillId="0" borderId="1" xfId="9" applyNumberFormat="1" applyFont="1" applyBorder="1" applyAlignment="1" applyProtection="1">
      <alignment horizontal="left" vertical="top"/>
    </xf>
    <xf numFmtId="167" fontId="3" fillId="0" borderId="1" xfId="9" applyNumberFormat="1" applyFont="1" applyBorder="1" applyAlignment="1" applyProtection="1">
      <alignment vertical="top" wrapText="1"/>
    </xf>
    <xf numFmtId="0" fontId="8" fillId="0" borderId="1" xfId="9" applyFont="1" applyBorder="1" applyAlignment="1" applyProtection="1">
      <alignment horizontal="left" vertical="top"/>
    </xf>
    <xf numFmtId="0" fontId="8" fillId="0" borderId="1" xfId="9" applyFont="1" applyBorder="1" applyAlignment="1" applyProtection="1">
      <alignment vertical="top" wrapText="1"/>
    </xf>
    <xf numFmtId="0" fontId="9" fillId="0" borderId="1" xfId="9" applyFont="1" applyBorder="1" applyAlignment="1" applyProtection="1">
      <alignment horizontal="left" vertical="top"/>
    </xf>
    <xf numFmtId="0" fontId="9" fillId="0" borderId="1" xfId="9" applyFont="1" applyBorder="1" applyAlignment="1" applyProtection="1">
      <alignment vertical="top" wrapText="1"/>
    </xf>
    <xf numFmtId="49" fontId="5" fillId="0" borderId="1" xfId="9" applyNumberFormat="1" applyFont="1" applyBorder="1" applyAlignment="1" applyProtection="1">
      <alignment horizontal="left" vertical="top"/>
    </xf>
    <xf numFmtId="167" fontId="5" fillId="0" borderId="1" xfId="9" applyNumberFormat="1" applyFont="1" applyBorder="1" applyAlignment="1" applyProtection="1">
      <alignment horizontal="left" vertical="top" wrapText="1"/>
    </xf>
    <xf numFmtId="166" fontId="5" fillId="0" borderId="1" xfId="9" applyNumberFormat="1" applyFont="1" applyBorder="1" applyAlignment="1" applyProtection="1">
      <alignment horizontal="left" vertical="top"/>
    </xf>
    <xf numFmtId="167" fontId="3" fillId="0" borderId="1" xfId="9" applyNumberFormat="1" applyFont="1" applyBorder="1" applyAlignment="1" applyProtection="1">
      <alignment horizontal="left" vertical="top" wrapText="1"/>
    </xf>
    <xf numFmtId="166" fontId="3" fillId="0" borderId="1" xfId="9" applyNumberFormat="1" applyFont="1" applyBorder="1" applyAlignment="1" applyProtection="1">
      <alignment horizontal="left" vertical="top"/>
    </xf>
    <xf numFmtId="167" fontId="8" fillId="0" borderId="1" xfId="9" applyNumberFormat="1" applyFont="1" applyBorder="1" applyAlignment="1" applyProtection="1">
      <alignment horizontal="left" vertical="top"/>
    </xf>
    <xf numFmtId="49" fontId="9" fillId="0" borderId="1" xfId="0" applyNumberFormat="1" applyFont="1" applyBorder="1" applyAlignment="1">
      <alignment horizontal="right" vertical="top"/>
    </xf>
    <xf numFmtId="167" fontId="4" fillId="0" borderId="1" xfId="0" applyNumberFormat="1" applyFont="1" applyBorder="1" applyAlignment="1">
      <alignment vertical="top"/>
    </xf>
    <xf numFmtId="167" fontId="4" fillId="0" borderId="1" xfId="0" applyNumberFormat="1" applyFont="1" applyBorder="1" applyAlignment="1">
      <alignment vertical="top" wrapText="1"/>
    </xf>
    <xf numFmtId="0" fontId="4" fillId="0" borderId="1" xfId="8" applyFont="1" applyBorder="1" applyAlignment="1" applyProtection="1">
      <alignment horizontal="left" vertical="top"/>
    </xf>
    <xf numFmtId="0" fontId="4" fillId="0" borderId="1" xfId="8" applyFont="1" applyBorder="1" applyAlignment="1" applyProtection="1">
      <alignment horizontal="left" vertical="top" wrapText="1"/>
    </xf>
    <xf numFmtId="167" fontId="8" fillId="0" borderId="1" xfId="0" applyNumberFormat="1" applyFont="1" applyBorder="1" applyAlignment="1">
      <alignment horizontal="left" vertical="top"/>
    </xf>
    <xf numFmtId="167" fontId="8" fillId="0" borderId="1" xfId="9" applyNumberFormat="1" applyFont="1" applyBorder="1" applyAlignment="1" applyProtection="1">
      <alignment vertical="top"/>
    </xf>
    <xf numFmtId="167" fontId="8" fillId="0" borderId="1" xfId="9" applyNumberFormat="1" applyFont="1" applyBorder="1" applyAlignment="1" applyProtection="1">
      <alignment vertical="top" wrapText="1"/>
    </xf>
    <xf numFmtId="167" fontId="4" fillId="0" borderId="1" xfId="9" applyNumberFormat="1" applyFont="1" applyBorder="1" applyAlignment="1" applyProtection="1">
      <alignment horizontal="left" vertical="top" wrapText="1"/>
    </xf>
    <xf numFmtId="0" fontId="3" fillId="0" borderId="1" xfId="9" applyFont="1" applyBorder="1" applyAlignment="1" applyProtection="1">
      <alignment horizontal="left" vertical="top"/>
    </xf>
    <xf numFmtId="0" fontId="4" fillId="0" borderId="1" xfId="9" applyFont="1" applyBorder="1" applyAlignment="1" applyProtection="1">
      <alignment horizontal="left" vertical="top" wrapText="1"/>
    </xf>
    <xf numFmtId="0" fontId="4" fillId="0" borderId="1" xfId="0" applyFont="1" applyBorder="1" applyAlignment="1">
      <alignment vertical="top"/>
    </xf>
    <xf numFmtId="170" fontId="5" fillId="0" borderId="1" xfId="0" quotePrefix="1" applyNumberFormat="1" applyFont="1" applyBorder="1" applyAlignment="1">
      <alignment horizontal="left" vertical="top" wrapText="1"/>
    </xf>
    <xf numFmtId="170" fontId="3" fillId="0" borderId="1" xfId="0" quotePrefix="1" applyNumberFormat="1" applyFont="1" applyBorder="1" applyAlignment="1">
      <alignment horizontal="left" vertical="top" wrapText="1"/>
    </xf>
    <xf numFmtId="49" fontId="5" fillId="0" borderId="1" xfId="0" applyNumberFormat="1" applyFont="1" applyBorder="1" applyAlignment="1" applyProtection="1">
      <alignment horizontal="left" vertical="top"/>
      <protection locked="0"/>
    </xf>
    <xf numFmtId="167" fontId="5" fillId="0" borderId="1" xfId="0" applyNumberFormat="1" applyFont="1" applyBorder="1" applyAlignment="1" applyProtection="1">
      <alignment horizontal="left" vertical="top" wrapText="1"/>
      <protection locked="0"/>
    </xf>
    <xf numFmtId="49" fontId="3" fillId="0" borderId="1" xfId="0" applyNumberFormat="1" applyFont="1" applyBorder="1" applyAlignment="1" applyProtection="1">
      <alignment horizontal="left" vertical="top"/>
      <protection locked="0"/>
    </xf>
    <xf numFmtId="167" fontId="3" fillId="0" borderId="1" xfId="0" applyNumberFormat="1" applyFont="1" applyBorder="1" applyAlignment="1" applyProtection="1">
      <alignment horizontal="left" vertical="top" wrapText="1"/>
      <protection locked="0"/>
    </xf>
    <xf numFmtId="166" fontId="3" fillId="0" borderId="1" xfId="0" applyNumberFormat="1" applyFont="1" applyBorder="1" applyAlignment="1" applyProtection="1">
      <alignment horizontal="left" vertical="top"/>
      <protection locked="0"/>
    </xf>
    <xf numFmtId="166" fontId="3" fillId="0" borderId="1" xfId="2" applyNumberFormat="1" applyFont="1" applyBorder="1" applyAlignment="1">
      <alignment horizontal="left" vertical="top"/>
      <protection locked="0"/>
    </xf>
    <xf numFmtId="167" fontId="8" fillId="0" borderId="1" xfId="0" applyNumberFormat="1" applyFont="1" applyBorder="1" applyAlignment="1">
      <alignment vertical="top" wrapText="1"/>
    </xf>
    <xf numFmtId="166" fontId="8" fillId="0" borderId="1" xfId="2" applyNumberFormat="1" applyFont="1" applyBorder="1" applyAlignment="1" applyProtection="1">
      <alignment horizontal="left" vertical="top"/>
    </xf>
    <xf numFmtId="167" fontId="9" fillId="0" borderId="1" xfId="0" applyNumberFormat="1" applyFont="1" applyBorder="1" applyAlignment="1">
      <alignment vertical="top" wrapText="1"/>
    </xf>
    <xf numFmtId="0" fontId="8" fillId="0" borderId="1" xfId="5" applyNumberFormat="1" applyFont="1" applyBorder="1" applyAlignment="1" applyProtection="1">
      <alignment horizontal="left" vertical="top"/>
    </xf>
    <xf numFmtId="165" fontId="8" fillId="0" borderId="1" xfId="0" applyNumberFormat="1" applyFont="1" applyBorder="1" applyAlignment="1">
      <alignment horizontal="left" vertical="top" wrapText="1"/>
    </xf>
    <xf numFmtId="0" fontId="8" fillId="0" borderId="1" xfId="7" applyNumberFormat="1" applyFont="1" applyBorder="1" applyAlignment="1" applyProtection="1">
      <alignment horizontal="left" vertical="top"/>
    </xf>
    <xf numFmtId="0" fontId="9" fillId="0" borderId="1" xfId="5" applyNumberFormat="1" applyFont="1" applyBorder="1" applyAlignment="1" applyProtection="1">
      <alignment horizontal="left" vertical="top"/>
    </xf>
    <xf numFmtId="165" fontId="9" fillId="0" borderId="1" xfId="0" applyNumberFormat="1" applyFont="1" applyBorder="1" applyAlignment="1">
      <alignment horizontal="left" vertical="top" wrapText="1"/>
    </xf>
    <xf numFmtId="166" fontId="8" fillId="0" borderId="1" xfId="2" applyNumberFormat="1" applyFont="1" applyBorder="1" applyAlignment="1" applyProtection="1">
      <alignment vertical="top"/>
    </xf>
    <xf numFmtId="49" fontId="9" fillId="0" borderId="1" xfId="0" applyNumberFormat="1" applyFont="1" applyBorder="1" applyAlignment="1">
      <alignment vertical="top" wrapText="1"/>
    </xf>
    <xf numFmtId="49" fontId="8" fillId="0" borderId="1" xfId="0" applyNumberFormat="1" applyFont="1" applyBorder="1" applyAlignment="1">
      <alignment vertical="top"/>
    </xf>
    <xf numFmtId="166" fontId="8" fillId="0" borderId="1" xfId="0" applyNumberFormat="1" applyFont="1" applyBorder="1" applyAlignment="1">
      <alignment vertical="top"/>
    </xf>
    <xf numFmtId="49" fontId="9" fillId="0" borderId="1" xfId="0" applyNumberFormat="1" applyFont="1" applyBorder="1" applyAlignment="1">
      <alignment vertical="top"/>
    </xf>
    <xf numFmtId="167" fontId="9" fillId="0" borderId="1" xfId="0" applyNumberFormat="1" applyFont="1" applyBorder="1" applyAlignment="1">
      <alignment horizontal="left" vertical="top"/>
    </xf>
    <xf numFmtId="166" fontId="9" fillId="0" borderId="1" xfId="2" applyNumberFormat="1" applyFont="1" applyBorder="1" applyAlignment="1" applyProtection="1">
      <alignment horizontal="left" vertical="top"/>
    </xf>
    <xf numFmtId="167" fontId="9" fillId="0" borderId="1" xfId="0" quotePrefix="1" applyNumberFormat="1" applyFont="1" applyBorder="1" applyAlignment="1">
      <alignment horizontal="left" vertical="top" wrapText="1"/>
    </xf>
    <xf numFmtId="167" fontId="9" fillId="0" borderId="1" xfId="0" quotePrefix="1" applyNumberFormat="1" applyFont="1" applyBorder="1" applyAlignment="1">
      <alignment vertical="top" wrapText="1"/>
    </xf>
    <xf numFmtId="170" fontId="8" fillId="0" borderId="1" xfId="0" quotePrefix="1" applyNumberFormat="1" applyFont="1" applyBorder="1" applyAlignment="1">
      <alignment horizontal="left" vertical="top" wrapText="1"/>
    </xf>
    <xf numFmtId="0" fontId="5" fillId="0" borderId="1" xfId="0" applyFont="1" applyBorder="1" applyAlignment="1">
      <alignment horizontal="left" vertical="top" shrinkToFit="1"/>
    </xf>
    <xf numFmtId="0" fontId="5" fillId="0" borderId="1" xfId="0" applyFont="1" applyBorder="1" applyAlignment="1">
      <alignment horizontal="left" wrapText="1" shrinkToFit="1"/>
    </xf>
    <xf numFmtId="0" fontId="3" fillId="0" borderId="1" xfId="0" applyFont="1" applyBorder="1" applyAlignment="1">
      <alignment horizontal="left" vertical="top" shrinkToFit="1"/>
    </xf>
    <xf numFmtId="0" fontId="3" fillId="0" borderId="1" xfId="0" applyFont="1" applyBorder="1" applyAlignment="1">
      <alignment horizontal="left" wrapText="1" shrinkToFit="1"/>
    </xf>
    <xf numFmtId="166" fontId="9" fillId="0" borderId="1" xfId="2" applyNumberFormat="1" applyFont="1" applyBorder="1" applyAlignment="1" applyProtection="1">
      <alignment horizontal="center" vertical="top"/>
    </xf>
    <xf numFmtId="166" fontId="8" fillId="0" borderId="1" xfId="2" applyNumberFormat="1" applyFont="1" applyBorder="1" applyAlignment="1" applyProtection="1">
      <alignment horizontal="center" vertical="top"/>
    </xf>
    <xf numFmtId="170" fontId="9" fillId="0" borderId="1" xfId="0" quotePrefix="1" applyNumberFormat="1" applyFont="1" applyBorder="1" applyAlignment="1">
      <alignment horizontal="left" vertical="top" wrapText="1"/>
    </xf>
    <xf numFmtId="164" fontId="8" fillId="0" borderId="1" xfId="2" applyFont="1" applyBorder="1" applyAlignment="1" applyProtection="1">
      <alignment horizontal="left" vertical="top"/>
    </xf>
    <xf numFmtId="0" fontId="6" fillId="0" borderId="1" xfId="0" applyFont="1" applyBorder="1" applyAlignment="1">
      <alignment vertical="top" wrapText="1"/>
    </xf>
    <xf numFmtId="166" fontId="6" fillId="0" borderId="1" xfId="2" applyNumberFormat="1" applyFont="1" applyBorder="1" applyAlignment="1" applyProtection="1">
      <alignment vertical="top"/>
    </xf>
    <xf numFmtId="0" fontId="4" fillId="0" borderId="1" xfId="0" applyFont="1" applyBorder="1" applyAlignment="1">
      <alignment vertical="top" wrapText="1"/>
    </xf>
    <xf numFmtId="166" fontId="4" fillId="0" borderId="1" xfId="2" applyNumberFormat="1" applyFont="1" applyBorder="1" applyAlignment="1" applyProtection="1">
      <alignment vertical="top"/>
    </xf>
    <xf numFmtId="0" fontId="5" fillId="0" borderId="1" xfId="0" applyFont="1" applyBorder="1" applyAlignment="1" applyProtection="1">
      <alignment vertical="top"/>
      <protection locked="0"/>
    </xf>
    <xf numFmtId="0" fontId="5" fillId="0" borderId="1" xfId="0" applyFont="1" applyBorder="1" applyAlignment="1" applyProtection="1">
      <alignment horizontal="left" vertical="top"/>
      <protection locked="0"/>
    </xf>
    <xf numFmtId="0" fontId="5" fillId="0" borderId="1" xfId="0" applyFont="1" applyBorder="1" applyAlignment="1" applyProtection="1">
      <alignment vertical="top" wrapText="1"/>
      <protection locked="0"/>
    </xf>
    <xf numFmtId="166" fontId="5" fillId="0" borderId="1" xfId="2" applyNumberFormat="1" applyFont="1" applyBorder="1" applyAlignment="1" applyProtection="1">
      <alignment vertical="top"/>
    </xf>
    <xf numFmtId="0" fontId="3" fillId="0" borderId="1" xfId="0" applyFont="1" applyBorder="1" applyAlignment="1" applyProtection="1">
      <alignment vertical="top"/>
      <protection locked="0"/>
    </xf>
    <xf numFmtId="0" fontId="3" fillId="0" borderId="1" xfId="0" applyFont="1" applyBorder="1" applyAlignment="1" applyProtection="1">
      <alignment horizontal="left" vertical="top"/>
      <protection locked="0"/>
    </xf>
    <xf numFmtId="0" fontId="3" fillId="0" borderId="1" xfId="0" applyFont="1" applyBorder="1" applyAlignment="1" applyProtection="1">
      <alignment vertical="top" wrapText="1"/>
      <protection locked="0"/>
    </xf>
    <xf numFmtId="166" fontId="3" fillId="0" borderId="1" xfId="0" applyNumberFormat="1" applyFont="1" applyBorder="1" applyAlignment="1" applyProtection="1">
      <alignment vertical="top"/>
      <protection locked="0"/>
    </xf>
    <xf numFmtId="166" fontId="3" fillId="0" borderId="1" xfId="2" applyNumberFormat="1" applyFont="1" applyBorder="1" applyAlignment="1">
      <alignment vertical="top"/>
      <protection locked="0"/>
    </xf>
    <xf numFmtId="167" fontId="5" fillId="0" borderId="1" xfId="0" applyNumberFormat="1" applyFont="1" applyBorder="1" applyAlignment="1" applyProtection="1">
      <alignment vertical="top" wrapText="1"/>
      <protection locked="0"/>
    </xf>
    <xf numFmtId="49" fontId="3" fillId="0" borderId="1" xfId="0" applyNumberFormat="1" applyFont="1" applyBorder="1" applyAlignment="1" applyProtection="1">
      <alignment vertical="top" wrapText="1"/>
      <protection locked="0"/>
    </xf>
    <xf numFmtId="167" fontId="3" fillId="0" borderId="1" xfId="0" applyNumberFormat="1" applyFont="1" applyBorder="1" applyAlignment="1" applyProtection="1">
      <alignment vertical="top" wrapText="1"/>
      <protection locked="0"/>
    </xf>
    <xf numFmtId="49" fontId="5" fillId="0" borderId="1" xfId="0" quotePrefix="1" applyNumberFormat="1" applyFont="1" applyBorder="1" applyAlignment="1" applyProtection="1">
      <alignment horizontal="left" vertical="top"/>
      <protection locked="0"/>
    </xf>
    <xf numFmtId="0" fontId="6" fillId="0" borderId="1" xfId="0" applyFont="1" applyBorder="1" applyAlignment="1" applyProtection="1">
      <alignment vertical="top"/>
      <protection locked="0"/>
    </xf>
    <xf numFmtId="166" fontId="5" fillId="0" borderId="1" xfId="0" applyNumberFormat="1" applyFont="1" applyBorder="1" applyAlignment="1">
      <alignment vertical="top"/>
    </xf>
    <xf numFmtId="0" fontId="6" fillId="0" borderId="1" xfId="0" applyFont="1" applyBorder="1" applyAlignment="1" applyProtection="1">
      <alignment horizontal="left" vertical="top"/>
      <protection locked="0"/>
    </xf>
    <xf numFmtId="0" fontId="4" fillId="0" borderId="1" xfId="0" applyFont="1" applyBorder="1" applyAlignment="1" applyProtection="1">
      <alignment vertical="top" wrapText="1"/>
      <protection locked="0"/>
    </xf>
    <xf numFmtId="0" fontId="4" fillId="0" borderId="1" xfId="0" applyFont="1" applyBorder="1" applyAlignment="1" applyProtection="1">
      <alignment vertical="top"/>
      <protection locked="0"/>
    </xf>
    <xf numFmtId="170" fontId="3" fillId="0" borderId="1" xfId="0" applyNumberFormat="1" applyFont="1" applyBorder="1" applyAlignment="1" applyProtection="1">
      <alignment horizontal="left" vertical="top" wrapText="1"/>
      <protection locked="0"/>
    </xf>
    <xf numFmtId="178" fontId="3" fillId="0" borderId="1" xfId="2" applyNumberFormat="1" applyFont="1" applyBorder="1" applyAlignment="1">
      <alignment horizontal="left" vertical="top"/>
      <protection locked="0"/>
    </xf>
    <xf numFmtId="170" fontId="5" fillId="0" borderId="1" xfId="0" applyNumberFormat="1" applyFont="1" applyBorder="1" applyAlignment="1" applyProtection="1">
      <alignment horizontal="left" vertical="top" wrapText="1"/>
      <protection locked="0"/>
    </xf>
    <xf numFmtId="178" fontId="3" fillId="0" borderId="1" xfId="2" applyNumberFormat="1" applyFont="1" applyBorder="1" applyAlignment="1" applyProtection="1">
      <alignment horizontal="left" vertical="top"/>
    </xf>
    <xf numFmtId="0" fontId="4" fillId="0" borderId="1" xfId="0" applyFont="1" applyBorder="1" applyAlignment="1" applyProtection="1">
      <alignment horizontal="left" vertical="top"/>
      <protection locked="0"/>
    </xf>
    <xf numFmtId="166" fontId="5" fillId="0" borderId="1" xfId="2" applyNumberFormat="1" applyFont="1" applyBorder="1" applyAlignment="1">
      <alignment vertical="top"/>
      <protection locked="0"/>
    </xf>
    <xf numFmtId="166" fontId="3" fillId="0" borderId="1" xfId="0" applyNumberFormat="1" applyFont="1" applyBorder="1" applyAlignment="1" applyProtection="1">
      <alignment vertical="top" wrapText="1"/>
      <protection locked="0"/>
    </xf>
    <xf numFmtId="0" fontId="3" fillId="0" borderId="1" xfId="0" quotePrefix="1" applyFont="1" applyBorder="1" applyAlignment="1" applyProtection="1">
      <alignment horizontal="left" vertical="top"/>
      <protection locked="0"/>
    </xf>
    <xf numFmtId="0" fontId="9" fillId="0" borderId="0" xfId="0" applyFont="1" applyAlignment="1" applyProtection="1">
      <protection locked="0"/>
    </xf>
    <xf numFmtId="164" fontId="3" fillId="0" borderId="1" xfId="2" applyFont="1" applyBorder="1" applyAlignment="1">
      <alignment vertical="top"/>
      <protection locked="0"/>
    </xf>
    <xf numFmtId="0" fontId="9" fillId="0" borderId="0" xfId="0" applyFont="1" applyAlignment="1" applyProtection="1">
      <alignment vertical="top"/>
      <protection locked="0"/>
    </xf>
    <xf numFmtId="0" fontId="9" fillId="0" borderId="0" xfId="0" applyFont="1" applyAlignment="1" applyProtection="1">
      <alignment wrapText="1"/>
      <protection locked="0"/>
    </xf>
    <xf numFmtId="0" fontId="4" fillId="0" borderId="0" xfId="0" applyFont="1" applyAlignment="1" applyProtection="1">
      <protection locked="0"/>
    </xf>
    <xf numFmtId="0" fontId="4" fillId="0" borderId="0" xfId="0" applyFont="1" applyAlignment="1" applyProtection="1">
      <alignment vertical="top"/>
      <protection locked="0"/>
    </xf>
    <xf numFmtId="0" fontId="4" fillId="0" borderId="0" xfId="0" applyFont="1" applyAlignment="1" applyProtection="1">
      <alignment wrapText="1"/>
      <protection locked="0"/>
    </xf>
    <xf numFmtId="166" fontId="4" fillId="0" borderId="0" xfId="0" applyNumberFormat="1" applyFont="1" applyAlignment="1">
      <alignment vertical="top"/>
    </xf>
    <xf numFmtId="0" fontId="4" fillId="0" borderId="12" xfId="0" applyFont="1" applyBorder="1" applyAlignment="1">
      <alignment vertical="top"/>
    </xf>
    <xf numFmtId="0" fontId="4" fillId="0" borderId="14" xfId="0" applyFont="1" applyBorder="1" applyAlignment="1">
      <alignment vertical="top" wrapText="1"/>
    </xf>
    <xf numFmtId="0" fontId="4" fillId="0" borderId="1" xfId="0" applyFont="1" applyBorder="1" applyAlignment="1">
      <alignment horizontal="center" vertical="top" wrapText="1"/>
    </xf>
    <xf numFmtId="166" fontId="4" fillId="0" borderId="1" xfId="1" applyNumberFormat="1" applyFont="1" applyBorder="1" applyAlignment="1" applyProtection="1">
      <alignment horizontal="left" vertical="top"/>
    </xf>
    <xf numFmtId="166" fontId="4" fillId="0" borderId="1" xfId="0" applyNumberFormat="1" applyFont="1" applyBorder="1" applyAlignment="1">
      <alignment vertical="top"/>
    </xf>
    <xf numFmtId="0" fontId="8" fillId="0" borderId="1" xfId="0" applyFont="1" applyBorder="1" applyAlignment="1">
      <alignment horizontal="right" vertical="top"/>
    </xf>
    <xf numFmtId="0" fontId="5" fillId="0" borderId="1" xfId="0" applyFont="1" applyBorder="1" applyAlignment="1">
      <alignment horizontal="right" vertical="top"/>
    </xf>
    <xf numFmtId="0" fontId="5" fillId="0" borderId="1" xfId="8" applyFont="1" applyBorder="1" applyAlignment="1" applyProtection="1">
      <alignment horizontal="left" vertical="top"/>
    </xf>
    <xf numFmtId="0" fontId="5" fillId="0" borderId="1" xfId="8" applyFont="1" applyBorder="1" applyAlignment="1" applyProtection="1">
      <alignment horizontal="left" vertical="top" wrapText="1"/>
    </xf>
    <xf numFmtId="166" fontId="5" fillId="0" borderId="1" xfId="1" applyNumberFormat="1" applyFont="1" applyBorder="1" applyAlignment="1">
      <alignment vertical="top"/>
      <protection locked="0"/>
    </xf>
    <xf numFmtId="0" fontId="7" fillId="0" borderId="1" xfId="0" applyFont="1" applyBorder="1" applyAlignment="1">
      <alignment horizontal="right" vertical="top"/>
    </xf>
    <xf numFmtId="0" fontId="3" fillId="0" borderId="1" xfId="8" applyFont="1" applyBorder="1" applyAlignment="1" applyProtection="1">
      <alignment horizontal="left" vertical="top"/>
    </xf>
    <xf numFmtId="0" fontId="3" fillId="0" borderId="1" xfId="8" applyFont="1" applyBorder="1" applyAlignment="1" applyProtection="1">
      <alignment horizontal="left" vertical="top" wrapText="1"/>
    </xf>
    <xf numFmtId="166" fontId="3" fillId="0" borderId="1" xfId="1" applyNumberFormat="1" applyFont="1" applyBorder="1" applyAlignment="1">
      <alignment vertical="top"/>
      <protection locked="0"/>
    </xf>
    <xf numFmtId="0" fontId="94" fillId="0" borderId="1" xfId="0" applyFont="1" applyBorder="1" applyAlignment="1">
      <alignment horizontal="right" vertical="top"/>
    </xf>
    <xf numFmtId="0" fontId="5" fillId="0" borderId="1" xfId="0" applyFont="1" applyBorder="1" applyAlignment="1">
      <alignment horizontal="left" vertical="top"/>
    </xf>
    <xf numFmtId="0" fontId="8" fillId="0" borderId="1" xfId="8" applyFont="1" applyBorder="1" applyAlignment="1" applyProtection="1">
      <alignment vertical="top"/>
    </xf>
    <xf numFmtId="166" fontId="8" fillId="0" borderId="1" xfId="8" applyNumberFormat="1" applyFont="1" applyBorder="1" applyAlignment="1" applyProtection="1">
      <alignment vertical="top" wrapText="1"/>
    </xf>
    <xf numFmtId="166" fontId="8" fillId="0" borderId="1" xfId="1" applyNumberFormat="1" applyFont="1" applyBorder="1" applyAlignment="1" applyProtection="1">
      <alignment vertical="top"/>
    </xf>
    <xf numFmtId="0" fontId="8" fillId="0" borderId="1" xfId="8" applyFont="1" applyBorder="1" applyAlignment="1" applyProtection="1">
      <alignment vertical="top" wrapText="1"/>
    </xf>
    <xf numFmtId="49" fontId="95" fillId="0" borderId="1" xfId="0" applyNumberFormat="1" applyFont="1" applyBorder="1" applyAlignment="1">
      <alignment vertical="top"/>
    </xf>
    <xf numFmtId="0" fontId="95" fillId="0" borderId="1" xfId="0" applyFont="1" applyBorder="1" applyAlignment="1">
      <alignment horizontal="left" vertical="top"/>
    </xf>
    <xf numFmtId="0" fontId="95" fillId="0" borderId="1" xfId="0" applyFont="1" applyBorder="1" applyAlignment="1">
      <alignment vertical="top" wrapText="1"/>
    </xf>
    <xf numFmtId="166" fontId="95" fillId="0" borderId="1" xfId="1" applyNumberFormat="1" applyFont="1" applyBorder="1" applyAlignment="1" applyProtection="1">
      <alignment vertical="top"/>
    </xf>
    <xf numFmtId="0" fontId="5" fillId="0" borderId="1" xfId="0" applyFont="1" applyBorder="1" applyAlignment="1">
      <alignment vertical="top" wrapText="1"/>
    </xf>
    <xf numFmtId="49" fontId="5" fillId="0" borderId="1" xfId="0" applyNumberFormat="1" applyFont="1" applyBorder="1" applyAlignment="1">
      <alignment vertical="top"/>
    </xf>
    <xf numFmtId="49" fontId="96" fillId="0" borderId="1" xfId="0" applyNumberFormat="1" applyFont="1" applyBorder="1" applyAlignment="1">
      <alignment vertical="top"/>
    </xf>
    <xf numFmtId="166" fontId="5" fillId="0" borderId="1" xfId="1" quotePrefix="1" applyNumberFormat="1" applyFont="1" applyBorder="1" applyAlignment="1">
      <alignment vertical="top"/>
      <protection locked="0"/>
    </xf>
    <xf numFmtId="49" fontId="4" fillId="0" borderId="1" xfId="0" applyNumberFormat="1" applyFont="1" applyBorder="1" applyAlignment="1">
      <alignment vertical="top"/>
    </xf>
    <xf numFmtId="166" fontId="4" fillId="0" borderId="1" xfId="0" applyNumberFormat="1" applyFont="1" applyBorder="1" applyAlignment="1">
      <alignment horizontal="left" vertical="top"/>
    </xf>
    <xf numFmtId="166" fontId="4" fillId="0" borderId="1" xfId="1" applyNumberFormat="1" applyFont="1" applyBorder="1" applyAlignment="1" applyProtection="1">
      <alignment vertical="top"/>
    </xf>
    <xf numFmtId="0" fontId="5" fillId="0" borderId="1" xfId="0" quotePrefix="1" applyFont="1" applyBorder="1" applyAlignment="1">
      <alignment horizontal="left" vertical="top" wrapText="1"/>
    </xf>
    <xf numFmtId="166" fontId="5" fillId="0" borderId="1" xfId="1" applyNumberFormat="1" applyFont="1" applyBorder="1" applyAlignment="1" applyProtection="1">
      <alignment horizontal="left" vertical="top"/>
    </xf>
    <xf numFmtId="166" fontId="5" fillId="0" borderId="1" xfId="1" applyNumberFormat="1" applyFont="1" applyBorder="1" applyAlignment="1" applyProtection="1">
      <alignment vertical="top"/>
    </xf>
    <xf numFmtId="164" fontId="5" fillId="0" borderId="1" xfId="1" applyFont="1" applyBorder="1" applyAlignment="1">
      <alignment vertical="top"/>
      <protection locked="0"/>
    </xf>
    <xf numFmtId="43" fontId="4" fillId="0" borderId="1" xfId="0" applyNumberFormat="1" applyFont="1" applyBorder="1" applyAlignment="1">
      <alignment horizontal="left" vertical="top"/>
    </xf>
    <xf numFmtId="49" fontId="97" fillId="0" borderId="1" xfId="0" applyNumberFormat="1" applyFont="1" applyBorder="1" applyAlignment="1">
      <alignment vertical="top"/>
    </xf>
    <xf numFmtId="0" fontId="97" fillId="0" borderId="1" xfId="0" applyFont="1" applyBorder="1" applyAlignment="1">
      <alignment horizontal="left" vertical="top"/>
    </xf>
    <xf numFmtId="0" fontId="97" fillId="0" borderId="1" xfId="0" applyFont="1" applyBorder="1" applyAlignment="1">
      <alignment vertical="top" wrapText="1"/>
    </xf>
    <xf numFmtId="166" fontId="97" fillId="0" borderId="1" xfId="1" applyNumberFormat="1" applyFont="1" applyBorder="1" applyAlignment="1" applyProtection="1">
      <alignment vertical="top"/>
    </xf>
    <xf numFmtId="43" fontId="5" fillId="0" borderId="1" xfId="0" applyNumberFormat="1" applyFont="1" applyBorder="1" applyAlignment="1">
      <alignment horizontal="left" vertical="top"/>
    </xf>
    <xf numFmtId="49" fontId="7" fillId="0" borderId="1" xfId="0" applyNumberFormat="1" applyFont="1" applyBorder="1" applyAlignment="1">
      <alignment vertical="top"/>
    </xf>
    <xf numFmtId="165" fontId="5" fillId="0" borderId="1" xfId="0" applyNumberFormat="1" applyFont="1" applyBorder="1" applyAlignment="1">
      <alignment horizontal="left" vertical="top"/>
    </xf>
    <xf numFmtId="165" fontId="5" fillId="0" borderId="1" xfId="0" applyNumberFormat="1" applyFont="1" applyBorder="1" applyAlignment="1">
      <alignment vertical="top" wrapText="1"/>
    </xf>
    <xf numFmtId="0" fontId="97" fillId="0" borderId="1" xfId="0" applyFont="1" applyBorder="1" applyAlignment="1">
      <alignment vertical="top"/>
    </xf>
    <xf numFmtId="167" fontId="3" fillId="0" borderId="1" xfId="0" quotePrefix="1" applyNumberFormat="1" applyFont="1" applyBorder="1" applyAlignment="1">
      <alignment vertical="top" wrapText="1"/>
    </xf>
    <xf numFmtId="164" fontId="3" fillId="0" borderId="1" xfId="1" quotePrefix="1" applyFont="1" applyBorder="1" applyAlignment="1">
      <alignment vertical="top"/>
      <protection locked="0"/>
    </xf>
    <xf numFmtId="0" fontId="98" fillId="0" borderId="1" xfId="2" applyNumberFormat="1" applyFont="1" applyBorder="1" applyAlignment="1" applyProtection="1">
      <alignment horizontal="left" vertical="top"/>
    </xf>
    <xf numFmtId="166" fontId="3" fillId="0" borderId="1" xfId="1" applyNumberFormat="1" applyFont="1" applyBorder="1" applyAlignment="1" applyProtection="1">
      <alignment horizontal="left" vertical="top"/>
    </xf>
    <xf numFmtId="0" fontId="95" fillId="0" borderId="1" xfId="0" applyFont="1" applyBorder="1" applyAlignment="1">
      <alignment vertical="top"/>
    </xf>
    <xf numFmtId="166" fontId="4" fillId="0" borderId="1" xfId="2" applyNumberFormat="1" applyFont="1" applyBorder="1" applyAlignment="1" applyProtection="1">
      <alignment horizontal="left" vertical="top" wrapText="1"/>
    </xf>
    <xf numFmtId="166" fontId="98" fillId="0" borderId="1" xfId="1" applyNumberFormat="1" applyFont="1" applyBorder="1" applyAlignment="1" applyProtection="1">
      <alignment horizontal="left" vertical="top"/>
    </xf>
    <xf numFmtId="49" fontId="5" fillId="0" borderId="1" xfId="0" applyNumberFormat="1" applyFont="1" applyBorder="1" applyAlignment="1">
      <alignment horizontal="right" vertical="top"/>
    </xf>
    <xf numFmtId="166" fontId="6" fillId="0" borderId="1" xfId="1" applyNumberFormat="1" applyFont="1" applyBorder="1" applyAlignment="1" applyProtection="1">
      <alignment vertical="top"/>
    </xf>
    <xf numFmtId="166" fontId="4" fillId="0" borderId="1" xfId="2" applyNumberFormat="1" applyFont="1" applyBorder="1" applyAlignment="1" applyProtection="1">
      <alignment horizontal="left" vertical="top"/>
    </xf>
    <xf numFmtId="170" fontId="3" fillId="0" borderId="1" xfId="3" quotePrefix="1" applyNumberFormat="1" applyFont="1" applyBorder="1" applyAlignment="1" applyProtection="1">
      <alignment horizontal="left" vertical="top" wrapText="1"/>
    </xf>
    <xf numFmtId="166" fontId="9" fillId="0" borderId="0" xfId="0" applyNumberFormat="1" applyFont="1" applyAlignment="1">
      <alignment vertical="top"/>
    </xf>
    <xf numFmtId="0" fontId="9" fillId="18" borderId="1" xfId="0" applyFont="1" applyFill="1" applyBorder="1" applyAlignment="1">
      <alignment vertical="top"/>
    </xf>
    <xf numFmtId="0" fontId="3" fillId="18" borderId="1" xfId="3" applyFont="1" applyFill="1" applyBorder="1" applyAlignment="1" applyProtection="1">
      <alignment horizontal="left" vertical="top"/>
    </xf>
    <xf numFmtId="0" fontId="3" fillId="18" borderId="1" xfId="3" applyFont="1" applyFill="1" applyBorder="1" applyAlignment="1" applyProtection="1">
      <alignment vertical="top" wrapText="1"/>
    </xf>
    <xf numFmtId="166" fontId="3" fillId="18" borderId="1" xfId="4" applyNumberFormat="1" applyFont="1" applyFill="1" applyBorder="1" applyAlignment="1" applyProtection="1">
      <alignment vertical="top"/>
    </xf>
    <xf numFmtId="0" fontId="3" fillId="18" borderId="1" xfId="0" applyFont="1" applyFill="1" applyBorder="1" applyAlignment="1">
      <alignment horizontal="left" vertical="top"/>
    </xf>
    <xf numFmtId="0" fontId="3" fillId="18" borderId="1" xfId="0" applyFont="1" applyFill="1" applyBorder="1" applyAlignment="1">
      <alignment vertical="top" wrapText="1"/>
    </xf>
    <xf numFmtId="166" fontId="3" fillId="18" borderId="1" xfId="1" applyNumberFormat="1" applyFont="1" applyFill="1" applyBorder="1" applyAlignment="1" applyProtection="1">
      <alignment vertical="top"/>
    </xf>
    <xf numFmtId="166" fontId="6" fillId="0" borderId="1" xfId="1" applyNumberFormat="1" applyFont="1" applyBorder="1" applyAlignment="1" applyProtection="1">
      <alignment horizontal="right" vertical="top"/>
    </xf>
    <xf numFmtId="171" fontId="4" fillId="0" borderId="1" xfId="0" quotePrefix="1" applyNumberFormat="1" applyFont="1" applyBorder="1" applyAlignment="1">
      <alignment horizontal="left" vertical="top" wrapText="1"/>
    </xf>
    <xf numFmtId="166" fontId="4" fillId="0" borderId="1" xfId="1" applyNumberFormat="1" applyFont="1" applyBorder="1" applyAlignment="1" applyProtection="1">
      <alignment horizontal="right" vertical="top"/>
    </xf>
    <xf numFmtId="49" fontId="4" fillId="0" borderId="1" xfId="0" applyNumberFormat="1" applyFont="1" applyBorder="1" applyAlignment="1">
      <alignment horizontal="left" vertical="top"/>
    </xf>
    <xf numFmtId="165" fontId="4" fillId="0" borderId="1" xfId="0" applyNumberFormat="1" applyFont="1" applyBorder="1" applyAlignment="1">
      <alignment horizontal="left" vertical="top"/>
    </xf>
    <xf numFmtId="165" fontId="4" fillId="0" borderId="1" xfId="0" applyNumberFormat="1" applyFont="1" applyBorder="1" applyAlignment="1">
      <alignment horizontal="left" vertical="top" wrapText="1"/>
    </xf>
    <xf numFmtId="0" fontId="5" fillId="0" borderId="1" xfId="5" applyNumberFormat="1" applyFont="1" applyBorder="1" applyAlignment="1" applyProtection="1">
      <alignment horizontal="left" vertical="top"/>
    </xf>
    <xf numFmtId="165" fontId="5" fillId="0" borderId="1" xfId="0" applyNumberFormat="1" applyFont="1" applyBorder="1" applyAlignment="1">
      <alignment horizontal="left" vertical="top" wrapText="1"/>
    </xf>
    <xf numFmtId="0" fontId="5" fillId="0" borderId="1" xfId="7" applyNumberFormat="1" applyFont="1" applyBorder="1" applyAlignment="1" applyProtection="1">
      <alignment horizontal="left" vertical="top"/>
    </xf>
    <xf numFmtId="0" fontId="3" fillId="0" borderId="1" xfId="7" applyNumberFormat="1" applyFont="1" applyBorder="1" applyAlignment="1" applyProtection="1">
      <alignment horizontal="left" vertical="top"/>
    </xf>
    <xf numFmtId="166" fontId="9" fillId="0" borderId="0" xfId="4" applyNumberFormat="1" applyFont="1" applyAlignment="1" applyProtection="1">
      <alignment horizontal="left" vertical="top"/>
    </xf>
    <xf numFmtId="166" fontId="8" fillId="0" borderId="1" xfId="0" applyNumberFormat="1" applyFont="1" applyBorder="1" applyAlignment="1">
      <alignment horizontal="left" vertical="top"/>
    </xf>
    <xf numFmtId="0" fontId="4" fillId="0" borderId="1" xfId="5" applyNumberFormat="1" applyFont="1" applyBorder="1" applyAlignment="1" applyProtection="1">
      <alignment horizontal="left" vertical="top"/>
    </xf>
    <xf numFmtId="0" fontId="4" fillId="0" borderId="1" xfId="7" applyNumberFormat="1" applyFont="1" applyBorder="1" applyAlignment="1" applyProtection="1">
      <alignment horizontal="left" vertical="top"/>
    </xf>
    <xf numFmtId="166" fontId="3" fillId="0" borderId="1" xfId="4" applyNumberFormat="1" applyFont="1" applyBorder="1" applyAlignment="1" applyProtection="1">
      <alignment horizontal="left" vertical="top"/>
    </xf>
    <xf numFmtId="1" fontId="4" fillId="0" borderId="1" xfId="0" applyNumberFormat="1" applyFont="1" applyBorder="1" applyAlignment="1">
      <alignment horizontal="left" vertical="top"/>
    </xf>
    <xf numFmtId="166" fontId="9" fillId="0" borderId="0" xfId="0" applyNumberFormat="1" applyFont="1" applyAlignment="1">
      <alignment horizontal="left" vertical="top"/>
    </xf>
    <xf numFmtId="165" fontId="3" fillId="0" borderId="1" xfId="8" applyNumberFormat="1" applyFont="1" applyBorder="1" applyAlignment="1" applyProtection="1">
      <alignment horizontal="left" vertical="top" wrapText="1"/>
    </xf>
    <xf numFmtId="165" fontId="5" fillId="0" borderId="1" xfId="8" applyNumberFormat="1" applyFont="1" applyBorder="1" applyAlignment="1" applyProtection="1">
      <alignment horizontal="left" vertical="top" wrapText="1"/>
    </xf>
    <xf numFmtId="0" fontId="5" fillId="0" borderId="1" xfId="5" applyNumberFormat="1" applyFont="1" applyBorder="1" applyAlignment="1" applyProtection="1">
      <alignment horizontal="left" vertical="top" wrapText="1"/>
    </xf>
    <xf numFmtId="0" fontId="5" fillId="0" borderId="1" xfId="7" applyNumberFormat="1" applyFont="1" applyBorder="1" applyAlignment="1" applyProtection="1">
      <alignment horizontal="left" vertical="top" wrapText="1"/>
    </xf>
    <xf numFmtId="0" fontId="5" fillId="0" borderId="20" xfId="5" applyNumberFormat="1" applyFont="1" applyBorder="1" applyAlignment="1" applyProtection="1">
      <alignment horizontal="left" vertical="top"/>
    </xf>
    <xf numFmtId="165" fontId="5" fillId="0" borderId="20" xfId="0" applyNumberFormat="1" applyFont="1" applyBorder="1" applyAlignment="1">
      <alignment horizontal="left" vertical="top" wrapText="1"/>
    </xf>
    <xf numFmtId="166" fontId="5" fillId="0" borderId="20" xfId="2" applyNumberFormat="1" applyFont="1" applyBorder="1" applyAlignment="1" applyProtection="1">
      <alignment horizontal="left" vertical="top"/>
    </xf>
    <xf numFmtId="0" fontId="5" fillId="0" borderId="20" xfId="7" applyNumberFormat="1" applyFont="1" applyBorder="1" applyAlignment="1" applyProtection="1">
      <alignment horizontal="left" vertical="top"/>
    </xf>
    <xf numFmtId="0" fontId="3" fillId="0" borderId="19" xfId="5" applyNumberFormat="1" applyFont="1" applyBorder="1" applyAlignment="1" applyProtection="1">
      <alignment horizontal="left" vertical="top"/>
    </xf>
    <xf numFmtId="165" fontId="3" fillId="0" borderId="19" xfId="0" applyNumberFormat="1" applyFont="1" applyBorder="1" applyAlignment="1">
      <alignment horizontal="left" vertical="top" wrapText="1"/>
    </xf>
    <xf numFmtId="166" fontId="9" fillId="0" borderId="19" xfId="0" applyNumberFormat="1" applyFont="1" applyBorder="1" applyAlignment="1">
      <alignment horizontal="left" vertical="top"/>
    </xf>
    <xf numFmtId="0" fontId="3" fillId="0" borderId="19" xfId="7" applyNumberFormat="1" applyFont="1" applyBorder="1" applyAlignment="1" applyProtection="1">
      <alignment horizontal="left" vertical="top"/>
    </xf>
    <xf numFmtId="165" fontId="5" fillId="0" borderId="12" xfId="0" applyNumberFormat="1" applyFont="1" applyBorder="1" applyAlignment="1">
      <alignment vertical="top"/>
    </xf>
    <xf numFmtId="165" fontId="5" fillId="0" borderId="13" xfId="0" applyNumberFormat="1" applyFont="1" applyBorder="1" applyAlignment="1">
      <alignment vertical="top" wrapText="1"/>
    </xf>
    <xf numFmtId="165" fontId="5" fillId="0" borderId="13" xfId="0" applyNumberFormat="1" applyFont="1" applyBorder="1" applyAlignment="1">
      <alignment vertical="top"/>
    </xf>
    <xf numFmtId="166" fontId="9" fillId="0" borderId="1" xfId="4" applyNumberFormat="1" applyFont="1" applyBorder="1" applyAlignment="1" applyProtection="1">
      <alignment horizontal="left" vertical="top"/>
    </xf>
    <xf numFmtId="166" fontId="4" fillId="0" borderId="0" xfId="4" applyNumberFormat="1" applyFont="1" applyAlignment="1" applyProtection="1">
      <alignment horizontal="left" vertical="top"/>
    </xf>
    <xf numFmtId="49" fontId="6" fillId="0" borderId="1" xfId="0" applyNumberFormat="1" applyFont="1" applyBorder="1" applyAlignment="1">
      <alignment horizontal="left" vertical="top"/>
    </xf>
    <xf numFmtId="165" fontId="4" fillId="0" borderId="1" xfId="0" applyNumberFormat="1" applyFont="1" applyBorder="1" applyAlignment="1">
      <alignment vertical="top"/>
    </xf>
    <xf numFmtId="165" fontId="4" fillId="0" borderId="1" xfId="0" applyNumberFormat="1" applyFont="1" applyBorder="1" applyAlignment="1">
      <alignment vertical="top" wrapText="1"/>
    </xf>
    <xf numFmtId="166" fontId="99" fillId="0" borderId="1" xfId="1" applyNumberFormat="1" applyFont="1" applyBorder="1" applyAlignment="1" applyProtection="1">
      <alignment horizontal="left" vertical="top"/>
    </xf>
    <xf numFmtId="166" fontId="8" fillId="0" borderId="1" xfId="1" applyNumberFormat="1" applyFont="1" applyBorder="1" applyAlignment="1" applyProtection="1">
      <alignment horizontal="left" vertical="top"/>
    </xf>
    <xf numFmtId="166" fontId="6" fillId="0" borderId="1" xfId="0" applyNumberFormat="1" applyFont="1" applyBorder="1" applyAlignment="1">
      <alignment vertical="top"/>
    </xf>
    <xf numFmtId="49" fontId="5" fillId="0" borderId="1" xfId="1" applyNumberFormat="1" applyFont="1" applyBorder="1" applyAlignment="1" applyProtection="1">
      <alignment vertical="top" wrapText="1"/>
    </xf>
    <xf numFmtId="0" fontId="5" fillId="0" borderId="1" xfId="1" applyNumberFormat="1" applyFont="1" applyBorder="1" applyAlignment="1" applyProtection="1">
      <alignment horizontal="left" vertical="top"/>
    </xf>
    <xf numFmtId="49" fontId="5" fillId="0" borderId="1" xfId="1" applyNumberFormat="1" applyFont="1" applyBorder="1" applyAlignment="1" applyProtection="1">
      <alignment horizontal="left" vertical="top" wrapText="1"/>
    </xf>
    <xf numFmtId="166" fontId="5" fillId="0" borderId="1" xfId="0" applyNumberFormat="1" applyFont="1" applyBorder="1" applyAlignment="1">
      <alignment horizontal="right" vertical="top"/>
    </xf>
    <xf numFmtId="3" fontId="3" fillId="0" borderId="0" xfId="0" applyNumberFormat="1" applyFont="1" applyAlignment="1">
      <alignment horizontal="right" vertical="top"/>
    </xf>
    <xf numFmtId="49" fontId="4" fillId="0" borderId="1" xfId="1" applyNumberFormat="1" applyFont="1" applyBorder="1" applyAlignment="1" applyProtection="1">
      <alignment vertical="top" wrapText="1"/>
    </xf>
    <xf numFmtId="166" fontId="4" fillId="0" borderId="1" xfId="0" applyNumberFormat="1" applyFont="1" applyBorder="1" applyAlignment="1">
      <alignment horizontal="right" vertical="top"/>
    </xf>
    <xf numFmtId="49" fontId="5" fillId="0" borderId="1" xfId="2" applyNumberFormat="1" applyFont="1" applyBorder="1" applyAlignment="1" applyProtection="1">
      <alignment horizontal="right" vertical="top" wrapText="1"/>
    </xf>
    <xf numFmtId="166" fontId="5" fillId="0" borderId="1" xfId="2" applyNumberFormat="1" applyFont="1" applyBorder="1" applyAlignment="1" applyProtection="1">
      <alignment horizontal="right" vertical="top"/>
    </xf>
    <xf numFmtId="49" fontId="4" fillId="0" borderId="1" xfId="2" applyNumberFormat="1" applyFont="1" applyBorder="1" applyAlignment="1" applyProtection="1">
      <alignment horizontal="left" vertical="top" wrapText="1"/>
    </xf>
    <xf numFmtId="166" fontId="4" fillId="0" borderId="1" xfId="2" applyNumberFormat="1" applyFont="1" applyBorder="1" applyAlignment="1" applyProtection="1">
      <alignment horizontal="right" vertical="top"/>
    </xf>
    <xf numFmtId="49" fontId="4" fillId="0" borderId="1" xfId="0" applyNumberFormat="1" applyFont="1" applyBorder="1" applyAlignment="1">
      <alignment vertical="top" wrapText="1"/>
    </xf>
    <xf numFmtId="166" fontId="6" fillId="0" borderId="1" xfId="0" applyNumberFormat="1" applyFont="1" applyBorder="1" applyAlignment="1">
      <alignment horizontal="right" vertical="top"/>
    </xf>
    <xf numFmtId="166" fontId="5" fillId="0" borderId="1" xfId="1" applyNumberFormat="1" applyFont="1" applyBorder="1" applyAlignment="1" applyProtection="1">
      <alignment horizontal="right" vertical="top"/>
    </xf>
    <xf numFmtId="49" fontId="5" fillId="0" borderId="1" xfId="0" applyNumberFormat="1" applyFont="1" applyBorder="1" applyAlignment="1">
      <alignment vertical="top" wrapText="1"/>
    </xf>
    <xf numFmtId="49" fontId="4" fillId="0" borderId="1" xfId="1" applyNumberFormat="1" applyFont="1" applyBorder="1" applyAlignment="1" applyProtection="1">
      <alignment horizontal="right" vertical="top" wrapText="1"/>
    </xf>
    <xf numFmtId="49" fontId="5" fillId="0" borderId="1" xfId="1" applyNumberFormat="1" applyFont="1" applyBorder="1" applyAlignment="1" applyProtection="1">
      <alignment horizontal="right" vertical="top" wrapText="1"/>
    </xf>
    <xf numFmtId="49" fontId="3" fillId="0" borderId="1" xfId="1" applyNumberFormat="1" applyFont="1" applyBorder="1" applyAlignment="1" applyProtection="1">
      <alignment vertical="top" wrapText="1"/>
    </xf>
    <xf numFmtId="49" fontId="5" fillId="0" borderId="1" xfId="0" applyNumberFormat="1" applyFont="1" applyBorder="1" applyAlignment="1">
      <alignment horizontal="left" vertical="top" wrapText="1"/>
    </xf>
    <xf numFmtId="49" fontId="3" fillId="0" borderId="1" xfId="0" applyNumberFormat="1" applyFont="1" applyBorder="1" applyAlignment="1">
      <alignment vertical="top" wrapText="1"/>
    </xf>
    <xf numFmtId="0" fontId="3" fillId="18" borderId="1" xfId="1" applyNumberFormat="1" applyFont="1" applyFill="1" applyBorder="1" applyAlignment="1" applyProtection="1">
      <alignment horizontal="left" vertical="top"/>
    </xf>
    <xf numFmtId="49" fontId="3" fillId="18" borderId="1" xfId="0" applyNumberFormat="1" applyFont="1" applyFill="1" applyBorder="1" applyAlignment="1">
      <alignment vertical="top" wrapText="1"/>
    </xf>
    <xf numFmtId="166" fontId="3" fillId="18" borderId="20" xfId="0" applyNumberFormat="1" applyFont="1" applyFill="1" applyBorder="1" applyAlignment="1">
      <alignment horizontal="right" vertical="top"/>
    </xf>
    <xf numFmtId="166" fontId="3" fillId="0" borderId="20" xfId="0" applyNumberFormat="1" applyFont="1" applyBorder="1" applyAlignment="1">
      <alignment horizontal="right" vertical="top"/>
    </xf>
    <xf numFmtId="49" fontId="3" fillId="0" borderId="12" xfId="0" applyNumberFormat="1" applyFont="1" applyBorder="1" applyAlignment="1">
      <alignment vertical="top" wrapText="1"/>
    </xf>
    <xf numFmtId="3" fontId="3" fillId="0" borderId="18" xfId="0" applyNumberFormat="1" applyFont="1" applyBorder="1" applyAlignment="1">
      <alignment horizontal="right" vertical="top"/>
    </xf>
    <xf numFmtId="3" fontId="3" fillId="0" borderId="13" xfId="0" applyNumberFormat="1" applyFont="1" applyBorder="1" applyAlignment="1">
      <alignment horizontal="right" vertical="top"/>
    </xf>
    <xf numFmtId="49" fontId="7" fillId="0" borderId="1" xfId="0" applyNumberFormat="1" applyFont="1" applyBorder="1" applyAlignment="1">
      <alignment vertical="top" wrapText="1"/>
    </xf>
    <xf numFmtId="49" fontId="9" fillId="0" borderId="1" xfId="0" quotePrefix="1" applyNumberFormat="1" applyFont="1" applyBorder="1" applyAlignment="1">
      <alignment horizontal="left" vertical="top" wrapText="1"/>
    </xf>
    <xf numFmtId="49" fontId="3" fillId="0" borderId="1" xfId="0" quotePrefix="1" applyNumberFormat="1" applyFont="1" applyBorder="1" applyAlignment="1">
      <alignment horizontal="left" vertical="top" wrapText="1"/>
    </xf>
    <xf numFmtId="49" fontId="5" fillId="18" borderId="1" xfId="0" applyNumberFormat="1" applyFont="1" applyFill="1" applyBorder="1" applyAlignment="1">
      <alignment horizontal="left" vertical="top"/>
    </xf>
    <xf numFmtId="49" fontId="94" fillId="18" borderId="12" xfId="1" applyNumberFormat="1" applyFont="1" applyFill="1" applyBorder="1" applyAlignment="1" applyProtection="1">
      <alignment horizontal="left" vertical="top" wrapText="1"/>
    </xf>
    <xf numFmtId="3" fontId="3" fillId="18" borderId="17" xfId="0" applyNumberFormat="1" applyFont="1" applyFill="1" applyBorder="1" applyAlignment="1">
      <alignment horizontal="right" vertical="top"/>
    </xf>
    <xf numFmtId="49" fontId="94" fillId="0" borderId="12" xfId="1" applyNumberFormat="1" applyFont="1" applyBorder="1" applyAlignment="1" applyProtection="1">
      <alignment horizontal="left" vertical="top" wrapText="1"/>
    </xf>
    <xf numFmtId="3" fontId="3" fillId="0" borderId="17" xfId="0" applyNumberFormat="1" applyFont="1" applyBorder="1" applyAlignment="1">
      <alignment horizontal="right" vertical="top"/>
    </xf>
    <xf numFmtId="0" fontId="3" fillId="0" borderId="0" xfId="0" applyFont="1" applyAlignment="1">
      <alignment vertical="center" wrapText="1"/>
    </xf>
    <xf numFmtId="3" fontId="3" fillId="0" borderId="16" xfId="0" applyNumberFormat="1" applyFont="1" applyBorder="1" applyAlignment="1">
      <alignment horizontal="right" vertical="top"/>
    </xf>
    <xf numFmtId="3" fontId="3" fillId="0" borderId="25" xfId="0" applyNumberFormat="1" applyFont="1" applyBorder="1" applyAlignment="1">
      <alignment horizontal="right" vertical="top"/>
    </xf>
    <xf numFmtId="49" fontId="4" fillId="0" borderId="1" xfId="0" applyNumberFormat="1" applyFont="1" applyBorder="1" applyAlignment="1">
      <alignment horizontal="left" vertical="top" wrapText="1"/>
    </xf>
    <xf numFmtId="164" fontId="6" fillId="0" borderId="1" xfId="2" applyFont="1" applyBorder="1" applyAlignment="1" applyProtection="1">
      <alignment horizontal="left"/>
    </xf>
    <xf numFmtId="0" fontId="4" fillId="0" borderId="1" xfId="2" applyNumberFormat="1" applyFont="1" applyBorder="1" applyAlignment="1" applyProtection="1">
      <alignment horizontal="left" vertical="top"/>
    </xf>
    <xf numFmtId="164" fontId="6" fillId="0" borderId="1" xfId="2" applyFont="1" applyBorder="1" applyAlignment="1" applyProtection="1">
      <alignment horizontal="left" wrapText="1"/>
    </xf>
    <xf numFmtId="0" fontId="4" fillId="0" borderId="1" xfId="2" applyNumberFormat="1" applyFont="1" applyBorder="1" applyAlignment="1" applyProtection="1">
      <alignment horizontal="left" wrapText="1"/>
    </xf>
    <xf numFmtId="164" fontId="5" fillId="0" borderId="1" xfId="2" applyFont="1" applyBorder="1" applyAlignment="1" applyProtection="1">
      <alignment horizontal="left"/>
    </xf>
    <xf numFmtId="164" fontId="5" fillId="0" borderId="1" xfId="2" applyFont="1" applyBorder="1" applyAlignment="1" applyProtection="1">
      <alignment vertical="top"/>
    </xf>
    <xf numFmtId="164" fontId="5" fillId="0" borderId="1" xfId="2" applyFont="1" applyBorder="1" applyAlignment="1" applyProtection="1">
      <alignment wrapText="1"/>
    </xf>
    <xf numFmtId="0" fontId="5" fillId="0" borderId="1" xfId="2" applyNumberFormat="1" applyFont="1" applyBorder="1" applyAlignment="1" applyProtection="1">
      <alignment vertical="top"/>
    </xf>
    <xf numFmtId="0" fontId="5" fillId="0" borderId="1" xfId="2" applyNumberFormat="1" applyFont="1" applyBorder="1" applyAlignment="1" applyProtection="1">
      <alignment wrapText="1"/>
    </xf>
    <xf numFmtId="164" fontId="5" fillId="0" borderId="1" xfId="2" applyFont="1" applyBorder="1" applyAlignment="1" applyProtection="1">
      <alignment horizontal="left" wrapText="1"/>
    </xf>
    <xf numFmtId="164" fontId="3" fillId="0" borderId="1" xfId="2" applyFont="1" applyBorder="1" applyAlignment="1" applyProtection="1">
      <alignment horizontal="left"/>
    </xf>
    <xf numFmtId="164" fontId="3" fillId="0" borderId="1" xfId="2" applyFont="1" applyBorder="1" applyAlignment="1" applyProtection="1">
      <alignment horizontal="left" wrapText="1"/>
    </xf>
    <xf numFmtId="164" fontId="4" fillId="0" borderId="1" xfId="2" applyFont="1" applyBorder="1" applyAlignment="1" applyProtection="1">
      <alignment horizontal="left"/>
    </xf>
    <xf numFmtId="164" fontId="4" fillId="0" borderId="1" xfId="2" applyFont="1" applyBorder="1" applyAlignment="1" applyProtection="1">
      <alignment horizontal="left" wrapText="1"/>
    </xf>
    <xf numFmtId="2" fontId="3" fillId="0" borderId="1" xfId="2" applyNumberFormat="1" applyFont="1" applyBorder="1" applyAlignment="1" applyProtection="1">
      <alignment horizontal="left" wrapText="1"/>
    </xf>
    <xf numFmtId="164" fontId="5" fillId="18" borderId="1" xfId="2" applyFont="1" applyFill="1" applyBorder="1" applyAlignment="1" applyProtection="1">
      <alignment horizontal="left"/>
    </xf>
    <xf numFmtId="0" fontId="3" fillId="18" borderId="1" xfId="2" applyNumberFormat="1" applyFont="1" applyFill="1" applyBorder="1" applyAlignment="1" applyProtection="1">
      <alignment horizontal="left" vertical="top"/>
    </xf>
    <xf numFmtId="164" fontId="3" fillId="18" borderId="1" xfId="2" applyFont="1" applyFill="1" applyBorder="1" applyAlignment="1" applyProtection="1">
      <alignment horizontal="left" wrapText="1"/>
    </xf>
    <xf numFmtId="166" fontId="3" fillId="18" borderId="1" xfId="0" applyNumberFormat="1" applyFont="1" applyFill="1" applyBorder="1" applyAlignment="1">
      <alignment horizontal="right" vertical="top"/>
    </xf>
    <xf numFmtId="0" fontId="9" fillId="0" borderId="1" xfId="0" applyFont="1" applyBorder="1" applyAlignment="1">
      <alignment horizontal="left" wrapText="1"/>
    </xf>
    <xf numFmtId="49" fontId="5" fillId="0" borderId="1" xfId="2" applyNumberFormat="1" applyFont="1" applyBorder="1" applyAlignment="1" applyProtection="1">
      <alignment horizontal="left"/>
    </xf>
    <xf numFmtId="49" fontId="5" fillId="0" borderId="1" xfId="2" applyNumberFormat="1" applyFont="1" applyBorder="1" applyAlignment="1" applyProtection="1">
      <alignment horizontal="left" vertical="top"/>
    </xf>
    <xf numFmtId="0" fontId="9" fillId="0" borderId="1" xfId="0" applyFont="1" applyBorder="1" applyAlignment="1">
      <alignment wrapText="1"/>
    </xf>
    <xf numFmtId="164" fontId="3" fillId="18" borderId="1" xfId="2" applyFont="1" applyFill="1" applyBorder="1" applyAlignment="1" applyProtection="1">
      <alignment horizontal="left"/>
    </xf>
    <xf numFmtId="166" fontId="3" fillId="18" borderId="1" xfId="2" applyNumberFormat="1" applyFont="1" applyFill="1" applyBorder="1" applyAlignment="1" applyProtection="1">
      <alignment horizontal="right" vertical="top"/>
    </xf>
    <xf numFmtId="49" fontId="3" fillId="0" borderId="1" xfId="2" applyNumberFormat="1" applyFont="1" applyBorder="1" applyAlignment="1" applyProtection="1">
      <alignment horizontal="left" wrapText="1"/>
    </xf>
    <xf numFmtId="0" fontId="9" fillId="18" borderId="1" xfId="0" applyFont="1" applyFill="1" applyBorder="1" applyAlignment="1">
      <alignment wrapText="1"/>
    </xf>
    <xf numFmtId="3" fontId="9" fillId="18" borderId="1" xfId="0" applyNumberFormat="1" applyFont="1" applyFill="1" applyBorder="1" applyAlignment="1">
      <alignment horizontal="right" vertical="top"/>
    </xf>
    <xf numFmtId="49" fontId="3" fillId="18" borderId="1" xfId="2" applyNumberFormat="1" applyFont="1" applyFill="1" applyBorder="1" applyAlignment="1" applyProtection="1">
      <alignment horizontal="left" wrapText="1"/>
    </xf>
    <xf numFmtId="49" fontId="6" fillId="0" borderId="1" xfId="0" applyNumberFormat="1" applyFont="1" applyBorder="1" applyAlignment="1">
      <alignment horizontal="right"/>
    </xf>
    <xf numFmtId="0" fontId="6" fillId="0" borderId="1" xfId="0" applyFont="1" applyBorder="1" applyAlignment="1">
      <alignment horizontal="left" wrapText="1"/>
    </xf>
    <xf numFmtId="164" fontId="4" fillId="0" borderId="1" xfId="2" applyFont="1" applyBorder="1" applyAlignment="1" applyProtection="1">
      <alignment horizontal="left" vertical="top"/>
    </xf>
    <xf numFmtId="49" fontId="5" fillId="18" borderId="1" xfId="2" applyNumberFormat="1" applyFont="1" applyFill="1" applyBorder="1" applyAlignment="1" applyProtection="1">
      <alignment horizontal="left" vertical="top"/>
    </xf>
    <xf numFmtId="0" fontId="3" fillId="18" borderId="1" xfId="0" applyFont="1" applyFill="1" applyBorder="1" applyAlignment="1">
      <alignment horizontal="left" wrapText="1"/>
    </xf>
    <xf numFmtId="166" fontId="9" fillId="18" borderId="1" xfId="10" applyNumberFormat="1" applyFont="1" applyFill="1" applyBorder="1" applyAlignment="1" applyProtection="1">
      <alignment horizontal="right" vertical="top"/>
    </xf>
    <xf numFmtId="0" fontId="3" fillId="0" borderId="1" xfId="0" applyFont="1" applyBorder="1" applyAlignment="1">
      <alignment horizontal="left" wrapText="1"/>
    </xf>
    <xf numFmtId="166" fontId="9" fillId="0" borderId="1" xfId="10" applyNumberFormat="1" applyFont="1" applyBorder="1" applyAlignment="1" applyProtection="1">
      <alignment horizontal="right" vertical="top"/>
    </xf>
    <xf numFmtId="0" fontId="3" fillId="0" borderId="1" xfId="2" applyNumberFormat="1" applyFont="1" applyBorder="1" applyAlignment="1" applyProtection="1">
      <alignment horizontal="left" wrapText="1"/>
    </xf>
    <xf numFmtId="166" fontId="8" fillId="0" borderId="1" xfId="10" applyNumberFormat="1" applyFont="1" applyBorder="1" applyAlignment="1" applyProtection="1">
      <alignment horizontal="right" vertical="top"/>
    </xf>
    <xf numFmtId="0" fontId="4" fillId="0" borderId="1" xfId="2" applyNumberFormat="1" applyFont="1" applyBorder="1" applyAlignment="1" applyProtection="1">
      <alignment vertical="top"/>
    </xf>
    <xf numFmtId="0" fontId="4" fillId="0" borderId="1" xfId="2" applyNumberFormat="1" applyFont="1" applyBorder="1" applyAlignment="1" applyProtection="1">
      <alignment wrapText="1"/>
    </xf>
    <xf numFmtId="49" fontId="4" fillId="0" borderId="1" xfId="2" applyNumberFormat="1" applyFont="1" applyBorder="1" applyAlignment="1" applyProtection="1">
      <alignment horizontal="left"/>
    </xf>
    <xf numFmtId="0" fontId="5" fillId="0" borderId="1" xfId="2" applyNumberFormat="1" applyFont="1" applyBorder="1" applyAlignment="1" applyProtection="1">
      <alignment horizontal="left" wrapText="1"/>
    </xf>
    <xf numFmtId="0" fontId="9" fillId="0" borderId="1" xfId="2" applyNumberFormat="1" applyFont="1" applyBorder="1" applyAlignment="1" applyProtection="1">
      <alignment horizontal="left" vertical="top"/>
    </xf>
    <xf numFmtId="164" fontId="9" fillId="0" borderId="1" xfId="2" applyFont="1" applyBorder="1" applyAlignment="1" applyProtection="1">
      <alignment horizontal="left" wrapText="1"/>
    </xf>
    <xf numFmtId="0" fontId="9" fillId="0" borderId="1" xfId="0" applyFont="1" applyBorder="1" applyAlignment="1"/>
    <xf numFmtId="2" fontId="5" fillId="0" borderId="12" xfId="2" quotePrefix="1" applyNumberFormat="1" applyFont="1" applyBorder="1" applyAlignment="1" applyProtection="1">
      <alignment vertical="top"/>
    </xf>
    <xf numFmtId="2" fontId="5" fillId="0" borderId="14" xfId="2" quotePrefix="1" applyNumberFormat="1" applyFont="1" applyBorder="1" applyAlignment="1" applyProtection="1">
      <alignment wrapText="1"/>
    </xf>
    <xf numFmtId="166" fontId="8" fillId="0" borderId="1" xfId="0" applyNumberFormat="1" applyFont="1" applyBorder="1" applyAlignment="1">
      <alignment horizontal="right" vertical="top"/>
    </xf>
    <xf numFmtId="49" fontId="3" fillId="0" borderId="1" xfId="0" applyNumberFormat="1" applyFont="1" applyBorder="1" applyAlignment="1">
      <alignment horizontal="right"/>
    </xf>
    <xf numFmtId="0" fontId="5" fillId="0" borderId="1" xfId="2" applyNumberFormat="1" applyFont="1" applyBorder="1" applyAlignment="1" applyProtection="1">
      <alignment horizontal="left"/>
    </xf>
    <xf numFmtId="164" fontId="4" fillId="0" borderId="1" xfId="2" applyFont="1" applyBorder="1" applyAlignment="1" applyProtection="1">
      <alignment vertical="top"/>
    </xf>
    <xf numFmtId="164" fontId="4" fillId="0" borderId="1" xfId="2" applyFont="1" applyBorder="1" applyAlignment="1" applyProtection="1">
      <alignment wrapText="1"/>
    </xf>
    <xf numFmtId="0" fontId="6" fillId="0" borderId="1" xfId="2" applyNumberFormat="1" applyFont="1" applyBorder="1" applyAlignment="1" applyProtection="1">
      <alignment horizontal="left" vertical="top"/>
    </xf>
    <xf numFmtId="164" fontId="3" fillId="0" borderId="1" xfId="2" applyFont="1" applyBorder="1" applyAlignment="1" applyProtection="1">
      <alignment wrapText="1"/>
    </xf>
    <xf numFmtId="3" fontId="9" fillId="0" borderId="1" xfId="0" applyNumberFormat="1" applyFont="1" applyBorder="1" applyAlignment="1">
      <alignment wrapText="1"/>
    </xf>
    <xf numFmtId="3" fontId="8" fillId="0" borderId="1" xfId="0" applyNumberFormat="1" applyFont="1" applyBorder="1" applyAlignment="1">
      <alignment horizontal="right" vertical="top"/>
    </xf>
    <xf numFmtId="0" fontId="3" fillId="0" borderId="1" xfId="2" applyNumberFormat="1" applyFont="1" applyBorder="1" applyAlignment="1" applyProtection="1">
      <alignment wrapText="1"/>
    </xf>
    <xf numFmtId="166" fontId="3" fillId="18" borderId="1" xfId="0" applyNumberFormat="1" applyFont="1" applyFill="1" applyBorder="1" applyAlignment="1">
      <alignment vertical="top"/>
    </xf>
    <xf numFmtId="170" fontId="3" fillId="0" borderId="1" xfId="0" applyNumberFormat="1" applyFont="1" applyBorder="1" applyAlignment="1">
      <alignment vertical="top" wrapText="1"/>
    </xf>
    <xf numFmtId="166" fontId="8" fillId="0" borderId="1" xfId="1" applyNumberFormat="1" applyFont="1" applyBorder="1" applyAlignment="1" applyProtection="1">
      <alignment horizontal="right" vertical="top"/>
    </xf>
    <xf numFmtId="166" fontId="9" fillId="0" borderId="1" xfId="1" applyNumberFormat="1" applyFont="1" applyBorder="1" applyAlignment="1" applyProtection="1">
      <alignment horizontal="right" vertical="top"/>
    </xf>
    <xf numFmtId="166" fontId="8" fillId="0" borderId="1" xfId="2" applyNumberFormat="1" applyFont="1" applyBorder="1" applyAlignment="1" applyProtection="1">
      <alignment horizontal="right" vertical="top"/>
    </xf>
    <xf numFmtId="164" fontId="9" fillId="0" borderId="1" xfId="2" applyFont="1" applyBorder="1" applyAlignment="1" applyProtection="1">
      <alignment vertical="top" wrapText="1"/>
    </xf>
    <xf numFmtId="0" fontId="9" fillId="0" borderId="1" xfId="3" applyFont="1" applyBorder="1" applyAlignment="1" applyProtection="1">
      <alignment horizontal="left" vertical="top"/>
    </xf>
    <xf numFmtId="0" fontId="9" fillId="0" borderId="1" xfId="3" applyFont="1" applyBorder="1" applyAlignment="1" applyProtection="1">
      <alignment vertical="top" wrapText="1"/>
    </xf>
    <xf numFmtId="165" fontId="8" fillId="0" borderId="1" xfId="0" applyNumberFormat="1" applyFont="1" applyBorder="1" applyAlignment="1">
      <alignment vertical="top"/>
    </xf>
    <xf numFmtId="165" fontId="8" fillId="0" borderId="1" xfId="0" applyNumberFormat="1" applyFont="1" applyBorder="1" applyAlignment="1">
      <alignment vertical="top" wrapText="1"/>
    </xf>
    <xf numFmtId="0" fontId="8" fillId="0" borderId="1" xfId="1" applyNumberFormat="1" applyFont="1" applyBorder="1" applyAlignment="1" applyProtection="1">
      <alignment horizontal="right" vertical="top"/>
    </xf>
    <xf numFmtId="0" fontId="9" fillId="0" borderId="1" xfId="1" applyNumberFormat="1" applyFont="1" applyBorder="1" applyAlignment="1" applyProtection="1">
      <alignment horizontal="right" vertical="top"/>
    </xf>
    <xf numFmtId="165" fontId="9" fillId="0" borderId="1" xfId="0" applyNumberFormat="1" applyFont="1" applyBorder="1" applyAlignment="1">
      <alignment vertical="top" wrapText="1"/>
    </xf>
    <xf numFmtId="0" fontId="9" fillId="0" borderId="0" xfId="0" applyFont="1" applyAlignment="1">
      <alignment vertical="top" wrapText="1"/>
    </xf>
    <xf numFmtId="0" fontId="9" fillId="0" borderId="0" xfId="0" applyFont="1" applyAlignment="1">
      <alignment wrapText="1"/>
    </xf>
    <xf numFmtId="0" fontId="4" fillId="0" borderId="1" xfId="0" applyFont="1" applyBorder="1" applyAlignment="1">
      <alignment horizontal="right" vertical="top"/>
    </xf>
    <xf numFmtId="0" fontId="3" fillId="0" borderId="1" xfId="0" quotePrefix="1" applyFont="1" applyBorder="1" applyAlignment="1">
      <alignment horizontal="left" vertical="top"/>
    </xf>
    <xf numFmtId="0" fontId="5" fillId="0" borderId="1" xfId="0" quotePrefix="1" applyFont="1" applyBorder="1" applyAlignment="1">
      <alignment horizontal="left" vertical="top"/>
    </xf>
    <xf numFmtId="0" fontId="5" fillId="0" borderId="1" xfId="8" applyFont="1" applyBorder="1" applyAlignment="1" applyProtection="1">
      <alignment vertical="top" wrapText="1"/>
    </xf>
    <xf numFmtId="0" fontId="9" fillId="0" borderId="0" xfId="0" applyFont="1" applyAlignment="1">
      <alignment horizontal="left" vertical="top"/>
    </xf>
    <xf numFmtId="0" fontId="5" fillId="0" borderId="1" xfId="8" applyFont="1" applyBorder="1" applyAlignment="1" applyProtection="1">
      <alignment vertical="top"/>
    </xf>
    <xf numFmtId="0" fontId="8" fillId="0" borderId="0" xfId="0" applyFont="1" applyAlignment="1">
      <alignment vertical="top" wrapText="1"/>
    </xf>
    <xf numFmtId="0" fontId="9" fillId="0" borderId="0" xfId="0" applyFont="1" applyAlignment="1">
      <alignment vertical="top"/>
    </xf>
    <xf numFmtId="0" fontId="7" fillId="0" borderId="1" xfId="0" applyFont="1" applyBorder="1" applyAlignment="1">
      <alignment horizontal="left" vertical="top"/>
    </xf>
    <xf numFmtId="0" fontId="7" fillId="0" borderId="1" xfId="0" applyFont="1" applyBorder="1" applyAlignment="1">
      <alignment vertical="top" wrapText="1"/>
    </xf>
    <xf numFmtId="166" fontId="7" fillId="0" borderId="1" xfId="1" applyNumberFormat="1" applyFont="1" applyBorder="1" applyAlignment="1" applyProtection="1">
      <alignment vertical="top"/>
    </xf>
    <xf numFmtId="49" fontId="94" fillId="0" borderId="1" xfId="0" applyNumberFormat="1" applyFont="1" applyBorder="1" applyAlignment="1">
      <alignment horizontal="right" vertical="top"/>
    </xf>
    <xf numFmtId="170" fontId="9" fillId="0" borderId="1" xfId="0" quotePrefix="1" applyNumberFormat="1" applyFont="1" applyBorder="1" applyAlignment="1">
      <alignment horizontal="left" vertical="top"/>
    </xf>
    <xf numFmtId="170" fontId="5" fillId="0" borderId="1" xfId="0" applyNumberFormat="1" applyFont="1" applyBorder="1" applyAlignment="1">
      <alignment vertical="top" wrapText="1"/>
    </xf>
    <xf numFmtId="167" fontId="5" fillId="0" borderId="1" xfId="0" applyNumberFormat="1" applyFont="1" applyBorder="1" applyAlignment="1">
      <alignment vertical="top" wrapText="1"/>
    </xf>
    <xf numFmtId="165" fontId="5" fillId="0" borderId="1" xfId="8" applyNumberFormat="1" applyFont="1" applyBorder="1" applyAlignment="1" applyProtection="1">
      <alignment horizontal="left" vertical="top"/>
    </xf>
    <xf numFmtId="166" fontId="9" fillId="0" borderId="1" xfId="2" applyNumberFormat="1" applyFont="1" applyBorder="1" applyAlignment="1" applyProtection="1">
      <alignment vertical="top"/>
    </xf>
    <xf numFmtId="165" fontId="3" fillId="0" borderId="1" xfId="8" quotePrefix="1" applyNumberFormat="1" applyFont="1" applyBorder="1" applyAlignment="1" applyProtection="1">
      <alignment horizontal="left" vertical="top" wrapText="1"/>
    </xf>
    <xf numFmtId="165" fontId="3" fillId="0" borderId="1" xfId="5" applyNumberFormat="1" applyFont="1" applyBorder="1" applyAlignment="1" applyProtection="1">
      <alignment horizontal="left" vertical="top" wrapText="1"/>
    </xf>
    <xf numFmtId="165" fontId="3" fillId="0" borderId="1" xfId="7" applyNumberFormat="1" applyFont="1" applyBorder="1" applyAlignment="1" applyProtection="1">
      <alignment horizontal="left" vertical="top" wrapText="1"/>
    </xf>
    <xf numFmtId="49" fontId="4" fillId="0" borderId="1" xfId="0" applyNumberFormat="1" applyFont="1" applyBorder="1" applyAlignment="1">
      <alignment horizontal="right" vertical="top"/>
    </xf>
    <xf numFmtId="0" fontId="4" fillId="0" borderId="1" xfId="5" applyNumberFormat="1" applyFont="1" applyBorder="1" applyAlignment="1" applyProtection="1">
      <alignment horizontal="left" vertical="top" wrapText="1"/>
    </xf>
    <xf numFmtId="0" fontId="4" fillId="0" borderId="1" xfId="7" applyNumberFormat="1" applyFont="1" applyBorder="1" applyAlignment="1" applyProtection="1">
      <alignment horizontal="left" vertical="top" wrapText="1"/>
    </xf>
    <xf numFmtId="165" fontId="4" fillId="0" borderId="1" xfId="8" applyNumberFormat="1" applyFont="1" applyBorder="1" applyAlignment="1" applyProtection="1">
      <alignment horizontal="left" vertical="top" wrapText="1"/>
    </xf>
    <xf numFmtId="49" fontId="94" fillId="0" borderId="1" xfId="0" applyNumberFormat="1" applyFont="1" applyBorder="1" applyAlignment="1">
      <alignment vertical="top"/>
    </xf>
    <xf numFmtId="49" fontId="6" fillId="0" borderId="1" xfId="0" applyNumberFormat="1" applyFont="1" applyBorder="1" applyAlignment="1">
      <alignment vertical="top"/>
    </xf>
    <xf numFmtId="0" fontId="9" fillId="0" borderId="1" xfId="2" applyNumberFormat="1" applyFont="1" applyBorder="1" applyAlignment="1" applyProtection="1">
      <alignment vertical="top" wrapText="1"/>
    </xf>
    <xf numFmtId="49" fontId="8" fillId="0" borderId="1" xfId="2" applyNumberFormat="1" applyFont="1" applyBorder="1" applyAlignment="1" applyProtection="1">
      <alignment horizontal="left" vertical="top" shrinkToFit="1"/>
    </xf>
    <xf numFmtId="166" fontId="8" fillId="0" borderId="1" xfId="2" applyNumberFormat="1" applyFont="1" applyBorder="1" applyAlignment="1" applyProtection="1">
      <alignment horizontal="left" vertical="top" wrapText="1" shrinkToFit="1"/>
    </xf>
    <xf numFmtId="166" fontId="8" fillId="0" borderId="1" xfId="2" applyNumberFormat="1" applyFont="1" applyBorder="1" applyAlignment="1" applyProtection="1">
      <alignment horizontal="right" vertical="top" shrinkToFit="1"/>
    </xf>
    <xf numFmtId="49" fontId="9" fillId="0" borderId="1" xfId="2" applyNumberFormat="1" applyFont="1" applyBorder="1" applyAlignment="1" applyProtection="1">
      <alignment horizontal="left" vertical="top" shrinkToFit="1"/>
    </xf>
    <xf numFmtId="166" fontId="9" fillId="0" borderId="1" xfId="2" quotePrefix="1" applyNumberFormat="1" applyFont="1" applyBorder="1" applyAlignment="1" applyProtection="1">
      <alignment horizontal="left" vertical="top" wrapText="1" shrinkToFit="1"/>
    </xf>
    <xf numFmtId="166" fontId="9" fillId="0" borderId="1" xfId="2" applyNumberFormat="1" applyFont="1" applyBorder="1" applyAlignment="1" applyProtection="1">
      <alignment horizontal="right" vertical="top" shrinkToFit="1"/>
    </xf>
    <xf numFmtId="0" fontId="8" fillId="0" borderId="1" xfId="0" applyFont="1" applyBorder="1" applyAlignment="1">
      <alignment horizontal="center" vertical="top" wrapText="1"/>
    </xf>
    <xf numFmtId="166" fontId="3" fillId="0" borderId="1" xfId="3" applyNumberFormat="1" applyFont="1" applyBorder="1" applyAlignment="1" applyProtection="1">
      <alignment horizontal="right" vertical="top"/>
    </xf>
    <xf numFmtId="49" fontId="7" fillId="0" borderId="1" xfId="0" applyNumberFormat="1" applyFont="1" applyBorder="1" applyAlignment="1">
      <alignment horizontal="left" vertical="top"/>
    </xf>
    <xf numFmtId="166" fontId="8" fillId="0" borderId="1" xfId="1" applyNumberFormat="1" applyFont="1" applyBorder="1" applyAlignment="1">
      <alignment vertical="top"/>
      <protection locked="0"/>
    </xf>
    <xf numFmtId="49" fontId="3" fillId="0" borderId="1" xfId="3" applyNumberFormat="1" applyFont="1" applyBorder="1" applyAlignment="1" applyProtection="1">
      <alignment horizontal="left" vertical="top"/>
    </xf>
    <xf numFmtId="167" fontId="3" fillId="0" borderId="1" xfId="3" applyNumberFormat="1" applyFont="1" applyBorder="1" applyAlignment="1" applyProtection="1">
      <alignment vertical="top" wrapText="1"/>
    </xf>
    <xf numFmtId="166" fontId="9" fillId="0" borderId="0" xfId="3" applyNumberFormat="1" applyFont="1" applyAlignment="1" applyProtection="1">
      <alignment vertical="top"/>
    </xf>
    <xf numFmtId="171" fontId="3" fillId="0" borderId="1" xfId="3" quotePrefix="1" applyNumberFormat="1" applyFont="1" applyBorder="1" applyAlignment="1" applyProtection="1">
      <alignment horizontal="left" vertical="top" wrapText="1"/>
    </xf>
    <xf numFmtId="49" fontId="3" fillId="0" borderId="1" xfId="3" applyNumberFormat="1" applyFont="1" applyBorder="1" applyAlignment="1" applyProtection="1">
      <alignment vertical="top"/>
    </xf>
    <xf numFmtId="0" fontId="5" fillId="0" borderId="1" xfId="0" applyFont="1" applyBorder="1" applyAlignment="1">
      <alignment horizontal="center" vertical="top" wrapText="1"/>
    </xf>
    <xf numFmtId="166" fontId="9" fillId="0" borderId="1" xfId="1" applyNumberFormat="1" applyFont="1" applyBorder="1" applyAlignment="1">
      <alignment vertical="top"/>
      <protection locked="0"/>
    </xf>
    <xf numFmtId="49" fontId="5" fillId="0" borderId="1" xfId="3" applyNumberFormat="1" applyFont="1" applyBorder="1" applyAlignment="1" applyProtection="1">
      <alignment horizontal="left" vertical="top"/>
    </xf>
    <xf numFmtId="0" fontId="5" fillId="0" borderId="1" xfId="3" applyFont="1" applyBorder="1" applyAlignment="1" applyProtection="1">
      <alignment vertical="top" wrapText="1"/>
    </xf>
    <xf numFmtId="166" fontId="5" fillId="0" borderId="1" xfId="4" applyNumberFormat="1" applyFont="1" applyBorder="1" applyAlignment="1" applyProtection="1">
      <alignment horizontal="right" vertical="top"/>
    </xf>
    <xf numFmtId="0" fontId="3" fillId="0" borderId="1" xfId="3" applyFont="1" applyBorder="1" applyAlignment="1" applyProtection="1">
      <alignment horizontal="left" vertical="top" wrapText="1"/>
    </xf>
    <xf numFmtId="166" fontId="3" fillId="0" borderId="1" xfId="4" applyNumberFormat="1" applyFont="1" applyBorder="1" applyAlignment="1" applyProtection="1">
      <alignment horizontal="right" vertical="top"/>
    </xf>
    <xf numFmtId="166" fontId="3" fillId="0" borderId="1" xfId="3" applyNumberFormat="1" applyFont="1" applyBorder="1" applyAlignment="1" applyProtection="1">
      <alignment vertical="top"/>
    </xf>
    <xf numFmtId="0" fontId="94" fillId="0" borderId="1" xfId="0" applyFont="1" applyBorder="1" applyAlignment="1">
      <alignment vertical="top" wrapText="1"/>
    </xf>
    <xf numFmtId="0" fontId="9" fillId="18" borderId="1" xfId="3" applyFont="1" applyFill="1" applyBorder="1" applyAlignment="1" applyProtection="1">
      <alignment horizontal="left" vertical="top"/>
    </xf>
    <xf numFmtId="0" fontId="9" fillId="18" borderId="1" xfId="3" applyFont="1" applyFill="1" applyBorder="1" applyAlignment="1" applyProtection="1">
      <alignment vertical="top" wrapText="1"/>
    </xf>
    <xf numFmtId="166" fontId="5" fillId="18" borderId="1" xfId="4" applyNumberFormat="1" applyFont="1" applyFill="1" applyBorder="1" applyAlignment="1" applyProtection="1">
      <alignment horizontal="right" vertical="top"/>
    </xf>
    <xf numFmtId="166" fontId="4" fillId="0" borderId="1" xfId="1" applyNumberFormat="1" applyFont="1" applyBorder="1" applyAlignment="1">
      <alignment vertical="top"/>
      <protection locked="0"/>
    </xf>
    <xf numFmtId="166" fontId="4" fillId="0" borderId="0" xfId="1" applyNumberFormat="1" applyFont="1" applyAlignment="1">
      <alignment vertical="top"/>
      <protection locked="0"/>
    </xf>
    <xf numFmtId="49" fontId="100" fillId="0" borderId="1" xfId="1" applyNumberFormat="1" applyFont="1" applyBorder="1" applyAlignment="1" applyProtection="1">
      <alignment horizontal="left" vertical="top" shrinkToFit="1"/>
    </xf>
    <xf numFmtId="166" fontId="8" fillId="0" borderId="1" xfId="1" applyNumberFormat="1" applyFont="1" applyBorder="1" applyAlignment="1" applyProtection="1">
      <alignment horizontal="center" vertical="top" wrapText="1"/>
    </xf>
    <xf numFmtId="166" fontId="8" fillId="0" borderId="1" xfId="1" applyNumberFormat="1" applyFont="1" applyBorder="1" applyAlignment="1" applyProtection="1">
      <alignment horizontal="center" vertical="top"/>
    </xf>
    <xf numFmtId="49" fontId="8" fillId="0" borderId="1" xfId="1" applyNumberFormat="1" applyFont="1" applyBorder="1" applyAlignment="1" applyProtection="1">
      <alignment horizontal="left" vertical="top" shrinkToFit="1"/>
    </xf>
    <xf numFmtId="166" fontId="8" fillId="0" borderId="1" xfId="1" applyNumberFormat="1" applyFont="1" applyBorder="1" applyAlignment="1" applyProtection="1">
      <alignment horizontal="left" vertical="top" wrapText="1" shrinkToFit="1"/>
    </xf>
    <xf numFmtId="166" fontId="8" fillId="0" borderId="1" xfId="1" applyNumberFormat="1" applyFont="1" applyBorder="1" applyAlignment="1" applyProtection="1">
      <alignment horizontal="right" vertical="top" shrinkToFit="1"/>
    </xf>
    <xf numFmtId="49" fontId="3" fillId="0" borderId="1" xfId="1" applyNumberFormat="1" applyFont="1" applyBorder="1" applyAlignment="1" applyProtection="1">
      <alignment horizontal="left" vertical="top" shrinkToFit="1"/>
    </xf>
    <xf numFmtId="166" fontId="9" fillId="0" borderId="1" xfId="1" applyNumberFormat="1" applyFont="1" applyBorder="1" applyAlignment="1" applyProtection="1">
      <alignment horizontal="right" vertical="top" shrinkToFit="1"/>
    </xf>
    <xf numFmtId="49" fontId="101" fillId="0" borderId="1" xfId="1" applyNumberFormat="1" applyFont="1" applyBorder="1" applyAlignment="1" applyProtection="1">
      <alignment horizontal="left" vertical="top" shrinkToFit="1"/>
    </xf>
    <xf numFmtId="166" fontId="101" fillId="0" borderId="1" xfId="1" applyNumberFormat="1" applyFont="1" applyBorder="1" applyAlignment="1" applyProtection="1">
      <alignment horizontal="left" vertical="top" wrapText="1" shrinkToFit="1"/>
    </xf>
    <xf numFmtId="49" fontId="9" fillId="0" borderId="1" xfId="1" applyNumberFormat="1" applyFont="1" applyBorder="1" applyAlignment="1" applyProtection="1">
      <alignment horizontal="left" vertical="top" shrinkToFit="1"/>
    </xf>
    <xf numFmtId="166" fontId="8" fillId="0" borderId="1" xfId="1" applyNumberFormat="1" applyFont="1" applyBorder="1" applyAlignment="1">
      <alignment horizontal="left" vertical="top" wrapText="1"/>
      <protection locked="0"/>
    </xf>
    <xf numFmtId="166" fontId="9" fillId="0" borderId="1" xfId="1" applyNumberFormat="1" applyFont="1" applyBorder="1" applyAlignment="1">
      <alignment horizontal="left" vertical="top" wrapText="1"/>
      <protection locked="0"/>
    </xf>
    <xf numFmtId="166" fontId="9" fillId="0" borderId="1" xfId="1" applyNumberFormat="1" applyFont="1" applyBorder="1" applyAlignment="1" applyProtection="1">
      <alignment horizontal="left" vertical="top" wrapText="1"/>
    </xf>
    <xf numFmtId="166" fontId="9" fillId="0" borderId="1" xfId="1" applyNumberFormat="1" applyFont="1" applyBorder="1" applyAlignment="1" applyProtection="1">
      <alignment vertical="top" shrinkToFit="1"/>
    </xf>
    <xf numFmtId="166" fontId="9" fillId="0" borderId="1" xfId="1" applyNumberFormat="1" applyFont="1" applyBorder="1" applyAlignment="1" applyProtection="1">
      <alignment vertical="top" wrapText="1" shrinkToFit="1"/>
    </xf>
    <xf numFmtId="49" fontId="9" fillId="0" borderId="1" xfId="1" applyNumberFormat="1" applyFont="1" applyBorder="1" applyAlignment="1" applyProtection="1">
      <alignment horizontal="left" vertical="top"/>
    </xf>
    <xf numFmtId="166" fontId="9" fillId="0" borderId="1" xfId="1" applyNumberFormat="1" applyFont="1" applyBorder="1" applyAlignment="1" applyProtection="1">
      <alignment vertical="top" wrapText="1"/>
    </xf>
    <xf numFmtId="49" fontId="3" fillId="0" borderId="1" xfId="1" applyNumberFormat="1" applyFont="1" applyBorder="1" applyAlignment="1" applyProtection="1">
      <alignment horizontal="left" vertical="top"/>
    </xf>
    <xf numFmtId="166" fontId="3" fillId="0" borderId="1" xfId="1" applyNumberFormat="1" applyFont="1" applyBorder="1" applyAlignment="1" applyProtection="1">
      <alignment horizontal="left" vertical="top" wrapText="1"/>
    </xf>
    <xf numFmtId="166" fontId="101" fillId="0" borderId="1" xfId="1" applyNumberFormat="1" applyFont="1" applyBorder="1" applyAlignment="1" applyProtection="1">
      <alignment horizontal="right" vertical="top" shrinkToFit="1"/>
    </xf>
    <xf numFmtId="166" fontId="102" fillId="0" borderId="1" xfId="1" applyNumberFormat="1" applyFont="1" applyBorder="1" applyAlignment="1" applyProtection="1">
      <alignment vertical="top" shrinkToFit="1"/>
    </xf>
    <xf numFmtId="166" fontId="5" fillId="0" borderId="1" xfId="1" applyNumberFormat="1" applyFont="1" applyBorder="1" applyAlignment="1" applyProtection="1">
      <alignment vertical="top" wrapText="1" shrinkToFit="1"/>
    </xf>
    <xf numFmtId="166" fontId="101" fillId="0" borderId="1" xfId="1" applyNumberFormat="1" applyFont="1" applyBorder="1" applyAlignment="1">
      <alignment horizontal="left" vertical="top" wrapText="1"/>
      <protection locked="0"/>
    </xf>
    <xf numFmtId="49" fontId="5" fillId="0" borderId="1" xfId="1" applyNumberFormat="1" applyFont="1" applyBorder="1" applyAlignment="1" applyProtection="1">
      <alignment horizontal="left" vertical="top" shrinkToFit="1"/>
    </xf>
    <xf numFmtId="0" fontId="9" fillId="0" borderId="12" xfId="0" applyFont="1" applyBorder="1" applyAlignment="1">
      <alignment vertical="top"/>
    </xf>
    <xf numFmtId="0" fontId="9" fillId="0" borderId="14" xfId="0" applyFont="1" applyBorder="1" applyAlignment="1">
      <alignment vertical="top"/>
    </xf>
    <xf numFmtId="166" fontId="11" fillId="0" borderId="1" xfId="0" applyNumberFormat="1" applyFont="1" applyBorder="1" applyAlignment="1">
      <alignment horizontal="left" vertical="top"/>
    </xf>
    <xf numFmtId="166" fontId="9" fillId="0" borderId="1" xfId="4" applyNumberFormat="1" applyFont="1" applyBorder="1" applyAlignment="1" applyProtection="1">
      <alignment vertical="top"/>
    </xf>
    <xf numFmtId="165" fontId="3" fillId="0" borderId="1" xfId="0" applyNumberFormat="1" applyFont="1" applyBorder="1" applyAlignment="1">
      <alignment vertical="top" wrapText="1"/>
    </xf>
    <xf numFmtId="166" fontId="5" fillId="0" borderId="1" xfId="1" applyNumberFormat="1" applyFont="1" applyBorder="1" applyAlignment="1" applyProtection="1">
      <alignment horizontal="left" vertical="top" wrapText="1"/>
    </xf>
    <xf numFmtId="166" fontId="5" fillId="0" borderId="1" xfId="4" applyNumberFormat="1" applyFont="1" applyBorder="1" applyAlignment="1" applyProtection="1">
      <alignment vertical="top"/>
    </xf>
    <xf numFmtId="166" fontId="8" fillId="0" borderId="1" xfId="4" applyNumberFormat="1" applyFont="1" applyBorder="1" applyAlignment="1" applyProtection="1">
      <alignment vertical="top"/>
    </xf>
    <xf numFmtId="0" fontId="8" fillId="0" borderId="1" xfId="0" quotePrefix="1" applyFont="1" applyBorder="1" applyAlignment="1">
      <alignment vertical="top" wrapText="1"/>
    </xf>
    <xf numFmtId="166" fontId="9" fillId="0" borderId="0" xfId="1" applyNumberFormat="1" applyFont="1" applyAlignment="1">
      <alignment vertical="top"/>
      <protection locked="0"/>
    </xf>
    <xf numFmtId="170" fontId="7" fillId="0" borderId="1" xfId="0" quotePrefix="1" applyNumberFormat="1" applyFont="1" applyBorder="1" applyAlignment="1">
      <alignment horizontal="left" vertical="top" wrapText="1"/>
    </xf>
    <xf numFmtId="166" fontId="7" fillId="0" borderId="1" xfId="2" applyNumberFormat="1" applyFont="1" applyBorder="1" applyAlignment="1" applyProtection="1">
      <alignment vertical="top"/>
    </xf>
    <xf numFmtId="0" fontId="3" fillId="0" borderId="1" xfId="0" quotePrefix="1" applyFont="1" applyBorder="1" applyAlignment="1">
      <alignment vertical="top" wrapText="1"/>
    </xf>
    <xf numFmtId="49" fontId="6" fillId="0" borderId="1" xfId="0" applyNumberFormat="1" applyFont="1" applyBorder="1" applyAlignment="1">
      <alignment horizontal="right" vertical="top"/>
    </xf>
    <xf numFmtId="0" fontId="9" fillId="0" borderId="1" xfId="0" applyFont="1" applyBorder="1" applyAlignment="1">
      <alignment horizontal="center" vertical="top"/>
    </xf>
    <xf numFmtId="0" fontId="94" fillId="0" borderId="1" xfId="0" applyFont="1" applyBorder="1" applyAlignment="1">
      <alignment horizontal="left" vertical="top"/>
    </xf>
    <xf numFmtId="0" fontId="103" fillId="0" borderId="1" xfId="0" applyFont="1" applyBorder="1" applyAlignment="1">
      <alignment horizontal="left" vertical="top"/>
    </xf>
    <xf numFmtId="0" fontId="103" fillId="0" borderId="1" xfId="0" applyFont="1" applyBorder="1" applyAlignment="1">
      <alignment vertical="top" wrapText="1"/>
    </xf>
    <xf numFmtId="164" fontId="5" fillId="0" borderId="1" xfId="1" applyFont="1" applyBorder="1" applyAlignment="1" applyProtection="1">
      <alignment vertical="top"/>
    </xf>
    <xf numFmtId="164" fontId="3" fillId="0" borderId="1" xfId="1" applyFont="1" applyBorder="1" applyAlignment="1" applyProtection="1">
      <alignment horizontal="right" vertical="top"/>
    </xf>
    <xf numFmtId="164" fontId="9" fillId="0" borderId="1" xfId="1" applyFont="1" applyBorder="1" applyAlignment="1" applyProtection="1">
      <alignment vertical="top"/>
    </xf>
    <xf numFmtId="164" fontId="3" fillId="18" borderId="1" xfId="1" applyFont="1" applyFill="1" applyBorder="1" applyAlignment="1" applyProtection="1">
      <alignment vertical="top"/>
    </xf>
    <xf numFmtId="165" fontId="5" fillId="0" borderId="1" xfId="0" quotePrefix="1" applyNumberFormat="1" applyFont="1" applyBorder="1" applyAlignment="1">
      <alignment horizontal="left" vertical="top" wrapText="1"/>
    </xf>
    <xf numFmtId="0" fontId="104" fillId="0" borderId="1" xfId="0" applyFont="1" applyBorder="1" applyAlignment="1">
      <alignment vertical="top" wrapText="1"/>
    </xf>
    <xf numFmtId="164" fontId="5" fillId="0" borderId="1" xfId="1" applyFont="1" applyBorder="1" applyAlignment="1" applyProtection="1">
      <alignment horizontal="right" vertical="top"/>
    </xf>
    <xf numFmtId="0" fontId="105" fillId="0" borderId="1" xfId="0" applyFont="1" applyBorder="1" applyAlignment="1">
      <alignment horizontal="left" vertical="top"/>
    </xf>
    <xf numFmtId="0" fontId="105" fillId="0" borderId="1" xfId="0" applyFont="1" applyBorder="1" applyAlignment="1">
      <alignment vertical="top" wrapText="1"/>
    </xf>
    <xf numFmtId="171" fontId="5" fillId="0" borderId="1" xfId="0" quotePrefix="1" applyNumberFormat="1" applyFont="1" applyBorder="1" applyAlignment="1">
      <alignment horizontal="left" vertical="top" wrapText="1"/>
    </xf>
    <xf numFmtId="171" fontId="5" fillId="0" borderId="1" xfId="0" applyNumberFormat="1" applyFont="1" applyBorder="1" applyAlignment="1">
      <alignment horizontal="left" vertical="top" wrapText="1"/>
    </xf>
    <xf numFmtId="164" fontId="3" fillId="0" borderId="12" xfId="1" applyFont="1" applyBorder="1" applyAlignment="1" applyProtection="1">
      <alignment vertical="top"/>
    </xf>
    <xf numFmtId="164" fontId="5" fillId="0" borderId="12" xfId="1" applyFont="1" applyBorder="1" applyAlignment="1" applyProtection="1">
      <alignment vertical="top"/>
    </xf>
    <xf numFmtId="171" fontId="103" fillId="0" borderId="1" xfId="0" quotePrefix="1" applyNumberFormat="1" applyFont="1" applyBorder="1" applyAlignment="1">
      <alignment horizontal="left" vertical="top" wrapText="1"/>
    </xf>
    <xf numFmtId="0" fontId="11" fillId="0" borderId="1" xfId="0" applyFont="1" applyBorder="1" applyAlignment="1">
      <alignment vertical="top" wrapText="1"/>
    </xf>
    <xf numFmtId="166" fontId="3" fillId="0" borderId="1" xfId="2" applyNumberFormat="1" applyFont="1" applyBorder="1" applyAlignment="1" applyProtection="1">
      <alignment vertical="top" wrapText="1"/>
    </xf>
    <xf numFmtId="164" fontId="9" fillId="0" borderId="1" xfId="1" applyFont="1" applyBorder="1" applyAlignment="1">
      <alignment vertical="top"/>
      <protection locked="0"/>
    </xf>
    <xf numFmtId="170" fontId="9" fillId="0" borderId="1" xfId="0" applyNumberFormat="1" applyFont="1" applyBorder="1" applyAlignment="1">
      <alignment horizontal="left" vertical="top"/>
    </xf>
    <xf numFmtId="0" fontId="94" fillId="0" borderId="1" xfId="0" applyFont="1" applyBorder="1" applyAlignment="1">
      <alignment vertical="top"/>
    </xf>
    <xf numFmtId="164" fontId="94" fillId="0" borderId="1" xfId="1" applyFont="1" applyBorder="1" applyAlignment="1" applyProtection="1">
      <alignment vertical="top"/>
    </xf>
    <xf numFmtId="0" fontId="3" fillId="0" borderId="1" xfId="13" applyFont="1" applyBorder="1" applyAlignment="1" applyProtection="1">
      <alignment horizontal="left" vertical="top"/>
    </xf>
    <xf numFmtId="0" fontId="3" fillId="0" borderId="1" xfId="13" applyFont="1" applyBorder="1" applyAlignment="1" applyProtection="1">
      <alignment vertical="top" wrapText="1"/>
    </xf>
    <xf numFmtId="164" fontId="4" fillId="0" borderId="1" xfId="1" applyFont="1" applyBorder="1" applyAlignment="1" applyProtection="1">
      <alignment vertical="top"/>
    </xf>
    <xf numFmtId="0" fontId="4" fillId="0" borderId="12" xfId="8" applyFont="1" applyBorder="1" applyAlignment="1" applyProtection="1">
      <alignment vertical="top"/>
    </xf>
    <xf numFmtId="0" fontId="4" fillId="0" borderId="14" xfId="8" applyFont="1" applyBorder="1" applyAlignment="1" applyProtection="1">
      <alignment vertical="top" wrapText="1"/>
    </xf>
    <xf numFmtId="166" fontId="4" fillId="0" borderId="1" xfId="7" applyNumberFormat="1" applyFont="1" applyBorder="1" applyAlignment="1" applyProtection="1">
      <alignment horizontal="right" vertical="top"/>
    </xf>
    <xf numFmtId="166" fontId="5" fillId="0" borderId="1" xfId="7" applyNumberFormat="1" applyFont="1" applyBorder="1" applyAlignment="1" applyProtection="1">
      <alignment horizontal="left" vertical="top"/>
    </xf>
    <xf numFmtId="166" fontId="5" fillId="0" borderId="1" xfId="7" applyNumberFormat="1" applyFont="1" applyBorder="1" applyAlignment="1" applyProtection="1">
      <alignment vertical="top" wrapText="1"/>
    </xf>
    <xf numFmtId="166" fontId="3" fillId="0" borderId="1" xfId="7" applyNumberFormat="1" applyFont="1" applyBorder="1" applyAlignment="1" applyProtection="1">
      <alignment vertical="top"/>
    </xf>
    <xf numFmtId="166" fontId="5" fillId="0" borderId="1" xfId="7" applyNumberFormat="1" applyFont="1" applyBorder="1" applyAlignment="1" applyProtection="1">
      <alignment horizontal="left" vertical="top" wrapText="1"/>
    </xf>
    <xf numFmtId="166" fontId="5" fillId="0" borderId="1" xfId="7" applyNumberFormat="1" applyFont="1" applyBorder="1" applyAlignment="1" applyProtection="1">
      <alignment horizontal="right" vertical="top"/>
    </xf>
    <xf numFmtId="166" fontId="9" fillId="0" borderId="1" xfId="7" applyNumberFormat="1" applyFont="1" applyBorder="1" applyAlignment="1" applyProtection="1">
      <alignment horizontal="left" vertical="top" wrapText="1"/>
    </xf>
    <xf numFmtId="166" fontId="9" fillId="0" borderId="1" xfId="7" applyNumberFormat="1" applyFont="1" applyBorder="1" applyAlignment="1" applyProtection="1">
      <alignment vertical="top"/>
    </xf>
    <xf numFmtId="166" fontId="3" fillId="0" borderId="1" xfId="7" applyNumberFormat="1" applyFont="1" applyBorder="1" applyAlignment="1" applyProtection="1">
      <alignment horizontal="right" vertical="top"/>
    </xf>
    <xf numFmtId="166" fontId="4" fillId="0" borderId="1" xfId="7" applyNumberFormat="1" applyFont="1" applyBorder="1" applyAlignment="1" applyProtection="1">
      <alignment horizontal="left" vertical="top"/>
    </xf>
    <xf numFmtId="166" fontId="4" fillId="0" borderId="1" xfId="7" applyNumberFormat="1" applyFont="1" applyBorder="1" applyAlignment="1" applyProtection="1">
      <alignment vertical="top" wrapText="1"/>
    </xf>
    <xf numFmtId="1" fontId="4" fillId="0" borderId="1" xfId="1" applyNumberFormat="1" applyFont="1" applyBorder="1" applyAlignment="1" applyProtection="1">
      <alignment horizontal="left" vertical="top"/>
    </xf>
    <xf numFmtId="1" fontId="4" fillId="0" borderId="1" xfId="1" applyNumberFormat="1" applyFont="1" applyBorder="1" applyAlignment="1" applyProtection="1">
      <alignment vertical="top" wrapText="1"/>
    </xf>
    <xf numFmtId="166" fontId="8" fillId="0" borderId="1" xfId="7" applyNumberFormat="1" applyFont="1" applyBorder="1" applyAlignment="1" applyProtection="1">
      <alignment horizontal="left" vertical="top" wrapText="1"/>
    </xf>
    <xf numFmtId="166" fontId="8" fillId="0" borderId="1" xfId="7" applyNumberFormat="1" applyFont="1" applyBorder="1" applyAlignment="1" applyProtection="1">
      <alignment horizontal="right" vertical="top"/>
    </xf>
    <xf numFmtId="0" fontId="3" fillId="0" borderId="1" xfId="0" applyFont="1" applyBorder="1" applyAlignment="1">
      <alignment vertical="center" wrapText="1"/>
    </xf>
    <xf numFmtId="166" fontId="4" fillId="0" borderId="1" xfId="1" applyNumberFormat="1" applyFont="1" applyBorder="1" applyAlignment="1" applyProtection="1">
      <alignment vertical="top" wrapText="1"/>
    </xf>
    <xf numFmtId="166" fontId="5" fillId="0" borderId="1" xfId="1" applyNumberFormat="1" applyFont="1" applyBorder="1" applyAlignment="1" applyProtection="1">
      <alignment vertical="top" wrapText="1"/>
    </xf>
    <xf numFmtId="166" fontId="4" fillId="0" borderId="1" xfId="1" applyNumberFormat="1" applyFont="1" applyBorder="1" applyAlignment="1" applyProtection="1">
      <alignment horizontal="left" vertical="top" wrapText="1"/>
    </xf>
    <xf numFmtId="166" fontId="4" fillId="0" borderId="1" xfId="1" applyNumberFormat="1" applyFont="1" applyBorder="1" applyAlignment="1" applyProtection="1">
      <alignment horizontal="right" vertical="top" wrapText="1"/>
    </xf>
    <xf numFmtId="166" fontId="6" fillId="0" borderId="1" xfId="7" applyNumberFormat="1" applyFont="1" applyBorder="1" applyAlignment="1" applyProtection="1">
      <alignment vertical="top"/>
    </xf>
    <xf numFmtId="1" fontId="5" fillId="0" borderId="1" xfId="7" applyNumberFormat="1" applyFont="1" applyBorder="1" applyAlignment="1" applyProtection="1">
      <alignment horizontal="left" vertical="top"/>
    </xf>
    <xf numFmtId="1" fontId="5" fillId="0" borderId="1" xfId="7" applyNumberFormat="1" applyFont="1" applyBorder="1" applyAlignment="1" applyProtection="1">
      <alignment vertical="top" wrapText="1"/>
    </xf>
    <xf numFmtId="166" fontId="4" fillId="0" borderId="1" xfId="7" applyNumberFormat="1" applyFont="1" applyBorder="1" applyAlignment="1" applyProtection="1">
      <alignment horizontal="right" vertical="top" wrapText="1"/>
    </xf>
    <xf numFmtId="166" fontId="5" fillId="0" borderId="1" xfId="7" applyNumberFormat="1" applyFont="1" applyBorder="1" applyAlignment="1" applyProtection="1">
      <alignment horizontal="right" vertical="top" wrapText="1"/>
    </xf>
    <xf numFmtId="1" fontId="4" fillId="0" borderId="1" xfId="7" applyNumberFormat="1" applyFont="1" applyBorder="1" applyAlignment="1" applyProtection="1">
      <alignment horizontal="left" vertical="top"/>
    </xf>
    <xf numFmtId="1" fontId="4" fillId="0" borderId="1" xfId="7" applyNumberFormat="1" applyFont="1" applyBorder="1" applyAlignment="1" applyProtection="1">
      <alignment vertical="top" wrapText="1"/>
    </xf>
    <xf numFmtId="1" fontId="4" fillId="0" borderId="1" xfId="2" applyNumberFormat="1" applyFont="1" applyBorder="1" applyAlignment="1" applyProtection="1">
      <alignment horizontal="left" vertical="top"/>
    </xf>
    <xf numFmtId="1" fontId="5" fillId="0" borderId="1" xfId="2" applyNumberFormat="1" applyFont="1" applyBorder="1" applyAlignment="1" applyProtection="1">
      <alignment vertical="top" wrapText="1"/>
    </xf>
    <xf numFmtId="166" fontId="4" fillId="0" borderId="1" xfId="2" applyNumberFormat="1" applyFont="1" applyBorder="1" applyAlignment="1" applyProtection="1">
      <alignment vertical="top" wrapText="1"/>
    </xf>
    <xf numFmtId="166" fontId="5" fillId="0" borderId="1" xfId="2" applyNumberFormat="1" applyFont="1" applyBorder="1" applyAlignment="1" applyProtection="1">
      <alignment vertical="top" wrapText="1"/>
    </xf>
    <xf numFmtId="0" fontId="8" fillId="0" borderId="1" xfId="1" applyNumberFormat="1" applyFont="1" applyBorder="1" applyAlignment="1" applyProtection="1">
      <alignment horizontal="left" vertical="top"/>
    </xf>
    <xf numFmtId="166" fontId="8" fillId="0" borderId="1" xfId="1" applyNumberFormat="1" applyFont="1" applyBorder="1" applyAlignment="1" applyProtection="1">
      <alignment horizontal="left" vertical="top" wrapText="1"/>
    </xf>
    <xf numFmtId="166" fontId="4" fillId="0" borderId="1" xfId="7" applyNumberFormat="1" applyFont="1" applyBorder="1" applyAlignment="1" applyProtection="1">
      <alignment horizontal="left" vertical="top" wrapText="1"/>
    </xf>
    <xf numFmtId="0" fontId="4" fillId="0" borderId="1" xfId="8" applyFont="1" applyBorder="1" applyAlignment="1" applyProtection="1">
      <alignment vertical="top"/>
    </xf>
    <xf numFmtId="0" fontId="4" fillId="0" borderId="1" xfId="8" applyFont="1" applyBorder="1" applyAlignment="1" applyProtection="1">
      <alignment vertical="top" wrapText="1"/>
    </xf>
    <xf numFmtId="0" fontId="4" fillId="0" borderId="0" xfId="8" applyFont="1" applyAlignment="1" applyProtection="1">
      <alignment horizontal="left" vertical="top"/>
    </xf>
    <xf numFmtId="0" fontId="53" fillId="0" borderId="3" xfId="0" applyFont="1" applyBorder="1">
      <alignment vertical="center"/>
    </xf>
    <xf numFmtId="3" fontId="49" fillId="0" borderId="8" xfId="0" applyNumberFormat="1" applyFont="1" applyBorder="1">
      <alignment vertical="center"/>
    </xf>
    <xf numFmtId="4" fontId="49" fillId="0" borderId="8" xfId="0" applyNumberFormat="1" applyFont="1" applyBorder="1">
      <alignment vertical="center"/>
    </xf>
    <xf numFmtId="3" fontId="57" fillId="19" borderId="8" xfId="0" applyNumberFormat="1" applyFont="1" applyFill="1" applyBorder="1">
      <alignment vertical="center"/>
    </xf>
    <xf numFmtId="3" fontId="57" fillId="0" borderId="8" xfId="0" applyNumberFormat="1" applyFont="1" applyBorder="1">
      <alignment vertical="center"/>
    </xf>
    <xf numFmtId="3" fontId="49" fillId="0" borderId="8" xfId="0" applyNumberFormat="1" applyFont="1" applyBorder="1" applyAlignment="1">
      <alignment horizontal="center" vertical="center"/>
    </xf>
    <xf numFmtId="0" fontId="51" fillId="0" borderId="8" xfId="0" applyFont="1" applyBorder="1">
      <alignment vertical="center"/>
    </xf>
    <xf numFmtId="3" fontId="49" fillId="0" borderId="8" xfId="0" applyNumberFormat="1" applyFont="1" applyBorder="1" applyAlignment="1">
      <alignment horizontal="right" vertical="center"/>
    </xf>
    <xf numFmtId="3" fontId="57" fillId="19" borderId="7" xfId="0" applyNumberFormat="1" applyFont="1" applyFill="1" applyBorder="1" applyAlignment="1">
      <alignment horizontal="right" vertical="center"/>
    </xf>
    <xf numFmtId="3" fontId="49" fillId="0" borderId="3" xfId="0" applyNumberFormat="1" applyFont="1" applyBorder="1" applyAlignment="1">
      <alignment horizontal="right" vertical="center"/>
    </xf>
    <xf numFmtId="3" fontId="49" fillId="0" borderId="2" xfId="0" applyNumberFormat="1" applyFont="1" applyBorder="1" applyAlignment="1">
      <alignment horizontal="right" vertical="center"/>
    </xf>
    <xf numFmtId="3" fontId="49" fillId="0" borderId="0" xfId="0" applyNumberFormat="1" applyFont="1" applyAlignment="1">
      <alignment horizontal="right" vertical="center"/>
    </xf>
    <xf numFmtId="3" fontId="57" fillId="19" borderId="26" xfId="0" applyNumberFormat="1" applyFont="1" applyFill="1" applyBorder="1" applyAlignment="1">
      <alignment horizontal="right" vertical="center"/>
    </xf>
    <xf numFmtId="3" fontId="49" fillId="0" borderId="27" xfId="0" applyNumberFormat="1" applyFont="1" applyBorder="1" applyAlignment="1">
      <alignment horizontal="right" vertical="center"/>
    </xf>
    <xf numFmtId="3" fontId="57" fillId="19" borderId="8" xfId="0" applyNumberFormat="1" applyFont="1" applyFill="1" applyBorder="1" applyAlignment="1">
      <alignment horizontal="right" vertical="center"/>
    </xf>
    <xf numFmtId="3" fontId="57" fillId="0" borderId="8" xfId="0" applyNumberFormat="1" applyFont="1" applyBorder="1" applyAlignment="1">
      <alignment horizontal="right" vertical="center"/>
    </xf>
    <xf numFmtId="0" fontId="55" fillId="0" borderId="8" xfId="0" applyFont="1" applyBorder="1" applyAlignment="1">
      <alignment horizontal="right" vertical="center"/>
    </xf>
    <xf numFmtId="0" fontId="53" fillId="0" borderId="8" xfId="0" applyFont="1" applyBorder="1">
      <alignment vertical="center"/>
    </xf>
    <xf numFmtId="3" fontId="58" fillId="0" borderId="8" xfId="0" applyNumberFormat="1" applyFont="1" applyBorder="1">
      <alignment vertical="center"/>
    </xf>
    <xf numFmtId="0" fontId="53" fillId="0" borderId="8" xfId="0" applyFont="1" applyBorder="1" applyAlignment="1">
      <alignment horizontal="right" vertical="center"/>
    </xf>
    <xf numFmtId="3" fontId="55" fillId="19" borderId="8" xfId="0" applyNumberFormat="1" applyFont="1" applyFill="1" applyBorder="1" applyAlignment="1">
      <alignment horizontal="right" vertical="center"/>
    </xf>
    <xf numFmtId="0" fontId="75" fillId="0" borderId="8" xfId="0" applyFont="1" applyBorder="1">
      <alignment vertical="center"/>
    </xf>
    <xf numFmtId="4" fontId="57" fillId="0" borderId="8" xfId="0" applyNumberFormat="1" applyFont="1" applyBorder="1">
      <alignment vertical="center"/>
    </xf>
    <xf numFmtId="4" fontId="49" fillId="0" borderId="26" xfId="0" applyNumberFormat="1" applyFont="1" applyBorder="1">
      <alignment vertical="center"/>
    </xf>
    <xf numFmtId="0" fontId="106" fillId="0" borderId="0" xfId="0" applyFont="1" applyAlignment="1">
      <alignment vertical="top"/>
    </xf>
    <xf numFmtId="0" fontId="106" fillId="0" borderId="1" xfId="0" applyFont="1" applyBorder="1" applyAlignment="1">
      <alignment vertical="top"/>
    </xf>
    <xf numFmtId="0" fontId="56" fillId="0" borderId="0" xfId="0" applyFont="1" applyAlignment="1">
      <alignment vertical="top" wrapText="1"/>
    </xf>
    <xf numFmtId="0" fontId="56" fillId="0" borderId="1" xfId="0" applyFont="1" applyBorder="1" applyAlignment="1">
      <alignment vertical="top" wrapText="1"/>
    </xf>
    <xf numFmtId="0" fontId="56" fillId="0" borderId="1" xfId="0" applyFont="1" applyBorder="1" applyAlignment="1">
      <alignment horizontal="center" vertical="top" wrapText="1"/>
    </xf>
    <xf numFmtId="0" fontId="49" fillId="0" borderId="1" xfId="0" applyFont="1" applyBorder="1" applyAlignment="1">
      <alignment vertical="top" wrapText="1"/>
    </xf>
    <xf numFmtId="3" fontId="49" fillId="0" borderId="1" xfId="0" applyNumberFormat="1" applyFont="1" applyBorder="1" applyAlignment="1">
      <alignment horizontal="center" vertical="top" wrapText="1"/>
    </xf>
    <xf numFmtId="3" fontId="56" fillId="0" borderId="1" xfId="0" applyNumberFormat="1" applyFont="1" applyBorder="1" applyAlignment="1">
      <alignment horizontal="center" vertical="top" wrapText="1"/>
    </xf>
    <xf numFmtId="4" fontId="49" fillId="0" borderId="1" xfId="0" applyNumberFormat="1" applyFont="1" applyBorder="1" applyAlignment="1">
      <alignment horizontal="center" vertical="top" wrapText="1"/>
    </xf>
    <xf numFmtId="4" fontId="56" fillId="0" borderId="1" xfId="0" applyNumberFormat="1" applyFont="1" applyBorder="1" applyAlignment="1">
      <alignment horizontal="center" vertical="top" wrapText="1"/>
    </xf>
    <xf numFmtId="0" fontId="49" fillId="0" borderId="1" xfId="0" applyFont="1" applyBorder="1" applyAlignment="1">
      <alignment horizontal="center" vertical="top" wrapText="1"/>
    </xf>
    <xf numFmtId="0" fontId="107" fillId="0" borderId="0" xfId="0" applyFont="1">
      <alignment vertical="center"/>
    </xf>
    <xf numFmtId="166" fontId="108" fillId="0" borderId="0" xfId="1" applyNumberFormat="1" applyFont="1">
      <protection locked="0"/>
    </xf>
    <xf numFmtId="0" fontId="109" fillId="0" borderId="0" xfId="0" applyFont="1" applyAlignment="1">
      <alignment vertical="center" wrapText="1"/>
    </xf>
    <xf numFmtId="164" fontId="110" fillId="0" borderId="0" xfId="1" applyFont="1">
      <protection locked="0"/>
    </xf>
    <xf numFmtId="179" fontId="107" fillId="0" borderId="0" xfId="0" applyNumberFormat="1" applyFont="1">
      <alignment vertical="center"/>
    </xf>
    <xf numFmtId="0" fontId="111" fillId="0" borderId="0" xfId="0" applyFont="1">
      <alignment vertical="center"/>
    </xf>
    <xf numFmtId="166" fontId="108" fillId="2" borderId="0" xfId="1" applyNumberFormat="1" applyFont="1" applyFill="1">
      <protection locked="0"/>
    </xf>
    <xf numFmtId="177" fontId="1" fillId="0" borderId="0" xfId="1" applyNumberFormat="1">
      <protection locked="0"/>
    </xf>
    <xf numFmtId="180" fontId="1" fillId="0" borderId="0" xfId="1" applyNumberFormat="1">
      <protection locked="0"/>
    </xf>
    <xf numFmtId="0" fontId="2" fillId="3" borderId="0" xfId="0" applyFont="1" applyFill="1">
      <alignment vertical="center"/>
    </xf>
    <xf numFmtId="177" fontId="1" fillId="3" borderId="0" xfId="1" applyNumberFormat="1" applyFill="1">
      <protection locked="0"/>
    </xf>
    <xf numFmtId="180" fontId="1" fillId="3" borderId="0" xfId="1" applyNumberFormat="1" applyFill="1">
      <protection locked="0"/>
    </xf>
    <xf numFmtId="0" fontId="2" fillId="20" borderId="0" xfId="0" applyFont="1" applyFill="1">
      <alignment vertical="center"/>
    </xf>
    <xf numFmtId="177" fontId="1" fillId="20" borderId="0" xfId="1" applyNumberFormat="1" applyFill="1">
      <protection locked="0"/>
    </xf>
    <xf numFmtId="180" fontId="1" fillId="20" borderId="0" xfId="1" applyNumberFormat="1" applyFill="1">
      <protection locked="0"/>
    </xf>
    <xf numFmtId="180" fontId="3" fillId="0" borderId="0" xfId="0" applyNumberFormat="1" applyFont="1">
      <alignment vertical="center"/>
    </xf>
    <xf numFmtId="166" fontId="99" fillId="0" borderId="1" xfId="1" applyNumberFormat="1" applyFont="1" applyBorder="1" applyAlignment="1" applyProtection="1">
      <alignment horizontal="center" vertical="top" wrapText="1"/>
    </xf>
    <xf numFmtId="180" fontId="99" fillId="0" borderId="1" xfId="1" applyNumberFormat="1" applyFont="1" applyBorder="1" applyAlignment="1" applyProtection="1">
      <alignment horizontal="center" vertical="top" wrapText="1"/>
    </xf>
    <xf numFmtId="166" fontId="112" fillId="0" borderId="1" xfId="1" applyNumberFormat="1" applyFont="1" applyBorder="1" applyAlignment="1" applyProtection="1">
      <alignment horizontal="left" vertical="top" wrapText="1"/>
    </xf>
    <xf numFmtId="166" fontId="112" fillId="0" borderId="1" xfId="1" applyNumberFormat="1" applyFont="1" applyBorder="1" applyAlignment="1" applyProtection="1">
      <alignment horizontal="right" vertical="top" wrapText="1"/>
    </xf>
    <xf numFmtId="9" fontId="112" fillId="0" borderId="1" xfId="15" applyFont="1" applyBorder="1" applyAlignment="1" applyProtection="1">
      <alignment vertical="top" wrapText="1"/>
    </xf>
    <xf numFmtId="180" fontId="112" fillId="0" borderId="1" xfId="1" applyNumberFormat="1" applyFont="1" applyBorder="1" applyAlignment="1" applyProtection="1">
      <alignment horizontal="right" vertical="top" wrapText="1"/>
    </xf>
    <xf numFmtId="166" fontId="112" fillId="21" borderId="1" xfId="1" applyNumberFormat="1" applyFont="1" applyFill="1" applyBorder="1" applyAlignment="1" applyProtection="1">
      <alignment horizontal="left" vertical="top" wrapText="1"/>
    </xf>
    <xf numFmtId="166" fontId="112" fillId="21" borderId="1" xfId="1" applyNumberFormat="1" applyFont="1" applyFill="1" applyBorder="1" applyAlignment="1" applyProtection="1">
      <alignment horizontal="right" vertical="top" wrapText="1"/>
    </xf>
    <xf numFmtId="9" fontId="112" fillId="21" borderId="1" xfId="15" applyFont="1" applyFill="1" applyBorder="1" applyAlignment="1" applyProtection="1">
      <alignment vertical="top" wrapText="1"/>
    </xf>
    <xf numFmtId="180" fontId="112" fillId="21" borderId="1" xfId="1" applyNumberFormat="1" applyFont="1" applyFill="1" applyBorder="1" applyAlignment="1" applyProtection="1">
      <alignment horizontal="right" vertical="top" wrapText="1"/>
    </xf>
    <xf numFmtId="0" fontId="3" fillId="4" borderId="0" xfId="0" applyFont="1" applyFill="1">
      <alignment vertical="center"/>
    </xf>
    <xf numFmtId="166" fontId="112" fillId="4" borderId="1" xfId="1" applyNumberFormat="1" applyFont="1" applyFill="1" applyBorder="1" applyAlignment="1" applyProtection="1">
      <alignment horizontal="left" vertical="top" wrapText="1"/>
    </xf>
    <xf numFmtId="166" fontId="112" fillId="4" borderId="1" xfId="1" applyNumberFormat="1" applyFont="1" applyFill="1" applyBorder="1" applyAlignment="1" applyProtection="1">
      <alignment horizontal="right" vertical="top" wrapText="1"/>
    </xf>
    <xf numFmtId="9" fontId="112" fillId="4" borderId="1" xfId="15" applyFont="1" applyFill="1" applyBorder="1" applyAlignment="1" applyProtection="1">
      <alignment vertical="top" wrapText="1"/>
    </xf>
    <xf numFmtId="180" fontId="112" fillId="4" borderId="1" xfId="1" applyNumberFormat="1" applyFont="1" applyFill="1" applyBorder="1" applyAlignment="1" applyProtection="1">
      <alignment horizontal="right" vertical="top" wrapText="1"/>
    </xf>
    <xf numFmtId="166" fontId="112" fillId="0" borderId="1" xfId="1" applyNumberFormat="1" applyFont="1" applyBorder="1" applyAlignment="1" applyProtection="1">
      <alignment vertical="top" wrapText="1"/>
    </xf>
    <xf numFmtId="166" fontId="99" fillId="0" borderId="1" xfId="1" applyNumberFormat="1" applyFont="1" applyBorder="1" applyAlignment="1" applyProtection="1">
      <alignment horizontal="left" vertical="top" wrapText="1"/>
    </xf>
    <xf numFmtId="166" fontId="99" fillId="0" borderId="1" xfId="1" applyNumberFormat="1" applyFont="1" applyBorder="1" applyAlignment="1" applyProtection="1">
      <alignment horizontal="right" vertical="top" wrapText="1"/>
    </xf>
    <xf numFmtId="9" fontId="99" fillId="0" borderId="1" xfId="15" applyFont="1" applyBorder="1">
      <protection locked="0"/>
    </xf>
    <xf numFmtId="180" fontId="99" fillId="0" borderId="1" xfId="1" applyNumberFormat="1" applyFont="1" applyBorder="1" applyAlignment="1" applyProtection="1">
      <alignment horizontal="right" vertical="top" wrapText="1"/>
    </xf>
    <xf numFmtId="9" fontId="99" fillId="0" borderId="0" xfId="1" applyNumberFormat="1" applyFont="1" applyAlignment="1">
      <alignment horizontal="left"/>
      <protection locked="0"/>
    </xf>
    <xf numFmtId="164" fontId="112" fillId="0" borderId="0" xfId="1" applyFont="1">
      <protection locked="0"/>
    </xf>
    <xf numFmtId="9" fontId="99" fillId="0" borderId="0" xfId="1" applyNumberFormat="1" applyFont="1">
      <protection locked="0"/>
    </xf>
    <xf numFmtId="180" fontId="112" fillId="0" borderId="0" xfId="1" applyNumberFormat="1" applyFont="1">
      <protection locked="0"/>
    </xf>
    <xf numFmtId="10" fontId="1" fillId="0" borderId="0" xfId="15" applyNumberFormat="1">
      <protection locked="0"/>
    </xf>
    <xf numFmtId="10" fontId="108" fillId="0" borderId="0" xfId="15" applyNumberFormat="1" applyFont="1">
      <protection locked="0"/>
    </xf>
    <xf numFmtId="166" fontId="111" fillId="4" borderId="0" xfId="0" applyNumberFormat="1" applyFont="1" applyFill="1">
      <alignment vertical="center"/>
    </xf>
    <xf numFmtId="166" fontId="111" fillId="0" borderId="0" xfId="0" applyNumberFormat="1" applyFont="1">
      <alignment vertical="center"/>
    </xf>
    <xf numFmtId="0" fontId="111" fillId="13" borderId="0" xfId="0" applyFont="1" applyFill="1">
      <alignment vertical="center"/>
    </xf>
    <xf numFmtId="166" fontId="108" fillId="13" borderId="0" xfId="1" applyNumberFormat="1" applyFont="1" applyFill="1">
      <protection locked="0"/>
    </xf>
    <xf numFmtId="10" fontId="108" fillId="13" borderId="0" xfId="15" applyNumberFormat="1" applyFont="1" applyFill="1">
      <protection locked="0"/>
    </xf>
    <xf numFmtId="166" fontId="111" fillId="13" borderId="0" xfId="0" applyNumberFormat="1" applyFont="1" applyFill="1">
      <alignment vertical="center"/>
    </xf>
    <xf numFmtId="164" fontId="1" fillId="0" borderId="0" xfId="1" applyAlignment="1">
      <alignment wrapText="1"/>
      <protection locked="0"/>
    </xf>
    <xf numFmtId="166" fontId="1" fillId="0" borderId="0" xfId="1" applyNumberFormat="1" applyAlignment="1">
      <alignment wrapText="1"/>
      <protection locked="0"/>
    </xf>
    <xf numFmtId="164" fontId="113" fillId="0" borderId="0" xfId="1" applyFont="1" applyAlignment="1">
      <alignment vertical="top"/>
      <protection locked="0"/>
    </xf>
    <xf numFmtId="164" fontId="1" fillId="0" borderId="0" xfId="1" applyAlignment="1">
      <alignment vertical="top" wrapText="1"/>
      <protection locked="0"/>
    </xf>
    <xf numFmtId="166" fontId="1" fillId="0" borderId="0" xfId="1" applyNumberFormat="1" applyAlignment="1">
      <alignment vertical="top" wrapText="1"/>
      <protection locked="0"/>
    </xf>
    <xf numFmtId="164" fontId="114" fillId="0" borderId="0" xfId="1" applyFont="1" applyAlignment="1">
      <alignment wrapText="1"/>
      <protection locked="0"/>
    </xf>
    <xf numFmtId="164" fontId="115" fillId="0" borderId="1" xfId="1" applyFont="1" applyBorder="1" applyAlignment="1">
      <alignment vertical="top" wrapText="1"/>
      <protection locked="0"/>
    </xf>
    <xf numFmtId="166" fontId="115" fillId="0" borderId="1" xfId="1" applyNumberFormat="1" applyFont="1" applyBorder="1" applyAlignment="1">
      <alignment vertical="top" wrapText="1"/>
      <protection locked="0"/>
    </xf>
    <xf numFmtId="164" fontId="116" fillId="0" borderId="1" xfId="1" applyFont="1" applyBorder="1" applyAlignment="1">
      <alignment vertical="top" wrapText="1"/>
      <protection locked="0"/>
    </xf>
    <xf numFmtId="166" fontId="116" fillId="0" borderId="1" xfId="1" applyNumberFormat="1" applyFont="1" applyBorder="1" applyAlignment="1">
      <alignment vertical="top" wrapText="1"/>
      <protection locked="0"/>
    </xf>
    <xf numFmtId="164" fontId="117" fillId="0" borderId="0" xfId="1" applyFont="1" applyAlignment="1">
      <alignment wrapText="1"/>
      <protection locked="0"/>
    </xf>
    <xf numFmtId="164" fontId="118" fillId="0" borderId="1" xfId="1" applyFont="1" applyBorder="1" applyAlignment="1">
      <alignment vertical="top" wrapText="1"/>
      <protection locked="0"/>
    </xf>
    <xf numFmtId="166" fontId="118" fillId="0" borderId="1" xfId="1" applyNumberFormat="1" applyFont="1" applyBorder="1" applyAlignment="1">
      <alignment vertical="top" wrapText="1"/>
      <protection locked="0"/>
    </xf>
    <xf numFmtId="0" fontId="20" fillId="0" borderId="0" xfId="0" applyFont="1" applyAlignment="1">
      <alignment vertical="top" wrapText="1"/>
    </xf>
    <xf numFmtId="0" fontId="84" fillId="0" borderId="1" xfId="0" applyFont="1" applyBorder="1" applyAlignment="1">
      <alignment horizontal="center" vertical="top" wrapText="1"/>
    </xf>
    <xf numFmtId="0" fontId="20" fillId="0" borderId="1" xfId="0" applyFont="1" applyBorder="1" applyAlignment="1">
      <alignment vertical="top" wrapText="1"/>
    </xf>
    <xf numFmtId="166" fontId="21" fillId="0" borderId="1" xfId="1" applyNumberFormat="1" applyFont="1" applyBorder="1" applyAlignment="1" applyProtection="1">
      <alignment vertical="top"/>
    </xf>
    <xf numFmtId="0" fontId="21" fillId="0" borderId="0" xfId="0" applyFont="1" applyAlignment="1">
      <alignment vertical="top" wrapText="1"/>
    </xf>
    <xf numFmtId="0" fontId="21" fillId="0" borderId="1" xfId="0" applyFont="1" applyBorder="1" applyAlignment="1">
      <alignment vertical="top" wrapText="1"/>
    </xf>
    <xf numFmtId="0" fontId="84" fillId="0" borderId="1" xfId="0" applyFont="1" applyBorder="1" applyAlignment="1">
      <alignment vertical="top" wrapText="1"/>
    </xf>
    <xf numFmtId="166" fontId="84" fillId="0" borderId="1" xfId="1" applyNumberFormat="1" applyFont="1" applyBorder="1" applyAlignment="1" applyProtection="1">
      <alignment vertical="top"/>
    </xf>
    <xf numFmtId="0" fontId="21" fillId="0" borderId="28" xfId="0" applyFont="1" applyBorder="1" applyAlignment="1">
      <alignment vertical="top" wrapText="1"/>
    </xf>
    <xf numFmtId="10" fontId="21" fillId="0" borderId="28" xfId="15" applyNumberFormat="1" applyFont="1" applyBorder="1" applyAlignment="1" applyProtection="1">
      <alignment vertical="top"/>
    </xf>
    <xf numFmtId="166" fontId="20" fillId="0" borderId="0" xfId="0" applyNumberFormat="1" applyFont="1" applyAlignment="1">
      <alignment vertical="top"/>
    </xf>
    <xf numFmtId="0" fontId="119" fillId="4" borderId="0" xfId="0" applyFont="1" applyFill="1" applyAlignment="1">
      <alignment vertical="top" wrapText="1"/>
    </xf>
    <xf numFmtId="166" fontId="119" fillId="4" borderId="0" xfId="1" applyNumberFormat="1" applyFont="1" applyFill="1" applyAlignment="1" applyProtection="1">
      <alignment vertical="top" wrapText="1"/>
    </xf>
    <xf numFmtId="166" fontId="119" fillId="22" borderId="0" xfId="1" applyNumberFormat="1" applyFont="1" applyFill="1" applyAlignment="1" applyProtection="1">
      <alignment vertical="top" wrapText="1"/>
    </xf>
    <xf numFmtId="166" fontId="120" fillId="4" borderId="0" xfId="1" applyNumberFormat="1" applyFont="1" applyFill="1" applyAlignment="1" applyProtection="1">
      <alignment vertical="top" wrapText="1"/>
    </xf>
    <xf numFmtId="0" fontId="119" fillId="0" borderId="0" xfId="0" applyFont="1" applyAlignment="1">
      <alignment vertical="top" wrapText="1"/>
    </xf>
    <xf numFmtId="166" fontId="120" fillId="0" borderId="1" xfId="14" applyNumberFormat="1" applyFont="1" applyBorder="1" applyAlignment="1" applyProtection="1">
      <alignment horizontal="center" vertical="top" wrapText="1"/>
    </xf>
    <xf numFmtId="166" fontId="120" fillId="22" borderId="1" xfId="14" applyNumberFormat="1" applyFont="1" applyFill="1" applyBorder="1" applyAlignment="1" applyProtection="1">
      <alignment horizontal="center" vertical="top" wrapText="1"/>
    </xf>
    <xf numFmtId="166" fontId="121" fillId="0" borderId="1" xfId="14" applyNumberFormat="1" applyFont="1" applyBorder="1" applyAlignment="1" applyProtection="1">
      <alignment horizontal="center" vertical="top" wrapText="1"/>
    </xf>
    <xf numFmtId="166" fontId="121" fillId="22" borderId="1" xfId="14" applyNumberFormat="1" applyFont="1" applyFill="1" applyBorder="1" applyAlignment="1" applyProtection="1">
      <alignment horizontal="center" vertical="top" wrapText="1"/>
    </xf>
    <xf numFmtId="0" fontId="120" fillId="0" borderId="1" xfId="3" applyFont="1" applyBorder="1" applyAlignment="1" applyProtection="1">
      <alignment horizontal="center" vertical="top" wrapText="1"/>
    </xf>
    <xf numFmtId="0" fontId="121" fillId="4" borderId="1" xfId="3" applyFont="1" applyFill="1" applyBorder="1" applyAlignment="1" applyProtection="1">
      <alignment vertical="top" wrapText="1"/>
    </xf>
    <xf numFmtId="166" fontId="121" fillId="4" borderId="1" xfId="14" applyNumberFormat="1" applyFont="1" applyFill="1" applyBorder="1" applyAlignment="1" applyProtection="1">
      <alignment horizontal="center" vertical="top" wrapText="1"/>
    </xf>
    <xf numFmtId="0" fontId="120" fillId="4" borderId="1" xfId="3" applyFont="1" applyFill="1" applyBorder="1" applyAlignment="1" applyProtection="1">
      <alignment horizontal="center" vertical="top" wrapText="1"/>
    </xf>
    <xf numFmtId="0" fontId="119" fillId="4" borderId="1" xfId="3" applyFont="1" applyFill="1" applyBorder="1" applyAlignment="1" applyProtection="1">
      <alignment horizontal="right" vertical="top" wrapText="1"/>
    </xf>
    <xf numFmtId="0" fontId="119" fillId="4" borderId="1" xfId="3" applyFont="1" applyFill="1" applyBorder="1" applyAlignment="1" applyProtection="1">
      <alignment vertical="top" wrapText="1"/>
    </xf>
    <xf numFmtId="166" fontId="122" fillId="0" borderId="1" xfId="16" applyNumberFormat="1" applyFont="1" applyBorder="1" applyAlignment="1" applyProtection="1">
      <alignment horizontal="right" vertical="top" wrapText="1"/>
    </xf>
    <xf numFmtId="166" fontId="119" fillId="22" borderId="1" xfId="14" applyNumberFormat="1" applyFont="1" applyFill="1" applyBorder="1" applyAlignment="1" applyProtection="1">
      <alignment horizontal="right" vertical="top" wrapText="1"/>
    </xf>
    <xf numFmtId="166" fontId="120" fillId="4" borderId="1" xfId="14" applyNumberFormat="1" applyFont="1" applyFill="1" applyBorder="1" applyAlignment="1" applyProtection="1">
      <alignment horizontal="right" vertical="top" wrapText="1"/>
    </xf>
    <xf numFmtId="0" fontId="123" fillId="4" borderId="1" xfId="3" applyFont="1" applyFill="1" applyBorder="1" applyAlignment="1" applyProtection="1">
      <alignment vertical="top" wrapText="1"/>
    </xf>
    <xf numFmtId="0" fontId="121" fillId="4" borderId="1" xfId="3" applyFont="1" applyFill="1" applyBorder="1" applyAlignment="1" applyProtection="1">
      <alignment horizontal="right" vertical="top" wrapText="1"/>
    </xf>
    <xf numFmtId="0" fontId="124" fillId="4" borderId="1" xfId="3" applyFont="1" applyFill="1" applyBorder="1" applyAlignment="1" applyProtection="1">
      <alignment vertical="top" wrapText="1"/>
    </xf>
    <xf numFmtId="166" fontId="120" fillId="0" borderId="1" xfId="16" applyNumberFormat="1" applyFont="1" applyBorder="1" applyAlignment="1" applyProtection="1">
      <alignment horizontal="right" vertical="top" wrapText="1"/>
    </xf>
    <xf numFmtId="166" fontId="121" fillId="22" borderId="1" xfId="14" applyNumberFormat="1" applyFont="1" applyFill="1" applyBorder="1" applyAlignment="1" applyProtection="1">
      <alignment horizontal="right" vertical="top" wrapText="1"/>
    </xf>
    <xf numFmtId="166" fontId="122" fillId="0" borderId="1" xfId="16" applyNumberFormat="1" applyFont="1" applyBorder="1" applyAlignment="1" applyProtection="1">
      <alignment vertical="top" wrapText="1"/>
    </xf>
    <xf numFmtId="166" fontId="119" fillId="22" borderId="1" xfId="14" applyNumberFormat="1" applyFont="1" applyFill="1" applyBorder="1" applyAlignment="1" applyProtection="1">
      <alignment vertical="top" wrapText="1"/>
    </xf>
    <xf numFmtId="167" fontId="122" fillId="0" borderId="1" xfId="16" applyNumberFormat="1" applyFont="1" applyBorder="1" applyAlignment="1" applyProtection="1">
      <alignment horizontal="center" vertical="top" wrapText="1"/>
    </xf>
    <xf numFmtId="167" fontId="119" fillId="22" borderId="1" xfId="14" applyNumberFormat="1" applyFont="1" applyFill="1" applyBorder="1" applyAlignment="1" applyProtection="1">
      <alignment horizontal="center" vertical="top" wrapText="1"/>
    </xf>
    <xf numFmtId="0" fontId="122" fillId="4" borderId="1" xfId="3" applyFont="1" applyFill="1" applyBorder="1" applyAlignment="1" applyProtection="1">
      <alignment vertical="top" wrapText="1"/>
    </xf>
    <xf numFmtId="166" fontId="122" fillId="22" borderId="1" xfId="16" applyNumberFormat="1" applyFont="1" applyFill="1" applyBorder="1" applyAlignment="1" applyProtection="1">
      <alignment horizontal="right" vertical="top" wrapText="1"/>
    </xf>
    <xf numFmtId="167" fontId="119" fillId="4" borderId="0" xfId="0" applyNumberFormat="1" applyFont="1" applyFill="1" applyAlignment="1">
      <alignment vertical="top" wrapText="1"/>
    </xf>
    <xf numFmtId="166" fontId="119" fillId="4" borderId="0" xfId="0" applyNumberFormat="1" applyFont="1" applyFill="1" applyAlignment="1">
      <alignment vertical="top" wrapText="1"/>
    </xf>
    <xf numFmtId="166" fontId="122" fillId="22" borderId="1" xfId="14" applyNumberFormat="1" applyFont="1" applyFill="1" applyBorder="1" applyAlignment="1" applyProtection="1">
      <alignment horizontal="right" vertical="top" wrapText="1"/>
    </xf>
    <xf numFmtId="166" fontId="122" fillId="4" borderId="0" xfId="0" applyNumberFormat="1" applyFont="1" applyFill="1" applyAlignment="1">
      <alignment vertical="top" wrapText="1"/>
    </xf>
    <xf numFmtId="0" fontId="122" fillId="4" borderId="0" xfId="0" applyFont="1" applyFill="1" applyAlignment="1">
      <alignment vertical="top" wrapText="1"/>
    </xf>
    <xf numFmtId="0" fontId="120" fillId="4" borderId="1" xfId="3" applyFont="1" applyFill="1" applyBorder="1" applyAlignment="1" applyProtection="1">
      <alignment vertical="top" wrapText="1"/>
    </xf>
    <xf numFmtId="166" fontId="124" fillId="0" borderId="1" xfId="16" applyNumberFormat="1" applyFont="1" applyBorder="1" applyAlignment="1" applyProtection="1">
      <alignment horizontal="right" vertical="top" wrapText="1"/>
    </xf>
    <xf numFmtId="166" fontId="124" fillId="22" borderId="1" xfId="14" applyNumberFormat="1" applyFont="1" applyFill="1" applyBorder="1" applyAlignment="1" applyProtection="1">
      <alignment horizontal="right" vertical="top" wrapText="1"/>
    </xf>
    <xf numFmtId="166" fontId="120" fillId="22" borderId="1" xfId="14" applyNumberFormat="1" applyFont="1" applyFill="1" applyBorder="1" applyAlignment="1" applyProtection="1">
      <alignment horizontal="right" vertical="top" wrapText="1"/>
    </xf>
    <xf numFmtId="166" fontId="122" fillId="22" borderId="1" xfId="14" applyNumberFormat="1" applyFont="1" applyFill="1" applyBorder="1" applyAlignment="1" applyProtection="1">
      <alignment vertical="top" wrapText="1"/>
    </xf>
    <xf numFmtId="166" fontId="125" fillId="22" borderId="1" xfId="14" applyNumberFormat="1" applyFont="1" applyFill="1" applyBorder="1" applyAlignment="1" applyProtection="1">
      <alignment vertical="top" wrapText="1"/>
    </xf>
    <xf numFmtId="43" fontId="122" fillId="4" borderId="0" xfId="0" applyNumberFormat="1" applyFont="1" applyFill="1" applyAlignment="1">
      <alignment vertical="top" wrapText="1"/>
    </xf>
    <xf numFmtId="166" fontId="125" fillId="22" borderId="1" xfId="14" applyNumberFormat="1" applyFont="1" applyFill="1" applyBorder="1" applyAlignment="1" applyProtection="1">
      <alignment horizontal="right" vertical="top" wrapText="1"/>
    </xf>
    <xf numFmtId="166" fontId="120" fillId="22" borderId="0" xfId="1" applyNumberFormat="1" applyFont="1" applyFill="1" applyAlignment="1" applyProtection="1">
      <alignment vertical="top"/>
    </xf>
    <xf numFmtId="166" fontId="120" fillId="0" borderId="1" xfId="16" applyNumberFormat="1" applyFont="1" applyBorder="1" applyAlignment="1" applyProtection="1">
      <alignment vertical="top" wrapText="1"/>
    </xf>
    <xf numFmtId="166" fontId="120" fillId="22" borderId="1" xfId="14" applyNumberFormat="1" applyFont="1" applyFill="1" applyBorder="1" applyAlignment="1" applyProtection="1">
      <alignment vertical="top" wrapText="1"/>
    </xf>
    <xf numFmtId="9" fontId="122" fillId="0" borderId="1" xfId="16" applyNumberFormat="1" applyFont="1" applyBorder="1" applyAlignment="1" applyProtection="1">
      <alignment horizontal="right" vertical="top" wrapText="1"/>
    </xf>
    <xf numFmtId="0" fontId="126" fillId="0" borderId="6" xfId="0" applyFont="1" applyBorder="1" applyAlignment="1">
      <alignment vertical="center" wrapText="1"/>
    </xf>
    <xf numFmtId="3" fontId="127" fillId="0" borderId="6" xfId="0" applyNumberFormat="1" applyFont="1" applyBorder="1" applyAlignment="1">
      <alignment vertical="center" wrapText="1"/>
    </xf>
    <xf numFmtId="3" fontId="127" fillId="0" borderId="6" xfId="0" applyNumberFormat="1" applyFont="1" applyBorder="1" applyAlignment="1">
      <alignment horizontal="right" vertical="center" wrapText="1"/>
    </xf>
    <xf numFmtId="3" fontId="127" fillId="0" borderId="6" xfId="0" applyNumberFormat="1" applyFont="1" applyBorder="1" applyAlignment="1">
      <alignment horizontal="right" vertical="center"/>
    </xf>
    <xf numFmtId="0" fontId="127" fillId="0" borderId="6" xfId="0" applyFont="1" applyBorder="1" applyAlignment="1">
      <alignment vertical="center" wrapText="1"/>
    </xf>
    <xf numFmtId="0" fontId="127" fillId="0" borderId="6" xfId="0" applyFont="1" applyBorder="1" applyAlignment="1">
      <alignment horizontal="right" vertical="center" wrapText="1"/>
    </xf>
    <xf numFmtId="0" fontId="127" fillId="0" borderId="6" xfId="0" applyFont="1" applyBorder="1" applyAlignment="1">
      <alignment horizontal="right" vertical="center"/>
    </xf>
    <xf numFmtId="3" fontId="126" fillId="0" borderId="6" xfId="0" applyNumberFormat="1" applyFont="1" applyBorder="1" applyAlignment="1">
      <alignment horizontal="right" vertical="center"/>
    </xf>
    <xf numFmtId="0" fontId="128" fillId="0" borderId="6" xfId="0" applyFont="1" applyBorder="1" applyAlignment="1">
      <alignment vertical="center" wrapText="1"/>
    </xf>
    <xf numFmtId="3" fontId="128" fillId="0" borderId="6" xfId="0" applyNumberFormat="1" applyFont="1" applyBorder="1" applyAlignment="1">
      <alignment horizontal="right" vertical="center" wrapText="1"/>
    </xf>
    <xf numFmtId="0" fontId="49" fillId="0" borderId="0" xfId="0" applyFont="1" applyAlignment="1">
      <alignment horizontal="center" vertical="center"/>
    </xf>
    <xf numFmtId="0" fontId="49" fillId="0" borderId="0" xfId="0" applyFont="1">
      <alignment vertical="center"/>
    </xf>
    <xf numFmtId="166" fontId="49" fillId="0" borderId="0" xfId="0" applyNumberFormat="1" applyFont="1">
      <alignment vertical="center"/>
    </xf>
    <xf numFmtId="166" fontId="49" fillId="4" borderId="0" xfId="0" applyNumberFormat="1" applyFont="1" applyFill="1">
      <alignment vertical="center"/>
    </xf>
    <xf numFmtId="166" fontId="49" fillId="0" borderId="0" xfId="0" applyNumberFormat="1" applyFont="1" applyAlignment="1">
      <alignment vertical="top"/>
    </xf>
    <xf numFmtId="166" fontId="55" fillId="0" borderId="1" xfId="1" applyNumberFormat="1" applyFont="1" applyBorder="1" applyAlignment="1">
      <alignment horizontal="center" vertical="top" wrapText="1"/>
      <protection locked="0"/>
    </xf>
    <xf numFmtId="0" fontId="49" fillId="0" borderId="0" xfId="0" applyFont="1" applyAlignment="1">
      <alignment horizontal="center" vertical="center" wrapText="1"/>
    </xf>
    <xf numFmtId="0" fontId="49" fillId="0" borderId="1" xfId="0" applyFont="1" applyBorder="1" applyAlignment="1">
      <alignment horizontal="center" vertical="center"/>
    </xf>
    <xf numFmtId="164" fontId="57" fillId="0" borderId="1" xfId="1" applyFont="1" applyBorder="1" applyAlignment="1">
      <alignment vertical="top" wrapText="1"/>
      <protection locked="0"/>
    </xf>
    <xf numFmtId="166" fontId="57" fillId="0" borderId="1" xfId="1" applyNumberFormat="1" applyFont="1" applyBorder="1" applyAlignment="1">
      <alignment vertical="top" wrapText="1"/>
      <protection locked="0"/>
    </xf>
    <xf numFmtId="3" fontId="49" fillId="0" borderId="1" xfId="0" applyNumberFormat="1" applyFont="1" applyBorder="1" applyAlignment="1">
      <alignment horizontal="right" vertical="top" wrapText="1"/>
    </xf>
    <xf numFmtId="164" fontId="55" fillId="0" borderId="1" xfId="1" applyFont="1" applyBorder="1" applyAlignment="1">
      <alignment vertical="top" wrapText="1"/>
      <protection locked="0"/>
    </xf>
    <xf numFmtId="166" fontId="55" fillId="0" borderId="1" xfId="1" applyNumberFormat="1" applyFont="1" applyBorder="1" applyAlignment="1">
      <alignment vertical="top" wrapText="1"/>
      <protection locked="0"/>
    </xf>
    <xf numFmtId="0" fontId="54" fillId="0" borderId="0" xfId="1" applyNumberFormat="1" applyFont="1" applyAlignment="1" applyProtection="1">
      <alignment horizontal="center" vertical="top"/>
    </xf>
    <xf numFmtId="169" fontId="50" fillId="0" borderId="14" xfId="2" applyNumberFormat="1" applyFont="1" applyBorder="1" applyAlignment="1" applyProtection="1">
      <alignment horizontal="center" vertical="top"/>
    </xf>
    <xf numFmtId="169" fontId="50" fillId="0" borderId="19" xfId="2" applyNumberFormat="1" applyFont="1" applyBorder="1" applyAlignment="1" applyProtection="1">
      <alignment horizontal="center" vertical="top"/>
    </xf>
    <xf numFmtId="169" fontId="50" fillId="0" borderId="20" xfId="2" applyNumberFormat="1" applyFont="1" applyBorder="1" applyAlignment="1" applyProtection="1">
      <alignment horizontal="center" vertical="top"/>
    </xf>
    <xf numFmtId="169" fontId="50" fillId="0" borderId="0" xfId="2" applyNumberFormat="1" applyFont="1" applyAlignment="1" applyProtection="1">
      <alignment horizontal="center" vertical="top"/>
    </xf>
    <xf numFmtId="169" fontId="50" fillId="0" borderId="22" xfId="2" applyNumberFormat="1" applyFont="1" applyBorder="1" applyAlignment="1" applyProtection="1">
      <alignment horizontal="center" vertical="top"/>
    </xf>
    <xf numFmtId="169" fontId="50" fillId="0" borderId="23" xfId="2" applyNumberFormat="1" applyFont="1" applyBorder="1" applyAlignment="1" applyProtection="1">
      <alignment horizontal="center" vertical="top"/>
    </xf>
    <xf numFmtId="169" fontId="50" fillId="0" borderId="21" xfId="2" applyNumberFormat="1" applyFont="1" applyBorder="1" applyAlignment="1" applyProtection="1">
      <alignment horizontal="center" vertical="top"/>
    </xf>
    <xf numFmtId="169" fontId="50" fillId="0" borderId="13" xfId="2" applyNumberFormat="1" applyFont="1" applyBorder="1" applyAlignment="1" applyProtection="1">
      <alignment horizontal="center" vertical="top"/>
    </xf>
    <xf numFmtId="169" fontId="50" fillId="0" borderId="12" xfId="2" applyNumberFormat="1" applyFont="1" applyBorder="1" applyAlignment="1" applyProtection="1">
      <alignment horizontal="center" vertical="top"/>
    </xf>
    <xf numFmtId="49" fontId="142" fillId="0" borderId="14" xfId="1" applyNumberFormat="1" applyFont="1" applyBorder="1" applyAlignment="1" applyProtection="1">
      <alignment horizontal="left" vertical="top" wrapText="1"/>
    </xf>
    <xf numFmtId="0" fontId="54" fillId="9" borderId="0" xfId="1" applyNumberFormat="1" applyFont="1" applyFill="1" applyAlignment="1" applyProtection="1">
      <alignment horizontal="center" vertical="top"/>
    </xf>
    <xf numFmtId="49" fontId="142" fillId="9" borderId="14" xfId="1" applyNumberFormat="1" applyFont="1" applyFill="1" applyBorder="1" applyAlignment="1" applyProtection="1">
      <alignment horizontal="left" vertical="top" wrapText="1"/>
    </xf>
    <xf numFmtId="169" fontId="50" fillId="9" borderId="0" xfId="1" applyNumberFormat="1" applyFont="1" applyFill="1" applyAlignment="1" applyProtection="1">
      <alignment vertical="top"/>
    </xf>
    <xf numFmtId="0" fontId="58" fillId="9" borderId="1" xfId="0" applyFont="1" applyFill="1" applyBorder="1" applyAlignment="1">
      <alignment vertical="top"/>
    </xf>
    <xf numFmtId="169" fontId="49" fillId="9" borderId="1" xfId="2" applyNumberFormat="1" applyFont="1" applyFill="1" applyBorder="1" applyAlignment="1" applyProtection="1">
      <alignment horizontal="left" vertical="top"/>
    </xf>
    <xf numFmtId="166" fontId="49" fillId="9" borderId="14" xfId="2" applyNumberFormat="1" applyFont="1" applyFill="1" applyBorder="1" applyAlignment="1" applyProtection="1">
      <alignment horizontal="center" vertical="top"/>
    </xf>
    <xf numFmtId="0" fontId="58" fillId="9" borderId="0" xfId="0" applyFont="1" applyFill="1" applyAlignment="1">
      <alignment vertical="top"/>
    </xf>
    <xf numFmtId="169" fontId="52" fillId="9" borderId="1" xfId="2" applyNumberFormat="1" applyFont="1" applyFill="1" applyBorder="1" applyAlignment="1" applyProtection="1">
      <alignment horizontal="center" vertical="top"/>
    </xf>
    <xf numFmtId="0" fontId="49" fillId="9" borderId="20" xfId="0" applyFont="1" applyFill="1" applyBorder="1" applyAlignment="1">
      <alignment vertical="top"/>
    </xf>
    <xf numFmtId="49" fontId="49" fillId="9" borderId="20" xfId="0" applyNumberFormat="1" applyFont="1" applyFill="1" applyBorder="1" applyAlignment="1">
      <alignment horizontal="left" vertical="top"/>
    </xf>
    <xf numFmtId="167" fontId="49" fillId="9" borderId="20" xfId="0" applyNumberFormat="1" applyFont="1" applyFill="1" applyBorder="1" applyAlignment="1">
      <alignment horizontal="left" vertical="top"/>
    </xf>
    <xf numFmtId="169" fontId="49" fillId="9" borderId="20" xfId="2" applyNumberFormat="1" applyFont="1" applyFill="1" applyBorder="1" applyAlignment="1" applyProtection="1">
      <alignment horizontal="left" vertical="top"/>
    </xf>
    <xf numFmtId="169" fontId="49" fillId="9" borderId="20" xfId="0" applyNumberFormat="1" applyFont="1" applyFill="1" applyBorder="1" applyAlignment="1">
      <alignment horizontal="left" vertical="top"/>
    </xf>
    <xf numFmtId="169" fontId="58" fillId="9" borderId="0" xfId="0" applyNumberFormat="1" applyFont="1" applyFill="1" applyAlignment="1">
      <alignment vertical="top"/>
    </xf>
    <xf numFmtId="3" fontId="16" fillId="0" borderId="5" xfId="0" applyNumberFormat="1" applyFont="1" applyBorder="1" applyAlignment="1">
      <alignment horizontal="right" vertical="center" wrapText="1"/>
    </xf>
    <xf numFmtId="3" fontId="16" fillId="0" borderId="8" xfId="0" applyNumberFormat="1" applyFont="1" applyBorder="1" applyAlignment="1">
      <alignment horizontal="right" vertical="center" wrapText="1"/>
    </xf>
    <xf numFmtId="0" fontId="15" fillId="0" borderId="5" xfId="0" applyFont="1" applyBorder="1" applyAlignment="1">
      <alignment vertical="center" wrapText="1"/>
    </xf>
    <xf numFmtId="0" fontId="15" fillId="0" borderId="7" xfId="0" applyFont="1" applyBorder="1" applyAlignment="1">
      <alignment vertical="center" wrapText="1"/>
    </xf>
    <xf numFmtId="0" fontId="15" fillId="0" borderId="8" xfId="0" applyFont="1" applyBorder="1" applyAlignment="1">
      <alignment vertical="center" wrapText="1"/>
    </xf>
    <xf numFmtId="0" fontId="16" fillId="0" borderId="5" xfId="0" applyFont="1" applyBorder="1" applyAlignment="1">
      <alignment vertical="center" wrapText="1"/>
    </xf>
    <xf numFmtId="0" fontId="16" fillId="0" borderId="8" xfId="0" applyFont="1" applyBorder="1" applyAlignment="1">
      <alignment vertical="center" wrapText="1"/>
    </xf>
    <xf numFmtId="0" fontId="14" fillId="8" borderId="9" xfId="0" applyFont="1" applyFill="1" applyBorder="1" applyAlignment="1">
      <alignment vertical="center" wrapText="1"/>
    </xf>
    <xf numFmtId="0" fontId="14" fillId="8" borderId="10" xfId="0" applyFont="1" applyFill="1" applyBorder="1" applyAlignment="1">
      <alignment vertical="center" wrapText="1"/>
    </xf>
    <xf numFmtId="0" fontId="14" fillId="8" borderId="4" xfId="0" applyFont="1" applyFill="1" applyBorder="1" applyAlignment="1">
      <alignment vertical="center" wrapText="1"/>
    </xf>
    <xf numFmtId="0" fontId="14" fillId="11" borderId="9" xfId="0" applyFont="1" applyFill="1" applyBorder="1" applyAlignment="1">
      <alignment vertical="center" wrapText="1"/>
    </xf>
    <xf numFmtId="0" fontId="14" fillId="11" borderId="10" xfId="0" applyFont="1" applyFill="1" applyBorder="1" applyAlignment="1">
      <alignment vertical="center" wrapText="1"/>
    </xf>
    <xf numFmtId="0" fontId="14" fillId="11" borderId="4" xfId="0" applyFont="1" applyFill="1" applyBorder="1" applyAlignment="1">
      <alignment vertical="center" wrapText="1"/>
    </xf>
    <xf numFmtId="0" fontId="13" fillId="0" borderId="2" xfId="0" applyFont="1" applyBorder="1">
      <alignment vertical="center"/>
    </xf>
    <xf numFmtId="3" fontId="17" fillId="0" borderId="5" xfId="0" applyNumberFormat="1" applyFont="1" applyBorder="1" applyAlignment="1">
      <alignment horizontal="right" vertical="center" wrapText="1"/>
    </xf>
    <xf numFmtId="3" fontId="17" fillId="0" borderId="8" xfId="0" applyNumberFormat="1" applyFont="1" applyBorder="1" applyAlignment="1">
      <alignment horizontal="right" vertical="center" wrapText="1"/>
    </xf>
    <xf numFmtId="3" fontId="18" fillId="0" borderId="5" xfId="0" applyNumberFormat="1" applyFont="1" applyBorder="1" applyAlignment="1">
      <alignment horizontal="right" vertical="center" wrapText="1"/>
    </xf>
    <xf numFmtId="3" fontId="18" fillId="0" borderId="8" xfId="0" applyNumberFormat="1" applyFont="1" applyBorder="1" applyAlignment="1">
      <alignment horizontal="right" vertical="center" wrapText="1"/>
    </xf>
    <xf numFmtId="0" fontId="17" fillId="6" borderId="5" xfId="0" applyFont="1" applyFill="1" applyBorder="1" applyAlignment="1">
      <alignment horizontal="right" vertical="center" wrapText="1"/>
    </xf>
    <xf numFmtId="0" fontId="17" fillId="6" borderId="8" xfId="0" applyFont="1" applyFill="1" applyBorder="1" applyAlignment="1">
      <alignment horizontal="right" vertical="center" wrapText="1"/>
    </xf>
    <xf numFmtId="166" fontId="21" fillId="0" borderId="0" xfId="1" applyNumberFormat="1" applyFont="1" applyAlignment="1">
      <alignment vertical="top"/>
      <protection locked="0"/>
    </xf>
    <xf numFmtId="0" fontId="27" fillId="0" borderId="1" xfId="0" applyFont="1" applyBorder="1" applyAlignment="1">
      <alignment vertical="top" wrapText="1"/>
    </xf>
    <xf numFmtId="166" fontId="27" fillId="0" borderId="1" xfId="1" applyNumberFormat="1" applyFont="1" applyBorder="1" applyAlignment="1">
      <alignment vertical="top"/>
      <protection locked="0"/>
    </xf>
    <xf numFmtId="0" fontId="27" fillId="0" borderId="1" xfId="0" applyFont="1" applyBorder="1" applyAlignment="1">
      <alignment vertical="top"/>
    </xf>
    <xf numFmtId="165" fontId="27" fillId="0" borderId="1" xfId="1" applyNumberFormat="1" applyFont="1" applyBorder="1" applyAlignment="1">
      <alignment vertical="top"/>
      <protection locked="0"/>
    </xf>
    <xf numFmtId="3" fontId="36" fillId="0" borderId="1" xfId="0" applyNumberFormat="1" applyFont="1" applyBorder="1" applyAlignment="1">
      <alignment vertical="top"/>
    </xf>
    <xf numFmtId="0" fontId="36" fillId="0" borderId="1" xfId="0" applyFont="1" applyBorder="1" applyAlignment="1">
      <alignment vertical="top" wrapText="1"/>
    </xf>
    <xf numFmtId="0" fontId="33" fillId="0" borderId="1" xfId="7" applyNumberFormat="1" applyFont="1" applyBorder="1" applyAlignment="1" applyProtection="1">
      <alignment horizontal="center" vertical="top"/>
    </xf>
    <xf numFmtId="0" fontId="36" fillId="0" borderId="1" xfId="0" applyFont="1" applyBorder="1" applyAlignment="1">
      <alignment vertical="top"/>
    </xf>
    <xf numFmtId="0" fontId="54" fillId="0" borderId="17" xfId="1" applyNumberFormat="1" applyFont="1" applyBorder="1" applyAlignment="1" applyProtection="1">
      <alignment horizontal="center" vertical="top"/>
    </xf>
    <xf numFmtId="0" fontId="54" fillId="0" borderId="18" xfId="1" applyNumberFormat="1" applyFont="1" applyBorder="1" applyAlignment="1" applyProtection="1">
      <alignment horizontal="center" vertical="top"/>
    </xf>
    <xf numFmtId="0" fontId="50" fillId="0" borderId="20" xfId="0" applyFont="1" applyBorder="1" applyAlignment="1"/>
    <xf numFmtId="0" fontId="69" fillId="0" borderId="21" xfId="0" applyFont="1" applyBorder="1" applyAlignment="1"/>
    <xf numFmtId="0" fontId="69" fillId="0" borderId="19" xfId="0" applyFont="1" applyBorder="1" applyAlignment="1"/>
    <xf numFmtId="0" fontId="17" fillId="0" borderId="1" xfId="0" applyFont="1" applyBorder="1" applyAlignment="1">
      <alignment horizontal="center" vertical="center"/>
    </xf>
    <xf numFmtId="0" fontId="81" fillId="0" borderId="1" xfId="0" applyFont="1" applyBorder="1" applyAlignment="1">
      <alignment horizontal="center" vertical="top" wrapText="1"/>
    </xf>
    <xf numFmtId="166" fontId="82" fillId="0" borderId="1" xfId="1" applyNumberFormat="1" applyFont="1" applyBorder="1" applyAlignment="1" applyProtection="1">
      <alignment horizontal="center" vertical="top" wrapText="1"/>
    </xf>
    <xf numFmtId="0" fontId="82" fillId="0" borderId="1" xfId="0" applyFont="1" applyBorder="1" applyAlignment="1">
      <alignment horizontal="left" vertical="top" wrapText="1"/>
    </xf>
    <xf numFmtId="0" fontId="82" fillId="0" borderId="1" xfId="0" applyFont="1" applyBorder="1" applyAlignment="1">
      <alignment horizontal="center" vertical="top" wrapText="1"/>
    </xf>
    <xf numFmtId="0" fontId="86" fillId="0" borderId="1" xfId="0" applyFont="1" applyBorder="1" applyAlignment="1">
      <alignment horizontal="left" vertical="top" wrapText="1"/>
    </xf>
    <xf numFmtId="0" fontId="91" fillId="0" borderId="0" xfId="0" applyFont="1" applyAlignment="1">
      <alignment horizontal="left" vertical="top" wrapText="1"/>
    </xf>
    <xf numFmtId="0" fontId="89" fillId="0" borderId="1" xfId="0" applyFont="1" applyBorder="1" applyAlignment="1">
      <alignment horizontal="center" vertical="top" wrapText="1"/>
    </xf>
    <xf numFmtId="0" fontId="86" fillId="0" borderId="1" xfId="0" applyFont="1" applyBorder="1" applyAlignment="1">
      <alignment horizontal="center" vertical="top" wrapText="1"/>
    </xf>
    <xf numFmtId="0" fontId="56" fillId="0" borderId="1" xfId="0" applyFont="1" applyBorder="1" applyAlignment="1">
      <alignment vertical="top" wrapText="1"/>
    </xf>
    <xf numFmtId="4" fontId="49" fillId="0" borderId="1" xfId="0" applyNumberFormat="1" applyFont="1" applyBorder="1" applyAlignment="1">
      <alignment horizontal="center" vertical="top" wrapText="1"/>
    </xf>
    <xf numFmtId="3" fontId="49" fillId="0" borderId="1" xfId="0" applyNumberFormat="1" applyFont="1" applyBorder="1" applyAlignment="1">
      <alignment horizontal="center" vertical="top" wrapText="1"/>
    </xf>
    <xf numFmtId="0" fontId="49" fillId="0" borderId="1" xfId="0" applyFont="1" applyBorder="1" applyAlignment="1">
      <alignment vertical="top" wrapText="1"/>
    </xf>
    <xf numFmtId="166" fontId="99" fillId="0" borderId="1" xfId="1" applyNumberFormat="1" applyFont="1" applyBorder="1" applyAlignment="1" applyProtection="1">
      <alignment horizontal="center" vertical="top" wrapText="1"/>
    </xf>
    <xf numFmtId="0" fontId="99" fillId="0" borderId="1" xfId="0" applyFont="1" applyBorder="1" applyAlignment="1">
      <alignment horizontal="center" vertical="top" wrapText="1"/>
    </xf>
    <xf numFmtId="0" fontId="99" fillId="0" borderId="1" xfId="0" applyFont="1" applyBorder="1" applyAlignment="1">
      <alignment horizontal="left" vertical="top" wrapText="1"/>
    </xf>
    <xf numFmtId="0" fontId="14" fillId="0" borderId="18" xfId="0" applyFont="1" applyBorder="1" applyAlignment="1">
      <alignment horizontal="center" vertical="top"/>
    </xf>
    <xf numFmtId="0" fontId="84" fillId="0" borderId="1" xfId="0" applyFont="1" applyBorder="1" applyAlignment="1">
      <alignment horizontal="center" vertical="top"/>
    </xf>
    <xf numFmtId="0" fontId="84" fillId="0" borderId="1" xfId="0" applyFont="1" applyBorder="1" applyAlignment="1">
      <alignment horizontal="center" vertical="top" wrapText="1"/>
    </xf>
    <xf numFmtId="0" fontId="122" fillId="4" borderId="1" xfId="3" applyFont="1" applyFill="1" applyBorder="1" applyAlignment="1" applyProtection="1">
      <alignment horizontal="right" vertical="top" wrapText="1"/>
    </xf>
    <xf numFmtId="0" fontId="120" fillId="4" borderId="12" xfId="3" applyFont="1" applyFill="1" applyBorder="1" applyAlignment="1" applyProtection="1">
      <alignment horizontal="center" vertical="top" wrapText="1"/>
    </xf>
    <xf numFmtId="0" fontId="121" fillId="4" borderId="25" xfId="3" applyFont="1" applyFill="1" applyBorder="1" applyAlignment="1" applyProtection="1">
      <alignment horizontal="center" vertical="top" wrapText="1"/>
    </xf>
    <xf numFmtId="0" fontId="121" fillId="4" borderId="23" xfId="3" applyFont="1" applyFill="1" applyBorder="1" applyAlignment="1" applyProtection="1">
      <alignment horizontal="center" vertical="top" wrapText="1"/>
    </xf>
    <xf numFmtId="0" fontId="121" fillId="4" borderId="18" xfId="0" applyFont="1" applyFill="1" applyBorder="1" applyAlignment="1">
      <alignment vertical="top" wrapText="1"/>
    </xf>
    <xf numFmtId="0" fontId="121" fillId="4" borderId="12" xfId="3" applyFont="1" applyFill="1" applyBorder="1" applyAlignment="1" applyProtection="1">
      <alignment horizontal="center" vertical="top" wrapText="1"/>
    </xf>
    <xf numFmtId="0" fontId="121" fillId="0" borderId="12" xfId="3" applyFont="1" applyBorder="1" applyAlignment="1" applyProtection="1">
      <alignment vertical="top" wrapText="1"/>
    </xf>
    <xf numFmtId="0" fontId="121" fillId="0" borderId="1" xfId="3" applyFont="1" applyBorder="1" applyAlignment="1" applyProtection="1">
      <alignment vertical="top" wrapText="1"/>
    </xf>
    <xf numFmtId="0" fontId="56" fillId="0" borderId="0" xfId="0" applyFont="1" applyAlignment="1">
      <alignment horizontal="center" vertical="center"/>
    </xf>
    <xf numFmtId="164" fontId="55" fillId="0" borderId="1" xfId="1" applyFont="1" applyBorder="1" applyAlignment="1">
      <alignment horizontal="center" vertical="top" wrapText="1"/>
      <protection locked="0"/>
    </xf>
    <xf numFmtId="166" fontId="55" fillId="9" borderId="20" xfId="1" applyNumberFormat="1" applyFont="1" applyFill="1" applyBorder="1" applyAlignment="1">
      <alignment horizontal="center" vertical="top" wrapText="1"/>
      <protection locked="0"/>
    </xf>
    <xf numFmtId="166" fontId="55" fillId="9" borderId="21" xfId="1" applyNumberFormat="1" applyFont="1" applyFill="1" applyBorder="1" applyAlignment="1">
      <alignment horizontal="center" vertical="top" wrapText="1"/>
      <protection locked="0"/>
    </xf>
    <xf numFmtId="166" fontId="55" fillId="9" borderId="19" xfId="1" applyNumberFormat="1" applyFont="1" applyFill="1" applyBorder="1" applyAlignment="1">
      <alignment horizontal="center" vertical="top" wrapText="1"/>
      <protection locked="0"/>
    </xf>
    <xf numFmtId="166" fontId="55" fillId="0" borderId="1" xfId="1" applyNumberFormat="1" applyFont="1" applyBorder="1" applyAlignment="1">
      <alignment horizontal="center" vertical="top" wrapText="1"/>
      <protection locked="0"/>
    </xf>
  </cellXfs>
  <cellStyles count="17">
    <cellStyle name="Comma" xfId="1" builtinId="3"/>
    <cellStyle name="Comma 2" xfId="5" xr:uid="{00000000-0005-0000-0000-000005000000}"/>
    <cellStyle name="Comma 2 2 2" xfId="7" xr:uid="{00000000-0005-0000-0000-000007000000}"/>
    <cellStyle name="Comma 3" xfId="2" xr:uid="{00000000-0005-0000-0000-000002000000}"/>
    <cellStyle name="Comma 3 2" xfId="11" xr:uid="{00000000-0005-0000-0000-00000B000000}"/>
    <cellStyle name="Comma 4" xfId="14" xr:uid="{00000000-0005-0000-0000-00000E000000}"/>
    <cellStyle name="Comma 4 2" xfId="10" xr:uid="{00000000-0005-0000-0000-00000A000000}"/>
    <cellStyle name="Comma 4 2 2" xfId="16" xr:uid="{00000000-0005-0000-0000-000010000000}"/>
    <cellStyle name="Comma 5" xfId="4" xr:uid="{00000000-0005-0000-0000-000004000000}"/>
    <cellStyle name="Normal" xfId="0" builtinId="0"/>
    <cellStyle name="Normal 2" xfId="8" xr:uid="{00000000-0005-0000-0000-000008000000}"/>
    <cellStyle name="Normal 2 3" xfId="9" xr:uid="{00000000-0005-0000-0000-000009000000}"/>
    <cellStyle name="Normal 3" xfId="3" xr:uid="{00000000-0005-0000-0000-000003000000}"/>
    <cellStyle name="Normal 3 2" xfId="12" xr:uid="{00000000-0005-0000-0000-00000C000000}"/>
    <cellStyle name="Normal 4" xfId="6" xr:uid="{00000000-0005-0000-0000-000006000000}"/>
    <cellStyle name="Normal 5" xfId="13" xr:uid="{00000000-0005-0000-0000-00000D000000}"/>
    <cellStyle name="Percent" xfId="15" builtinId="5"/>
  </cellStyles>
  <dxfs count="3">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www.wps.cn/officeDocument/2020/cellImage" Target="NUL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customXml" Target="../ink/ink2.xml"/><Relationship Id="rId7" Type="http://schemas.openxmlformats.org/officeDocument/2006/relationships/customXml" Target="../ink/ink5.xml"/><Relationship Id="rId2" Type="http://schemas.openxmlformats.org/officeDocument/2006/relationships/image" Target="../media/image0.png"/><Relationship Id="rId1" Type="http://schemas.openxmlformats.org/officeDocument/2006/relationships/customXml" Target="../ink/ink1.xml"/><Relationship Id="rId6" Type="http://schemas.openxmlformats.org/officeDocument/2006/relationships/image" Target="../media/image1.png"/><Relationship Id="rId5" Type="http://schemas.openxmlformats.org/officeDocument/2006/relationships/customXml" Target="../ink/ink4.xml"/><Relationship Id="rId4" Type="http://schemas.openxmlformats.org/officeDocument/2006/relationships/customXml" Target="../ink/ink3.xml"/></Relationships>
</file>

<file path=xl/drawings/_rels/drawing2.xml.rels><?xml version="1.0" encoding="UTF-8" standalone="yes"?>
<Relationships xmlns="http://schemas.openxmlformats.org/package/2006/relationships"><Relationship Id="rId3" Type="http://schemas.openxmlformats.org/officeDocument/2006/relationships/customXml" Target="../ink/ink7.xml"/><Relationship Id="rId2" Type="http://schemas.openxmlformats.org/officeDocument/2006/relationships/image" Target="../media/image0.png"/><Relationship Id="rId1" Type="http://schemas.openxmlformats.org/officeDocument/2006/relationships/customXml" Target="../ink/ink6.xml"/><Relationship Id="rId6" Type="http://schemas.openxmlformats.org/officeDocument/2006/relationships/image" Target="../media/image1.png"/><Relationship Id="rId5" Type="http://schemas.openxmlformats.org/officeDocument/2006/relationships/customXml" Target="../ink/ink9.xml"/><Relationship Id="rId4" Type="http://schemas.openxmlformats.org/officeDocument/2006/relationships/customXml" Target="../ink/ink8.xml"/></Relationships>
</file>

<file path=xl/drawings/_rels/drawing3.xml.rels><?xml version="1.0" encoding="UTF-8" standalone="yes"?>
<Relationships xmlns="http://schemas.openxmlformats.org/package/2006/relationships"><Relationship Id="rId3" Type="http://schemas.openxmlformats.org/officeDocument/2006/relationships/customXml" Target="../ink/ink11.xml"/><Relationship Id="rId2" Type="http://schemas.openxmlformats.org/officeDocument/2006/relationships/image" Target="../media/image2.png"/><Relationship Id="rId1" Type="http://schemas.openxmlformats.org/officeDocument/2006/relationships/customXml" Target="../ink/ink10.xml"/></Relationships>
</file>

<file path=xl/drawings/_rels/drawing4.xml.rels><?xml version="1.0" encoding="UTF-8" standalone="yes"?>
<Relationships xmlns="http://schemas.openxmlformats.org/package/2006/relationships"><Relationship Id="rId3" Type="http://schemas.openxmlformats.org/officeDocument/2006/relationships/customXml" Target="../ink/ink13.xml"/><Relationship Id="rId2" Type="http://schemas.openxmlformats.org/officeDocument/2006/relationships/image" Target="../media/image1.png"/><Relationship Id="rId1" Type="http://schemas.openxmlformats.org/officeDocument/2006/relationships/customXml" Target="../ink/ink12.xml"/></Relationships>
</file>

<file path=xl/drawings/drawing1.xml><?xml version="1.0" encoding="utf-8"?>
<xdr:wsDr xmlns:xdr="http://schemas.openxmlformats.org/drawingml/2006/spreadsheetDrawing" xmlns:a="http://schemas.openxmlformats.org/drawingml/2006/main">
  <xdr:twoCellAnchor>
    <xdr:from>
      <xdr:col>3</xdr:col>
      <xdr:colOff>209492</xdr:colOff>
      <xdr:row>3397</xdr:row>
      <xdr:rowOff>0</xdr:rowOff>
    </xdr:from>
    <xdr:to>
      <xdr:col>3</xdr:col>
      <xdr:colOff>209492</xdr:colOff>
      <xdr:row>3397</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00000000-0008-0000-0100-000002000000}"/>
                </a:ext>
              </a:extLst>
            </xdr14:cNvPr>
            <xdr14:cNvContentPartPr/>
          </xdr14:nvContentPartPr>
          <xdr14:nvPr macro=""/>
          <xdr14:xfrm>
            <a:off x="1426680" y="4983724"/>
            <a:ext cx="360" cy="360"/>
          </xdr14:xfrm>
        </xdr:contentPart>
      </mc:Choice>
      <mc:Fallback xmlns="">
        <xdr:pic>
          <xdr:nvPicPr>
            <xdr:cNvPr id="2" name=" "/>
            <xdr:cNvPicPr/>
          </xdr:nvPicPr>
          <xdr:blipFill>
            <a:blip xmlns:r="http://schemas.openxmlformats.org/officeDocument/2006/relationships" r:embed="rId2"/>
            <a:stretch>
              <a:fillRect/>
            </a:stretch>
          </xdr:blipFill>
          <xdr:spPr>
            <a:xfrm>
              <a:off x="1426680" y="4983724"/>
              <a:ext cx="360" cy="360"/>
            </a:xfrm>
            <a:noFill/>
            <a:ln>
              <a:noFill/>
            </a:ln>
            <a:effectLst/>
          </xdr:spPr>
        </xdr:pic>
      </mc:Fallback>
    </mc:AlternateContent>
    <xdr:clientData/>
  </xdr:twoCellAnchor>
  <xdr:twoCellAnchor>
    <xdr:from>
      <xdr:col>3</xdr:col>
      <xdr:colOff>396738</xdr:colOff>
      <xdr:row>3257</xdr:row>
      <xdr:rowOff>0</xdr:rowOff>
    </xdr:from>
    <xdr:to>
      <xdr:col>3</xdr:col>
      <xdr:colOff>396738</xdr:colOff>
      <xdr:row>3257</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00000000-0008-0000-0100-000003000000}"/>
                </a:ext>
              </a:extLst>
            </xdr14:cNvPr>
            <xdr14:cNvContentPartPr/>
          </xdr14:nvContentPartPr>
          <xdr14:nvPr macro=""/>
          <xdr14:xfrm>
            <a:off x="1615320" y="6466736"/>
            <a:ext cx="360" cy="360"/>
          </xdr14:xfrm>
        </xdr:contentPart>
      </mc:Choice>
      <mc:Fallback xmlns="">
        <xdr:pic>
          <xdr:nvPicPr>
            <xdr:cNvPr id="3" name=" "/>
            <xdr:cNvPicPr/>
          </xdr:nvPicPr>
          <xdr:blipFill>
            <a:blip xmlns:r="http://schemas.openxmlformats.org/officeDocument/2006/relationships" r:embed="rId2"/>
            <a:stretch>
              <a:fillRect/>
            </a:stretch>
          </xdr:blipFill>
          <xdr:spPr>
            <a:xfrm>
              <a:off x="1615320" y="6466736"/>
              <a:ext cx="360" cy="360"/>
            </a:xfrm>
            <a:noFill/>
            <a:ln>
              <a:noFill/>
            </a:ln>
            <a:effectLst/>
          </xdr:spPr>
        </xdr:pic>
      </mc:Fallback>
    </mc:AlternateContent>
    <xdr:clientData/>
  </xdr:twoCellAnchor>
  <xdr:twoCellAnchor>
    <xdr:from>
      <xdr:col>3</xdr:col>
      <xdr:colOff>218762</xdr:colOff>
      <xdr:row>3242</xdr:row>
      <xdr:rowOff>0</xdr:rowOff>
    </xdr:from>
    <xdr:to>
      <xdr:col>3</xdr:col>
      <xdr:colOff>220616</xdr:colOff>
      <xdr:row>3242</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00000000-0008-0000-0100-000004000000}"/>
                </a:ext>
              </a:extLst>
            </xdr14:cNvPr>
            <xdr14:cNvContentPartPr/>
          </xdr14:nvContentPartPr>
          <xdr14:nvPr macro=""/>
          <xdr14:xfrm>
            <a:off x="1437840" y="6779404"/>
            <a:ext cx="360" cy="360"/>
          </xdr14:xfrm>
        </xdr:contentPart>
      </mc:Choice>
      <mc:Fallback xmlns="">
        <xdr:pic>
          <xdr:nvPicPr>
            <xdr:cNvPr id="4" name=" "/>
            <xdr:cNvPicPr/>
          </xdr:nvPicPr>
          <xdr:blipFill>
            <a:blip xmlns:r="http://schemas.openxmlformats.org/officeDocument/2006/relationships" r:embed="rId2"/>
            <a:stretch>
              <a:fillRect/>
            </a:stretch>
          </xdr:blipFill>
          <xdr:spPr>
            <a:xfrm>
              <a:off x="1437840" y="6779404"/>
              <a:ext cx="360" cy="360"/>
            </a:xfrm>
            <a:noFill/>
            <a:ln>
              <a:noFill/>
            </a:ln>
            <a:effectLst/>
          </xdr:spPr>
        </xdr:pic>
      </mc:Fallback>
    </mc:AlternateContent>
    <xdr:clientData/>
  </xdr:twoCellAnchor>
  <xdr:twoCellAnchor>
    <xdr:from>
      <xdr:col>8</xdr:col>
      <xdr:colOff>641746</xdr:colOff>
      <xdr:row>2799</xdr:row>
      <xdr:rowOff>0</xdr:rowOff>
    </xdr:from>
    <xdr:to>
      <xdr:col>8</xdr:col>
      <xdr:colOff>641746</xdr:colOff>
      <xdr:row>2799</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00000000-0008-0000-0100-000005000000}"/>
                </a:ext>
              </a:extLst>
            </xdr14:cNvPr>
            <xdr14:cNvContentPartPr/>
          </xdr14:nvContentPartPr>
          <xdr14:nvPr macro=""/>
          <xdr14:xfrm>
            <a:off x="9778680" y="20836200"/>
            <a:ext cx="360" cy="360"/>
          </xdr14:xfrm>
        </xdr:contentPart>
      </mc:Choice>
      <mc:Fallback xmlns="">
        <xdr:pic>
          <xdr:nvPicPr>
            <xdr:cNvPr id="5" name=" "/>
            <xdr:cNvPicPr/>
          </xdr:nvPicPr>
          <xdr:blipFill>
            <a:blip xmlns:r="http://schemas.openxmlformats.org/officeDocument/2006/relationships" r:embed="rId6"/>
            <a:stretch>
              <a:fillRect/>
            </a:stretch>
          </xdr:blipFill>
          <xdr:spPr>
            <a:xfrm>
              <a:off x="9778680" y="20836200"/>
              <a:ext cx="360" cy="360"/>
            </a:xfrm>
            <a:noFill/>
            <a:ln>
              <a:noFill/>
            </a:ln>
            <a:effectLst/>
          </xdr:spPr>
        </xdr:pic>
      </mc:Fallback>
    </mc:AlternateContent>
    <xdr:clientData/>
  </xdr:twoCellAnchor>
  <xdr:twoCellAnchor>
    <xdr:from>
      <xdr:col>11</xdr:col>
      <xdr:colOff>0</xdr:colOff>
      <xdr:row>189</xdr:row>
      <xdr:rowOff>0</xdr:rowOff>
    </xdr:from>
    <xdr:to>
      <xdr:col>11</xdr:col>
      <xdr:colOff>0</xdr:colOff>
      <xdr:row>189</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6" name="Ink 5">
              <a:extLst>
                <a:ext uri="{FF2B5EF4-FFF2-40B4-BE49-F238E27FC236}">
                  <a16:creationId xmlns:a16="http://schemas.microsoft.com/office/drawing/2014/main" id="{00000000-0008-0000-0100-000006000000}"/>
                </a:ext>
              </a:extLst>
            </xdr14:cNvPr>
            <xdr14:cNvContentPartPr/>
          </xdr14:nvContentPartPr>
          <xdr14:nvPr macro=""/>
          <xdr14:xfrm>
            <a:off x="12075480" y="25473480"/>
            <a:ext cx="360" cy="360"/>
          </xdr14:xfrm>
        </xdr:contentPart>
      </mc:Choice>
      <mc:Fallback xmlns="">
        <xdr:pic>
          <xdr:nvPicPr>
            <xdr:cNvPr id="6" name=" "/>
            <xdr:cNvPicPr/>
          </xdr:nvPicPr>
          <xdr:blipFill>
            <a:blip xmlns:r="http://schemas.openxmlformats.org/officeDocument/2006/relationships" r:embed="rId6"/>
            <a:stretch>
              <a:fillRect/>
            </a:stretch>
          </xdr:blipFill>
          <xdr:spPr>
            <a:xfrm>
              <a:off x="12075480" y="25473480"/>
              <a:ext cx="360" cy="360"/>
            </a:xfrm>
            <a:noFill/>
            <a:ln>
              <a:noFill/>
            </a:ln>
            <a:effectLst/>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208896</xdr:colOff>
      <xdr:row>3396</xdr:row>
      <xdr:rowOff>0</xdr:rowOff>
    </xdr:from>
    <xdr:to>
      <xdr:col>3</xdr:col>
      <xdr:colOff>208896</xdr:colOff>
      <xdr:row>3396</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00000000-0008-0000-0200-000002000000}"/>
                </a:ext>
              </a:extLst>
            </xdr14:cNvPr>
            <xdr14:cNvContentPartPr/>
          </xdr14:nvContentPartPr>
          <xdr14:nvPr macro=""/>
          <xdr14:xfrm>
            <a:off x="1426680" y="4983724"/>
            <a:ext cx="360" cy="360"/>
          </xdr14:xfrm>
        </xdr:contentPart>
      </mc:Choice>
      <mc:Fallback xmlns="">
        <xdr:pic>
          <xdr:nvPicPr>
            <xdr:cNvPr id="2" name=" "/>
            <xdr:cNvPicPr/>
          </xdr:nvPicPr>
          <xdr:blipFill>
            <a:blip xmlns:r="http://schemas.openxmlformats.org/officeDocument/2006/relationships" r:embed="rId2"/>
            <a:stretch>
              <a:fillRect/>
            </a:stretch>
          </xdr:blipFill>
          <xdr:spPr>
            <a:xfrm>
              <a:off x="1426680" y="4983724"/>
              <a:ext cx="360" cy="360"/>
            </a:xfrm>
            <a:noFill/>
            <a:ln>
              <a:noFill/>
            </a:ln>
            <a:effectLst/>
          </xdr:spPr>
        </xdr:pic>
      </mc:Fallback>
    </mc:AlternateContent>
    <xdr:clientData/>
  </xdr:twoCellAnchor>
  <xdr:twoCellAnchor>
    <xdr:from>
      <xdr:col>3</xdr:col>
      <xdr:colOff>397340</xdr:colOff>
      <xdr:row>3255</xdr:row>
      <xdr:rowOff>0</xdr:rowOff>
    </xdr:from>
    <xdr:to>
      <xdr:col>3</xdr:col>
      <xdr:colOff>397340</xdr:colOff>
      <xdr:row>3255</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00000000-0008-0000-0200-000003000000}"/>
                </a:ext>
              </a:extLst>
            </xdr14:cNvPr>
            <xdr14:cNvContentPartPr/>
          </xdr14:nvContentPartPr>
          <xdr14:nvPr macro=""/>
          <xdr14:xfrm>
            <a:off x="1615320" y="6466736"/>
            <a:ext cx="360" cy="360"/>
          </xdr14:xfrm>
        </xdr:contentPart>
      </mc:Choice>
      <mc:Fallback xmlns="">
        <xdr:pic>
          <xdr:nvPicPr>
            <xdr:cNvPr id="3" name=" "/>
            <xdr:cNvPicPr/>
          </xdr:nvPicPr>
          <xdr:blipFill>
            <a:blip xmlns:r="http://schemas.openxmlformats.org/officeDocument/2006/relationships" r:embed="rId2"/>
            <a:stretch>
              <a:fillRect/>
            </a:stretch>
          </xdr:blipFill>
          <xdr:spPr>
            <a:xfrm>
              <a:off x="1615320" y="6466736"/>
              <a:ext cx="360" cy="360"/>
            </a:xfrm>
            <a:noFill/>
            <a:ln>
              <a:noFill/>
            </a:ln>
            <a:effectLst/>
          </xdr:spPr>
        </xdr:pic>
      </mc:Fallback>
    </mc:AlternateContent>
    <xdr:clientData/>
  </xdr:twoCellAnchor>
  <xdr:twoCellAnchor>
    <xdr:from>
      <xdr:col>3</xdr:col>
      <xdr:colOff>219121</xdr:colOff>
      <xdr:row>3240</xdr:row>
      <xdr:rowOff>0</xdr:rowOff>
    </xdr:from>
    <xdr:to>
      <xdr:col>3</xdr:col>
      <xdr:colOff>220582</xdr:colOff>
      <xdr:row>3240</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00000000-0008-0000-0200-000004000000}"/>
                </a:ext>
              </a:extLst>
            </xdr14:cNvPr>
            <xdr14:cNvContentPartPr/>
          </xdr14:nvContentPartPr>
          <xdr14:nvPr macro=""/>
          <xdr14:xfrm>
            <a:off x="1437840" y="6779404"/>
            <a:ext cx="360" cy="360"/>
          </xdr14:xfrm>
        </xdr:contentPart>
      </mc:Choice>
      <mc:Fallback xmlns="">
        <xdr:pic>
          <xdr:nvPicPr>
            <xdr:cNvPr id="4" name=" "/>
            <xdr:cNvPicPr/>
          </xdr:nvPicPr>
          <xdr:blipFill>
            <a:blip xmlns:r="http://schemas.openxmlformats.org/officeDocument/2006/relationships" r:embed="rId2"/>
            <a:stretch>
              <a:fillRect/>
            </a:stretch>
          </xdr:blipFill>
          <xdr:spPr>
            <a:xfrm>
              <a:off x="1437840" y="6779404"/>
              <a:ext cx="360" cy="360"/>
            </a:xfrm>
            <a:noFill/>
            <a:ln>
              <a:noFill/>
            </a:ln>
            <a:effectLst/>
          </xdr:spPr>
        </xdr:pic>
      </mc:Fallback>
    </mc:AlternateContent>
    <xdr:clientData/>
  </xdr:twoCellAnchor>
  <xdr:twoCellAnchor>
    <xdr:from>
      <xdr:col>8</xdr:col>
      <xdr:colOff>641296</xdr:colOff>
      <xdr:row>2300</xdr:row>
      <xdr:rowOff>0</xdr:rowOff>
    </xdr:from>
    <xdr:to>
      <xdr:col>8</xdr:col>
      <xdr:colOff>641296</xdr:colOff>
      <xdr:row>2300</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00000000-0008-0000-0200-000005000000}"/>
                </a:ext>
              </a:extLst>
            </xdr14:cNvPr>
            <xdr14:cNvContentPartPr/>
          </xdr14:nvContentPartPr>
          <xdr14:nvPr macro=""/>
          <xdr14:xfrm>
            <a:off x="9778680" y="20836200"/>
            <a:ext cx="360" cy="360"/>
          </xdr14:xfrm>
        </xdr:contentPart>
      </mc:Choice>
      <mc:Fallback xmlns="">
        <xdr:pic>
          <xdr:nvPicPr>
            <xdr:cNvPr id="5" name=" "/>
            <xdr:cNvPicPr/>
          </xdr:nvPicPr>
          <xdr:blipFill>
            <a:blip xmlns:r="http://schemas.openxmlformats.org/officeDocument/2006/relationships" r:embed="rId6"/>
            <a:stretch>
              <a:fillRect/>
            </a:stretch>
          </xdr:blipFill>
          <xdr:spPr>
            <a:xfrm>
              <a:off x="9778680" y="20836200"/>
              <a:ext cx="360" cy="360"/>
            </a:xfrm>
            <a:noFill/>
            <a:ln>
              <a:noFill/>
            </a:ln>
            <a:effectLst/>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203437</xdr:colOff>
      <xdr:row>113</xdr:row>
      <xdr:rowOff>175021</xdr:rowOff>
    </xdr:from>
    <xdr:to>
      <xdr:col>0</xdr:col>
      <xdr:colOff>219583</xdr:colOff>
      <xdr:row>114</xdr:row>
      <xdr:rowOff>0</xdr:rowOff>
    </xdr:to>
    <xdr:sp macro="" textlink="">
      <xdr:nvSpPr>
        <xdr:cNvPr id="2" name="rect">
          <a:extLst>
            <a:ext uri="{FF2B5EF4-FFF2-40B4-BE49-F238E27FC236}">
              <a16:creationId xmlns:a16="http://schemas.microsoft.com/office/drawing/2014/main" id="{00000000-0008-0000-0600-000002000000}"/>
            </a:ext>
          </a:extLst>
        </xdr:cNvPr>
        <xdr:cNvSpPr/>
      </xdr:nvSpPr>
      <xdr:spPr>
        <a:xfrm>
          <a:off x="205740" y="233141520"/>
          <a:ext cx="15240" cy="15248"/>
        </a:xfrm>
        <a:prstGeom prst="rect">
          <a:avLst/>
        </a:prstGeom>
        <a:noFill/>
        <a:ln w="180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0</xdr:col>
      <xdr:colOff>213124</xdr:colOff>
      <xdr:row>113</xdr:row>
      <xdr:rowOff>175021</xdr:rowOff>
    </xdr:from>
    <xdr:to>
      <xdr:col>0</xdr:col>
      <xdr:colOff>226041</xdr:colOff>
      <xdr:row>114</xdr:row>
      <xdr:rowOff>0</xdr:rowOff>
    </xdr:to>
    <xdr:sp macro="" textlink="">
      <xdr:nvSpPr>
        <xdr:cNvPr id="3" name="rect">
          <a:extLst>
            <a:ext uri="{FF2B5EF4-FFF2-40B4-BE49-F238E27FC236}">
              <a16:creationId xmlns:a16="http://schemas.microsoft.com/office/drawing/2014/main" id="{00000000-0008-0000-0600-000003000000}"/>
            </a:ext>
          </a:extLst>
        </xdr:cNvPr>
        <xdr:cNvSpPr/>
      </xdr:nvSpPr>
      <xdr:spPr>
        <a:xfrm>
          <a:off x="213360" y="233141520"/>
          <a:ext cx="15240" cy="15248"/>
        </a:xfrm>
        <a:prstGeom prst="rect">
          <a:avLst/>
        </a:prstGeom>
        <a:noFill/>
        <a:ln w="180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0</xdr:col>
      <xdr:colOff>387499</xdr:colOff>
      <xdr:row>113</xdr:row>
      <xdr:rowOff>175021</xdr:rowOff>
    </xdr:from>
    <xdr:to>
      <xdr:col>0</xdr:col>
      <xdr:colOff>403645</xdr:colOff>
      <xdr:row>114</xdr:row>
      <xdr:rowOff>0</xdr:rowOff>
    </xdr:to>
    <xdr:sp macro="" textlink="">
      <xdr:nvSpPr>
        <xdr:cNvPr id="4" name="rect">
          <a:extLst>
            <a:ext uri="{FF2B5EF4-FFF2-40B4-BE49-F238E27FC236}">
              <a16:creationId xmlns:a16="http://schemas.microsoft.com/office/drawing/2014/main" id="{00000000-0008-0000-0600-000004000000}"/>
            </a:ext>
          </a:extLst>
        </xdr:cNvPr>
        <xdr:cNvSpPr/>
      </xdr:nvSpPr>
      <xdr:spPr>
        <a:xfrm>
          <a:off x="388620" y="233141520"/>
          <a:ext cx="15240" cy="15248"/>
        </a:xfrm>
        <a:prstGeom prst="rect">
          <a:avLst/>
        </a:prstGeom>
        <a:noFill/>
        <a:ln w="180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0</xdr:col>
      <xdr:colOff>106562</xdr:colOff>
      <xdr:row>113</xdr:row>
      <xdr:rowOff>175021</xdr:rowOff>
    </xdr:from>
    <xdr:to>
      <xdr:col>0</xdr:col>
      <xdr:colOff>119479</xdr:colOff>
      <xdr:row>114</xdr:row>
      <xdr:rowOff>0</xdr:rowOff>
    </xdr:to>
    <xdr:sp macro="" textlink="">
      <xdr:nvSpPr>
        <xdr:cNvPr id="5" name="rect">
          <a:extLst>
            <a:ext uri="{FF2B5EF4-FFF2-40B4-BE49-F238E27FC236}">
              <a16:creationId xmlns:a16="http://schemas.microsoft.com/office/drawing/2014/main" id="{00000000-0008-0000-0600-000005000000}"/>
            </a:ext>
          </a:extLst>
        </xdr:cNvPr>
        <xdr:cNvSpPr/>
      </xdr:nvSpPr>
      <xdr:spPr>
        <a:xfrm>
          <a:off x="106680" y="233141520"/>
          <a:ext cx="15240" cy="15248"/>
        </a:xfrm>
        <a:prstGeom prst="rect">
          <a:avLst/>
        </a:prstGeom>
        <a:noFill/>
        <a:ln w="180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0</xdr:col>
      <xdr:colOff>12916</xdr:colOff>
      <xdr:row>113</xdr:row>
      <xdr:rowOff>175021</xdr:rowOff>
    </xdr:from>
    <xdr:to>
      <xdr:col>0</xdr:col>
      <xdr:colOff>29062</xdr:colOff>
      <xdr:row>114</xdr:row>
      <xdr:rowOff>0</xdr:rowOff>
    </xdr:to>
    <xdr:sp macro="" textlink="">
      <xdr:nvSpPr>
        <xdr:cNvPr id="6" name="rect">
          <a:extLst>
            <a:ext uri="{FF2B5EF4-FFF2-40B4-BE49-F238E27FC236}">
              <a16:creationId xmlns:a16="http://schemas.microsoft.com/office/drawing/2014/main" id="{00000000-0008-0000-0600-000006000000}"/>
            </a:ext>
          </a:extLst>
        </xdr:cNvPr>
        <xdr:cNvSpPr/>
      </xdr:nvSpPr>
      <xdr:spPr>
        <a:xfrm>
          <a:off x="15240" y="233141520"/>
          <a:ext cx="15240" cy="15248"/>
        </a:xfrm>
        <a:prstGeom prst="rect">
          <a:avLst/>
        </a:prstGeom>
        <a:noFill/>
        <a:ln w="180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4</xdr:col>
      <xdr:colOff>494787</xdr:colOff>
      <xdr:row>95</xdr:row>
      <xdr:rowOff>175021</xdr:rowOff>
    </xdr:from>
    <xdr:to>
      <xdr:col>4</xdr:col>
      <xdr:colOff>510129</xdr:colOff>
      <xdr:row>96</xdr:row>
      <xdr:rowOff>0</xdr:rowOff>
    </xdr:to>
    <xdr:sp macro="" textlink="">
      <xdr:nvSpPr>
        <xdr:cNvPr id="7" name="rect">
          <a:extLst>
            <a:ext uri="{FF2B5EF4-FFF2-40B4-BE49-F238E27FC236}">
              <a16:creationId xmlns:a16="http://schemas.microsoft.com/office/drawing/2014/main" id="{00000000-0008-0000-0600-000007000000}"/>
            </a:ext>
          </a:extLst>
        </xdr:cNvPr>
        <xdr:cNvSpPr/>
      </xdr:nvSpPr>
      <xdr:spPr>
        <a:xfrm>
          <a:off x="29337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5</xdr:col>
      <xdr:colOff>494809</xdr:colOff>
      <xdr:row>95</xdr:row>
      <xdr:rowOff>175021</xdr:rowOff>
    </xdr:from>
    <xdr:to>
      <xdr:col>5</xdr:col>
      <xdr:colOff>508477</xdr:colOff>
      <xdr:row>96</xdr:row>
      <xdr:rowOff>0</xdr:rowOff>
    </xdr:to>
    <xdr:sp macro="" textlink="">
      <xdr:nvSpPr>
        <xdr:cNvPr id="8" name="rect">
          <a:extLst>
            <a:ext uri="{FF2B5EF4-FFF2-40B4-BE49-F238E27FC236}">
              <a16:creationId xmlns:a16="http://schemas.microsoft.com/office/drawing/2014/main" id="{00000000-0008-0000-0600-000008000000}"/>
            </a:ext>
          </a:extLst>
        </xdr:cNvPr>
        <xdr:cNvSpPr/>
      </xdr:nvSpPr>
      <xdr:spPr>
        <a:xfrm>
          <a:off x="35433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491818</xdr:colOff>
      <xdr:row>95</xdr:row>
      <xdr:rowOff>175021</xdr:rowOff>
    </xdr:from>
    <xdr:to>
      <xdr:col>7</xdr:col>
      <xdr:colOff>505111</xdr:colOff>
      <xdr:row>96</xdr:row>
      <xdr:rowOff>0</xdr:rowOff>
    </xdr:to>
    <xdr:sp macro="" textlink="">
      <xdr:nvSpPr>
        <xdr:cNvPr id="9" name="rect">
          <a:extLst>
            <a:ext uri="{FF2B5EF4-FFF2-40B4-BE49-F238E27FC236}">
              <a16:creationId xmlns:a16="http://schemas.microsoft.com/office/drawing/2014/main" id="{00000000-0008-0000-0600-000009000000}"/>
            </a:ext>
          </a:extLst>
        </xdr:cNvPr>
        <xdr:cNvSpPr/>
      </xdr:nvSpPr>
      <xdr:spPr>
        <a:xfrm>
          <a:off x="41529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480685</xdr:colOff>
      <xdr:row>95</xdr:row>
      <xdr:rowOff>175021</xdr:rowOff>
    </xdr:from>
    <xdr:to>
      <xdr:col>8</xdr:col>
      <xdr:colOff>498489</xdr:colOff>
      <xdr:row>96</xdr:row>
      <xdr:rowOff>0</xdr:rowOff>
    </xdr:to>
    <xdr:sp macro="" textlink="">
      <xdr:nvSpPr>
        <xdr:cNvPr id="10" name="rect">
          <a:extLst>
            <a:ext uri="{FF2B5EF4-FFF2-40B4-BE49-F238E27FC236}">
              <a16:creationId xmlns:a16="http://schemas.microsoft.com/office/drawing/2014/main" id="{00000000-0008-0000-0600-00000A000000}"/>
            </a:ext>
          </a:extLst>
        </xdr:cNvPr>
        <xdr:cNvSpPr/>
      </xdr:nvSpPr>
      <xdr:spPr>
        <a:xfrm>
          <a:off x="47625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495026</xdr:colOff>
      <xdr:row>95</xdr:row>
      <xdr:rowOff>175021</xdr:rowOff>
    </xdr:from>
    <xdr:to>
      <xdr:col>3</xdr:col>
      <xdr:colOff>508053</xdr:colOff>
      <xdr:row>96</xdr:row>
      <xdr:rowOff>0</xdr:rowOff>
    </xdr:to>
    <xdr:sp macro="" textlink="">
      <xdr:nvSpPr>
        <xdr:cNvPr id="11" name="rect">
          <a:extLst>
            <a:ext uri="{FF2B5EF4-FFF2-40B4-BE49-F238E27FC236}">
              <a16:creationId xmlns:a16="http://schemas.microsoft.com/office/drawing/2014/main" id="{00000000-0008-0000-0600-00000B000000}"/>
            </a:ext>
          </a:extLst>
        </xdr:cNvPr>
        <xdr:cNvSpPr/>
      </xdr:nvSpPr>
      <xdr:spPr>
        <a:xfrm>
          <a:off x="23241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19938</xdr:colOff>
      <xdr:row>113</xdr:row>
      <xdr:rowOff>175021</xdr:rowOff>
    </xdr:from>
    <xdr:to>
      <xdr:col>7</xdr:col>
      <xdr:colOff>33230</xdr:colOff>
      <xdr:row>114</xdr:row>
      <xdr:rowOff>0</xdr:rowOff>
    </xdr:to>
    <xdr:sp macro="" textlink="">
      <xdr:nvSpPr>
        <xdr:cNvPr id="12" name="rect">
          <a:extLst>
            <a:ext uri="{FF2B5EF4-FFF2-40B4-BE49-F238E27FC236}">
              <a16:creationId xmlns:a16="http://schemas.microsoft.com/office/drawing/2014/main" id="{00000000-0008-0000-0600-00000C000000}"/>
            </a:ext>
          </a:extLst>
        </xdr:cNvPr>
        <xdr:cNvSpPr/>
      </xdr:nvSpPr>
      <xdr:spPr>
        <a:xfrm>
          <a:off x="3680460" y="23314152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4</xdr:col>
      <xdr:colOff>494787</xdr:colOff>
      <xdr:row>95</xdr:row>
      <xdr:rowOff>175021</xdr:rowOff>
    </xdr:from>
    <xdr:to>
      <xdr:col>4</xdr:col>
      <xdr:colOff>510129</xdr:colOff>
      <xdr:row>96</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3" name="Ink 12">
              <a:extLst>
                <a:ext uri="{FF2B5EF4-FFF2-40B4-BE49-F238E27FC236}">
                  <a16:creationId xmlns:a16="http://schemas.microsoft.com/office/drawing/2014/main" id="{00000000-0008-0000-0600-00000D000000}"/>
                </a:ext>
              </a:extLst>
            </xdr14:cNvPr>
            <xdr14:cNvContentPartPr/>
          </xdr14:nvContentPartPr>
          <xdr14:nvPr macro=""/>
          <xdr14:xfrm>
            <a:off x="2933700" y="198516240"/>
            <a:ext cx="15240" cy="15248"/>
          </xdr14:xfrm>
        </xdr:contentPart>
      </mc:Choice>
      <mc:Fallback xmlns="">
        <xdr:pic>
          <xdr:nvPicPr>
            <xdr:cNvPr id="13" name=" "/>
            <xdr:cNvPicPr/>
          </xdr:nvPicPr>
          <xdr:blipFill>
            <a:blip xmlns:r="http://schemas.openxmlformats.org/officeDocument/2006/relationships" r:embed="rId2"/>
            <a:stretch>
              <a:fillRect/>
            </a:stretch>
          </xdr:blipFill>
          <xdr:spPr>
            <a:xfrm>
              <a:off x="2933700" y="198516240"/>
              <a:ext cx="15240" cy="15248"/>
            </a:xfrm>
            <a:noFill/>
            <a:ln>
              <a:noFill/>
            </a:ln>
            <a:effectLst/>
          </xdr:spPr>
        </xdr:pic>
      </mc:Fallback>
    </mc:AlternateContent>
    <xdr:clientData/>
  </xdr:twoCellAnchor>
  <xdr:twoCellAnchor>
    <xdr:from>
      <xdr:col>5</xdr:col>
      <xdr:colOff>494809</xdr:colOff>
      <xdr:row>95</xdr:row>
      <xdr:rowOff>175021</xdr:rowOff>
    </xdr:from>
    <xdr:to>
      <xdr:col>5</xdr:col>
      <xdr:colOff>508477</xdr:colOff>
      <xdr:row>96</xdr:row>
      <xdr:rowOff>0</xdr:rowOff>
    </xdr:to>
    <xdr:sp macro="" textlink="">
      <xdr:nvSpPr>
        <xdr:cNvPr id="14" name="rect">
          <a:extLst>
            <a:ext uri="{FF2B5EF4-FFF2-40B4-BE49-F238E27FC236}">
              <a16:creationId xmlns:a16="http://schemas.microsoft.com/office/drawing/2014/main" id="{00000000-0008-0000-0600-00000E000000}"/>
            </a:ext>
          </a:extLst>
        </xdr:cNvPr>
        <xdr:cNvSpPr/>
      </xdr:nvSpPr>
      <xdr:spPr>
        <a:xfrm>
          <a:off x="35433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491818</xdr:colOff>
      <xdr:row>95</xdr:row>
      <xdr:rowOff>175021</xdr:rowOff>
    </xdr:from>
    <xdr:to>
      <xdr:col>7</xdr:col>
      <xdr:colOff>505111</xdr:colOff>
      <xdr:row>96</xdr:row>
      <xdr:rowOff>0</xdr:rowOff>
    </xdr:to>
    <xdr:sp macro="" textlink="">
      <xdr:nvSpPr>
        <xdr:cNvPr id="15" name="rect">
          <a:extLst>
            <a:ext uri="{FF2B5EF4-FFF2-40B4-BE49-F238E27FC236}">
              <a16:creationId xmlns:a16="http://schemas.microsoft.com/office/drawing/2014/main" id="{00000000-0008-0000-0600-00000F000000}"/>
            </a:ext>
          </a:extLst>
        </xdr:cNvPr>
        <xdr:cNvSpPr/>
      </xdr:nvSpPr>
      <xdr:spPr>
        <a:xfrm>
          <a:off x="41529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491818</xdr:colOff>
      <xdr:row>95</xdr:row>
      <xdr:rowOff>175021</xdr:rowOff>
    </xdr:from>
    <xdr:to>
      <xdr:col>7</xdr:col>
      <xdr:colOff>505111</xdr:colOff>
      <xdr:row>96</xdr:row>
      <xdr:rowOff>0</xdr:rowOff>
    </xdr:to>
    <xdr:sp macro="" textlink="">
      <xdr:nvSpPr>
        <xdr:cNvPr id="16" name="rect">
          <a:extLst>
            <a:ext uri="{FF2B5EF4-FFF2-40B4-BE49-F238E27FC236}">
              <a16:creationId xmlns:a16="http://schemas.microsoft.com/office/drawing/2014/main" id="{00000000-0008-0000-0600-000010000000}"/>
            </a:ext>
          </a:extLst>
        </xdr:cNvPr>
        <xdr:cNvSpPr/>
      </xdr:nvSpPr>
      <xdr:spPr>
        <a:xfrm>
          <a:off x="41529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480685</xdr:colOff>
      <xdr:row>95</xdr:row>
      <xdr:rowOff>175021</xdr:rowOff>
    </xdr:from>
    <xdr:to>
      <xdr:col>8</xdr:col>
      <xdr:colOff>498489</xdr:colOff>
      <xdr:row>96</xdr:row>
      <xdr:rowOff>0</xdr:rowOff>
    </xdr:to>
    <xdr:sp macro="" textlink="">
      <xdr:nvSpPr>
        <xdr:cNvPr id="17" name="rect">
          <a:extLst>
            <a:ext uri="{FF2B5EF4-FFF2-40B4-BE49-F238E27FC236}">
              <a16:creationId xmlns:a16="http://schemas.microsoft.com/office/drawing/2014/main" id="{00000000-0008-0000-0600-000011000000}"/>
            </a:ext>
          </a:extLst>
        </xdr:cNvPr>
        <xdr:cNvSpPr/>
      </xdr:nvSpPr>
      <xdr:spPr>
        <a:xfrm>
          <a:off x="47625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8" name="Ink 17">
              <a:extLst>
                <a:ext uri="{FF2B5EF4-FFF2-40B4-BE49-F238E27FC236}">
                  <a16:creationId xmlns:a16="http://schemas.microsoft.com/office/drawing/2014/main" id="{00000000-0008-0000-0600-000012000000}"/>
                </a:ext>
              </a:extLst>
            </xdr14:cNvPr>
            <xdr14:cNvContentPartPr/>
          </xdr14:nvContentPartPr>
          <xdr14:nvPr macro=""/>
          <xdr14:xfrm>
            <a:off x="4259580" y="198516240"/>
            <a:ext cx="15240" cy="15248"/>
          </xdr14:xfrm>
        </xdr:contentPart>
      </mc:Choice>
      <mc:Fallback xmlns="">
        <xdr:pic>
          <xdr:nvPicPr>
            <xdr:cNvPr id="18" name=" "/>
            <xdr:cNvPicPr/>
          </xdr:nvPicPr>
          <xdr:blipFill>
            <a:blip xmlns:r="http://schemas.openxmlformats.org/officeDocument/2006/relationships" r:embed="rId2"/>
            <a:stretch>
              <a:fillRect/>
            </a:stretch>
          </xdr:blipFill>
          <xdr:spPr>
            <a:xfrm>
              <a:off x="4259580" y="198516240"/>
              <a:ext cx="15240" cy="15248"/>
            </a:xfrm>
            <a:noFill/>
            <a:ln>
              <a:noFill/>
            </a:ln>
            <a:effectLst/>
          </xdr:spPr>
        </xdr:pic>
      </mc:Fallback>
    </mc:AlternateContent>
    <xdr:clientData/>
  </xdr:twoCellAnchor>
  <xdr:twoCellAnchor>
    <xdr:from>
      <xdr:col>7</xdr:col>
      <xdr:colOff>598157</xdr:colOff>
      <xdr:row>95</xdr:row>
      <xdr:rowOff>175021</xdr:rowOff>
    </xdr:from>
    <xdr:to>
      <xdr:col>8</xdr:col>
      <xdr:colOff>0</xdr:colOff>
      <xdr:row>96</xdr:row>
      <xdr:rowOff>0</xdr:rowOff>
    </xdr:to>
    <xdr:sp macro="" textlink="">
      <xdr:nvSpPr>
        <xdr:cNvPr id="19" name="rect">
          <a:extLst>
            <a:ext uri="{FF2B5EF4-FFF2-40B4-BE49-F238E27FC236}">
              <a16:creationId xmlns:a16="http://schemas.microsoft.com/office/drawing/2014/main" id="{00000000-0008-0000-0600-000013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480685</xdr:colOff>
      <xdr:row>95</xdr:row>
      <xdr:rowOff>175021</xdr:rowOff>
    </xdr:from>
    <xdr:to>
      <xdr:col>8</xdr:col>
      <xdr:colOff>498489</xdr:colOff>
      <xdr:row>96</xdr:row>
      <xdr:rowOff>0</xdr:rowOff>
    </xdr:to>
    <xdr:sp macro="" textlink="">
      <xdr:nvSpPr>
        <xdr:cNvPr id="20" name="rect">
          <a:extLst>
            <a:ext uri="{FF2B5EF4-FFF2-40B4-BE49-F238E27FC236}">
              <a16:creationId xmlns:a16="http://schemas.microsoft.com/office/drawing/2014/main" id="{00000000-0008-0000-0600-000014000000}"/>
            </a:ext>
          </a:extLst>
        </xdr:cNvPr>
        <xdr:cNvSpPr/>
      </xdr:nvSpPr>
      <xdr:spPr>
        <a:xfrm>
          <a:off x="47625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21" name="rect">
          <a:extLst>
            <a:ext uri="{FF2B5EF4-FFF2-40B4-BE49-F238E27FC236}">
              <a16:creationId xmlns:a16="http://schemas.microsoft.com/office/drawing/2014/main" id="{00000000-0008-0000-0600-000015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22" name="rect">
          <a:extLst>
            <a:ext uri="{FF2B5EF4-FFF2-40B4-BE49-F238E27FC236}">
              <a16:creationId xmlns:a16="http://schemas.microsoft.com/office/drawing/2014/main" id="{00000000-0008-0000-0600-000016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4</xdr:col>
      <xdr:colOff>494787</xdr:colOff>
      <xdr:row>95</xdr:row>
      <xdr:rowOff>175021</xdr:rowOff>
    </xdr:from>
    <xdr:to>
      <xdr:col>4</xdr:col>
      <xdr:colOff>510129</xdr:colOff>
      <xdr:row>96</xdr:row>
      <xdr:rowOff>0</xdr:rowOff>
    </xdr:to>
    <xdr:sp macro="" textlink="">
      <xdr:nvSpPr>
        <xdr:cNvPr id="23" name="rect">
          <a:extLst>
            <a:ext uri="{FF2B5EF4-FFF2-40B4-BE49-F238E27FC236}">
              <a16:creationId xmlns:a16="http://schemas.microsoft.com/office/drawing/2014/main" id="{00000000-0008-0000-0600-000017000000}"/>
            </a:ext>
          </a:extLst>
        </xdr:cNvPr>
        <xdr:cNvSpPr/>
      </xdr:nvSpPr>
      <xdr:spPr>
        <a:xfrm>
          <a:off x="29337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5</xdr:col>
      <xdr:colOff>494809</xdr:colOff>
      <xdr:row>95</xdr:row>
      <xdr:rowOff>175021</xdr:rowOff>
    </xdr:from>
    <xdr:to>
      <xdr:col>5</xdr:col>
      <xdr:colOff>508477</xdr:colOff>
      <xdr:row>96</xdr:row>
      <xdr:rowOff>0</xdr:rowOff>
    </xdr:to>
    <xdr:sp macro="" textlink="">
      <xdr:nvSpPr>
        <xdr:cNvPr id="24" name="rect">
          <a:extLst>
            <a:ext uri="{FF2B5EF4-FFF2-40B4-BE49-F238E27FC236}">
              <a16:creationId xmlns:a16="http://schemas.microsoft.com/office/drawing/2014/main" id="{00000000-0008-0000-0600-000018000000}"/>
            </a:ext>
          </a:extLst>
        </xdr:cNvPr>
        <xdr:cNvSpPr/>
      </xdr:nvSpPr>
      <xdr:spPr>
        <a:xfrm>
          <a:off x="35433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491818</xdr:colOff>
      <xdr:row>95</xdr:row>
      <xdr:rowOff>175021</xdr:rowOff>
    </xdr:from>
    <xdr:to>
      <xdr:col>7</xdr:col>
      <xdr:colOff>505111</xdr:colOff>
      <xdr:row>96</xdr:row>
      <xdr:rowOff>0</xdr:rowOff>
    </xdr:to>
    <xdr:sp macro="" textlink="">
      <xdr:nvSpPr>
        <xdr:cNvPr id="25" name="rect">
          <a:extLst>
            <a:ext uri="{FF2B5EF4-FFF2-40B4-BE49-F238E27FC236}">
              <a16:creationId xmlns:a16="http://schemas.microsoft.com/office/drawing/2014/main" id="{00000000-0008-0000-0600-000019000000}"/>
            </a:ext>
          </a:extLst>
        </xdr:cNvPr>
        <xdr:cNvSpPr/>
      </xdr:nvSpPr>
      <xdr:spPr>
        <a:xfrm>
          <a:off x="41529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480685</xdr:colOff>
      <xdr:row>95</xdr:row>
      <xdr:rowOff>175021</xdr:rowOff>
    </xdr:from>
    <xdr:to>
      <xdr:col>8</xdr:col>
      <xdr:colOff>498489</xdr:colOff>
      <xdr:row>96</xdr:row>
      <xdr:rowOff>0</xdr:rowOff>
    </xdr:to>
    <xdr:sp macro="" textlink="">
      <xdr:nvSpPr>
        <xdr:cNvPr id="26" name="rect">
          <a:extLst>
            <a:ext uri="{FF2B5EF4-FFF2-40B4-BE49-F238E27FC236}">
              <a16:creationId xmlns:a16="http://schemas.microsoft.com/office/drawing/2014/main" id="{00000000-0008-0000-0600-00001A000000}"/>
            </a:ext>
          </a:extLst>
        </xdr:cNvPr>
        <xdr:cNvSpPr/>
      </xdr:nvSpPr>
      <xdr:spPr>
        <a:xfrm>
          <a:off x="47625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480685</xdr:colOff>
      <xdr:row>95</xdr:row>
      <xdr:rowOff>175021</xdr:rowOff>
    </xdr:from>
    <xdr:to>
      <xdr:col>8</xdr:col>
      <xdr:colOff>498489</xdr:colOff>
      <xdr:row>96</xdr:row>
      <xdr:rowOff>0</xdr:rowOff>
    </xdr:to>
    <xdr:sp macro="" textlink="">
      <xdr:nvSpPr>
        <xdr:cNvPr id="27" name="rect">
          <a:extLst>
            <a:ext uri="{FF2B5EF4-FFF2-40B4-BE49-F238E27FC236}">
              <a16:creationId xmlns:a16="http://schemas.microsoft.com/office/drawing/2014/main" id="{00000000-0008-0000-0600-00001B000000}"/>
            </a:ext>
          </a:extLst>
        </xdr:cNvPr>
        <xdr:cNvSpPr/>
      </xdr:nvSpPr>
      <xdr:spPr>
        <a:xfrm>
          <a:off x="47625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28" name="rect">
          <a:extLst>
            <a:ext uri="{FF2B5EF4-FFF2-40B4-BE49-F238E27FC236}">
              <a16:creationId xmlns:a16="http://schemas.microsoft.com/office/drawing/2014/main" id="{00000000-0008-0000-0600-00001C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29" name="rect">
          <a:extLst>
            <a:ext uri="{FF2B5EF4-FFF2-40B4-BE49-F238E27FC236}">
              <a16:creationId xmlns:a16="http://schemas.microsoft.com/office/drawing/2014/main" id="{00000000-0008-0000-0600-00001D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30" name="rect">
          <a:extLst>
            <a:ext uri="{FF2B5EF4-FFF2-40B4-BE49-F238E27FC236}">
              <a16:creationId xmlns:a16="http://schemas.microsoft.com/office/drawing/2014/main" id="{00000000-0008-0000-0600-00001E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31" name="rect">
          <a:extLst>
            <a:ext uri="{FF2B5EF4-FFF2-40B4-BE49-F238E27FC236}">
              <a16:creationId xmlns:a16="http://schemas.microsoft.com/office/drawing/2014/main" id="{00000000-0008-0000-0600-00001F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5</xdr:col>
      <xdr:colOff>494809</xdr:colOff>
      <xdr:row>95</xdr:row>
      <xdr:rowOff>175021</xdr:rowOff>
    </xdr:from>
    <xdr:to>
      <xdr:col>5</xdr:col>
      <xdr:colOff>508477</xdr:colOff>
      <xdr:row>96</xdr:row>
      <xdr:rowOff>0</xdr:rowOff>
    </xdr:to>
    <xdr:sp macro="" textlink="">
      <xdr:nvSpPr>
        <xdr:cNvPr id="32" name="rect">
          <a:extLst>
            <a:ext uri="{FF2B5EF4-FFF2-40B4-BE49-F238E27FC236}">
              <a16:creationId xmlns:a16="http://schemas.microsoft.com/office/drawing/2014/main" id="{00000000-0008-0000-0600-000020000000}"/>
            </a:ext>
          </a:extLst>
        </xdr:cNvPr>
        <xdr:cNvSpPr/>
      </xdr:nvSpPr>
      <xdr:spPr>
        <a:xfrm>
          <a:off x="35433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491818</xdr:colOff>
      <xdr:row>95</xdr:row>
      <xdr:rowOff>175021</xdr:rowOff>
    </xdr:from>
    <xdr:to>
      <xdr:col>7</xdr:col>
      <xdr:colOff>505111</xdr:colOff>
      <xdr:row>96</xdr:row>
      <xdr:rowOff>0</xdr:rowOff>
    </xdr:to>
    <xdr:sp macro="" textlink="">
      <xdr:nvSpPr>
        <xdr:cNvPr id="33" name="rect">
          <a:extLst>
            <a:ext uri="{FF2B5EF4-FFF2-40B4-BE49-F238E27FC236}">
              <a16:creationId xmlns:a16="http://schemas.microsoft.com/office/drawing/2014/main" id="{00000000-0008-0000-0600-000021000000}"/>
            </a:ext>
          </a:extLst>
        </xdr:cNvPr>
        <xdr:cNvSpPr/>
      </xdr:nvSpPr>
      <xdr:spPr>
        <a:xfrm>
          <a:off x="41529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480685</xdr:colOff>
      <xdr:row>95</xdr:row>
      <xdr:rowOff>175021</xdr:rowOff>
    </xdr:from>
    <xdr:to>
      <xdr:col>8</xdr:col>
      <xdr:colOff>498489</xdr:colOff>
      <xdr:row>96</xdr:row>
      <xdr:rowOff>0</xdr:rowOff>
    </xdr:to>
    <xdr:sp macro="" textlink="">
      <xdr:nvSpPr>
        <xdr:cNvPr id="34" name="rect">
          <a:extLst>
            <a:ext uri="{FF2B5EF4-FFF2-40B4-BE49-F238E27FC236}">
              <a16:creationId xmlns:a16="http://schemas.microsoft.com/office/drawing/2014/main" id="{00000000-0008-0000-0600-000022000000}"/>
            </a:ext>
          </a:extLst>
        </xdr:cNvPr>
        <xdr:cNvSpPr/>
      </xdr:nvSpPr>
      <xdr:spPr>
        <a:xfrm>
          <a:off x="47625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35" name="rect">
          <a:extLst>
            <a:ext uri="{FF2B5EF4-FFF2-40B4-BE49-F238E27FC236}">
              <a16:creationId xmlns:a16="http://schemas.microsoft.com/office/drawing/2014/main" id="{00000000-0008-0000-0600-000023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36" name="rect">
          <a:extLst>
            <a:ext uri="{FF2B5EF4-FFF2-40B4-BE49-F238E27FC236}">
              <a16:creationId xmlns:a16="http://schemas.microsoft.com/office/drawing/2014/main" id="{00000000-0008-0000-0600-000024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37" name="rect">
          <a:extLst>
            <a:ext uri="{FF2B5EF4-FFF2-40B4-BE49-F238E27FC236}">
              <a16:creationId xmlns:a16="http://schemas.microsoft.com/office/drawing/2014/main" id="{00000000-0008-0000-0600-000025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38" name="rect">
          <a:extLst>
            <a:ext uri="{FF2B5EF4-FFF2-40B4-BE49-F238E27FC236}">
              <a16:creationId xmlns:a16="http://schemas.microsoft.com/office/drawing/2014/main" id="{00000000-0008-0000-0600-000026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491818</xdr:colOff>
      <xdr:row>95</xdr:row>
      <xdr:rowOff>175021</xdr:rowOff>
    </xdr:from>
    <xdr:to>
      <xdr:col>7</xdr:col>
      <xdr:colOff>505111</xdr:colOff>
      <xdr:row>96</xdr:row>
      <xdr:rowOff>0</xdr:rowOff>
    </xdr:to>
    <xdr:sp macro="" textlink="">
      <xdr:nvSpPr>
        <xdr:cNvPr id="39" name="rect">
          <a:extLst>
            <a:ext uri="{FF2B5EF4-FFF2-40B4-BE49-F238E27FC236}">
              <a16:creationId xmlns:a16="http://schemas.microsoft.com/office/drawing/2014/main" id="{00000000-0008-0000-0600-000027000000}"/>
            </a:ext>
          </a:extLst>
        </xdr:cNvPr>
        <xdr:cNvSpPr/>
      </xdr:nvSpPr>
      <xdr:spPr>
        <a:xfrm>
          <a:off x="41529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480685</xdr:colOff>
      <xdr:row>95</xdr:row>
      <xdr:rowOff>175021</xdr:rowOff>
    </xdr:from>
    <xdr:to>
      <xdr:col>8</xdr:col>
      <xdr:colOff>498489</xdr:colOff>
      <xdr:row>96</xdr:row>
      <xdr:rowOff>0</xdr:rowOff>
    </xdr:to>
    <xdr:sp macro="" textlink="">
      <xdr:nvSpPr>
        <xdr:cNvPr id="40" name="rect">
          <a:extLst>
            <a:ext uri="{FF2B5EF4-FFF2-40B4-BE49-F238E27FC236}">
              <a16:creationId xmlns:a16="http://schemas.microsoft.com/office/drawing/2014/main" id="{00000000-0008-0000-0600-000028000000}"/>
            </a:ext>
          </a:extLst>
        </xdr:cNvPr>
        <xdr:cNvSpPr/>
      </xdr:nvSpPr>
      <xdr:spPr>
        <a:xfrm>
          <a:off x="47625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41" name="rect">
          <a:extLst>
            <a:ext uri="{FF2B5EF4-FFF2-40B4-BE49-F238E27FC236}">
              <a16:creationId xmlns:a16="http://schemas.microsoft.com/office/drawing/2014/main" id="{00000000-0008-0000-0600-000029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42" name="rect">
          <a:extLst>
            <a:ext uri="{FF2B5EF4-FFF2-40B4-BE49-F238E27FC236}">
              <a16:creationId xmlns:a16="http://schemas.microsoft.com/office/drawing/2014/main" id="{00000000-0008-0000-0600-00002A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43" name="rect">
          <a:extLst>
            <a:ext uri="{FF2B5EF4-FFF2-40B4-BE49-F238E27FC236}">
              <a16:creationId xmlns:a16="http://schemas.microsoft.com/office/drawing/2014/main" id="{00000000-0008-0000-0600-00002B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491818</xdr:colOff>
      <xdr:row>95</xdr:row>
      <xdr:rowOff>175021</xdr:rowOff>
    </xdr:from>
    <xdr:to>
      <xdr:col>7</xdr:col>
      <xdr:colOff>505111</xdr:colOff>
      <xdr:row>96</xdr:row>
      <xdr:rowOff>0</xdr:rowOff>
    </xdr:to>
    <xdr:sp macro="" textlink="">
      <xdr:nvSpPr>
        <xdr:cNvPr id="44" name="rect">
          <a:extLst>
            <a:ext uri="{FF2B5EF4-FFF2-40B4-BE49-F238E27FC236}">
              <a16:creationId xmlns:a16="http://schemas.microsoft.com/office/drawing/2014/main" id="{00000000-0008-0000-0600-00002C000000}"/>
            </a:ext>
          </a:extLst>
        </xdr:cNvPr>
        <xdr:cNvSpPr/>
      </xdr:nvSpPr>
      <xdr:spPr>
        <a:xfrm>
          <a:off x="41529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480685</xdr:colOff>
      <xdr:row>95</xdr:row>
      <xdr:rowOff>175021</xdr:rowOff>
    </xdr:from>
    <xdr:to>
      <xdr:col>8</xdr:col>
      <xdr:colOff>498489</xdr:colOff>
      <xdr:row>96</xdr:row>
      <xdr:rowOff>0</xdr:rowOff>
    </xdr:to>
    <xdr:sp macro="" textlink="">
      <xdr:nvSpPr>
        <xdr:cNvPr id="45" name="rect">
          <a:extLst>
            <a:ext uri="{FF2B5EF4-FFF2-40B4-BE49-F238E27FC236}">
              <a16:creationId xmlns:a16="http://schemas.microsoft.com/office/drawing/2014/main" id="{00000000-0008-0000-0600-00002D000000}"/>
            </a:ext>
          </a:extLst>
        </xdr:cNvPr>
        <xdr:cNvSpPr/>
      </xdr:nvSpPr>
      <xdr:spPr>
        <a:xfrm>
          <a:off x="47625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46" name="rect">
          <a:extLst>
            <a:ext uri="{FF2B5EF4-FFF2-40B4-BE49-F238E27FC236}">
              <a16:creationId xmlns:a16="http://schemas.microsoft.com/office/drawing/2014/main" id="{00000000-0008-0000-0600-00002E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47" name="rect">
          <a:extLst>
            <a:ext uri="{FF2B5EF4-FFF2-40B4-BE49-F238E27FC236}">
              <a16:creationId xmlns:a16="http://schemas.microsoft.com/office/drawing/2014/main" id="{00000000-0008-0000-0600-00002F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48" name="rect">
          <a:extLst>
            <a:ext uri="{FF2B5EF4-FFF2-40B4-BE49-F238E27FC236}">
              <a16:creationId xmlns:a16="http://schemas.microsoft.com/office/drawing/2014/main" id="{00000000-0008-0000-0600-000030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480685</xdr:colOff>
      <xdr:row>95</xdr:row>
      <xdr:rowOff>175021</xdr:rowOff>
    </xdr:from>
    <xdr:to>
      <xdr:col>8</xdr:col>
      <xdr:colOff>498489</xdr:colOff>
      <xdr:row>96</xdr:row>
      <xdr:rowOff>0</xdr:rowOff>
    </xdr:to>
    <xdr:sp macro="" textlink="">
      <xdr:nvSpPr>
        <xdr:cNvPr id="49" name="rect">
          <a:extLst>
            <a:ext uri="{FF2B5EF4-FFF2-40B4-BE49-F238E27FC236}">
              <a16:creationId xmlns:a16="http://schemas.microsoft.com/office/drawing/2014/main" id="{00000000-0008-0000-0600-000031000000}"/>
            </a:ext>
          </a:extLst>
        </xdr:cNvPr>
        <xdr:cNvSpPr/>
      </xdr:nvSpPr>
      <xdr:spPr>
        <a:xfrm>
          <a:off x="47625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50" name="rect">
          <a:extLst>
            <a:ext uri="{FF2B5EF4-FFF2-40B4-BE49-F238E27FC236}">
              <a16:creationId xmlns:a16="http://schemas.microsoft.com/office/drawing/2014/main" id="{00000000-0008-0000-0600-000032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51" name="rect">
          <a:extLst>
            <a:ext uri="{FF2B5EF4-FFF2-40B4-BE49-F238E27FC236}">
              <a16:creationId xmlns:a16="http://schemas.microsoft.com/office/drawing/2014/main" id="{00000000-0008-0000-0600-000033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52" name="rect">
          <a:extLst>
            <a:ext uri="{FF2B5EF4-FFF2-40B4-BE49-F238E27FC236}">
              <a16:creationId xmlns:a16="http://schemas.microsoft.com/office/drawing/2014/main" id="{00000000-0008-0000-0600-000034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53" name="rect">
          <a:extLst>
            <a:ext uri="{FF2B5EF4-FFF2-40B4-BE49-F238E27FC236}">
              <a16:creationId xmlns:a16="http://schemas.microsoft.com/office/drawing/2014/main" id="{00000000-0008-0000-0600-000035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54" name="rect">
          <a:extLst>
            <a:ext uri="{FF2B5EF4-FFF2-40B4-BE49-F238E27FC236}">
              <a16:creationId xmlns:a16="http://schemas.microsoft.com/office/drawing/2014/main" id="{00000000-0008-0000-0600-000036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480685</xdr:colOff>
      <xdr:row>95</xdr:row>
      <xdr:rowOff>175021</xdr:rowOff>
    </xdr:from>
    <xdr:to>
      <xdr:col>8</xdr:col>
      <xdr:colOff>498489</xdr:colOff>
      <xdr:row>96</xdr:row>
      <xdr:rowOff>0</xdr:rowOff>
    </xdr:to>
    <xdr:sp macro="" textlink="">
      <xdr:nvSpPr>
        <xdr:cNvPr id="55" name="rect">
          <a:extLst>
            <a:ext uri="{FF2B5EF4-FFF2-40B4-BE49-F238E27FC236}">
              <a16:creationId xmlns:a16="http://schemas.microsoft.com/office/drawing/2014/main" id="{00000000-0008-0000-0600-000037000000}"/>
            </a:ext>
          </a:extLst>
        </xdr:cNvPr>
        <xdr:cNvSpPr/>
      </xdr:nvSpPr>
      <xdr:spPr>
        <a:xfrm>
          <a:off x="47625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56" name="rect">
          <a:extLst>
            <a:ext uri="{FF2B5EF4-FFF2-40B4-BE49-F238E27FC236}">
              <a16:creationId xmlns:a16="http://schemas.microsoft.com/office/drawing/2014/main" id="{00000000-0008-0000-0600-000038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57" name="rect">
          <a:extLst>
            <a:ext uri="{FF2B5EF4-FFF2-40B4-BE49-F238E27FC236}">
              <a16:creationId xmlns:a16="http://schemas.microsoft.com/office/drawing/2014/main" id="{00000000-0008-0000-0600-000039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58" name="rect">
          <a:extLst>
            <a:ext uri="{FF2B5EF4-FFF2-40B4-BE49-F238E27FC236}">
              <a16:creationId xmlns:a16="http://schemas.microsoft.com/office/drawing/2014/main" id="{00000000-0008-0000-0600-00003A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59" name="rect">
          <a:extLst>
            <a:ext uri="{FF2B5EF4-FFF2-40B4-BE49-F238E27FC236}">
              <a16:creationId xmlns:a16="http://schemas.microsoft.com/office/drawing/2014/main" id="{00000000-0008-0000-0600-00003B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60" name="rect">
          <a:extLst>
            <a:ext uri="{FF2B5EF4-FFF2-40B4-BE49-F238E27FC236}">
              <a16:creationId xmlns:a16="http://schemas.microsoft.com/office/drawing/2014/main" id="{00000000-0008-0000-0600-00003C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480685</xdr:colOff>
      <xdr:row>95</xdr:row>
      <xdr:rowOff>175021</xdr:rowOff>
    </xdr:from>
    <xdr:to>
      <xdr:col>8</xdr:col>
      <xdr:colOff>498489</xdr:colOff>
      <xdr:row>96</xdr:row>
      <xdr:rowOff>0</xdr:rowOff>
    </xdr:to>
    <xdr:sp macro="" textlink="">
      <xdr:nvSpPr>
        <xdr:cNvPr id="61" name="rect">
          <a:extLst>
            <a:ext uri="{FF2B5EF4-FFF2-40B4-BE49-F238E27FC236}">
              <a16:creationId xmlns:a16="http://schemas.microsoft.com/office/drawing/2014/main" id="{00000000-0008-0000-0600-00003D000000}"/>
            </a:ext>
          </a:extLst>
        </xdr:cNvPr>
        <xdr:cNvSpPr/>
      </xdr:nvSpPr>
      <xdr:spPr>
        <a:xfrm>
          <a:off x="47625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62" name="rect">
          <a:extLst>
            <a:ext uri="{FF2B5EF4-FFF2-40B4-BE49-F238E27FC236}">
              <a16:creationId xmlns:a16="http://schemas.microsoft.com/office/drawing/2014/main" id="{00000000-0008-0000-0600-00003E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63" name="rect">
          <a:extLst>
            <a:ext uri="{FF2B5EF4-FFF2-40B4-BE49-F238E27FC236}">
              <a16:creationId xmlns:a16="http://schemas.microsoft.com/office/drawing/2014/main" id="{00000000-0008-0000-0600-00003F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64" name="rect">
          <a:extLst>
            <a:ext uri="{FF2B5EF4-FFF2-40B4-BE49-F238E27FC236}">
              <a16:creationId xmlns:a16="http://schemas.microsoft.com/office/drawing/2014/main" id="{00000000-0008-0000-0600-000040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65" name="rect">
          <a:extLst>
            <a:ext uri="{FF2B5EF4-FFF2-40B4-BE49-F238E27FC236}">
              <a16:creationId xmlns:a16="http://schemas.microsoft.com/office/drawing/2014/main" id="{00000000-0008-0000-0600-000041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5</xdr:col>
      <xdr:colOff>494809</xdr:colOff>
      <xdr:row>95</xdr:row>
      <xdr:rowOff>175021</xdr:rowOff>
    </xdr:from>
    <xdr:to>
      <xdr:col>5</xdr:col>
      <xdr:colOff>508477</xdr:colOff>
      <xdr:row>96</xdr:row>
      <xdr:rowOff>0</xdr:rowOff>
    </xdr:to>
    <xdr:sp macro="" textlink="">
      <xdr:nvSpPr>
        <xdr:cNvPr id="66" name="rect">
          <a:extLst>
            <a:ext uri="{FF2B5EF4-FFF2-40B4-BE49-F238E27FC236}">
              <a16:creationId xmlns:a16="http://schemas.microsoft.com/office/drawing/2014/main" id="{00000000-0008-0000-0600-000042000000}"/>
            </a:ext>
          </a:extLst>
        </xdr:cNvPr>
        <xdr:cNvSpPr/>
      </xdr:nvSpPr>
      <xdr:spPr>
        <a:xfrm>
          <a:off x="35433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491818</xdr:colOff>
      <xdr:row>95</xdr:row>
      <xdr:rowOff>175021</xdr:rowOff>
    </xdr:from>
    <xdr:to>
      <xdr:col>7</xdr:col>
      <xdr:colOff>505111</xdr:colOff>
      <xdr:row>96</xdr:row>
      <xdr:rowOff>0</xdr:rowOff>
    </xdr:to>
    <xdr:sp macro="" textlink="">
      <xdr:nvSpPr>
        <xdr:cNvPr id="67" name="rect">
          <a:extLst>
            <a:ext uri="{FF2B5EF4-FFF2-40B4-BE49-F238E27FC236}">
              <a16:creationId xmlns:a16="http://schemas.microsoft.com/office/drawing/2014/main" id="{00000000-0008-0000-0600-000043000000}"/>
            </a:ext>
          </a:extLst>
        </xdr:cNvPr>
        <xdr:cNvSpPr/>
      </xdr:nvSpPr>
      <xdr:spPr>
        <a:xfrm>
          <a:off x="41529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480685</xdr:colOff>
      <xdr:row>95</xdr:row>
      <xdr:rowOff>175021</xdr:rowOff>
    </xdr:from>
    <xdr:to>
      <xdr:col>8</xdr:col>
      <xdr:colOff>498489</xdr:colOff>
      <xdr:row>96</xdr:row>
      <xdr:rowOff>0</xdr:rowOff>
    </xdr:to>
    <xdr:sp macro="" textlink="">
      <xdr:nvSpPr>
        <xdr:cNvPr id="68" name="rect">
          <a:extLst>
            <a:ext uri="{FF2B5EF4-FFF2-40B4-BE49-F238E27FC236}">
              <a16:creationId xmlns:a16="http://schemas.microsoft.com/office/drawing/2014/main" id="{00000000-0008-0000-0600-000044000000}"/>
            </a:ext>
          </a:extLst>
        </xdr:cNvPr>
        <xdr:cNvSpPr/>
      </xdr:nvSpPr>
      <xdr:spPr>
        <a:xfrm>
          <a:off x="47625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69" name="rect">
          <a:extLst>
            <a:ext uri="{FF2B5EF4-FFF2-40B4-BE49-F238E27FC236}">
              <a16:creationId xmlns:a16="http://schemas.microsoft.com/office/drawing/2014/main" id="{00000000-0008-0000-0600-000045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70" name="rect">
          <a:extLst>
            <a:ext uri="{FF2B5EF4-FFF2-40B4-BE49-F238E27FC236}">
              <a16:creationId xmlns:a16="http://schemas.microsoft.com/office/drawing/2014/main" id="{00000000-0008-0000-0600-000046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71" name="rect">
          <a:extLst>
            <a:ext uri="{FF2B5EF4-FFF2-40B4-BE49-F238E27FC236}">
              <a16:creationId xmlns:a16="http://schemas.microsoft.com/office/drawing/2014/main" id="{00000000-0008-0000-0600-000047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72" name="rect">
          <a:extLst>
            <a:ext uri="{FF2B5EF4-FFF2-40B4-BE49-F238E27FC236}">
              <a16:creationId xmlns:a16="http://schemas.microsoft.com/office/drawing/2014/main" id="{00000000-0008-0000-0600-000048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491818</xdr:colOff>
      <xdr:row>95</xdr:row>
      <xdr:rowOff>175021</xdr:rowOff>
    </xdr:from>
    <xdr:to>
      <xdr:col>7</xdr:col>
      <xdr:colOff>505111</xdr:colOff>
      <xdr:row>96</xdr:row>
      <xdr:rowOff>0</xdr:rowOff>
    </xdr:to>
    <xdr:sp macro="" textlink="">
      <xdr:nvSpPr>
        <xdr:cNvPr id="73" name="rect">
          <a:extLst>
            <a:ext uri="{FF2B5EF4-FFF2-40B4-BE49-F238E27FC236}">
              <a16:creationId xmlns:a16="http://schemas.microsoft.com/office/drawing/2014/main" id="{00000000-0008-0000-0600-000049000000}"/>
            </a:ext>
          </a:extLst>
        </xdr:cNvPr>
        <xdr:cNvSpPr/>
      </xdr:nvSpPr>
      <xdr:spPr>
        <a:xfrm>
          <a:off x="41529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480685</xdr:colOff>
      <xdr:row>95</xdr:row>
      <xdr:rowOff>175021</xdr:rowOff>
    </xdr:from>
    <xdr:to>
      <xdr:col>8</xdr:col>
      <xdr:colOff>498489</xdr:colOff>
      <xdr:row>96</xdr:row>
      <xdr:rowOff>0</xdr:rowOff>
    </xdr:to>
    <xdr:sp macro="" textlink="">
      <xdr:nvSpPr>
        <xdr:cNvPr id="74" name="rect">
          <a:extLst>
            <a:ext uri="{FF2B5EF4-FFF2-40B4-BE49-F238E27FC236}">
              <a16:creationId xmlns:a16="http://schemas.microsoft.com/office/drawing/2014/main" id="{00000000-0008-0000-0600-00004A000000}"/>
            </a:ext>
          </a:extLst>
        </xdr:cNvPr>
        <xdr:cNvSpPr/>
      </xdr:nvSpPr>
      <xdr:spPr>
        <a:xfrm>
          <a:off x="47625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75" name="rect">
          <a:extLst>
            <a:ext uri="{FF2B5EF4-FFF2-40B4-BE49-F238E27FC236}">
              <a16:creationId xmlns:a16="http://schemas.microsoft.com/office/drawing/2014/main" id="{00000000-0008-0000-0600-00004B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76" name="rect">
          <a:extLst>
            <a:ext uri="{FF2B5EF4-FFF2-40B4-BE49-F238E27FC236}">
              <a16:creationId xmlns:a16="http://schemas.microsoft.com/office/drawing/2014/main" id="{00000000-0008-0000-0600-00004C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77" name="rect">
          <a:extLst>
            <a:ext uri="{FF2B5EF4-FFF2-40B4-BE49-F238E27FC236}">
              <a16:creationId xmlns:a16="http://schemas.microsoft.com/office/drawing/2014/main" id="{00000000-0008-0000-0600-00004D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480685</xdr:colOff>
      <xdr:row>95</xdr:row>
      <xdr:rowOff>175021</xdr:rowOff>
    </xdr:from>
    <xdr:to>
      <xdr:col>8</xdr:col>
      <xdr:colOff>498489</xdr:colOff>
      <xdr:row>96</xdr:row>
      <xdr:rowOff>0</xdr:rowOff>
    </xdr:to>
    <xdr:sp macro="" textlink="">
      <xdr:nvSpPr>
        <xdr:cNvPr id="78" name="rect">
          <a:extLst>
            <a:ext uri="{FF2B5EF4-FFF2-40B4-BE49-F238E27FC236}">
              <a16:creationId xmlns:a16="http://schemas.microsoft.com/office/drawing/2014/main" id="{00000000-0008-0000-0600-00004E000000}"/>
            </a:ext>
          </a:extLst>
        </xdr:cNvPr>
        <xdr:cNvSpPr/>
      </xdr:nvSpPr>
      <xdr:spPr>
        <a:xfrm>
          <a:off x="47625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79" name="rect">
          <a:extLst>
            <a:ext uri="{FF2B5EF4-FFF2-40B4-BE49-F238E27FC236}">
              <a16:creationId xmlns:a16="http://schemas.microsoft.com/office/drawing/2014/main" id="{00000000-0008-0000-0600-00004F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80" name="rect">
          <a:extLst>
            <a:ext uri="{FF2B5EF4-FFF2-40B4-BE49-F238E27FC236}">
              <a16:creationId xmlns:a16="http://schemas.microsoft.com/office/drawing/2014/main" id="{00000000-0008-0000-0600-000050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480685</xdr:colOff>
      <xdr:row>95</xdr:row>
      <xdr:rowOff>175021</xdr:rowOff>
    </xdr:from>
    <xdr:to>
      <xdr:col>8</xdr:col>
      <xdr:colOff>498489</xdr:colOff>
      <xdr:row>96</xdr:row>
      <xdr:rowOff>0</xdr:rowOff>
    </xdr:to>
    <xdr:sp macro="" textlink="">
      <xdr:nvSpPr>
        <xdr:cNvPr id="81" name="rect">
          <a:extLst>
            <a:ext uri="{FF2B5EF4-FFF2-40B4-BE49-F238E27FC236}">
              <a16:creationId xmlns:a16="http://schemas.microsoft.com/office/drawing/2014/main" id="{00000000-0008-0000-0600-000051000000}"/>
            </a:ext>
          </a:extLst>
        </xdr:cNvPr>
        <xdr:cNvSpPr/>
      </xdr:nvSpPr>
      <xdr:spPr>
        <a:xfrm>
          <a:off x="47625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82" name="rect">
          <a:extLst>
            <a:ext uri="{FF2B5EF4-FFF2-40B4-BE49-F238E27FC236}">
              <a16:creationId xmlns:a16="http://schemas.microsoft.com/office/drawing/2014/main" id="{00000000-0008-0000-0600-000052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83" name="rect">
          <a:extLst>
            <a:ext uri="{FF2B5EF4-FFF2-40B4-BE49-F238E27FC236}">
              <a16:creationId xmlns:a16="http://schemas.microsoft.com/office/drawing/2014/main" id="{00000000-0008-0000-0600-000053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84" name="rect">
          <a:extLst>
            <a:ext uri="{FF2B5EF4-FFF2-40B4-BE49-F238E27FC236}">
              <a16:creationId xmlns:a16="http://schemas.microsoft.com/office/drawing/2014/main" id="{00000000-0008-0000-0600-000054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85" name="rect">
          <a:extLst>
            <a:ext uri="{FF2B5EF4-FFF2-40B4-BE49-F238E27FC236}">
              <a16:creationId xmlns:a16="http://schemas.microsoft.com/office/drawing/2014/main" id="{00000000-0008-0000-0600-000055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86" name="rect">
          <a:extLst>
            <a:ext uri="{FF2B5EF4-FFF2-40B4-BE49-F238E27FC236}">
              <a16:creationId xmlns:a16="http://schemas.microsoft.com/office/drawing/2014/main" id="{00000000-0008-0000-0600-000056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87" name="rect">
          <a:extLst>
            <a:ext uri="{FF2B5EF4-FFF2-40B4-BE49-F238E27FC236}">
              <a16:creationId xmlns:a16="http://schemas.microsoft.com/office/drawing/2014/main" id="{00000000-0008-0000-0600-000057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88" name="rect">
          <a:extLst>
            <a:ext uri="{FF2B5EF4-FFF2-40B4-BE49-F238E27FC236}">
              <a16:creationId xmlns:a16="http://schemas.microsoft.com/office/drawing/2014/main" id="{00000000-0008-0000-0600-000058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89" name="rect">
          <a:extLst>
            <a:ext uri="{FF2B5EF4-FFF2-40B4-BE49-F238E27FC236}">
              <a16:creationId xmlns:a16="http://schemas.microsoft.com/office/drawing/2014/main" id="{00000000-0008-0000-0600-000059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5</xdr:col>
      <xdr:colOff>494809</xdr:colOff>
      <xdr:row>95</xdr:row>
      <xdr:rowOff>175021</xdr:rowOff>
    </xdr:from>
    <xdr:to>
      <xdr:col>5</xdr:col>
      <xdr:colOff>508477</xdr:colOff>
      <xdr:row>96</xdr:row>
      <xdr:rowOff>0</xdr:rowOff>
    </xdr:to>
    <xdr:sp macro="" textlink="">
      <xdr:nvSpPr>
        <xdr:cNvPr id="90" name="rect">
          <a:extLst>
            <a:ext uri="{FF2B5EF4-FFF2-40B4-BE49-F238E27FC236}">
              <a16:creationId xmlns:a16="http://schemas.microsoft.com/office/drawing/2014/main" id="{00000000-0008-0000-0600-00005A000000}"/>
            </a:ext>
          </a:extLst>
        </xdr:cNvPr>
        <xdr:cNvSpPr/>
      </xdr:nvSpPr>
      <xdr:spPr>
        <a:xfrm>
          <a:off x="35433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491818</xdr:colOff>
      <xdr:row>95</xdr:row>
      <xdr:rowOff>175021</xdr:rowOff>
    </xdr:from>
    <xdr:to>
      <xdr:col>7</xdr:col>
      <xdr:colOff>505111</xdr:colOff>
      <xdr:row>96</xdr:row>
      <xdr:rowOff>0</xdr:rowOff>
    </xdr:to>
    <xdr:sp macro="" textlink="">
      <xdr:nvSpPr>
        <xdr:cNvPr id="91" name="rect">
          <a:extLst>
            <a:ext uri="{FF2B5EF4-FFF2-40B4-BE49-F238E27FC236}">
              <a16:creationId xmlns:a16="http://schemas.microsoft.com/office/drawing/2014/main" id="{00000000-0008-0000-0600-00005B000000}"/>
            </a:ext>
          </a:extLst>
        </xdr:cNvPr>
        <xdr:cNvSpPr/>
      </xdr:nvSpPr>
      <xdr:spPr>
        <a:xfrm>
          <a:off x="41529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480685</xdr:colOff>
      <xdr:row>95</xdr:row>
      <xdr:rowOff>175021</xdr:rowOff>
    </xdr:from>
    <xdr:to>
      <xdr:col>8</xdr:col>
      <xdr:colOff>498489</xdr:colOff>
      <xdr:row>96</xdr:row>
      <xdr:rowOff>0</xdr:rowOff>
    </xdr:to>
    <xdr:sp macro="" textlink="">
      <xdr:nvSpPr>
        <xdr:cNvPr id="92" name="rect">
          <a:extLst>
            <a:ext uri="{FF2B5EF4-FFF2-40B4-BE49-F238E27FC236}">
              <a16:creationId xmlns:a16="http://schemas.microsoft.com/office/drawing/2014/main" id="{00000000-0008-0000-0600-00005C000000}"/>
            </a:ext>
          </a:extLst>
        </xdr:cNvPr>
        <xdr:cNvSpPr/>
      </xdr:nvSpPr>
      <xdr:spPr>
        <a:xfrm>
          <a:off x="47625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93" name="rect">
          <a:extLst>
            <a:ext uri="{FF2B5EF4-FFF2-40B4-BE49-F238E27FC236}">
              <a16:creationId xmlns:a16="http://schemas.microsoft.com/office/drawing/2014/main" id="{00000000-0008-0000-0600-00005D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94" name="rect">
          <a:extLst>
            <a:ext uri="{FF2B5EF4-FFF2-40B4-BE49-F238E27FC236}">
              <a16:creationId xmlns:a16="http://schemas.microsoft.com/office/drawing/2014/main" id="{00000000-0008-0000-0600-00005E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95" name="rect">
          <a:extLst>
            <a:ext uri="{FF2B5EF4-FFF2-40B4-BE49-F238E27FC236}">
              <a16:creationId xmlns:a16="http://schemas.microsoft.com/office/drawing/2014/main" id="{00000000-0008-0000-0600-00005F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96" name="rect">
          <a:extLst>
            <a:ext uri="{FF2B5EF4-FFF2-40B4-BE49-F238E27FC236}">
              <a16:creationId xmlns:a16="http://schemas.microsoft.com/office/drawing/2014/main" id="{00000000-0008-0000-0600-000060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491818</xdr:colOff>
      <xdr:row>95</xdr:row>
      <xdr:rowOff>175021</xdr:rowOff>
    </xdr:from>
    <xdr:to>
      <xdr:col>7</xdr:col>
      <xdr:colOff>505111</xdr:colOff>
      <xdr:row>96</xdr:row>
      <xdr:rowOff>0</xdr:rowOff>
    </xdr:to>
    <xdr:sp macro="" textlink="">
      <xdr:nvSpPr>
        <xdr:cNvPr id="97" name="rect">
          <a:extLst>
            <a:ext uri="{FF2B5EF4-FFF2-40B4-BE49-F238E27FC236}">
              <a16:creationId xmlns:a16="http://schemas.microsoft.com/office/drawing/2014/main" id="{00000000-0008-0000-0600-000061000000}"/>
            </a:ext>
          </a:extLst>
        </xdr:cNvPr>
        <xdr:cNvSpPr/>
      </xdr:nvSpPr>
      <xdr:spPr>
        <a:xfrm>
          <a:off x="41529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480685</xdr:colOff>
      <xdr:row>95</xdr:row>
      <xdr:rowOff>175021</xdr:rowOff>
    </xdr:from>
    <xdr:to>
      <xdr:col>8</xdr:col>
      <xdr:colOff>498489</xdr:colOff>
      <xdr:row>96</xdr:row>
      <xdr:rowOff>0</xdr:rowOff>
    </xdr:to>
    <xdr:sp macro="" textlink="">
      <xdr:nvSpPr>
        <xdr:cNvPr id="98" name="rect">
          <a:extLst>
            <a:ext uri="{FF2B5EF4-FFF2-40B4-BE49-F238E27FC236}">
              <a16:creationId xmlns:a16="http://schemas.microsoft.com/office/drawing/2014/main" id="{00000000-0008-0000-0600-000062000000}"/>
            </a:ext>
          </a:extLst>
        </xdr:cNvPr>
        <xdr:cNvSpPr/>
      </xdr:nvSpPr>
      <xdr:spPr>
        <a:xfrm>
          <a:off x="47625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99" name="rect">
          <a:extLst>
            <a:ext uri="{FF2B5EF4-FFF2-40B4-BE49-F238E27FC236}">
              <a16:creationId xmlns:a16="http://schemas.microsoft.com/office/drawing/2014/main" id="{00000000-0008-0000-0600-000063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00" name="rect">
          <a:extLst>
            <a:ext uri="{FF2B5EF4-FFF2-40B4-BE49-F238E27FC236}">
              <a16:creationId xmlns:a16="http://schemas.microsoft.com/office/drawing/2014/main" id="{00000000-0008-0000-0600-000064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01" name="rect">
          <a:extLst>
            <a:ext uri="{FF2B5EF4-FFF2-40B4-BE49-F238E27FC236}">
              <a16:creationId xmlns:a16="http://schemas.microsoft.com/office/drawing/2014/main" id="{00000000-0008-0000-0600-000065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480685</xdr:colOff>
      <xdr:row>95</xdr:row>
      <xdr:rowOff>175021</xdr:rowOff>
    </xdr:from>
    <xdr:to>
      <xdr:col>8</xdr:col>
      <xdr:colOff>498489</xdr:colOff>
      <xdr:row>96</xdr:row>
      <xdr:rowOff>0</xdr:rowOff>
    </xdr:to>
    <xdr:sp macro="" textlink="">
      <xdr:nvSpPr>
        <xdr:cNvPr id="102" name="rect">
          <a:extLst>
            <a:ext uri="{FF2B5EF4-FFF2-40B4-BE49-F238E27FC236}">
              <a16:creationId xmlns:a16="http://schemas.microsoft.com/office/drawing/2014/main" id="{00000000-0008-0000-0600-000066000000}"/>
            </a:ext>
          </a:extLst>
        </xdr:cNvPr>
        <xdr:cNvSpPr/>
      </xdr:nvSpPr>
      <xdr:spPr>
        <a:xfrm>
          <a:off x="47625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03" name="rect">
          <a:extLst>
            <a:ext uri="{FF2B5EF4-FFF2-40B4-BE49-F238E27FC236}">
              <a16:creationId xmlns:a16="http://schemas.microsoft.com/office/drawing/2014/main" id="{00000000-0008-0000-0600-000067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04" name="rect">
          <a:extLst>
            <a:ext uri="{FF2B5EF4-FFF2-40B4-BE49-F238E27FC236}">
              <a16:creationId xmlns:a16="http://schemas.microsoft.com/office/drawing/2014/main" id="{00000000-0008-0000-0600-000068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05" name="rect">
          <a:extLst>
            <a:ext uri="{FF2B5EF4-FFF2-40B4-BE49-F238E27FC236}">
              <a16:creationId xmlns:a16="http://schemas.microsoft.com/office/drawing/2014/main" id="{00000000-0008-0000-0600-000069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06" name="rect">
          <a:extLst>
            <a:ext uri="{FF2B5EF4-FFF2-40B4-BE49-F238E27FC236}">
              <a16:creationId xmlns:a16="http://schemas.microsoft.com/office/drawing/2014/main" id="{00000000-0008-0000-0600-00006A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07" name="rect">
          <a:extLst>
            <a:ext uri="{FF2B5EF4-FFF2-40B4-BE49-F238E27FC236}">
              <a16:creationId xmlns:a16="http://schemas.microsoft.com/office/drawing/2014/main" id="{00000000-0008-0000-0600-00006B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08" name="rect">
          <a:extLst>
            <a:ext uri="{FF2B5EF4-FFF2-40B4-BE49-F238E27FC236}">
              <a16:creationId xmlns:a16="http://schemas.microsoft.com/office/drawing/2014/main" id="{00000000-0008-0000-0600-00006C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09" name="rect">
          <a:extLst>
            <a:ext uri="{FF2B5EF4-FFF2-40B4-BE49-F238E27FC236}">
              <a16:creationId xmlns:a16="http://schemas.microsoft.com/office/drawing/2014/main" id="{00000000-0008-0000-0600-00006D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10" name="rect">
          <a:extLst>
            <a:ext uri="{FF2B5EF4-FFF2-40B4-BE49-F238E27FC236}">
              <a16:creationId xmlns:a16="http://schemas.microsoft.com/office/drawing/2014/main" id="{00000000-0008-0000-0600-00006E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491818</xdr:colOff>
      <xdr:row>95</xdr:row>
      <xdr:rowOff>175021</xdr:rowOff>
    </xdr:from>
    <xdr:to>
      <xdr:col>7</xdr:col>
      <xdr:colOff>505111</xdr:colOff>
      <xdr:row>96</xdr:row>
      <xdr:rowOff>0</xdr:rowOff>
    </xdr:to>
    <xdr:sp macro="" textlink="">
      <xdr:nvSpPr>
        <xdr:cNvPr id="111" name="rect">
          <a:extLst>
            <a:ext uri="{FF2B5EF4-FFF2-40B4-BE49-F238E27FC236}">
              <a16:creationId xmlns:a16="http://schemas.microsoft.com/office/drawing/2014/main" id="{00000000-0008-0000-0600-00006F000000}"/>
            </a:ext>
          </a:extLst>
        </xdr:cNvPr>
        <xdr:cNvSpPr/>
      </xdr:nvSpPr>
      <xdr:spPr>
        <a:xfrm>
          <a:off x="41529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480685</xdr:colOff>
      <xdr:row>95</xdr:row>
      <xdr:rowOff>175021</xdr:rowOff>
    </xdr:from>
    <xdr:to>
      <xdr:col>8</xdr:col>
      <xdr:colOff>498489</xdr:colOff>
      <xdr:row>96</xdr:row>
      <xdr:rowOff>0</xdr:rowOff>
    </xdr:to>
    <xdr:sp macro="" textlink="">
      <xdr:nvSpPr>
        <xdr:cNvPr id="112" name="rect">
          <a:extLst>
            <a:ext uri="{FF2B5EF4-FFF2-40B4-BE49-F238E27FC236}">
              <a16:creationId xmlns:a16="http://schemas.microsoft.com/office/drawing/2014/main" id="{00000000-0008-0000-0600-000070000000}"/>
            </a:ext>
          </a:extLst>
        </xdr:cNvPr>
        <xdr:cNvSpPr/>
      </xdr:nvSpPr>
      <xdr:spPr>
        <a:xfrm>
          <a:off x="47625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13" name="rect">
          <a:extLst>
            <a:ext uri="{FF2B5EF4-FFF2-40B4-BE49-F238E27FC236}">
              <a16:creationId xmlns:a16="http://schemas.microsoft.com/office/drawing/2014/main" id="{00000000-0008-0000-0600-000071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14" name="rect">
          <a:extLst>
            <a:ext uri="{FF2B5EF4-FFF2-40B4-BE49-F238E27FC236}">
              <a16:creationId xmlns:a16="http://schemas.microsoft.com/office/drawing/2014/main" id="{00000000-0008-0000-0600-000072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15" name="rect">
          <a:extLst>
            <a:ext uri="{FF2B5EF4-FFF2-40B4-BE49-F238E27FC236}">
              <a16:creationId xmlns:a16="http://schemas.microsoft.com/office/drawing/2014/main" id="{00000000-0008-0000-0600-000073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480685</xdr:colOff>
      <xdr:row>95</xdr:row>
      <xdr:rowOff>175021</xdr:rowOff>
    </xdr:from>
    <xdr:to>
      <xdr:col>8</xdr:col>
      <xdr:colOff>498489</xdr:colOff>
      <xdr:row>96</xdr:row>
      <xdr:rowOff>0</xdr:rowOff>
    </xdr:to>
    <xdr:sp macro="" textlink="">
      <xdr:nvSpPr>
        <xdr:cNvPr id="116" name="rect">
          <a:extLst>
            <a:ext uri="{FF2B5EF4-FFF2-40B4-BE49-F238E27FC236}">
              <a16:creationId xmlns:a16="http://schemas.microsoft.com/office/drawing/2014/main" id="{00000000-0008-0000-0600-000074000000}"/>
            </a:ext>
          </a:extLst>
        </xdr:cNvPr>
        <xdr:cNvSpPr/>
      </xdr:nvSpPr>
      <xdr:spPr>
        <a:xfrm>
          <a:off x="47625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17" name="rect">
          <a:extLst>
            <a:ext uri="{FF2B5EF4-FFF2-40B4-BE49-F238E27FC236}">
              <a16:creationId xmlns:a16="http://schemas.microsoft.com/office/drawing/2014/main" id="{00000000-0008-0000-0600-000075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18" name="rect">
          <a:extLst>
            <a:ext uri="{FF2B5EF4-FFF2-40B4-BE49-F238E27FC236}">
              <a16:creationId xmlns:a16="http://schemas.microsoft.com/office/drawing/2014/main" id="{00000000-0008-0000-0600-000076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19" name="rect">
          <a:extLst>
            <a:ext uri="{FF2B5EF4-FFF2-40B4-BE49-F238E27FC236}">
              <a16:creationId xmlns:a16="http://schemas.microsoft.com/office/drawing/2014/main" id="{00000000-0008-0000-0600-000077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20" name="rect">
          <a:extLst>
            <a:ext uri="{FF2B5EF4-FFF2-40B4-BE49-F238E27FC236}">
              <a16:creationId xmlns:a16="http://schemas.microsoft.com/office/drawing/2014/main" id="{00000000-0008-0000-0600-000078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21" name="rect">
          <a:extLst>
            <a:ext uri="{FF2B5EF4-FFF2-40B4-BE49-F238E27FC236}">
              <a16:creationId xmlns:a16="http://schemas.microsoft.com/office/drawing/2014/main" id="{00000000-0008-0000-0600-000079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22" name="rect">
          <a:extLst>
            <a:ext uri="{FF2B5EF4-FFF2-40B4-BE49-F238E27FC236}">
              <a16:creationId xmlns:a16="http://schemas.microsoft.com/office/drawing/2014/main" id="{00000000-0008-0000-0600-00007A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491818</xdr:colOff>
      <xdr:row>95</xdr:row>
      <xdr:rowOff>175021</xdr:rowOff>
    </xdr:from>
    <xdr:to>
      <xdr:col>7</xdr:col>
      <xdr:colOff>505111</xdr:colOff>
      <xdr:row>96</xdr:row>
      <xdr:rowOff>0</xdr:rowOff>
    </xdr:to>
    <xdr:sp macro="" textlink="">
      <xdr:nvSpPr>
        <xdr:cNvPr id="123" name="rect">
          <a:extLst>
            <a:ext uri="{FF2B5EF4-FFF2-40B4-BE49-F238E27FC236}">
              <a16:creationId xmlns:a16="http://schemas.microsoft.com/office/drawing/2014/main" id="{00000000-0008-0000-0600-00007B000000}"/>
            </a:ext>
          </a:extLst>
        </xdr:cNvPr>
        <xdr:cNvSpPr/>
      </xdr:nvSpPr>
      <xdr:spPr>
        <a:xfrm>
          <a:off x="415290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24" name="rect">
          <a:extLst>
            <a:ext uri="{FF2B5EF4-FFF2-40B4-BE49-F238E27FC236}">
              <a16:creationId xmlns:a16="http://schemas.microsoft.com/office/drawing/2014/main" id="{00000000-0008-0000-0600-00007C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25" name="rect">
          <a:extLst>
            <a:ext uri="{FF2B5EF4-FFF2-40B4-BE49-F238E27FC236}">
              <a16:creationId xmlns:a16="http://schemas.microsoft.com/office/drawing/2014/main" id="{00000000-0008-0000-0600-00007D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26" name="rect">
          <a:extLst>
            <a:ext uri="{FF2B5EF4-FFF2-40B4-BE49-F238E27FC236}">
              <a16:creationId xmlns:a16="http://schemas.microsoft.com/office/drawing/2014/main" id="{00000000-0008-0000-0600-00007E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598157</xdr:colOff>
      <xdr:row>95</xdr:row>
      <xdr:rowOff>175021</xdr:rowOff>
    </xdr:from>
    <xdr:to>
      <xdr:col>8</xdr:col>
      <xdr:colOff>0</xdr:colOff>
      <xdr:row>96</xdr:row>
      <xdr:rowOff>0</xdr:rowOff>
    </xdr:to>
    <xdr:sp macro="" textlink="">
      <xdr:nvSpPr>
        <xdr:cNvPr id="127" name="rect">
          <a:extLst>
            <a:ext uri="{FF2B5EF4-FFF2-40B4-BE49-F238E27FC236}">
              <a16:creationId xmlns:a16="http://schemas.microsoft.com/office/drawing/2014/main" id="{00000000-0008-0000-0600-00007F000000}"/>
            </a:ext>
          </a:extLst>
        </xdr:cNvPr>
        <xdr:cNvSpPr/>
      </xdr:nvSpPr>
      <xdr:spPr>
        <a:xfrm>
          <a:off x="4259580" y="198516240"/>
          <a:ext cx="15240" cy="15248"/>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511757</xdr:colOff>
      <xdr:row>95</xdr:row>
      <xdr:rowOff>175021</xdr:rowOff>
    </xdr:from>
    <xdr:to>
      <xdr:col>7</xdr:col>
      <xdr:colOff>3389561</xdr:colOff>
      <xdr:row>96</xdr:row>
      <xdr:rowOff>0</xdr:rowOff>
    </xdr:to>
    <xdr:sp macro="" textlink="">
      <xdr:nvSpPr>
        <xdr:cNvPr id="128" name="rect">
          <a:extLst>
            <a:ext uri="{FF2B5EF4-FFF2-40B4-BE49-F238E27FC236}">
              <a16:creationId xmlns:a16="http://schemas.microsoft.com/office/drawing/2014/main" id="{00000000-0008-0000-0600-000080000000}"/>
            </a:ext>
          </a:extLst>
        </xdr:cNvPr>
        <xdr:cNvSpPr/>
      </xdr:nvSpPr>
      <xdr:spPr>
        <a:xfrm>
          <a:off x="16335038" y="100475528"/>
          <a:ext cx="2879462" cy="399824"/>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204943</xdr:colOff>
      <xdr:row>137</xdr:row>
      <xdr:rowOff>774203</xdr:rowOff>
    </xdr:from>
    <xdr:to>
      <xdr:col>1</xdr:col>
      <xdr:colOff>220218</xdr:colOff>
      <xdr:row>138</xdr:row>
      <xdr:rowOff>0</xdr:rowOff>
    </xdr:to>
    <xdr:sp macro="" textlink="">
      <xdr:nvSpPr>
        <xdr:cNvPr id="2" name="rect">
          <a:extLst>
            <a:ext uri="{FF2B5EF4-FFF2-40B4-BE49-F238E27FC236}">
              <a16:creationId xmlns:a16="http://schemas.microsoft.com/office/drawing/2014/main" id="{00000000-0008-0000-0800-000002000000}"/>
            </a:ext>
          </a:extLst>
        </xdr:cNvPr>
        <xdr:cNvSpPr/>
      </xdr:nvSpPr>
      <xdr:spPr>
        <a:xfrm>
          <a:off x="1424940" y="349140768"/>
          <a:ext cx="15240" cy="15264"/>
        </a:xfrm>
        <a:prstGeom prst="rect">
          <a:avLst/>
        </a:prstGeom>
        <a:noFill/>
        <a:ln w="180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xdr:col>
      <xdr:colOff>212580</xdr:colOff>
      <xdr:row>137</xdr:row>
      <xdr:rowOff>774203</xdr:rowOff>
    </xdr:from>
    <xdr:to>
      <xdr:col>1</xdr:col>
      <xdr:colOff>227856</xdr:colOff>
      <xdr:row>138</xdr:row>
      <xdr:rowOff>0</xdr:rowOff>
    </xdr:to>
    <xdr:sp macro="" textlink="">
      <xdr:nvSpPr>
        <xdr:cNvPr id="3" name="rect">
          <a:extLst>
            <a:ext uri="{FF2B5EF4-FFF2-40B4-BE49-F238E27FC236}">
              <a16:creationId xmlns:a16="http://schemas.microsoft.com/office/drawing/2014/main" id="{00000000-0008-0000-0800-000003000000}"/>
            </a:ext>
          </a:extLst>
        </xdr:cNvPr>
        <xdr:cNvSpPr/>
      </xdr:nvSpPr>
      <xdr:spPr>
        <a:xfrm>
          <a:off x="1432560" y="349140768"/>
          <a:ext cx="15240" cy="15264"/>
        </a:xfrm>
        <a:prstGeom prst="rect">
          <a:avLst/>
        </a:prstGeom>
        <a:noFill/>
        <a:ln w="180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xdr:col>
      <xdr:colOff>388246</xdr:colOff>
      <xdr:row>137</xdr:row>
      <xdr:rowOff>774203</xdr:rowOff>
    </xdr:from>
    <xdr:to>
      <xdr:col>1</xdr:col>
      <xdr:colOff>403521</xdr:colOff>
      <xdr:row>138</xdr:row>
      <xdr:rowOff>0</xdr:rowOff>
    </xdr:to>
    <xdr:sp macro="" textlink="">
      <xdr:nvSpPr>
        <xdr:cNvPr id="4" name="rect">
          <a:extLst>
            <a:ext uri="{FF2B5EF4-FFF2-40B4-BE49-F238E27FC236}">
              <a16:creationId xmlns:a16="http://schemas.microsoft.com/office/drawing/2014/main" id="{00000000-0008-0000-0800-000004000000}"/>
            </a:ext>
          </a:extLst>
        </xdr:cNvPr>
        <xdr:cNvSpPr/>
      </xdr:nvSpPr>
      <xdr:spPr>
        <a:xfrm>
          <a:off x="1607820" y="349140768"/>
          <a:ext cx="15240" cy="15264"/>
        </a:xfrm>
        <a:prstGeom prst="rect">
          <a:avLst/>
        </a:prstGeom>
        <a:noFill/>
        <a:ln w="180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xdr:col>
      <xdr:colOff>105653</xdr:colOff>
      <xdr:row>137</xdr:row>
      <xdr:rowOff>774203</xdr:rowOff>
    </xdr:from>
    <xdr:to>
      <xdr:col>1</xdr:col>
      <xdr:colOff>120929</xdr:colOff>
      <xdr:row>138</xdr:row>
      <xdr:rowOff>0</xdr:rowOff>
    </xdr:to>
    <xdr:sp macro="" textlink="">
      <xdr:nvSpPr>
        <xdr:cNvPr id="5" name="rect">
          <a:extLst>
            <a:ext uri="{FF2B5EF4-FFF2-40B4-BE49-F238E27FC236}">
              <a16:creationId xmlns:a16="http://schemas.microsoft.com/office/drawing/2014/main" id="{00000000-0008-0000-0800-000005000000}"/>
            </a:ext>
          </a:extLst>
        </xdr:cNvPr>
        <xdr:cNvSpPr/>
      </xdr:nvSpPr>
      <xdr:spPr>
        <a:xfrm>
          <a:off x="1325880" y="349140768"/>
          <a:ext cx="15240" cy="15264"/>
        </a:xfrm>
        <a:prstGeom prst="rect">
          <a:avLst/>
        </a:prstGeom>
        <a:noFill/>
        <a:ln w="180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xdr:col>
      <xdr:colOff>14002</xdr:colOff>
      <xdr:row>137</xdr:row>
      <xdr:rowOff>774203</xdr:rowOff>
    </xdr:from>
    <xdr:to>
      <xdr:col>1</xdr:col>
      <xdr:colOff>29277</xdr:colOff>
      <xdr:row>138</xdr:row>
      <xdr:rowOff>0</xdr:rowOff>
    </xdr:to>
    <xdr:sp macro="" textlink="">
      <xdr:nvSpPr>
        <xdr:cNvPr id="6" name="rect">
          <a:extLst>
            <a:ext uri="{FF2B5EF4-FFF2-40B4-BE49-F238E27FC236}">
              <a16:creationId xmlns:a16="http://schemas.microsoft.com/office/drawing/2014/main" id="{00000000-0008-0000-0800-000006000000}"/>
            </a:ext>
          </a:extLst>
        </xdr:cNvPr>
        <xdr:cNvSpPr/>
      </xdr:nvSpPr>
      <xdr:spPr>
        <a:xfrm>
          <a:off x="1234440" y="349140768"/>
          <a:ext cx="15240" cy="15264"/>
        </a:xfrm>
        <a:prstGeom prst="rect">
          <a:avLst/>
        </a:prstGeom>
        <a:noFill/>
        <a:ln w="180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5</xdr:col>
      <xdr:colOff>493667</xdr:colOff>
      <xdr:row>106</xdr:row>
      <xdr:rowOff>516135</xdr:rowOff>
    </xdr:from>
    <xdr:to>
      <xdr:col>5</xdr:col>
      <xdr:colOff>508975</xdr:colOff>
      <xdr:row>107</xdr:row>
      <xdr:rowOff>0</xdr:rowOff>
    </xdr:to>
    <xdr:sp macro="" textlink="">
      <xdr:nvSpPr>
        <xdr:cNvPr id="7" name="rect">
          <a:extLst>
            <a:ext uri="{FF2B5EF4-FFF2-40B4-BE49-F238E27FC236}">
              <a16:creationId xmlns:a16="http://schemas.microsoft.com/office/drawing/2014/main" id="{00000000-0008-0000-0800-000007000000}"/>
            </a:ext>
          </a:extLst>
        </xdr:cNvPr>
        <xdr:cNvSpPr/>
      </xdr:nvSpPr>
      <xdr:spPr>
        <a:xfrm>
          <a:off x="41529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494439</xdr:colOff>
      <xdr:row>106</xdr:row>
      <xdr:rowOff>516135</xdr:rowOff>
    </xdr:from>
    <xdr:to>
      <xdr:col>6</xdr:col>
      <xdr:colOff>508928</xdr:colOff>
      <xdr:row>107</xdr:row>
      <xdr:rowOff>0</xdr:rowOff>
    </xdr:to>
    <xdr:sp macro="" textlink="">
      <xdr:nvSpPr>
        <xdr:cNvPr id="8" name="rect">
          <a:extLst>
            <a:ext uri="{FF2B5EF4-FFF2-40B4-BE49-F238E27FC236}">
              <a16:creationId xmlns:a16="http://schemas.microsoft.com/office/drawing/2014/main" id="{00000000-0008-0000-0800-000008000000}"/>
            </a:ext>
          </a:extLst>
        </xdr:cNvPr>
        <xdr:cNvSpPr/>
      </xdr:nvSpPr>
      <xdr:spPr>
        <a:xfrm>
          <a:off x="47625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547896</xdr:colOff>
      <xdr:row>1</xdr:row>
      <xdr:rowOff>774203</xdr:rowOff>
    </xdr:from>
    <xdr:to>
      <xdr:col>8</xdr:col>
      <xdr:colOff>558746</xdr:colOff>
      <xdr:row>2</xdr:row>
      <xdr:rowOff>0</xdr:rowOff>
    </xdr:to>
    <xdr:sp macro="" textlink="">
      <xdr:nvSpPr>
        <xdr:cNvPr id="9" name="rect">
          <a:extLst>
            <a:ext uri="{FF2B5EF4-FFF2-40B4-BE49-F238E27FC236}">
              <a16:creationId xmlns:a16="http://schemas.microsoft.com/office/drawing/2014/main" id="{00000000-0008-0000-0800-000009000000}"/>
            </a:ext>
          </a:extLst>
        </xdr:cNvPr>
        <xdr:cNvSpPr/>
      </xdr:nvSpPr>
      <xdr:spPr>
        <a:xfrm>
          <a:off x="6035040" y="1104900"/>
          <a:ext cx="15240" cy="15240"/>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493876</xdr:colOff>
      <xdr:row>106</xdr:row>
      <xdr:rowOff>516135</xdr:rowOff>
    </xdr:from>
    <xdr:to>
      <xdr:col>7</xdr:col>
      <xdr:colOff>510261</xdr:colOff>
      <xdr:row>107</xdr:row>
      <xdr:rowOff>0</xdr:rowOff>
    </xdr:to>
    <xdr:sp macro="" textlink="">
      <xdr:nvSpPr>
        <xdr:cNvPr id="10" name="rect">
          <a:extLst>
            <a:ext uri="{FF2B5EF4-FFF2-40B4-BE49-F238E27FC236}">
              <a16:creationId xmlns:a16="http://schemas.microsoft.com/office/drawing/2014/main" id="{00000000-0008-0000-0800-00000A000000}"/>
            </a:ext>
          </a:extLst>
        </xdr:cNvPr>
        <xdr:cNvSpPr/>
      </xdr:nvSpPr>
      <xdr:spPr>
        <a:xfrm>
          <a:off x="53721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11" name="rect">
          <a:extLst>
            <a:ext uri="{FF2B5EF4-FFF2-40B4-BE49-F238E27FC236}">
              <a16:creationId xmlns:a16="http://schemas.microsoft.com/office/drawing/2014/main" id="{00000000-0008-0000-0800-00000B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4</xdr:col>
      <xdr:colOff>494033</xdr:colOff>
      <xdr:row>106</xdr:row>
      <xdr:rowOff>516135</xdr:rowOff>
    </xdr:from>
    <xdr:to>
      <xdr:col>4</xdr:col>
      <xdr:colOff>508725</xdr:colOff>
      <xdr:row>107</xdr:row>
      <xdr:rowOff>0</xdr:rowOff>
    </xdr:to>
    <xdr:sp macro="" textlink="">
      <xdr:nvSpPr>
        <xdr:cNvPr id="12" name="rect">
          <a:extLst>
            <a:ext uri="{FF2B5EF4-FFF2-40B4-BE49-F238E27FC236}">
              <a16:creationId xmlns:a16="http://schemas.microsoft.com/office/drawing/2014/main" id="{00000000-0008-0000-0800-00000C000000}"/>
            </a:ext>
          </a:extLst>
        </xdr:cNvPr>
        <xdr:cNvSpPr/>
      </xdr:nvSpPr>
      <xdr:spPr>
        <a:xfrm>
          <a:off x="35433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21698</xdr:colOff>
      <xdr:row>106</xdr:row>
      <xdr:rowOff>516135</xdr:rowOff>
    </xdr:from>
    <xdr:to>
      <xdr:col>8</xdr:col>
      <xdr:colOff>37973</xdr:colOff>
      <xdr:row>107</xdr:row>
      <xdr:rowOff>0</xdr:rowOff>
    </xdr:to>
    <xdr:sp macro="" textlink="">
      <xdr:nvSpPr>
        <xdr:cNvPr id="13" name="rect">
          <a:extLst>
            <a:ext uri="{FF2B5EF4-FFF2-40B4-BE49-F238E27FC236}">
              <a16:creationId xmlns:a16="http://schemas.microsoft.com/office/drawing/2014/main" id="{00000000-0008-0000-0800-00000D000000}"/>
            </a:ext>
          </a:extLst>
        </xdr:cNvPr>
        <xdr:cNvSpPr/>
      </xdr:nvSpPr>
      <xdr:spPr>
        <a:xfrm>
          <a:off x="550926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21065</xdr:colOff>
      <xdr:row>137</xdr:row>
      <xdr:rowOff>774203</xdr:rowOff>
    </xdr:from>
    <xdr:to>
      <xdr:col>7</xdr:col>
      <xdr:colOff>37450</xdr:colOff>
      <xdr:row>138</xdr:row>
      <xdr:rowOff>0</xdr:rowOff>
    </xdr:to>
    <xdr:sp macro="" textlink="">
      <xdr:nvSpPr>
        <xdr:cNvPr id="14" name="rect">
          <a:extLst>
            <a:ext uri="{FF2B5EF4-FFF2-40B4-BE49-F238E27FC236}">
              <a16:creationId xmlns:a16="http://schemas.microsoft.com/office/drawing/2014/main" id="{00000000-0008-0000-0800-00000E000000}"/>
            </a:ext>
          </a:extLst>
        </xdr:cNvPr>
        <xdr:cNvSpPr/>
      </xdr:nvSpPr>
      <xdr:spPr>
        <a:xfrm>
          <a:off x="4899660" y="349140768"/>
          <a:ext cx="15240" cy="15264"/>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5</xdr:col>
      <xdr:colOff>493667</xdr:colOff>
      <xdr:row>106</xdr:row>
      <xdr:rowOff>516135</xdr:rowOff>
    </xdr:from>
    <xdr:to>
      <xdr:col>5</xdr:col>
      <xdr:colOff>508975</xdr:colOff>
      <xdr:row>107</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5" name="Ink 14">
              <a:extLst>
                <a:ext uri="{FF2B5EF4-FFF2-40B4-BE49-F238E27FC236}">
                  <a16:creationId xmlns:a16="http://schemas.microsoft.com/office/drawing/2014/main" id="{00000000-0008-0000-0800-00000F000000}"/>
                </a:ext>
              </a:extLst>
            </xdr14:cNvPr>
            <xdr14:cNvContentPartPr/>
          </xdr14:nvContentPartPr>
          <xdr14:nvPr macro=""/>
          <xdr14:xfrm>
            <a:off x="4152900" y="284629856"/>
            <a:ext cx="15240" cy="15232"/>
          </xdr14:xfrm>
        </xdr:contentPart>
      </mc:Choice>
      <mc:Fallback xmlns="">
        <xdr:pic>
          <xdr:nvPicPr>
            <xdr:cNvPr id="15" name=" "/>
            <xdr:cNvPicPr/>
          </xdr:nvPicPr>
          <xdr:blipFill>
            <a:blip xmlns:r="http://schemas.openxmlformats.org/officeDocument/2006/relationships" r:embed="rId2"/>
            <a:stretch>
              <a:fillRect/>
            </a:stretch>
          </xdr:blipFill>
          <xdr:spPr>
            <a:xfrm>
              <a:off x="4152900" y="284629856"/>
              <a:ext cx="15240" cy="15232"/>
            </a:xfrm>
            <a:noFill/>
            <a:ln>
              <a:noFill/>
            </a:ln>
            <a:effectLst/>
          </xdr:spPr>
        </xdr:pic>
      </mc:Fallback>
    </mc:AlternateContent>
    <xdr:clientData/>
  </xdr:twoCellAnchor>
  <xdr:twoCellAnchor>
    <xdr:from>
      <xdr:col>6</xdr:col>
      <xdr:colOff>494439</xdr:colOff>
      <xdr:row>106</xdr:row>
      <xdr:rowOff>516135</xdr:rowOff>
    </xdr:from>
    <xdr:to>
      <xdr:col>6</xdr:col>
      <xdr:colOff>508928</xdr:colOff>
      <xdr:row>107</xdr:row>
      <xdr:rowOff>0</xdr:rowOff>
    </xdr:to>
    <xdr:sp macro="" textlink="">
      <xdr:nvSpPr>
        <xdr:cNvPr id="16" name="rect">
          <a:extLst>
            <a:ext uri="{FF2B5EF4-FFF2-40B4-BE49-F238E27FC236}">
              <a16:creationId xmlns:a16="http://schemas.microsoft.com/office/drawing/2014/main" id="{00000000-0008-0000-0800-000010000000}"/>
            </a:ext>
          </a:extLst>
        </xdr:cNvPr>
        <xdr:cNvSpPr/>
      </xdr:nvSpPr>
      <xdr:spPr>
        <a:xfrm>
          <a:off x="47625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493876</xdr:colOff>
      <xdr:row>106</xdr:row>
      <xdr:rowOff>516135</xdr:rowOff>
    </xdr:from>
    <xdr:to>
      <xdr:col>7</xdr:col>
      <xdr:colOff>510261</xdr:colOff>
      <xdr:row>107</xdr:row>
      <xdr:rowOff>0</xdr:rowOff>
    </xdr:to>
    <xdr:sp macro="" textlink="">
      <xdr:nvSpPr>
        <xdr:cNvPr id="17" name="rect">
          <a:extLst>
            <a:ext uri="{FF2B5EF4-FFF2-40B4-BE49-F238E27FC236}">
              <a16:creationId xmlns:a16="http://schemas.microsoft.com/office/drawing/2014/main" id="{00000000-0008-0000-0800-000011000000}"/>
            </a:ext>
          </a:extLst>
        </xdr:cNvPr>
        <xdr:cNvSpPr/>
      </xdr:nvSpPr>
      <xdr:spPr>
        <a:xfrm>
          <a:off x="53721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493876</xdr:colOff>
      <xdr:row>106</xdr:row>
      <xdr:rowOff>516135</xdr:rowOff>
    </xdr:from>
    <xdr:to>
      <xdr:col>7</xdr:col>
      <xdr:colOff>510261</xdr:colOff>
      <xdr:row>107</xdr:row>
      <xdr:rowOff>0</xdr:rowOff>
    </xdr:to>
    <xdr:sp macro="" textlink="">
      <xdr:nvSpPr>
        <xdr:cNvPr id="18" name="rect">
          <a:extLst>
            <a:ext uri="{FF2B5EF4-FFF2-40B4-BE49-F238E27FC236}">
              <a16:creationId xmlns:a16="http://schemas.microsoft.com/office/drawing/2014/main" id="{00000000-0008-0000-0800-000012000000}"/>
            </a:ext>
          </a:extLst>
        </xdr:cNvPr>
        <xdr:cNvSpPr/>
      </xdr:nvSpPr>
      <xdr:spPr>
        <a:xfrm>
          <a:off x="53721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19" name="rect">
          <a:extLst>
            <a:ext uri="{FF2B5EF4-FFF2-40B4-BE49-F238E27FC236}">
              <a16:creationId xmlns:a16="http://schemas.microsoft.com/office/drawing/2014/main" id="{00000000-0008-0000-0800-000013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20" name="Ink 19">
              <a:extLst>
                <a:ext uri="{FF2B5EF4-FFF2-40B4-BE49-F238E27FC236}">
                  <a16:creationId xmlns:a16="http://schemas.microsoft.com/office/drawing/2014/main" id="{00000000-0008-0000-0800-000014000000}"/>
                </a:ext>
              </a:extLst>
            </xdr14:cNvPr>
            <xdr14:cNvContentPartPr/>
          </xdr14:nvContentPartPr>
          <xdr14:nvPr macro=""/>
          <xdr14:xfrm>
            <a:off x="5478780" y="284629856"/>
            <a:ext cx="15240" cy="15232"/>
          </xdr14:xfrm>
        </xdr:contentPart>
      </mc:Choice>
      <mc:Fallback xmlns="">
        <xdr:pic>
          <xdr:nvPicPr>
            <xdr:cNvPr id="20" name=" "/>
            <xdr:cNvPicPr/>
          </xdr:nvPicPr>
          <xdr:blipFill>
            <a:blip xmlns:r="http://schemas.openxmlformats.org/officeDocument/2006/relationships" r:embed="rId2"/>
            <a:stretch>
              <a:fillRect/>
            </a:stretch>
          </xdr:blipFill>
          <xdr:spPr>
            <a:xfrm>
              <a:off x="5478780" y="284629856"/>
              <a:ext cx="15240" cy="15232"/>
            </a:xfrm>
            <a:noFill/>
            <a:ln>
              <a:noFill/>
            </a:ln>
            <a:effectLst/>
          </xdr:spPr>
        </xdr:pic>
      </mc:Fallback>
    </mc:AlternateContent>
    <xdr:clientData/>
  </xdr:twoCellAnchor>
  <xdr:twoCellAnchor>
    <xdr:from>
      <xdr:col>7</xdr:col>
      <xdr:colOff>601546</xdr:colOff>
      <xdr:row>106</xdr:row>
      <xdr:rowOff>516135</xdr:rowOff>
    </xdr:from>
    <xdr:to>
      <xdr:col>8</xdr:col>
      <xdr:colOff>5424</xdr:colOff>
      <xdr:row>107</xdr:row>
      <xdr:rowOff>0</xdr:rowOff>
    </xdr:to>
    <xdr:sp macro="" textlink="">
      <xdr:nvSpPr>
        <xdr:cNvPr id="21" name="rect">
          <a:extLst>
            <a:ext uri="{FF2B5EF4-FFF2-40B4-BE49-F238E27FC236}">
              <a16:creationId xmlns:a16="http://schemas.microsoft.com/office/drawing/2014/main" id="{00000000-0008-0000-0800-000015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22" name="rect">
          <a:extLst>
            <a:ext uri="{FF2B5EF4-FFF2-40B4-BE49-F238E27FC236}">
              <a16:creationId xmlns:a16="http://schemas.microsoft.com/office/drawing/2014/main" id="{00000000-0008-0000-0800-000016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23" name="rect">
          <a:extLst>
            <a:ext uri="{FF2B5EF4-FFF2-40B4-BE49-F238E27FC236}">
              <a16:creationId xmlns:a16="http://schemas.microsoft.com/office/drawing/2014/main" id="{00000000-0008-0000-0800-000017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24" name="rect">
          <a:extLst>
            <a:ext uri="{FF2B5EF4-FFF2-40B4-BE49-F238E27FC236}">
              <a16:creationId xmlns:a16="http://schemas.microsoft.com/office/drawing/2014/main" id="{00000000-0008-0000-0800-000018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5</xdr:col>
      <xdr:colOff>493667</xdr:colOff>
      <xdr:row>106</xdr:row>
      <xdr:rowOff>516135</xdr:rowOff>
    </xdr:from>
    <xdr:to>
      <xdr:col>5</xdr:col>
      <xdr:colOff>508975</xdr:colOff>
      <xdr:row>107</xdr:row>
      <xdr:rowOff>0</xdr:rowOff>
    </xdr:to>
    <xdr:sp macro="" textlink="">
      <xdr:nvSpPr>
        <xdr:cNvPr id="25" name="rect">
          <a:extLst>
            <a:ext uri="{FF2B5EF4-FFF2-40B4-BE49-F238E27FC236}">
              <a16:creationId xmlns:a16="http://schemas.microsoft.com/office/drawing/2014/main" id="{00000000-0008-0000-0800-000019000000}"/>
            </a:ext>
          </a:extLst>
        </xdr:cNvPr>
        <xdr:cNvSpPr/>
      </xdr:nvSpPr>
      <xdr:spPr>
        <a:xfrm>
          <a:off x="41529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494439</xdr:colOff>
      <xdr:row>106</xdr:row>
      <xdr:rowOff>516135</xdr:rowOff>
    </xdr:from>
    <xdr:to>
      <xdr:col>6</xdr:col>
      <xdr:colOff>508928</xdr:colOff>
      <xdr:row>107</xdr:row>
      <xdr:rowOff>0</xdr:rowOff>
    </xdr:to>
    <xdr:sp macro="" textlink="">
      <xdr:nvSpPr>
        <xdr:cNvPr id="26" name="rect">
          <a:extLst>
            <a:ext uri="{FF2B5EF4-FFF2-40B4-BE49-F238E27FC236}">
              <a16:creationId xmlns:a16="http://schemas.microsoft.com/office/drawing/2014/main" id="{00000000-0008-0000-0800-00001A000000}"/>
            </a:ext>
          </a:extLst>
        </xdr:cNvPr>
        <xdr:cNvSpPr/>
      </xdr:nvSpPr>
      <xdr:spPr>
        <a:xfrm>
          <a:off x="47625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493876</xdr:colOff>
      <xdr:row>106</xdr:row>
      <xdr:rowOff>516135</xdr:rowOff>
    </xdr:from>
    <xdr:to>
      <xdr:col>7</xdr:col>
      <xdr:colOff>510261</xdr:colOff>
      <xdr:row>107</xdr:row>
      <xdr:rowOff>0</xdr:rowOff>
    </xdr:to>
    <xdr:sp macro="" textlink="">
      <xdr:nvSpPr>
        <xdr:cNvPr id="27" name="rect">
          <a:extLst>
            <a:ext uri="{FF2B5EF4-FFF2-40B4-BE49-F238E27FC236}">
              <a16:creationId xmlns:a16="http://schemas.microsoft.com/office/drawing/2014/main" id="{00000000-0008-0000-0800-00001B000000}"/>
            </a:ext>
          </a:extLst>
        </xdr:cNvPr>
        <xdr:cNvSpPr/>
      </xdr:nvSpPr>
      <xdr:spPr>
        <a:xfrm>
          <a:off x="53721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28" name="rect">
          <a:extLst>
            <a:ext uri="{FF2B5EF4-FFF2-40B4-BE49-F238E27FC236}">
              <a16:creationId xmlns:a16="http://schemas.microsoft.com/office/drawing/2014/main" id="{00000000-0008-0000-0800-00001C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29" name="rect">
          <a:extLst>
            <a:ext uri="{FF2B5EF4-FFF2-40B4-BE49-F238E27FC236}">
              <a16:creationId xmlns:a16="http://schemas.microsoft.com/office/drawing/2014/main" id="{00000000-0008-0000-0800-00001D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30" name="rect">
          <a:extLst>
            <a:ext uri="{FF2B5EF4-FFF2-40B4-BE49-F238E27FC236}">
              <a16:creationId xmlns:a16="http://schemas.microsoft.com/office/drawing/2014/main" id="{00000000-0008-0000-0800-00001E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31" name="rect">
          <a:extLst>
            <a:ext uri="{FF2B5EF4-FFF2-40B4-BE49-F238E27FC236}">
              <a16:creationId xmlns:a16="http://schemas.microsoft.com/office/drawing/2014/main" id="{00000000-0008-0000-0800-00001F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32" name="rect">
          <a:extLst>
            <a:ext uri="{FF2B5EF4-FFF2-40B4-BE49-F238E27FC236}">
              <a16:creationId xmlns:a16="http://schemas.microsoft.com/office/drawing/2014/main" id="{00000000-0008-0000-0800-000020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33" name="rect">
          <a:extLst>
            <a:ext uri="{FF2B5EF4-FFF2-40B4-BE49-F238E27FC236}">
              <a16:creationId xmlns:a16="http://schemas.microsoft.com/office/drawing/2014/main" id="{00000000-0008-0000-0800-000021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494439</xdr:colOff>
      <xdr:row>106</xdr:row>
      <xdr:rowOff>516135</xdr:rowOff>
    </xdr:from>
    <xdr:to>
      <xdr:col>6</xdr:col>
      <xdr:colOff>508928</xdr:colOff>
      <xdr:row>107</xdr:row>
      <xdr:rowOff>0</xdr:rowOff>
    </xdr:to>
    <xdr:sp macro="" textlink="">
      <xdr:nvSpPr>
        <xdr:cNvPr id="34" name="rect">
          <a:extLst>
            <a:ext uri="{FF2B5EF4-FFF2-40B4-BE49-F238E27FC236}">
              <a16:creationId xmlns:a16="http://schemas.microsoft.com/office/drawing/2014/main" id="{00000000-0008-0000-0800-000022000000}"/>
            </a:ext>
          </a:extLst>
        </xdr:cNvPr>
        <xdr:cNvSpPr/>
      </xdr:nvSpPr>
      <xdr:spPr>
        <a:xfrm>
          <a:off x="47625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493876</xdr:colOff>
      <xdr:row>106</xdr:row>
      <xdr:rowOff>516135</xdr:rowOff>
    </xdr:from>
    <xdr:to>
      <xdr:col>7</xdr:col>
      <xdr:colOff>510261</xdr:colOff>
      <xdr:row>107</xdr:row>
      <xdr:rowOff>0</xdr:rowOff>
    </xdr:to>
    <xdr:sp macro="" textlink="">
      <xdr:nvSpPr>
        <xdr:cNvPr id="35" name="rect">
          <a:extLst>
            <a:ext uri="{FF2B5EF4-FFF2-40B4-BE49-F238E27FC236}">
              <a16:creationId xmlns:a16="http://schemas.microsoft.com/office/drawing/2014/main" id="{00000000-0008-0000-0800-000023000000}"/>
            </a:ext>
          </a:extLst>
        </xdr:cNvPr>
        <xdr:cNvSpPr/>
      </xdr:nvSpPr>
      <xdr:spPr>
        <a:xfrm>
          <a:off x="53721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36" name="rect">
          <a:extLst>
            <a:ext uri="{FF2B5EF4-FFF2-40B4-BE49-F238E27FC236}">
              <a16:creationId xmlns:a16="http://schemas.microsoft.com/office/drawing/2014/main" id="{00000000-0008-0000-0800-000024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37" name="rect">
          <a:extLst>
            <a:ext uri="{FF2B5EF4-FFF2-40B4-BE49-F238E27FC236}">
              <a16:creationId xmlns:a16="http://schemas.microsoft.com/office/drawing/2014/main" id="{00000000-0008-0000-0800-000025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38" name="rect">
          <a:extLst>
            <a:ext uri="{FF2B5EF4-FFF2-40B4-BE49-F238E27FC236}">
              <a16:creationId xmlns:a16="http://schemas.microsoft.com/office/drawing/2014/main" id="{00000000-0008-0000-0800-000026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39" name="rect">
          <a:extLst>
            <a:ext uri="{FF2B5EF4-FFF2-40B4-BE49-F238E27FC236}">
              <a16:creationId xmlns:a16="http://schemas.microsoft.com/office/drawing/2014/main" id="{00000000-0008-0000-0800-000027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40" name="rect">
          <a:extLst>
            <a:ext uri="{FF2B5EF4-FFF2-40B4-BE49-F238E27FC236}">
              <a16:creationId xmlns:a16="http://schemas.microsoft.com/office/drawing/2014/main" id="{00000000-0008-0000-0800-000028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493876</xdr:colOff>
      <xdr:row>106</xdr:row>
      <xdr:rowOff>516135</xdr:rowOff>
    </xdr:from>
    <xdr:to>
      <xdr:col>7</xdr:col>
      <xdr:colOff>510261</xdr:colOff>
      <xdr:row>107</xdr:row>
      <xdr:rowOff>0</xdr:rowOff>
    </xdr:to>
    <xdr:sp macro="" textlink="">
      <xdr:nvSpPr>
        <xdr:cNvPr id="41" name="rect">
          <a:extLst>
            <a:ext uri="{FF2B5EF4-FFF2-40B4-BE49-F238E27FC236}">
              <a16:creationId xmlns:a16="http://schemas.microsoft.com/office/drawing/2014/main" id="{00000000-0008-0000-0800-000029000000}"/>
            </a:ext>
          </a:extLst>
        </xdr:cNvPr>
        <xdr:cNvSpPr/>
      </xdr:nvSpPr>
      <xdr:spPr>
        <a:xfrm>
          <a:off x="53721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42" name="rect">
          <a:extLst>
            <a:ext uri="{FF2B5EF4-FFF2-40B4-BE49-F238E27FC236}">
              <a16:creationId xmlns:a16="http://schemas.microsoft.com/office/drawing/2014/main" id="{00000000-0008-0000-0800-00002A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43" name="rect">
          <a:extLst>
            <a:ext uri="{FF2B5EF4-FFF2-40B4-BE49-F238E27FC236}">
              <a16:creationId xmlns:a16="http://schemas.microsoft.com/office/drawing/2014/main" id="{00000000-0008-0000-0800-00002B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44" name="rect">
          <a:extLst>
            <a:ext uri="{FF2B5EF4-FFF2-40B4-BE49-F238E27FC236}">
              <a16:creationId xmlns:a16="http://schemas.microsoft.com/office/drawing/2014/main" id="{00000000-0008-0000-0800-00002C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45" name="rect">
          <a:extLst>
            <a:ext uri="{FF2B5EF4-FFF2-40B4-BE49-F238E27FC236}">
              <a16:creationId xmlns:a16="http://schemas.microsoft.com/office/drawing/2014/main" id="{00000000-0008-0000-0800-00002D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493876</xdr:colOff>
      <xdr:row>106</xdr:row>
      <xdr:rowOff>516135</xdr:rowOff>
    </xdr:from>
    <xdr:to>
      <xdr:col>7</xdr:col>
      <xdr:colOff>510261</xdr:colOff>
      <xdr:row>107</xdr:row>
      <xdr:rowOff>0</xdr:rowOff>
    </xdr:to>
    <xdr:sp macro="" textlink="">
      <xdr:nvSpPr>
        <xdr:cNvPr id="46" name="rect">
          <a:extLst>
            <a:ext uri="{FF2B5EF4-FFF2-40B4-BE49-F238E27FC236}">
              <a16:creationId xmlns:a16="http://schemas.microsoft.com/office/drawing/2014/main" id="{00000000-0008-0000-0800-00002E000000}"/>
            </a:ext>
          </a:extLst>
        </xdr:cNvPr>
        <xdr:cNvSpPr/>
      </xdr:nvSpPr>
      <xdr:spPr>
        <a:xfrm>
          <a:off x="53721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47" name="rect">
          <a:extLst>
            <a:ext uri="{FF2B5EF4-FFF2-40B4-BE49-F238E27FC236}">
              <a16:creationId xmlns:a16="http://schemas.microsoft.com/office/drawing/2014/main" id="{00000000-0008-0000-0800-00002F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48" name="rect">
          <a:extLst>
            <a:ext uri="{FF2B5EF4-FFF2-40B4-BE49-F238E27FC236}">
              <a16:creationId xmlns:a16="http://schemas.microsoft.com/office/drawing/2014/main" id="{00000000-0008-0000-0800-000030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49" name="rect">
          <a:extLst>
            <a:ext uri="{FF2B5EF4-FFF2-40B4-BE49-F238E27FC236}">
              <a16:creationId xmlns:a16="http://schemas.microsoft.com/office/drawing/2014/main" id="{00000000-0008-0000-0800-000031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50" name="rect">
          <a:extLst>
            <a:ext uri="{FF2B5EF4-FFF2-40B4-BE49-F238E27FC236}">
              <a16:creationId xmlns:a16="http://schemas.microsoft.com/office/drawing/2014/main" id="{00000000-0008-0000-0800-000032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51" name="rect">
          <a:extLst>
            <a:ext uri="{FF2B5EF4-FFF2-40B4-BE49-F238E27FC236}">
              <a16:creationId xmlns:a16="http://schemas.microsoft.com/office/drawing/2014/main" id="{00000000-0008-0000-0800-000033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52" name="rect">
          <a:extLst>
            <a:ext uri="{FF2B5EF4-FFF2-40B4-BE49-F238E27FC236}">
              <a16:creationId xmlns:a16="http://schemas.microsoft.com/office/drawing/2014/main" id="{00000000-0008-0000-0800-000034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53" name="rect">
          <a:extLst>
            <a:ext uri="{FF2B5EF4-FFF2-40B4-BE49-F238E27FC236}">
              <a16:creationId xmlns:a16="http://schemas.microsoft.com/office/drawing/2014/main" id="{00000000-0008-0000-0800-000035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54" name="rect">
          <a:extLst>
            <a:ext uri="{FF2B5EF4-FFF2-40B4-BE49-F238E27FC236}">
              <a16:creationId xmlns:a16="http://schemas.microsoft.com/office/drawing/2014/main" id="{00000000-0008-0000-0800-000036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55" name="rect">
          <a:extLst>
            <a:ext uri="{FF2B5EF4-FFF2-40B4-BE49-F238E27FC236}">
              <a16:creationId xmlns:a16="http://schemas.microsoft.com/office/drawing/2014/main" id="{00000000-0008-0000-0800-000037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56" name="rect">
          <a:extLst>
            <a:ext uri="{FF2B5EF4-FFF2-40B4-BE49-F238E27FC236}">
              <a16:creationId xmlns:a16="http://schemas.microsoft.com/office/drawing/2014/main" id="{00000000-0008-0000-0800-000038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57" name="rect">
          <a:extLst>
            <a:ext uri="{FF2B5EF4-FFF2-40B4-BE49-F238E27FC236}">
              <a16:creationId xmlns:a16="http://schemas.microsoft.com/office/drawing/2014/main" id="{00000000-0008-0000-0800-000039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58" name="rect">
          <a:extLst>
            <a:ext uri="{FF2B5EF4-FFF2-40B4-BE49-F238E27FC236}">
              <a16:creationId xmlns:a16="http://schemas.microsoft.com/office/drawing/2014/main" id="{00000000-0008-0000-0800-00003A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59" name="rect">
          <a:extLst>
            <a:ext uri="{FF2B5EF4-FFF2-40B4-BE49-F238E27FC236}">
              <a16:creationId xmlns:a16="http://schemas.microsoft.com/office/drawing/2014/main" id="{00000000-0008-0000-0800-00003B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60" name="rect">
          <a:extLst>
            <a:ext uri="{FF2B5EF4-FFF2-40B4-BE49-F238E27FC236}">
              <a16:creationId xmlns:a16="http://schemas.microsoft.com/office/drawing/2014/main" id="{00000000-0008-0000-0800-00003C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61" name="rect">
          <a:extLst>
            <a:ext uri="{FF2B5EF4-FFF2-40B4-BE49-F238E27FC236}">
              <a16:creationId xmlns:a16="http://schemas.microsoft.com/office/drawing/2014/main" id="{00000000-0008-0000-0800-00003D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62" name="rect">
          <a:extLst>
            <a:ext uri="{FF2B5EF4-FFF2-40B4-BE49-F238E27FC236}">
              <a16:creationId xmlns:a16="http://schemas.microsoft.com/office/drawing/2014/main" id="{00000000-0008-0000-0800-00003E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63" name="rect">
          <a:extLst>
            <a:ext uri="{FF2B5EF4-FFF2-40B4-BE49-F238E27FC236}">
              <a16:creationId xmlns:a16="http://schemas.microsoft.com/office/drawing/2014/main" id="{00000000-0008-0000-0800-00003F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64" name="rect">
          <a:extLst>
            <a:ext uri="{FF2B5EF4-FFF2-40B4-BE49-F238E27FC236}">
              <a16:creationId xmlns:a16="http://schemas.microsoft.com/office/drawing/2014/main" id="{00000000-0008-0000-0800-000040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65" name="rect">
          <a:extLst>
            <a:ext uri="{FF2B5EF4-FFF2-40B4-BE49-F238E27FC236}">
              <a16:creationId xmlns:a16="http://schemas.microsoft.com/office/drawing/2014/main" id="{00000000-0008-0000-0800-000041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66" name="rect">
          <a:extLst>
            <a:ext uri="{FF2B5EF4-FFF2-40B4-BE49-F238E27FC236}">
              <a16:creationId xmlns:a16="http://schemas.microsoft.com/office/drawing/2014/main" id="{00000000-0008-0000-0800-000042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67" name="rect">
          <a:extLst>
            <a:ext uri="{FF2B5EF4-FFF2-40B4-BE49-F238E27FC236}">
              <a16:creationId xmlns:a16="http://schemas.microsoft.com/office/drawing/2014/main" id="{00000000-0008-0000-0800-000043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494439</xdr:colOff>
      <xdr:row>106</xdr:row>
      <xdr:rowOff>516135</xdr:rowOff>
    </xdr:from>
    <xdr:to>
      <xdr:col>6</xdr:col>
      <xdr:colOff>508928</xdr:colOff>
      <xdr:row>107</xdr:row>
      <xdr:rowOff>0</xdr:rowOff>
    </xdr:to>
    <xdr:sp macro="" textlink="">
      <xdr:nvSpPr>
        <xdr:cNvPr id="68" name="rect">
          <a:extLst>
            <a:ext uri="{FF2B5EF4-FFF2-40B4-BE49-F238E27FC236}">
              <a16:creationId xmlns:a16="http://schemas.microsoft.com/office/drawing/2014/main" id="{00000000-0008-0000-0800-000044000000}"/>
            </a:ext>
          </a:extLst>
        </xdr:cNvPr>
        <xdr:cNvSpPr/>
      </xdr:nvSpPr>
      <xdr:spPr>
        <a:xfrm>
          <a:off x="47625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493876</xdr:colOff>
      <xdr:row>106</xdr:row>
      <xdr:rowOff>516135</xdr:rowOff>
    </xdr:from>
    <xdr:to>
      <xdr:col>7</xdr:col>
      <xdr:colOff>510261</xdr:colOff>
      <xdr:row>107</xdr:row>
      <xdr:rowOff>0</xdr:rowOff>
    </xdr:to>
    <xdr:sp macro="" textlink="">
      <xdr:nvSpPr>
        <xdr:cNvPr id="69" name="rect">
          <a:extLst>
            <a:ext uri="{FF2B5EF4-FFF2-40B4-BE49-F238E27FC236}">
              <a16:creationId xmlns:a16="http://schemas.microsoft.com/office/drawing/2014/main" id="{00000000-0008-0000-0800-000045000000}"/>
            </a:ext>
          </a:extLst>
        </xdr:cNvPr>
        <xdr:cNvSpPr/>
      </xdr:nvSpPr>
      <xdr:spPr>
        <a:xfrm>
          <a:off x="53721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70" name="rect">
          <a:extLst>
            <a:ext uri="{FF2B5EF4-FFF2-40B4-BE49-F238E27FC236}">
              <a16:creationId xmlns:a16="http://schemas.microsoft.com/office/drawing/2014/main" id="{00000000-0008-0000-0800-000046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71" name="rect">
          <a:extLst>
            <a:ext uri="{FF2B5EF4-FFF2-40B4-BE49-F238E27FC236}">
              <a16:creationId xmlns:a16="http://schemas.microsoft.com/office/drawing/2014/main" id="{00000000-0008-0000-0800-000047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72" name="rect">
          <a:extLst>
            <a:ext uri="{FF2B5EF4-FFF2-40B4-BE49-F238E27FC236}">
              <a16:creationId xmlns:a16="http://schemas.microsoft.com/office/drawing/2014/main" id="{00000000-0008-0000-0800-000048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73" name="rect">
          <a:extLst>
            <a:ext uri="{FF2B5EF4-FFF2-40B4-BE49-F238E27FC236}">
              <a16:creationId xmlns:a16="http://schemas.microsoft.com/office/drawing/2014/main" id="{00000000-0008-0000-0800-000049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74" name="rect">
          <a:extLst>
            <a:ext uri="{FF2B5EF4-FFF2-40B4-BE49-F238E27FC236}">
              <a16:creationId xmlns:a16="http://schemas.microsoft.com/office/drawing/2014/main" id="{00000000-0008-0000-0800-00004A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493876</xdr:colOff>
      <xdr:row>106</xdr:row>
      <xdr:rowOff>516135</xdr:rowOff>
    </xdr:from>
    <xdr:to>
      <xdr:col>7</xdr:col>
      <xdr:colOff>510261</xdr:colOff>
      <xdr:row>107</xdr:row>
      <xdr:rowOff>0</xdr:rowOff>
    </xdr:to>
    <xdr:sp macro="" textlink="">
      <xdr:nvSpPr>
        <xdr:cNvPr id="75" name="rect">
          <a:extLst>
            <a:ext uri="{FF2B5EF4-FFF2-40B4-BE49-F238E27FC236}">
              <a16:creationId xmlns:a16="http://schemas.microsoft.com/office/drawing/2014/main" id="{00000000-0008-0000-0800-00004B000000}"/>
            </a:ext>
          </a:extLst>
        </xdr:cNvPr>
        <xdr:cNvSpPr/>
      </xdr:nvSpPr>
      <xdr:spPr>
        <a:xfrm>
          <a:off x="53721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76" name="rect">
          <a:extLst>
            <a:ext uri="{FF2B5EF4-FFF2-40B4-BE49-F238E27FC236}">
              <a16:creationId xmlns:a16="http://schemas.microsoft.com/office/drawing/2014/main" id="{00000000-0008-0000-0800-00004C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77" name="rect">
          <a:extLst>
            <a:ext uri="{FF2B5EF4-FFF2-40B4-BE49-F238E27FC236}">
              <a16:creationId xmlns:a16="http://schemas.microsoft.com/office/drawing/2014/main" id="{00000000-0008-0000-0800-00004D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78" name="rect">
          <a:extLst>
            <a:ext uri="{FF2B5EF4-FFF2-40B4-BE49-F238E27FC236}">
              <a16:creationId xmlns:a16="http://schemas.microsoft.com/office/drawing/2014/main" id="{00000000-0008-0000-0800-00004E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79" name="rect">
          <a:extLst>
            <a:ext uri="{FF2B5EF4-FFF2-40B4-BE49-F238E27FC236}">
              <a16:creationId xmlns:a16="http://schemas.microsoft.com/office/drawing/2014/main" id="{00000000-0008-0000-0800-00004F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80" name="rect">
          <a:extLst>
            <a:ext uri="{FF2B5EF4-FFF2-40B4-BE49-F238E27FC236}">
              <a16:creationId xmlns:a16="http://schemas.microsoft.com/office/drawing/2014/main" id="{00000000-0008-0000-0800-000050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81" name="rect">
          <a:extLst>
            <a:ext uri="{FF2B5EF4-FFF2-40B4-BE49-F238E27FC236}">
              <a16:creationId xmlns:a16="http://schemas.microsoft.com/office/drawing/2014/main" id="{00000000-0008-0000-0800-000051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82" name="rect">
          <a:extLst>
            <a:ext uri="{FF2B5EF4-FFF2-40B4-BE49-F238E27FC236}">
              <a16:creationId xmlns:a16="http://schemas.microsoft.com/office/drawing/2014/main" id="{00000000-0008-0000-0800-000052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83" name="rect">
          <a:extLst>
            <a:ext uri="{FF2B5EF4-FFF2-40B4-BE49-F238E27FC236}">
              <a16:creationId xmlns:a16="http://schemas.microsoft.com/office/drawing/2014/main" id="{00000000-0008-0000-0800-000053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84" name="rect">
          <a:extLst>
            <a:ext uri="{FF2B5EF4-FFF2-40B4-BE49-F238E27FC236}">
              <a16:creationId xmlns:a16="http://schemas.microsoft.com/office/drawing/2014/main" id="{00000000-0008-0000-0800-000054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85" name="rect">
          <a:extLst>
            <a:ext uri="{FF2B5EF4-FFF2-40B4-BE49-F238E27FC236}">
              <a16:creationId xmlns:a16="http://schemas.microsoft.com/office/drawing/2014/main" id="{00000000-0008-0000-0800-000055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86" name="rect">
          <a:extLst>
            <a:ext uri="{FF2B5EF4-FFF2-40B4-BE49-F238E27FC236}">
              <a16:creationId xmlns:a16="http://schemas.microsoft.com/office/drawing/2014/main" id="{00000000-0008-0000-0800-000056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87" name="rect">
          <a:extLst>
            <a:ext uri="{FF2B5EF4-FFF2-40B4-BE49-F238E27FC236}">
              <a16:creationId xmlns:a16="http://schemas.microsoft.com/office/drawing/2014/main" id="{00000000-0008-0000-0800-000057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88" name="rect">
          <a:extLst>
            <a:ext uri="{FF2B5EF4-FFF2-40B4-BE49-F238E27FC236}">
              <a16:creationId xmlns:a16="http://schemas.microsoft.com/office/drawing/2014/main" id="{00000000-0008-0000-0800-000058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89" name="rect">
          <a:extLst>
            <a:ext uri="{FF2B5EF4-FFF2-40B4-BE49-F238E27FC236}">
              <a16:creationId xmlns:a16="http://schemas.microsoft.com/office/drawing/2014/main" id="{00000000-0008-0000-0800-000059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90" name="rect">
          <a:extLst>
            <a:ext uri="{FF2B5EF4-FFF2-40B4-BE49-F238E27FC236}">
              <a16:creationId xmlns:a16="http://schemas.microsoft.com/office/drawing/2014/main" id="{00000000-0008-0000-0800-00005A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91" name="rect">
          <a:extLst>
            <a:ext uri="{FF2B5EF4-FFF2-40B4-BE49-F238E27FC236}">
              <a16:creationId xmlns:a16="http://schemas.microsoft.com/office/drawing/2014/main" id="{00000000-0008-0000-0800-00005B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494439</xdr:colOff>
      <xdr:row>106</xdr:row>
      <xdr:rowOff>516135</xdr:rowOff>
    </xdr:from>
    <xdr:to>
      <xdr:col>6</xdr:col>
      <xdr:colOff>508928</xdr:colOff>
      <xdr:row>107</xdr:row>
      <xdr:rowOff>0</xdr:rowOff>
    </xdr:to>
    <xdr:sp macro="" textlink="">
      <xdr:nvSpPr>
        <xdr:cNvPr id="92" name="rect">
          <a:extLst>
            <a:ext uri="{FF2B5EF4-FFF2-40B4-BE49-F238E27FC236}">
              <a16:creationId xmlns:a16="http://schemas.microsoft.com/office/drawing/2014/main" id="{00000000-0008-0000-0800-00005C000000}"/>
            </a:ext>
          </a:extLst>
        </xdr:cNvPr>
        <xdr:cNvSpPr/>
      </xdr:nvSpPr>
      <xdr:spPr>
        <a:xfrm>
          <a:off x="47625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493876</xdr:colOff>
      <xdr:row>106</xdr:row>
      <xdr:rowOff>516135</xdr:rowOff>
    </xdr:from>
    <xdr:to>
      <xdr:col>7</xdr:col>
      <xdr:colOff>510261</xdr:colOff>
      <xdr:row>107</xdr:row>
      <xdr:rowOff>0</xdr:rowOff>
    </xdr:to>
    <xdr:sp macro="" textlink="">
      <xdr:nvSpPr>
        <xdr:cNvPr id="93" name="rect">
          <a:extLst>
            <a:ext uri="{FF2B5EF4-FFF2-40B4-BE49-F238E27FC236}">
              <a16:creationId xmlns:a16="http://schemas.microsoft.com/office/drawing/2014/main" id="{00000000-0008-0000-0800-00005D000000}"/>
            </a:ext>
          </a:extLst>
        </xdr:cNvPr>
        <xdr:cNvSpPr/>
      </xdr:nvSpPr>
      <xdr:spPr>
        <a:xfrm>
          <a:off x="53721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94" name="rect">
          <a:extLst>
            <a:ext uri="{FF2B5EF4-FFF2-40B4-BE49-F238E27FC236}">
              <a16:creationId xmlns:a16="http://schemas.microsoft.com/office/drawing/2014/main" id="{00000000-0008-0000-0800-00005E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95" name="rect">
          <a:extLst>
            <a:ext uri="{FF2B5EF4-FFF2-40B4-BE49-F238E27FC236}">
              <a16:creationId xmlns:a16="http://schemas.microsoft.com/office/drawing/2014/main" id="{00000000-0008-0000-0800-00005F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96" name="rect">
          <a:extLst>
            <a:ext uri="{FF2B5EF4-FFF2-40B4-BE49-F238E27FC236}">
              <a16:creationId xmlns:a16="http://schemas.microsoft.com/office/drawing/2014/main" id="{00000000-0008-0000-0800-000060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97" name="rect">
          <a:extLst>
            <a:ext uri="{FF2B5EF4-FFF2-40B4-BE49-F238E27FC236}">
              <a16:creationId xmlns:a16="http://schemas.microsoft.com/office/drawing/2014/main" id="{00000000-0008-0000-0800-000061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98" name="rect">
          <a:extLst>
            <a:ext uri="{FF2B5EF4-FFF2-40B4-BE49-F238E27FC236}">
              <a16:creationId xmlns:a16="http://schemas.microsoft.com/office/drawing/2014/main" id="{00000000-0008-0000-0800-000062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493876</xdr:colOff>
      <xdr:row>106</xdr:row>
      <xdr:rowOff>516135</xdr:rowOff>
    </xdr:from>
    <xdr:to>
      <xdr:col>7</xdr:col>
      <xdr:colOff>510261</xdr:colOff>
      <xdr:row>107</xdr:row>
      <xdr:rowOff>0</xdr:rowOff>
    </xdr:to>
    <xdr:sp macro="" textlink="">
      <xdr:nvSpPr>
        <xdr:cNvPr id="99" name="rect">
          <a:extLst>
            <a:ext uri="{FF2B5EF4-FFF2-40B4-BE49-F238E27FC236}">
              <a16:creationId xmlns:a16="http://schemas.microsoft.com/office/drawing/2014/main" id="{00000000-0008-0000-0800-000063000000}"/>
            </a:ext>
          </a:extLst>
        </xdr:cNvPr>
        <xdr:cNvSpPr/>
      </xdr:nvSpPr>
      <xdr:spPr>
        <a:xfrm>
          <a:off x="53721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100" name="rect">
          <a:extLst>
            <a:ext uri="{FF2B5EF4-FFF2-40B4-BE49-F238E27FC236}">
              <a16:creationId xmlns:a16="http://schemas.microsoft.com/office/drawing/2014/main" id="{00000000-0008-0000-0800-000064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01" name="rect">
          <a:extLst>
            <a:ext uri="{FF2B5EF4-FFF2-40B4-BE49-F238E27FC236}">
              <a16:creationId xmlns:a16="http://schemas.microsoft.com/office/drawing/2014/main" id="{00000000-0008-0000-0800-000065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02" name="rect">
          <a:extLst>
            <a:ext uri="{FF2B5EF4-FFF2-40B4-BE49-F238E27FC236}">
              <a16:creationId xmlns:a16="http://schemas.microsoft.com/office/drawing/2014/main" id="{00000000-0008-0000-0800-000066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03" name="rect">
          <a:extLst>
            <a:ext uri="{FF2B5EF4-FFF2-40B4-BE49-F238E27FC236}">
              <a16:creationId xmlns:a16="http://schemas.microsoft.com/office/drawing/2014/main" id="{00000000-0008-0000-0800-000067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104" name="rect">
          <a:extLst>
            <a:ext uri="{FF2B5EF4-FFF2-40B4-BE49-F238E27FC236}">
              <a16:creationId xmlns:a16="http://schemas.microsoft.com/office/drawing/2014/main" id="{00000000-0008-0000-0800-000068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05" name="rect">
          <a:extLst>
            <a:ext uri="{FF2B5EF4-FFF2-40B4-BE49-F238E27FC236}">
              <a16:creationId xmlns:a16="http://schemas.microsoft.com/office/drawing/2014/main" id="{00000000-0008-0000-0800-000069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06" name="rect">
          <a:extLst>
            <a:ext uri="{FF2B5EF4-FFF2-40B4-BE49-F238E27FC236}">
              <a16:creationId xmlns:a16="http://schemas.microsoft.com/office/drawing/2014/main" id="{00000000-0008-0000-0800-00006A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07" name="rect">
          <a:extLst>
            <a:ext uri="{FF2B5EF4-FFF2-40B4-BE49-F238E27FC236}">
              <a16:creationId xmlns:a16="http://schemas.microsoft.com/office/drawing/2014/main" id="{00000000-0008-0000-0800-00006B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08" name="rect">
          <a:extLst>
            <a:ext uri="{FF2B5EF4-FFF2-40B4-BE49-F238E27FC236}">
              <a16:creationId xmlns:a16="http://schemas.microsoft.com/office/drawing/2014/main" id="{00000000-0008-0000-0800-00006C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09" name="rect">
          <a:extLst>
            <a:ext uri="{FF2B5EF4-FFF2-40B4-BE49-F238E27FC236}">
              <a16:creationId xmlns:a16="http://schemas.microsoft.com/office/drawing/2014/main" id="{00000000-0008-0000-0800-00006D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10" name="rect">
          <a:extLst>
            <a:ext uri="{FF2B5EF4-FFF2-40B4-BE49-F238E27FC236}">
              <a16:creationId xmlns:a16="http://schemas.microsoft.com/office/drawing/2014/main" id="{00000000-0008-0000-0800-00006E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11" name="rect">
          <a:extLst>
            <a:ext uri="{FF2B5EF4-FFF2-40B4-BE49-F238E27FC236}">
              <a16:creationId xmlns:a16="http://schemas.microsoft.com/office/drawing/2014/main" id="{00000000-0008-0000-0800-00006F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12" name="rect">
          <a:extLst>
            <a:ext uri="{FF2B5EF4-FFF2-40B4-BE49-F238E27FC236}">
              <a16:creationId xmlns:a16="http://schemas.microsoft.com/office/drawing/2014/main" id="{00000000-0008-0000-0800-000070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493876</xdr:colOff>
      <xdr:row>106</xdr:row>
      <xdr:rowOff>516135</xdr:rowOff>
    </xdr:from>
    <xdr:to>
      <xdr:col>7</xdr:col>
      <xdr:colOff>510261</xdr:colOff>
      <xdr:row>107</xdr:row>
      <xdr:rowOff>0</xdr:rowOff>
    </xdr:to>
    <xdr:sp macro="" textlink="">
      <xdr:nvSpPr>
        <xdr:cNvPr id="113" name="rect">
          <a:extLst>
            <a:ext uri="{FF2B5EF4-FFF2-40B4-BE49-F238E27FC236}">
              <a16:creationId xmlns:a16="http://schemas.microsoft.com/office/drawing/2014/main" id="{00000000-0008-0000-0800-000071000000}"/>
            </a:ext>
          </a:extLst>
        </xdr:cNvPr>
        <xdr:cNvSpPr/>
      </xdr:nvSpPr>
      <xdr:spPr>
        <a:xfrm>
          <a:off x="53721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114" name="rect">
          <a:extLst>
            <a:ext uri="{FF2B5EF4-FFF2-40B4-BE49-F238E27FC236}">
              <a16:creationId xmlns:a16="http://schemas.microsoft.com/office/drawing/2014/main" id="{00000000-0008-0000-0800-000072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15" name="rect">
          <a:extLst>
            <a:ext uri="{FF2B5EF4-FFF2-40B4-BE49-F238E27FC236}">
              <a16:creationId xmlns:a16="http://schemas.microsoft.com/office/drawing/2014/main" id="{00000000-0008-0000-0800-000073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16" name="rect">
          <a:extLst>
            <a:ext uri="{FF2B5EF4-FFF2-40B4-BE49-F238E27FC236}">
              <a16:creationId xmlns:a16="http://schemas.microsoft.com/office/drawing/2014/main" id="{00000000-0008-0000-0800-000074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17" name="rect">
          <a:extLst>
            <a:ext uri="{FF2B5EF4-FFF2-40B4-BE49-F238E27FC236}">
              <a16:creationId xmlns:a16="http://schemas.microsoft.com/office/drawing/2014/main" id="{00000000-0008-0000-0800-000075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118" name="rect">
          <a:extLst>
            <a:ext uri="{FF2B5EF4-FFF2-40B4-BE49-F238E27FC236}">
              <a16:creationId xmlns:a16="http://schemas.microsoft.com/office/drawing/2014/main" id="{00000000-0008-0000-0800-000076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19" name="rect">
          <a:extLst>
            <a:ext uri="{FF2B5EF4-FFF2-40B4-BE49-F238E27FC236}">
              <a16:creationId xmlns:a16="http://schemas.microsoft.com/office/drawing/2014/main" id="{00000000-0008-0000-0800-000077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20" name="rect">
          <a:extLst>
            <a:ext uri="{FF2B5EF4-FFF2-40B4-BE49-F238E27FC236}">
              <a16:creationId xmlns:a16="http://schemas.microsoft.com/office/drawing/2014/main" id="{00000000-0008-0000-0800-000078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21" name="rect">
          <a:extLst>
            <a:ext uri="{FF2B5EF4-FFF2-40B4-BE49-F238E27FC236}">
              <a16:creationId xmlns:a16="http://schemas.microsoft.com/office/drawing/2014/main" id="{00000000-0008-0000-0800-000079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22" name="rect">
          <a:extLst>
            <a:ext uri="{FF2B5EF4-FFF2-40B4-BE49-F238E27FC236}">
              <a16:creationId xmlns:a16="http://schemas.microsoft.com/office/drawing/2014/main" id="{00000000-0008-0000-0800-00007A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23" name="rect">
          <a:extLst>
            <a:ext uri="{FF2B5EF4-FFF2-40B4-BE49-F238E27FC236}">
              <a16:creationId xmlns:a16="http://schemas.microsoft.com/office/drawing/2014/main" id="{00000000-0008-0000-0800-00007B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24" name="rect">
          <a:extLst>
            <a:ext uri="{FF2B5EF4-FFF2-40B4-BE49-F238E27FC236}">
              <a16:creationId xmlns:a16="http://schemas.microsoft.com/office/drawing/2014/main" id="{00000000-0008-0000-0800-00007C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493876</xdr:colOff>
      <xdr:row>106</xdr:row>
      <xdr:rowOff>516135</xdr:rowOff>
    </xdr:from>
    <xdr:to>
      <xdr:col>7</xdr:col>
      <xdr:colOff>510261</xdr:colOff>
      <xdr:row>107</xdr:row>
      <xdr:rowOff>0</xdr:rowOff>
    </xdr:to>
    <xdr:sp macro="" textlink="">
      <xdr:nvSpPr>
        <xdr:cNvPr id="125" name="rect">
          <a:extLst>
            <a:ext uri="{FF2B5EF4-FFF2-40B4-BE49-F238E27FC236}">
              <a16:creationId xmlns:a16="http://schemas.microsoft.com/office/drawing/2014/main" id="{00000000-0008-0000-0800-00007D000000}"/>
            </a:ext>
          </a:extLst>
        </xdr:cNvPr>
        <xdr:cNvSpPr/>
      </xdr:nvSpPr>
      <xdr:spPr>
        <a:xfrm>
          <a:off x="53721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126" name="rect">
          <a:extLst>
            <a:ext uri="{FF2B5EF4-FFF2-40B4-BE49-F238E27FC236}">
              <a16:creationId xmlns:a16="http://schemas.microsoft.com/office/drawing/2014/main" id="{00000000-0008-0000-0800-00007E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27" name="rect">
          <a:extLst>
            <a:ext uri="{FF2B5EF4-FFF2-40B4-BE49-F238E27FC236}">
              <a16:creationId xmlns:a16="http://schemas.microsoft.com/office/drawing/2014/main" id="{00000000-0008-0000-0800-00007F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28" name="rect">
          <a:extLst>
            <a:ext uri="{FF2B5EF4-FFF2-40B4-BE49-F238E27FC236}">
              <a16:creationId xmlns:a16="http://schemas.microsoft.com/office/drawing/2014/main" id="{00000000-0008-0000-0800-000080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29" name="rect">
          <a:extLst>
            <a:ext uri="{FF2B5EF4-FFF2-40B4-BE49-F238E27FC236}">
              <a16:creationId xmlns:a16="http://schemas.microsoft.com/office/drawing/2014/main" id="{00000000-0008-0000-0800-000081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130" name="rect">
          <a:extLst>
            <a:ext uri="{FF2B5EF4-FFF2-40B4-BE49-F238E27FC236}">
              <a16:creationId xmlns:a16="http://schemas.microsoft.com/office/drawing/2014/main" id="{00000000-0008-0000-0800-000082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31" name="rect">
          <a:extLst>
            <a:ext uri="{FF2B5EF4-FFF2-40B4-BE49-F238E27FC236}">
              <a16:creationId xmlns:a16="http://schemas.microsoft.com/office/drawing/2014/main" id="{00000000-0008-0000-0800-000083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32" name="rect">
          <a:extLst>
            <a:ext uri="{FF2B5EF4-FFF2-40B4-BE49-F238E27FC236}">
              <a16:creationId xmlns:a16="http://schemas.microsoft.com/office/drawing/2014/main" id="{00000000-0008-0000-0800-000084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33" name="rect">
          <a:extLst>
            <a:ext uri="{FF2B5EF4-FFF2-40B4-BE49-F238E27FC236}">
              <a16:creationId xmlns:a16="http://schemas.microsoft.com/office/drawing/2014/main" id="{00000000-0008-0000-0800-000085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34" name="rect">
          <a:extLst>
            <a:ext uri="{FF2B5EF4-FFF2-40B4-BE49-F238E27FC236}">
              <a16:creationId xmlns:a16="http://schemas.microsoft.com/office/drawing/2014/main" id="{00000000-0008-0000-0800-000086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35" name="rect">
          <a:extLst>
            <a:ext uri="{FF2B5EF4-FFF2-40B4-BE49-F238E27FC236}">
              <a16:creationId xmlns:a16="http://schemas.microsoft.com/office/drawing/2014/main" id="{00000000-0008-0000-0800-000087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36" name="rect">
          <a:extLst>
            <a:ext uri="{FF2B5EF4-FFF2-40B4-BE49-F238E27FC236}">
              <a16:creationId xmlns:a16="http://schemas.microsoft.com/office/drawing/2014/main" id="{00000000-0008-0000-0800-000088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137" name="rect">
          <a:extLst>
            <a:ext uri="{FF2B5EF4-FFF2-40B4-BE49-F238E27FC236}">
              <a16:creationId xmlns:a16="http://schemas.microsoft.com/office/drawing/2014/main" id="{00000000-0008-0000-0800-000089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38" name="rect">
          <a:extLst>
            <a:ext uri="{FF2B5EF4-FFF2-40B4-BE49-F238E27FC236}">
              <a16:creationId xmlns:a16="http://schemas.microsoft.com/office/drawing/2014/main" id="{00000000-0008-0000-0800-00008A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39" name="rect">
          <a:extLst>
            <a:ext uri="{FF2B5EF4-FFF2-40B4-BE49-F238E27FC236}">
              <a16:creationId xmlns:a16="http://schemas.microsoft.com/office/drawing/2014/main" id="{00000000-0008-0000-0800-00008B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40" name="rect">
          <a:extLst>
            <a:ext uri="{FF2B5EF4-FFF2-40B4-BE49-F238E27FC236}">
              <a16:creationId xmlns:a16="http://schemas.microsoft.com/office/drawing/2014/main" id="{00000000-0008-0000-0800-00008C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41" name="rect">
          <a:extLst>
            <a:ext uri="{FF2B5EF4-FFF2-40B4-BE49-F238E27FC236}">
              <a16:creationId xmlns:a16="http://schemas.microsoft.com/office/drawing/2014/main" id="{00000000-0008-0000-0800-00008D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42" name="rect">
          <a:extLst>
            <a:ext uri="{FF2B5EF4-FFF2-40B4-BE49-F238E27FC236}">
              <a16:creationId xmlns:a16="http://schemas.microsoft.com/office/drawing/2014/main" id="{00000000-0008-0000-0800-00008E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43" name="rect">
          <a:extLst>
            <a:ext uri="{FF2B5EF4-FFF2-40B4-BE49-F238E27FC236}">
              <a16:creationId xmlns:a16="http://schemas.microsoft.com/office/drawing/2014/main" id="{00000000-0008-0000-0800-00008F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44" name="rect">
          <a:extLst>
            <a:ext uri="{FF2B5EF4-FFF2-40B4-BE49-F238E27FC236}">
              <a16:creationId xmlns:a16="http://schemas.microsoft.com/office/drawing/2014/main" id="{00000000-0008-0000-0800-000090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45" name="rect">
          <a:extLst>
            <a:ext uri="{FF2B5EF4-FFF2-40B4-BE49-F238E27FC236}">
              <a16:creationId xmlns:a16="http://schemas.microsoft.com/office/drawing/2014/main" id="{00000000-0008-0000-0800-000091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46" name="rect">
          <a:extLst>
            <a:ext uri="{FF2B5EF4-FFF2-40B4-BE49-F238E27FC236}">
              <a16:creationId xmlns:a16="http://schemas.microsoft.com/office/drawing/2014/main" id="{00000000-0008-0000-0800-000092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8</xdr:col>
      <xdr:colOff>493649</xdr:colOff>
      <xdr:row>106</xdr:row>
      <xdr:rowOff>516135</xdr:rowOff>
    </xdr:from>
    <xdr:to>
      <xdr:col>8</xdr:col>
      <xdr:colOff>509923</xdr:colOff>
      <xdr:row>107</xdr:row>
      <xdr:rowOff>0</xdr:rowOff>
    </xdr:to>
    <xdr:sp macro="" textlink="">
      <xdr:nvSpPr>
        <xdr:cNvPr id="147" name="rect">
          <a:extLst>
            <a:ext uri="{FF2B5EF4-FFF2-40B4-BE49-F238E27FC236}">
              <a16:creationId xmlns:a16="http://schemas.microsoft.com/office/drawing/2014/main" id="{00000000-0008-0000-0800-000093000000}"/>
            </a:ext>
          </a:extLst>
        </xdr:cNvPr>
        <xdr:cNvSpPr/>
      </xdr:nvSpPr>
      <xdr:spPr>
        <a:xfrm>
          <a:off x="598170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48" name="rect">
          <a:extLst>
            <a:ext uri="{FF2B5EF4-FFF2-40B4-BE49-F238E27FC236}">
              <a16:creationId xmlns:a16="http://schemas.microsoft.com/office/drawing/2014/main" id="{00000000-0008-0000-0800-000094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49" name="rect">
          <a:extLst>
            <a:ext uri="{FF2B5EF4-FFF2-40B4-BE49-F238E27FC236}">
              <a16:creationId xmlns:a16="http://schemas.microsoft.com/office/drawing/2014/main" id="{00000000-0008-0000-0800-000095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50" name="rect">
          <a:extLst>
            <a:ext uri="{FF2B5EF4-FFF2-40B4-BE49-F238E27FC236}">
              <a16:creationId xmlns:a16="http://schemas.microsoft.com/office/drawing/2014/main" id="{00000000-0008-0000-0800-000096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51" name="rect">
          <a:extLst>
            <a:ext uri="{FF2B5EF4-FFF2-40B4-BE49-F238E27FC236}">
              <a16:creationId xmlns:a16="http://schemas.microsoft.com/office/drawing/2014/main" id="{00000000-0008-0000-0800-000097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52" name="rect">
          <a:extLst>
            <a:ext uri="{FF2B5EF4-FFF2-40B4-BE49-F238E27FC236}">
              <a16:creationId xmlns:a16="http://schemas.microsoft.com/office/drawing/2014/main" id="{00000000-0008-0000-0800-000098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53" name="rect">
          <a:extLst>
            <a:ext uri="{FF2B5EF4-FFF2-40B4-BE49-F238E27FC236}">
              <a16:creationId xmlns:a16="http://schemas.microsoft.com/office/drawing/2014/main" id="{00000000-0008-0000-0800-000099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54" name="rect">
          <a:extLst>
            <a:ext uri="{FF2B5EF4-FFF2-40B4-BE49-F238E27FC236}">
              <a16:creationId xmlns:a16="http://schemas.microsoft.com/office/drawing/2014/main" id="{00000000-0008-0000-0800-00009A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55" name="rect">
          <a:extLst>
            <a:ext uri="{FF2B5EF4-FFF2-40B4-BE49-F238E27FC236}">
              <a16:creationId xmlns:a16="http://schemas.microsoft.com/office/drawing/2014/main" id="{00000000-0008-0000-0800-00009B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601546</xdr:colOff>
      <xdr:row>106</xdr:row>
      <xdr:rowOff>516135</xdr:rowOff>
    </xdr:from>
    <xdr:to>
      <xdr:col>8</xdr:col>
      <xdr:colOff>5424</xdr:colOff>
      <xdr:row>107</xdr:row>
      <xdr:rowOff>0</xdr:rowOff>
    </xdr:to>
    <xdr:sp macro="" textlink="">
      <xdr:nvSpPr>
        <xdr:cNvPr id="156" name="rect">
          <a:extLst>
            <a:ext uri="{FF2B5EF4-FFF2-40B4-BE49-F238E27FC236}">
              <a16:creationId xmlns:a16="http://schemas.microsoft.com/office/drawing/2014/main" id="{00000000-0008-0000-0800-00009C000000}"/>
            </a:ext>
          </a:extLst>
        </xdr:cNvPr>
        <xdr:cNvSpPr/>
      </xdr:nvSpPr>
      <xdr:spPr>
        <a:xfrm>
          <a:off x="5478780" y="284629856"/>
          <a:ext cx="15240" cy="15232"/>
        </a:xfrm>
        <a:prstGeom prst="rect">
          <a:avLst/>
        </a:prstGeom>
        <a:noFill/>
        <a:ln w="12600" cap="rnd" cmpd="sng">
          <a:solidFill>
            <a:srgbClr val="000000"/>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ssembly\Desktop\SUPP%20BUDGET\GOK_IFMIS_Vote_Book_290525%20-VOTE%20R3711%20KITUI%20-%20OFFICE%20OF%20THE%20GOVERNOR&#160;.xls" TargetMode="External"/><Relationship Id="rId1" Type="http://schemas.openxmlformats.org/officeDocument/2006/relationships/externalLinkPath" Target="/Users/Assembly/Desktop/SUPP%20BUDGET/GOK_IFMIS_Vote_Book_290525%20-VOTE%20R3711%20KITUI%20-%20OFFICE%20OF%20THE%20GOVERNOR&#160;.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NVELOP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d5c9ff7d136903c5/Documents/MASTER%20Supplimentary%20Budget%20II%202023-24%20with%20BAC%20recommend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OK_IFMIS_Vote_Book_290525 -VOT"/>
    </sheetNames>
    <sheetDataSet>
      <sheetData sheetId="0">
        <row r="18">
          <cell r="L18">
            <v>203000</v>
          </cell>
        </row>
        <row r="24">
          <cell r="L24">
            <v>-79000</v>
          </cell>
        </row>
        <row r="25">
          <cell r="L25">
            <v>-328000</v>
          </cell>
        </row>
        <row r="26">
          <cell r="L26">
            <v>0</v>
          </cell>
        </row>
        <row r="31">
          <cell r="L31">
            <v>244600</v>
          </cell>
        </row>
        <row r="49">
          <cell r="L49">
            <v>241400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VELOPE"/>
    </sheetNames>
    <definedNames>
      <definedName name="_Hlk195011477"/>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Itemized Budget 2023-24"/>
      <sheetName val="DEce Units"/>
      <sheetName val="Summary"/>
      <sheetName val="&gt;&gt;&gt;&gt;&gt;"/>
      <sheetName val="Grants Final"/>
      <sheetName val="SALARY ANALYSIS"/>
      <sheetName val="Revenue Projections"/>
      <sheetName val="AGRIc"/>
      <sheetName val="Tables"/>
      <sheetName val="Programmes"/>
      <sheetName val="Sheet1"/>
      <sheetName val="masterHH"/>
      <sheetName val="Votes"/>
      <sheetName val="#REF"/>
    </sheetNames>
    <sheetDataSet>
      <sheetData sheetId="0"/>
      <sheetData sheetId="1">
        <row r="89">
          <cell r="J89">
            <v>1939808739.26</v>
          </cell>
        </row>
        <row r="128">
          <cell r="J128">
            <v>160161617</v>
          </cell>
        </row>
        <row r="213">
          <cell r="J213">
            <v>14303410</v>
          </cell>
        </row>
        <row r="263">
          <cell r="J263">
            <v>45862672.140000001</v>
          </cell>
        </row>
        <row r="306">
          <cell r="J306">
            <v>9776852.1400000006</v>
          </cell>
        </row>
        <row r="389">
          <cell r="J389">
            <v>21951280.359999999</v>
          </cell>
        </row>
        <row r="427">
          <cell r="J427">
            <v>53360000</v>
          </cell>
        </row>
        <row r="468">
          <cell r="J468">
            <v>50875866</v>
          </cell>
        </row>
        <row r="506">
          <cell r="J506">
            <v>31958000</v>
          </cell>
        </row>
        <row r="580">
          <cell r="J580">
            <v>212395671.13002402</v>
          </cell>
        </row>
        <row r="631">
          <cell r="J631">
            <v>20744144.700000003</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0-11T07:04:37.722"/>
    </inkml:context>
    <inkml:brush xml:id="br0">
      <inkml:brushProperty name="width" value="0.05" units="cm"/>
      <inkml:brushProperty name="height" value="0.05" units="cm"/>
    </inkml:brush>
  </inkml:definitions>
  <inkml:trace contextRef="#ctx0" brushRef="#br0">1 0 15176 0 0,'0'0'-11392'0'0</inkml:trace>
</inkml:ink>
</file>

<file path=xl/ink/ink10.xml><?xml version="1.0" encoding="utf-8"?>
<inkml:ink xmlns:inkml="http://www.w3.org/2003/InkML">
  <inkml:definitions/>
</inkml:ink>
</file>

<file path=xl/ink/ink11.xml><?xml version="1.0" encoding="utf-8"?>
<inkml:ink xmlns:inkml="http://www.w3.org/2003/InkML">
  <inkml:definitions/>
</inkml:ink>
</file>

<file path=xl/ink/ink12.xml><?xml version="1.0" encoding="utf-8"?>
<inkml:ink xmlns:inkml="http://www.w3.org/2003/InkML">
  <inkml:definitions/>
</inkml:ink>
</file>

<file path=xl/ink/ink13.xml><?xml version="1.0" encoding="utf-8"?>
<inkml:ink xmlns:inkml="http://www.w3.org/2003/InkML">
  <inkml:definitions/>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0-11T07:04:37.738"/>
    </inkml:context>
    <inkml:brush xml:id="br0">
      <inkml:brushProperty name="width" value="0.05" units="cm"/>
      <inkml:brushProperty name="height" value="0.05" units="cm"/>
    </inkml:brush>
  </inkml:definitions>
  <inkml:trace contextRef="#ctx0" brushRef="#br0">0 1 17791 0 0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0-11T07:04:37.754"/>
    </inkml:context>
    <inkml:brush xml:id="br0">
      <inkml:brushProperty name="width" value="0.05" units="cm"/>
      <inkml:brushProperty name="height" value="0.05" units="cm"/>
    </inkml:brush>
  </inkml:definitions>
  <inkml:trace contextRef="#ctx0" brushRef="#br0">0 0 20599 0 0,'0'0'0'0'0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0-11T07:04:37.802"/>
    </inkml:context>
    <inkml:brush xml:id="br0">
      <inkml:brushProperty name="width" value="0.035" units="cm"/>
      <inkml:brushProperty name="height" value="0.035" units="cm"/>
    </inkml:brush>
  </inkml:definitions>
  <inkml:trace contextRef="#ctx0" brushRef="#br0">0 1 4344 0 0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0-11T07:04:37.850"/>
    </inkml:context>
    <inkml:brush xml:id="br0">
      <inkml:brushProperty name="width" value="0.035" units="cm"/>
      <inkml:brushProperty name="height" value="0.035" units="cm"/>
    </inkml:brush>
  </inkml:definitions>
  <inkml:trace contextRef="#ctx0" brushRef="#br0">0 0 7736 0 0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0-11T08:42:15.785"/>
    </inkml:context>
    <inkml:brush xml:id="br0">
      <inkml:brushProperty name="width" value="0.05" units="cm"/>
      <inkml:brushProperty name="height" value="0.05" units="cm"/>
    </inkml:brush>
  </inkml:definitions>
  <inkml:trace contextRef="#ctx0" brushRef="#br0">1 0 15176 0 0,'0'0'-11392'0'0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0-11T08:42:15.801"/>
    </inkml:context>
    <inkml:brush xml:id="br0">
      <inkml:brushProperty name="width" value="0.05" units="cm"/>
      <inkml:brushProperty name="height" value="0.05" units="cm"/>
    </inkml:brush>
  </inkml:definitions>
  <inkml:trace contextRef="#ctx0" brushRef="#br0">0 1 17791 0 0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0-11T08:42:15.817"/>
    </inkml:context>
    <inkml:brush xml:id="br0">
      <inkml:brushProperty name="width" value="0.05" units="cm"/>
      <inkml:brushProperty name="height" value="0.05" units="cm"/>
    </inkml:brush>
  </inkml:definitions>
  <inkml:trace contextRef="#ctx0" brushRef="#br0">0 0 20599 0 0,'0'0'0'0'0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0-11T08:42:15.848"/>
    </inkml:context>
    <inkml:brush xml:id="br0">
      <inkml:brushProperty name="width" value="0.035" units="cm"/>
      <inkml:brushProperty name="height" value="0.035" units="cm"/>
    </inkml:brush>
  </inkml:definitions>
  <inkml:trace contextRef="#ctx0" brushRef="#br0">0 1 4344 0 0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937"/>
  <sheetViews>
    <sheetView topLeftCell="G22" workbookViewId="0">
      <selection activeCell="J46" sqref="J46"/>
    </sheetView>
  </sheetViews>
  <sheetFormatPr defaultColWidth="10" defaultRowHeight="14.4"/>
  <cols>
    <col min="10" max="10" width="76.109375" bestFit="1" customWidth="1"/>
    <col min="11" max="11" width="17.5546875" style="1" bestFit="1" customWidth="1"/>
    <col min="12" max="12" width="18.5546875" bestFit="1" customWidth="1"/>
    <col min="13" max="13" width="12" bestFit="1" customWidth="1"/>
  </cols>
  <sheetData>
    <row r="1" spans="1:3">
      <c r="A1" t="s">
        <v>1310</v>
      </c>
      <c r="B1" t="s">
        <v>1801</v>
      </c>
      <c r="C1" t="s">
        <v>1802</v>
      </c>
    </row>
    <row r="6" spans="1:3">
      <c r="A6">
        <v>508750023</v>
      </c>
    </row>
    <row r="7" spans="1:3">
      <c r="A7">
        <v>508750023</v>
      </c>
      <c r="B7" t="s">
        <v>1803</v>
      </c>
      <c r="C7" t="s">
        <v>8</v>
      </c>
    </row>
    <row r="8" spans="1:3">
      <c r="A8">
        <v>580000</v>
      </c>
      <c r="C8" t="s">
        <v>8</v>
      </c>
    </row>
    <row r="9" spans="1:3">
      <c r="A9">
        <v>580000</v>
      </c>
      <c r="B9" t="s">
        <v>1803</v>
      </c>
      <c r="C9" t="s">
        <v>8</v>
      </c>
    </row>
    <row r="10" spans="1:3">
      <c r="A10">
        <v>2330000</v>
      </c>
      <c r="C10" t="s">
        <v>8</v>
      </c>
    </row>
    <row r="11" spans="1:3">
      <c r="A11">
        <v>1550000</v>
      </c>
      <c r="B11" t="s">
        <v>1803</v>
      </c>
      <c r="C11" t="s">
        <v>8</v>
      </c>
    </row>
    <row r="12" spans="1:3">
      <c r="A12">
        <v>780000</v>
      </c>
      <c r="B12" t="s">
        <v>1803</v>
      </c>
      <c r="C12" t="s">
        <v>8</v>
      </c>
    </row>
    <row r="13" spans="1:3">
      <c r="A13">
        <v>1572000</v>
      </c>
      <c r="C13" t="s">
        <v>8</v>
      </c>
    </row>
    <row r="14" spans="1:3">
      <c r="A14">
        <v>892000</v>
      </c>
      <c r="B14" t="s">
        <v>1803</v>
      </c>
      <c r="C14" t="s">
        <v>8</v>
      </c>
    </row>
    <row r="15" spans="1:3">
      <c r="A15">
        <v>580000</v>
      </c>
      <c r="B15" t="s">
        <v>1803</v>
      </c>
      <c r="C15" t="s">
        <v>8</v>
      </c>
    </row>
    <row r="16" spans="1:3">
      <c r="A16">
        <v>100000</v>
      </c>
      <c r="B16" t="s">
        <v>1803</v>
      </c>
      <c r="C16" t="s">
        <v>8</v>
      </c>
    </row>
    <row r="17" spans="1:13">
      <c r="A17">
        <v>2740000</v>
      </c>
      <c r="C17" t="s">
        <v>8</v>
      </c>
    </row>
    <row r="18" spans="1:13">
      <c r="A18">
        <v>1000000</v>
      </c>
      <c r="B18" t="s">
        <v>1803</v>
      </c>
      <c r="C18" t="s">
        <v>8</v>
      </c>
    </row>
    <row r="19" spans="1:13">
      <c r="A19">
        <v>500000</v>
      </c>
      <c r="B19" t="s">
        <v>1803</v>
      </c>
      <c r="C19" t="s">
        <v>8</v>
      </c>
    </row>
    <row r="20" spans="1:13">
      <c r="A20">
        <v>660000</v>
      </c>
      <c r="B20" t="s">
        <v>1803</v>
      </c>
      <c r="C20" t="s">
        <v>8</v>
      </c>
    </row>
    <row r="21" spans="1:13">
      <c r="A21">
        <v>580000</v>
      </c>
      <c r="B21" t="s">
        <v>1803</v>
      </c>
      <c r="C21" t="s">
        <v>8</v>
      </c>
      <c r="J21" s="2" t="s">
        <v>1808</v>
      </c>
      <c r="K21" s="1" t="s">
        <v>1804</v>
      </c>
    </row>
    <row r="22" spans="1:13">
      <c r="A22">
        <v>1740000</v>
      </c>
      <c r="C22" t="s">
        <v>8</v>
      </c>
      <c r="J22" s="2" t="s">
        <v>1807</v>
      </c>
      <c r="K22" s="1" t="s">
        <v>1803</v>
      </c>
      <c r="L22" s="3" t="s">
        <v>1805</v>
      </c>
      <c r="M22" t="s">
        <v>1806</v>
      </c>
    </row>
    <row r="23" spans="1:13">
      <c r="A23">
        <v>580000</v>
      </c>
      <c r="B23" t="s">
        <v>1803</v>
      </c>
      <c r="C23" t="s">
        <v>8</v>
      </c>
      <c r="J23" s="4" t="s">
        <v>1258</v>
      </c>
      <c r="K23" s="1">
        <v>684013797</v>
      </c>
      <c r="L23" s="3">
        <v>3894109924</v>
      </c>
      <c r="M23">
        <v>4578123721</v>
      </c>
    </row>
    <row r="24" spans="1:13">
      <c r="A24">
        <v>870000</v>
      </c>
      <c r="B24" t="s">
        <v>1803</v>
      </c>
      <c r="C24" t="s">
        <v>8</v>
      </c>
      <c r="J24" s="4" t="s">
        <v>8</v>
      </c>
      <c r="K24" s="1">
        <v>1909067092.6746438</v>
      </c>
      <c r="L24" s="3">
        <v>15912838354.537296</v>
      </c>
      <c r="M24">
        <v>17821905447.211941</v>
      </c>
    </row>
    <row r="25" spans="1:13">
      <c r="A25">
        <v>290000</v>
      </c>
      <c r="B25" t="s">
        <v>1803</v>
      </c>
      <c r="C25" t="s">
        <v>8</v>
      </c>
      <c r="J25" s="4" t="s">
        <v>392</v>
      </c>
      <c r="K25" s="1">
        <v>3822352685.6692944</v>
      </c>
      <c r="L25" s="3">
        <v>23428534639.662071</v>
      </c>
      <c r="M25">
        <v>27250887325.331367</v>
      </c>
    </row>
    <row r="26" spans="1:13">
      <c r="A26">
        <v>1600000</v>
      </c>
      <c r="C26" t="s">
        <v>8</v>
      </c>
      <c r="J26" s="4" t="s">
        <v>660</v>
      </c>
      <c r="K26" s="1">
        <v>70396658.048314273</v>
      </c>
      <c r="L26" s="3">
        <v>334002090.24157137</v>
      </c>
      <c r="M26">
        <v>404398748.28988564</v>
      </c>
    </row>
    <row r="27" spans="1:13">
      <c r="A27">
        <v>600000</v>
      </c>
      <c r="B27" t="s">
        <v>1803</v>
      </c>
      <c r="C27" t="s">
        <v>8</v>
      </c>
      <c r="J27" s="4" t="s">
        <v>676</v>
      </c>
      <c r="K27" s="1">
        <v>1100630000</v>
      </c>
      <c r="L27" s="3">
        <v>1100630000</v>
      </c>
      <c r="M27">
        <v>2201260000</v>
      </c>
    </row>
    <row r="28" spans="1:13">
      <c r="A28">
        <v>500000</v>
      </c>
      <c r="B28" t="s">
        <v>1803</v>
      </c>
      <c r="C28" t="s">
        <v>8</v>
      </c>
      <c r="J28" s="4" t="s">
        <v>678</v>
      </c>
      <c r="K28" s="1">
        <v>172458280</v>
      </c>
      <c r="L28" s="3">
        <v>862291400</v>
      </c>
      <c r="M28">
        <v>1034749680</v>
      </c>
    </row>
    <row r="29" spans="1:13">
      <c r="A29">
        <v>500000</v>
      </c>
      <c r="B29" t="s">
        <v>1803</v>
      </c>
      <c r="C29" t="s">
        <v>8</v>
      </c>
      <c r="J29" s="4" t="s">
        <v>715</v>
      </c>
      <c r="K29" s="1">
        <v>90571759.400000006</v>
      </c>
      <c r="L29" s="3">
        <v>515930556.39999998</v>
      </c>
      <c r="M29">
        <v>606502315.79999995</v>
      </c>
    </row>
    <row r="30" spans="1:13">
      <c r="A30">
        <v>2756000</v>
      </c>
      <c r="C30" t="s">
        <v>8</v>
      </c>
      <c r="J30" s="4" t="s">
        <v>177</v>
      </c>
      <c r="K30" s="1">
        <v>182058114.002</v>
      </c>
      <c r="L30" s="3">
        <v>1147725956.0139999</v>
      </c>
      <c r="M30">
        <v>1329784070.016</v>
      </c>
    </row>
    <row r="31" spans="1:13">
      <c r="A31">
        <v>500000</v>
      </c>
      <c r="B31" t="s">
        <v>1803</v>
      </c>
      <c r="C31" t="s">
        <v>8</v>
      </c>
      <c r="J31" s="4" t="s">
        <v>1251</v>
      </c>
      <c r="K31" s="1">
        <v>696093994</v>
      </c>
      <c r="L31" s="3">
        <v>3785396651.6500001</v>
      </c>
      <c r="M31">
        <v>4481490645.6499996</v>
      </c>
    </row>
    <row r="32" spans="1:13">
      <c r="A32">
        <v>500000</v>
      </c>
      <c r="B32" t="s">
        <v>1803</v>
      </c>
      <c r="C32" t="s">
        <v>8</v>
      </c>
      <c r="J32" s="4" t="s">
        <v>1252</v>
      </c>
      <c r="K32" s="1">
        <v>1022566265.4857476</v>
      </c>
      <c r="L32" s="3">
        <v>4327330671.8807383</v>
      </c>
      <c r="M32">
        <v>5349896937.3664856</v>
      </c>
    </row>
    <row r="33" spans="1:13">
      <c r="A33">
        <v>300000</v>
      </c>
      <c r="B33" t="s">
        <v>1803</v>
      </c>
      <c r="C33" t="s">
        <v>8</v>
      </c>
      <c r="J33" s="4" t="s">
        <v>1253</v>
      </c>
      <c r="K33" s="1">
        <v>876630905</v>
      </c>
      <c r="L33" s="3">
        <v>4219739213</v>
      </c>
      <c r="M33">
        <v>5096370118</v>
      </c>
    </row>
    <row r="34" spans="1:13">
      <c r="A34">
        <v>600000</v>
      </c>
      <c r="B34" t="s">
        <v>1803</v>
      </c>
      <c r="C34" t="s">
        <v>8</v>
      </c>
      <c r="J34" s="4" t="s">
        <v>1254</v>
      </c>
      <c r="K34" s="1">
        <v>710891575</v>
      </c>
      <c r="L34" s="3">
        <v>3413486188</v>
      </c>
      <c r="M34">
        <v>4124377763</v>
      </c>
    </row>
    <row r="35" spans="1:13">
      <c r="A35">
        <v>580000</v>
      </c>
      <c r="B35" t="s">
        <v>1803</v>
      </c>
      <c r="C35" t="s">
        <v>8</v>
      </c>
      <c r="J35" s="4" t="s">
        <v>1255</v>
      </c>
      <c r="K35" s="1">
        <v>314675070</v>
      </c>
      <c r="L35" s="3">
        <v>1848466060</v>
      </c>
      <c r="M35">
        <v>2163141130</v>
      </c>
    </row>
    <row r="36" spans="1:13">
      <c r="A36">
        <v>276000</v>
      </c>
      <c r="B36" t="s">
        <v>1803</v>
      </c>
      <c r="C36" t="s">
        <v>8</v>
      </c>
      <c r="J36" s="4" t="s">
        <v>1256</v>
      </c>
      <c r="K36" s="1">
        <v>174391329.73999998</v>
      </c>
      <c r="L36" s="3">
        <v>844018402.16000009</v>
      </c>
      <c r="M36">
        <v>1018409731.9000001</v>
      </c>
    </row>
    <row r="37" spans="1:13">
      <c r="A37">
        <v>15040000</v>
      </c>
      <c r="C37" t="s">
        <v>8</v>
      </c>
      <c r="J37" s="4" t="s">
        <v>1257</v>
      </c>
      <c r="K37" s="1">
        <v>544350579</v>
      </c>
      <c r="L37" s="3">
        <v>2791662755.1845999</v>
      </c>
      <c r="M37">
        <v>3336013334.1845999</v>
      </c>
    </row>
    <row r="38" spans="1:13">
      <c r="A38">
        <v>2980000</v>
      </c>
      <c r="B38" t="s">
        <v>1803</v>
      </c>
      <c r="C38" t="s">
        <v>8</v>
      </c>
      <c r="J38" s="4" t="s">
        <v>1259</v>
      </c>
      <c r="K38" s="1">
        <v>331012827.98000002</v>
      </c>
      <c r="L38" s="3">
        <v>533504650.93999994</v>
      </c>
      <c r="M38">
        <v>864517478.91999996</v>
      </c>
    </row>
    <row r="39" spans="1:13">
      <c r="A39">
        <v>1500000</v>
      </c>
      <c r="B39" t="s">
        <v>1803</v>
      </c>
      <c r="C39" t="s">
        <v>8</v>
      </c>
      <c r="J39" s="4" t="s">
        <v>1805</v>
      </c>
      <c r="L39" s="3">
        <v>51338323242</v>
      </c>
      <c r="M39">
        <v>51338323242</v>
      </c>
    </row>
    <row r="40" spans="1:13">
      <c r="A40">
        <v>6000000</v>
      </c>
      <c r="B40" t="s">
        <v>1803</v>
      </c>
      <c r="C40" t="s">
        <v>8</v>
      </c>
      <c r="J40" s="4" t="s">
        <v>1806</v>
      </c>
      <c r="K40" s="1">
        <v>12702160932.999998</v>
      </c>
      <c r="L40" s="3">
        <v>120297990755.67029</v>
      </c>
      <c r="M40">
        <v>133000151688.67027</v>
      </c>
    </row>
    <row r="41" spans="1:13">
      <c r="A41">
        <v>500000</v>
      </c>
      <c r="B41" t="s">
        <v>1803</v>
      </c>
      <c r="C41" t="s">
        <v>8</v>
      </c>
    </row>
    <row r="42" spans="1:13">
      <c r="A42">
        <v>4060000</v>
      </c>
      <c r="B42" t="s">
        <v>1803</v>
      </c>
      <c r="C42" t="s">
        <v>8</v>
      </c>
    </row>
    <row r="43" spans="1:13">
      <c r="A43">
        <v>194000000</v>
      </c>
      <c r="C43" t="s">
        <v>8</v>
      </c>
    </row>
    <row r="44" spans="1:13">
      <c r="A44">
        <v>1000000</v>
      </c>
      <c r="B44" t="s">
        <v>1803</v>
      </c>
      <c r="C44" t="s">
        <v>8</v>
      </c>
    </row>
    <row r="45" spans="1:13">
      <c r="A45">
        <v>22000000</v>
      </c>
      <c r="B45" t="s">
        <v>1803</v>
      </c>
      <c r="C45" t="s">
        <v>8</v>
      </c>
    </row>
    <row r="46" spans="1:13">
      <c r="A46">
        <v>171000000</v>
      </c>
      <c r="B46" t="s">
        <v>1803</v>
      </c>
      <c r="C46" t="s">
        <v>8</v>
      </c>
    </row>
    <row r="47" spans="1:13">
      <c r="A47">
        <v>1690000</v>
      </c>
      <c r="C47" t="s">
        <v>8</v>
      </c>
    </row>
    <row r="48" spans="1:13">
      <c r="A48">
        <v>580000</v>
      </c>
      <c r="B48" t="s">
        <v>1803</v>
      </c>
      <c r="C48" t="s">
        <v>8</v>
      </c>
    </row>
    <row r="49" spans="1:3">
      <c r="A49">
        <v>580000</v>
      </c>
      <c r="B49" t="s">
        <v>1803</v>
      </c>
      <c r="C49" t="s">
        <v>8</v>
      </c>
    </row>
    <row r="50" spans="1:3">
      <c r="A50">
        <v>530000</v>
      </c>
      <c r="B50" t="s">
        <v>1803</v>
      </c>
      <c r="C50" t="s">
        <v>8</v>
      </c>
    </row>
    <row r="51" spans="1:3">
      <c r="A51">
        <v>4860000</v>
      </c>
      <c r="C51" t="s">
        <v>8</v>
      </c>
    </row>
    <row r="52" spans="1:3">
      <c r="A52">
        <v>4860000</v>
      </c>
      <c r="B52" t="s">
        <v>1803</v>
      </c>
      <c r="C52" t="s">
        <v>8</v>
      </c>
    </row>
    <row r="53" spans="1:3">
      <c r="A53">
        <v>32690560</v>
      </c>
      <c r="C53" t="s">
        <v>8</v>
      </c>
    </row>
    <row r="54" spans="1:3">
      <c r="A54">
        <v>1440000</v>
      </c>
      <c r="B54" t="s">
        <v>1803</v>
      </c>
      <c r="C54" t="s">
        <v>8</v>
      </c>
    </row>
    <row r="55" spans="1:3">
      <c r="A55">
        <v>290000</v>
      </c>
      <c r="B55" t="s">
        <v>1803</v>
      </c>
      <c r="C55" t="s">
        <v>8</v>
      </c>
    </row>
    <row r="56" spans="1:3">
      <c r="A56">
        <v>580000</v>
      </c>
      <c r="B56" t="s">
        <v>1803</v>
      </c>
      <c r="C56" t="s">
        <v>8</v>
      </c>
    </row>
    <row r="57" spans="1:3">
      <c r="A57">
        <v>1800000</v>
      </c>
      <c r="B57" t="s">
        <v>1803</v>
      </c>
      <c r="C57" t="s">
        <v>8</v>
      </c>
    </row>
    <row r="58" spans="1:3">
      <c r="A58">
        <v>28580560</v>
      </c>
      <c r="B58" t="s">
        <v>1803</v>
      </c>
      <c r="C58" t="s">
        <v>8</v>
      </c>
    </row>
    <row r="59" spans="1:3">
      <c r="A59">
        <v>1960000</v>
      </c>
      <c r="C59" t="s">
        <v>8</v>
      </c>
    </row>
    <row r="60" spans="1:3">
      <c r="A60">
        <v>1160000</v>
      </c>
      <c r="B60" t="s">
        <v>1803</v>
      </c>
      <c r="C60" t="s">
        <v>8</v>
      </c>
    </row>
    <row r="61" spans="1:3">
      <c r="A61">
        <v>800000</v>
      </c>
      <c r="B61" t="s">
        <v>1803</v>
      </c>
      <c r="C61" t="s">
        <v>8</v>
      </c>
    </row>
    <row r="62" spans="1:3">
      <c r="A62">
        <v>900000</v>
      </c>
      <c r="C62" t="s">
        <v>8</v>
      </c>
    </row>
    <row r="63" spans="1:3">
      <c r="A63">
        <v>900000</v>
      </c>
      <c r="B63" t="s">
        <v>1803</v>
      </c>
      <c r="C63" t="s">
        <v>8</v>
      </c>
    </row>
    <row r="64" spans="1:3">
      <c r="A64">
        <v>950000</v>
      </c>
      <c r="C64" t="s">
        <v>8</v>
      </c>
    </row>
    <row r="65" spans="1:3">
      <c r="A65">
        <v>370000</v>
      </c>
      <c r="B65" t="s">
        <v>1803</v>
      </c>
      <c r="C65" t="s">
        <v>8</v>
      </c>
    </row>
    <row r="66" spans="1:3">
      <c r="A66">
        <v>580000</v>
      </c>
      <c r="B66" t="s">
        <v>1803</v>
      </c>
      <c r="C66" t="s">
        <v>8</v>
      </c>
    </row>
    <row r="67" spans="1:3">
      <c r="A67">
        <v>20700000</v>
      </c>
      <c r="C67" t="s">
        <v>8</v>
      </c>
    </row>
    <row r="68" spans="1:3">
      <c r="A68">
        <v>20700000</v>
      </c>
      <c r="B68" t="s">
        <v>1803</v>
      </c>
      <c r="C68" t="s">
        <v>8</v>
      </c>
    </row>
    <row r="69" spans="1:3">
      <c r="A69">
        <v>0</v>
      </c>
      <c r="C69" t="s">
        <v>8</v>
      </c>
    </row>
    <row r="70" spans="1:3">
      <c r="A70">
        <v>0</v>
      </c>
      <c r="C70" t="s">
        <v>8</v>
      </c>
    </row>
    <row r="71" spans="1:3">
      <c r="A71">
        <v>794858583</v>
      </c>
      <c r="C71" t="s">
        <v>8</v>
      </c>
    </row>
    <row r="72" spans="1:3">
      <c r="C72" t="s">
        <v>8</v>
      </c>
    </row>
    <row r="73" spans="1:3">
      <c r="C73" t="s">
        <v>8</v>
      </c>
    </row>
    <row r="74" spans="1:3">
      <c r="A74">
        <v>32000000</v>
      </c>
      <c r="C74" t="s">
        <v>8</v>
      </c>
    </row>
    <row r="75" spans="1:3">
      <c r="A75">
        <v>30000000</v>
      </c>
      <c r="B75" t="s">
        <v>1803</v>
      </c>
      <c r="C75" t="s">
        <v>8</v>
      </c>
    </row>
    <row r="76" spans="1:3">
      <c r="C76" t="s">
        <v>8</v>
      </c>
    </row>
    <row r="77" spans="1:3">
      <c r="A77">
        <v>2000000</v>
      </c>
      <c r="B77" t="s">
        <v>1803</v>
      </c>
      <c r="C77" t="s">
        <v>8</v>
      </c>
    </row>
    <row r="78" spans="1:3">
      <c r="A78">
        <v>7500000</v>
      </c>
      <c r="C78" t="s">
        <v>8</v>
      </c>
    </row>
    <row r="79" spans="1:3">
      <c r="A79">
        <v>7500000</v>
      </c>
      <c r="B79" t="s">
        <v>1803</v>
      </c>
      <c r="C79" t="s">
        <v>8</v>
      </c>
    </row>
    <row r="80" spans="1:3">
      <c r="A80">
        <v>701074535</v>
      </c>
      <c r="C80" t="s">
        <v>8</v>
      </c>
    </row>
    <row r="81" spans="1:3">
      <c r="A81">
        <v>496800000</v>
      </c>
      <c r="B81" t="s">
        <v>1803</v>
      </c>
      <c r="C81" t="s">
        <v>8</v>
      </c>
    </row>
    <row r="82" spans="1:3">
      <c r="A82">
        <v>172500000</v>
      </c>
      <c r="B82" t="s">
        <v>1803</v>
      </c>
      <c r="C82" t="s">
        <v>8</v>
      </c>
    </row>
    <row r="83" spans="1:3">
      <c r="A83">
        <v>31774535</v>
      </c>
      <c r="B83" t="s">
        <v>1803</v>
      </c>
      <c r="C83" t="s">
        <v>8</v>
      </c>
    </row>
    <row r="84" spans="1:3">
      <c r="A84">
        <v>740574535</v>
      </c>
      <c r="C84" t="s">
        <v>8</v>
      </c>
    </row>
    <row r="85" spans="1:3">
      <c r="A85">
        <v>1535433118</v>
      </c>
      <c r="C85" t="s">
        <v>8</v>
      </c>
    </row>
    <row r="86" spans="1:3">
      <c r="C86" t="s">
        <v>8</v>
      </c>
    </row>
    <row r="87" spans="1:3">
      <c r="C87" t="s">
        <v>8</v>
      </c>
    </row>
    <row r="88" spans="1:3">
      <c r="C88" t="s">
        <v>8</v>
      </c>
    </row>
    <row r="89" spans="1:3">
      <c r="A89">
        <v>1100000</v>
      </c>
      <c r="C89" t="s">
        <v>8</v>
      </c>
    </row>
    <row r="90" spans="1:3">
      <c r="A90">
        <v>800000</v>
      </c>
      <c r="B90" t="s">
        <v>1803</v>
      </c>
      <c r="C90" t="s">
        <v>8</v>
      </c>
    </row>
    <row r="91" spans="1:3">
      <c r="A91">
        <v>300000</v>
      </c>
      <c r="B91" t="s">
        <v>1803</v>
      </c>
      <c r="C91" t="s">
        <v>8</v>
      </c>
    </row>
    <row r="92" spans="1:3">
      <c r="A92">
        <v>220000</v>
      </c>
      <c r="C92" t="s">
        <v>8</v>
      </c>
    </row>
    <row r="93" spans="1:3">
      <c r="A93">
        <v>120000</v>
      </c>
      <c r="B93" t="s">
        <v>1803</v>
      </c>
      <c r="C93" t="s">
        <v>8</v>
      </c>
    </row>
    <row r="94" spans="1:3">
      <c r="A94">
        <v>100000</v>
      </c>
      <c r="B94" t="s">
        <v>1803</v>
      </c>
      <c r="C94" t="s">
        <v>8</v>
      </c>
    </row>
    <row r="95" spans="1:3">
      <c r="A95">
        <v>2500000</v>
      </c>
      <c r="C95" t="s">
        <v>8</v>
      </c>
    </row>
    <row r="96" spans="1:3">
      <c r="A96">
        <v>800000</v>
      </c>
      <c r="B96" t="s">
        <v>1803</v>
      </c>
      <c r="C96" t="s">
        <v>8</v>
      </c>
    </row>
    <row r="97" spans="1:3">
      <c r="A97">
        <v>700000</v>
      </c>
      <c r="B97" t="s">
        <v>1803</v>
      </c>
      <c r="C97" t="s">
        <v>8</v>
      </c>
    </row>
    <row r="98" spans="1:3">
      <c r="A98">
        <v>1000000</v>
      </c>
      <c r="B98" t="s">
        <v>1803</v>
      </c>
      <c r="C98" t="s">
        <v>8</v>
      </c>
    </row>
    <row r="99" spans="1:3">
      <c r="A99">
        <v>200000</v>
      </c>
      <c r="C99" t="s">
        <v>8</v>
      </c>
    </row>
    <row r="100" spans="1:3">
      <c r="A100">
        <v>200000</v>
      </c>
      <c r="B100" t="s">
        <v>1803</v>
      </c>
      <c r="C100" t="s">
        <v>8</v>
      </c>
    </row>
    <row r="101" spans="1:3">
      <c r="A101">
        <v>1800000</v>
      </c>
      <c r="C101" t="s">
        <v>8</v>
      </c>
    </row>
    <row r="102" spans="1:3">
      <c r="A102">
        <v>100000</v>
      </c>
      <c r="B102" t="s">
        <v>1803</v>
      </c>
      <c r="C102" t="s">
        <v>8</v>
      </c>
    </row>
    <row r="103" spans="1:3">
      <c r="A103">
        <v>500000</v>
      </c>
      <c r="B103" t="s">
        <v>1803</v>
      </c>
      <c r="C103" t="s">
        <v>8</v>
      </c>
    </row>
    <row r="104" spans="1:3">
      <c r="A104">
        <v>100000</v>
      </c>
      <c r="B104" t="s">
        <v>1803</v>
      </c>
      <c r="C104" t="s">
        <v>8</v>
      </c>
    </row>
    <row r="105" spans="1:3">
      <c r="A105">
        <v>100000</v>
      </c>
      <c r="B105" t="s">
        <v>1803</v>
      </c>
      <c r="C105" t="s">
        <v>8</v>
      </c>
    </row>
    <row r="106" spans="1:3">
      <c r="A106">
        <v>500000</v>
      </c>
      <c r="B106" t="s">
        <v>1803</v>
      </c>
      <c r="C106" t="s">
        <v>8</v>
      </c>
    </row>
    <row r="107" spans="1:3">
      <c r="A107">
        <v>500000</v>
      </c>
      <c r="B107" t="s">
        <v>1803</v>
      </c>
      <c r="C107" t="s">
        <v>8</v>
      </c>
    </row>
    <row r="108" spans="1:3">
      <c r="A108">
        <v>1000000</v>
      </c>
      <c r="C108" t="s">
        <v>8</v>
      </c>
    </row>
    <row r="109" spans="1:3">
      <c r="A109">
        <v>500000</v>
      </c>
      <c r="B109" t="s">
        <v>1803</v>
      </c>
      <c r="C109" t="s">
        <v>8</v>
      </c>
    </row>
    <row r="110" spans="1:3">
      <c r="A110">
        <v>500000</v>
      </c>
      <c r="B110" t="s">
        <v>1803</v>
      </c>
      <c r="C110" t="s">
        <v>8</v>
      </c>
    </row>
    <row r="111" spans="1:3">
      <c r="A111">
        <v>2400000</v>
      </c>
      <c r="C111" t="s">
        <v>8</v>
      </c>
    </row>
    <row r="112" spans="1:3">
      <c r="A112">
        <v>700000</v>
      </c>
      <c r="B112" t="s">
        <v>1803</v>
      </c>
      <c r="C112" t="s">
        <v>8</v>
      </c>
    </row>
    <row r="113" spans="1:3">
      <c r="A113">
        <v>800000</v>
      </c>
      <c r="B113" t="s">
        <v>1803</v>
      </c>
      <c r="C113" t="s">
        <v>8</v>
      </c>
    </row>
    <row r="114" spans="1:3">
      <c r="A114">
        <v>900000</v>
      </c>
      <c r="B114" t="s">
        <v>1803</v>
      </c>
      <c r="C114" t="s">
        <v>8</v>
      </c>
    </row>
    <row r="115" spans="1:3">
      <c r="A115">
        <v>1300000</v>
      </c>
      <c r="C115" t="s">
        <v>8</v>
      </c>
    </row>
    <row r="116" spans="1:3">
      <c r="A116">
        <v>800000</v>
      </c>
      <c r="B116" t="s">
        <v>1803</v>
      </c>
      <c r="C116" t="s">
        <v>8</v>
      </c>
    </row>
    <row r="117" spans="1:3">
      <c r="A117">
        <v>500000</v>
      </c>
      <c r="B117" t="s">
        <v>1803</v>
      </c>
      <c r="C117" t="s">
        <v>8</v>
      </c>
    </row>
    <row r="118" spans="1:3">
      <c r="A118">
        <v>1500000</v>
      </c>
      <c r="C118" t="s">
        <v>8</v>
      </c>
    </row>
    <row r="119" spans="1:3">
      <c r="A119">
        <v>1500000</v>
      </c>
      <c r="B119" t="s">
        <v>1803</v>
      </c>
      <c r="C119" t="s">
        <v>8</v>
      </c>
    </row>
    <row r="120" spans="1:3">
      <c r="A120">
        <v>600000</v>
      </c>
      <c r="C120" t="s">
        <v>8</v>
      </c>
    </row>
    <row r="121" spans="1:3">
      <c r="A121">
        <v>300000</v>
      </c>
      <c r="B121" t="s">
        <v>1803</v>
      </c>
      <c r="C121" t="s">
        <v>8</v>
      </c>
    </row>
    <row r="122" spans="1:3">
      <c r="A122">
        <v>300000</v>
      </c>
      <c r="B122" t="s">
        <v>1803</v>
      </c>
      <c r="C122" t="s">
        <v>8</v>
      </c>
    </row>
    <row r="123" spans="1:3">
      <c r="A123">
        <v>800000</v>
      </c>
      <c r="C123" t="s">
        <v>8</v>
      </c>
    </row>
    <row r="124" spans="1:3">
      <c r="A124">
        <v>800000</v>
      </c>
      <c r="B124" t="s">
        <v>1803</v>
      </c>
      <c r="C124" t="s">
        <v>8</v>
      </c>
    </row>
    <row r="125" spans="1:3">
      <c r="A125">
        <v>1100000</v>
      </c>
      <c r="C125" t="s">
        <v>8</v>
      </c>
    </row>
    <row r="126" spans="1:3">
      <c r="A126">
        <v>600000</v>
      </c>
      <c r="B126" t="s">
        <v>1803</v>
      </c>
      <c r="C126" t="s">
        <v>8</v>
      </c>
    </row>
    <row r="127" spans="1:3">
      <c r="A127">
        <v>500000</v>
      </c>
      <c r="B127" t="s">
        <v>1803</v>
      </c>
      <c r="C127" t="s">
        <v>8</v>
      </c>
    </row>
    <row r="128" spans="1:3">
      <c r="A128">
        <v>1000000</v>
      </c>
      <c r="C128" t="s">
        <v>8</v>
      </c>
    </row>
    <row r="129" spans="1:3">
      <c r="A129">
        <v>1000000</v>
      </c>
      <c r="B129" t="s">
        <v>1803</v>
      </c>
      <c r="C129" t="s">
        <v>8</v>
      </c>
    </row>
    <row r="130" spans="1:3">
      <c r="A130">
        <v>0</v>
      </c>
      <c r="C130" t="s">
        <v>8</v>
      </c>
    </row>
    <row r="131" spans="1:3">
      <c r="A131">
        <v>0</v>
      </c>
      <c r="C131" t="s">
        <v>8</v>
      </c>
    </row>
    <row r="132" spans="1:3">
      <c r="A132">
        <v>15520000</v>
      </c>
      <c r="C132" t="s">
        <v>8</v>
      </c>
    </row>
    <row r="133" spans="1:3">
      <c r="A133">
        <v>15520000</v>
      </c>
      <c r="C133" t="s">
        <v>8</v>
      </c>
    </row>
    <row r="134" spans="1:3">
      <c r="C134" t="s">
        <v>8</v>
      </c>
    </row>
    <row r="135" spans="1:3">
      <c r="C135" t="s">
        <v>8</v>
      </c>
    </row>
    <row r="136" spans="1:3">
      <c r="A136">
        <v>1000000</v>
      </c>
      <c r="C136" t="s">
        <v>8</v>
      </c>
    </row>
    <row r="137" spans="1:3">
      <c r="A137">
        <v>800000</v>
      </c>
      <c r="B137" t="s">
        <v>1803</v>
      </c>
      <c r="C137" t="s">
        <v>8</v>
      </c>
    </row>
    <row r="138" spans="1:3">
      <c r="A138">
        <v>200000</v>
      </c>
      <c r="B138" t="s">
        <v>1803</v>
      </c>
      <c r="C138" t="s">
        <v>8</v>
      </c>
    </row>
    <row r="139" spans="1:3">
      <c r="A139">
        <v>220000</v>
      </c>
      <c r="C139" t="s">
        <v>8</v>
      </c>
    </row>
    <row r="140" spans="1:3">
      <c r="A140">
        <v>120000</v>
      </c>
      <c r="B140" t="s">
        <v>1803</v>
      </c>
      <c r="C140" t="s">
        <v>8</v>
      </c>
    </row>
    <row r="141" spans="1:3">
      <c r="A141">
        <v>100000</v>
      </c>
      <c r="B141" t="s">
        <v>1803</v>
      </c>
      <c r="C141" t="s">
        <v>8</v>
      </c>
    </row>
    <row r="142" spans="1:3">
      <c r="A142">
        <v>2500000</v>
      </c>
      <c r="C142" t="s">
        <v>8</v>
      </c>
    </row>
    <row r="143" spans="1:3">
      <c r="A143">
        <v>800000</v>
      </c>
      <c r="B143" t="s">
        <v>1803</v>
      </c>
      <c r="C143" t="s">
        <v>8</v>
      </c>
    </row>
    <row r="144" spans="1:3">
      <c r="A144">
        <v>700000</v>
      </c>
      <c r="B144" t="s">
        <v>1803</v>
      </c>
      <c r="C144" t="s">
        <v>8</v>
      </c>
    </row>
    <row r="145" spans="1:3">
      <c r="A145">
        <v>1000000</v>
      </c>
      <c r="B145" t="s">
        <v>1803</v>
      </c>
      <c r="C145" t="s">
        <v>8</v>
      </c>
    </row>
    <row r="146" spans="1:3">
      <c r="A146">
        <v>4300000</v>
      </c>
      <c r="C146" t="s">
        <v>8</v>
      </c>
    </row>
    <row r="147" spans="1:3">
      <c r="A147">
        <v>100000</v>
      </c>
      <c r="B147" t="s">
        <v>1803</v>
      </c>
      <c r="C147" t="s">
        <v>8</v>
      </c>
    </row>
    <row r="148" spans="1:3">
      <c r="A148">
        <v>500000</v>
      </c>
      <c r="B148" t="s">
        <v>1803</v>
      </c>
      <c r="C148" t="s">
        <v>8</v>
      </c>
    </row>
    <row r="149" spans="1:3">
      <c r="A149">
        <v>100000</v>
      </c>
      <c r="B149" t="s">
        <v>1803</v>
      </c>
      <c r="C149" t="s">
        <v>8</v>
      </c>
    </row>
    <row r="150" spans="1:3">
      <c r="A150">
        <v>100000</v>
      </c>
      <c r="B150" t="s">
        <v>1803</v>
      </c>
      <c r="C150" t="s">
        <v>8</v>
      </c>
    </row>
    <row r="151" spans="1:3">
      <c r="A151">
        <v>500000</v>
      </c>
      <c r="B151" t="s">
        <v>1803</v>
      </c>
      <c r="C151" t="s">
        <v>8</v>
      </c>
    </row>
    <row r="152" spans="1:3">
      <c r="A152">
        <v>2500000</v>
      </c>
      <c r="B152" t="s">
        <v>1803</v>
      </c>
      <c r="C152" t="s">
        <v>8</v>
      </c>
    </row>
    <row r="153" spans="1:3">
      <c r="A153">
        <v>500000</v>
      </c>
      <c r="B153" t="s">
        <v>1803</v>
      </c>
      <c r="C153" t="s">
        <v>8</v>
      </c>
    </row>
    <row r="154" spans="1:3">
      <c r="A154">
        <v>1200000</v>
      </c>
      <c r="C154" t="s">
        <v>8</v>
      </c>
    </row>
    <row r="155" spans="1:3">
      <c r="A155">
        <v>800000</v>
      </c>
      <c r="B155" t="s">
        <v>1803</v>
      </c>
      <c r="C155" t="s">
        <v>8</v>
      </c>
    </row>
    <row r="156" spans="1:3">
      <c r="A156">
        <v>400000</v>
      </c>
      <c r="B156" t="s">
        <v>1803</v>
      </c>
      <c r="C156" t="s">
        <v>8</v>
      </c>
    </row>
    <row r="157" spans="1:3">
      <c r="A157">
        <v>3400000</v>
      </c>
      <c r="C157" t="s">
        <v>8</v>
      </c>
    </row>
    <row r="158" spans="1:3">
      <c r="A158">
        <v>1700000</v>
      </c>
      <c r="B158" t="s">
        <v>1803</v>
      </c>
      <c r="C158" t="s">
        <v>8</v>
      </c>
    </row>
    <row r="159" spans="1:3">
      <c r="A159">
        <v>800000</v>
      </c>
      <c r="B159" t="s">
        <v>1803</v>
      </c>
      <c r="C159" t="s">
        <v>8</v>
      </c>
    </row>
    <row r="160" spans="1:3">
      <c r="A160">
        <v>900000</v>
      </c>
      <c r="B160" t="s">
        <v>1803</v>
      </c>
      <c r="C160" t="s">
        <v>8</v>
      </c>
    </row>
    <row r="161" spans="1:3">
      <c r="A161">
        <v>1500000</v>
      </c>
      <c r="C161" t="s">
        <v>8</v>
      </c>
    </row>
    <row r="162" spans="1:3">
      <c r="A162">
        <v>1500000</v>
      </c>
      <c r="B162" t="s">
        <v>1803</v>
      </c>
      <c r="C162" t="s">
        <v>8</v>
      </c>
    </row>
    <row r="163" spans="1:3">
      <c r="A163">
        <v>1200000</v>
      </c>
      <c r="C163" t="s">
        <v>8</v>
      </c>
    </row>
    <row r="164" spans="1:3">
      <c r="A164">
        <v>600000</v>
      </c>
      <c r="B164" t="s">
        <v>1803</v>
      </c>
      <c r="C164" t="s">
        <v>8</v>
      </c>
    </row>
    <row r="165" spans="1:3">
      <c r="A165">
        <v>600000</v>
      </c>
      <c r="B165" t="s">
        <v>1803</v>
      </c>
      <c r="C165" t="s">
        <v>8</v>
      </c>
    </row>
    <row r="166" spans="1:3">
      <c r="A166">
        <v>800000</v>
      </c>
      <c r="C166" t="s">
        <v>8</v>
      </c>
    </row>
    <row r="167" spans="1:3">
      <c r="A167">
        <v>800000</v>
      </c>
      <c r="B167" t="s">
        <v>1803</v>
      </c>
      <c r="C167" t="s">
        <v>8</v>
      </c>
    </row>
    <row r="168" spans="1:3">
      <c r="A168">
        <v>1300000</v>
      </c>
      <c r="C168" t="s">
        <v>8</v>
      </c>
    </row>
    <row r="169" spans="1:3">
      <c r="A169">
        <v>800000</v>
      </c>
      <c r="B169" t="s">
        <v>1803</v>
      </c>
      <c r="C169" t="s">
        <v>8</v>
      </c>
    </row>
    <row r="170" spans="1:3">
      <c r="A170">
        <v>500000</v>
      </c>
      <c r="B170" t="s">
        <v>1803</v>
      </c>
      <c r="C170" t="s">
        <v>8</v>
      </c>
    </row>
    <row r="171" spans="1:3">
      <c r="A171">
        <v>1000000</v>
      </c>
      <c r="C171" t="s">
        <v>8</v>
      </c>
    </row>
    <row r="172" spans="1:3">
      <c r="A172">
        <v>1000000</v>
      </c>
      <c r="B172" t="s">
        <v>1803</v>
      </c>
      <c r="C172" t="s">
        <v>8</v>
      </c>
    </row>
    <row r="173" spans="1:3">
      <c r="A173">
        <v>0</v>
      </c>
      <c r="C173" t="s">
        <v>8</v>
      </c>
    </row>
    <row r="174" spans="1:3">
      <c r="C174" t="s">
        <v>8</v>
      </c>
    </row>
    <row r="175" spans="1:3">
      <c r="A175">
        <v>18420000</v>
      </c>
      <c r="C175" t="s">
        <v>8</v>
      </c>
    </row>
    <row r="176" spans="1:3">
      <c r="A176">
        <v>18420000</v>
      </c>
      <c r="C176" t="s">
        <v>8</v>
      </c>
    </row>
    <row r="177" spans="1:3">
      <c r="C177" t="s">
        <v>8</v>
      </c>
    </row>
    <row r="178" spans="1:3">
      <c r="C178" t="s">
        <v>8</v>
      </c>
    </row>
    <row r="179" spans="1:3">
      <c r="A179">
        <v>1000000</v>
      </c>
      <c r="C179" t="s">
        <v>8</v>
      </c>
    </row>
    <row r="180" spans="1:3">
      <c r="A180">
        <v>800000</v>
      </c>
      <c r="B180" t="s">
        <v>1803</v>
      </c>
      <c r="C180" t="s">
        <v>8</v>
      </c>
    </row>
    <row r="181" spans="1:3">
      <c r="A181">
        <v>200000</v>
      </c>
      <c r="B181" t="s">
        <v>1803</v>
      </c>
      <c r="C181" t="s">
        <v>8</v>
      </c>
    </row>
    <row r="182" spans="1:3">
      <c r="A182">
        <v>170000</v>
      </c>
      <c r="C182" t="s">
        <v>8</v>
      </c>
    </row>
    <row r="183" spans="1:3">
      <c r="A183">
        <v>120000</v>
      </c>
      <c r="B183" t="s">
        <v>1803</v>
      </c>
      <c r="C183" t="s">
        <v>8</v>
      </c>
    </row>
    <row r="184" spans="1:3">
      <c r="A184">
        <v>50000</v>
      </c>
      <c r="B184" t="s">
        <v>1803</v>
      </c>
      <c r="C184" t="s">
        <v>8</v>
      </c>
    </row>
    <row r="185" spans="1:3">
      <c r="A185">
        <v>1200000</v>
      </c>
      <c r="C185" t="s">
        <v>8</v>
      </c>
    </row>
    <row r="186" spans="1:3">
      <c r="A186">
        <v>200000</v>
      </c>
      <c r="B186" t="s">
        <v>1803</v>
      </c>
      <c r="C186" t="s">
        <v>8</v>
      </c>
    </row>
    <row r="187" spans="1:3">
      <c r="A187">
        <v>500000</v>
      </c>
      <c r="B187" t="s">
        <v>1803</v>
      </c>
      <c r="C187" t="s">
        <v>8</v>
      </c>
    </row>
    <row r="188" spans="1:3">
      <c r="A188">
        <v>500000</v>
      </c>
      <c r="B188" t="s">
        <v>1803</v>
      </c>
      <c r="C188" t="s">
        <v>8</v>
      </c>
    </row>
    <row r="189" spans="1:3">
      <c r="A189">
        <v>100000</v>
      </c>
      <c r="C189" t="s">
        <v>8</v>
      </c>
    </row>
    <row r="190" spans="1:3">
      <c r="A190">
        <v>100000</v>
      </c>
      <c r="B190" t="s">
        <v>1803</v>
      </c>
      <c r="C190" t="s">
        <v>8</v>
      </c>
    </row>
    <row r="191" spans="1:3">
      <c r="A191">
        <v>800000</v>
      </c>
      <c r="C191" t="s">
        <v>8</v>
      </c>
    </row>
    <row r="192" spans="1:3">
      <c r="A192">
        <v>100000</v>
      </c>
      <c r="B192" t="s">
        <v>1803</v>
      </c>
      <c r="C192" t="s">
        <v>8</v>
      </c>
    </row>
    <row r="193" spans="1:3">
      <c r="A193">
        <v>100000</v>
      </c>
      <c r="B193" t="s">
        <v>1803</v>
      </c>
      <c r="C193" t="s">
        <v>8</v>
      </c>
    </row>
    <row r="194" spans="1:3">
      <c r="A194">
        <v>500000</v>
      </c>
      <c r="B194" t="s">
        <v>1803</v>
      </c>
      <c r="C194" t="s">
        <v>8</v>
      </c>
    </row>
    <row r="195" spans="1:3">
      <c r="A195">
        <v>100000</v>
      </c>
      <c r="B195" t="s">
        <v>1803</v>
      </c>
      <c r="C195" t="s">
        <v>8</v>
      </c>
    </row>
    <row r="196" spans="1:3">
      <c r="A196">
        <v>1500000</v>
      </c>
      <c r="C196" t="s">
        <v>8</v>
      </c>
    </row>
    <row r="197" spans="1:3">
      <c r="A197">
        <v>1000000</v>
      </c>
      <c r="B197" t="s">
        <v>1803</v>
      </c>
      <c r="C197" t="s">
        <v>8</v>
      </c>
    </row>
    <row r="198" spans="1:3">
      <c r="A198">
        <v>500000</v>
      </c>
      <c r="B198" t="s">
        <v>1803</v>
      </c>
      <c r="C198" t="s">
        <v>8</v>
      </c>
    </row>
    <row r="199" spans="1:3">
      <c r="A199">
        <v>1600000</v>
      </c>
      <c r="C199" t="s">
        <v>8</v>
      </c>
    </row>
    <row r="200" spans="1:3">
      <c r="A200">
        <v>500000</v>
      </c>
      <c r="B200" t="s">
        <v>1803</v>
      </c>
      <c r="C200" t="s">
        <v>8</v>
      </c>
    </row>
    <row r="201" spans="1:3">
      <c r="A201">
        <v>800000</v>
      </c>
      <c r="B201" t="s">
        <v>1803</v>
      </c>
      <c r="C201" t="s">
        <v>8</v>
      </c>
    </row>
    <row r="202" spans="1:3">
      <c r="A202">
        <v>300000</v>
      </c>
      <c r="B202" t="s">
        <v>1803</v>
      </c>
      <c r="C202" t="s">
        <v>8</v>
      </c>
    </row>
    <row r="203" spans="1:3">
      <c r="A203">
        <v>500000</v>
      </c>
      <c r="C203" t="s">
        <v>8</v>
      </c>
    </row>
    <row r="204" spans="1:3">
      <c r="A204">
        <v>500000</v>
      </c>
      <c r="B204" t="s">
        <v>1803</v>
      </c>
      <c r="C204" t="s">
        <v>8</v>
      </c>
    </row>
    <row r="205" spans="1:3">
      <c r="A205">
        <v>500000</v>
      </c>
      <c r="C205" t="s">
        <v>8</v>
      </c>
    </row>
    <row r="206" spans="1:3">
      <c r="A206">
        <v>300000</v>
      </c>
      <c r="B206" t="s">
        <v>1803</v>
      </c>
      <c r="C206" t="s">
        <v>8</v>
      </c>
    </row>
    <row r="207" spans="1:3">
      <c r="A207">
        <v>200000</v>
      </c>
      <c r="B207" t="s">
        <v>1803</v>
      </c>
      <c r="C207" t="s">
        <v>8</v>
      </c>
    </row>
    <row r="208" spans="1:3">
      <c r="A208">
        <v>500000</v>
      </c>
      <c r="C208" t="s">
        <v>8</v>
      </c>
    </row>
    <row r="209" spans="1:3">
      <c r="A209">
        <v>500000</v>
      </c>
      <c r="B209" t="s">
        <v>1803</v>
      </c>
      <c r="C209" t="s">
        <v>8</v>
      </c>
    </row>
    <row r="210" spans="1:3">
      <c r="A210">
        <v>1000000</v>
      </c>
      <c r="C210" t="s">
        <v>8</v>
      </c>
    </row>
    <row r="211" spans="1:3">
      <c r="A211">
        <v>500000</v>
      </c>
      <c r="B211" t="s">
        <v>1803</v>
      </c>
      <c r="C211" t="s">
        <v>8</v>
      </c>
    </row>
    <row r="212" spans="1:3">
      <c r="A212">
        <v>500000</v>
      </c>
      <c r="B212" t="s">
        <v>1803</v>
      </c>
      <c r="C212" t="s">
        <v>8</v>
      </c>
    </row>
    <row r="213" spans="1:3">
      <c r="A213">
        <v>0</v>
      </c>
      <c r="C213" t="s">
        <v>8</v>
      </c>
    </row>
    <row r="214" spans="1:3">
      <c r="C214" t="s">
        <v>8</v>
      </c>
    </row>
    <row r="215" spans="1:3">
      <c r="A215">
        <v>8870000</v>
      </c>
      <c r="C215" t="s">
        <v>8</v>
      </c>
    </row>
    <row r="216" spans="1:3">
      <c r="A216">
        <v>8870000</v>
      </c>
      <c r="C216" t="s">
        <v>8</v>
      </c>
    </row>
    <row r="217" spans="1:3">
      <c r="C217" t="s">
        <v>8</v>
      </c>
    </row>
    <row r="218" spans="1:3">
      <c r="C218" t="s">
        <v>8</v>
      </c>
    </row>
    <row r="219" spans="1:3">
      <c r="A219">
        <v>1000000</v>
      </c>
      <c r="C219" t="s">
        <v>8</v>
      </c>
    </row>
    <row r="220" spans="1:3">
      <c r="A220">
        <v>800000</v>
      </c>
      <c r="B220" t="s">
        <v>1803</v>
      </c>
      <c r="C220" t="s">
        <v>8</v>
      </c>
    </row>
    <row r="221" spans="1:3">
      <c r="A221">
        <v>200000</v>
      </c>
      <c r="B221" t="s">
        <v>1803</v>
      </c>
      <c r="C221" t="s">
        <v>8</v>
      </c>
    </row>
    <row r="222" spans="1:3">
      <c r="A222">
        <v>220000</v>
      </c>
      <c r="C222" t="s">
        <v>8</v>
      </c>
    </row>
    <row r="223" spans="1:3">
      <c r="A223">
        <v>120000</v>
      </c>
      <c r="B223" t="s">
        <v>1803</v>
      </c>
      <c r="C223" t="s">
        <v>8</v>
      </c>
    </row>
    <row r="224" spans="1:3">
      <c r="A224">
        <v>100000</v>
      </c>
      <c r="B224" t="s">
        <v>1803</v>
      </c>
      <c r="C224" t="s">
        <v>8</v>
      </c>
    </row>
    <row r="225" spans="1:3">
      <c r="A225">
        <v>1500000</v>
      </c>
      <c r="C225" t="s">
        <v>8</v>
      </c>
    </row>
    <row r="226" spans="1:3">
      <c r="A226">
        <v>500000</v>
      </c>
      <c r="B226" t="s">
        <v>1803</v>
      </c>
      <c r="C226" t="s">
        <v>8</v>
      </c>
    </row>
    <row r="227" spans="1:3">
      <c r="A227">
        <v>500000</v>
      </c>
      <c r="B227" t="s">
        <v>1803</v>
      </c>
      <c r="C227" t="s">
        <v>8</v>
      </c>
    </row>
    <row r="228" spans="1:3">
      <c r="A228">
        <v>500000</v>
      </c>
      <c r="B228" t="s">
        <v>1803</v>
      </c>
      <c r="C228" t="s">
        <v>8</v>
      </c>
    </row>
    <row r="229" spans="1:3">
      <c r="A229">
        <v>200000</v>
      </c>
      <c r="C229" t="s">
        <v>8</v>
      </c>
    </row>
    <row r="230" spans="1:3">
      <c r="A230">
        <v>200000</v>
      </c>
      <c r="B230" t="s">
        <v>1803</v>
      </c>
      <c r="C230" t="s">
        <v>8</v>
      </c>
    </row>
    <row r="231" spans="1:3">
      <c r="A231">
        <v>800000</v>
      </c>
      <c r="C231" t="s">
        <v>8</v>
      </c>
    </row>
    <row r="232" spans="1:3">
      <c r="A232">
        <v>100000</v>
      </c>
      <c r="B232" t="s">
        <v>1803</v>
      </c>
      <c r="C232" t="s">
        <v>8</v>
      </c>
    </row>
    <row r="233" spans="1:3">
      <c r="A233">
        <v>100000</v>
      </c>
      <c r="B233" t="s">
        <v>1803</v>
      </c>
      <c r="C233" t="s">
        <v>8</v>
      </c>
    </row>
    <row r="234" spans="1:3">
      <c r="A234">
        <v>100000</v>
      </c>
      <c r="B234" t="s">
        <v>1803</v>
      </c>
      <c r="C234" t="s">
        <v>8</v>
      </c>
    </row>
    <row r="235" spans="1:3">
      <c r="A235">
        <v>100000</v>
      </c>
      <c r="B235" t="s">
        <v>1803</v>
      </c>
      <c r="C235" t="s">
        <v>8</v>
      </c>
    </row>
    <row r="236" spans="1:3">
      <c r="A236">
        <v>200000</v>
      </c>
      <c r="B236" t="s">
        <v>1803</v>
      </c>
      <c r="C236" t="s">
        <v>8</v>
      </c>
    </row>
    <row r="237" spans="1:3">
      <c r="A237">
        <v>200000</v>
      </c>
      <c r="B237" t="s">
        <v>1803</v>
      </c>
      <c r="C237" t="s">
        <v>8</v>
      </c>
    </row>
    <row r="238" spans="1:3">
      <c r="A238">
        <v>1400000</v>
      </c>
      <c r="C238" t="s">
        <v>8</v>
      </c>
    </row>
    <row r="239" spans="1:3">
      <c r="A239">
        <v>1200000</v>
      </c>
      <c r="B239" t="s">
        <v>1803</v>
      </c>
      <c r="C239" t="s">
        <v>8</v>
      </c>
    </row>
    <row r="240" spans="1:3">
      <c r="A240">
        <v>200000</v>
      </c>
      <c r="B240" t="s">
        <v>1803</v>
      </c>
      <c r="C240" t="s">
        <v>8</v>
      </c>
    </row>
    <row r="241" spans="1:3">
      <c r="A241">
        <v>2000000</v>
      </c>
      <c r="C241" t="s">
        <v>8</v>
      </c>
    </row>
    <row r="242" spans="1:3">
      <c r="A242">
        <v>750000</v>
      </c>
      <c r="B242" t="s">
        <v>1803</v>
      </c>
      <c r="C242" t="s">
        <v>8</v>
      </c>
    </row>
    <row r="243" spans="1:3">
      <c r="A243">
        <v>750000</v>
      </c>
      <c r="B243" t="s">
        <v>1803</v>
      </c>
      <c r="C243" t="s">
        <v>8</v>
      </c>
    </row>
    <row r="244" spans="1:3">
      <c r="A244">
        <v>500000</v>
      </c>
      <c r="B244" t="s">
        <v>1803</v>
      </c>
      <c r="C244" t="s">
        <v>8</v>
      </c>
    </row>
    <row r="245" spans="1:3">
      <c r="A245">
        <v>1500000</v>
      </c>
      <c r="C245" t="s">
        <v>8</v>
      </c>
    </row>
    <row r="246" spans="1:3">
      <c r="A246">
        <v>1500000</v>
      </c>
      <c r="B246" t="s">
        <v>1803</v>
      </c>
      <c r="C246" t="s">
        <v>8</v>
      </c>
    </row>
    <row r="247" spans="1:3">
      <c r="A247">
        <v>1200000</v>
      </c>
      <c r="C247" t="s">
        <v>8</v>
      </c>
    </row>
    <row r="248" spans="1:3">
      <c r="A248">
        <v>600000</v>
      </c>
      <c r="B248" t="s">
        <v>1803</v>
      </c>
      <c r="C248" t="s">
        <v>8</v>
      </c>
    </row>
    <row r="249" spans="1:3">
      <c r="A249">
        <v>600000</v>
      </c>
      <c r="B249" t="s">
        <v>1803</v>
      </c>
      <c r="C249" t="s">
        <v>8</v>
      </c>
    </row>
    <row r="250" spans="1:3">
      <c r="A250">
        <v>500000</v>
      </c>
      <c r="C250" t="s">
        <v>8</v>
      </c>
    </row>
    <row r="251" spans="1:3">
      <c r="A251">
        <v>500000</v>
      </c>
      <c r="B251" t="s">
        <v>1803</v>
      </c>
      <c r="C251" t="s">
        <v>8</v>
      </c>
    </row>
    <row r="252" spans="1:3">
      <c r="A252">
        <v>2300000</v>
      </c>
      <c r="C252" t="s">
        <v>8</v>
      </c>
    </row>
    <row r="253" spans="1:3">
      <c r="A253">
        <v>400000</v>
      </c>
      <c r="B253" t="s">
        <v>1803</v>
      </c>
      <c r="C253" t="s">
        <v>8</v>
      </c>
    </row>
    <row r="254" spans="1:3">
      <c r="A254">
        <v>400000</v>
      </c>
      <c r="B254" t="s">
        <v>1803</v>
      </c>
      <c r="C254" t="s">
        <v>8</v>
      </c>
    </row>
    <row r="255" spans="1:3">
      <c r="A255">
        <v>1500000</v>
      </c>
      <c r="B255" t="s">
        <v>1803</v>
      </c>
      <c r="C255" t="s">
        <v>8</v>
      </c>
    </row>
    <row r="256" spans="1:3">
      <c r="A256">
        <v>0</v>
      </c>
      <c r="C256" t="s">
        <v>8</v>
      </c>
    </row>
    <row r="257" spans="1:3">
      <c r="C257" t="s">
        <v>8</v>
      </c>
    </row>
    <row r="258" spans="1:3">
      <c r="A258">
        <v>12620000</v>
      </c>
      <c r="C258" t="s">
        <v>8</v>
      </c>
    </row>
    <row r="259" spans="1:3">
      <c r="A259">
        <v>12620000</v>
      </c>
      <c r="C259" t="s">
        <v>8</v>
      </c>
    </row>
    <row r="260" spans="1:3">
      <c r="C260" t="s">
        <v>8</v>
      </c>
    </row>
    <row r="261" spans="1:3">
      <c r="C261" t="s">
        <v>8</v>
      </c>
    </row>
    <row r="262" spans="1:3">
      <c r="A262">
        <v>150000</v>
      </c>
      <c r="C262" t="s">
        <v>8</v>
      </c>
    </row>
    <row r="263" spans="1:3">
      <c r="A263">
        <v>50000</v>
      </c>
      <c r="B263" t="s">
        <v>1803</v>
      </c>
      <c r="C263" t="s">
        <v>8</v>
      </c>
    </row>
    <row r="264" spans="1:3">
      <c r="A264">
        <v>100000</v>
      </c>
      <c r="B264" t="s">
        <v>1803</v>
      </c>
      <c r="C264" t="s">
        <v>8</v>
      </c>
    </row>
    <row r="265" spans="1:3">
      <c r="A265">
        <v>1300000</v>
      </c>
      <c r="C265" t="s">
        <v>8</v>
      </c>
    </row>
    <row r="266" spans="1:3">
      <c r="A266">
        <v>300000</v>
      </c>
      <c r="B266" t="s">
        <v>1803</v>
      </c>
      <c r="C266" t="s">
        <v>8</v>
      </c>
    </row>
    <row r="267" spans="1:3">
      <c r="A267">
        <v>500000</v>
      </c>
      <c r="B267" t="s">
        <v>1803</v>
      </c>
      <c r="C267" t="s">
        <v>8</v>
      </c>
    </row>
    <row r="268" spans="1:3">
      <c r="A268">
        <v>500000</v>
      </c>
      <c r="B268" t="s">
        <v>1803</v>
      </c>
      <c r="C268" t="s">
        <v>8</v>
      </c>
    </row>
    <row r="269" spans="1:3">
      <c r="A269">
        <v>100000</v>
      </c>
      <c r="C269" t="s">
        <v>8</v>
      </c>
    </row>
    <row r="270" spans="1:3">
      <c r="A270">
        <v>100000</v>
      </c>
      <c r="B270" t="s">
        <v>1803</v>
      </c>
      <c r="C270" t="s">
        <v>8</v>
      </c>
    </row>
    <row r="271" spans="1:3">
      <c r="A271">
        <v>650000</v>
      </c>
      <c r="C271" t="s">
        <v>8</v>
      </c>
    </row>
    <row r="272" spans="1:3">
      <c r="A272">
        <v>100000</v>
      </c>
      <c r="B272" t="s">
        <v>1803</v>
      </c>
      <c r="C272" t="s">
        <v>8</v>
      </c>
    </row>
    <row r="273" spans="1:3">
      <c r="A273">
        <v>50000</v>
      </c>
      <c r="B273" t="s">
        <v>1803</v>
      </c>
      <c r="C273" t="s">
        <v>8</v>
      </c>
    </row>
    <row r="274" spans="1:3">
      <c r="A274">
        <v>50000</v>
      </c>
      <c r="B274" t="s">
        <v>1803</v>
      </c>
      <c r="C274" t="s">
        <v>8</v>
      </c>
    </row>
    <row r="275" spans="1:3">
      <c r="A275">
        <v>100000</v>
      </c>
      <c r="B275" t="s">
        <v>1803</v>
      </c>
      <c r="C275" t="s">
        <v>8</v>
      </c>
    </row>
    <row r="276" spans="1:3">
      <c r="A276">
        <v>300000</v>
      </c>
      <c r="B276" t="s">
        <v>1803</v>
      </c>
      <c r="C276" t="s">
        <v>8</v>
      </c>
    </row>
    <row r="277" spans="1:3">
      <c r="A277">
        <v>50000</v>
      </c>
      <c r="B277" t="s">
        <v>1803</v>
      </c>
      <c r="C277" t="s">
        <v>8</v>
      </c>
    </row>
    <row r="278" spans="1:3">
      <c r="A278">
        <v>1200000</v>
      </c>
      <c r="C278" t="s">
        <v>8</v>
      </c>
    </row>
    <row r="279" spans="1:3">
      <c r="A279">
        <v>1100000</v>
      </c>
      <c r="B279" t="s">
        <v>1803</v>
      </c>
      <c r="C279" t="s">
        <v>8</v>
      </c>
    </row>
    <row r="280" spans="1:3">
      <c r="A280">
        <v>100000</v>
      </c>
      <c r="B280" t="s">
        <v>1803</v>
      </c>
      <c r="C280" t="s">
        <v>8</v>
      </c>
    </row>
    <row r="281" spans="1:3">
      <c r="A281">
        <v>1100000</v>
      </c>
      <c r="C281" t="s">
        <v>8</v>
      </c>
    </row>
    <row r="282" spans="1:3">
      <c r="A282">
        <v>500000</v>
      </c>
      <c r="B282" t="s">
        <v>1803</v>
      </c>
      <c r="C282" t="s">
        <v>8</v>
      </c>
    </row>
    <row r="283" spans="1:3">
      <c r="A283">
        <v>500000</v>
      </c>
      <c r="B283" t="s">
        <v>1803</v>
      </c>
      <c r="C283" t="s">
        <v>8</v>
      </c>
    </row>
    <row r="284" spans="1:3">
      <c r="A284">
        <v>100000</v>
      </c>
      <c r="B284" t="s">
        <v>1803</v>
      </c>
      <c r="C284" t="s">
        <v>8</v>
      </c>
    </row>
    <row r="285" spans="1:3">
      <c r="A285">
        <v>200000</v>
      </c>
      <c r="C285" t="s">
        <v>8</v>
      </c>
    </row>
    <row r="286" spans="1:3">
      <c r="A286">
        <v>200000</v>
      </c>
      <c r="B286" t="s">
        <v>1803</v>
      </c>
      <c r="C286" t="s">
        <v>8</v>
      </c>
    </row>
    <row r="287" spans="1:3">
      <c r="A287">
        <v>200000</v>
      </c>
      <c r="C287" t="s">
        <v>8</v>
      </c>
    </row>
    <row r="288" spans="1:3">
      <c r="A288">
        <v>100000</v>
      </c>
      <c r="B288" t="s">
        <v>1803</v>
      </c>
      <c r="C288" t="s">
        <v>8</v>
      </c>
    </row>
    <row r="289" spans="1:3">
      <c r="A289">
        <v>100000</v>
      </c>
      <c r="B289" t="s">
        <v>1803</v>
      </c>
      <c r="C289" t="s">
        <v>8</v>
      </c>
    </row>
    <row r="290" spans="1:3">
      <c r="A290">
        <v>200000</v>
      </c>
      <c r="C290" t="s">
        <v>8</v>
      </c>
    </row>
    <row r="291" spans="1:3">
      <c r="A291">
        <v>100000</v>
      </c>
      <c r="B291" t="s">
        <v>1803</v>
      </c>
      <c r="C291" t="s">
        <v>8</v>
      </c>
    </row>
    <row r="292" spans="1:3">
      <c r="A292">
        <v>100000</v>
      </c>
      <c r="B292" t="s">
        <v>1803</v>
      </c>
      <c r="C292" t="s">
        <v>8</v>
      </c>
    </row>
    <row r="293" spans="1:3">
      <c r="A293">
        <v>1500000</v>
      </c>
      <c r="C293" t="s">
        <v>8</v>
      </c>
    </row>
    <row r="294" spans="1:3">
      <c r="A294">
        <v>1500000</v>
      </c>
      <c r="B294" t="s">
        <v>1803</v>
      </c>
      <c r="C294" t="s">
        <v>8</v>
      </c>
    </row>
    <row r="295" spans="1:3">
      <c r="A295">
        <v>0</v>
      </c>
      <c r="C295" t="s">
        <v>8</v>
      </c>
    </row>
    <row r="296" spans="1:3">
      <c r="C296" t="s">
        <v>8</v>
      </c>
    </row>
    <row r="297" spans="1:3">
      <c r="A297">
        <v>6600000</v>
      </c>
      <c r="C297" t="s">
        <v>8</v>
      </c>
    </row>
    <row r="298" spans="1:3">
      <c r="A298">
        <v>6600000</v>
      </c>
      <c r="C298" t="s">
        <v>8</v>
      </c>
    </row>
    <row r="299" spans="1:3">
      <c r="A299">
        <v>856888583</v>
      </c>
      <c r="C299" t="s">
        <v>8</v>
      </c>
    </row>
    <row r="300" spans="1:3">
      <c r="A300">
        <v>740574535</v>
      </c>
      <c r="C300" t="s">
        <v>8</v>
      </c>
    </row>
    <row r="301" spans="1:3">
      <c r="A301">
        <v>1597463118</v>
      </c>
      <c r="C301" t="s">
        <v>8</v>
      </c>
    </row>
    <row r="302" spans="1:3">
      <c r="C302" t="s">
        <v>8</v>
      </c>
    </row>
    <row r="303" spans="1:3">
      <c r="C303" t="s">
        <v>8</v>
      </c>
    </row>
    <row r="304" spans="1:3">
      <c r="C304" t="s">
        <v>8</v>
      </c>
    </row>
    <row r="305" spans="1:3">
      <c r="A305">
        <v>360000</v>
      </c>
      <c r="C305" t="s">
        <v>8</v>
      </c>
    </row>
    <row r="306" spans="1:3">
      <c r="A306">
        <v>260000</v>
      </c>
      <c r="B306" t="s">
        <v>1803</v>
      </c>
      <c r="C306" t="s">
        <v>8</v>
      </c>
    </row>
    <row r="307" spans="1:3">
      <c r="A307">
        <v>100000</v>
      </c>
      <c r="B307" t="s">
        <v>1803</v>
      </c>
      <c r="C307" t="s">
        <v>8</v>
      </c>
    </row>
    <row r="308" spans="1:3">
      <c r="A308">
        <v>2616000</v>
      </c>
      <c r="C308" t="s">
        <v>8</v>
      </c>
    </row>
    <row r="309" spans="1:3">
      <c r="A309">
        <v>800000</v>
      </c>
      <c r="B309" t="s">
        <v>1803</v>
      </c>
      <c r="C309" t="s">
        <v>8</v>
      </c>
    </row>
    <row r="310" spans="1:3">
      <c r="A310">
        <v>606000</v>
      </c>
      <c r="B310" t="s">
        <v>1803</v>
      </c>
      <c r="C310" t="s">
        <v>8</v>
      </c>
    </row>
    <row r="311" spans="1:3">
      <c r="A311">
        <v>1210000</v>
      </c>
      <c r="B311" t="s">
        <v>1803</v>
      </c>
      <c r="C311" t="s">
        <v>8</v>
      </c>
    </row>
    <row r="312" spans="1:3">
      <c r="A312">
        <v>740000</v>
      </c>
      <c r="C312" t="s">
        <v>8</v>
      </c>
    </row>
    <row r="313" spans="1:3">
      <c r="A313">
        <v>280000</v>
      </c>
      <c r="B313" t="s">
        <v>1803</v>
      </c>
      <c r="C313" t="s">
        <v>8</v>
      </c>
    </row>
    <row r="314" spans="1:3">
      <c r="A314">
        <v>370000</v>
      </c>
      <c r="B314" t="s">
        <v>1803</v>
      </c>
      <c r="C314" t="s">
        <v>8</v>
      </c>
    </row>
    <row r="315" spans="1:3">
      <c r="A315">
        <v>90000</v>
      </c>
      <c r="B315" t="s">
        <v>1803</v>
      </c>
      <c r="C315" t="s">
        <v>8</v>
      </c>
    </row>
    <row r="316" spans="1:3">
      <c r="A316">
        <v>1524000</v>
      </c>
      <c r="C316" t="s">
        <v>8</v>
      </c>
    </row>
    <row r="317" spans="1:3">
      <c r="A317">
        <v>300000</v>
      </c>
      <c r="B317" t="s">
        <v>1803</v>
      </c>
      <c r="C317" t="s">
        <v>8</v>
      </c>
    </row>
    <row r="318" spans="1:3">
      <c r="A318">
        <v>200000</v>
      </c>
      <c r="B318" t="s">
        <v>1803</v>
      </c>
      <c r="C318" t="s">
        <v>8</v>
      </c>
    </row>
    <row r="319" spans="1:3">
      <c r="A319">
        <v>300000</v>
      </c>
      <c r="B319" t="s">
        <v>1803</v>
      </c>
      <c r="C319" t="s">
        <v>8</v>
      </c>
    </row>
    <row r="320" spans="1:3">
      <c r="A320">
        <v>200000</v>
      </c>
      <c r="B320" t="s">
        <v>1803</v>
      </c>
      <c r="C320" t="s">
        <v>8</v>
      </c>
    </row>
    <row r="321" spans="1:3">
      <c r="A321">
        <v>424000</v>
      </c>
      <c r="B321" t="s">
        <v>1803</v>
      </c>
      <c r="C321" t="s">
        <v>8</v>
      </c>
    </row>
    <row r="322" spans="1:3">
      <c r="A322">
        <v>100000</v>
      </c>
      <c r="B322" t="s">
        <v>1803</v>
      </c>
      <c r="C322" t="s">
        <v>8</v>
      </c>
    </row>
    <row r="323" spans="1:3">
      <c r="A323">
        <v>5277500</v>
      </c>
      <c r="C323" t="s">
        <v>8</v>
      </c>
    </row>
    <row r="324" spans="1:3">
      <c r="A324">
        <v>3871500</v>
      </c>
      <c r="B324" t="s">
        <v>1803</v>
      </c>
      <c r="C324" t="s">
        <v>8</v>
      </c>
    </row>
    <row r="325" spans="1:3">
      <c r="A325">
        <v>1406000</v>
      </c>
      <c r="B325" t="s">
        <v>1803</v>
      </c>
      <c r="C325" t="s">
        <v>8</v>
      </c>
    </row>
    <row r="326" spans="1:3">
      <c r="A326">
        <v>1000000</v>
      </c>
      <c r="C326" t="s">
        <v>8</v>
      </c>
    </row>
    <row r="327" spans="1:3">
      <c r="A327">
        <v>1000000</v>
      </c>
      <c r="B327" t="s">
        <v>1803</v>
      </c>
      <c r="C327" t="s">
        <v>8</v>
      </c>
    </row>
    <row r="328" spans="1:3">
      <c r="A328">
        <v>3151500</v>
      </c>
      <c r="C328" t="s">
        <v>8</v>
      </c>
    </row>
    <row r="329" spans="1:3">
      <c r="A329">
        <v>1831500</v>
      </c>
      <c r="B329" t="s">
        <v>1803</v>
      </c>
      <c r="C329" t="s">
        <v>8</v>
      </c>
    </row>
    <row r="330" spans="1:3">
      <c r="A330">
        <v>740000</v>
      </c>
      <c r="B330" t="s">
        <v>1803</v>
      </c>
      <c r="C330" t="s">
        <v>8</v>
      </c>
    </row>
    <row r="331" spans="1:3">
      <c r="A331">
        <v>580000</v>
      </c>
      <c r="B331" t="s">
        <v>1803</v>
      </c>
      <c r="C331" t="s">
        <v>8</v>
      </c>
    </row>
    <row r="332" spans="1:3">
      <c r="A332">
        <v>1406000</v>
      </c>
      <c r="C332" t="s">
        <v>8</v>
      </c>
    </row>
    <row r="333" spans="1:3">
      <c r="A333">
        <v>1406000</v>
      </c>
      <c r="B333" t="s">
        <v>1803</v>
      </c>
      <c r="C333" t="s">
        <v>8</v>
      </c>
    </row>
    <row r="334" spans="1:3">
      <c r="A334">
        <v>1464000</v>
      </c>
      <c r="C334" t="s">
        <v>8</v>
      </c>
    </row>
    <row r="335" spans="1:3">
      <c r="A335">
        <v>1464000</v>
      </c>
      <c r="B335" t="s">
        <v>1803</v>
      </c>
      <c r="C335" t="s">
        <v>8</v>
      </c>
    </row>
    <row r="336" spans="1:3">
      <c r="A336">
        <v>1000000</v>
      </c>
      <c r="C336" t="s">
        <v>8</v>
      </c>
    </row>
    <row r="337" spans="1:3">
      <c r="A337">
        <v>1000000</v>
      </c>
      <c r="B337" t="s">
        <v>1803</v>
      </c>
      <c r="C337" t="s">
        <v>8</v>
      </c>
    </row>
    <row r="338" spans="1:3">
      <c r="A338">
        <v>0</v>
      </c>
      <c r="C338" t="s">
        <v>8</v>
      </c>
    </row>
    <row r="339" spans="1:3">
      <c r="A339">
        <v>0</v>
      </c>
      <c r="C339" t="s">
        <v>8</v>
      </c>
    </row>
    <row r="340" spans="1:3">
      <c r="A340">
        <v>1500000</v>
      </c>
      <c r="C340" t="s">
        <v>8</v>
      </c>
    </row>
    <row r="341" spans="1:3">
      <c r="A341">
        <v>1000000</v>
      </c>
      <c r="B341" t="s">
        <v>1803</v>
      </c>
      <c r="C341" t="s">
        <v>8</v>
      </c>
    </row>
    <row r="342" spans="1:3">
      <c r="A342">
        <v>500000</v>
      </c>
      <c r="B342" t="s">
        <v>1803</v>
      </c>
      <c r="C342" t="s">
        <v>8</v>
      </c>
    </row>
    <row r="343" spans="1:3">
      <c r="A343">
        <v>0</v>
      </c>
      <c r="C343" t="s">
        <v>8</v>
      </c>
    </row>
    <row r="344" spans="1:3">
      <c r="C344" t="s">
        <v>8</v>
      </c>
    </row>
    <row r="345" spans="1:3">
      <c r="A345">
        <v>20039000</v>
      </c>
      <c r="C345" t="s">
        <v>8</v>
      </c>
    </row>
    <row r="346" spans="1:3">
      <c r="A346">
        <v>20039000</v>
      </c>
      <c r="C346" t="s">
        <v>8</v>
      </c>
    </row>
    <row r="347" spans="1:3">
      <c r="C347" t="s">
        <v>8</v>
      </c>
    </row>
    <row r="348" spans="1:3">
      <c r="C348" t="s">
        <v>8</v>
      </c>
    </row>
    <row r="349" spans="1:3">
      <c r="C349" t="s">
        <v>8</v>
      </c>
    </row>
    <row r="350" spans="1:3">
      <c r="A350">
        <v>500000</v>
      </c>
      <c r="C350" t="s">
        <v>8</v>
      </c>
    </row>
    <row r="351" spans="1:3">
      <c r="A351">
        <v>300000</v>
      </c>
      <c r="B351" t="s">
        <v>1803</v>
      </c>
      <c r="C351" t="s">
        <v>8</v>
      </c>
    </row>
    <row r="352" spans="1:3">
      <c r="A352">
        <v>200000</v>
      </c>
      <c r="B352" t="s">
        <v>1803</v>
      </c>
      <c r="C352" t="s">
        <v>8</v>
      </c>
    </row>
    <row r="353" spans="1:3">
      <c r="A353">
        <v>2748899</v>
      </c>
      <c r="C353" t="s">
        <v>8</v>
      </c>
    </row>
    <row r="354" spans="1:3">
      <c r="A354">
        <v>500000</v>
      </c>
      <c r="B354" t="s">
        <v>1803</v>
      </c>
      <c r="C354" t="s">
        <v>8</v>
      </c>
    </row>
    <row r="355" spans="1:3">
      <c r="A355">
        <v>998899</v>
      </c>
      <c r="B355" t="s">
        <v>1803</v>
      </c>
      <c r="C355" t="s">
        <v>8</v>
      </c>
    </row>
    <row r="356" spans="1:3">
      <c r="A356">
        <v>1250000</v>
      </c>
      <c r="B356" t="s">
        <v>1803</v>
      </c>
      <c r="C356" t="s">
        <v>8</v>
      </c>
    </row>
    <row r="357" spans="1:3">
      <c r="A357">
        <v>986000</v>
      </c>
      <c r="C357" t="s">
        <v>8</v>
      </c>
    </row>
    <row r="358" spans="1:3">
      <c r="A358">
        <v>580000</v>
      </c>
      <c r="B358" t="s">
        <v>1803</v>
      </c>
      <c r="C358" t="s">
        <v>8</v>
      </c>
    </row>
    <row r="359" spans="1:3">
      <c r="A359">
        <v>116000</v>
      </c>
      <c r="B359" t="s">
        <v>1803</v>
      </c>
      <c r="C359" t="s">
        <v>8</v>
      </c>
    </row>
    <row r="360" spans="1:3">
      <c r="A360">
        <v>290000</v>
      </c>
      <c r="B360" t="s">
        <v>1803</v>
      </c>
      <c r="C360" t="s">
        <v>8</v>
      </c>
    </row>
    <row r="361" spans="1:3">
      <c r="A361">
        <v>4748500</v>
      </c>
      <c r="C361" t="s">
        <v>8</v>
      </c>
    </row>
    <row r="362" spans="1:3">
      <c r="A362">
        <v>4748500</v>
      </c>
      <c r="B362" t="s">
        <v>1803</v>
      </c>
      <c r="C362" t="s">
        <v>8</v>
      </c>
    </row>
    <row r="363" spans="1:3">
      <c r="A363">
        <v>2000000</v>
      </c>
      <c r="C363" t="s">
        <v>8</v>
      </c>
    </row>
    <row r="364" spans="1:3">
      <c r="A364">
        <v>500000</v>
      </c>
      <c r="B364" t="s">
        <v>1803</v>
      </c>
      <c r="C364" t="s">
        <v>8</v>
      </c>
    </row>
    <row r="365" spans="1:3">
      <c r="A365">
        <v>800000</v>
      </c>
      <c r="B365" t="s">
        <v>1803</v>
      </c>
      <c r="C365" t="s">
        <v>8</v>
      </c>
    </row>
    <row r="366" spans="1:3">
      <c r="A366">
        <v>700000</v>
      </c>
      <c r="B366" t="s">
        <v>1803</v>
      </c>
      <c r="C366" t="s">
        <v>8</v>
      </c>
    </row>
    <row r="367" spans="1:3">
      <c r="A367">
        <v>1500000</v>
      </c>
      <c r="C367" t="s">
        <v>8</v>
      </c>
    </row>
    <row r="368" spans="1:3">
      <c r="A368">
        <v>1500000</v>
      </c>
      <c r="B368" t="s">
        <v>1803</v>
      </c>
      <c r="C368" t="s">
        <v>8</v>
      </c>
    </row>
    <row r="369" spans="1:3">
      <c r="A369">
        <v>1240000</v>
      </c>
      <c r="C369" t="s">
        <v>8</v>
      </c>
    </row>
    <row r="370" spans="1:3">
      <c r="A370">
        <v>1240000</v>
      </c>
      <c r="B370" t="s">
        <v>1803</v>
      </c>
      <c r="C370" t="s">
        <v>8</v>
      </c>
    </row>
    <row r="371" spans="1:3">
      <c r="A371">
        <v>600000</v>
      </c>
      <c r="C371" t="s">
        <v>8</v>
      </c>
    </row>
    <row r="372" spans="1:3">
      <c r="A372">
        <v>600000</v>
      </c>
      <c r="B372" t="s">
        <v>1803</v>
      </c>
      <c r="C372" t="s">
        <v>8</v>
      </c>
    </row>
    <row r="373" spans="1:3">
      <c r="A373">
        <v>700000</v>
      </c>
      <c r="C373" t="s">
        <v>8</v>
      </c>
    </row>
    <row r="374" spans="1:3">
      <c r="A374">
        <v>300000</v>
      </c>
      <c r="B374" t="s">
        <v>1803</v>
      </c>
      <c r="C374" t="s">
        <v>8</v>
      </c>
    </row>
    <row r="375" spans="1:3">
      <c r="A375">
        <v>400000</v>
      </c>
      <c r="B375" t="s">
        <v>1803</v>
      </c>
      <c r="C375" t="s">
        <v>8</v>
      </c>
    </row>
    <row r="376" spans="1:3">
      <c r="A376">
        <v>0</v>
      </c>
      <c r="C376" t="s">
        <v>8</v>
      </c>
    </row>
    <row r="377" spans="1:3">
      <c r="C377" t="s">
        <v>8</v>
      </c>
    </row>
    <row r="378" spans="1:3">
      <c r="A378">
        <v>15023399</v>
      </c>
      <c r="C378" t="s">
        <v>8</v>
      </c>
    </row>
    <row r="379" spans="1:3">
      <c r="A379">
        <v>15023399</v>
      </c>
      <c r="C379" t="s">
        <v>8</v>
      </c>
    </row>
    <row r="380" spans="1:3">
      <c r="A380">
        <v>35062399</v>
      </c>
      <c r="C380" t="s">
        <v>8</v>
      </c>
    </row>
    <row r="381" spans="1:3">
      <c r="C381" t="s">
        <v>8</v>
      </c>
    </row>
    <row r="382" spans="1:3">
      <c r="A382">
        <v>891950982</v>
      </c>
      <c r="C382" t="s">
        <v>8</v>
      </c>
    </row>
    <row r="383" spans="1:3">
      <c r="A383">
        <v>740574535</v>
      </c>
      <c r="C383" t="s">
        <v>8</v>
      </c>
    </row>
    <row r="384" spans="1:3">
      <c r="A384">
        <v>1632525517</v>
      </c>
      <c r="C384" t="s">
        <v>8</v>
      </c>
    </row>
    <row r="385" spans="1:3">
      <c r="C385" t="s">
        <v>8</v>
      </c>
    </row>
    <row r="386" spans="1:3">
      <c r="C386" t="s">
        <v>8</v>
      </c>
    </row>
    <row r="387" spans="1:3">
      <c r="C387" t="s">
        <v>8</v>
      </c>
    </row>
    <row r="388" spans="1:3">
      <c r="C388" t="s">
        <v>8</v>
      </c>
    </row>
    <row r="389" spans="1:3">
      <c r="C389" t="s">
        <v>8</v>
      </c>
    </row>
    <row r="390" spans="1:3">
      <c r="A390">
        <v>6000</v>
      </c>
      <c r="C390" t="s">
        <v>8</v>
      </c>
    </row>
    <row r="391" spans="1:3">
      <c r="A391">
        <v>3400</v>
      </c>
      <c r="B391" t="s">
        <v>1803</v>
      </c>
      <c r="C391" t="s">
        <v>8</v>
      </c>
    </row>
    <row r="392" spans="1:3">
      <c r="A392">
        <v>2600</v>
      </c>
      <c r="B392" t="s">
        <v>1803</v>
      </c>
      <c r="C392" t="s">
        <v>8</v>
      </c>
    </row>
    <row r="393" spans="1:3">
      <c r="A393">
        <v>301200</v>
      </c>
      <c r="C393" t="s">
        <v>8</v>
      </c>
    </row>
    <row r="394" spans="1:3">
      <c r="A394">
        <v>300000</v>
      </c>
      <c r="B394" t="s">
        <v>1803</v>
      </c>
      <c r="C394" t="s">
        <v>8</v>
      </c>
    </row>
    <row r="395" spans="1:3">
      <c r="A395">
        <v>1200</v>
      </c>
      <c r="B395" t="s">
        <v>1803</v>
      </c>
      <c r="C395" t="s">
        <v>8</v>
      </c>
    </row>
    <row r="396" spans="1:3">
      <c r="A396">
        <v>1249150</v>
      </c>
      <c r="C396" t="s">
        <v>8</v>
      </c>
    </row>
    <row r="397" spans="1:3">
      <c r="A397">
        <v>345000</v>
      </c>
      <c r="B397" t="s">
        <v>1803</v>
      </c>
      <c r="C397" t="s">
        <v>8</v>
      </c>
    </row>
    <row r="398" spans="1:3">
      <c r="A398">
        <v>342000</v>
      </c>
      <c r="B398" t="s">
        <v>1803</v>
      </c>
      <c r="C398" t="s">
        <v>8</v>
      </c>
    </row>
    <row r="399" spans="1:3">
      <c r="A399">
        <v>562150</v>
      </c>
      <c r="B399" t="s">
        <v>1803</v>
      </c>
      <c r="C399" t="s">
        <v>8</v>
      </c>
    </row>
    <row r="400" spans="1:3">
      <c r="A400">
        <v>400000</v>
      </c>
      <c r="C400" t="s">
        <v>8</v>
      </c>
    </row>
    <row r="401" spans="1:3">
      <c r="A401">
        <v>400000</v>
      </c>
      <c r="B401" t="s">
        <v>1803</v>
      </c>
      <c r="C401" t="s">
        <v>8</v>
      </c>
    </row>
    <row r="402" spans="1:3">
      <c r="A402">
        <v>613000</v>
      </c>
      <c r="C402" t="s">
        <v>8</v>
      </c>
    </row>
    <row r="403" spans="1:3">
      <c r="A403">
        <v>213000</v>
      </c>
      <c r="B403" t="s">
        <v>1803</v>
      </c>
      <c r="C403" t="s">
        <v>8</v>
      </c>
    </row>
    <row r="404" spans="1:3">
      <c r="A404">
        <v>342000</v>
      </c>
      <c r="B404" t="s">
        <v>1803</v>
      </c>
      <c r="C404" t="s">
        <v>8</v>
      </c>
    </row>
    <row r="405" spans="1:3">
      <c r="A405">
        <v>58000</v>
      </c>
      <c r="B405" t="s">
        <v>1803</v>
      </c>
      <c r="C405" t="s">
        <v>8</v>
      </c>
    </row>
    <row r="406" spans="1:3">
      <c r="A406">
        <v>2046999.674643755</v>
      </c>
      <c r="C406" t="s">
        <v>8</v>
      </c>
    </row>
    <row r="407" spans="1:3">
      <c r="A407">
        <v>1250000</v>
      </c>
      <c r="B407" t="s">
        <v>1803</v>
      </c>
      <c r="C407" t="s">
        <v>8</v>
      </c>
    </row>
    <row r="408" spans="1:3">
      <c r="A408">
        <v>30000</v>
      </c>
      <c r="B408" t="s">
        <v>1803</v>
      </c>
      <c r="C408" t="s">
        <v>8</v>
      </c>
    </row>
    <row r="409" spans="1:3">
      <c r="A409">
        <v>766999.67464375496</v>
      </c>
      <c r="B409" t="s">
        <v>1803</v>
      </c>
      <c r="C409" t="s">
        <v>8</v>
      </c>
    </row>
    <row r="410" spans="1:3">
      <c r="A410">
        <v>580000</v>
      </c>
      <c r="C410" t="s">
        <v>8</v>
      </c>
    </row>
    <row r="411" spans="1:3">
      <c r="A411">
        <v>123000</v>
      </c>
      <c r="B411" t="s">
        <v>1803</v>
      </c>
      <c r="C411" t="s">
        <v>8</v>
      </c>
    </row>
    <row r="412" spans="1:3">
      <c r="A412">
        <v>235000</v>
      </c>
      <c r="B412" t="s">
        <v>1803</v>
      </c>
      <c r="C412" t="s">
        <v>8</v>
      </c>
    </row>
    <row r="413" spans="1:3">
      <c r="A413">
        <v>116000</v>
      </c>
      <c r="B413" t="s">
        <v>1803</v>
      </c>
      <c r="C413" t="s">
        <v>8</v>
      </c>
    </row>
    <row r="414" spans="1:3">
      <c r="A414">
        <v>23000</v>
      </c>
      <c r="B414" t="s">
        <v>1803</v>
      </c>
      <c r="C414" t="s">
        <v>8</v>
      </c>
    </row>
    <row r="415" spans="1:3">
      <c r="A415">
        <v>23000</v>
      </c>
      <c r="B415" t="s">
        <v>1803</v>
      </c>
      <c r="C415" t="s">
        <v>8</v>
      </c>
    </row>
    <row r="416" spans="1:3">
      <c r="A416">
        <v>60000</v>
      </c>
      <c r="B416" t="s">
        <v>1803</v>
      </c>
      <c r="C416" t="s">
        <v>8</v>
      </c>
    </row>
    <row r="417" spans="1:3">
      <c r="A417">
        <v>783000</v>
      </c>
      <c r="C417" t="s">
        <v>8</v>
      </c>
    </row>
    <row r="418" spans="1:3">
      <c r="A418">
        <v>543000</v>
      </c>
      <c r="B418" t="s">
        <v>1803</v>
      </c>
      <c r="C418" t="s">
        <v>8</v>
      </c>
    </row>
    <row r="419" spans="1:3">
      <c r="A419">
        <v>240000</v>
      </c>
      <c r="B419" t="s">
        <v>1803</v>
      </c>
      <c r="C419" t="s">
        <v>8</v>
      </c>
    </row>
    <row r="420" spans="1:3">
      <c r="A420">
        <v>402000</v>
      </c>
      <c r="C420" t="s">
        <v>8</v>
      </c>
    </row>
    <row r="421" spans="1:3">
      <c r="A421">
        <v>54000</v>
      </c>
      <c r="B421" t="s">
        <v>1803</v>
      </c>
      <c r="C421" t="s">
        <v>8</v>
      </c>
    </row>
    <row r="422" spans="1:3">
      <c r="A422">
        <v>0</v>
      </c>
      <c r="B422" t="s">
        <v>1803</v>
      </c>
      <c r="C422" t="s">
        <v>8</v>
      </c>
    </row>
    <row r="423" spans="1:3">
      <c r="A423">
        <v>348000</v>
      </c>
      <c r="B423" t="s">
        <v>1803</v>
      </c>
      <c r="C423" t="s">
        <v>8</v>
      </c>
    </row>
    <row r="424" spans="1:3">
      <c r="A424">
        <v>432000</v>
      </c>
      <c r="C424" t="s">
        <v>8</v>
      </c>
    </row>
    <row r="425" spans="1:3">
      <c r="A425">
        <v>432000</v>
      </c>
      <c r="B425" t="s">
        <v>1803</v>
      </c>
      <c r="C425" t="s">
        <v>8</v>
      </c>
    </row>
    <row r="426" spans="1:3">
      <c r="A426">
        <v>200000</v>
      </c>
      <c r="C426" t="s">
        <v>8</v>
      </c>
    </row>
    <row r="427" spans="1:3">
      <c r="A427">
        <v>200000</v>
      </c>
      <c r="B427" t="s">
        <v>1803</v>
      </c>
      <c r="C427" t="s">
        <v>8</v>
      </c>
    </row>
    <row r="428" spans="1:3">
      <c r="A428">
        <v>143000</v>
      </c>
      <c r="C428" t="s">
        <v>8</v>
      </c>
    </row>
    <row r="429" spans="1:3">
      <c r="A429">
        <v>143000</v>
      </c>
      <c r="B429" t="s">
        <v>1803</v>
      </c>
      <c r="C429" t="s">
        <v>8</v>
      </c>
    </row>
    <row r="430" spans="1:3">
      <c r="A430">
        <v>96000</v>
      </c>
      <c r="C430" t="s">
        <v>8</v>
      </c>
    </row>
    <row r="431" spans="1:3">
      <c r="A431">
        <v>58000</v>
      </c>
      <c r="B431" t="s">
        <v>1803</v>
      </c>
      <c r="C431" t="s">
        <v>8</v>
      </c>
    </row>
    <row r="432" spans="1:3">
      <c r="A432">
        <v>38000</v>
      </c>
      <c r="B432" t="s">
        <v>1803</v>
      </c>
      <c r="C432" t="s">
        <v>8</v>
      </c>
    </row>
    <row r="433" spans="1:3">
      <c r="A433">
        <v>268000</v>
      </c>
      <c r="C433" t="s">
        <v>8</v>
      </c>
    </row>
    <row r="434" spans="1:3">
      <c r="A434">
        <v>123000</v>
      </c>
      <c r="B434" t="s">
        <v>1803</v>
      </c>
      <c r="C434" t="s">
        <v>8</v>
      </c>
    </row>
    <row r="435" spans="1:3">
      <c r="A435">
        <v>145000</v>
      </c>
      <c r="B435" t="s">
        <v>1803</v>
      </c>
      <c r="C435" t="s">
        <v>8</v>
      </c>
    </row>
    <row r="436" spans="1:3">
      <c r="A436">
        <v>0</v>
      </c>
      <c r="B436" t="s">
        <v>1803</v>
      </c>
      <c r="C436" t="s">
        <v>8</v>
      </c>
    </row>
    <row r="437" spans="1:3">
      <c r="A437">
        <v>0</v>
      </c>
      <c r="C437" t="s">
        <v>8</v>
      </c>
    </row>
    <row r="438" spans="1:3">
      <c r="A438">
        <v>0</v>
      </c>
      <c r="C438" t="s">
        <v>8</v>
      </c>
    </row>
    <row r="439" spans="1:3">
      <c r="A439">
        <v>7520349.674643755</v>
      </c>
      <c r="C439" t="s">
        <v>8</v>
      </c>
    </row>
    <row r="440" spans="1:3">
      <c r="A440">
        <v>7520349.674643755</v>
      </c>
      <c r="C440" t="s">
        <v>8</v>
      </c>
    </row>
    <row r="441" spans="1:3">
      <c r="C441" t="s">
        <v>8</v>
      </c>
    </row>
    <row r="442" spans="1:3">
      <c r="C442" t="s">
        <v>8</v>
      </c>
    </row>
    <row r="443" spans="1:3">
      <c r="C443" t="s">
        <v>8</v>
      </c>
    </row>
    <row r="444" spans="1:3">
      <c r="A444">
        <v>194000</v>
      </c>
      <c r="C444" t="s">
        <v>8</v>
      </c>
    </row>
    <row r="445" spans="1:3">
      <c r="A445">
        <v>174000</v>
      </c>
      <c r="B445" t="s">
        <v>1803</v>
      </c>
      <c r="C445" t="s">
        <v>8</v>
      </c>
    </row>
    <row r="446" spans="1:3">
      <c r="A446">
        <v>20000</v>
      </c>
      <c r="B446" t="s">
        <v>1803</v>
      </c>
      <c r="C446" t="s">
        <v>8</v>
      </c>
    </row>
    <row r="447" spans="1:3">
      <c r="A447">
        <v>408000</v>
      </c>
      <c r="C447" t="s">
        <v>8</v>
      </c>
    </row>
    <row r="448" spans="1:3">
      <c r="A448">
        <v>142000</v>
      </c>
      <c r="B448" t="s">
        <v>1803</v>
      </c>
      <c r="C448" t="s">
        <v>8</v>
      </c>
    </row>
    <row r="449" spans="1:3">
      <c r="A449">
        <v>32000</v>
      </c>
      <c r="B449" t="s">
        <v>1803</v>
      </c>
      <c r="C449" t="s">
        <v>8</v>
      </c>
    </row>
    <row r="450" spans="1:3">
      <c r="A450">
        <v>234000</v>
      </c>
      <c r="B450" t="s">
        <v>1803</v>
      </c>
      <c r="C450" t="s">
        <v>8</v>
      </c>
    </row>
    <row r="451" spans="1:3">
      <c r="A451">
        <v>12000</v>
      </c>
      <c r="C451" t="s">
        <v>8</v>
      </c>
    </row>
    <row r="452" spans="1:3">
      <c r="A452">
        <v>12000</v>
      </c>
      <c r="B452" t="s">
        <v>1803</v>
      </c>
      <c r="C452" t="s">
        <v>8</v>
      </c>
    </row>
    <row r="453" spans="1:3">
      <c r="A453">
        <v>0</v>
      </c>
      <c r="C453" t="s">
        <v>8</v>
      </c>
    </row>
    <row r="454" spans="1:3">
      <c r="A454">
        <v>0</v>
      </c>
      <c r="C454" t="s">
        <v>8</v>
      </c>
    </row>
    <row r="455" spans="1:3">
      <c r="A455">
        <v>0</v>
      </c>
      <c r="C455" t="s">
        <v>8</v>
      </c>
    </row>
    <row r="456" spans="1:3">
      <c r="A456">
        <v>0</v>
      </c>
      <c r="C456" t="s">
        <v>8</v>
      </c>
    </row>
    <row r="457" spans="1:3">
      <c r="A457">
        <v>53000</v>
      </c>
      <c r="C457" t="s">
        <v>8</v>
      </c>
    </row>
    <row r="458" spans="1:3">
      <c r="A458">
        <v>22000</v>
      </c>
      <c r="B458" t="s">
        <v>1803</v>
      </c>
      <c r="C458" t="s">
        <v>8</v>
      </c>
    </row>
    <row r="459" spans="1:3">
      <c r="A459">
        <v>16000</v>
      </c>
      <c r="B459" t="s">
        <v>1803</v>
      </c>
      <c r="C459" t="s">
        <v>8</v>
      </c>
    </row>
    <row r="460" spans="1:3">
      <c r="A460">
        <v>15000</v>
      </c>
      <c r="B460" t="s">
        <v>1803</v>
      </c>
      <c r="C460" t="s">
        <v>8</v>
      </c>
    </row>
    <row r="461" spans="1:3">
      <c r="A461">
        <v>284300</v>
      </c>
      <c r="C461" t="s">
        <v>8</v>
      </c>
    </row>
    <row r="462" spans="1:3">
      <c r="A462">
        <v>16000</v>
      </c>
      <c r="B462" t="s">
        <v>1803</v>
      </c>
      <c r="C462" t="s">
        <v>8</v>
      </c>
    </row>
    <row r="463" spans="1:3">
      <c r="A463">
        <v>4300</v>
      </c>
      <c r="B463" t="s">
        <v>1803</v>
      </c>
      <c r="C463" t="s">
        <v>8</v>
      </c>
    </row>
    <row r="464" spans="1:3">
      <c r="A464">
        <v>61000</v>
      </c>
      <c r="B464" t="s">
        <v>1803</v>
      </c>
      <c r="C464" t="s">
        <v>8</v>
      </c>
    </row>
    <row r="465" spans="1:3">
      <c r="A465">
        <v>23000</v>
      </c>
      <c r="B465" t="s">
        <v>1803</v>
      </c>
      <c r="C465" t="s">
        <v>8</v>
      </c>
    </row>
    <row r="466" spans="1:3">
      <c r="A466">
        <v>124000</v>
      </c>
      <c r="B466" t="s">
        <v>1803</v>
      </c>
      <c r="C466" t="s">
        <v>8</v>
      </c>
    </row>
    <row r="467" spans="1:3">
      <c r="A467">
        <v>56000</v>
      </c>
      <c r="B467" t="s">
        <v>1803</v>
      </c>
      <c r="C467" t="s">
        <v>8</v>
      </c>
    </row>
    <row r="468" spans="1:3">
      <c r="A468">
        <v>99500</v>
      </c>
      <c r="C468" t="s">
        <v>8</v>
      </c>
    </row>
    <row r="469" spans="1:3">
      <c r="A469">
        <v>20500</v>
      </c>
      <c r="B469" t="s">
        <v>1803</v>
      </c>
      <c r="C469" t="s">
        <v>8</v>
      </c>
    </row>
    <row r="470" spans="1:3">
      <c r="A470">
        <v>79000</v>
      </c>
      <c r="B470" t="s">
        <v>1803</v>
      </c>
      <c r="C470" t="s">
        <v>8</v>
      </c>
    </row>
    <row r="471" spans="1:3">
      <c r="A471">
        <v>97900</v>
      </c>
      <c r="C471" t="s">
        <v>8</v>
      </c>
    </row>
    <row r="472" spans="1:3">
      <c r="A472">
        <v>78000</v>
      </c>
      <c r="B472" t="s">
        <v>1803</v>
      </c>
      <c r="C472" t="s">
        <v>8</v>
      </c>
    </row>
    <row r="473" spans="1:3">
      <c r="A473">
        <v>8900</v>
      </c>
      <c r="B473" t="s">
        <v>1803</v>
      </c>
      <c r="C473" t="s">
        <v>8</v>
      </c>
    </row>
    <row r="474" spans="1:3">
      <c r="A474">
        <v>11000</v>
      </c>
      <c r="B474" t="s">
        <v>1803</v>
      </c>
      <c r="C474" t="s">
        <v>8</v>
      </c>
    </row>
    <row r="475" spans="1:3">
      <c r="A475">
        <v>115000</v>
      </c>
      <c r="C475" t="s">
        <v>8</v>
      </c>
    </row>
    <row r="476" spans="1:3">
      <c r="A476">
        <v>115000</v>
      </c>
      <c r="B476" t="s">
        <v>1803</v>
      </c>
      <c r="C476" t="s">
        <v>8</v>
      </c>
    </row>
    <row r="477" spans="1:3">
      <c r="A477">
        <v>21000</v>
      </c>
      <c r="C477" t="s">
        <v>8</v>
      </c>
    </row>
    <row r="478" spans="1:3">
      <c r="A478">
        <v>21000</v>
      </c>
      <c r="B478" t="s">
        <v>1803</v>
      </c>
      <c r="C478" t="s">
        <v>8</v>
      </c>
    </row>
    <row r="479" spans="1:3">
      <c r="A479">
        <v>58000</v>
      </c>
      <c r="C479" t="s">
        <v>8</v>
      </c>
    </row>
    <row r="480" spans="1:3">
      <c r="A480">
        <v>13000</v>
      </c>
      <c r="B480" t="s">
        <v>1803</v>
      </c>
      <c r="C480" t="s">
        <v>8</v>
      </c>
    </row>
    <row r="481" spans="1:3">
      <c r="A481">
        <v>45000</v>
      </c>
      <c r="B481" t="s">
        <v>1803</v>
      </c>
      <c r="C481" t="s">
        <v>8</v>
      </c>
    </row>
    <row r="482" spans="1:3">
      <c r="A482">
        <v>0</v>
      </c>
      <c r="C482" t="s">
        <v>8</v>
      </c>
    </row>
    <row r="483" spans="1:3">
      <c r="A483">
        <v>0</v>
      </c>
      <c r="C483" t="s">
        <v>8</v>
      </c>
    </row>
    <row r="484" spans="1:3">
      <c r="A484">
        <v>1342700</v>
      </c>
      <c r="C484" t="s">
        <v>8</v>
      </c>
    </row>
    <row r="485" spans="1:3">
      <c r="A485">
        <v>1342700</v>
      </c>
      <c r="C485" t="s">
        <v>8</v>
      </c>
    </row>
    <row r="486" spans="1:3">
      <c r="C486" t="s">
        <v>8</v>
      </c>
    </row>
    <row r="487" spans="1:3">
      <c r="C487" t="s">
        <v>8</v>
      </c>
    </row>
    <row r="488" spans="1:3">
      <c r="C488" t="s">
        <v>8</v>
      </c>
    </row>
    <row r="489" spans="1:3">
      <c r="A489">
        <v>196000</v>
      </c>
      <c r="C489" t="s">
        <v>8</v>
      </c>
    </row>
    <row r="490" spans="1:3">
      <c r="A490">
        <v>116000</v>
      </c>
      <c r="B490" t="s">
        <v>1803</v>
      </c>
      <c r="C490" t="s">
        <v>8</v>
      </c>
    </row>
    <row r="491" spans="1:3">
      <c r="A491">
        <v>80000</v>
      </c>
      <c r="B491" t="s">
        <v>1803</v>
      </c>
      <c r="C491" t="s">
        <v>8</v>
      </c>
    </row>
    <row r="492" spans="1:3">
      <c r="A492">
        <v>0</v>
      </c>
      <c r="C492" t="s">
        <v>8</v>
      </c>
    </row>
    <row r="493" spans="1:3">
      <c r="A493">
        <v>0</v>
      </c>
      <c r="C493" t="s">
        <v>8</v>
      </c>
    </row>
    <row r="494" spans="1:3">
      <c r="A494">
        <v>0</v>
      </c>
      <c r="C494" t="s">
        <v>8</v>
      </c>
    </row>
    <row r="495" spans="1:3">
      <c r="A495">
        <v>0</v>
      </c>
      <c r="C495" t="s">
        <v>8</v>
      </c>
    </row>
    <row r="496" spans="1:3">
      <c r="A496">
        <v>0</v>
      </c>
      <c r="C496" t="s">
        <v>8</v>
      </c>
    </row>
    <row r="497" spans="1:3">
      <c r="A497">
        <v>2139000</v>
      </c>
      <c r="C497" t="s">
        <v>8</v>
      </c>
    </row>
    <row r="498" spans="1:3">
      <c r="A498">
        <v>540000</v>
      </c>
      <c r="B498" t="s">
        <v>1803</v>
      </c>
      <c r="C498" t="s">
        <v>8</v>
      </c>
    </row>
    <row r="499" spans="1:3">
      <c r="A499">
        <v>735000</v>
      </c>
      <c r="B499" t="s">
        <v>1803</v>
      </c>
      <c r="C499" t="s">
        <v>8</v>
      </c>
    </row>
    <row r="500" spans="1:3">
      <c r="A500">
        <v>864000</v>
      </c>
      <c r="B500" t="s">
        <v>1803</v>
      </c>
      <c r="C500" t="s">
        <v>8</v>
      </c>
    </row>
    <row r="501" spans="1:3">
      <c r="A501">
        <v>679720.1552863121</v>
      </c>
      <c r="C501" t="s">
        <v>8</v>
      </c>
    </row>
    <row r="502" spans="1:3">
      <c r="A502">
        <v>290000</v>
      </c>
      <c r="B502" t="s">
        <v>1803</v>
      </c>
      <c r="C502" t="s">
        <v>8</v>
      </c>
    </row>
    <row r="503" spans="1:3">
      <c r="A503">
        <v>331720.1552863121</v>
      </c>
      <c r="B503" t="s">
        <v>1803</v>
      </c>
      <c r="C503" t="s">
        <v>8</v>
      </c>
    </row>
    <row r="504" spans="1:3">
      <c r="A504">
        <v>58000</v>
      </c>
      <c r="B504" t="s">
        <v>1803</v>
      </c>
      <c r="C504" t="s">
        <v>8</v>
      </c>
    </row>
    <row r="505" spans="1:3">
      <c r="A505">
        <v>4098473.6</v>
      </c>
      <c r="C505" t="s">
        <v>8</v>
      </c>
    </row>
    <row r="506" spans="1:3">
      <c r="A506">
        <v>1508473.6</v>
      </c>
      <c r="B506" t="s">
        <v>1803</v>
      </c>
      <c r="C506" t="s">
        <v>8</v>
      </c>
    </row>
    <row r="507" spans="1:3">
      <c r="A507">
        <v>2590000</v>
      </c>
      <c r="B507" t="s">
        <v>1803</v>
      </c>
      <c r="C507" t="s">
        <v>8</v>
      </c>
    </row>
    <row r="508" spans="1:3">
      <c r="A508">
        <v>0</v>
      </c>
      <c r="C508" t="s">
        <v>8</v>
      </c>
    </row>
    <row r="509" spans="1:3">
      <c r="A509">
        <v>0</v>
      </c>
      <c r="B509" t="s">
        <v>1803</v>
      </c>
      <c r="C509" t="s">
        <v>8</v>
      </c>
    </row>
    <row r="510" spans="1:3">
      <c r="A510">
        <v>162000</v>
      </c>
      <c r="C510" t="s">
        <v>8</v>
      </c>
    </row>
    <row r="511" spans="1:3">
      <c r="A511">
        <v>162000</v>
      </c>
      <c r="B511" t="s">
        <v>1803</v>
      </c>
      <c r="C511" t="s">
        <v>8</v>
      </c>
    </row>
    <row r="512" spans="1:3">
      <c r="A512">
        <v>7000000</v>
      </c>
      <c r="C512" t="s">
        <v>8</v>
      </c>
    </row>
    <row r="513" spans="1:3">
      <c r="A513">
        <v>2000000</v>
      </c>
      <c r="B513" t="s">
        <v>1803</v>
      </c>
      <c r="C513" t="s">
        <v>8</v>
      </c>
    </row>
    <row r="514" spans="1:3">
      <c r="A514">
        <v>5000000</v>
      </c>
      <c r="B514" t="s">
        <v>1803</v>
      </c>
      <c r="C514" t="s">
        <v>8</v>
      </c>
    </row>
    <row r="515" spans="1:3">
      <c r="A515">
        <v>0</v>
      </c>
      <c r="B515" t="s">
        <v>1803</v>
      </c>
      <c r="C515" t="s">
        <v>8</v>
      </c>
    </row>
    <row r="516" spans="1:3">
      <c r="A516">
        <v>7680000</v>
      </c>
      <c r="C516" t="s">
        <v>8</v>
      </c>
    </row>
    <row r="517" spans="1:3">
      <c r="A517">
        <v>5180000</v>
      </c>
      <c r="B517" t="s">
        <v>1803</v>
      </c>
      <c r="C517" t="s">
        <v>8</v>
      </c>
    </row>
    <row r="518" spans="1:3">
      <c r="A518">
        <v>2500000</v>
      </c>
      <c r="B518" t="s">
        <v>1803</v>
      </c>
      <c r="C518" t="s">
        <v>8</v>
      </c>
    </row>
    <row r="519" spans="1:3">
      <c r="A519">
        <v>0</v>
      </c>
      <c r="C519" t="s">
        <v>8</v>
      </c>
    </row>
    <row r="520" spans="1:3">
      <c r="A520">
        <v>0</v>
      </c>
      <c r="C520" t="s">
        <v>8</v>
      </c>
    </row>
    <row r="521" spans="1:3">
      <c r="A521">
        <v>21955193.755286314</v>
      </c>
      <c r="C521" t="s">
        <v>8</v>
      </c>
    </row>
    <row r="522" spans="1:3">
      <c r="C522" t="s">
        <v>8</v>
      </c>
    </row>
    <row r="523" spans="1:3">
      <c r="C523" t="s">
        <v>8</v>
      </c>
    </row>
    <row r="524" spans="1:3">
      <c r="C524" t="s">
        <v>8</v>
      </c>
    </row>
    <row r="525" spans="1:3">
      <c r="C525" t="s">
        <v>8</v>
      </c>
    </row>
    <row r="526" spans="1:3">
      <c r="A526">
        <v>116000</v>
      </c>
      <c r="C526" t="s">
        <v>8</v>
      </c>
    </row>
    <row r="527" spans="1:3">
      <c r="A527">
        <v>58000</v>
      </c>
      <c r="B527" t="s">
        <v>1803</v>
      </c>
      <c r="C527" t="s">
        <v>8</v>
      </c>
    </row>
    <row r="528" spans="1:3">
      <c r="A528">
        <v>58000</v>
      </c>
      <c r="B528" t="s">
        <v>1803</v>
      </c>
      <c r="C528" t="s">
        <v>8</v>
      </c>
    </row>
    <row r="529" spans="1:3">
      <c r="A529">
        <v>591600</v>
      </c>
      <c r="C529" t="s">
        <v>8</v>
      </c>
    </row>
    <row r="530" spans="1:3">
      <c r="A530">
        <v>580000</v>
      </c>
      <c r="B530" t="s">
        <v>1803</v>
      </c>
      <c r="C530" t="s">
        <v>8</v>
      </c>
    </row>
    <row r="531" spans="1:3">
      <c r="A531">
        <v>11600</v>
      </c>
      <c r="B531" t="s">
        <v>1803</v>
      </c>
      <c r="C531" t="s">
        <v>8</v>
      </c>
    </row>
    <row r="532" spans="1:3">
      <c r="A532">
        <v>1530000</v>
      </c>
      <c r="C532" t="s">
        <v>8</v>
      </c>
    </row>
    <row r="533" spans="1:3">
      <c r="A533">
        <v>478500</v>
      </c>
      <c r="B533" t="s">
        <v>1803</v>
      </c>
      <c r="C533" t="s">
        <v>8</v>
      </c>
    </row>
    <row r="534" spans="1:3">
      <c r="A534">
        <v>442500</v>
      </c>
      <c r="B534" t="s">
        <v>1803</v>
      </c>
      <c r="C534" t="s">
        <v>8</v>
      </c>
    </row>
    <row r="535" spans="1:3">
      <c r="A535">
        <v>435000</v>
      </c>
      <c r="B535" t="s">
        <v>1803</v>
      </c>
      <c r="C535" t="s">
        <v>8</v>
      </c>
    </row>
    <row r="536" spans="1:3">
      <c r="A536">
        <v>174000</v>
      </c>
      <c r="B536" t="s">
        <v>1803</v>
      </c>
      <c r="C536" t="s">
        <v>8</v>
      </c>
    </row>
    <row r="537" spans="1:3">
      <c r="A537">
        <v>460000</v>
      </c>
      <c r="C537" t="s">
        <v>8</v>
      </c>
    </row>
    <row r="538" spans="1:3">
      <c r="A538">
        <v>232000</v>
      </c>
      <c r="B538" t="s">
        <v>1803</v>
      </c>
      <c r="C538" t="s">
        <v>8</v>
      </c>
    </row>
    <row r="539" spans="1:3">
      <c r="A539">
        <v>170000</v>
      </c>
      <c r="B539" t="s">
        <v>1803</v>
      </c>
      <c r="C539" t="s">
        <v>8</v>
      </c>
    </row>
    <row r="540" spans="1:3">
      <c r="A540">
        <v>58000</v>
      </c>
      <c r="B540" t="s">
        <v>1803</v>
      </c>
      <c r="C540" t="s">
        <v>8</v>
      </c>
    </row>
    <row r="541" spans="1:3">
      <c r="A541">
        <v>153700</v>
      </c>
      <c r="C541" t="s">
        <v>8</v>
      </c>
    </row>
    <row r="542" spans="1:3">
      <c r="A542">
        <v>95700</v>
      </c>
      <c r="B542" t="s">
        <v>1803</v>
      </c>
      <c r="C542" t="s">
        <v>8</v>
      </c>
    </row>
    <row r="543" spans="1:3">
      <c r="A543">
        <v>58000</v>
      </c>
      <c r="B543" t="s">
        <v>1803</v>
      </c>
      <c r="C543" t="s">
        <v>8</v>
      </c>
    </row>
    <row r="544" spans="1:3">
      <c r="A544">
        <v>1450000</v>
      </c>
      <c r="C544" t="s">
        <v>8</v>
      </c>
    </row>
    <row r="545" spans="1:3">
      <c r="A545">
        <v>464000</v>
      </c>
      <c r="B545" t="s">
        <v>1803</v>
      </c>
      <c r="C545" t="s">
        <v>8</v>
      </c>
    </row>
    <row r="546" spans="1:3">
      <c r="A546">
        <v>145000</v>
      </c>
      <c r="B546" t="s">
        <v>1803</v>
      </c>
      <c r="C546" t="s">
        <v>8</v>
      </c>
    </row>
    <row r="547" spans="1:3">
      <c r="A547">
        <v>87000</v>
      </c>
      <c r="B547" t="s">
        <v>1803</v>
      </c>
      <c r="C547" t="s">
        <v>8</v>
      </c>
    </row>
    <row r="548" spans="1:3">
      <c r="A548">
        <v>174000</v>
      </c>
      <c r="B548" t="s">
        <v>1803</v>
      </c>
      <c r="C548" t="s">
        <v>8</v>
      </c>
    </row>
    <row r="549" spans="1:3">
      <c r="A549">
        <v>580000</v>
      </c>
      <c r="B549" t="s">
        <v>1803</v>
      </c>
      <c r="C549" t="s">
        <v>8</v>
      </c>
    </row>
    <row r="550" spans="1:3">
      <c r="A550">
        <v>570800</v>
      </c>
      <c r="C550" t="s">
        <v>8</v>
      </c>
    </row>
    <row r="551" spans="1:3">
      <c r="A551">
        <v>174000</v>
      </c>
      <c r="B551" t="s">
        <v>1803</v>
      </c>
      <c r="C551" t="s">
        <v>8</v>
      </c>
    </row>
    <row r="552" spans="1:3">
      <c r="A552">
        <v>261000</v>
      </c>
      <c r="B552" t="s">
        <v>1803</v>
      </c>
      <c r="C552" t="s">
        <v>8</v>
      </c>
    </row>
    <row r="553" spans="1:3">
      <c r="A553">
        <v>120000</v>
      </c>
      <c r="B553" t="s">
        <v>1803</v>
      </c>
      <c r="C553" t="s">
        <v>8</v>
      </c>
    </row>
    <row r="554" spans="1:3">
      <c r="A554">
        <v>15800</v>
      </c>
      <c r="B554" t="s">
        <v>1803</v>
      </c>
      <c r="C554" t="s">
        <v>8</v>
      </c>
    </row>
    <row r="555" spans="1:3">
      <c r="A555">
        <v>160000</v>
      </c>
      <c r="C555" t="s">
        <v>8</v>
      </c>
    </row>
    <row r="556" spans="1:3">
      <c r="A556">
        <v>160000</v>
      </c>
      <c r="B556" t="s">
        <v>1803</v>
      </c>
      <c r="C556" t="s">
        <v>8</v>
      </c>
    </row>
    <row r="557" spans="1:3">
      <c r="A557">
        <v>432982.7</v>
      </c>
      <c r="C557" t="s">
        <v>8</v>
      </c>
    </row>
    <row r="558" spans="1:3">
      <c r="A558">
        <v>231000</v>
      </c>
      <c r="B558" t="s">
        <v>1803</v>
      </c>
      <c r="C558" t="s">
        <v>8</v>
      </c>
    </row>
    <row r="559" spans="1:3">
      <c r="A559">
        <v>80000</v>
      </c>
      <c r="B559" t="s">
        <v>1803</v>
      </c>
      <c r="C559" t="s">
        <v>8</v>
      </c>
    </row>
    <row r="560" spans="1:3">
      <c r="A560">
        <v>121982.7</v>
      </c>
      <c r="B560" t="s">
        <v>1803</v>
      </c>
      <c r="C560" t="s">
        <v>8</v>
      </c>
    </row>
    <row r="561" spans="1:3">
      <c r="A561">
        <v>580000</v>
      </c>
      <c r="C561" t="s">
        <v>8</v>
      </c>
    </row>
    <row r="562" spans="1:3">
      <c r="A562">
        <v>580000</v>
      </c>
      <c r="B562" t="s">
        <v>1803</v>
      </c>
      <c r="C562" t="s">
        <v>8</v>
      </c>
    </row>
    <row r="563" spans="1:3">
      <c r="A563">
        <v>256000</v>
      </c>
      <c r="C563" t="s">
        <v>8</v>
      </c>
    </row>
    <row r="564" spans="1:3">
      <c r="A564">
        <v>122000</v>
      </c>
      <c r="B564" t="s">
        <v>1803</v>
      </c>
      <c r="C564" t="s">
        <v>8</v>
      </c>
    </row>
    <row r="565" spans="1:3">
      <c r="A565">
        <v>134000</v>
      </c>
      <c r="B565" t="s">
        <v>1803</v>
      </c>
      <c r="C565" t="s">
        <v>8</v>
      </c>
    </row>
    <row r="566" spans="1:3">
      <c r="A566">
        <v>532600</v>
      </c>
      <c r="C566" t="s">
        <v>8</v>
      </c>
    </row>
    <row r="567" spans="1:3">
      <c r="A567">
        <v>522000</v>
      </c>
      <c r="B567" t="s">
        <v>1803</v>
      </c>
      <c r="C567" t="s">
        <v>8</v>
      </c>
    </row>
    <row r="568" spans="1:3">
      <c r="A568">
        <v>10600</v>
      </c>
      <c r="B568" t="s">
        <v>1803</v>
      </c>
      <c r="C568" t="s">
        <v>8</v>
      </c>
    </row>
    <row r="569" spans="1:3">
      <c r="A569">
        <v>276000</v>
      </c>
      <c r="C569" t="s">
        <v>8</v>
      </c>
    </row>
    <row r="570" spans="1:3">
      <c r="A570">
        <v>80000</v>
      </c>
      <c r="B570" t="s">
        <v>1803</v>
      </c>
      <c r="C570" t="s">
        <v>8</v>
      </c>
    </row>
    <row r="571" spans="1:3">
      <c r="A571">
        <v>196000</v>
      </c>
      <c r="B571" t="s">
        <v>1803</v>
      </c>
      <c r="C571" t="s">
        <v>8</v>
      </c>
    </row>
    <row r="572" spans="1:3">
      <c r="A572">
        <v>520000</v>
      </c>
      <c r="C572" t="s">
        <v>8</v>
      </c>
    </row>
    <row r="573" spans="1:3">
      <c r="A573">
        <v>230000</v>
      </c>
      <c r="B573" t="s">
        <v>1803</v>
      </c>
      <c r="C573" t="s">
        <v>8</v>
      </c>
    </row>
    <row r="574" spans="1:3">
      <c r="A574">
        <v>290000</v>
      </c>
      <c r="B574" t="s">
        <v>1803</v>
      </c>
      <c r="C574" t="s">
        <v>8</v>
      </c>
    </row>
    <row r="575" spans="1:3">
      <c r="A575">
        <v>0</v>
      </c>
      <c r="C575" t="s">
        <v>8</v>
      </c>
    </row>
    <row r="576" spans="1:3">
      <c r="A576">
        <v>0</v>
      </c>
      <c r="C576" t="s">
        <v>8</v>
      </c>
    </row>
    <row r="577" spans="1:3">
      <c r="A577">
        <v>0</v>
      </c>
      <c r="C577" t="s">
        <v>8</v>
      </c>
    </row>
    <row r="578" spans="1:3">
      <c r="A578">
        <v>0</v>
      </c>
      <c r="C578" t="s">
        <v>8</v>
      </c>
    </row>
    <row r="579" spans="1:3">
      <c r="A579">
        <v>0</v>
      </c>
      <c r="C579" t="s">
        <v>8</v>
      </c>
    </row>
    <row r="580" spans="1:3">
      <c r="A580">
        <v>0</v>
      </c>
      <c r="C580" t="s">
        <v>8</v>
      </c>
    </row>
    <row r="581" spans="1:3">
      <c r="A581">
        <v>7629682.7000000002</v>
      </c>
      <c r="C581" t="s">
        <v>8</v>
      </c>
    </row>
    <row r="582" spans="1:3">
      <c r="C582" t="s">
        <v>8</v>
      </c>
    </row>
    <row r="583" spans="1:3">
      <c r="C583" t="s">
        <v>8</v>
      </c>
    </row>
    <row r="584" spans="1:3">
      <c r="C584" t="s">
        <v>8</v>
      </c>
    </row>
    <row r="585" spans="1:3">
      <c r="A585">
        <v>116000</v>
      </c>
      <c r="C585" t="s">
        <v>8</v>
      </c>
    </row>
    <row r="586" spans="1:3">
      <c r="A586">
        <v>58000</v>
      </c>
      <c r="B586" t="s">
        <v>1803</v>
      </c>
      <c r="C586" t="s">
        <v>8</v>
      </c>
    </row>
    <row r="587" spans="1:3">
      <c r="A587">
        <v>58000</v>
      </c>
      <c r="B587" t="s">
        <v>1803</v>
      </c>
      <c r="C587" t="s">
        <v>8</v>
      </c>
    </row>
    <row r="588" spans="1:3">
      <c r="A588">
        <v>174000</v>
      </c>
      <c r="C588" t="s">
        <v>8</v>
      </c>
    </row>
    <row r="589" spans="1:3">
      <c r="A589">
        <v>116000</v>
      </c>
      <c r="B589" t="s">
        <v>1803</v>
      </c>
      <c r="C589" t="s">
        <v>8</v>
      </c>
    </row>
    <row r="590" spans="1:3">
      <c r="A590">
        <v>58000</v>
      </c>
      <c r="B590" t="s">
        <v>1803</v>
      </c>
      <c r="C590" t="s">
        <v>8</v>
      </c>
    </row>
    <row r="591" spans="1:3">
      <c r="A591">
        <v>1364000</v>
      </c>
      <c r="C591" t="s">
        <v>8</v>
      </c>
    </row>
    <row r="592" spans="1:3">
      <c r="A592">
        <v>432000</v>
      </c>
      <c r="B592" t="s">
        <v>1803</v>
      </c>
      <c r="C592" t="s">
        <v>8</v>
      </c>
    </row>
    <row r="593" spans="1:3">
      <c r="A593">
        <v>520000</v>
      </c>
      <c r="B593" t="s">
        <v>1803</v>
      </c>
      <c r="C593" t="s">
        <v>8</v>
      </c>
    </row>
    <row r="594" spans="1:3">
      <c r="A594">
        <v>412000</v>
      </c>
      <c r="B594" t="s">
        <v>1803</v>
      </c>
      <c r="C594" t="s">
        <v>8</v>
      </c>
    </row>
    <row r="595" spans="1:3">
      <c r="A595">
        <v>290000</v>
      </c>
      <c r="C595" t="s">
        <v>8</v>
      </c>
    </row>
    <row r="596" spans="1:3">
      <c r="A596">
        <v>290000</v>
      </c>
      <c r="B596" t="s">
        <v>1803</v>
      </c>
      <c r="C596" t="s">
        <v>8</v>
      </c>
    </row>
    <row r="597" spans="1:3">
      <c r="A597">
        <v>183000</v>
      </c>
      <c r="C597" t="s">
        <v>8</v>
      </c>
    </row>
    <row r="598" spans="1:3">
      <c r="A598">
        <v>43000</v>
      </c>
      <c r="B598" t="s">
        <v>1803</v>
      </c>
      <c r="C598" t="s">
        <v>8</v>
      </c>
    </row>
    <row r="599" spans="1:3">
      <c r="A599">
        <v>140000</v>
      </c>
      <c r="B599" t="s">
        <v>1803</v>
      </c>
      <c r="C599" t="s">
        <v>8</v>
      </c>
    </row>
    <row r="600" spans="1:3">
      <c r="A600">
        <v>290473.59999999998</v>
      </c>
      <c r="C600" t="s">
        <v>8</v>
      </c>
    </row>
    <row r="601" spans="1:3">
      <c r="A601">
        <v>290473.59999999998</v>
      </c>
      <c r="B601" t="s">
        <v>1803</v>
      </c>
      <c r="C601" t="s">
        <v>8</v>
      </c>
    </row>
    <row r="602" spans="1:3">
      <c r="A602">
        <v>616580</v>
      </c>
      <c r="C602" t="s">
        <v>8</v>
      </c>
    </row>
    <row r="603" spans="1:3">
      <c r="A603">
        <v>290000</v>
      </c>
      <c r="B603" t="s">
        <v>1803</v>
      </c>
      <c r="C603" t="s">
        <v>8</v>
      </c>
    </row>
    <row r="604" spans="1:3">
      <c r="A604">
        <v>210520</v>
      </c>
      <c r="B604" t="s">
        <v>1803</v>
      </c>
      <c r="C604" t="s">
        <v>8</v>
      </c>
    </row>
    <row r="605" spans="1:3">
      <c r="A605">
        <v>116060</v>
      </c>
      <c r="B605" t="s">
        <v>1803</v>
      </c>
      <c r="C605" t="s">
        <v>8</v>
      </c>
    </row>
    <row r="606" spans="1:3">
      <c r="A606">
        <v>500000</v>
      </c>
      <c r="C606" t="s">
        <v>8</v>
      </c>
    </row>
    <row r="607" spans="1:3">
      <c r="A607">
        <v>500000</v>
      </c>
      <c r="B607" t="s">
        <v>1803</v>
      </c>
      <c r="C607" t="s">
        <v>8</v>
      </c>
    </row>
    <row r="608" spans="1:3">
      <c r="A608">
        <v>580000</v>
      </c>
      <c r="C608" t="s">
        <v>8</v>
      </c>
    </row>
    <row r="609" spans="1:3">
      <c r="A609">
        <v>580000</v>
      </c>
      <c r="B609" t="s">
        <v>1803</v>
      </c>
      <c r="C609" t="s">
        <v>8</v>
      </c>
    </row>
    <row r="610" spans="1:3">
      <c r="A610">
        <v>865000</v>
      </c>
      <c r="C610" t="s">
        <v>8</v>
      </c>
    </row>
    <row r="611" spans="1:3">
      <c r="A611">
        <v>345000</v>
      </c>
      <c r="B611" t="s">
        <v>1803</v>
      </c>
      <c r="C611" t="s">
        <v>8</v>
      </c>
    </row>
    <row r="612" spans="1:3">
      <c r="A612">
        <v>520000</v>
      </c>
      <c r="B612" t="s">
        <v>1803</v>
      </c>
      <c r="C612" t="s">
        <v>8</v>
      </c>
    </row>
    <row r="613" spans="1:3">
      <c r="A613">
        <v>0</v>
      </c>
      <c r="C613" t="s">
        <v>8</v>
      </c>
    </row>
    <row r="614" spans="1:3">
      <c r="A614">
        <v>0</v>
      </c>
      <c r="C614" t="s">
        <v>8</v>
      </c>
    </row>
    <row r="615" spans="1:3">
      <c r="A615">
        <v>4979053.5999999996</v>
      </c>
      <c r="C615" t="s">
        <v>8</v>
      </c>
    </row>
    <row r="616" spans="1:3">
      <c r="A616">
        <v>4979053.5999999996</v>
      </c>
      <c r="C616" t="s">
        <v>8</v>
      </c>
    </row>
    <row r="617" spans="1:3">
      <c r="C617" t="s">
        <v>8</v>
      </c>
    </row>
    <row r="618" spans="1:3">
      <c r="C618" t="s">
        <v>8</v>
      </c>
    </row>
    <row r="619" spans="1:3">
      <c r="A619">
        <v>116000</v>
      </c>
      <c r="C619" t="s">
        <v>8</v>
      </c>
    </row>
    <row r="620" spans="1:3">
      <c r="A620">
        <v>58000</v>
      </c>
      <c r="B620" t="s">
        <v>1803</v>
      </c>
      <c r="C620" t="s">
        <v>8</v>
      </c>
    </row>
    <row r="621" spans="1:3">
      <c r="A621">
        <v>58000</v>
      </c>
      <c r="B621" t="s">
        <v>1803</v>
      </c>
      <c r="C621" t="s">
        <v>8</v>
      </c>
    </row>
    <row r="622" spans="1:3">
      <c r="A622">
        <v>133000</v>
      </c>
      <c r="C622" t="s">
        <v>8</v>
      </c>
    </row>
    <row r="623" spans="1:3">
      <c r="A623">
        <v>103000</v>
      </c>
      <c r="B623" t="s">
        <v>1803</v>
      </c>
      <c r="C623" t="s">
        <v>8</v>
      </c>
    </row>
    <row r="624" spans="1:3">
      <c r="A624">
        <v>30000</v>
      </c>
      <c r="B624" t="s">
        <v>1803</v>
      </c>
      <c r="C624" t="s">
        <v>8</v>
      </c>
    </row>
    <row r="625" spans="1:3">
      <c r="A625">
        <v>538000</v>
      </c>
      <c r="C625" t="s">
        <v>8</v>
      </c>
    </row>
    <row r="626" spans="1:3">
      <c r="A626">
        <v>250000</v>
      </c>
      <c r="B626" t="s">
        <v>1803</v>
      </c>
      <c r="C626" t="s">
        <v>8</v>
      </c>
    </row>
    <row r="627" spans="1:3">
      <c r="A627">
        <v>168000</v>
      </c>
      <c r="B627" t="s">
        <v>1803</v>
      </c>
      <c r="C627" t="s">
        <v>8</v>
      </c>
    </row>
    <row r="628" spans="1:3">
      <c r="A628">
        <v>120000</v>
      </c>
      <c r="B628" t="s">
        <v>1803</v>
      </c>
      <c r="C628" t="s">
        <v>8</v>
      </c>
    </row>
    <row r="629" spans="1:3">
      <c r="A629">
        <v>296000</v>
      </c>
      <c r="C629" t="s">
        <v>8</v>
      </c>
    </row>
    <row r="630" spans="1:3">
      <c r="A630">
        <v>174000</v>
      </c>
      <c r="B630" t="s">
        <v>1803</v>
      </c>
      <c r="C630" t="s">
        <v>8</v>
      </c>
    </row>
    <row r="631" spans="1:3">
      <c r="A631">
        <v>35000</v>
      </c>
      <c r="B631" t="s">
        <v>1803</v>
      </c>
      <c r="C631" t="s">
        <v>8</v>
      </c>
    </row>
    <row r="632" spans="1:3">
      <c r="A632">
        <v>87000</v>
      </c>
      <c r="B632" t="s">
        <v>1803</v>
      </c>
      <c r="C632" t="s">
        <v>8</v>
      </c>
    </row>
    <row r="633" spans="1:3">
      <c r="A633">
        <v>34000</v>
      </c>
      <c r="C633" t="s">
        <v>8</v>
      </c>
    </row>
    <row r="634" spans="1:3">
      <c r="A634">
        <v>34000</v>
      </c>
      <c r="B634" t="s">
        <v>1803</v>
      </c>
      <c r="C634" t="s">
        <v>8</v>
      </c>
    </row>
    <row r="635" spans="1:3">
      <c r="A635">
        <v>339000</v>
      </c>
      <c r="C635" t="s">
        <v>8</v>
      </c>
    </row>
    <row r="636" spans="1:3">
      <c r="A636">
        <v>290000</v>
      </c>
      <c r="B636" t="s">
        <v>1803</v>
      </c>
      <c r="C636" t="s">
        <v>8</v>
      </c>
    </row>
    <row r="637" spans="1:3">
      <c r="A637">
        <v>49000</v>
      </c>
      <c r="B637" t="s">
        <v>1803</v>
      </c>
      <c r="C637" t="s">
        <v>8</v>
      </c>
    </row>
    <row r="638" spans="1:3">
      <c r="A638">
        <v>16000</v>
      </c>
      <c r="C638" t="s">
        <v>8</v>
      </c>
    </row>
    <row r="639" spans="1:3">
      <c r="A639">
        <v>16000</v>
      </c>
      <c r="B639" t="s">
        <v>1803</v>
      </c>
      <c r="C639" t="s">
        <v>8</v>
      </c>
    </row>
    <row r="640" spans="1:3">
      <c r="A640">
        <v>276000</v>
      </c>
      <c r="C640" t="s">
        <v>8</v>
      </c>
    </row>
    <row r="641" spans="1:3">
      <c r="A641">
        <v>132000</v>
      </c>
      <c r="B641" t="s">
        <v>1803</v>
      </c>
      <c r="C641" t="s">
        <v>8</v>
      </c>
    </row>
    <row r="642" spans="1:3">
      <c r="A642">
        <v>28000</v>
      </c>
      <c r="B642" t="s">
        <v>1803</v>
      </c>
      <c r="C642" t="s">
        <v>8</v>
      </c>
    </row>
    <row r="643" spans="1:3">
      <c r="A643">
        <v>116000</v>
      </c>
      <c r="B643" t="s">
        <v>1803</v>
      </c>
      <c r="C643" t="s">
        <v>8</v>
      </c>
    </row>
    <row r="644" spans="1:3">
      <c r="A644">
        <v>400000</v>
      </c>
      <c r="C644" t="s">
        <v>8</v>
      </c>
    </row>
    <row r="645" spans="1:3">
      <c r="A645">
        <v>400000</v>
      </c>
      <c r="B645" t="s">
        <v>1803</v>
      </c>
      <c r="C645" t="s">
        <v>8</v>
      </c>
    </row>
    <row r="646" spans="1:3">
      <c r="A646">
        <v>406000</v>
      </c>
      <c r="C646" t="s">
        <v>8</v>
      </c>
    </row>
    <row r="647" spans="1:3">
      <c r="A647">
        <v>406000</v>
      </c>
      <c r="B647" t="s">
        <v>1803</v>
      </c>
      <c r="C647" t="s">
        <v>8</v>
      </c>
    </row>
    <row r="648" spans="1:3">
      <c r="A648">
        <v>20000</v>
      </c>
      <c r="C648" t="s">
        <v>8</v>
      </c>
    </row>
    <row r="649" spans="1:3">
      <c r="A649">
        <v>20000</v>
      </c>
      <c r="B649" t="s">
        <v>1803</v>
      </c>
      <c r="C649" t="s">
        <v>8</v>
      </c>
    </row>
    <row r="650" spans="1:3">
      <c r="A650">
        <v>35142000</v>
      </c>
      <c r="C650" t="s">
        <v>8</v>
      </c>
    </row>
    <row r="651" spans="1:3">
      <c r="A651">
        <v>35000000</v>
      </c>
      <c r="B651" t="s">
        <v>1803</v>
      </c>
      <c r="C651" t="s">
        <v>8</v>
      </c>
    </row>
    <row r="652" spans="1:3">
      <c r="A652">
        <v>142000</v>
      </c>
      <c r="B652" t="s">
        <v>1803</v>
      </c>
      <c r="C652" t="s">
        <v>8</v>
      </c>
    </row>
    <row r="653" spans="1:3">
      <c r="A653">
        <v>10000</v>
      </c>
      <c r="C653" t="s">
        <v>8</v>
      </c>
    </row>
    <row r="654" spans="1:3">
      <c r="A654">
        <v>10000</v>
      </c>
      <c r="B654" t="s">
        <v>1803</v>
      </c>
      <c r="C654" t="s">
        <v>8</v>
      </c>
    </row>
    <row r="655" spans="1:3">
      <c r="A655">
        <v>280000</v>
      </c>
      <c r="C655" t="s">
        <v>8</v>
      </c>
    </row>
    <row r="656" spans="1:3">
      <c r="A656">
        <v>190000</v>
      </c>
      <c r="B656" t="s">
        <v>1803</v>
      </c>
      <c r="C656" t="s">
        <v>8</v>
      </c>
    </row>
    <row r="657" spans="1:3">
      <c r="A657">
        <v>90000</v>
      </c>
      <c r="B657" t="s">
        <v>1803</v>
      </c>
      <c r="C657" t="s">
        <v>8</v>
      </c>
    </row>
    <row r="658" spans="1:3">
      <c r="A658">
        <v>0</v>
      </c>
      <c r="C658" t="s">
        <v>8</v>
      </c>
    </row>
    <row r="659" spans="1:3">
      <c r="A659">
        <v>0</v>
      </c>
      <c r="C659" t="s">
        <v>8</v>
      </c>
    </row>
    <row r="660" spans="1:3">
      <c r="A660">
        <v>38006000</v>
      </c>
      <c r="C660" t="s">
        <v>8</v>
      </c>
    </row>
    <row r="661" spans="1:3">
      <c r="A661">
        <v>38006000</v>
      </c>
      <c r="C661" t="s">
        <v>8</v>
      </c>
    </row>
    <row r="662" spans="1:3">
      <c r="C662" t="s">
        <v>8</v>
      </c>
    </row>
    <row r="663" spans="1:3">
      <c r="C663" t="s">
        <v>8</v>
      </c>
    </row>
    <row r="664" spans="1:3">
      <c r="A664">
        <v>116000</v>
      </c>
      <c r="C664" t="s">
        <v>8</v>
      </c>
    </row>
    <row r="665" spans="1:3">
      <c r="A665">
        <v>58000</v>
      </c>
      <c r="B665" t="s">
        <v>1803</v>
      </c>
      <c r="C665" t="s">
        <v>8</v>
      </c>
    </row>
    <row r="666" spans="1:3">
      <c r="A666">
        <v>58000</v>
      </c>
      <c r="B666" t="s">
        <v>1803</v>
      </c>
      <c r="C666" t="s">
        <v>8</v>
      </c>
    </row>
    <row r="667" spans="1:3">
      <c r="A667">
        <v>976000</v>
      </c>
      <c r="C667" t="s">
        <v>8</v>
      </c>
    </row>
    <row r="668" spans="1:3">
      <c r="A668">
        <v>348000</v>
      </c>
      <c r="B668" t="s">
        <v>1803</v>
      </c>
      <c r="C668" t="s">
        <v>8</v>
      </c>
    </row>
    <row r="669" spans="1:3">
      <c r="A669">
        <v>328000</v>
      </c>
      <c r="B669" t="s">
        <v>1803</v>
      </c>
      <c r="C669" t="s">
        <v>8</v>
      </c>
    </row>
    <row r="670" spans="1:3">
      <c r="A670">
        <v>300000</v>
      </c>
      <c r="B670" t="s">
        <v>1803</v>
      </c>
      <c r="C670" t="s">
        <v>8</v>
      </c>
    </row>
    <row r="671" spans="1:3">
      <c r="A671">
        <v>326000</v>
      </c>
      <c r="C671" t="s">
        <v>8</v>
      </c>
    </row>
    <row r="672" spans="1:3">
      <c r="A672">
        <v>190000</v>
      </c>
      <c r="B672" t="s">
        <v>1803</v>
      </c>
      <c r="C672" t="s">
        <v>8</v>
      </c>
    </row>
    <row r="673" spans="1:3">
      <c r="A673">
        <v>78000</v>
      </c>
      <c r="B673" t="s">
        <v>1803</v>
      </c>
      <c r="C673" t="s">
        <v>8</v>
      </c>
    </row>
    <row r="674" spans="1:3">
      <c r="A674">
        <v>58000</v>
      </c>
      <c r="B674" t="s">
        <v>1803</v>
      </c>
      <c r="C674" t="s">
        <v>8</v>
      </c>
    </row>
    <row r="675" spans="1:3">
      <c r="A675">
        <v>650000</v>
      </c>
      <c r="C675" t="s">
        <v>8</v>
      </c>
    </row>
    <row r="676" spans="1:3">
      <c r="A676">
        <v>650000</v>
      </c>
      <c r="B676" t="s">
        <v>1803</v>
      </c>
      <c r="C676" t="s">
        <v>8</v>
      </c>
    </row>
    <row r="677" spans="1:3">
      <c r="A677">
        <v>663000</v>
      </c>
      <c r="C677" t="s">
        <v>8</v>
      </c>
    </row>
    <row r="678" spans="1:3">
      <c r="A678">
        <v>203000</v>
      </c>
      <c r="B678" t="s">
        <v>1803</v>
      </c>
      <c r="C678" t="s">
        <v>8</v>
      </c>
    </row>
    <row r="679" spans="1:3">
      <c r="A679">
        <v>290000</v>
      </c>
      <c r="B679" t="s">
        <v>1803</v>
      </c>
      <c r="C679" t="s">
        <v>8</v>
      </c>
    </row>
    <row r="680" spans="1:3">
      <c r="A680">
        <v>170000</v>
      </c>
      <c r="B680" t="s">
        <v>1803</v>
      </c>
      <c r="C680" t="s">
        <v>8</v>
      </c>
    </row>
    <row r="681" spans="1:3">
      <c r="A681">
        <v>406000</v>
      </c>
      <c r="C681" t="s">
        <v>8</v>
      </c>
    </row>
    <row r="682" spans="1:3">
      <c r="A682">
        <v>174000</v>
      </c>
      <c r="B682" t="s">
        <v>1803</v>
      </c>
      <c r="C682" t="s">
        <v>8</v>
      </c>
    </row>
    <row r="683" spans="1:3">
      <c r="A683">
        <v>174000</v>
      </c>
      <c r="B683" t="s">
        <v>1803</v>
      </c>
      <c r="C683" t="s">
        <v>8</v>
      </c>
    </row>
    <row r="684" spans="1:3">
      <c r="A684">
        <v>58000</v>
      </c>
      <c r="B684" t="s">
        <v>1803</v>
      </c>
      <c r="C684" t="s">
        <v>8</v>
      </c>
    </row>
    <row r="685" spans="1:3">
      <c r="A685">
        <v>870000</v>
      </c>
      <c r="C685" t="s">
        <v>8</v>
      </c>
    </row>
    <row r="686" spans="1:3">
      <c r="A686">
        <v>870000</v>
      </c>
      <c r="B686" t="s">
        <v>1803</v>
      </c>
      <c r="C686" t="s">
        <v>8</v>
      </c>
    </row>
    <row r="687" spans="1:3">
      <c r="A687">
        <v>36630000</v>
      </c>
      <c r="C687" t="s">
        <v>8</v>
      </c>
    </row>
    <row r="688" spans="1:3">
      <c r="A688">
        <v>35370000</v>
      </c>
      <c r="B688" t="s">
        <v>1803</v>
      </c>
      <c r="C688" t="s">
        <v>8</v>
      </c>
    </row>
    <row r="689" spans="1:3">
      <c r="A689">
        <v>1260000</v>
      </c>
      <c r="B689" t="s">
        <v>1803</v>
      </c>
      <c r="C689" t="s">
        <v>8</v>
      </c>
    </row>
    <row r="690" spans="1:3">
      <c r="A690">
        <v>580000</v>
      </c>
      <c r="C690" t="s">
        <v>8</v>
      </c>
    </row>
    <row r="691" spans="1:3">
      <c r="A691">
        <v>580000</v>
      </c>
      <c r="B691" t="s">
        <v>1803</v>
      </c>
      <c r="C691" t="s">
        <v>8</v>
      </c>
    </row>
    <row r="692" spans="1:3">
      <c r="A692">
        <v>636000</v>
      </c>
      <c r="C692" t="s">
        <v>8</v>
      </c>
    </row>
    <row r="693" spans="1:3">
      <c r="A693">
        <v>540000</v>
      </c>
      <c r="B693" t="s">
        <v>1803</v>
      </c>
      <c r="C693" t="s">
        <v>8</v>
      </c>
    </row>
    <row r="694" spans="1:3">
      <c r="A694">
        <v>96000</v>
      </c>
      <c r="B694" t="s">
        <v>1803</v>
      </c>
      <c r="C694" t="s">
        <v>8</v>
      </c>
    </row>
    <row r="695" spans="1:3">
      <c r="A695">
        <v>500000</v>
      </c>
      <c r="C695" t="s">
        <v>8</v>
      </c>
    </row>
    <row r="696" spans="1:3">
      <c r="A696">
        <v>500000</v>
      </c>
      <c r="B696" t="s">
        <v>1803</v>
      </c>
      <c r="C696" t="s">
        <v>8</v>
      </c>
    </row>
    <row r="697" spans="1:3">
      <c r="A697">
        <v>42353000</v>
      </c>
      <c r="C697" t="s">
        <v>8</v>
      </c>
    </row>
    <row r="698" spans="1:3">
      <c r="A698">
        <v>42353000</v>
      </c>
      <c r="C698" t="s">
        <v>8</v>
      </c>
    </row>
    <row r="699" spans="1:3">
      <c r="C699" t="s">
        <v>8</v>
      </c>
    </row>
    <row r="700" spans="1:3">
      <c r="A700">
        <v>123785979.72993007</v>
      </c>
      <c r="C700" t="s">
        <v>8</v>
      </c>
    </row>
    <row r="701" spans="1:3">
      <c r="C701" t="s">
        <v>8</v>
      </c>
    </row>
    <row r="702" spans="1:3">
      <c r="C702" t="s">
        <v>8</v>
      </c>
    </row>
    <row r="703" spans="1:3">
      <c r="C703" t="s">
        <v>8</v>
      </c>
    </row>
    <row r="704" spans="1:3">
      <c r="C704" t="s">
        <v>8</v>
      </c>
    </row>
    <row r="705" spans="1:3">
      <c r="A705">
        <v>25024967.5</v>
      </c>
      <c r="C705" t="s">
        <v>8</v>
      </c>
    </row>
    <row r="706" spans="1:3">
      <c r="A706">
        <v>25024967.5</v>
      </c>
      <c r="B706" t="s">
        <v>1803</v>
      </c>
      <c r="C706" t="s">
        <v>8</v>
      </c>
    </row>
    <row r="707" spans="1:3">
      <c r="A707">
        <v>102100</v>
      </c>
      <c r="C707" t="s">
        <v>8</v>
      </c>
    </row>
    <row r="708" spans="1:3">
      <c r="A708">
        <v>52600</v>
      </c>
      <c r="B708" t="s">
        <v>1803</v>
      </c>
      <c r="C708" t="s">
        <v>8</v>
      </c>
    </row>
    <row r="709" spans="1:3">
      <c r="A709">
        <v>49500</v>
      </c>
      <c r="B709" t="s">
        <v>1803</v>
      </c>
      <c r="C709" t="s">
        <v>8</v>
      </c>
    </row>
    <row r="710" spans="1:3">
      <c r="A710">
        <v>1472680</v>
      </c>
      <c r="C710" t="s">
        <v>8</v>
      </c>
    </row>
    <row r="711" spans="1:3">
      <c r="A711">
        <v>1220280</v>
      </c>
      <c r="B711" t="s">
        <v>1803</v>
      </c>
      <c r="C711" t="s">
        <v>8</v>
      </c>
    </row>
    <row r="712" spans="1:3">
      <c r="A712">
        <v>247200</v>
      </c>
      <c r="B712" t="s">
        <v>1803</v>
      </c>
      <c r="C712" t="s">
        <v>8</v>
      </c>
    </row>
    <row r="713" spans="1:3">
      <c r="A713">
        <v>5200</v>
      </c>
      <c r="B713" t="s">
        <v>1803</v>
      </c>
      <c r="C713" t="s">
        <v>8</v>
      </c>
    </row>
    <row r="714" spans="1:3">
      <c r="A714">
        <v>6822555</v>
      </c>
      <c r="C714" t="s">
        <v>8</v>
      </c>
    </row>
    <row r="715" spans="1:3">
      <c r="A715">
        <v>857000</v>
      </c>
      <c r="B715" t="s">
        <v>1803</v>
      </c>
      <c r="C715" t="s">
        <v>8</v>
      </c>
    </row>
    <row r="716" spans="1:3">
      <c r="A716">
        <v>1775555</v>
      </c>
      <c r="B716" t="s">
        <v>1803</v>
      </c>
      <c r="C716" t="s">
        <v>8</v>
      </c>
    </row>
    <row r="717" spans="1:3">
      <c r="A717">
        <v>4170000</v>
      </c>
      <c r="B717" t="s">
        <v>1803</v>
      </c>
      <c r="C717" t="s">
        <v>8</v>
      </c>
    </row>
    <row r="718" spans="1:3">
      <c r="A718">
        <v>20000</v>
      </c>
      <c r="B718" t="s">
        <v>1803</v>
      </c>
      <c r="C718" t="s">
        <v>8</v>
      </c>
    </row>
    <row r="719" spans="1:3">
      <c r="A719">
        <v>308000</v>
      </c>
      <c r="C719" t="s">
        <v>8</v>
      </c>
    </row>
    <row r="720" spans="1:3">
      <c r="A720">
        <v>58000</v>
      </c>
      <c r="B720" t="s">
        <v>1803</v>
      </c>
      <c r="C720" t="s">
        <v>8</v>
      </c>
    </row>
    <row r="721" spans="1:3">
      <c r="A721">
        <v>100000</v>
      </c>
      <c r="B721" t="s">
        <v>1803</v>
      </c>
      <c r="C721" t="s">
        <v>8</v>
      </c>
    </row>
    <row r="722" spans="1:3">
      <c r="A722">
        <v>150000</v>
      </c>
      <c r="B722" t="s">
        <v>1803</v>
      </c>
      <c r="C722" t="s">
        <v>8</v>
      </c>
    </row>
    <row r="723" spans="1:3">
      <c r="B723" t="s">
        <v>1803</v>
      </c>
      <c r="C723" t="s">
        <v>8</v>
      </c>
    </row>
    <row r="724" spans="1:3">
      <c r="A724">
        <v>7300000</v>
      </c>
      <c r="C724" t="s">
        <v>8</v>
      </c>
    </row>
    <row r="725" spans="1:3">
      <c r="A725">
        <v>7300000</v>
      </c>
      <c r="B725" t="s">
        <v>1803</v>
      </c>
      <c r="C725" t="s">
        <v>8</v>
      </c>
    </row>
    <row r="726" spans="1:3">
      <c r="A726">
        <v>594910</v>
      </c>
      <c r="C726" t="s">
        <v>8</v>
      </c>
    </row>
    <row r="727" spans="1:3">
      <c r="A727">
        <v>104910</v>
      </c>
      <c r="B727" t="s">
        <v>1803</v>
      </c>
      <c r="C727" t="s">
        <v>8</v>
      </c>
    </row>
    <row r="728" spans="1:3">
      <c r="A728">
        <v>110000</v>
      </c>
      <c r="B728" t="s">
        <v>1803</v>
      </c>
      <c r="C728" t="s">
        <v>8</v>
      </c>
    </row>
    <row r="729" spans="1:3">
      <c r="A729">
        <v>110000</v>
      </c>
      <c r="B729" t="s">
        <v>1803</v>
      </c>
      <c r="C729" t="s">
        <v>8</v>
      </c>
    </row>
    <row r="730" spans="1:3">
      <c r="A730">
        <v>50000</v>
      </c>
      <c r="B730" t="s">
        <v>1803</v>
      </c>
      <c r="C730" t="s">
        <v>8</v>
      </c>
    </row>
    <row r="731" spans="1:3">
      <c r="A731">
        <v>110000</v>
      </c>
      <c r="B731" t="s">
        <v>1803</v>
      </c>
      <c r="C731" t="s">
        <v>8</v>
      </c>
    </row>
    <row r="732" spans="1:3">
      <c r="A732">
        <v>110000</v>
      </c>
      <c r="B732" t="s">
        <v>1803</v>
      </c>
      <c r="C732" t="s">
        <v>8</v>
      </c>
    </row>
    <row r="733" spans="1:3">
      <c r="A733">
        <v>1030000</v>
      </c>
      <c r="C733" t="s">
        <v>8</v>
      </c>
    </row>
    <row r="734" spans="1:3">
      <c r="A734">
        <v>480000</v>
      </c>
      <c r="B734" t="s">
        <v>1803</v>
      </c>
      <c r="C734" t="s">
        <v>8</v>
      </c>
    </row>
    <row r="735" spans="1:3">
      <c r="A735">
        <v>525000</v>
      </c>
      <c r="B735" t="s">
        <v>1803</v>
      </c>
      <c r="C735" t="s">
        <v>8</v>
      </c>
    </row>
    <row r="736" spans="1:3">
      <c r="A736">
        <v>15000</v>
      </c>
      <c r="B736" t="s">
        <v>1803</v>
      </c>
      <c r="C736" t="s">
        <v>8</v>
      </c>
    </row>
    <row r="737" spans="1:3">
      <c r="A737">
        <v>10000</v>
      </c>
      <c r="B737" t="s">
        <v>1803</v>
      </c>
      <c r="C737" t="s">
        <v>8</v>
      </c>
    </row>
    <row r="738" spans="1:3">
      <c r="A738">
        <v>125000</v>
      </c>
      <c r="C738" t="s">
        <v>8</v>
      </c>
    </row>
    <row r="739" spans="1:3">
      <c r="A739">
        <v>60000</v>
      </c>
      <c r="B739" t="s">
        <v>1803</v>
      </c>
      <c r="C739" t="s">
        <v>8</v>
      </c>
    </row>
    <row r="740" spans="1:3">
      <c r="A740">
        <v>65000</v>
      </c>
      <c r="B740" t="s">
        <v>1803</v>
      </c>
      <c r="C740" t="s">
        <v>8</v>
      </c>
    </row>
    <row r="741" spans="1:3">
      <c r="A741">
        <v>1246540</v>
      </c>
      <c r="C741" t="s">
        <v>8</v>
      </c>
    </row>
    <row r="742" spans="1:3">
      <c r="C742" t="s">
        <v>8</v>
      </c>
    </row>
    <row r="743" spans="1:3">
      <c r="A743">
        <v>1220000</v>
      </c>
      <c r="B743" t="s">
        <v>1803</v>
      </c>
      <c r="C743" t="s">
        <v>8</v>
      </c>
    </row>
    <row r="744" spans="1:3">
      <c r="A744">
        <v>26540</v>
      </c>
      <c r="B744" t="s">
        <v>1803</v>
      </c>
      <c r="C744" t="s">
        <v>8</v>
      </c>
    </row>
    <row r="745" spans="1:3">
      <c r="A745">
        <v>2310000</v>
      </c>
      <c r="C745" t="s">
        <v>8</v>
      </c>
    </row>
    <row r="746" spans="1:3">
      <c r="A746">
        <v>815000</v>
      </c>
      <c r="B746" t="s">
        <v>1803</v>
      </c>
      <c r="C746" t="s">
        <v>8</v>
      </c>
    </row>
    <row r="747" spans="1:3">
      <c r="A747">
        <v>870000</v>
      </c>
      <c r="B747" t="s">
        <v>1803</v>
      </c>
      <c r="C747" t="s">
        <v>8</v>
      </c>
    </row>
    <row r="748" spans="1:3">
      <c r="A748">
        <v>625000</v>
      </c>
      <c r="B748" t="s">
        <v>1803</v>
      </c>
      <c r="C748" t="s">
        <v>8</v>
      </c>
    </row>
    <row r="749" spans="1:3">
      <c r="A749">
        <v>3000000</v>
      </c>
      <c r="C749" t="s">
        <v>8</v>
      </c>
    </row>
    <row r="750" spans="1:3">
      <c r="A750">
        <v>3000000</v>
      </c>
      <c r="B750" t="s">
        <v>1803</v>
      </c>
      <c r="C750" t="s">
        <v>8</v>
      </c>
    </row>
    <row r="751" spans="1:3">
      <c r="A751">
        <v>63458</v>
      </c>
      <c r="C751" t="s">
        <v>8</v>
      </c>
    </row>
    <row r="752" spans="1:3">
      <c r="A752">
        <v>63458</v>
      </c>
      <c r="B752" t="s">
        <v>1803</v>
      </c>
      <c r="C752" t="s">
        <v>8</v>
      </c>
    </row>
    <row r="753" spans="1:3">
      <c r="A753">
        <v>659555</v>
      </c>
      <c r="C753" t="s">
        <v>8</v>
      </c>
    </row>
    <row r="754" spans="1:3">
      <c r="A754">
        <v>309555</v>
      </c>
      <c r="B754" t="s">
        <v>1803</v>
      </c>
      <c r="C754" t="s">
        <v>8</v>
      </c>
    </row>
    <row r="755" spans="1:3">
      <c r="A755">
        <v>350000</v>
      </c>
      <c r="B755" t="s">
        <v>1803</v>
      </c>
      <c r="C755" t="s">
        <v>8</v>
      </c>
    </row>
    <row r="756" spans="1:3">
      <c r="A756">
        <v>140000</v>
      </c>
      <c r="C756" t="s">
        <v>8</v>
      </c>
    </row>
    <row r="757" spans="1:3">
      <c r="A757">
        <v>80000</v>
      </c>
      <c r="B757" t="s">
        <v>1803</v>
      </c>
      <c r="C757" t="s">
        <v>8</v>
      </c>
    </row>
    <row r="758" spans="1:3">
      <c r="A758">
        <v>60000</v>
      </c>
      <c r="B758" t="s">
        <v>1803</v>
      </c>
      <c r="C758" t="s">
        <v>8</v>
      </c>
    </row>
    <row r="759" spans="1:3">
      <c r="A759">
        <v>0</v>
      </c>
      <c r="C759" t="s">
        <v>8</v>
      </c>
    </row>
    <row r="760" spans="1:3">
      <c r="A760">
        <v>0</v>
      </c>
      <c r="C760" t="s">
        <v>8</v>
      </c>
    </row>
    <row r="761" spans="1:3">
      <c r="A761">
        <v>0</v>
      </c>
      <c r="C761" t="s">
        <v>8</v>
      </c>
    </row>
    <row r="762" spans="1:3">
      <c r="A762">
        <v>0</v>
      </c>
      <c r="C762" t="s">
        <v>8</v>
      </c>
    </row>
    <row r="763" spans="1:3">
      <c r="C763" t="s">
        <v>8</v>
      </c>
    </row>
    <row r="764" spans="1:3">
      <c r="A764">
        <v>7177222</v>
      </c>
      <c r="C764" t="s">
        <v>8</v>
      </c>
    </row>
    <row r="765" spans="1:3">
      <c r="A765">
        <v>6527222</v>
      </c>
      <c r="B765" t="s">
        <v>1803</v>
      </c>
      <c r="C765" t="s">
        <v>8</v>
      </c>
    </row>
    <row r="766" spans="1:3">
      <c r="A766">
        <v>650000</v>
      </c>
      <c r="B766" t="s">
        <v>1803</v>
      </c>
      <c r="C766" t="s">
        <v>8</v>
      </c>
    </row>
    <row r="767" spans="1:3">
      <c r="A767">
        <v>1930000</v>
      </c>
      <c r="C767" t="s">
        <v>8</v>
      </c>
    </row>
    <row r="768" spans="1:3">
      <c r="A768">
        <v>1930000</v>
      </c>
      <c r="B768" t="s">
        <v>1803</v>
      </c>
      <c r="C768" t="s">
        <v>8</v>
      </c>
    </row>
    <row r="769" spans="1:3">
      <c r="A769">
        <v>59306987.5</v>
      </c>
      <c r="C769" t="s">
        <v>8</v>
      </c>
    </row>
    <row r="770" spans="1:3">
      <c r="C770" t="s">
        <v>8</v>
      </c>
    </row>
    <row r="771" spans="1:3">
      <c r="C771" t="s">
        <v>8</v>
      </c>
    </row>
    <row r="772" spans="1:3">
      <c r="A772">
        <v>74949558.444713712</v>
      </c>
      <c r="C772" t="s">
        <v>8</v>
      </c>
    </row>
    <row r="773" spans="1:3">
      <c r="A773">
        <v>15000000</v>
      </c>
      <c r="B773" t="s">
        <v>1803</v>
      </c>
      <c r="C773" t="s">
        <v>8</v>
      </c>
    </row>
    <row r="774" spans="1:3">
      <c r="A774">
        <v>34468930</v>
      </c>
      <c r="B774" t="s">
        <v>1803</v>
      </c>
      <c r="C774" t="s">
        <v>8</v>
      </c>
    </row>
    <row r="775" spans="1:3">
      <c r="A775">
        <v>10000000</v>
      </c>
      <c r="B775" t="s">
        <v>1803</v>
      </c>
      <c r="C775" t="s">
        <v>8</v>
      </c>
    </row>
    <row r="776" spans="1:3">
      <c r="A776">
        <v>15480628.444713719</v>
      </c>
      <c r="B776" t="s">
        <v>1803</v>
      </c>
      <c r="C776" t="s">
        <v>8</v>
      </c>
    </row>
    <row r="777" spans="1:3">
      <c r="A777">
        <v>0</v>
      </c>
      <c r="C777" t="s">
        <v>8</v>
      </c>
    </row>
    <row r="778" spans="1:3">
      <c r="A778">
        <v>0</v>
      </c>
      <c r="C778" t="s">
        <v>8</v>
      </c>
    </row>
    <row r="779" spans="1:3">
      <c r="A779">
        <v>74949558.444713712</v>
      </c>
      <c r="C779" t="s">
        <v>8</v>
      </c>
    </row>
    <row r="780" spans="1:3">
      <c r="A780">
        <v>134256545.94471371</v>
      </c>
      <c r="C780" t="s">
        <v>8</v>
      </c>
    </row>
    <row r="781" spans="1:3">
      <c r="C781" t="s">
        <v>8</v>
      </c>
    </row>
    <row r="782" spans="1:3">
      <c r="C782" t="s">
        <v>8</v>
      </c>
    </row>
    <row r="783" spans="1:3">
      <c r="C783" t="s">
        <v>8</v>
      </c>
    </row>
    <row r="784" spans="1:3">
      <c r="A784">
        <v>99700</v>
      </c>
      <c r="C784" t="s">
        <v>8</v>
      </c>
    </row>
    <row r="785" spans="1:3">
      <c r="A785">
        <v>50200</v>
      </c>
      <c r="B785" t="s">
        <v>1803</v>
      </c>
      <c r="C785" t="s">
        <v>8</v>
      </c>
    </row>
    <row r="786" spans="1:3">
      <c r="A786">
        <v>49500</v>
      </c>
      <c r="B786" t="s">
        <v>1803</v>
      </c>
      <c r="C786" t="s">
        <v>8</v>
      </c>
    </row>
    <row r="787" spans="1:3">
      <c r="A787">
        <v>305500</v>
      </c>
      <c r="C787" t="s">
        <v>8</v>
      </c>
    </row>
    <row r="788" spans="1:3">
      <c r="A788">
        <v>300500</v>
      </c>
      <c r="B788" t="s">
        <v>1803</v>
      </c>
      <c r="C788" t="s">
        <v>8</v>
      </c>
    </row>
    <row r="789" spans="1:3">
      <c r="A789">
        <v>5000</v>
      </c>
      <c r="B789" t="s">
        <v>1803</v>
      </c>
      <c r="C789" t="s">
        <v>8</v>
      </c>
    </row>
    <row r="790" spans="1:3">
      <c r="A790">
        <v>4155000</v>
      </c>
      <c r="C790" t="s">
        <v>8</v>
      </c>
    </row>
    <row r="791" spans="1:3">
      <c r="C791" t="s">
        <v>8</v>
      </c>
    </row>
    <row r="792" spans="1:3">
      <c r="A792">
        <v>1875000</v>
      </c>
      <c r="B792" t="s">
        <v>1803</v>
      </c>
      <c r="C792" t="s">
        <v>8</v>
      </c>
    </row>
    <row r="793" spans="1:3">
      <c r="A793">
        <v>2230000</v>
      </c>
      <c r="B793" t="s">
        <v>1803</v>
      </c>
      <c r="C793" t="s">
        <v>8</v>
      </c>
    </row>
    <row r="794" spans="1:3">
      <c r="A794">
        <v>50000</v>
      </c>
      <c r="B794" t="s">
        <v>1803</v>
      </c>
      <c r="C794" t="s">
        <v>8</v>
      </c>
    </row>
    <row r="795" spans="1:3">
      <c r="A795">
        <v>4820000</v>
      </c>
      <c r="C795" t="s">
        <v>8</v>
      </c>
    </row>
    <row r="796" spans="1:3">
      <c r="A796">
        <v>60000</v>
      </c>
      <c r="B796" t="s">
        <v>1803</v>
      </c>
      <c r="C796" t="s">
        <v>8</v>
      </c>
    </row>
    <row r="797" spans="1:3">
      <c r="A797">
        <v>60000</v>
      </c>
      <c r="B797" t="s">
        <v>1803</v>
      </c>
      <c r="C797" t="s">
        <v>8</v>
      </c>
    </row>
    <row r="798" spans="1:3">
      <c r="A798">
        <v>4700000</v>
      </c>
      <c r="B798" t="s">
        <v>1803</v>
      </c>
      <c r="C798" t="s">
        <v>8</v>
      </c>
    </row>
    <row r="799" spans="1:3">
      <c r="A799">
        <v>875000</v>
      </c>
      <c r="C799" t="s">
        <v>8</v>
      </c>
    </row>
    <row r="800" spans="1:3">
      <c r="A800">
        <v>230000</v>
      </c>
      <c r="B800" t="s">
        <v>1803</v>
      </c>
      <c r="C800" t="s">
        <v>8</v>
      </c>
    </row>
    <row r="801" spans="1:3">
      <c r="A801">
        <v>120000</v>
      </c>
      <c r="B801" t="s">
        <v>1803</v>
      </c>
      <c r="C801" t="s">
        <v>8</v>
      </c>
    </row>
    <row r="802" spans="1:3">
      <c r="A802">
        <v>50000</v>
      </c>
      <c r="B802" t="s">
        <v>1803</v>
      </c>
      <c r="C802" t="s">
        <v>8</v>
      </c>
    </row>
    <row r="803" spans="1:3">
      <c r="A803">
        <v>220000</v>
      </c>
      <c r="B803" t="s">
        <v>1803</v>
      </c>
      <c r="C803" t="s">
        <v>8</v>
      </c>
    </row>
    <row r="804" spans="1:3">
      <c r="A804">
        <v>130000</v>
      </c>
      <c r="B804" t="s">
        <v>1803</v>
      </c>
      <c r="C804" t="s">
        <v>8</v>
      </c>
    </row>
    <row r="805" spans="1:3">
      <c r="A805">
        <v>125000</v>
      </c>
      <c r="B805" t="s">
        <v>1803</v>
      </c>
      <c r="C805" t="s">
        <v>8</v>
      </c>
    </row>
    <row r="806" spans="1:3">
      <c r="A806">
        <v>490000</v>
      </c>
      <c r="C806" t="s">
        <v>8</v>
      </c>
    </row>
    <row r="807" spans="1:3">
      <c r="A807">
        <v>210000</v>
      </c>
      <c r="B807" t="s">
        <v>1803</v>
      </c>
      <c r="C807" t="s">
        <v>8</v>
      </c>
    </row>
    <row r="808" spans="1:3">
      <c r="A808">
        <v>250000</v>
      </c>
      <c r="B808" t="s">
        <v>1803</v>
      </c>
      <c r="C808" t="s">
        <v>8</v>
      </c>
    </row>
    <row r="809" spans="1:3">
      <c r="A809">
        <v>20000</v>
      </c>
      <c r="B809" t="s">
        <v>1803</v>
      </c>
      <c r="C809" t="s">
        <v>8</v>
      </c>
    </row>
    <row r="810" spans="1:3">
      <c r="A810">
        <v>10000</v>
      </c>
      <c r="B810" t="s">
        <v>1803</v>
      </c>
      <c r="C810" t="s">
        <v>8</v>
      </c>
    </row>
    <row r="811" spans="1:3">
      <c r="A811">
        <v>13850</v>
      </c>
      <c r="C811" t="s">
        <v>8</v>
      </c>
    </row>
    <row r="812" spans="1:3">
      <c r="A812">
        <v>13850</v>
      </c>
      <c r="B812" t="s">
        <v>1803</v>
      </c>
      <c r="C812" t="s">
        <v>8</v>
      </c>
    </row>
    <row r="813" spans="1:3">
      <c r="A813">
        <v>700000</v>
      </c>
      <c r="C813" t="s">
        <v>8</v>
      </c>
    </row>
    <row r="814" spans="1:3">
      <c r="A814">
        <v>250000</v>
      </c>
      <c r="B814" t="s">
        <v>1803</v>
      </c>
      <c r="C814" t="s">
        <v>8</v>
      </c>
    </row>
    <row r="815" spans="1:3">
      <c r="A815">
        <v>200000</v>
      </c>
      <c r="B815" t="s">
        <v>1803</v>
      </c>
      <c r="C815" t="s">
        <v>8</v>
      </c>
    </row>
    <row r="816" spans="1:3">
      <c r="A816">
        <v>250000</v>
      </c>
      <c r="B816" t="s">
        <v>1803</v>
      </c>
      <c r="C816" t="s">
        <v>8</v>
      </c>
    </row>
    <row r="817" spans="1:3">
      <c r="A817">
        <v>550000</v>
      </c>
      <c r="C817" t="s">
        <v>8</v>
      </c>
    </row>
    <row r="818" spans="1:3">
      <c r="A818">
        <v>550000</v>
      </c>
      <c r="B818" t="s">
        <v>1803</v>
      </c>
      <c r="C818" t="s">
        <v>8</v>
      </c>
    </row>
    <row r="819" spans="1:3">
      <c r="A819">
        <v>680000</v>
      </c>
      <c r="C819" t="s">
        <v>8</v>
      </c>
    </row>
    <row r="820" spans="1:3">
      <c r="A820">
        <v>430000</v>
      </c>
      <c r="B820" t="s">
        <v>1803</v>
      </c>
      <c r="C820" t="s">
        <v>8</v>
      </c>
    </row>
    <row r="821" spans="1:3">
      <c r="A821">
        <v>250000</v>
      </c>
      <c r="B821" t="s">
        <v>1803</v>
      </c>
      <c r="C821" t="s">
        <v>8</v>
      </c>
    </row>
    <row r="822" spans="1:3">
      <c r="A822">
        <v>210000</v>
      </c>
      <c r="C822" t="s">
        <v>8</v>
      </c>
    </row>
    <row r="823" spans="1:3">
      <c r="A823">
        <v>80000</v>
      </c>
      <c r="B823" t="s">
        <v>1803</v>
      </c>
      <c r="C823" t="s">
        <v>8</v>
      </c>
    </row>
    <row r="824" spans="1:3">
      <c r="A824">
        <v>130000</v>
      </c>
      <c r="B824" t="s">
        <v>1803</v>
      </c>
      <c r="C824" t="s">
        <v>8</v>
      </c>
    </row>
    <row r="825" spans="1:3">
      <c r="A825">
        <v>0</v>
      </c>
      <c r="C825" t="s">
        <v>8</v>
      </c>
    </row>
    <row r="826" spans="1:3">
      <c r="A826">
        <v>0</v>
      </c>
      <c r="C826" t="s">
        <v>8</v>
      </c>
    </row>
    <row r="827" spans="1:3">
      <c r="A827">
        <v>0</v>
      </c>
      <c r="C827" t="s">
        <v>8</v>
      </c>
    </row>
    <row r="828" spans="1:3">
      <c r="A828">
        <v>5600000</v>
      </c>
      <c r="C828" t="s">
        <v>8</v>
      </c>
    </row>
    <row r="829" spans="1:3">
      <c r="A829">
        <v>5600000</v>
      </c>
      <c r="B829" t="s">
        <v>1803</v>
      </c>
      <c r="C829" t="s">
        <v>8</v>
      </c>
    </row>
    <row r="830" spans="1:3">
      <c r="A830">
        <v>0</v>
      </c>
      <c r="C830" t="s">
        <v>8</v>
      </c>
    </row>
    <row r="831" spans="1:3">
      <c r="A831">
        <v>18499050</v>
      </c>
      <c r="C831" t="s">
        <v>8</v>
      </c>
    </row>
    <row r="832" spans="1:3">
      <c r="C832" t="s">
        <v>8</v>
      </c>
    </row>
    <row r="833" spans="1:3">
      <c r="A833">
        <v>77806037.5</v>
      </c>
      <c r="C833" t="s">
        <v>8</v>
      </c>
    </row>
    <row r="834" spans="1:3">
      <c r="A834">
        <v>74949558.444713712</v>
      </c>
      <c r="C834" t="s">
        <v>8</v>
      </c>
    </row>
    <row r="835" spans="1:3">
      <c r="A835">
        <v>152755595.94471371</v>
      </c>
      <c r="C835" t="s">
        <v>8</v>
      </c>
    </row>
    <row r="836" spans="1:3">
      <c r="A836">
        <v>1093542999.2299299</v>
      </c>
      <c r="C836" t="s">
        <v>8</v>
      </c>
    </row>
    <row r="837" spans="1:3">
      <c r="A837">
        <v>815524093.44471371</v>
      </c>
      <c r="C837" t="s">
        <v>8</v>
      </c>
    </row>
    <row r="838" spans="1:3">
      <c r="A838">
        <v>1909067092.6746435</v>
      </c>
      <c r="C838" t="s">
        <v>8</v>
      </c>
    </row>
    <row r="841" spans="1:3">
      <c r="C841" t="s">
        <v>177</v>
      </c>
    </row>
    <row r="842" spans="1:3">
      <c r="C842" t="s">
        <v>177</v>
      </c>
    </row>
    <row r="843" spans="1:3">
      <c r="C843" t="s">
        <v>177</v>
      </c>
    </row>
    <row r="844" spans="1:3">
      <c r="A844">
        <v>5940142</v>
      </c>
      <c r="C844" t="s">
        <v>177</v>
      </c>
    </row>
    <row r="845" spans="1:3">
      <c r="A845">
        <v>5940142</v>
      </c>
      <c r="B845" t="s">
        <v>1803</v>
      </c>
      <c r="C845" t="s">
        <v>177</v>
      </c>
    </row>
    <row r="846" spans="1:3">
      <c r="A846">
        <v>423370</v>
      </c>
      <c r="C846" t="s">
        <v>177</v>
      </c>
    </row>
    <row r="847" spans="1:3">
      <c r="A847">
        <v>188280</v>
      </c>
      <c r="B847" t="s">
        <v>1803</v>
      </c>
      <c r="C847" t="s">
        <v>177</v>
      </c>
    </row>
    <row r="848" spans="1:3">
      <c r="A848">
        <v>85090</v>
      </c>
      <c r="B848" t="s">
        <v>1803</v>
      </c>
      <c r="C848" t="s">
        <v>177</v>
      </c>
    </row>
    <row r="849" spans="1:3">
      <c r="A849">
        <v>150000</v>
      </c>
      <c r="B849" t="s">
        <v>1803</v>
      </c>
      <c r="C849" t="s">
        <v>177</v>
      </c>
    </row>
    <row r="850" spans="1:3">
      <c r="A850">
        <v>660000</v>
      </c>
      <c r="C850" t="s">
        <v>177</v>
      </c>
    </row>
    <row r="851" spans="1:3">
      <c r="A851">
        <v>560000</v>
      </c>
      <c r="B851" t="s">
        <v>1803</v>
      </c>
      <c r="C851" t="s">
        <v>177</v>
      </c>
    </row>
    <row r="852" spans="1:3">
      <c r="A852">
        <v>100000</v>
      </c>
      <c r="B852" t="s">
        <v>1803</v>
      </c>
      <c r="C852" t="s">
        <v>177</v>
      </c>
    </row>
    <row r="853" spans="1:3">
      <c r="A853">
        <v>2560003.7760000001</v>
      </c>
      <c r="C853" t="s">
        <v>177</v>
      </c>
    </row>
    <row r="854" spans="1:3">
      <c r="A854">
        <v>366523.34399999998</v>
      </c>
      <c r="B854" t="s">
        <v>1803</v>
      </c>
      <c r="C854" t="s">
        <v>177</v>
      </c>
    </row>
    <row r="855" spans="1:3">
      <c r="A855">
        <v>1155227.56</v>
      </c>
      <c r="B855" t="s">
        <v>1803</v>
      </c>
      <c r="C855" t="s">
        <v>177</v>
      </c>
    </row>
    <row r="856" spans="1:3">
      <c r="A856">
        <v>834092.87199999997</v>
      </c>
      <c r="B856" t="s">
        <v>1803</v>
      </c>
      <c r="C856" t="s">
        <v>177</v>
      </c>
    </row>
    <row r="857" spans="1:3">
      <c r="A857">
        <v>204160.00000000003</v>
      </c>
      <c r="B857" t="s">
        <v>1803</v>
      </c>
      <c r="C857" t="s">
        <v>177</v>
      </c>
    </row>
    <row r="858" spans="1:3">
      <c r="A858">
        <v>1900000</v>
      </c>
      <c r="C858" t="s">
        <v>177</v>
      </c>
    </row>
    <row r="859" spans="1:3">
      <c r="A859">
        <v>800000</v>
      </c>
      <c r="B859" t="s">
        <v>1803</v>
      </c>
      <c r="C859" t="s">
        <v>177</v>
      </c>
    </row>
    <row r="860" spans="1:3">
      <c r="A860">
        <v>750000</v>
      </c>
      <c r="B860" t="s">
        <v>1803</v>
      </c>
      <c r="C860" t="s">
        <v>177</v>
      </c>
    </row>
    <row r="861" spans="1:3">
      <c r="A861">
        <v>350000</v>
      </c>
      <c r="B861" t="s">
        <v>1803</v>
      </c>
      <c r="C861" t="s">
        <v>177</v>
      </c>
    </row>
    <row r="862" spans="1:3">
      <c r="A862">
        <v>1640220</v>
      </c>
      <c r="C862" t="s">
        <v>177</v>
      </c>
    </row>
    <row r="863" spans="1:3">
      <c r="A863">
        <v>127600.00000000001</v>
      </c>
      <c r="B863" t="s">
        <v>1803</v>
      </c>
      <c r="C863" t="s">
        <v>177</v>
      </c>
    </row>
    <row r="864" spans="1:3">
      <c r="A864">
        <v>95700.000000000015</v>
      </c>
      <c r="B864" t="s">
        <v>1803</v>
      </c>
      <c r="C864" t="s">
        <v>177</v>
      </c>
    </row>
    <row r="865" spans="1:3">
      <c r="A865">
        <v>216920.00000000003</v>
      </c>
      <c r="B865" t="s">
        <v>1803</v>
      </c>
      <c r="C865" t="s">
        <v>177</v>
      </c>
    </row>
    <row r="866" spans="1:3">
      <c r="A866">
        <v>1200000</v>
      </c>
      <c r="B866" t="s">
        <v>1803</v>
      </c>
      <c r="C866" t="s">
        <v>177</v>
      </c>
    </row>
    <row r="867" spans="1:3">
      <c r="A867">
        <v>1818460.8860000002</v>
      </c>
      <c r="C867" t="s">
        <v>177</v>
      </c>
    </row>
    <row r="868" spans="1:3">
      <c r="A868">
        <v>236440.88600000003</v>
      </c>
      <c r="B868" t="s">
        <v>1803</v>
      </c>
      <c r="C868" t="s">
        <v>177</v>
      </c>
    </row>
    <row r="869" spans="1:3">
      <c r="A869">
        <v>446600.00000000006</v>
      </c>
      <c r="B869" t="s">
        <v>1803</v>
      </c>
      <c r="C869" t="s">
        <v>177</v>
      </c>
    </row>
    <row r="870" spans="1:3">
      <c r="A870">
        <v>165000</v>
      </c>
      <c r="B870" t="s">
        <v>1803</v>
      </c>
      <c r="C870" t="s">
        <v>177</v>
      </c>
    </row>
    <row r="871" spans="1:3">
      <c r="A871">
        <v>223300.00000000003</v>
      </c>
      <c r="B871" t="s">
        <v>1803</v>
      </c>
      <c r="C871" t="s">
        <v>177</v>
      </c>
    </row>
    <row r="872" spans="1:3">
      <c r="A872">
        <v>344520</v>
      </c>
      <c r="B872" t="s">
        <v>1803</v>
      </c>
      <c r="C872" t="s">
        <v>177</v>
      </c>
    </row>
    <row r="873" spans="1:3">
      <c r="A873">
        <v>275000</v>
      </c>
      <c r="B873" t="s">
        <v>1803</v>
      </c>
      <c r="C873" t="s">
        <v>177</v>
      </c>
    </row>
    <row r="874" spans="1:3">
      <c r="A874">
        <v>127600.00000000001</v>
      </c>
      <c r="B874" t="s">
        <v>1803</v>
      </c>
      <c r="C874" t="s">
        <v>177</v>
      </c>
    </row>
    <row r="875" spans="1:3">
      <c r="A875">
        <v>1350000</v>
      </c>
      <c r="C875" t="s">
        <v>177</v>
      </c>
    </row>
    <row r="876" spans="1:3">
      <c r="A876">
        <v>350000</v>
      </c>
      <c r="B876" t="s">
        <v>1803</v>
      </c>
      <c r="C876" t="s">
        <v>177</v>
      </c>
    </row>
    <row r="877" spans="1:3">
      <c r="A877">
        <v>250000</v>
      </c>
      <c r="B877" t="s">
        <v>1803</v>
      </c>
      <c r="C877" t="s">
        <v>177</v>
      </c>
    </row>
    <row r="878" spans="1:3">
      <c r="A878">
        <v>750000</v>
      </c>
      <c r="B878" t="s">
        <v>1803</v>
      </c>
      <c r="C878" t="s">
        <v>177</v>
      </c>
    </row>
    <row r="879" spans="1:3">
      <c r="A879">
        <v>127600.00000000001</v>
      </c>
      <c r="C879" t="s">
        <v>177</v>
      </c>
    </row>
    <row r="880" spans="1:3">
      <c r="A880">
        <v>127600.00000000001</v>
      </c>
      <c r="B880" t="s">
        <v>1803</v>
      </c>
      <c r="C880" t="s">
        <v>177</v>
      </c>
    </row>
    <row r="881" spans="1:3">
      <c r="A881">
        <v>920345.34</v>
      </c>
      <c r="C881" t="s">
        <v>177</v>
      </c>
    </row>
    <row r="882" spans="1:3">
      <c r="A882">
        <v>350000</v>
      </c>
      <c r="B882" t="s">
        <v>1803</v>
      </c>
      <c r="C882" t="s">
        <v>177</v>
      </c>
    </row>
    <row r="883" spans="1:3">
      <c r="A883">
        <v>220345.34</v>
      </c>
      <c r="B883" t="s">
        <v>1803</v>
      </c>
      <c r="C883" t="s">
        <v>177</v>
      </c>
    </row>
    <row r="884" spans="1:3">
      <c r="A884">
        <v>350000</v>
      </c>
      <c r="B884" t="s">
        <v>1803</v>
      </c>
      <c r="C884" t="s">
        <v>177</v>
      </c>
    </row>
    <row r="885" spans="1:3">
      <c r="A885">
        <v>2500000</v>
      </c>
      <c r="C885" t="s">
        <v>177</v>
      </c>
    </row>
    <row r="886" spans="1:3">
      <c r="A886">
        <v>1500000</v>
      </c>
      <c r="B886" t="s">
        <v>1803</v>
      </c>
      <c r="C886" t="s">
        <v>177</v>
      </c>
    </row>
    <row r="887" spans="1:3">
      <c r="A887">
        <v>1000000</v>
      </c>
      <c r="B887" t="s">
        <v>1803</v>
      </c>
      <c r="C887" t="s">
        <v>177</v>
      </c>
    </row>
    <row r="888" spans="1:3">
      <c r="A888">
        <v>1100000</v>
      </c>
      <c r="C888" t="s">
        <v>177</v>
      </c>
    </row>
    <row r="889" spans="1:3">
      <c r="A889">
        <v>850000</v>
      </c>
      <c r="B889" t="s">
        <v>1803</v>
      </c>
      <c r="C889" t="s">
        <v>177</v>
      </c>
    </row>
    <row r="890" spans="1:3">
      <c r="A890">
        <v>250000</v>
      </c>
      <c r="B890" t="s">
        <v>1803</v>
      </c>
      <c r="C890" t="s">
        <v>177</v>
      </c>
    </row>
    <row r="891" spans="1:3">
      <c r="A891">
        <v>1180000</v>
      </c>
      <c r="C891" t="s">
        <v>177</v>
      </c>
    </row>
    <row r="892" spans="1:3">
      <c r="A892">
        <v>350000</v>
      </c>
      <c r="B892" t="s">
        <v>1803</v>
      </c>
      <c r="C892" t="s">
        <v>177</v>
      </c>
    </row>
    <row r="893" spans="1:3">
      <c r="A893">
        <v>700000</v>
      </c>
      <c r="B893" t="s">
        <v>1803</v>
      </c>
      <c r="C893" t="s">
        <v>177</v>
      </c>
    </row>
    <row r="894" spans="1:3">
      <c r="A894">
        <v>130000</v>
      </c>
      <c r="B894" t="s">
        <v>1803</v>
      </c>
      <c r="C894" t="s">
        <v>177</v>
      </c>
    </row>
    <row r="895" spans="1:3">
      <c r="A895">
        <v>870000</v>
      </c>
      <c r="C895" t="s">
        <v>177</v>
      </c>
    </row>
    <row r="896" spans="1:3">
      <c r="A896">
        <v>600000</v>
      </c>
      <c r="B896" t="s">
        <v>1803</v>
      </c>
      <c r="C896" t="s">
        <v>177</v>
      </c>
    </row>
    <row r="897" spans="1:3">
      <c r="A897">
        <v>220000</v>
      </c>
      <c r="B897" t="s">
        <v>1803</v>
      </c>
      <c r="C897" t="s">
        <v>177</v>
      </c>
    </row>
    <row r="898" spans="1:3">
      <c r="A898">
        <v>50000</v>
      </c>
      <c r="B898" t="s">
        <v>1803</v>
      </c>
      <c r="C898" t="s">
        <v>177</v>
      </c>
    </row>
    <row r="899" spans="1:3">
      <c r="A899">
        <v>1500000</v>
      </c>
      <c r="C899" t="s">
        <v>177</v>
      </c>
    </row>
    <row r="900" spans="1:3">
      <c r="A900">
        <v>1500000</v>
      </c>
      <c r="B900" t="s">
        <v>1803</v>
      </c>
      <c r="C900" t="s">
        <v>177</v>
      </c>
    </row>
    <row r="901" spans="1:3">
      <c r="A901">
        <v>24490142.002</v>
      </c>
      <c r="C901" t="s">
        <v>177</v>
      </c>
    </row>
    <row r="902" spans="1:3">
      <c r="A902">
        <v>24490142.002</v>
      </c>
      <c r="C902" t="s">
        <v>177</v>
      </c>
    </row>
    <row r="903" spans="1:3">
      <c r="C903" t="s">
        <v>177</v>
      </c>
    </row>
    <row r="904" spans="1:3">
      <c r="C904" t="s">
        <v>177</v>
      </c>
    </row>
    <row r="905" spans="1:3">
      <c r="C905" t="s">
        <v>177</v>
      </c>
    </row>
    <row r="906" spans="1:3">
      <c r="A906">
        <v>16113003.67</v>
      </c>
      <c r="C906" t="s">
        <v>177</v>
      </c>
    </row>
    <row r="907" spans="1:3">
      <c r="A907">
        <v>16113003.67</v>
      </c>
      <c r="B907" t="s">
        <v>1803</v>
      </c>
      <c r="C907" t="s">
        <v>177</v>
      </c>
    </row>
    <row r="908" spans="1:3">
      <c r="A908">
        <v>395000</v>
      </c>
      <c r="C908" t="s">
        <v>177</v>
      </c>
    </row>
    <row r="909" spans="1:3">
      <c r="A909">
        <v>230000</v>
      </c>
      <c r="B909" t="s">
        <v>1803</v>
      </c>
      <c r="C909" t="s">
        <v>177</v>
      </c>
    </row>
    <row r="910" spans="1:3">
      <c r="A910">
        <v>165000</v>
      </c>
      <c r="B910" t="s">
        <v>1803</v>
      </c>
      <c r="C910" t="s">
        <v>177</v>
      </c>
    </row>
    <row r="911" spans="1:3">
      <c r="A911">
        <v>190000</v>
      </c>
      <c r="C911" t="s">
        <v>177</v>
      </c>
    </row>
    <row r="912" spans="1:3">
      <c r="A912">
        <v>90000</v>
      </c>
      <c r="B912" t="s">
        <v>1803</v>
      </c>
      <c r="C912" t="s">
        <v>177</v>
      </c>
    </row>
    <row r="913" spans="1:3">
      <c r="A913">
        <v>100000</v>
      </c>
      <c r="B913" t="s">
        <v>1803</v>
      </c>
      <c r="C913" t="s">
        <v>177</v>
      </c>
    </row>
    <row r="914" spans="1:3">
      <c r="A914">
        <v>1565600</v>
      </c>
      <c r="C914" t="s">
        <v>177</v>
      </c>
    </row>
    <row r="915" spans="1:3">
      <c r="A915">
        <v>550000</v>
      </c>
      <c r="B915" t="s">
        <v>1803</v>
      </c>
      <c r="C915" t="s">
        <v>177</v>
      </c>
    </row>
    <row r="916" spans="1:3">
      <c r="A916">
        <v>215600</v>
      </c>
      <c r="B916" t="s">
        <v>1803</v>
      </c>
      <c r="C916" t="s">
        <v>177</v>
      </c>
    </row>
    <row r="917" spans="1:3">
      <c r="A917">
        <v>200000</v>
      </c>
      <c r="B917" t="s">
        <v>1803</v>
      </c>
      <c r="C917" t="s">
        <v>177</v>
      </c>
    </row>
    <row r="918" spans="1:3">
      <c r="A918">
        <v>600000</v>
      </c>
      <c r="B918" t="s">
        <v>1803</v>
      </c>
      <c r="C918" t="s">
        <v>177</v>
      </c>
    </row>
    <row r="919" spans="1:3">
      <c r="A919">
        <v>1200000</v>
      </c>
      <c r="C919" t="s">
        <v>177</v>
      </c>
    </row>
    <row r="920" spans="1:3">
      <c r="A920">
        <v>1200000</v>
      </c>
      <c r="B920" t="s">
        <v>1803</v>
      </c>
      <c r="C920" t="s">
        <v>177</v>
      </c>
    </row>
    <row r="921" spans="1:3">
      <c r="A921">
        <v>1514400</v>
      </c>
      <c r="C921" t="s">
        <v>177</v>
      </c>
    </row>
    <row r="922" spans="1:3">
      <c r="A922">
        <v>180420</v>
      </c>
      <c r="B922" t="s">
        <v>1803</v>
      </c>
      <c r="C922" t="s">
        <v>177</v>
      </c>
    </row>
    <row r="923" spans="1:3">
      <c r="A923">
        <v>250000</v>
      </c>
      <c r="B923" t="s">
        <v>1803</v>
      </c>
      <c r="C923" t="s">
        <v>177</v>
      </c>
    </row>
    <row r="924" spans="1:3">
      <c r="A924">
        <v>150000</v>
      </c>
      <c r="B924" t="s">
        <v>1803</v>
      </c>
      <c r="C924" t="s">
        <v>177</v>
      </c>
    </row>
    <row r="925" spans="1:3">
      <c r="A925">
        <v>75000</v>
      </c>
      <c r="B925" t="s">
        <v>1803</v>
      </c>
      <c r="C925" t="s">
        <v>177</v>
      </c>
    </row>
    <row r="926" spans="1:3">
      <c r="A926">
        <v>80000</v>
      </c>
      <c r="B926" t="s">
        <v>1803</v>
      </c>
      <c r="C926" t="s">
        <v>177</v>
      </c>
    </row>
    <row r="927" spans="1:3">
      <c r="A927">
        <v>95000</v>
      </c>
      <c r="B927" t="s">
        <v>1803</v>
      </c>
      <c r="C927" t="s">
        <v>177</v>
      </c>
    </row>
    <row r="928" spans="1:3">
      <c r="A928">
        <v>233980</v>
      </c>
      <c r="B928" t="s">
        <v>1803</v>
      </c>
      <c r="C928" t="s">
        <v>177</v>
      </c>
    </row>
    <row r="929" spans="1:3">
      <c r="A929">
        <v>450000</v>
      </c>
      <c r="B929" t="s">
        <v>1803</v>
      </c>
      <c r="C929" t="s">
        <v>177</v>
      </c>
    </row>
    <row r="930" spans="1:3">
      <c r="A930">
        <v>720000</v>
      </c>
      <c r="C930" t="s">
        <v>177</v>
      </c>
    </row>
    <row r="931" spans="1:3">
      <c r="A931">
        <v>250000</v>
      </c>
      <c r="B931" t="s">
        <v>1803</v>
      </c>
      <c r="C931" t="s">
        <v>177</v>
      </c>
    </row>
    <row r="932" spans="1:3">
      <c r="A932">
        <v>190000</v>
      </c>
      <c r="B932" t="s">
        <v>1803</v>
      </c>
      <c r="C932" t="s">
        <v>177</v>
      </c>
    </row>
    <row r="933" spans="1:3">
      <c r="A933">
        <v>280000</v>
      </c>
      <c r="B933" t="s">
        <v>1803</v>
      </c>
      <c r="C933" t="s">
        <v>177</v>
      </c>
    </row>
    <row r="934" spans="1:3">
      <c r="A934">
        <v>500000</v>
      </c>
      <c r="C934" t="s">
        <v>177</v>
      </c>
    </row>
    <row r="935" spans="1:3">
      <c r="A935">
        <v>500000</v>
      </c>
      <c r="B935" t="s">
        <v>1803</v>
      </c>
      <c r="C935" t="s">
        <v>177</v>
      </c>
    </row>
    <row r="936" spans="1:3">
      <c r="A936">
        <v>325000</v>
      </c>
      <c r="C936" t="s">
        <v>177</v>
      </c>
    </row>
    <row r="937" spans="1:3">
      <c r="A937">
        <v>125000</v>
      </c>
      <c r="B937" t="s">
        <v>1803</v>
      </c>
      <c r="C937" t="s">
        <v>177</v>
      </c>
    </row>
    <row r="938" spans="1:3">
      <c r="A938">
        <v>200000</v>
      </c>
      <c r="B938" t="s">
        <v>1803</v>
      </c>
      <c r="C938" t="s">
        <v>177</v>
      </c>
    </row>
    <row r="939" spans="1:3">
      <c r="A939">
        <v>766666.66999999993</v>
      </c>
      <c r="C939" t="s">
        <v>177</v>
      </c>
    </row>
    <row r="940" spans="1:3">
      <c r="A940">
        <v>150000</v>
      </c>
      <c r="B940" t="s">
        <v>1803</v>
      </c>
      <c r="C940" t="s">
        <v>177</v>
      </c>
    </row>
    <row r="941" spans="1:3">
      <c r="A941">
        <v>616666.66999999993</v>
      </c>
      <c r="B941" t="s">
        <v>1803</v>
      </c>
      <c r="C941" t="s">
        <v>177</v>
      </c>
    </row>
    <row r="942" spans="1:3">
      <c r="A942">
        <v>250000</v>
      </c>
      <c r="C942" t="s">
        <v>177</v>
      </c>
    </row>
    <row r="943" spans="1:3">
      <c r="A943">
        <v>150000</v>
      </c>
      <c r="B943" t="s">
        <v>1803</v>
      </c>
      <c r="C943" t="s">
        <v>177</v>
      </c>
    </row>
    <row r="944" spans="1:3">
      <c r="A944">
        <v>100000</v>
      </c>
      <c r="B944" t="s">
        <v>1803</v>
      </c>
      <c r="C944" t="s">
        <v>177</v>
      </c>
    </row>
    <row r="945" spans="1:3">
      <c r="A945">
        <v>460065</v>
      </c>
      <c r="C945" t="s">
        <v>177</v>
      </c>
    </row>
    <row r="946" spans="1:3">
      <c r="A946">
        <v>460065</v>
      </c>
      <c r="B946" t="s">
        <v>1803</v>
      </c>
      <c r="C946" t="s">
        <v>177</v>
      </c>
    </row>
    <row r="947" spans="1:3">
      <c r="A947">
        <v>515000</v>
      </c>
      <c r="C947" t="s">
        <v>177</v>
      </c>
    </row>
    <row r="948" spans="1:3">
      <c r="A948">
        <v>200000</v>
      </c>
      <c r="B948" t="s">
        <v>1803</v>
      </c>
      <c r="C948" t="s">
        <v>177</v>
      </c>
    </row>
    <row r="949" spans="1:3">
      <c r="A949">
        <v>315000</v>
      </c>
      <c r="B949" t="s">
        <v>1803</v>
      </c>
      <c r="C949" t="s">
        <v>177</v>
      </c>
    </row>
    <row r="950" spans="1:3">
      <c r="A950">
        <v>190000</v>
      </c>
      <c r="C950" t="s">
        <v>177</v>
      </c>
    </row>
    <row r="951" spans="1:3">
      <c r="A951">
        <v>70000</v>
      </c>
      <c r="B951" t="s">
        <v>1803</v>
      </c>
      <c r="C951" t="s">
        <v>177</v>
      </c>
    </row>
    <row r="952" spans="1:3">
      <c r="A952">
        <v>70000</v>
      </c>
      <c r="B952" t="s">
        <v>1803</v>
      </c>
      <c r="C952" t="s">
        <v>177</v>
      </c>
    </row>
    <row r="953" spans="1:3">
      <c r="A953">
        <v>50000</v>
      </c>
      <c r="B953" t="s">
        <v>1803</v>
      </c>
      <c r="C953" t="s">
        <v>177</v>
      </c>
    </row>
    <row r="954" spans="1:3">
      <c r="A954">
        <v>1500000</v>
      </c>
      <c r="C954" t="s">
        <v>177</v>
      </c>
    </row>
    <row r="955" spans="1:3">
      <c r="A955">
        <v>1500000</v>
      </c>
      <c r="B955" t="s">
        <v>1803</v>
      </c>
      <c r="C955" t="s">
        <v>177</v>
      </c>
    </row>
    <row r="956" spans="1:3">
      <c r="A956">
        <v>26204735.34</v>
      </c>
      <c r="C956" t="s">
        <v>177</v>
      </c>
    </row>
    <row r="957" spans="1:3">
      <c r="C957" t="s">
        <v>177</v>
      </c>
    </row>
    <row r="958" spans="1:3">
      <c r="C958" t="s">
        <v>177</v>
      </c>
    </row>
    <row r="959" spans="1:3">
      <c r="A959">
        <v>2727261</v>
      </c>
      <c r="B959" t="s">
        <v>1803</v>
      </c>
      <c r="C959" t="s">
        <v>177</v>
      </c>
    </row>
    <row r="960" spans="1:3">
      <c r="A960">
        <v>2727261</v>
      </c>
      <c r="C960" t="s">
        <v>177</v>
      </c>
    </row>
    <row r="961" spans="1:3">
      <c r="A961">
        <v>28931996.34</v>
      </c>
      <c r="C961" t="s">
        <v>177</v>
      </c>
    </row>
    <row r="962" spans="1:3">
      <c r="C962" t="s">
        <v>177</v>
      </c>
    </row>
    <row r="963" spans="1:3">
      <c r="C963" t="s">
        <v>177</v>
      </c>
    </row>
    <row r="964" spans="1:3">
      <c r="C964" t="s">
        <v>177</v>
      </c>
    </row>
    <row r="965" spans="1:3">
      <c r="C965" t="s">
        <v>177</v>
      </c>
    </row>
    <row r="966" spans="1:3">
      <c r="A966">
        <v>28687549.34</v>
      </c>
      <c r="C966" t="s">
        <v>177</v>
      </c>
    </row>
    <row r="967" spans="1:3">
      <c r="A967">
        <v>28687549.34</v>
      </c>
      <c r="B967" t="s">
        <v>1803</v>
      </c>
      <c r="C967" t="s">
        <v>177</v>
      </c>
    </row>
    <row r="968" spans="1:3">
      <c r="A968">
        <v>1404160</v>
      </c>
      <c r="C968" t="s">
        <v>177</v>
      </c>
    </row>
    <row r="969" spans="1:3">
      <c r="A969">
        <v>450000</v>
      </c>
      <c r="B969" t="s">
        <v>1803</v>
      </c>
      <c r="C969" t="s">
        <v>177</v>
      </c>
    </row>
    <row r="970" spans="1:3">
      <c r="A970">
        <v>750000</v>
      </c>
      <c r="B970" t="s">
        <v>1803</v>
      </c>
      <c r="C970" t="s">
        <v>177</v>
      </c>
    </row>
    <row r="971" spans="1:3">
      <c r="A971">
        <v>204160.00000000003</v>
      </c>
      <c r="B971" t="s">
        <v>1803</v>
      </c>
      <c r="C971" t="s">
        <v>177</v>
      </c>
    </row>
    <row r="972" spans="1:3">
      <c r="A972">
        <v>1988000</v>
      </c>
      <c r="C972" t="s">
        <v>177</v>
      </c>
    </row>
    <row r="973" spans="1:3">
      <c r="A973">
        <v>150000</v>
      </c>
      <c r="B973" t="s">
        <v>1803</v>
      </c>
      <c r="C973" t="s">
        <v>177</v>
      </c>
    </row>
    <row r="974" spans="1:3">
      <c r="A974">
        <v>574200</v>
      </c>
      <c r="B974" t="s">
        <v>1803</v>
      </c>
      <c r="C974" t="s">
        <v>177</v>
      </c>
    </row>
    <row r="975" spans="1:3">
      <c r="A975">
        <v>1200000</v>
      </c>
      <c r="B975" t="s">
        <v>1803</v>
      </c>
      <c r="C975" t="s">
        <v>177</v>
      </c>
    </row>
    <row r="976" spans="1:3">
      <c r="A976">
        <v>63800.000000000007</v>
      </c>
      <c r="B976" t="s">
        <v>1803</v>
      </c>
      <c r="C976" t="s">
        <v>177</v>
      </c>
    </row>
    <row r="977" spans="1:3">
      <c r="A977">
        <v>1135840</v>
      </c>
      <c r="C977" t="s">
        <v>177</v>
      </c>
    </row>
    <row r="978" spans="1:3">
      <c r="A978">
        <v>335000</v>
      </c>
      <c r="B978" t="s">
        <v>1803</v>
      </c>
      <c r="C978" t="s">
        <v>177</v>
      </c>
    </row>
    <row r="979" spans="1:3">
      <c r="A979">
        <v>300000</v>
      </c>
      <c r="B979" t="s">
        <v>1803</v>
      </c>
      <c r="C979" t="s">
        <v>177</v>
      </c>
    </row>
    <row r="980" spans="1:3">
      <c r="A980">
        <v>280000</v>
      </c>
      <c r="B980" t="s">
        <v>1803</v>
      </c>
      <c r="C980" t="s">
        <v>177</v>
      </c>
    </row>
    <row r="981" spans="1:3">
      <c r="A981">
        <v>220840</v>
      </c>
      <c r="B981" t="s">
        <v>1803</v>
      </c>
      <c r="C981" t="s">
        <v>177</v>
      </c>
    </row>
    <row r="982" spans="1:3">
      <c r="A982">
        <v>243000</v>
      </c>
      <c r="C982" t="s">
        <v>177</v>
      </c>
    </row>
    <row r="983" spans="1:3">
      <c r="A983">
        <v>100000</v>
      </c>
      <c r="B983" t="s">
        <v>1803</v>
      </c>
      <c r="C983" t="s">
        <v>177</v>
      </c>
    </row>
    <row r="984" spans="1:3">
      <c r="A984">
        <v>143000</v>
      </c>
      <c r="B984" t="s">
        <v>1803</v>
      </c>
      <c r="C984" t="s">
        <v>177</v>
      </c>
    </row>
    <row r="985" spans="1:3">
      <c r="A985">
        <v>1016666.6699999999</v>
      </c>
      <c r="C985" t="s">
        <v>177</v>
      </c>
    </row>
    <row r="986" spans="1:3">
      <c r="A986">
        <v>350000</v>
      </c>
      <c r="B986" t="s">
        <v>1803</v>
      </c>
      <c r="C986" t="s">
        <v>177</v>
      </c>
    </row>
    <row r="987" spans="1:3">
      <c r="A987">
        <v>666666.66999999993</v>
      </c>
      <c r="B987" t="s">
        <v>1803</v>
      </c>
      <c r="C987" t="s">
        <v>177</v>
      </c>
    </row>
    <row r="988" spans="1:3">
      <c r="A988">
        <v>750000</v>
      </c>
      <c r="C988" t="s">
        <v>177</v>
      </c>
    </row>
    <row r="989" spans="1:3">
      <c r="A989">
        <v>750000</v>
      </c>
      <c r="B989" t="s">
        <v>1803</v>
      </c>
      <c r="C989" t="s">
        <v>177</v>
      </c>
    </row>
    <row r="990" spans="1:3">
      <c r="A990">
        <v>92510</v>
      </c>
      <c r="C990" t="s">
        <v>177</v>
      </c>
    </row>
    <row r="991" spans="1:3">
      <c r="A991">
        <v>51040.000000000007</v>
      </c>
      <c r="B991" t="s">
        <v>1803</v>
      </c>
      <c r="C991" t="s">
        <v>177</v>
      </c>
    </row>
    <row r="992" spans="1:3">
      <c r="A992">
        <v>41470</v>
      </c>
      <c r="B992" t="s">
        <v>1803</v>
      </c>
      <c r="C992" t="s">
        <v>177</v>
      </c>
    </row>
    <row r="993" spans="1:3">
      <c r="A993">
        <v>1500000</v>
      </c>
      <c r="C993" t="s">
        <v>177</v>
      </c>
    </row>
    <row r="994" spans="1:3">
      <c r="A994">
        <v>1500000</v>
      </c>
      <c r="B994" t="s">
        <v>1803</v>
      </c>
      <c r="C994" t="s">
        <v>177</v>
      </c>
    </row>
    <row r="995" spans="1:3">
      <c r="A995">
        <v>471490</v>
      </c>
      <c r="C995" t="s">
        <v>177</v>
      </c>
    </row>
    <row r="996" spans="1:3">
      <c r="A996">
        <v>158200</v>
      </c>
      <c r="B996" t="s">
        <v>1803</v>
      </c>
      <c r="C996" t="s">
        <v>177</v>
      </c>
    </row>
    <row r="997" spans="1:3">
      <c r="A997">
        <v>173370</v>
      </c>
      <c r="B997" t="s">
        <v>1803</v>
      </c>
      <c r="C997" t="s">
        <v>177</v>
      </c>
    </row>
    <row r="998" spans="1:3">
      <c r="A998">
        <v>139920</v>
      </c>
      <c r="B998" t="s">
        <v>1803</v>
      </c>
      <c r="C998" t="s">
        <v>177</v>
      </c>
    </row>
    <row r="999" spans="1:3">
      <c r="A999">
        <v>37289216.009999998</v>
      </c>
      <c r="C999" t="s">
        <v>177</v>
      </c>
    </row>
    <row r="1000" spans="1:3">
      <c r="C1000" t="s">
        <v>177</v>
      </c>
    </row>
    <row r="1001" spans="1:3">
      <c r="C1001" t="s">
        <v>177</v>
      </c>
    </row>
    <row r="1002" spans="1:3">
      <c r="A1002">
        <v>2000000</v>
      </c>
      <c r="B1002" t="s">
        <v>1803</v>
      </c>
      <c r="C1002" t="s">
        <v>177</v>
      </c>
    </row>
    <row r="1003" spans="1:3">
      <c r="A1003">
        <v>2000000</v>
      </c>
      <c r="C1003" t="s">
        <v>177</v>
      </c>
    </row>
    <row r="1004" spans="1:3">
      <c r="A1004">
        <v>39289216.009999998</v>
      </c>
      <c r="C1004" t="s">
        <v>177</v>
      </c>
    </row>
    <row r="1005" spans="1:3">
      <c r="C1005" t="s">
        <v>177</v>
      </c>
    </row>
    <row r="1006" spans="1:3">
      <c r="C1006" t="s">
        <v>177</v>
      </c>
    </row>
    <row r="1007" spans="1:3">
      <c r="C1007" t="s">
        <v>177</v>
      </c>
    </row>
    <row r="1008" spans="1:3">
      <c r="A1008">
        <v>3538458</v>
      </c>
      <c r="C1008" t="s">
        <v>177</v>
      </c>
    </row>
    <row r="1009" spans="1:3">
      <c r="A1009">
        <v>3538458</v>
      </c>
      <c r="B1009" t="s">
        <v>1803</v>
      </c>
      <c r="C1009" t="s">
        <v>177</v>
      </c>
    </row>
    <row r="1010" spans="1:3">
      <c r="A1010">
        <v>343000</v>
      </c>
      <c r="C1010" t="s">
        <v>177</v>
      </c>
    </row>
    <row r="1011" spans="1:3">
      <c r="A1011">
        <v>200000</v>
      </c>
      <c r="B1011" t="s">
        <v>1803</v>
      </c>
      <c r="C1011" t="s">
        <v>177</v>
      </c>
    </row>
    <row r="1012" spans="1:3">
      <c r="A1012">
        <v>143000</v>
      </c>
      <c r="B1012" t="s">
        <v>1803</v>
      </c>
      <c r="C1012" t="s">
        <v>177</v>
      </c>
    </row>
    <row r="1013" spans="1:3">
      <c r="A1013">
        <v>2050000</v>
      </c>
      <c r="C1013" t="s">
        <v>177</v>
      </c>
    </row>
    <row r="1014" spans="1:3">
      <c r="A1014">
        <v>750000</v>
      </c>
      <c r="B1014" t="s">
        <v>1803</v>
      </c>
      <c r="C1014" t="s">
        <v>177</v>
      </c>
    </row>
    <row r="1015" spans="1:3">
      <c r="A1015">
        <v>950000</v>
      </c>
      <c r="B1015" t="s">
        <v>1803</v>
      </c>
      <c r="C1015" t="s">
        <v>177</v>
      </c>
    </row>
    <row r="1016" spans="1:3">
      <c r="A1016">
        <v>350000</v>
      </c>
      <c r="B1016" t="s">
        <v>1803</v>
      </c>
      <c r="C1016" t="s">
        <v>177</v>
      </c>
    </row>
    <row r="1017" spans="1:3">
      <c r="A1017">
        <v>1200000</v>
      </c>
      <c r="C1017" t="s">
        <v>177</v>
      </c>
    </row>
    <row r="1018" spans="1:3">
      <c r="A1018">
        <v>1200000</v>
      </c>
      <c r="B1018" t="s">
        <v>1803</v>
      </c>
      <c r="C1018" t="s">
        <v>177</v>
      </c>
    </row>
    <row r="1019" spans="1:3">
      <c r="A1019">
        <v>850000</v>
      </c>
      <c r="C1019" t="s">
        <v>177</v>
      </c>
    </row>
    <row r="1020" spans="1:3">
      <c r="A1020">
        <v>500000</v>
      </c>
      <c r="B1020" t="s">
        <v>1803</v>
      </c>
      <c r="C1020" t="s">
        <v>177</v>
      </c>
    </row>
    <row r="1021" spans="1:3">
      <c r="A1021">
        <v>350000</v>
      </c>
      <c r="B1021" t="s">
        <v>1803</v>
      </c>
      <c r="C1021" t="s">
        <v>177</v>
      </c>
    </row>
    <row r="1022" spans="1:3">
      <c r="A1022">
        <v>600000</v>
      </c>
      <c r="C1022" t="s">
        <v>177</v>
      </c>
    </row>
    <row r="1023" spans="1:3">
      <c r="A1023">
        <v>350000</v>
      </c>
      <c r="B1023" t="s">
        <v>1803</v>
      </c>
      <c r="C1023" t="s">
        <v>177</v>
      </c>
    </row>
    <row r="1024" spans="1:3">
      <c r="A1024">
        <v>250000</v>
      </c>
      <c r="B1024" t="s">
        <v>1803</v>
      </c>
      <c r="C1024" t="s">
        <v>177</v>
      </c>
    </row>
    <row r="1025" spans="1:3">
      <c r="A1025">
        <v>1066666.67</v>
      </c>
      <c r="C1025" t="s">
        <v>177</v>
      </c>
    </row>
    <row r="1026" spans="1:3">
      <c r="A1026">
        <v>350000</v>
      </c>
      <c r="B1026" t="s">
        <v>1803</v>
      </c>
      <c r="C1026" t="s">
        <v>177</v>
      </c>
    </row>
    <row r="1027" spans="1:3">
      <c r="A1027">
        <v>716666.66999999993</v>
      </c>
      <c r="B1027" t="s">
        <v>1803</v>
      </c>
      <c r="C1027" t="s">
        <v>177</v>
      </c>
    </row>
    <row r="1028" spans="1:3">
      <c r="A1028">
        <v>550000</v>
      </c>
      <c r="C1028" t="s">
        <v>177</v>
      </c>
    </row>
    <row r="1029" spans="1:3">
      <c r="A1029">
        <v>550000</v>
      </c>
      <c r="B1029" t="s">
        <v>1803</v>
      </c>
      <c r="C1029" t="s">
        <v>177</v>
      </c>
    </row>
    <row r="1030" spans="1:3">
      <c r="A1030">
        <v>287000</v>
      </c>
      <c r="C1030" t="s">
        <v>177</v>
      </c>
    </row>
    <row r="1031" spans="1:3">
      <c r="A1031">
        <v>150000</v>
      </c>
      <c r="B1031" t="s">
        <v>1803</v>
      </c>
      <c r="C1031" t="s">
        <v>177</v>
      </c>
    </row>
    <row r="1032" spans="1:3">
      <c r="A1032">
        <v>137000</v>
      </c>
      <c r="B1032" t="s">
        <v>1803</v>
      </c>
      <c r="C1032" t="s">
        <v>177</v>
      </c>
    </row>
    <row r="1033" spans="1:3">
      <c r="A1033">
        <v>669999.98</v>
      </c>
      <c r="C1033" t="s">
        <v>177</v>
      </c>
    </row>
    <row r="1034" spans="1:3">
      <c r="A1034">
        <v>249999.97999999998</v>
      </c>
      <c r="B1034" t="s">
        <v>1803</v>
      </c>
      <c r="C1034" t="s">
        <v>177</v>
      </c>
    </row>
    <row r="1035" spans="1:3">
      <c r="A1035">
        <v>240000</v>
      </c>
      <c r="B1035" t="s">
        <v>1803</v>
      </c>
      <c r="C1035" t="s">
        <v>177</v>
      </c>
    </row>
    <row r="1036" spans="1:3">
      <c r="A1036">
        <v>180000</v>
      </c>
      <c r="B1036" t="s">
        <v>1803</v>
      </c>
      <c r="C1036" t="s">
        <v>177</v>
      </c>
    </row>
    <row r="1037" spans="1:3">
      <c r="A1037">
        <v>1500000</v>
      </c>
      <c r="C1037" t="s">
        <v>177</v>
      </c>
    </row>
    <row r="1038" spans="1:3">
      <c r="A1038">
        <v>1500000</v>
      </c>
      <c r="B1038" t="s">
        <v>1803</v>
      </c>
      <c r="C1038" t="s">
        <v>177</v>
      </c>
    </row>
    <row r="1039" spans="1:3">
      <c r="A1039">
        <v>12655124.65</v>
      </c>
      <c r="C1039" t="s">
        <v>177</v>
      </c>
    </row>
    <row r="1040" spans="1:3">
      <c r="C1040" t="s">
        <v>177</v>
      </c>
    </row>
    <row r="1041" spans="1:3">
      <c r="C1041" t="s">
        <v>177</v>
      </c>
    </row>
    <row r="1042" spans="1:3">
      <c r="A1042">
        <v>1000000</v>
      </c>
      <c r="B1042" t="s">
        <v>1803</v>
      </c>
      <c r="C1042" t="s">
        <v>177</v>
      </c>
    </row>
    <row r="1043" spans="1:3">
      <c r="A1043">
        <v>6542546</v>
      </c>
      <c r="B1043" t="s">
        <v>1803</v>
      </c>
      <c r="C1043" t="s">
        <v>177</v>
      </c>
    </row>
    <row r="1044" spans="1:3">
      <c r="A1044">
        <v>1083001</v>
      </c>
      <c r="B1044" t="s">
        <v>1803</v>
      </c>
      <c r="C1044" t="s">
        <v>177</v>
      </c>
    </row>
    <row r="1045" spans="1:3">
      <c r="A1045">
        <v>8625547</v>
      </c>
      <c r="C1045" t="s">
        <v>177</v>
      </c>
    </row>
    <row r="1046" spans="1:3">
      <c r="A1046">
        <v>21280671.649999999</v>
      </c>
      <c r="C1046" t="s">
        <v>177</v>
      </c>
    </row>
    <row r="1047" spans="1:3">
      <c r="A1047">
        <v>100639218.002</v>
      </c>
      <c r="C1047" t="s">
        <v>177</v>
      </c>
    </row>
    <row r="1048" spans="1:3">
      <c r="A1048">
        <v>13352808</v>
      </c>
      <c r="C1048" t="s">
        <v>177</v>
      </c>
    </row>
    <row r="1049" spans="1:3">
      <c r="A1049">
        <v>113992026.002</v>
      </c>
      <c r="C1049" t="s">
        <v>177</v>
      </c>
    </row>
    <row r="1050" spans="1:3">
      <c r="C1050" t="s">
        <v>177</v>
      </c>
    </row>
    <row r="1051" spans="1:3">
      <c r="C1051" t="s">
        <v>177</v>
      </c>
    </row>
    <row r="1052" spans="1:3">
      <c r="C1052" t="s">
        <v>177</v>
      </c>
    </row>
    <row r="1053" spans="1:3">
      <c r="A1053">
        <v>8261946</v>
      </c>
      <c r="C1053" t="s">
        <v>177</v>
      </c>
    </row>
    <row r="1054" spans="1:3">
      <c r="A1054">
        <v>8261946</v>
      </c>
      <c r="B1054" t="s">
        <v>1803</v>
      </c>
      <c r="C1054" t="s">
        <v>177</v>
      </c>
    </row>
    <row r="1055" spans="1:3">
      <c r="A1055">
        <v>0</v>
      </c>
      <c r="C1055" t="s">
        <v>177</v>
      </c>
    </row>
    <row r="1056" spans="1:3">
      <c r="A1056">
        <v>26699</v>
      </c>
      <c r="C1056" t="s">
        <v>177</v>
      </c>
    </row>
    <row r="1057" spans="1:3">
      <c r="A1057">
        <v>10000</v>
      </c>
      <c r="B1057" t="s">
        <v>1803</v>
      </c>
      <c r="C1057" t="s">
        <v>177</v>
      </c>
    </row>
    <row r="1058" spans="1:3">
      <c r="A1058">
        <v>10000</v>
      </c>
      <c r="B1058" t="s">
        <v>1803</v>
      </c>
      <c r="C1058" t="s">
        <v>177</v>
      </c>
    </row>
    <row r="1059" spans="1:3">
      <c r="A1059">
        <v>6699.0000000000009</v>
      </c>
      <c r="B1059" t="s">
        <v>1803</v>
      </c>
      <c r="C1059" t="s">
        <v>177</v>
      </c>
    </row>
    <row r="1060" spans="1:3">
      <c r="A1060">
        <v>167500</v>
      </c>
      <c r="C1060" t="s">
        <v>177</v>
      </c>
    </row>
    <row r="1061" spans="1:3">
      <c r="A1061">
        <v>157500</v>
      </c>
      <c r="B1061" t="s">
        <v>1803</v>
      </c>
      <c r="C1061" t="s">
        <v>177</v>
      </c>
    </row>
    <row r="1062" spans="1:3">
      <c r="A1062">
        <v>10000</v>
      </c>
      <c r="B1062" t="s">
        <v>1803</v>
      </c>
      <c r="C1062" t="s">
        <v>177</v>
      </c>
    </row>
    <row r="1063" spans="1:3">
      <c r="A1063">
        <v>2373360</v>
      </c>
      <c r="C1063" t="s">
        <v>177</v>
      </c>
    </row>
    <row r="1064" spans="1:3">
      <c r="A1064">
        <v>510400.00000000006</v>
      </c>
      <c r="B1064" t="s">
        <v>1803</v>
      </c>
      <c r="C1064" t="s">
        <v>177</v>
      </c>
    </row>
    <row r="1065" spans="1:3">
      <c r="A1065">
        <v>669900</v>
      </c>
      <c r="B1065" t="s">
        <v>1803</v>
      </c>
      <c r="C1065" t="s">
        <v>177</v>
      </c>
    </row>
    <row r="1066" spans="1:3">
      <c r="A1066">
        <v>988900.00000000012</v>
      </c>
      <c r="B1066" t="s">
        <v>1803</v>
      </c>
      <c r="C1066" t="s">
        <v>177</v>
      </c>
    </row>
    <row r="1067" spans="1:3">
      <c r="A1067">
        <v>204160.00000000003</v>
      </c>
      <c r="B1067" t="s">
        <v>1803</v>
      </c>
      <c r="C1067" t="s">
        <v>177</v>
      </c>
    </row>
    <row r="1068" spans="1:3">
      <c r="A1068">
        <v>455515</v>
      </c>
      <c r="C1068" t="s">
        <v>177</v>
      </c>
    </row>
    <row r="1069" spans="1:3">
      <c r="A1069">
        <v>102080.00000000001</v>
      </c>
      <c r="B1069" t="s">
        <v>1803</v>
      </c>
      <c r="C1069" t="s">
        <v>177</v>
      </c>
    </row>
    <row r="1070" spans="1:3">
      <c r="A1070">
        <v>15000</v>
      </c>
      <c r="B1070" t="s">
        <v>1803</v>
      </c>
      <c r="C1070" t="s">
        <v>177</v>
      </c>
    </row>
    <row r="1071" spans="1:3">
      <c r="A1071">
        <v>338435</v>
      </c>
      <c r="B1071" t="s">
        <v>1803</v>
      </c>
      <c r="C1071" t="s">
        <v>177</v>
      </c>
    </row>
    <row r="1072" spans="1:3">
      <c r="A1072">
        <v>949221</v>
      </c>
      <c r="C1072" t="s">
        <v>177</v>
      </c>
    </row>
    <row r="1073" spans="1:3">
      <c r="A1073">
        <v>350000</v>
      </c>
      <c r="B1073" t="s">
        <v>1803</v>
      </c>
      <c r="C1073" t="s">
        <v>177</v>
      </c>
    </row>
    <row r="1074" spans="1:3">
      <c r="A1074">
        <v>100000</v>
      </c>
      <c r="B1074" t="s">
        <v>1803</v>
      </c>
      <c r="C1074" t="s">
        <v>177</v>
      </c>
    </row>
    <row r="1075" spans="1:3">
      <c r="A1075">
        <v>99221</v>
      </c>
      <c r="B1075" t="s">
        <v>1803</v>
      </c>
      <c r="C1075" t="s">
        <v>177</v>
      </c>
    </row>
    <row r="1076" spans="1:3">
      <c r="A1076">
        <v>100000</v>
      </c>
      <c r="B1076" t="s">
        <v>1803</v>
      </c>
      <c r="C1076" t="s">
        <v>177</v>
      </c>
    </row>
    <row r="1077" spans="1:3">
      <c r="A1077">
        <v>100000</v>
      </c>
      <c r="B1077" t="s">
        <v>1803</v>
      </c>
      <c r="C1077" t="s">
        <v>177</v>
      </c>
    </row>
    <row r="1078" spans="1:3">
      <c r="A1078">
        <v>100000</v>
      </c>
      <c r="B1078" t="s">
        <v>1803</v>
      </c>
      <c r="C1078" t="s">
        <v>177</v>
      </c>
    </row>
    <row r="1079" spans="1:3">
      <c r="A1079">
        <v>100000</v>
      </c>
      <c r="B1079" t="s">
        <v>1803</v>
      </c>
      <c r="C1079" t="s">
        <v>177</v>
      </c>
    </row>
    <row r="1080" spans="1:3">
      <c r="A1080">
        <v>30500000</v>
      </c>
      <c r="C1080" t="s">
        <v>177</v>
      </c>
    </row>
    <row r="1081" spans="1:3">
      <c r="A1081">
        <v>200000</v>
      </c>
      <c r="B1081" t="s">
        <v>1803</v>
      </c>
      <c r="C1081" t="s">
        <v>177</v>
      </c>
    </row>
    <row r="1082" spans="1:3">
      <c r="A1082">
        <v>300000</v>
      </c>
      <c r="B1082" t="s">
        <v>1803</v>
      </c>
      <c r="C1082" t="s">
        <v>177</v>
      </c>
    </row>
    <row r="1083" spans="1:3">
      <c r="A1083">
        <v>30000000</v>
      </c>
      <c r="B1083" t="s">
        <v>1803</v>
      </c>
      <c r="C1083" t="s">
        <v>177</v>
      </c>
    </row>
    <row r="1084" spans="1:3">
      <c r="A1084">
        <v>20000</v>
      </c>
      <c r="C1084" t="s">
        <v>177</v>
      </c>
    </row>
    <row r="1085" spans="1:3">
      <c r="A1085">
        <v>20000</v>
      </c>
      <c r="B1085" t="s">
        <v>1803</v>
      </c>
      <c r="C1085" t="s">
        <v>177</v>
      </c>
    </row>
    <row r="1086" spans="1:3">
      <c r="A1086">
        <v>270000</v>
      </c>
      <c r="C1086" t="s">
        <v>177</v>
      </c>
    </row>
    <row r="1087" spans="1:3">
      <c r="A1087">
        <v>115000</v>
      </c>
      <c r="B1087" t="s">
        <v>1803</v>
      </c>
      <c r="C1087" t="s">
        <v>177</v>
      </c>
    </row>
    <row r="1088" spans="1:3">
      <c r="A1088">
        <v>75000</v>
      </c>
      <c r="B1088" t="s">
        <v>1803</v>
      </c>
      <c r="C1088" t="s">
        <v>177</v>
      </c>
    </row>
    <row r="1089" spans="1:3">
      <c r="A1089">
        <v>80000</v>
      </c>
      <c r="B1089" t="s">
        <v>1803</v>
      </c>
      <c r="C1089" t="s">
        <v>177</v>
      </c>
    </row>
    <row r="1090" spans="1:3">
      <c r="A1090">
        <v>800000</v>
      </c>
      <c r="C1090" t="s">
        <v>177</v>
      </c>
    </row>
    <row r="1091" spans="1:3">
      <c r="A1091">
        <v>550000</v>
      </c>
      <c r="B1091" t="s">
        <v>1803</v>
      </c>
      <c r="C1091" t="s">
        <v>177</v>
      </c>
    </row>
    <row r="1092" spans="1:3">
      <c r="A1092">
        <v>250000</v>
      </c>
      <c r="B1092" t="s">
        <v>1803</v>
      </c>
      <c r="C1092" t="s">
        <v>177</v>
      </c>
    </row>
    <row r="1093" spans="1:3">
      <c r="A1093">
        <v>480000</v>
      </c>
      <c r="C1093" t="s">
        <v>177</v>
      </c>
    </row>
    <row r="1094" spans="1:3">
      <c r="C1094" t="s">
        <v>177</v>
      </c>
    </row>
    <row r="1095" spans="1:3">
      <c r="A1095">
        <v>300000</v>
      </c>
      <c r="B1095" t="s">
        <v>1803</v>
      </c>
      <c r="C1095" t="s">
        <v>177</v>
      </c>
    </row>
    <row r="1096" spans="1:3">
      <c r="A1096">
        <v>180000</v>
      </c>
      <c r="B1096" t="s">
        <v>1803</v>
      </c>
      <c r="C1096" t="s">
        <v>177</v>
      </c>
    </row>
    <row r="1097" spans="1:3">
      <c r="A1097">
        <v>219000</v>
      </c>
      <c r="C1097" t="s">
        <v>177</v>
      </c>
    </row>
    <row r="1098" spans="1:3">
      <c r="A1098">
        <v>119000</v>
      </c>
      <c r="B1098" t="s">
        <v>1803</v>
      </c>
      <c r="C1098" t="s">
        <v>177</v>
      </c>
    </row>
    <row r="1099" spans="1:3">
      <c r="A1099">
        <v>100000</v>
      </c>
      <c r="B1099" t="s">
        <v>1803</v>
      </c>
      <c r="C1099" t="s">
        <v>177</v>
      </c>
    </row>
    <row r="1100" spans="1:3">
      <c r="A1100">
        <v>60000</v>
      </c>
      <c r="C1100" t="s">
        <v>177</v>
      </c>
    </row>
    <row r="1101" spans="1:3">
      <c r="A1101">
        <v>30000</v>
      </c>
      <c r="B1101" t="s">
        <v>1803</v>
      </c>
      <c r="C1101" t="s">
        <v>177</v>
      </c>
    </row>
    <row r="1102" spans="1:3">
      <c r="A1102">
        <v>30000</v>
      </c>
      <c r="B1102" t="s">
        <v>1803</v>
      </c>
      <c r="C1102" t="s">
        <v>177</v>
      </c>
    </row>
    <row r="1103" spans="1:3">
      <c r="A1103">
        <v>35000</v>
      </c>
      <c r="C1103" t="s">
        <v>177</v>
      </c>
    </row>
    <row r="1104" spans="1:3">
      <c r="A1104">
        <v>35000</v>
      </c>
      <c r="B1104" t="s">
        <v>1803</v>
      </c>
      <c r="C1104" t="s">
        <v>177</v>
      </c>
    </row>
    <row r="1105" spans="1:3">
      <c r="A1105">
        <v>588705</v>
      </c>
      <c r="C1105" t="s">
        <v>177</v>
      </c>
    </row>
    <row r="1106" spans="1:3">
      <c r="A1106">
        <v>54230.000000000007</v>
      </c>
      <c r="B1106" t="s">
        <v>1803</v>
      </c>
      <c r="C1106" t="s">
        <v>177</v>
      </c>
    </row>
    <row r="1107" spans="1:3">
      <c r="A1107">
        <v>483435</v>
      </c>
      <c r="B1107" t="s">
        <v>1803</v>
      </c>
      <c r="C1107" t="s">
        <v>177</v>
      </c>
    </row>
    <row r="1108" spans="1:3">
      <c r="A1108">
        <v>51040.000000000007</v>
      </c>
      <c r="B1108" t="s">
        <v>1803</v>
      </c>
      <c r="C1108" t="s">
        <v>177</v>
      </c>
    </row>
    <row r="1109" spans="1:3">
      <c r="A1109">
        <v>55000</v>
      </c>
      <c r="C1109" t="s">
        <v>177</v>
      </c>
    </row>
    <row r="1110" spans="1:3">
      <c r="A1110">
        <v>55000</v>
      </c>
      <c r="B1110" t="s">
        <v>1803</v>
      </c>
      <c r="C1110" t="s">
        <v>177</v>
      </c>
    </row>
    <row r="1111" spans="1:3">
      <c r="A1111">
        <v>45261946</v>
      </c>
      <c r="C1111" t="s">
        <v>177</v>
      </c>
    </row>
    <row r="1112" spans="1:3">
      <c r="C1112" t="s">
        <v>177</v>
      </c>
    </row>
    <row r="1113" spans="1:3">
      <c r="C1113" t="s">
        <v>177</v>
      </c>
    </row>
    <row r="1114" spans="1:3">
      <c r="A1114">
        <v>5454142</v>
      </c>
      <c r="C1114" t="s">
        <v>177</v>
      </c>
    </row>
    <row r="1115" spans="1:3">
      <c r="A1115">
        <v>5454142</v>
      </c>
      <c r="B1115" t="s">
        <v>1803</v>
      </c>
      <c r="C1115" t="s">
        <v>177</v>
      </c>
    </row>
    <row r="1116" spans="1:3">
      <c r="A1116">
        <v>103911</v>
      </c>
      <c r="C1116" t="s">
        <v>177</v>
      </c>
    </row>
    <row r="1117" spans="1:3">
      <c r="A1117">
        <v>25520</v>
      </c>
      <c r="B1117" t="s">
        <v>1803</v>
      </c>
      <c r="C1117" t="s">
        <v>177</v>
      </c>
    </row>
    <row r="1118" spans="1:3">
      <c r="A1118">
        <v>22330</v>
      </c>
      <c r="B1118" t="s">
        <v>1803</v>
      </c>
      <c r="C1118" t="s">
        <v>177</v>
      </c>
    </row>
    <row r="1119" spans="1:3">
      <c r="A1119">
        <v>56061</v>
      </c>
      <c r="B1119" t="s">
        <v>1803</v>
      </c>
      <c r="C1119" t="s">
        <v>177</v>
      </c>
    </row>
    <row r="1120" spans="1:3">
      <c r="A1120">
        <v>167500</v>
      </c>
      <c r="C1120" t="s">
        <v>177</v>
      </c>
    </row>
    <row r="1121" spans="1:3">
      <c r="A1121">
        <v>157500</v>
      </c>
      <c r="B1121" t="s">
        <v>1803</v>
      </c>
      <c r="C1121" t="s">
        <v>177</v>
      </c>
    </row>
    <row r="1122" spans="1:3">
      <c r="A1122">
        <v>10000</v>
      </c>
      <c r="B1122" t="s">
        <v>1803</v>
      </c>
      <c r="C1122" t="s">
        <v>177</v>
      </c>
    </row>
    <row r="1123" spans="1:3">
      <c r="A1123">
        <v>915000</v>
      </c>
      <c r="C1123" t="s">
        <v>177</v>
      </c>
    </row>
    <row r="1124" spans="1:3">
      <c r="A1124">
        <v>150000</v>
      </c>
      <c r="B1124" t="s">
        <v>1803</v>
      </c>
      <c r="C1124" t="s">
        <v>177</v>
      </c>
    </row>
    <row r="1125" spans="1:3">
      <c r="A1125">
        <v>250000</v>
      </c>
      <c r="B1125" t="s">
        <v>1803</v>
      </c>
      <c r="C1125" t="s">
        <v>177</v>
      </c>
    </row>
    <row r="1126" spans="1:3">
      <c r="A1126">
        <v>350000</v>
      </c>
      <c r="B1126" t="s">
        <v>1803</v>
      </c>
      <c r="C1126" t="s">
        <v>177</v>
      </c>
    </row>
    <row r="1127" spans="1:3">
      <c r="A1127">
        <v>165000</v>
      </c>
      <c r="B1127" t="s">
        <v>1803</v>
      </c>
      <c r="C1127" t="s">
        <v>177</v>
      </c>
    </row>
    <row r="1128" spans="1:3">
      <c r="A1128">
        <v>315000</v>
      </c>
      <c r="C1128" t="s">
        <v>177</v>
      </c>
    </row>
    <row r="1129" spans="1:3">
      <c r="A1129">
        <v>100000</v>
      </c>
      <c r="B1129" t="s">
        <v>1803</v>
      </c>
      <c r="C1129" t="s">
        <v>177</v>
      </c>
    </row>
    <row r="1130" spans="1:3">
      <c r="A1130">
        <v>15000</v>
      </c>
      <c r="B1130" t="s">
        <v>1803</v>
      </c>
      <c r="C1130" t="s">
        <v>177</v>
      </c>
    </row>
    <row r="1131" spans="1:3">
      <c r="A1131">
        <v>200000</v>
      </c>
      <c r="B1131" t="s">
        <v>1803</v>
      </c>
      <c r="C1131" t="s">
        <v>177</v>
      </c>
    </row>
    <row r="1132" spans="1:3">
      <c r="A1132">
        <v>1481760</v>
      </c>
      <c r="C1132" t="s">
        <v>177</v>
      </c>
    </row>
    <row r="1133" spans="1:3">
      <c r="A1133">
        <v>200000</v>
      </c>
      <c r="B1133" t="s">
        <v>1803</v>
      </c>
      <c r="C1133" t="s">
        <v>177</v>
      </c>
    </row>
    <row r="1134" spans="1:3">
      <c r="A1134">
        <v>200000</v>
      </c>
      <c r="B1134" t="s">
        <v>1803</v>
      </c>
      <c r="C1134" t="s">
        <v>177</v>
      </c>
    </row>
    <row r="1135" spans="1:3">
      <c r="A1135">
        <v>44660</v>
      </c>
      <c r="B1135" t="s">
        <v>1803</v>
      </c>
      <c r="C1135" t="s">
        <v>177</v>
      </c>
    </row>
    <row r="1136" spans="1:3">
      <c r="A1136">
        <v>127600.00000000001</v>
      </c>
      <c r="B1136" t="s">
        <v>1803</v>
      </c>
      <c r="C1136" t="s">
        <v>177</v>
      </c>
    </row>
    <row r="1137" spans="1:3">
      <c r="A1137">
        <v>159500</v>
      </c>
      <c r="B1137" t="s">
        <v>1803</v>
      </c>
      <c r="C1137" t="s">
        <v>177</v>
      </c>
    </row>
    <row r="1138" spans="1:3">
      <c r="A1138">
        <v>150000</v>
      </c>
      <c r="B1138" t="s">
        <v>1803</v>
      </c>
      <c r="C1138" t="s">
        <v>177</v>
      </c>
    </row>
    <row r="1139" spans="1:3">
      <c r="A1139">
        <v>600000</v>
      </c>
      <c r="B1139" t="s">
        <v>1803</v>
      </c>
      <c r="C1139" t="s">
        <v>177</v>
      </c>
    </row>
    <row r="1140" spans="1:3">
      <c r="A1140">
        <v>1150000</v>
      </c>
      <c r="C1140" t="s">
        <v>177</v>
      </c>
    </row>
    <row r="1141" spans="1:3">
      <c r="A1141">
        <v>350000</v>
      </c>
      <c r="B1141" t="s">
        <v>1803</v>
      </c>
      <c r="C1141" t="s">
        <v>177</v>
      </c>
    </row>
    <row r="1142" spans="1:3">
      <c r="A1142">
        <v>325000</v>
      </c>
      <c r="B1142" t="s">
        <v>1803</v>
      </c>
      <c r="C1142" t="s">
        <v>177</v>
      </c>
    </row>
    <row r="1143" spans="1:3">
      <c r="A1143">
        <v>475000</v>
      </c>
      <c r="B1143" t="s">
        <v>1803</v>
      </c>
      <c r="C1143" t="s">
        <v>177</v>
      </c>
    </row>
    <row r="1144" spans="1:3">
      <c r="A1144">
        <v>38280</v>
      </c>
      <c r="C1144" t="s">
        <v>177</v>
      </c>
    </row>
    <row r="1145" spans="1:3">
      <c r="A1145">
        <v>38280</v>
      </c>
      <c r="B1145" t="s">
        <v>1803</v>
      </c>
      <c r="C1145" t="s">
        <v>177</v>
      </c>
    </row>
    <row r="1146" spans="1:3">
      <c r="A1146">
        <v>313800</v>
      </c>
      <c r="C1146" t="s">
        <v>177</v>
      </c>
    </row>
    <row r="1147" spans="1:3">
      <c r="A1147">
        <v>100000</v>
      </c>
      <c r="B1147" t="s">
        <v>1803</v>
      </c>
      <c r="C1147" t="s">
        <v>177</v>
      </c>
    </row>
    <row r="1148" spans="1:3">
      <c r="A1148">
        <v>150000</v>
      </c>
      <c r="B1148" t="s">
        <v>1803</v>
      </c>
      <c r="C1148" t="s">
        <v>177</v>
      </c>
    </row>
    <row r="1149" spans="1:3">
      <c r="A1149">
        <v>63800.000000000007</v>
      </c>
      <c r="B1149" t="s">
        <v>1803</v>
      </c>
      <c r="C1149" t="s">
        <v>177</v>
      </c>
    </row>
    <row r="1150" spans="1:3">
      <c r="A1150">
        <v>1200000</v>
      </c>
      <c r="C1150" t="s">
        <v>177</v>
      </c>
    </row>
    <row r="1151" spans="1:3">
      <c r="A1151">
        <v>670000</v>
      </c>
      <c r="B1151" t="s">
        <v>1803</v>
      </c>
      <c r="C1151" t="s">
        <v>177</v>
      </c>
    </row>
    <row r="1152" spans="1:3">
      <c r="A1152">
        <v>530000</v>
      </c>
      <c r="B1152" t="s">
        <v>1803</v>
      </c>
      <c r="C1152" t="s">
        <v>177</v>
      </c>
    </row>
    <row r="1153" spans="1:3">
      <c r="A1153">
        <v>150000</v>
      </c>
      <c r="C1153" t="s">
        <v>177</v>
      </c>
    </row>
    <row r="1154" spans="1:3">
      <c r="A1154">
        <v>0</v>
      </c>
      <c r="B1154" t="s">
        <v>1803</v>
      </c>
      <c r="C1154" t="s">
        <v>177</v>
      </c>
    </row>
    <row r="1155" spans="1:3">
      <c r="A1155">
        <v>150000</v>
      </c>
      <c r="B1155" t="s">
        <v>1803</v>
      </c>
      <c r="C1155" t="s">
        <v>177</v>
      </c>
    </row>
    <row r="1156" spans="1:3">
      <c r="A1156">
        <v>495700</v>
      </c>
      <c r="C1156" t="s">
        <v>177</v>
      </c>
    </row>
    <row r="1157" spans="1:3">
      <c r="A1157">
        <v>400000</v>
      </c>
      <c r="B1157" t="s">
        <v>1803</v>
      </c>
      <c r="C1157" t="s">
        <v>177</v>
      </c>
    </row>
    <row r="1158" spans="1:3">
      <c r="A1158">
        <v>95700.000000000015</v>
      </c>
      <c r="B1158" t="s">
        <v>1803</v>
      </c>
      <c r="C1158" t="s">
        <v>177</v>
      </c>
    </row>
    <row r="1159" spans="1:3">
      <c r="A1159">
        <v>179750</v>
      </c>
      <c r="C1159" t="s">
        <v>177</v>
      </c>
    </row>
    <row r="1160" spans="1:3">
      <c r="A1160">
        <v>100000</v>
      </c>
      <c r="B1160" t="s">
        <v>1803</v>
      </c>
      <c r="C1160" t="s">
        <v>177</v>
      </c>
    </row>
    <row r="1161" spans="1:3">
      <c r="A1161">
        <v>44660</v>
      </c>
      <c r="B1161" t="s">
        <v>1803</v>
      </c>
      <c r="C1161" t="s">
        <v>177</v>
      </c>
    </row>
    <row r="1162" spans="1:3">
      <c r="A1162">
        <v>35090</v>
      </c>
      <c r="B1162" t="s">
        <v>1803</v>
      </c>
      <c r="C1162" t="s">
        <v>177</v>
      </c>
    </row>
    <row r="1163" spans="1:3">
      <c r="A1163">
        <v>41470</v>
      </c>
      <c r="C1163" t="s">
        <v>177</v>
      </c>
    </row>
    <row r="1164" spans="1:3">
      <c r="A1164">
        <v>41470</v>
      </c>
      <c r="B1164" t="s">
        <v>1803</v>
      </c>
      <c r="C1164" t="s">
        <v>177</v>
      </c>
    </row>
    <row r="1165" spans="1:3">
      <c r="A1165">
        <v>347829</v>
      </c>
      <c r="C1165" t="s">
        <v>177</v>
      </c>
    </row>
    <row r="1166" spans="1:3">
      <c r="A1166">
        <v>41470</v>
      </c>
      <c r="B1166" t="s">
        <v>1803</v>
      </c>
      <c r="C1166" t="s">
        <v>177</v>
      </c>
    </row>
    <row r="1167" spans="1:3">
      <c r="A1167">
        <v>261600</v>
      </c>
      <c r="B1167" t="s">
        <v>1803</v>
      </c>
      <c r="C1167" t="s">
        <v>177</v>
      </c>
    </row>
    <row r="1168" spans="1:3">
      <c r="A1168">
        <v>44759</v>
      </c>
      <c r="B1168" t="s">
        <v>1803</v>
      </c>
      <c r="C1168" t="s">
        <v>177</v>
      </c>
    </row>
    <row r="1169" spans="1:3">
      <c r="A1169">
        <v>100000</v>
      </c>
      <c r="C1169" t="s">
        <v>177</v>
      </c>
    </row>
    <row r="1170" spans="1:3">
      <c r="A1170">
        <v>100000</v>
      </c>
      <c r="B1170" t="s">
        <v>1803</v>
      </c>
      <c r="C1170" t="s">
        <v>177</v>
      </c>
    </row>
    <row r="1171" spans="1:3">
      <c r="A1171">
        <v>12454142</v>
      </c>
      <c r="C1171" t="s">
        <v>177</v>
      </c>
    </row>
    <row r="1172" spans="1:3">
      <c r="C1172" t="s">
        <v>177</v>
      </c>
    </row>
    <row r="1173" spans="1:3">
      <c r="A1173">
        <v>0</v>
      </c>
      <c r="C1173" t="s">
        <v>177</v>
      </c>
    </row>
    <row r="1174" spans="1:3">
      <c r="A1174">
        <v>10350000</v>
      </c>
      <c r="C1174" t="s">
        <v>177</v>
      </c>
    </row>
    <row r="1175" spans="1:3">
      <c r="A1175">
        <v>5000000</v>
      </c>
      <c r="B1175" t="s">
        <v>1803</v>
      </c>
      <c r="C1175" t="s">
        <v>177</v>
      </c>
    </row>
    <row r="1176" spans="1:3">
      <c r="A1176">
        <v>2350000</v>
      </c>
      <c r="B1176" t="s">
        <v>1803</v>
      </c>
      <c r="C1176" t="s">
        <v>177</v>
      </c>
    </row>
    <row r="1177" spans="1:3">
      <c r="A1177">
        <v>3000000</v>
      </c>
      <c r="B1177" t="s">
        <v>1803</v>
      </c>
      <c r="C1177" t="s">
        <v>177</v>
      </c>
    </row>
    <row r="1178" spans="1:3">
      <c r="A1178">
        <v>10350000</v>
      </c>
      <c r="C1178" t="s">
        <v>177</v>
      </c>
    </row>
    <row r="1179" spans="1:3">
      <c r="A1179">
        <v>22804142</v>
      </c>
      <c r="C1179" t="s">
        <v>177</v>
      </c>
    </row>
    <row r="1180" spans="1:3">
      <c r="A1180">
        <v>68066088</v>
      </c>
      <c r="C1180" t="s">
        <v>177</v>
      </c>
    </row>
    <row r="1181" spans="1:3">
      <c r="A1181">
        <v>158355306.002</v>
      </c>
      <c r="C1181" t="s">
        <v>177</v>
      </c>
    </row>
    <row r="1182" spans="1:3">
      <c r="A1182">
        <v>23702808</v>
      </c>
      <c r="C1182" t="s">
        <v>177</v>
      </c>
    </row>
    <row r="1183" spans="1:3">
      <c r="A1183">
        <v>182058114.002</v>
      </c>
      <c r="C1183" t="s">
        <v>177</v>
      </c>
    </row>
    <row r="1184" spans="1:3">
      <c r="C1184" t="s">
        <v>177</v>
      </c>
    </row>
    <row r="1187" spans="1:3">
      <c r="C1187" t="s">
        <v>1251</v>
      </c>
    </row>
    <row r="1188" spans="1:3">
      <c r="C1188" t="s">
        <v>1251</v>
      </c>
    </row>
    <row r="1189" spans="1:3">
      <c r="A1189">
        <v>92191299</v>
      </c>
      <c r="C1189" t="s">
        <v>1251</v>
      </c>
    </row>
    <row r="1190" spans="1:3">
      <c r="A1190">
        <v>92191299</v>
      </c>
      <c r="B1190" t="s">
        <v>1803</v>
      </c>
      <c r="C1190" t="s">
        <v>1251</v>
      </c>
    </row>
    <row r="1191" spans="1:3">
      <c r="C1191" t="s">
        <v>1251</v>
      </c>
    </row>
    <row r="1192" spans="1:3">
      <c r="A1192">
        <v>16918</v>
      </c>
      <c r="C1192" t="s">
        <v>1251</v>
      </c>
    </row>
    <row r="1193" spans="1:3">
      <c r="A1193">
        <v>5400</v>
      </c>
      <c r="B1193" t="s">
        <v>1803</v>
      </c>
      <c r="C1193" t="s">
        <v>1251</v>
      </c>
    </row>
    <row r="1194" spans="1:3">
      <c r="A1194">
        <v>11518</v>
      </c>
      <c r="B1194" t="s">
        <v>1803</v>
      </c>
      <c r="C1194" t="s">
        <v>1251</v>
      </c>
    </row>
    <row r="1195" spans="1:3">
      <c r="A1195">
        <v>145073</v>
      </c>
      <c r="C1195" t="s">
        <v>1251</v>
      </c>
    </row>
    <row r="1196" spans="1:3">
      <c r="A1196">
        <v>117247</v>
      </c>
      <c r="B1196" t="s">
        <v>1803</v>
      </c>
      <c r="C1196" t="s">
        <v>1251</v>
      </c>
    </row>
    <row r="1197" spans="1:3">
      <c r="A1197">
        <v>27826</v>
      </c>
      <c r="B1197" t="s">
        <v>1803</v>
      </c>
      <c r="C1197" t="s">
        <v>1251</v>
      </c>
    </row>
    <row r="1198" spans="1:3">
      <c r="A1198">
        <v>593467</v>
      </c>
      <c r="C1198" t="s">
        <v>1251</v>
      </c>
    </row>
    <row r="1199" spans="1:3">
      <c r="A1199">
        <v>263768</v>
      </c>
      <c r="B1199" t="s">
        <v>1803</v>
      </c>
      <c r="C1199" t="s">
        <v>1251</v>
      </c>
    </row>
    <row r="1200" spans="1:3">
      <c r="A1200">
        <v>122464</v>
      </c>
      <c r="B1200" t="s">
        <v>1803</v>
      </c>
      <c r="C1200" t="s">
        <v>1251</v>
      </c>
    </row>
    <row r="1201" spans="1:3">
      <c r="A1201">
        <v>207235</v>
      </c>
      <c r="B1201" t="s">
        <v>1803</v>
      </c>
      <c r="C1201" t="s">
        <v>1251</v>
      </c>
    </row>
    <row r="1202" spans="1:3">
      <c r="A1202">
        <v>517638</v>
      </c>
      <c r="C1202" t="s">
        <v>1251</v>
      </c>
    </row>
    <row r="1203" spans="1:3">
      <c r="A1203">
        <v>205154</v>
      </c>
      <c r="B1203" t="s">
        <v>1803</v>
      </c>
      <c r="C1203" t="s">
        <v>1251</v>
      </c>
    </row>
    <row r="1204" spans="1:3">
      <c r="A1204">
        <v>149250</v>
      </c>
      <c r="B1204" t="s">
        <v>1803</v>
      </c>
      <c r="C1204" t="s">
        <v>1251</v>
      </c>
    </row>
    <row r="1205" spans="1:3">
      <c r="A1205">
        <v>163234</v>
      </c>
      <c r="B1205" t="s">
        <v>1803</v>
      </c>
      <c r="C1205" t="s">
        <v>1251</v>
      </c>
    </row>
    <row r="1206" spans="1:3">
      <c r="A1206">
        <v>366818</v>
      </c>
      <c r="C1206" t="s">
        <v>1251</v>
      </c>
    </row>
    <row r="1207" spans="1:3">
      <c r="A1207">
        <v>178000</v>
      </c>
      <c r="B1207" t="s">
        <v>1803</v>
      </c>
      <c r="C1207" t="s">
        <v>1251</v>
      </c>
    </row>
    <row r="1208" spans="1:3">
      <c r="A1208">
        <v>38818</v>
      </c>
      <c r="B1208" t="s">
        <v>1803</v>
      </c>
      <c r="C1208" t="s">
        <v>1251</v>
      </c>
    </row>
    <row r="1209" spans="1:3">
      <c r="A1209">
        <v>150000</v>
      </c>
      <c r="B1209" t="s">
        <v>1803</v>
      </c>
      <c r="C1209" t="s">
        <v>1251</v>
      </c>
    </row>
    <row r="1210" spans="1:3">
      <c r="A1210">
        <v>700000</v>
      </c>
      <c r="C1210" t="s">
        <v>1251</v>
      </c>
    </row>
    <row r="1211" spans="1:3">
      <c r="A1211">
        <v>329267</v>
      </c>
      <c r="B1211" t="s">
        <v>1803</v>
      </c>
      <c r="C1211" t="s">
        <v>1251</v>
      </c>
    </row>
    <row r="1212" spans="1:3">
      <c r="A1212">
        <v>105540</v>
      </c>
      <c r="B1212" t="s">
        <v>1803</v>
      </c>
      <c r="C1212" t="s">
        <v>1251</v>
      </c>
    </row>
    <row r="1213" spans="1:3">
      <c r="A1213">
        <v>78003</v>
      </c>
      <c r="B1213" t="s">
        <v>1803</v>
      </c>
      <c r="C1213" t="s">
        <v>1251</v>
      </c>
    </row>
    <row r="1214" spans="1:3">
      <c r="A1214">
        <v>187190</v>
      </c>
      <c r="B1214" t="s">
        <v>1803</v>
      </c>
      <c r="C1214" t="s">
        <v>1251</v>
      </c>
    </row>
    <row r="1215" spans="1:3">
      <c r="A1215">
        <v>307042</v>
      </c>
      <c r="C1215" t="s">
        <v>1251</v>
      </c>
    </row>
    <row r="1216" spans="1:3">
      <c r="A1216">
        <v>150000</v>
      </c>
      <c r="B1216" t="s">
        <v>1803</v>
      </c>
      <c r="C1216" t="s">
        <v>1251</v>
      </c>
    </row>
    <row r="1217" spans="1:3">
      <c r="A1217">
        <v>157042</v>
      </c>
      <c r="B1217" t="s">
        <v>1803</v>
      </c>
      <c r="C1217" t="s">
        <v>1251</v>
      </c>
    </row>
    <row r="1218" spans="1:3">
      <c r="A1218">
        <v>100000</v>
      </c>
      <c r="C1218" t="s">
        <v>1251</v>
      </c>
    </row>
    <row r="1219" spans="1:3">
      <c r="A1219">
        <v>100000</v>
      </c>
      <c r="B1219" t="s">
        <v>1803</v>
      </c>
      <c r="C1219" t="s">
        <v>1251</v>
      </c>
    </row>
    <row r="1220" spans="1:3">
      <c r="A1220">
        <v>334631</v>
      </c>
      <c r="C1220" t="s">
        <v>1251</v>
      </c>
    </row>
    <row r="1221" spans="1:3">
      <c r="A1221">
        <v>150000</v>
      </c>
      <c r="B1221" t="s">
        <v>1803</v>
      </c>
      <c r="C1221" t="s">
        <v>1251</v>
      </c>
    </row>
    <row r="1222" spans="1:3">
      <c r="A1222">
        <v>184631</v>
      </c>
      <c r="B1222" t="s">
        <v>1803</v>
      </c>
      <c r="C1222" t="s">
        <v>1251</v>
      </c>
    </row>
    <row r="1223" spans="1:3">
      <c r="A1223">
        <v>1787297</v>
      </c>
      <c r="C1223" t="s">
        <v>1251</v>
      </c>
    </row>
    <row r="1224" spans="1:3">
      <c r="A1224">
        <v>1787297</v>
      </c>
      <c r="B1224" t="s">
        <v>1803</v>
      </c>
      <c r="C1224" t="s">
        <v>1251</v>
      </c>
    </row>
    <row r="1225" spans="1:3">
      <c r="A1225">
        <v>265000</v>
      </c>
      <c r="C1225" t="s">
        <v>1251</v>
      </c>
    </row>
    <row r="1226" spans="1:3">
      <c r="A1226">
        <v>265000</v>
      </c>
      <c r="B1226" t="s">
        <v>1803</v>
      </c>
      <c r="C1226" t="s">
        <v>1251</v>
      </c>
    </row>
    <row r="1227" spans="1:3">
      <c r="A1227">
        <v>17122</v>
      </c>
      <c r="C1227" t="s">
        <v>1251</v>
      </c>
    </row>
    <row r="1228" spans="1:3">
      <c r="A1228">
        <v>17122</v>
      </c>
      <c r="B1228" t="s">
        <v>1803</v>
      </c>
      <c r="C1228" t="s">
        <v>1251</v>
      </c>
    </row>
    <row r="1229" spans="1:3">
      <c r="A1229">
        <v>200000</v>
      </c>
      <c r="C1229" t="s">
        <v>1251</v>
      </c>
    </row>
    <row r="1230" spans="1:3">
      <c r="A1230">
        <v>200000</v>
      </c>
      <c r="B1230" t="s">
        <v>1803</v>
      </c>
      <c r="C1230" t="s">
        <v>1251</v>
      </c>
    </row>
    <row r="1231" spans="1:3">
      <c r="A1231">
        <v>97542305</v>
      </c>
      <c r="C1231" t="s">
        <v>1251</v>
      </c>
    </row>
    <row r="1232" spans="1:3">
      <c r="C1232" t="s">
        <v>1251</v>
      </c>
    </row>
    <row r="1233" spans="1:3">
      <c r="C1233" t="s">
        <v>1251</v>
      </c>
    </row>
    <row r="1234" spans="1:3">
      <c r="C1234" t="s">
        <v>1251</v>
      </c>
    </row>
    <row r="1235" spans="1:3">
      <c r="A1235">
        <v>221040</v>
      </c>
      <c r="C1235" t="s">
        <v>1251</v>
      </c>
    </row>
    <row r="1236" spans="1:3">
      <c r="A1236">
        <v>94400</v>
      </c>
      <c r="B1236" t="s">
        <v>1803</v>
      </c>
      <c r="C1236" t="s">
        <v>1251</v>
      </c>
    </row>
    <row r="1237" spans="1:3">
      <c r="A1237">
        <v>126640</v>
      </c>
      <c r="B1237" t="s">
        <v>1803</v>
      </c>
      <c r="C1237" t="s">
        <v>1251</v>
      </c>
    </row>
    <row r="1238" spans="1:3">
      <c r="A1238">
        <v>488066</v>
      </c>
      <c r="C1238" t="s">
        <v>1251</v>
      </c>
    </row>
    <row r="1239" spans="1:3">
      <c r="A1239">
        <v>179033</v>
      </c>
      <c r="B1239" t="s">
        <v>1803</v>
      </c>
      <c r="C1239" t="s">
        <v>1251</v>
      </c>
    </row>
    <row r="1240" spans="1:3">
      <c r="A1240">
        <v>309033</v>
      </c>
      <c r="B1240" t="s">
        <v>1803</v>
      </c>
      <c r="C1240" t="s">
        <v>1251</v>
      </c>
    </row>
    <row r="1241" spans="1:3">
      <c r="A1241">
        <v>2232385</v>
      </c>
      <c r="C1241" t="s">
        <v>1251</v>
      </c>
    </row>
    <row r="1242" spans="1:3">
      <c r="A1242">
        <v>734472</v>
      </c>
      <c r="B1242" t="s">
        <v>1803</v>
      </c>
      <c r="C1242" t="s">
        <v>1251</v>
      </c>
    </row>
    <row r="1243" spans="1:3">
      <c r="A1243">
        <v>794639</v>
      </c>
      <c r="B1243" t="s">
        <v>1803</v>
      </c>
      <c r="C1243" t="s">
        <v>1251</v>
      </c>
    </row>
    <row r="1244" spans="1:3">
      <c r="A1244">
        <v>703274</v>
      </c>
      <c r="B1244" t="s">
        <v>1803</v>
      </c>
      <c r="C1244" t="s">
        <v>1251</v>
      </c>
    </row>
    <row r="1245" spans="1:3">
      <c r="A1245">
        <v>1363319.85</v>
      </c>
      <c r="C1245" t="s">
        <v>1251</v>
      </c>
    </row>
    <row r="1246" spans="1:3">
      <c r="A1246">
        <v>400000</v>
      </c>
      <c r="B1246" t="s">
        <v>1803</v>
      </c>
      <c r="C1246" t="s">
        <v>1251</v>
      </c>
    </row>
    <row r="1247" spans="1:3">
      <c r="A1247">
        <v>206660</v>
      </c>
      <c r="B1247" t="s">
        <v>1803</v>
      </c>
      <c r="C1247" t="s">
        <v>1251</v>
      </c>
    </row>
    <row r="1248" spans="1:3">
      <c r="A1248">
        <v>76287</v>
      </c>
      <c r="B1248" t="s">
        <v>1803</v>
      </c>
      <c r="C1248" t="s">
        <v>1251</v>
      </c>
    </row>
    <row r="1249" spans="1:3">
      <c r="A1249">
        <v>330372.84999999998</v>
      </c>
      <c r="B1249" t="s">
        <v>1803</v>
      </c>
      <c r="C1249" t="s">
        <v>1251</v>
      </c>
    </row>
    <row r="1250" spans="1:3">
      <c r="A1250">
        <v>350000</v>
      </c>
      <c r="B1250" t="s">
        <v>1803</v>
      </c>
      <c r="C1250" t="s">
        <v>1251</v>
      </c>
    </row>
    <row r="1251" spans="1:3">
      <c r="A1251">
        <v>445299</v>
      </c>
      <c r="C1251" t="s">
        <v>1251</v>
      </c>
    </row>
    <row r="1252" spans="1:3">
      <c r="A1252">
        <v>445299</v>
      </c>
      <c r="B1252" t="s">
        <v>1803</v>
      </c>
      <c r="C1252" t="s">
        <v>1251</v>
      </c>
    </row>
    <row r="1253" spans="1:3">
      <c r="A1253">
        <v>681479</v>
      </c>
      <c r="C1253" t="s">
        <v>1251</v>
      </c>
    </row>
    <row r="1254" spans="1:3">
      <c r="A1254">
        <v>418825</v>
      </c>
      <c r="B1254" t="s">
        <v>1803</v>
      </c>
      <c r="C1254" t="s">
        <v>1251</v>
      </c>
    </row>
    <row r="1255" spans="1:3">
      <c r="A1255">
        <v>133526</v>
      </c>
      <c r="B1255" t="s">
        <v>1803</v>
      </c>
      <c r="C1255" t="s">
        <v>1251</v>
      </c>
    </row>
    <row r="1256" spans="1:3">
      <c r="A1256">
        <v>129128</v>
      </c>
      <c r="B1256" t="s">
        <v>1803</v>
      </c>
      <c r="C1256" t="s">
        <v>1251</v>
      </c>
    </row>
    <row r="1257" spans="1:3">
      <c r="A1257">
        <v>2873569</v>
      </c>
      <c r="C1257" t="s">
        <v>1251</v>
      </c>
    </row>
    <row r="1258" spans="1:3">
      <c r="A1258">
        <v>2873569</v>
      </c>
      <c r="B1258" t="s">
        <v>1803</v>
      </c>
      <c r="C1258" t="s">
        <v>1251</v>
      </c>
    </row>
    <row r="1259" spans="1:3">
      <c r="A1259">
        <v>294576</v>
      </c>
      <c r="C1259" t="s">
        <v>1251</v>
      </c>
    </row>
    <row r="1260" spans="1:3">
      <c r="A1260">
        <v>294576</v>
      </c>
      <c r="B1260" t="s">
        <v>1803</v>
      </c>
      <c r="C1260" t="s">
        <v>1251</v>
      </c>
    </row>
    <row r="1261" spans="1:3">
      <c r="A1261">
        <v>225000</v>
      </c>
      <c r="C1261" t="s">
        <v>1251</v>
      </c>
    </row>
    <row r="1262" spans="1:3">
      <c r="A1262">
        <v>225000</v>
      </c>
      <c r="B1262" t="s">
        <v>1803</v>
      </c>
      <c r="C1262" t="s">
        <v>1251</v>
      </c>
    </row>
    <row r="1263" spans="1:3">
      <c r="A1263">
        <v>0</v>
      </c>
      <c r="C1263" t="s">
        <v>1251</v>
      </c>
    </row>
    <row r="1264" spans="1:3">
      <c r="A1264">
        <v>0</v>
      </c>
      <c r="C1264" t="s">
        <v>1251</v>
      </c>
    </row>
    <row r="1265" spans="1:3">
      <c r="A1265">
        <v>874632</v>
      </c>
      <c r="C1265" t="s">
        <v>1251</v>
      </c>
    </row>
    <row r="1266" spans="1:3">
      <c r="A1266">
        <v>874632</v>
      </c>
      <c r="B1266" t="s">
        <v>1803</v>
      </c>
      <c r="C1266" t="s">
        <v>1251</v>
      </c>
    </row>
    <row r="1267" spans="1:3">
      <c r="A1267">
        <v>9699365.8499999996</v>
      </c>
      <c r="C1267" t="s">
        <v>1251</v>
      </c>
    </row>
    <row r="1268" spans="1:3">
      <c r="C1268" t="s">
        <v>1251</v>
      </c>
    </row>
    <row r="1269" spans="1:3">
      <c r="C1269" t="s">
        <v>1251</v>
      </c>
    </row>
    <row r="1270" spans="1:3">
      <c r="C1270" t="s">
        <v>1251</v>
      </c>
    </row>
    <row r="1271" spans="1:3">
      <c r="A1271">
        <v>64200</v>
      </c>
      <c r="C1271" t="s">
        <v>1251</v>
      </c>
    </row>
    <row r="1272" spans="1:3">
      <c r="A1272">
        <v>38520</v>
      </c>
      <c r="B1272" t="s">
        <v>1803</v>
      </c>
      <c r="C1272" t="s">
        <v>1251</v>
      </c>
    </row>
    <row r="1273" spans="1:3">
      <c r="A1273">
        <v>25680</v>
      </c>
      <c r="B1273" t="s">
        <v>1803</v>
      </c>
      <c r="C1273" t="s">
        <v>1251</v>
      </c>
    </row>
    <row r="1274" spans="1:3">
      <c r="A1274">
        <v>150000</v>
      </c>
      <c r="C1274" t="s">
        <v>1251</v>
      </c>
    </row>
    <row r="1275" spans="1:3">
      <c r="A1275">
        <v>85000</v>
      </c>
      <c r="B1275" t="s">
        <v>1803</v>
      </c>
      <c r="C1275" t="s">
        <v>1251</v>
      </c>
    </row>
    <row r="1276" spans="1:3">
      <c r="A1276">
        <v>65000</v>
      </c>
      <c r="B1276" t="s">
        <v>1803</v>
      </c>
      <c r="C1276" t="s">
        <v>1251</v>
      </c>
    </row>
    <row r="1277" spans="1:3">
      <c r="A1277">
        <v>1773526</v>
      </c>
      <c r="C1277" t="s">
        <v>1251</v>
      </c>
    </row>
    <row r="1278" spans="1:3">
      <c r="A1278">
        <v>963828</v>
      </c>
      <c r="B1278" t="s">
        <v>1803</v>
      </c>
      <c r="C1278" t="s">
        <v>1251</v>
      </c>
    </row>
    <row r="1279" spans="1:3">
      <c r="A1279">
        <v>306440</v>
      </c>
      <c r="B1279" t="s">
        <v>1803</v>
      </c>
      <c r="C1279" t="s">
        <v>1251</v>
      </c>
    </row>
    <row r="1280" spans="1:3">
      <c r="A1280">
        <v>503258</v>
      </c>
      <c r="B1280" t="s">
        <v>1803</v>
      </c>
      <c r="C1280" t="s">
        <v>1251</v>
      </c>
    </row>
    <row r="1281" spans="1:3">
      <c r="A1281">
        <v>26269</v>
      </c>
      <c r="C1281" t="s">
        <v>1251</v>
      </c>
    </row>
    <row r="1282" spans="1:3">
      <c r="A1282">
        <v>26269</v>
      </c>
      <c r="B1282" t="s">
        <v>1803</v>
      </c>
      <c r="C1282" t="s">
        <v>1251</v>
      </c>
    </row>
    <row r="1283" spans="1:3">
      <c r="A1283">
        <v>1222990.6499999999</v>
      </c>
      <c r="C1283" t="s">
        <v>1251</v>
      </c>
    </row>
    <row r="1284" spans="1:3">
      <c r="A1284">
        <v>519490.65</v>
      </c>
      <c r="B1284" t="s">
        <v>1803</v>
      </c>
      <c r="C1284" t="s">
        <v>1251</v>
      </c>
    </row>
    <row r="1285" spans="1:3">
      <c r="A1285">
        <v>303500</v>
      </c>
      <c r="B1285" t="s">
        <v>1803</v>
      </c>
      <c r="C1285" t="s">
        <v>1251</v>
      </c>
    </row>
    <row r="1286" spans="1:3">
      <c r="A1286">
        <v>400000</v>
      </c>
      <c r="B1286" t="s">
        <v>1803</v>
      </c>
      <c r="C1286" t="s">
        <v>1251</v>
      </c>
    </row>
    <row r="1287" spans="1:3">
      <c r="A1287">
        <v>499800</v>
      </c>
      <c r="C1287" t="s">
        <v>1251</v>
      </c>
    </row>
    <row r="1288" spans="1:3">
      <c r="A1288">
        <v>300000</v>
      </c>
      <c r="B1288" t="s">
        <v>1803</v>
      </c>
      <c r="C1288" t="s">
        <v>1251</v>
      </c>
    </row>
    <row r="1289" spans="1:3">
      <c r="A1289">
        <v>107000</v>
      </c>
      <c r="B1289" t="s">
        <v>1803</v>
      </c>
      <c r="C1289" t="s">
        <v>1251</v>
      </c>
    </row>
    <row r="1290" spans="1:3">
      <c r="A1290">
        <v>92800</v>
      </c>
      <c r="B1290" t="s">
        <v>1803</v>
      </c>
      <c r="C1290" t="s">
        <v>1251</v>
      </c>
    </row>
    <row r="1291" spans="1:3">
      <c r="A1291">
        <v>1501667</v>
      </c>
      <c r="C1291" t="s">
        <v>1251</v>
      </c>
    </row>
    <row r="1292" spans="1:3">
      <c r="A1292">
        <v>1501667</v>
      </c>
      <c r="B1292" t="s">
        <v>1803</v>
      </c>
      <c r="C1292" t="s">
        <v>1251</v>
      </c>
    </row>
    <row r="1293" spans="1:3">
      <c r="A1293">
        <v>725466</v>
      </c>
      <c r="C1293" t="s">
        <v>1251</v>
      </c>
    </row>
    <row r="1294" spans="1:3">
      <c r="A1294">
        <v>725466</v>
      </c>
      <c r="B1294" t="s">
        <v>1803</v>
      </c>
      <c r="C1294" t="s">
        <v>1251</v>
      </c>
    </row>
    <row r="1295" spans="1:3">
      <c r="A1295">
        <v>2270267</v>
      </c>
      <c r="C1295" t="s">
        <v>1251</v>
      </c>
    </row>
    <row r="1296" spans="1:3">
      <c r="A1296">
        <v>2004667</v>
      </c>
      <c r="B1296" t="s">
        <v>1803</v>
      </c>
      <c r="C1296" t="s">
        <v>1251</v>
      </c>
    </row>
    <row r="1297" spans="1:3">
      <c r="A1297">
        <v>50000</v>
      </c>
      <c r="B1297" t="s">
        <v>1803</v>
      </c>
      <c r="C1297" t="s">
        <v>1251</v>
      </c>
    </row>
    <row r="1298" spans="1:3">
      <c r="A1298">
        <v>85600</v>
      </c>
      <c r="B1298" t="s">
        <v>1803</v>
      </c>
      <c r="C1298" t="s">
        <v>1251</v>
      </c>
    </row>
    <row r="1299" spans="1:3">
      <c r="A1299">
        <v>130000</v>
      </c>
      <c r="B1299" t="s">
        <v>1803</v>
      </c>
      <c r="C1299" t="s">
        <v>1251</v>
      </c>
    </row>
    <row r="1300" spans="1:3">
      <c r="A1300">
        <v>269260</v>
      </c>
      <c r="C1300" t="s">
        <v>1251</v>
      </c>
    </row>
    <row r="1301" spans="1:3">
      <c r="A1301">
        <v>269260</v>
      </c>
      <c r="B1301" t="s">
        <v>1803</v>
      </c>
      <c r="C1301" t="s">
        <v>1251</v>
      </c>
    </row>
    <row r="1302" spans="1:3">
      <c r="A1302">
        <v>600350</v>
      </c>
      <c r="C1302" t="s">
        <v>1251</v>
      </c>
    </row>
    <row r="1303" spans="1:3">
      <c r="A1303">
        <v>600350</v>
      </c>
      <c r="B1303" t="s">
        <v>1803</v>
      </c>
      <c r="C1303" t="s">
        <v>1251</v>
      </c>
    </row>
    <row r="1304" spans="1:3">
      <c r="A1304">
        <v>500000</v>
      </c>
      <c r="C1304" t="s">
        <v>1251</v>
      </c>
    </row>
    <row r="1305" spans="1:3">
      <c r="A1305">
        <v>500000</v>
      </c>
      <c r="B1305" t="s">
        <v>1803</v>
      </c>
      <c r="C1305" t="s">
        <v>1251</v>
      </c>
    </row>
    <row r="1306" spans="1:3">
      <c r="A1306">
        <v>9603795.6500000004</v>
      </c>
      <c r="C1306" t="s">
        <v>1251</v>
      </c>
    </row>
    <row r="1307" spans="1:3">
      <c r="C1307" t="s">
        <v>1251</v>
      </c>
    </row>
    <row r="1308" spans="1:3">
      <c r="C1308" t="s">
        <v>1251</v>
      </c>
    </row>
    <row r="1309" spans="1:3">
      <c r="A1309">
        <v>262727045</v>
      </c>
      <c r="C1309" t="s">
        <v>1251</v>
      </c>
    </row>
    <row r="1310" spans="1:3">
      <c r="A1310">
        <v>262727045</v>
      </c>
      <c r="B1310" t="s">
        <v>1803</v>
      </c>
      <c r="C1310" t="s">
        <v>1251</v>
      </c>
    </row>
    <row r="1311" spans="1:3">
      <c r="A1311">
        <v>262727045</v>
      </c>
      <c r="C1311" t="s">
        <v>1251</v>
      </c>
    </row>
    <row r="1312" spans="1:3">
      <c r="A1312">
        <v>272330840.64999998</v>
      </c>
      <c r="C1312" t="s">
        <v>1251</v>
      </c>
    </row>
    <row r="1313" spans="1:3">
      <c r="C1313" t="s">
        <v>1251</v>
      </c>
    </row>
    <row r="1314" spans="1:3">
      <c r="C1314" t="s">
        <v>1251</v>
      </c>
    </row>
    <row r="1315" spans="1:3">
      <c r="C1315" t="s">
        <v>1251</v>
      </c>
    </row>
    <row r="1316" spans="1:3">
      <c r="A1316">
        <v>2122884</v>
      </c>
      <c r="C1316" t="s">
        <v>1251</v>
      </c>
    </row>
    <row r="1317" spans="1:3">
      <c r="A1317">
        <v>2090884</v>
      </c>
      <c r="B1317" t="s">
        <v>1803</v>
      </c>
      <c r="C1317" t="s">
        <v>1251</v>
      </c>
    </row>
    <row r="1318" spans="1:3">
      <c r="A1318">
        <v>32000</v>
      </c>
      <c r="B1318" t="s">
        <v>1803</v>
      </c>
      <c r="C1318" t="s">
        <v>1251</v>
      </c>
    </row>
    <row r="1319" spans="1:3">
      <c r="A1319">
        <v>100000</v>
      </c>
      <c r="C1319" t="s">
        <v>1251</v>
      </c>
    </row>
    <row r="1320" spans="1:3">
      <c r="A1320">
        <v>85000</v>
      </c>
      <c r="B1320" t="s">
        <v>1803</v>
      </c>
      <c r="C1320" t="s">
        <v>1251</v>
      </c>
    </row>
    <row r="1321" spans="1:3">
      <c r="A1321">
        <v>15000</v>
      </c>
      <c r="B1321" t="s">
        <v>1803</v>
      </c>
      <c r="C1321" t="s">
        <v>1251</v>
      </c>
    </row>
    <row r="1322" spans="1:3">
      <c r="A1322">
        <v>1362887</v>
      </c>
      <c r="C1322" t="s">
        <v>1251</v>
      </c>
    </row>
    <row r="1323" spans="1:3">
      <c r="A1323">
        <v>825899</v>
      </c>
      <c r="B1323" t="s">
        <v>1803</v>
      </c>
      <c r="C1323" t="s">
        <v>1251</v>
      </c>
    </row>
    <row r="1324" spans="1:3">
      <c r="A1324">
        <v>291471</v>
      </c>
      <c r="B1324" t="s">
        <v>1803</v>
      </c>
      <c r="C1324" t="s">
        <v>1251</v>
      </c>
    </row>
    <row r="1325" spans="1:3">
      <c r="A1325">
        <v>245517</v>
      </c>
      <c r="B1325" t="s">
        <v>1803</v>
      </c>
      <c r="C1325" t="s">
        <v>1251</v>
      </c>
    </row>
    <row r="1326" spans="1:3">
      <c r="A1326">
        <v>854523</v>
      </c>
      <c r="C1326" t="s">
        <v>1251</v>
      </c>
    </row>
    <row r="1327" spans="1:3">
      <c r="A1327">
        <v>340254</v>
      </c>
      <c r="B1327" t="s">
        <v>1803</v>
      </c>
      <c r="C1327" t="s">
        <v>1251</v>
      </c>
    </row>
    <row r="1328" spans="1:3">
      <c r="A1328">
        <v>308454</v>
      </c>
      <c r="B1328" t="s">
        <v>1803</v>
      </c>
      <c r="C1328" t="s">
        <v>1251</v>
      </c>
    </row>
    <row r="1329" spans="1:3">
      <c r="A1329">
        <v>205815</v>
      </c>
      <c r="B1329" t="s">
        <v>1803</v>
      </c>
      <c r="C1329" t="s">
        <v>1251</v>
      </c>
    </row>
    <row r="1330" spans="1:3">
      <c r="A1330">
        <v>709639</v>
      </c>
      <c r="C1330" t="s">
        <v>1251</v>
      </c>
    </row>
    <row r="1331" spans="1:3">
      <c r="A1331">
        <v>709639</v>
      </c>
      <c r="B1331" t="s">
        <v>1803</v>
      </c>
      <c r="C1331" t="s">
        <v>1251</v>
      </c>
    </row>
    <row r="1332" spans="1:3">
      <c r="A1332">
        <v>1687396</v>
      </c>
      <c r="C1332" t="s">
        <v>1251</v>
      </c>
    </row>
    <row r="1333" spans="1:3">
      <c r="A1333">
        <v>1687396</v>
      </c>
      <c r="B1333" t="s">
        <v>1803</v>
      </c>
      <c r="C1333" t="s">
        <v>1251</v>
      </c>
    </row>
    <row r="1334" spans="1:3">
      <c r="A1334">
        <v>398866</v>
      </c>
      <c r="C1334" t="s">
        <v>1251</v>
      </c>
    </row>
    <row r="1335" spans="1:3">
      <c r="A1335">
        <v>398866</v>
      </c>
      <c r="B1335" t="s">
        <v>1803</v>
      </c>
      <c r="C1335" t="s">
        <v>1251</v>
      </c>
    </row>
    <row r="1336" spans="1:3">
      <c r="A1336">
        <v>1500000</v>
      </c>
      <c r="C1336" t="s">
        <v>1251</v>
      </c>
    </row>
    <row r="1337" spans="1:3">
      <c r="A1337">
        <v>1500000</v>
      </c>
      <c r="B1337" t="s">
        <v>1803</v>
      </c>
      <c r="C1337" t="s">
        <v>1251</v>
      </c>
    </row>
    <row r="1338" spans="1:3">
      <c r="A1338">
        <v>8736195</v>
      </c>
      <c r="C1338" t="s">
        <v>1251</v>
      </c>
    </row>
    <row r="1339" spans="1:3">
      <c r="C1339" t="s">
        <v>1251</v>
      </c>
    </row>
    <row r="1340" spans="1:3">
      <c r="C1340" t="s">
        <v>1251</v>
      </c>
    </row>
    <row r="1341" spans="1:3">
      <c r="A1341">
        <v>50000000</v>
      </c>
      <c r="C1341" t="s">
        <v>1251</v>
      </c>
    </row>
    <row r="1342" spans="1:3">
      <c r="A1342">
        <v>50000000</v>
      </c>
      <c r="B1342" t="s">
        <v>1803</v>
      </c>
      <c r="C1342" t="s">
        <v>1251</v>
      </c>
    </row>
    <row r="1343" spans="1:3">
      <c r="A1343">
        <v>71401951</v>
      </c>
      <c r="C1343" t="s">
        <v>1251</v>
      </c>
    </row>
    <row r="1344" spans="1:3">
      <c r="A1344">
        <v>24907301</v>
      </c>
      <c r="B1344" t="s">
        <v>1803</v>
      </c>
      <c r="C1344" t="s">
        <v>1251</v>
      </c>
    </row>
    <row r="1345" spans="1:3">
      <c r="A1345">
        <v>4494650</v>
      </c>
      <c r="B1345" t="s">
        <v>1803</v>
      </c>
      <c r="C1345" t="s">
        <v>1251</v>
      </c>
    </row>
    <row r="1346" spans="1:3">
      <c r="A1346">
        <v>2000000</v>
      </c>
      <c r="B1346" t="s">
        <v>1803</v>
      </c>
      <c r="C1346" t="s">
        <v>1251</v>
      </c>
    </row>
    <row r="1347" spans="1:3">
      <c r="A1347">
        <v>40000000</v>
      </c>
      <c r="B1347" t="s">
        <v>1803</v>
      </c>
      <c r="C1347" t="s">
        <v>1251</v>
      </c>
    </row>
    <row r="1348" spans="1:3">
      <c r="A1348">
        <v>121401951</v>
      </c>
      <c r="C1348" t="s">
        <v>1251</v>
      </c>
    </row>
    <row r="1349" spans="1:3">
      <c r="A1349">
        <v>130138146</v>
      </c>
      <c r="C1349" t="s">
        <v>1251</v>
      </c>
    </row>
    <row r="1350" spans="1:3">
      <c r="A1350">
        <v>412168352.5</v>
      </c>
      <c r="C1350" t="s">
        <v>1251</v>
      </c>
    </row>
    <row r="1351" spans="1:3">
      <c r="C1351" t="s">
        <v>1251</v>
      </c>
    </row>
    <row r="1352" spans="1:3">
      <c r="C1352" t="s">
        <v>1251</v>
      </c>
    </row>
    <row r="1353" spans="1:3">
      <c r="C1353" t="s">
        <v>1251</v>
      </c>
    </row>
    <row r="1354" spans="1:3">
      <c r="C1354" t="s">
        <v>1251</v>
      </c>
    </row>
    <row r="1355" spans="1:3">
      <c r="A1355">
        <v>53000</v>
      </c>
      <c r="C1355" t="s">
        <v>1251</v>
      </c>
    </row>
    <row r="1356" spans="1:3">
      <c r="A1356">
        <v>38000</v>
      </c>
      <c r="B1356" t="s">
        <v>1803</v>
      </c>
      <c r="C1356" t="s">
        <v>1251</v>
      </c>
    </row>
    <row r="1357" spans="1:3">
      <c r="A1357">
        <v>15000</v>
      </c>
      <c r="B1357" t="s">
        <v>1803</v>
      </c>
      <c r="C1357" t="s">
        <v>1251</v>
      </c>
    </row>
    <row r="1358" spans="1:3">
      <c r="A1358">
        <v>50000</v>
      </c>
      <c r="C1358" t="s">
        <v>1251</v>
      </c>
    </row>
    <row r="1359" spans="1:3">
      <c r="A1359">
        <v>50000</v>
      </c>
      <c r="B1359" t="s">
        <v>1803</v>
      </c>
      <c r="C1359" t="s">
        <v>1251</v>
      </c>
    </row>
    <row r="1360" spans="1:3">
      <c r="A1360">
        <v>3263206</v>
      </c>
      <c r="C1360" t="s">
        <v>1251</v>
      </c>
    </row>
    <row r="1361" spans="1:3">
      <c r="A1361">
        <v>1058000</v>
      </c>
      <c r="B1361" t="s">
        <v>1803</v>
      </c>
      <c r="C1361" t="s">
        <v>1251</v>
      </c>
    </row>
    <row r="1362" spans="1:3">
      <c r="A1362">
        <v>853400</v>
      </c>
      <c r="B1362" t="s">
        <v>1803</v>
      </c>
      <c r="C1362" t="s">
        <v>1251</v>
      </c>
    </row>
    <row r="1363" spans="1:3">
      <c r="A1363">
        <v>1351806</v>
      </c>
      <c r="B1363" t="s">
        <v>1803</v>
      </c>
      <c r="C1363" t="s">
        <v>1251</v>
      </c>
    </row>
    <row r="1364" spans="1:3">
      <c r="A1364">
        <v>753200</v>
      </c>
      <c r="C1364" t="s">
        <v>1251</v>
      </c>
    </row>
    <row r="1365" spans="1:3">
      <c r="A1365">
        <v>753200</v>
      </c>
      <c r="B1365" t="s">
        <v>1803</v>
      </c>
      <c r="C1365" t="s">
        <v>1251</v>
      </c>
    </row>
    <row r="1366" spans="1:3">
      <c r="A1366">
        <v>2709869</v>
      </c>
      <c r="C1366" t="s">
        <v>1251</v>
      </c>
    </row>
    <row r="1367" spans="1:3">
      <c r="A1367">
        <v>1100000</v>
      </c>
      <c r="B1367" t="s">
        <v>1803</v>
      </c>
      <c r="C1367" t="s">
        <v>1251</v>
      </c>
    </row>
    <row r="1368" spans="1:3">
      <c r="A1368">
        <v>220000</v>
      </c>
      <c r="B1368" t="s">
        <v>1803</v>
      </c>
      <c r="C1368" t="s">
        <v>1251</v>
      </c>
    </row>
    <row r="1369" spans="1:3">
      <c r="A1369">
        <v>389639</v>
      </c>
      <c r="B1369" t="s">
        <v>1803</v>
      </c>
      <c r="C1369" t="s">
        <v>1251</v>
      </c>
    </row>
    <row r="1370" spans="1:3">
      <c r="A1370">
        <v>1000230</v>
      </c>
      <c r="B1370" t="s">
        <v>1803</v>
      </c>
      <c r="C1370" t="s">
        <v>1251</v>
      </c>
    </row>
    <row r="1371" spans="1:3">
      <c r="A1371">
        <v>565325</v>
      </c>
      <c r="C1371" t="s">
        <v>1251</v>
      </c>
    </row>
    <row r="1372" spans="1:3">
      <c r="A1372">
        <v>565325</v>
      </c>
      <c r="B1372" t="s">
        <v>1803</v>
      </c>
      <c r="C1372" t="s">
        <v>1251</v>
      </c>
    </row>
    <row r="1373" spans="1:3">
      <c r="A1373">
        <v>261901.5</v>
      </c>
      <c r="C1373" t="s">
        <v>1251</v>
      </c>
    </row>
    <row r="1374" spans="1:3">
      <c r="A1374">
        <v>261901.5</v>
      </c>
      <c r="B1374" t="s">
        <v>1803</v>
      </c>
      <c r="C1374" t="s">
        <v>1251</v>
      </c>
    </row>
    <row r="1375" spans="1:3">
      <c r="A1375">
        <v>1987650</v>
      </c>
      <c r="C1375" t="s">
        <v>1251</v>
      </c>
    </row>
    <row r="1376" spans="1:3">
      <c r="A1376">
        <v>406100</v>
      </c>
      <c r="B1376" t="s">
        <v>1803</v>
      </c>
      <c r="C1376" t="s">
        <v>1251</v>
      </c>
    </row>
    <row r="1377" spans="1:3">
      <c r="A1377">
        <v>481500</v>
      </c>
      <c r="B1377" t="s">
        <v>1803</v>
      </c>
      <c r="C1377" t="s">
        <v>1251</v>
      </c>
    </row>
    <row r="1378" spans="1:3">
      <c r="A1378">
        <v>300050</v>
      </c>
      <c r="B1378" t="s">
        <v>1803</v>
      </c>
      <c r="C1378" t="s">
        <v>1251</v>
      </c>
    </row>
    <row r="1379" spans="1:3">
      <c r="A1379">
        <v>800000</v>
      </c>
      <c r="B1379" t="s">
        <v>1803</v>
      </c>
      <c r="C1379" t="s">
        <v>1251</v>
      </c>
    </row>
    <row r="1380" spans="1:3">
      <c r="A1380">
        <v>1834178</v>
      </c>
      <c r="C1380" t="s">
        <v>1251</v>
      </c>
    </row>
    <row r="1381" spans="1:3">
      <c r="A1381">
        <v>1834178</v>
      </c>
      <c r="B1381" t="s">
        <v>1803</v>
      </c>
      <c r="C1381" t="s">
        <v>1251</v>
      </c>
    </row>
    <row r="1382" spans="1:3">
      <c r="A1382">
        <v>1400000</v>
      </c>
      <c r="C1382" t="s">
        <v>1251</v>
      </c>
    </row>
    <row r="1383" spans="1:3">
      <c r="A1383">
        <v>1400000</v>
      </c>
      <c r="B1383" t="s">
        <v>1803</v>
      </c>
      <c r="C1383" t="s">
        <v>1251</v>
      </c>
    </row>
    <row r="1384" spans="1:3">
      <c r="A1384">
        <v>403167</v>
      </c>
      <c r="C1384" t="s">
        <v>1251</v>
      </c>
    </row>
    <row r="1385" spans="1:3">
      <c r="A1385">
        <v>403167</v>
      </c>
      <c r="B1385" t="s">
        <v>1803</v>
      </c>
      <c r="C1385" t="s">
        <v>1251</v>
      </c>
    </row>
    <row r="1386" spans="1:3">
      <c r="A1386">
        <v>950000</v>
      </c>
      <c r="C1386" t="s">
        <v>1251</v>
      </c>
    </row>
    <row r="1387" spans="1:3">
      <c r="A1387">
        <v>950000</v>
      </c>
      <c r="B1387" t="s">
        <v>1803</v>
      </c>
      <c r="C1387" t="s">
        <v>1251</v>
      </c>
    </row>
    <row r="1388" spans="1:3">
      <c r="A1388">
        <v>14231496.5</v>
      </c>
      <c r="C1388" t="s">
        <v>1251</v>
      </c>
    </row>
    <row r="1389" spans="1:3">
      <c r="C1389" t="s">
        <v>1251</v>
      </c>
    </row>
    <row r="1390" spans="1:3">
      <c r="C1390" t="s">
        <v>1251</v>
      </c>
    </row>
    <row r="1391" spans="1:3">
      <c r="A1391">
        <v>172151840</v>
      </c>
      <c r="C1391" t="s">
        <v>1251</v>
      </c>
    </row>
    <row r="1392" spans="1:3">
      <c r="A1392">
        <v>120000000</v>
      </c>
      <c r="B1392" t="s">
        <v>1803</v>
      </c>
      <c r="C1392" t="s">
        <v>1251</v>
      </c>
    </row>
    <row r="1393" spans="1:3">
      <c r="A1393">
        <v>42151840</v>
      </c>
      <c r="B1393" t="s">
        <v>1803</v>
      </c>
      <c r="C1393" t="s">
        <v>1251</v>
      </c>
    </row>
    <row r="1394" spans="1:3">
      <c r="A1394">
        <v>5000000</v>
      </c>
      <c r="B1394" t="s">
        <v>1803</v>
      </c>
      <c r="C1394" t="s">
        <v>1251</v>
      </c>
    </row>
    <row r="1395" spans="1:3">
      <c r="A1395">
        <v>5000000</v>
      </c>
      <c r="B1395" t="s">
        <v>1803</v>
      </c>
      <c r="C1395" t="s">
        <v>1251</v>
      </c>
    </row>
    <row r="1396" spans="1:3">
      <c r="A1396">
        <v>172151840</v>
      </c>
      <c r="C1396" t="s">
        <v>1251</v>
      </c>
    </row>
    <row r="1397" spans="1:3">
      <c r="A1397">
        <v>186383336.5</v>
      </c>
      <c r="C1397" t="s">
        <v>1251</v>
      </c>
    </row>
    <row r="1398" spans="1:3">
      <c r="A1398">
        <v>139813158</v>
      </c>
      <c r="C1398" t="s">
        <v>1251</v>
      </c>
    </row>
    <row r="1399" spans="1:3">
      <c r="A1399">
        <v>556280836</v>
      </c>
      <c r="C1399" t="s">
        <v>1251</v>
      </c>
    </row>
    <row r="1400" spans="1:3">
      <c r="A1400">
        <v>696093994</v>
      </c>
      <c r="C1400" t="s">
        <v>1251</v>
      </c>
    </row>
    <row r="1401" spans="1:3">
      <c r="C1401" t="s">
        <v>1251</v>
      </c>
    </row>
    <row r="1404" spans="1:3">
      <c r="C1404" t="s">
        <v>1252</v>
      </c>
    </row>
    <row r="1405" spans="1:3">
      <c r="A1405">
        <v>788674582.5</v>
      </c>
      <c r="C1405" t="s">
        <v>1252</v>
      </c>
    </row>
    <row r="1406" spans="1:3">
      <c r="A1406">
        <v>788141583</v>
      </c>
      <c r="B1406" t="s">
        <v>1803</v>
      </c>
      <c r="C1406" t="s">
        <v>1252</v>
      </c>
    </row>
    <row r="1407" spans="1:3">
      <c r="A1407">
        <v>532999.5</v>
      </c>
      <c r="B1407" t="s">
        <v>1803</v>
      </c>
      <c r="C1407" t="s">
        <v>1252</v>
      </c>
    </row>
    <row r="1408" spans="1:3">
      <c r="A1408">
        <v>423689</v>
      </c>
      <c r="C1408" t="s">
        <v>1252</v>
      </c>
    </row>
    <row r="1409" spans="1:3">
      <c r="A1409">
        <v>219126</v>
      </c>
      <c r="B1409" t="s">
        <v>1803</v>
      </c>
      <c r="C1409" t="s">
        <v>1252</v>
      </c>
    </row>
    <row r="1410" spans="1:3">
      <c r="A1410">
        <v>204563</v>
      </c>
      <c r="B1410" t="s">
        <v>1803</v>
      </c>
      <c r="C1410" t="s">
        <v>1252</v>
      </c>
    </row>
    <row r="1411" spans="1:3">
      <c r="A1411">
        <v>253689</v>
      </c>
      <c r="C1411" t="s">
        <v>1252</v>
      </c>
    </row>
    <row r="1412" spans="1:3">
      <c r="A1412">
        <v>253689</v>
      </c>
      <c r="B1412" t="s">
        <v>1803</v>
      </c>
      <c r="C1412" t="s">
        <v>1252</v>
      </c>
    </row>
    <row r="1413" spans="1:3">
      <c r="A1413">
        <v>1724530.868</v>
      </c>
      <c r="C1413" t="s">
        <v>1252</v>
      </c>
    </row>
    <row r="1414" spans="1:3">
      <c r="A1414">
        <v>500950</v>
      </c>
      <c r="B1414" t="s">
        <v>1803</v>
      </c>
      <c r="C1414" t="s">
        <v>1252</v>
      </c>
    </row>
    <row r="1415" spans="1:3">
      <c r="A1415">
        <v>501215.46799999999</v>
      </c>
      <c r="B1415" t="s">
        <v>1803</v>
      </c>
      <c r="C1415" t="s">
        <v>1252</v>
      </c>
    </row>
    <row r="1416" spans="1:3">
      <c r="A1416">
        <v>722365.4</v>
      </c>
      <c r="B1416" t="s">
        <v>1803</v>
      </c>
      <c r="C1416" t="s">
        <v>1252</v>
      </c>
    </row>
    <row r="1417" spans="1:3">
      <c r="A1417">
        <v>590000</v>
      </c>
      <c r="C1417" t="s">
        <v>1252</v>
      </c>
    </row>
    <row r="1418" spans="1:3">
      <c r="A1418">
        <v>233980</v>
      </c>
      <c r="B1418" t="s">
        <v>1803</v>
      </c>
      <c r="C1418" t="s">
        <v>1252</v>
      </c>
    </row>
    <row r="1419" spans="1:3">
      <c r="A1419">
        <v>356020</v>
      </c>
      <c r="B1419" t="s">
        <v>1803</v>
      </c>
      <c r="C1419" t="s">
        <v>1252</v>
      </c>
    </row>
    <row r="1420" spans="1:3">
      <c r="A1420">
        <v>1932723</v>
      </c>
      <c r="C1420" t="s">
        <v>1252</v>
      </c>
    </row>
    <row r="1421" spans="1:3">
      <c r="A1421">
        <v>227281</v>
      </c>
      <c r="B1421" t="s">
        <v>1803</v>
      </c>
      <c r="C1421" t="s">
        <v>1252</v>
      </c>
    </row>
    <row r="1422" spans="1:3">
      <c r="A1422">
        <v>108058</v>
      </c>
      <c r="B1422" t="s">
        <v>1803</v>
      </c>
      <c r="C1422" t="s">
        <v>1252</v>
      </c>
    </row>
    <row r="1423" spans="1:3">
      <c r="A1423">
        <v>271105</v>
      </c>
      <c r="B1423" t="s">
        <v>1803</v>
      </c>
      <c r="C1423" t="s">
        <v>1252</v>
      </c>
    </row>
    <row r="1424" spans="1:3">
      <c r="A1424">
        <v>1326279</v>
      </c>
      <c r="B1424" t="s">
        <v>1803</v>
      </c>
      <c r="C1424" t="s">
        <v>1252</v>
      </c>
    </row>
    <row r="1425" spans="1:3">
      <c r="A1425">
        <v>1656157.5</v>
      </c>
      <c r="C1425" t="s">
        <v>1252</v>
      </c>
    </row>
    <row r="1426" spans="1:3">
      <c r="A1426">
        <v>526227.5</v>
      </c>
      <c r="B1426" t="s">
        <v>1803</v>
      </c>
      <c r="C1426" t="s">
        <v>1252</v>
      </c>
    </row>
    <row r="1427" spans="1:3">
      <c r="A1427">
        <v>243550</v>
      </c>
      <c r="B1427" t="s">
        <v>1803</v>
      </c>
      <c r="C1427" t="s">
        <v>1252</v>
      </c>
    </row>
    <row r="1428" spans="1:3">
      <c r="A1428">
        <v>375450</v>
      </c>
      <c r="B1428" t="s">
        <v>1803</v>
      </c>
      <c r="C1428" t="s">
        <v>1252</v>
      </c>
    </row>
    <row r="1429" spans="1:3">
      <c r="A1429">
        <v>510930</v>
      </c>
      <c r="B1429" t="s">
        <v>1803</v>
      </c>
      <c r="C1429" t="s">
        <v>1252</v>
      </c>
    </row>
    <row r="1430" spans="1:3">
      <c r="A1430">
        <v>637278.6</v>
      </c>
      <c r="C1430" t="s">
        <v>1252</v>
      </c>
    </row>
    <row r="1431" spans="1:3">
      <c r="A1431">
        <v>324173.59999999998</v>
      </c>
      <c r="B1431" t="s">
        <v>1803</v>
      </c>
      <c r="C1431" t="s">
        <v>1252</v>
      </c>
    </row>
    <row r="1432" spans="1:3">
      <c r="A1432">
        <v>313105</v>
      </c>
      <c r="B1432" t="s">
        <v>1803</v>
      </c>
      <c r="C1432" t="s">
        <v>1252</v>
      </c>
    </row>
    <row r="1433" spans="1:3">
      <c r="A1433">
        <v>58000</v>
      </c>
      <c r="C1433" t="s">
        <v>1252</v>
      </c>
    </row>
    <row r="1434" spans="1:3">
      <c r="A1434">
        <v>58000</v>
      </c>
      <c r="B1434" t="s">
        <v>1803</v>
      </c>
      <c r="C1434" t="s">
        <v>1252</v>
      </c>
    </row>
    <row r="1435" spans="1:3">
      <c r="A1435">
        <v>531862.19999999995</v>
      </c>
      <c r="C1435" t="s">
        <v>1252</v>
      </c>
    </row>
    <row r="1436" spans="1:3">
      <c r="A1436">
        <v>531862.19999999995</v>
      </c>
      <c r="B1436" t="s">
        <v>1803</v>
      </c>
      <c r="C1436" t="s">
        <v>1252</v>
      </c>
    </row>
    <row r="1437" spans="1:3">
      <c r="A1437">
        <v>1144803</v>
      </c>
      <c r="C1437" t="s">
        <v>1252</v>
      </c>
    </row>
    <row r="1438" spans="1:3">
      <c r="A1438">
        <v>1144803</v>
      </c>
      <c r="B1438" t="s">
        <v>1803</v>
      </c>
      <c r="C1438" t="s">
        <v>1252</v>
      </c>
    </row>
    <row r="1439" spans="1:3">
      <c r="A1439">
        <v>1500000</v>
      </c>
      <c r="C1439" t="s">
        <v>1252</v>
      </c>
    </row>
    <row r="1440" spans="1:3">
      <c r="A1440">
        <v>1500000</v>
      </c>
      <c r="B1440" t="s">
        <v>1803</v>
      </c>
      <c r="C1440" t="s">
        <v>1252</v>
      </c>
    </row>
    <row r="1441" spans="1:3">
      <c r="A1441">
        <v>947473.6</v>
      </c>
      <c r="C1441" t="s">
        <v>1252</v>
      </c>
    </row>
    <row r="1442" spans="1:3">
      <c r="A1442">
        <v>947473.6</v>
      </c>
      <c r="B1442" t="s">
        <v>1803</v>
      </c>
      <c r="C1442" t="s">
        <v>1252</v>
      </c>
    </row>
    <row r="1443" spans="1:3">
      <c r="A1443">
        <v>685980</v>
      </c>
      <c r="C1443" t="s">
        <v>1252</v>
      </c>
    </row>
    <row r="1444" spans="1:3">
      <c r="A1444">
        <v>685980</v>
      </c>
      <c r="B1444" t="s">
        <v>1803</v>
      </c>
      <c r="C1444" t="s">
        <v>1252</v>
      </c>
    </row>
    <row r="1445" spans="1:3">
      <c r="A1445">
        <v>560000</v>
      </c>
      <c r="C1445" t="s">
        <v>1252</v>
      </c>
    </row>
    <row r="1446" spans="1:3">
      <c r="A1446">
        <v>560000</v>
      </c>
      <c r="B1446" t="s">
        <v>1803</v>
      </c>
      <c r="C1446" t="s">
        <v>1252</v>
      </c>
    </row>
    <row r="1447" spans="1:3">
      <c r="A1447">
        <v>801320769.26800013</v>
      </c>
      <c r="C1447" t="s">
        <v>1252</v>
      </c>
    </row>
    <row r="1448" spans="1:3">
      <c r="C1448" t="s">
        <v>1252</v>
      </c>
    </row>
    <row r="1449" spans="1:3">
      <c r="C1449" t="s">
        <v>1252</v>
      </c>
    </row>
    <row r="1450" spans="1:3">
      <c r="C1450" t="s">
        <v>1252</v>
      </c>
    </row>
    <row r="1451" spans="1:3">
      <c r="C1451" t="s">
        <v>1252</v>
      </c>
    </row>
    <row r="1452" spans="1:3">
      <c r="C1452" t="s">
        <v>1252</v>
      </c>
    </row>
    <row r="1453" spans="1:3">
      <c r="A1453">
        <v>0</v>
      </c>
      <c r="C1453" t="s">
        <v>1252</v>
      </c>
    </row>
    <row r="1454" spans="1:3">
      <c r="A1454">
        <v>0</v>
      </c>
      <c r="C1454" t="s">
        <v>1252</v>
      </c>
    </row>
    <row r="1455" spans="1:3">
      <c r="A1455">
        <v>423300</v>
      </c>
      <c r="C1455" t="s">
        <v>1252</v>
      </c>
    </row>
    <row r="1456" spans="1:3">
      <c r="A1456">
        <v>423300</v>
      </c>
      <c r="B1456" t="s">
        <v>1803</v>
      </c>
      <c r="C1456" t="s">
        <v>1252</v>
      </c>
    </row>
    <row r="1457" spans="1:3">
      <c r="A1457">
        <v>2551550</v>
      </c>
      <c r="C1457" t="s">
        <v>1252</v>
      </c>
    </row>
    <row r="1458" spans="1:3">
      <c r="A1458">
        <v>881400</v>
      </c>
      <c r="B1458" t="s">
        <v>1803</v>
      </c>
      <c r="C1458" t="s">
        <v>1252</v>
      </c>
    </row>
    <row r="1459" spans="1:3">
      <c r="A1459">
        <v>803200</v>
      </c>
      <c r="B1459" t="s">
        <v>1803</v>
      </c>
      <c r="C1459" t="s">
        <v>1252</v>
      </c>
    </row>
    <row r="1460" spans="1:3">
      <c r="A1460">
        <v>866950</v>
      </c>
      <c r="B1460" t="s">
        <v>1803</v>
      </c>
      <c r="C1460" t="s">
        <v>1252</v>
      </c>
    </row>
    <row r="1461" spans="1:3">
      <c r="A1461">
        <v>790000</v>
      </c>
      <c r="C1461" t="s">
        <v>1252</v>
      </c>
    </row>
    <row r="1462" spans="1:3">
      <c r="A1462">
        <v>333980</v>
      </c>
      <c r="B1462" t="s">
        <v>1803</v>
      </c>
      <c r="C1462" t="s">
        <v>1252</v>
      </c>
    </row>
    <row r="1463" spans="1:3">
      <c r="A1463">
        <v>456020</v>
      </c>
      <c r="B1463" t="s">
        <v>1803</v>
      </c>
      <c r="C1463" t="s">
        <v>1252</v>
      </c>
    </row>
    <row r="1464" spans="1:3">
      <c r="A1464">
        <v>877444</v>
      </c>
      <c r="C1464" t="s">
        <v>1252</v>
      </c>
    </row>
    <row r="1465" spans="1:3">
      <c r="A1465">
        <v>327281</v>
      </c>
      <c r="B1465" t="s">
        <v>1803</v>
      </c>
      <c r="C1465" t="s">
        <v>1252</v>
      </c>
    </row>
    <row r="1466" spans="1:3">
      <c r="A1466">
        <v>208058</v>
      </c>
      <c r="B1466" t="s">
        <v>1803</v>
      </c>
      <c r="C1466" t="s">
        <v>1252</v>
      </c>
    </row>
    <row r="1467" spans="1:3">
      <c r="A1467">
        <v>342105</v>
      </c>
      <c r="B1467" t="s">
        <v>1803</v>
      </c>
      <c r="C1467" t="s">
        <v>1252</v>
      </c>
    </row>
    <row r="1468" spans="1:3">
      <c r="A1468">
        <v>2756335</v>
      </c>
      <c r="C1468" t="s">
        <v>1252</v>
      </c>
    </row>
    <row r="1469" spans="1:3">
      <c r="A1469">
        <v>619050</v>
      </c>
      <c r="B1469" t="s">
        <v>1803</v>
      </c>
      <c r="C1469" t="s">
        <v>1252</v>
      </c>
    </row>
    <row r="1470" spans="1:3">
      <c r="A1470">
        <v>323350</v>
      </c>
      <c r="B1470" t="s">
        <v>1803</v>
      </c>
      <c r="C1470" t="s">
        <v>1252</v>
      </c>
    </row>
    <row r="1471" spans="1:3">
      <c r="A1471">
        <v>440895</v>
      </c>
      <c r="B1471" t="s">
        <v>1803</v>
      </c>
      <c r="C1471" t="s">
        <v>1252</v>
      </c>
    </row>
    <row r="1472" spans="1:3">
      <c r="A1472">
        <v>773040</v>
      </c>
      <c r="B1472" t="s">
        <v>1803</v>
      </c>
      <c r="C1472" t="s">
        <v>1252</v>
      </c>
    </row>
    <row r="1473" spans="1:3">
      <c r="A1473">
        <v>600000</v>
      </c>
      <c r="B1473" t="s">
        <v>1803</v>
      </c>
      <c r="C1473" t="s">
        <v>1252</v>
      </c>
    </row>
    <row r="1474" spans="1:3">
      <c r="A1474">
        <v>1125920</v>
      </c>
      <c r="C1474" t="s">
        <v>1252</v>
      </c>
    </row>
    <row r="1475" spans="1:3">
      <c r="A1475">
        <v>548290</v>
      </c>
      <c r="B1475" t="s">
        <v>1803</v>
      </c>
      <c r="C1475" t="s">
        <v>1252</v>
      </c>
    </row>
    <row r="1476" spans="1:3">
      <c r="A1476">
        <v>577630</v>
      </c>
      <c r="B1476" t="s">
        <v>1803</v>
      </c>
      <c r="C1476" t="s">
        <v>1252</v>
      </c>
    </row>
    <row r="1477" spans="1:3">
      <c r="A1477">
        <v>1570638</v>
      </c>
      <c r="C1477" t="s">
        <v>1252</v>
      </c>
    </row>
    <row r="1478" spans="1:3">
      <c r="A1478">
        <v>639416</v>
      </c>
      <c r="B1478" t="s">
        <v>1803</v>
      </c>
      <c r="C1478" t="s">
        <v>1252</v>
      </c>
    </row>
    <row r="1479" spans="1:3">
      <c r="A1479">
        <v>674970</v>
      </c>
      <c r="B1479" t="s">
        <v>1803</v>
      </c>
      <c r="C1479" t="s">
        <v>1252</v>
      </c>
    </row>
    <row r="1480" spans="1:3">
      <c r="A1480">
        <v>256252</v>
      </c>
      <c r="B1480" t="s">
        <v>1803</v>
      </c>
      <c r="C1480" t="s">
        <v>1252</v>
      </c>
    </row>
    <row r="1481" spans="1:3">
      <c r="A1481">
        <v>1829380</v>
      </c>
      <c r="C1481" t="s">
        <v>1252</v>
      </c>
    </row>
    <row r="1482" spans="1:3">
      <c r="A1482">
        <v>1829380</v>
      </c>
      <c r="B1482" t="s">
        <v>1803</v>
      </c>
      <c r="C1482" t="s">
        <v>1252</v>
      </c>
    </row>
    <row r="1483" spans="1:3">
      <c r="A1483">
        <v>2943707</v>
      </c>
      <c r="C1483" t="s">
        <v>1252</v>
      </c>
    </row>
    <row r="1484" spans="1:3">
      <c r="A1484">
        <v>2693707</v>
      </c>
      <c r="B1484" t="s">
        <v>1803</v>
      </c>
      <c r="C1484" t="s">
        <v>1252</v>
      </c>
    </row>
    <row r="1485" spans="1:3">
      <c r="A1485">
        <v>250000</v>
      </c>
      <c r="B1485" t="s">
        <v>1803</v>
      </c>
      <c r="C1485" t="s">
        <v>1252</v>
      </c>
    </row>
    <row r="1486" spans="1:3">
      <c r="A1486">
        <v>1300000</v>
      </c>
      <c r="C1486" t="s">
        <v>1252</v>
      </c>
    </row>
    <row r="1487" spans="1:3">
      <c r="A1487">
        <v>1300000</v>
      </c>
      <c r="B1487" t="s">
        <v>1803</v>
      </c>
      <c r="C1487" t="s">
        <v>1252</v>
      </c>
    </row>
    <row r="1488" spans="1:3">
      <c r="A1488">
        <v>800000</v>
      </c>
      <c r="C1488" t="s">
        <v>1252</v>
      </c>
    </row>
    <row r="1489" spans="1:3">
      <c r="A1489">
        <v>800000</v>
      </c>
      <c r="B1489" t="s">
        <v>1803</v>
      </c>
      <c r="C1489" t="s">
        <v>1252</v>
      </c>
    </row>
    <row r="1490" spans="1:3">
      <c r="A1490">
        <v>90000000</v>
      </c>
      <c r="C1490" t="s">
        <v>1252</v>
      </c>
    </row>
    <row r="1491" spans="1:3">
      <c r="A1491">
        <v>90000000</v>
      </c>
      <c r="B1491" t="s">
        <v>1803</v>
      </c>
      <c r="C1491" t="s">
        <v>1252</v>
      </c>
    </row>
    <row r="1492" spans="1:3">
      <c r="A1492">
        <v>2031726.27859836</v>
      </c>
      <c r="C1492" t="s">
        <v>1252</v>
      </c>
    </row>
    <row r="1493" spans="1:3">
      <c r="A1493">
        <v>2031726.27859836</v>
      </c>
      <c r="B1493" t="s">
        <v>1803</v>
      </c>
      <c r="C1493" t="s">
        <v>1252</v>
      </c>
    </row>
    <row r="1494" spans="1:3">
      <c r="A1494">
        <v>2272001</v>
      </c>
      <c r="C1494" t="s">
        <v>1252</v>
      </c>
    </row>
    <row r="1495" spans="1:3">
      <c r="A1495">
        <v>2272001</v>
      </c>
      <c r="B1495" t="s">
        <v>1803</v>
      </c>
      <c r="C1495" t="s">
        <v>1252</v>
      </c>
    </row>
    <row r="1496" spans="1:3">
      <c r="A1496">
        <v>111272001.27859835</v>
      </c>
      <c r="C1496" t="s">
        <v>1252</v>
      </c>
    </row>
    <row r="1497" spans="1:3">
      <c r="C1497" t="s">
        <v>1252</v>
      </c>
    </row>
    <row r="1498" spans="1:3">
      <c r="C1498" t="s">
        <v>1252</v>
      </c>
    </row>
    <row r="1499" spans="1:3">
      <c r="A1499">
        <v>4737122.859149212</v>
      </c>
      <c r="C1499" t="s">
        <v>1252</v>
      </c>
    </row>
    <row r="1500" spans="1:3">
      <c r="A1500">
        <v>4737122.859149212</v>
      </c>
      <c r="B1500" t="s">
        <v>1803</v>
      </c>
      <c r="C1500" t="s">
        <v>1252</v>
      </c>
    </row>
    <row r="1501" spans="1:3">
      <c r="A1501">
        <v>13423575</v>
      </c>
      <c r="C1501" t="s">
        <v>1252</v>
      </c>
    </row>
    <row r="1502" spans="1:3">
      <c r="A1502">
        <v>3600000</v>
      </c>
      <c r="B1502" t="s">
        <v>1803</v>
      </c>
      <c r="C1502" t="s">
        <v>1252</v>
      </c>
    </row>
    <row r="1503" spans="1:3">
      <c r="A1503">
        <v>5823575</v>
      </c>
      <c r="B1503" t="s">
        <v>1803</v>
      </c>
      <c r="C1503" t="s">
        <v>1252</v>
      </c>
    </row>
    <row r="1504" spans="1:3">
      <c r="A1504">
        <v>4000000</v>
      </c>
      <c r="B1504" t="s">
        <v>1803</v>
      </c>
      <c r="C1504" t="s">
        <v>1252</v>
      </c>
    </row>
    <row r="1505" spans="1:3">
      <c r="A1505">
        <v>0</v>
      </c>
      <c r="C1505" t="s">
        <v>1252</v>
      </c>
    </row>
    <row r="1506" spans="1:3">
      <c r="A1506">
        <v>30000000</v>
      </c>
      <c r="C1506" t="s">
        <v>1252</v>
      </c>
    </row>
    <row r="1507" spans="1:3">
      <c r="A1507">
        <v>30000000</v>
      </c>
      <c r="B1507" t="s">
        <v>1803</v>
      </c>
      <c r="C1507" t="s">
        <v>1252</v>
      </c>
    </row>
    <row r="1508" spans="1:3">
      <c r="A1508">
        <v>48160697.85914921</v>
      </c>
      <c r="C1508" t="s">
        <v>1252</v>
      </c>
    </row>
    <row r="1509" spans="1:3">
      <c r="A1509">
        <v>159432699.13774756</v>
      </c>
      <c r="C1509" t="s">
        <v>1252</v>
      </c>
    </row>
    <row r="1510" spans="1:3">
      <c r="C1510" t="s">
        <v>1252</v>
      </c>
    </row>
    <row r="1511" spans="1:3">
      <c r="C1511" t="s">
        <v>1252</v>
      </c>
    </row>
    <row r="1512" spans="1:3">
      <c r="C1512" t="s">
        <v>1252</v>
      </c>
    </row>
    <row r="1513" spans="1:3">
      <c r="C1513" t="s">
        <v>1252</v>
      </c>
    </row>
    <row r="1514" spans="1:3">
      <c r="C1514" t="s">
        <v>1252</v>
      </c>
    </row>
    <row r="1515" spans="1:3">
      <c r="A1515">
        <v>4500000</v>
      </c>
      <c r="C1515" t="s">
        <v>1252</v>
      </c>
    </row>
    <row r="1516" spans="1:3">
      <c r="A1516">
        <v>4500000</v>
      </c>
      <c r="B1516" t="s">
        <v>1803</v>
      </c>
      <c r="C1516" t="s">
        <v>1252</v>
      </c>
    </row>
    <row r="1517" spans="1:3">
      <c r="A1517">
        <v>0</v>
      </c>
      <c r="C1517" t="s">
        <v>1252</v>
      </c>
    </row>
    <row r="1518" spans="1:3">
      <c r="C1518" t="s">
        <v>1252</v>
      </c>
    </row>
    <row r="1519" spans="1:3">
      <c r="A1519">
        <v>855160</v>
      </c>
      <c r="C1519" t="s">
        <v>1252</v>
      </c>
    </row>
    <row r="1520" spans="1:3">
      <c r="A1520">
        <v>480000</v>
      </c>
      <c r="B1520" t="s">
        <v>1803</v>
      </c>
      <c r="C1520" t="s">
        <v>1252</v>
      </c>
    </row>
    <row r="1521" spans="1:3">
      <c r="A1521">
        <v>340360</v>
      </c>
      <c r="B1521" t="s">
        <v>1803</v>
      </c>
      <c r="C1521" t="s">
        <v>1252</v>
      </c>
    </row>
    <row r="1522" spans="1:3">
      <c r="A1522">
        <v>34800</v>
      </c>
      <c r="B1522" t="s">
        <v>1803</v>
      </c>
      <c r="C1522" t="s">
        <v>1252</v>
      </c>
    </row>
    <row r="1523" spans="1:3">
      <c r="A1523">
        <v>2280463.6800000002</v>
      </c>
      <c r="C1523" t="s">
        <v>1252</v>
      </c>
    </row>
    <row r="1524" spans="1:3">
      <c r="A1524">
        <v>591500</v>
      </c>
      <c r="B1524" t="s">
        <v>1803</v>
      </c>
      <c r="C1524" t="s">
        <v>1252</v>
      </c>
    </row>
    <row r="1525" spans="1:3">
      <c r="A1525">
        <v>684843.68</v>
      </c>
      <c r="B1525" t="s">
        <v>1803</v>
      </c>
      <c r="C1525" t="s">
        <v>1252</v>
      </c>
    </row>
    <row r="1526" spans="1:3">
      <c r="A1526">
        <v>764000</v>
      </c>
      <c r="B1526" t="s">
        <v>1803</v>
      </c>
      <c r="C1526" t="s">
        <v>1252</v>
      </c>
    </row>
    <row r="1527" spans="1:3">
      <c r="A1527">
        <v>240120</v>
      </c>
      <c r="B1527" t="s">
        <v>1803</v>
      </c>
      <c r="C1527" t="s">
        <v>1252</v>
      </c>
    </row>
    <row r="1528" spans="1:3">
      <c r="A1528">
        <v>810000</v>
      </c>
      <c r="C1528" t="s">
        <v>1252</v>
      </c>
    </row>
    <row r="1529" spans="1:3">
      <c r="A1529">
        <v>353980</v>
      </c>
      <c r="B1529" t="s">
        <v>1803</v>
      </c>
      <c r="C1529" t="s">
        <v>1252</v>
      </c>
    </row>
    <row r="1530" spans="1:3">
      <c r="A1530">
        <v>456020</v>
      </c>
      <c r="B1530" t="s">
        <v>1803</v>
      </c>
      <c r="C1530" t="s">
        <v>1252</v>
      </c>
    </row>
    <row r="1531" spans="1:3">
      <c r="A1531">
        <v>1852293</v>
      </c>
      <c r="C1531" t="s">
        <v>1252</v>
      </c>
    </row>
    <row r="1532" spans="1:3">
      <c r="A1532">
        <v>309620</v>
      </c>
      <c r="B1532" t="s">
        <v>1803</v>
      </c>
      <c r="C1532" t="s">
        <v>1252</v>
      </c>
    </row>
    <row r="1533" spans="1:3">
      <c r="A1533">
        <v>158000</v>
      </c>
      <c r="B1533" t="s">
        <v>1803</v>
      </c>
      <c r="C1533" t="s">
        <v>1252</v>
      </c>
    </row>
    <row r="1534" spans="1:3">
      <c r="A1534">
        <v>784673</v>
      </c>
      <c r="B1534" t="s">
        <v>1803</v>
      </c>
      <c r="C1534" t="s">
        <v>1252</v>
      </c>
    </row>
    <row r="1535" spans="1:3">
      <c r="A1535">
        <v>600000</v>
      </c>
      <c r="B1535" t="s">
        <v>1803</v>
      </c>
      <c r="C1535" t="s">
        <v>1252</v>
      </c>
    </row>
    <row r="1536" spans="1:3">
      <c r="A1536">
        <v>3870290</v>
      </c>
      <c r="C1536" t="s">
        <v>1252</v>
      </c>
    </row>
    <row r="1537" spans="1:3">
      <c r="A1537">
        <v>690000</v>
      </c>
      <c r="B1537" t="s">
        <v>1803</v>
      </c>
      <c r="C1537" t="s">
        <v>1252</v>
      </c>
    </row>
    <row r="1538" spans="1:3">
      <c r="A1538">
        <v>632290</v>
      </c>
      <c r="B1538" t="s">
        <v>1803</v>
      </c>
      <c r="C1538" t="s">
        <v>1252</v>
      </c>
    </row>
    <row r="1539" spans="1:3">
      <c r="A1539">
        <v>848000</v>
      </c>
      <c r="B1539" t="s">
        <v>1803</v>
      </c>
      <c r="C1539" t="s">
        <v>1252</v>
      </c>
    </row>
    <row r="1540" spans="1:3">
      <c r="A1540">
        <v>1700000</v>
      </c>
      <c r="B1540" t="s">
        <v>1803</v>
      </c>
      <c r="C1540" t="s">
        <v>1252</v>
      </c>
    </row>
    <row r="1541" spans="1:3">
      <c r="A1541">
        <v>2404000</v>
      </c>
      <c r="C1541" t="s">
        <v>1252</v>
      </c>
    </row>
    <row r="1542" spans="1:3">
      <c r="A1542">
        <v>864000</v>
      </c>
      <c r="B1542" t="s">
        <v>1803</v>
      </c>
      <c r="C1542" t="s">
        <v>1252</v>
      </c>
    </row>
    <row r="1543" spans="1:3">
      <c r="A1543">
        <v>1540000</v>
      </c>
      <c r="B1543" t="s">
        <v>1803</v>
      </c>
      <c r="C1543" t="s">
        <v>1252</v>
      </c>
    </row>
    <row r="1544" spans="1:3">
      <c r="A1544">
        <v>1494000</v>
      </c>
      <c r="C1544" t="s">
        <v>1252</v>
      </c>
    </row>
    <row r="1545" spans="1:3">
      <c r="A1545">
        <v>600000</v>
      </c>
      <c r="B1545" t="s">
        <v>1803</v>
      </c>
      <c r="C1545" t="s">
        <v>1252</v>
      </c>
    </row>
    <row r="1546" spans="1:3">
      <c r="A1546">
        <v>648000</v>
      </c>
      <c r="B1546" t="s">
        <v>1803</v>
      </c>
      <c r="C1546" t="s">
        <v>1252</v>
      </c>
    </row>
    <row r="1547" spans="1:3">
      <c r="A1547">
        <v>246000</v>
      </c>
      <c r="B1547" t="s">
        <v>1803</v>
      </c>
      <c r="C1547" t="s">
        <v>1252</v>
      </c>
    </row>
    <row r="1548" spans="1:3">
      <c r="A1548">
        <v>1854000</v>
      </c>
      <c r="C1548" t="s">
        <v>1252</v>
      </c>
    </row>
    <row r="1549" spans="1:3">
      <c r="A1549">
        <v>1854000</v>
      </c>
      <c r="B1549" t="s">
        <v>1803</v>
      </c>
      <c r="C1549" t="s">
        <v>1252</v>
      </c>
    </row>
    <row r="1550" spans="1:3">
      <c r="A1550">
        <v>236000</v>
      </c>
      <c r="C1550" t="s">
        <v>1252</v>
      </c>
    </row>
    <row r="1551" spans="1:3">
      <c r="A1551">
        <v>236000</v>
      </c>
      <c r="B1551" t="s">
        <v>1803</v>
      </c>
      <c r="C1551" t="s">
        <v>1252</v>
      </c>
    </row>
    <row r="1552" spans="1:3">
      <c r="A1552">
        <v>1247473.6000000001</v>
      </c>
      <c r="C1552" t="s">
        <v>1252</v>
      </c>
    </row>
    <row r="1553" spans="1:3">
      <c r="A1553">
        <v>1247473.6000000001</v>
      </c>
      <c r="B1553" t="s">
        <v>1803</v>
      </c>
      <c r="C1553" t="s">
        <v>1252</v>
      </c>
    </row>
    <row r="1554" spans="1:3">
      <c r="A1554">
        <v>1085980</v>
      </c>
      <c r="C1554" t="s">
        <v>1252</v>
      </c>
    </row>
    <row r="1555" spans="1:3">
      <c r="A1555">
        <v>1085980</v>
      </c>
      <c r="B1555" t="s">
        <v>1803</v>
      </c>
      <c r="C1555" t="s">
        <v>1252</v>
      </c>
    </row>
    <row r="1556" spans="1:3">
      <c r="A1556">
        <v>1006000</v>
      </c>
      <c r="C1556" t="s">
        <v>1252</v>
      </c>
    </row>
    <row r="1557" spans="1:3">
      <c r="A1557">
        <v>500000</v>
      </c>
      <c r="B1557" t="s">
        <v>1803</v>
      </c>
      <c r="C1557" t="s">
        <v>1252</v>
      </c>
    </row>
    <row r="1558" spans="1:3">
      <c r="A1558">
        <v>506000</v>
      </c>
      <c r="B1558" t="s">
        <v>1803</v>
      </c>
      <c r="C1558" t="s">
        <v>1252</v>
      </c>
    </row>
    <row r="1559" spans="1:3">
      <c r="A1559">
        <v>1500000</v>
      </c>
      <c r="C1559" t="s">
        <v>1252</v>
      </c>
    </row>
    <row r="1560" spans="1:3">
      <c r="A1560">
        <v>1500000</v>
      </c>
      <c r="B1560" t="s">
        <v>1803</v>
      </c>
      <c r="C1560" t="s">
        <v>1252</v>
      </c>
    </row>
    <row r="1561" spans="1:3">
      <c r="A1561">
        <v>24995660.280000001</v>
      </c>
      <c r="C1561" t="s">
        <v>1252</v>
      </c>
    </row>
    <row r="1562" spans="1:3">
      <c r="C1562" t="s">
        <v>1252</v>
      </c>
    </row>
    <row r="1563" spans="1:3">
      <c r="C1563" t="s">
        <v>1252</v>
      </c>
    </row>
    <row r="1564" spans="1:3">
      <c r="A1564">
        <v>2625207.12</v>
      </c>
      <c r="C1564" t="s">
        <v>1252</v>
      </c>
    </row>
    <row r="1565" spans="1:3">
      <c r="A1565">
        <v>2625207.12</v>
      </c>
      <c r="B1565" t="s">
        <v>1803</v>
      </c>
      <c r="C1565" t="s">
        <v>1252</v>
      </c>
    </row>
    <row r="1566" spans="1:3">
      <c r="A1566">
        <v>11195588</v>
      </c>
      <c r="C1566" t="s">
        <v>1252</v>
      </c>
    </row>
    <row r="1567" spans="1:3">
      <c r="A1567">
        <v>2000000</v>
      </c>
      <c r="B1567" t="s">
        <v>1803</v>
      </c>
      <c r="C1567" t="s">
        <v>1252</v>
      </c>
    </row>
    <row r="1568" spans="1:3">
      <c r="A1568">
        <v>3000000</v>
      </c>
      <c r="B1568" t="s">
        <v>1803</v>
      </c>
      <c r="C1568" t="s">
        <v>1252</v>
      </c>
    </row>
    <row r="1569" spans="1:3">
      <c r="A1569">
        <v>6128843</v>
      </c>
      <c r="B1569" t="s">
        <v>1803</v>
      </c>
      <c r="C1569" t="s">
        <v>1252</v>
      </c>
    </row>
    <row r="1570" spans="1:3">
      <c r="A1570">
        <v>66745</v>
      </c>
      <c r="B1570" t="s">
        <v>1803</v>
      </c>
      <c r="C1570" t="s">
        <v>1252</v>
      </c>
    </row>
    <row r="1571" spans="1:3">
      <c r="A1571">
        <v>13820795.120000001</v>
      </c>
      <c r="C1571" t="s">
        <v>1252</v>
      </c>
    </row>
    <row r="1572" spans="1:3">
      <c r="A1572">
        <v>38816455.400000006</v>
      </c>
      <c r="C1572" t="s">
        <v>1252</v>
      </c>
    </row>
    <row r="1573" spans="1:3">
      <c r="C1573" t="s">
        <v>1252</v>
      </c>
    </row>
    <row r="1574" spans="1:3">
      <c r="C1574" t="s">
        <v>1252</v>
      </c>
    </row>
    <row r="1575" spans="1:3">
      <c r="C1575" t="s">
        <v>1252</v>
      </c>
    </row>
    <row r="1576" spans="1:3">
      <c r="C1576" t="s">
        <v>1252</v>
      </c>
    </row>
    <row r="1577" spans="1:3">
      <c r="A1577">
        <v>996341.67999999993</v>
      </c>
      <c r="C1577" t="s">
        <v>1252</v>
      </c>
    </row>
    <row r="1578" spans="1:3">
      <c r="A1578">
        <v>319500</v>
      </c>
      <c r="B1578" t="s">
        <v>1803</v>
      </c>
      <c r="C1578" t="s">
        <v>1252</v>
      </c>
    </row>
    <row r="1579" spans="1:3">
      <c r="A1579">
        <v>312841.68</v>
      </c>
      <c r="B1579" t="s">
        <v>1803</v>
      </c>
      <c r="C1579" t="s">
        <v>1252</v>
      </c>
    </row>
    <row r="1580" spans="1:3">
      <c r="A1580">
        <v>364000</v>
      </c>
      <c r="B1580" t="s">
        <v>1803</v>
      </c>
      <c r="C1580" t="s">
        <v>1252</v>
      </c>
    </row>
    <row r="1581" spans="1:3">
      <c r="A1581">
        <v>18000000</v>
      </c>
      <c r="C1581" t="s">
        <v>1252</v>
      </c>
    </row>
    <row r="1582" spans="1:3">
      <c r="A1582">
        <v>18000000</v>
      </c>
      <c r="B1582" t="s">
        <v>1803</v>
      </c>
      <c r="C1582" t="s">
        <v>1252</v>
      </c>
    </row>
    <row r="1583" spans="1:3">
      <c r="A1583">
        <v>2000000</v>
      </c>
      <c r="C1583" t="s">
        <v>1252</v>
      </c>
    </row>
    <row r="1584" spans="1:3">
      <c r="A1584">
        <v>2000000</v>
      </c>
      <c r="B1584" t="s">
        <v>1803</v>
      </c>
      <c r="C1584" t="s">
        <v>1252</v>
      </c>
    </row>
    <row r="1585" spans="1:3">
      <c r="A1585">
        <v>20996341.68</v>
      </c>
      <c r="C1585" t="s">
        <v>1252</v>
      </c>
    </row>
    <row r="1586" spans="1:3">
      <c r="C1586" t="s">
        <v>1252</v>
      </c>
    </row>
    <row r="1587" spans="1:3">
      <c r="A1587">
        <v>2000000</v>
      </c>
      <c r="C1587" t="s">
        <v>1252</v>
      </c>
    </row>
    <row r="1588" spans="1:3">
      <c r="A1588">
        <v>2000000</v>
      </c>
      <c r="B1588" t="s">
        <v>1803</v>
      </c>
      <c r="C1588" t="s">
        <v>1252</v>
      </c>
    </row>
    <row r="1589" spans="1:3">
      <c r="A1589">
        <v>2000000</v>
      </c>
      <c r="C1589" t="s">
        <v>1252</v>
      </c>
    </row>
    <row r="1590" spans="1:3">
      <c r="A1590">
        <v>38816455.400000006</v>
      </c>
      <c r="C1590" t="s">
        <v>1252</v>
      </c>
    </row>
    <row r="1591" spans="1:3">
      <c r="A1591">
        <v>958584772.50659835</v>
      </c>
      <c r="C1591" t="s">
        <v>1252</v>
      </c>
    </row>
    <row r="1592" spans="1:3">
      <c r="A1592">
        <v>63981492.979149207</v>
      </c>
      <c r="C1592" t="s">
        <v>1252</v>
      </c>
    </row>
    <row r="1593" spans="1:3">
      <c r="A1593">
        <v>1022566265.4857476</v>
      </c>
      <c r="C1593" t="s">
        <v>1252</v>
      </c>
    </row>
    <row r="1594" spans="1:3">
      <c r="C1594" t="s">
        <v>1252</v>
      </c>
    </row>
    <row r="1598" spans="1:3">
      <c r="C1598" t="s">
        <v>1253</v>
      </c>
    </row>
    <row r="1599" spans="1:3">
      <c r="A1599">
        <v>155338312</v>
      </c>
      <c r="C1599" t="s">
        <v>1253</v>
      </c>
    </row>
    <row r="1600" spans="1:3">
      <c r="A1600">
        <v>155338312</v>
      </c>
      <c r="B1600" t="s">
        <v>1803</v>
      </c>
      <c r="C1600" t="s">
        <v>1253</v>
      </c>
    </row>
    <row r="1601" spans="1:3">
      <c r="A1601">
        <v>0</v>
      </c>
      <c r="B1601" t="s">
        <v>1803</v>
      </c>
      <c r="C1601" t="s">
        <v>1253</v>
      </c>
    </row>
    <row r="1602" spans="1:3">
      <c r="A1602">
        <v>1296000</v>
      </c>
      <c r="C1602" t="s">
        <v>1253</v>
      </c>
    </row>
    <row r="1603" spans="1:3">
      <c r="A1603">
        <v>1296000</v>
      </c>
      <c r="B1603" t="s">
        <v>1803</v>
      </c>
      <c r="C1603" t="s">
        <v>1253</v>
      </c>
    </row>
    <row r="1604" spans="1:3">
      <c r="A1604">
        <v>1800000</v>
      </c>
      <c r="C1604" t="s">
        <v>1253</v>
      </c>
    </row>
    <row r="1605" spans="1:3">
      <c r="A1605">
        <v>1200000</v>
      </c>
      <c r="B1605" t="s">
        <v>1803</v>
      </c>
      <c r="C1605" t="s">
        <v>1253</v>
      </c>
    </row>
    <row r="1606" spans="1:3">
      <c r="A1606">
        <v>600000</v>
      </c>
      <c r="B1606" t="s">
        <v>1803</v>
      </c>
      <c r="C1606" t="s">
        <v>1253</v>
      </c>
    </row>
    <row r="1607" spans="1:3">
      <c r="A1607">
        <v>346000</v>
      </c>
      <c r="C1607" t="s">
        <v>1253</v>
      </c>
    </row>
    <row r="1608" spans="1:3">
      <c r="A1608">
        <v>246000</v>
      </c>
      <c r="B1608" t="s">
        <v>1803</v>
      </c>
      <c r="C1608" t="s">
        <v>1253</v>
      </c>
    </row>
    <row r="1609" spans="1:3">
      <c r="A1609">
        <v>70000</v>
      </c>
      <c r="B1609" t="s">
        <v>1803</v>
      </c>
      <c r="C1609" t="s">
        <v>1253</v>
      </c>
    </row>
    <row r="1610" spans="1:3">
      <c r="A1610">
        <v>30000</v>
      </c>
      <c r="B1610" t="s">
        <v>1803</v>
      </c>
      <c r="C1610" t="s">
        <v>1253</v>
      </c>
    </row>
    <row r="1611" spans="1:3">
      <c r="A1611">
        <v>1200000</v>
      </c>
      <c r="C1611" t="s">
        <v>1253</v>
      </c>
    </row>
    <row r="1612" spans="1:3">
      <c r="A1612">
        <v>400000</v>
      </c>
      <c r="B1612" t="s">
        <v>1803</v>
      </c>
      <c r="C1612" t="s">
        <v>1253</v>
      </c>
    </row>
    <row r="1613" spans="1:3">
      <c r="A1613">
        <v>400000</v>
      </c>
      <c r="B1613" t="s">
        <v>1803</v>
      </c>
      <c r="C1613" t="s">
        <v>1253</v>
      </c>
    </row>
    <row r="1614" spans="1:3">
      <c r="A1614">
        <v>400000</v>
      </c>
      <c r="B1614" t="s">
        <v>1803</v>
      </c>
      <c r="C1614" t="s">
        <v>1253</v>
      </c>
    </row>
    <row r="1615" spans="1:3">
      <c r="A1615">
        <v>725000</v>
      </c>
      <c r="C1615" t="s">
        <v>1253</v>
      </c>
    </row>
    <row r="1616" spans="1:3">
      <c r="A1616">
        <v>290000</v>
      </c>
      <c r="B1616" t="s">
        <v>1803</v>
      </c>
      <c r="C1616" t="s">
        <v>1253</v>
      </c>
    </row>
    <row r="1617" spans="1:3">
      <c r="A1617">
        <v>290000</v>
      </c>
      <c r="B1617" t="s">
        <v>1803</v>
      </c>
      <c r="C1617" t="s">
        <v>1253</v>
      </c>
    </row>
    <row r="1618" spans="1:3">
      <c r="A1618">
        <v>145000</v>
      </c>
      <c r="B1618" t="s">
        <v>1803</v>
      </c>
      <c r="C1618" t="s">
        <v>1253</v>
      </c>
    </row>
    <row r="1619" spans="1:3">
      <c r="A1619">
        <v>1190000</v>
      </c>
      <c r="C1619" t="s">
        <v>1253</v>
      </c>
    </row>
    <row r="1620" spans="1:3">
      <c r="A1620">
        <v>290000</v>
      </c>
      <c r="B1620" t="s">
        <v>1803</v>
      </c>
      <c r="C1620" t="s">
        <v>1253</v>
      </c>
    </row>
    <row r="1621" spans="1:3">
      <c r="A1621">
        <v>65000</v>
      </c>
      <c r="B1621" t="s">
        <v>1803</v>
      </c>
      <c r="C1621" t="s">
        <v>1253</v>
      </c>
    </row>
    <row r="1622" spans="1:3">
      <c r="A1622">
        <v>835000</v>
      </c>
      <c r="B1622" t="s">
        <v>1803</v>
      </c>
      <c r="C1622" t="s">
        <v>1253</v>
      </c>
    </row>
    <row r="1623" spans="1:3">
      <c r="A1623">
        <v>400000</v>
      </c>
      <c r="C1623" t="s">
        <v>1253</v>
      </c>
    </row>
    <row r="1624" spans="1:3">
      <c r="A1624">
        <v>360000</v>
      </c>
      <c r="B1624" t="s">
        <v>1803</v>
      </c>
      <c r="C1624" t="s">
        <v>1253</v>
      </c>
    </row>
    <row r="1625" spans="1:3">
      <c r="A1625">
        <v>40000</v>
      </c>
      <c r="B1625" t="s">
        <v>1803</v>
      </c>
      <c r="C1625" t="s">
        <v>1253</v>
      </c>
    </row>
    <row r="1626" spans="1:3">
      <c r="A1626">
        <v>0</v>
      </c>
      <c r="C1626" t="s">
        <v>1253</v>
      </c>
    </row>
    <row r="1627" spans="1:3">
      <c r="A1627">
        <v>0</v>
      </c>
      <c r="C1627" t="s">
        <v>1253</v>
      </c>
    </row>
    <row r="1628" spans="1:3">
      <c r="A1628">
        <v>520000</v>
      </c>
      <c r="C1628" t="s">
        <v>1253</v>
      </c>
    </row>
    <row r="1629" spans="1:3">
      <c r="A1629">
        <v>120000</v>
      </c>
      <c r="B1629" t="s">
        <v>1803</v>
      </c>
      <c r="C1629" t="s">
        <v>1253</v>
      </c>
    </row>
    <row r="1630" spans="1:3">
      <c r="A1630">
        <v>400000</v>
      </c>
      <c r="B1630" t="s">
        <v>1803</v>
      </c>
      <c r="C1630" t="s">
        <v>1253</v>
      </c>
    </row>
    <row r="1631" spans="1:3">
      <c r="A1631">
        <v>600000</v>
      </c>
      <c r="C1631" t="s">
        <v>1253</v>
      </c>
    </row>
    <row r="1632" spans="1:3">
      <c r="A1632">
        <v>600000</v>
      </c>
      <c r="B1632" t="s">
        <v>1803</v>
      </c>
      <c r="C1632" t="s">
        <v>1253</v>
      </c>
    </row>
    <row r="1633" spans="1:3">
      <c r="A1633">
        <v>0</v>
      </c>
      <c r="C1633" t="s">
        <v>1253</v>
      </c>
    </row>
    <row r="1634" spans="1:3">
      <c r="C1634" t="s">
        <v>1253</v>
      </c>
    </row>
    <row r="1635" spans="1:3">
      <c r="A1635">
        <v>163415312</v>
      </c>
      <c r="C1635" t="s">
        <v>1253</v>
      </c>
    </row>
    <row r="1636" spans="1:3">
      <c r="C1636" t="s">
        <v>1253</v>
      </c>
    </row>
    <row r="1637" spans="1:3">
      <c r="C1637" t="s">
        <v>1253</v>
      </c>
    </row>
    <row r="1638" spans="1:3">
      <c r="C1638" t="s">
        <v>1253</v>
      </c>
    </row>
    <row r="1639" spans="1:3">
      <c r="C1639" t="s">
        <v>1253</v>
      </c>
    </row>
    <row r="1640" spans="1:3">
      <c r="A1640">
        <v>0</v>
      </c>
      <c r="C1640" t="s">
        <v>1253</v>
      </c>
    </row>
    <row r="1641" spans="1:3">
      <c r="A1641">
        <v>0</v>
      </c>
      <c r="C1641" t="s">
        <v>1253</v>
      </c>
    </row>
    <row r="1642" spans="1:3">
      <c r="A1642">
        <v>318000</v>
      </c>
      <c r="C1642" t="s">
        <v>1253</v>
      </c>
    </row>
    <row r="1643" spans="1:3">
      <c r="A1643">
        <v>248000</v>
      </c>
      <c r="B1643" t="s">
        <v>1803</v>
      </c>
      <c r="C1643" t="s">
        <v>1253</v>
      </c>
    </row>
    <row r="1644" spans="1:3">
      <c r="A1644">
        <v>60000</v>
      </c>
      <c r="B1644" t="s">
        <v>1803</v>
      </c>
      <c r="C1644" t="s">
        <v>1253</v>
      </c>
    </row>
    <row r="1645" spans="1:3">
      <c r="A1645">
        <v>10000</v>
      </c>
      <c r="B1645" t="s">
        <v>1803</v>
      </c>
      <c r="C1645" t="s">
        <v>1253</v>
      </c>
    </row>
    <row r="1646" spans="1:3">
      <c r="A1646">
        <v>1461300</v>
      </c>
      <c r="C1646" t="s">
        <v>1253</v>
      </c>
    </row>
    <row r="1647" spans="1:3">
      <c r="A1647">
        <v>400000</v>
      </c>
      <c r="B1647" t="s">
        <v>1803</v>
      </c>
      <c r="C1647" t="s">
        <v>1253</v>
      </c>
    </row>
    <row r="1648" spans="1:3">
      <c r="A1648">
        <v>678500</v>
      </c>
      <c r="B1648" t="s">
        <v>1803</v>
      </c>
      <c r="C1648" t="s">
        <v>1253</v>
      </c>
    </row>
    <row r="1649" spans="1:3">
      <c r="A1649">
        <v>382800</v>
      </c>
      <c r="B1649" t="s">
        <v>1803</v>
      </c>
      <c r="C1649" t="s">
        <v>1253</v>
      </c>
    </row>
    <row r="1650" spans="1:3">
      <c r="A1650">
        <v>400000</v>
      </c>
      <c r="C1650" t="s">
        <v>1253</v>
      </c>
    </row>
    <row r="1651" spans="1:3">
      <c r="A1651">
        <v>100000</v>
      </c>
      <c r="B1651" t="s">
        <v>1803</v>
      </c>
      <c r="C1651" t="s">
        <v>1253</v>
      </c>
    </row>
    <row r="1652" spans="1:3">
      <c r="A1652">
        <v>65000</v>
      </c>
      <c r="B1652" t="s">
        <v>1803</v>
      </c>
      <c r="C1652" t="s">
        <v>1253</v>
      </c>
    </row>
    <row r="1653" spans="1:3">
      <c r="A1653">
        <v>235000</v>
      </c>
      <c r="B1653" t="s">
        <v>1803</v>
      </c>
      <c r="C1653" t="s">
        <v>1253</v>
      </c>
    </row>
    <row r="1654" spans="1:3">
      <c r="A1654">
        <v>775000</v>
      </c>
      <c r="C1654" t="s">
        <v>1253</v>
      </c>
    </row>
    <row r="1655" spans="1:3">
      <c r="A1655">
        <v>75000</v>
      </c>
      <c r="B1655" t="s">
        <v>1803</v>
      </c>
      <c r="C1655" t="s">
        <v>1253</v>
      </c>
    </row>
    <row r="1656" spans="1:3">
      <c r="A1656">
        <v>100000</v>
      </c>
      <c r="B1656" t="s">
        <v>1803</v>
      </c>
      <c r="C1656" t="s">
        <v>1253</v>
      </c>
    </row>
    <row r="1657" spans="1:3">
      <c r="A1657">
        <v>180000</v>
      </c>
      <c r="B1657" t="s">
        <v>1803</v>
      </c>
      <c r="C1657" t="s">
        <v>1253</v>
      </c>
    </row>
    <row r="1658" spans="1:3">
      <c r="A1658">
        <v>420000</v>
      </c>
      <c r="B1658" t="s">
        <v>1803</v>
      </c>
      <c r="C1658" t="s">
        <v>1253</v>
      </c>
    </row>
    <row r="1659" spans="1:3">
      <c r="A1659">
        <v>340000</v>
      </c>
      <c r="C1659" t="s">
        <v>1253</v>
      </c>
    </row>
    <row r="1660" spans="1:3">
      <c r="A1660">
        <v>240000</v>
      </c>
      <c r="B1660" t="s">
        <v>1803</v>
      </c>
      <c r="C1660" t="s">
        <v>1253</v>
      </c>
    </row>
    <row r="1661" spans="1:3">
      <c r="A1661">
        <v>100000</v>
      </c>
      <c r="B1661" t="s">
        <v>1803</v>
      </c>
      <c r="C1661" t="s">
        <v>1253</v>
      </c>
    </row>
    <row r="1662" spans="1:3">
      <c r="A1662">
        <v>638000</v>
      </c>
      <c r="C1662" t="s">
        <v>1253</v>
      </c>
    </row>
    <row r="1663" spans="1:3">
      <c r="A1663">
        <v>255200</v>
      </c>
      <c r="B1663" t="s">
        <v>1803</v>
      </c>
      <c r="C1663" t="s">
        <v>1253</v>
      </c>
    </row>
    <row r="1664" spans="1:3">
      <c r="A1664">
        <v>255200</v>
      </c>
      <c r="B1664" t="s">
        <v>1803</v>
      </c>
      <c r="C1664" t="s">
        <v>1253</v>
      </c>
    </row>
    <row r="1665" spans="1:3">
      <c r="A1665">
        <v>127600</v>
      </c>
      <c r="B1665" t="s">
        <v>1803</v>
      </c>
      <c r="C1665" t="s">
        <v>1253</v>
      </c>
    </row>
    <row r="1666" spans="1:3">
      <c r="A1666">
        <v>497000</v>
      </c>
      <c r="C1666" t="s">
        <v>1253</v>
      </c>
    </row>
    <row r="1667" spans="1:3">
      <c r="A1667">
        <v>432000</v>
      </c>
      <c r="B1667" t="s">
        <v>1803</v>
      </c>
      <c r="C1667" t="s">
        <v>1253</v>
      </c>
    </row>
    <row r="1668" spans="1:3">
      <c r="A1668">
        <v>65000</v>
      </c>
      <c r="B1668" t="s">
        <v>1803</v>
      </c>
      <c r="C1668" t="s">
        <v>1253</v>
      </c>
    </row>
    <row r="1669" spans="1:3">
      <c r="A1669">
        <v>580000</v>
      </c>
      <c r="C1669" t="s">
        <v>1253</v>
      </c>
    </row>
    <row r="1670" spans="1:3">
      <c r="A1670">
        <v>290000</v>
      </c>
      <c r="B1670" t="s">
        <v>1803</v>
      </c>
      <c r="C1670" t="s">
        <v>1253</v>
      </c>
    </row>
    <row r="1671" spans="1:3">
      <c r="A1671">
        <v>290000</v>
      </c>
      <c r="B1671" t="s">
        <v>1803</v>
      </c>
      <c r="C1671" t="s">
        <v>1253</v>
      </c>
    </row>
    <row r="1672" spans="1:3">
      <c r="A1672">
        <v>1000000</v>
      </c>
      <c r="C1672" t="s">
        <v>1253</v>
      </c>
    </row>
    <row r="1673" spans="1:3">
      <c r="A1673">
        <v>0</v>
      </c>
      <c r="C1673" t="s">
        <v>1253</v>
      </c>
    </row>
    <row r="1674" spans="1:3">
      <c r="A1674">
        <v>1000000</v>
      </c>
      <c r="B1674" t="s">
        <v>1803</v>
      </c>
      <c r="C1674" t="s">
        <v>1253</v>
      </c>
    </row>
    <row r="1675" spans="1:3">
      <c r="A1675">
        <v>6009300</v>
      </c>
      <c r="C1675" t="s">
        <v>1253</v>
      </c>
    </row>
    <row r="1676" spans="1:3">
      <c r="C1676" t="s">
        <v>1253</v>
      </c>
    </row>
    <row r="1677" spans="1:3">
      <c r="C1677" t="s">
        <v>1253</v>
      </c>
    </row>
    <row r="1678" spans="1:3">
      <c r="A1678">
        <v>0</v>
      </c>
      <c r="C1678" t="s">
        <v>1253</v>
      </c>
    </row>
    <row r="1679" spans="1:3">
      <c r="C1679" t="s">
        <v>1253</v>
      </c>
    </row>
    <row r="1680" spans="1:3">
      <c r="A1680">
        <v>9080000</v>
      </c>
      <c r="C1680" t="s">
        <v>1253</v>
      </c>
    </row>
    <row r="1681" spans="1:3">
      <c r="A1681">
        <v>4540000</v>
      </c>
      <c r="B1681" t="s">
        <v>1803</v>
      </c>
      <c r="C1681" t="s">
        <v>1253</v>
      </c>
    </row>
    <row r="1682" spans="1:3">
      <c r="A1682">
        <v>4540000</v>
      </c>
      <c r="B1682" t="s">
        <v>1803</v>
      </c>
      <c r="C1682" t="s">
        <v>1253</v>
      </c>
    </row>
    <row r="1683" spans="1:3">
      <c r="A1683">
        <v>0</v>
      </c>
      <c r="C1683" t="s">
        <v>1253</v>
      </c>
    </row>
    <row r="1684" spans="1:3">
      <c r="B1684" t="s">
        <v>1803</v>
      </c>
      <c r="C1684" t="s">
        <v>1253</v>
      </c>
    </row>
    <row r="1685" spans="1:3">
      <c r="A1685">
        <v>9080000</v>
      </c>
      <c r="C1685" t="s">
        <v>1253</v>
      </c>
    </row>
    <row r="1686" spans="1:3">
      <c r="A1686">
        <v>15089300</v>
      </c>
      <c r="C1686" t="s">
        <v>1253</v>
      </c>
    </row>
    <row r="1687" spans="1:3">
      <c r="C1687" t="s">
        <v>1253</v>
      </c>
    </row>
    <row r="1688" spans="1:3">
      <c r="C1688" t="s">
        <v>1253</v>
      </c>
    </row>
    <row r="1689" spans="1:3">
      <c r="C1689" t="s">
        <v>1253</v>
      </c>
    </row>
    <row r="1690" spans="1:3">
      <c r="C1690" t="s">
        <v>1253</v>
      </c>
    </row>
    <row r="1691" spans="1:3">
      <c r="A1691">
        <v>0</v>
      </c>
      <c r="C1691" t="s">
        <v>1253</v>
      </c>
    </row>
    <row r="1692" spans="1:3">
      <c r="C1692" t="s">
        <v>1253</v>
      </c>
    </row>
    <row r="1693" spans="1:3">
      <c r="A1693">
        <v>350000</v>
      </c>
      <c r="C1693" t="s">
        <v>1253</v>
      </c>
    </row>
    <row r="1694" spans="1:3">
      <c r="A1694">
        <v>280000</v>
      </c>
      <c r="B1694" t="s">
        <v>1803</v>
      </c>
      <c r="C1694" t="s">
        <v>1253</v>
      </c>
    </row>
    <row r="1695" spans="1:3">
      <c r="A1695">
        <v>50000</v>
      </c>
      <c r="B1695" t="s">
        <v>1803</v>
      </c>
      <c r="C1695" t="s">
        <v>1253</v>
      </c>
    </row>
    <row r="1696" spans="1:3">
      <c r="A1696">
        <v>20000</v>
      </c>
      <c r="B1696" t="s">
        <v>1803</v>
      </c>
      <c r="C1696" t="s">
        <v>1253</v>
      </c>
    </row>
    <row r="1697" spans="1:3">
      <c r="A1697">
        <v>1461300</v>
      </c>
      <c r="C1697" t="s">
        <v>1253</v>
      </c>
    </row>
    <row r="1698" spans="1:3">
      <c r="A1698">
        <v>400000</v>
      </c>
      <c r="B1698" t="s">
        <v>1803</v>
      </c>
      <c r="C1698" t="s">
        <v>1253</v>
      </c>
    </row>
    <row r="1699" spans="1:3">
      <c r="A1699">
        <v>678500</v>
      </c>
      <c r="B1699" t="s">
        <v>1803</v>
      </c>
      <c r="C1699" t="s">
        <v>1253</v>
      </c>
    </row>
    <row r="1700" spans="1:3">
      <c r="A1700">
        <v>382800</v>
      </c>
      <c r="B1700" t="s">
        <v>1803</v>
      </c>
      <c r="C1700" t="s">
        <v>1253</v>
      </c>
    </row>
    <row r="1701" spans="1:3">
      <c r="A1701">
        <v>400000</v>
      </c>
      <c r="C1701" t="s">
        <v>1253</v>
      </c>
    </row>
    <row r="1702" spans="1:3">
      <c r="A1702">
        <v>100000</v>
      </c>
      <c r="B1702" t="s">
        <v>1803</v>
      </c>
      <c r="C1702" t="s">
        <v>1253</v>
      </c>
    </row>
    <row r="1703" spans="1:3">
      <c r="A1703">
        <v>65000</v>
      </c>
      <c r="B1703" t="s">
        <v>1803</v>
      </c>
      <c r="C1703" t="s">
        <v>1253</v>
      </c>
    </row>
    <row r="1704" spans="1:3">
      <c r="A1704">
        <v>235000</v>
      </c>
      <c r="B1704" t="s">
        <v>1803</v>
      </c>
      <c r="C1704" t="s">
        <v>1253</v>
      </c>
    </row>
    <row r="1705" spans="1:3">
      <c r="A1705">
        <v>775000</v>
      </c>
      <c r="C1705" t="s">
        <v>1253</v>
      </c>
    </row>
    <row r="1706" spans="1:3">
      <c r="A1706">
        <v>75000</v>
      </c>
      <c r="B1706" t="s">
        <v>1803</v>
      </c>
      <c r="C1706" t="s">
        <v>1253</v>
      </c>
    </row>
    <row r="1707" spans="1:3">
      <c r="A1707">
        <v>100000</v>
      </c>
      <c r="B1707" t="s">
        <v>1803</v>
      </c>
      <c r="C1707" t="s">
        <v>1253</v>
      </c>
    </row>
    <row r="1708" spans="1:3">
      <c r="A1708">
        <v>180000</v>
      </c>
      <c r="B1708" t="s">
        <v>1803</v>
      </c>
      <c r="C1708" t="s">
        <v>1253</v>
      </c>
    </row>
    <row r="1709" spans="1:3">
      <c r="A1709">
        <v>420000</v>
      </c>
      <c r="B1709" t="s">
        <v>1803</v>
      </c>
      <c r="C1709" t="s">
        <v>1253</v>
      </c>
    </row>
    <row r="1710" spans="1:3">
      <c r="A1710">
        <v>340000</v>
      </c>
      <c r="C1710" t="s">
        <v>1253</v>
      </c>
    </row>
    <row r="1711" spans="1:3">
      <c r="A1711">
        <v>240000</v>
      </c>
      <c r="B1711" t="s">
        <v>1803</v>
      </c>
      <c r="C1711" t="s">
        <v>1253</v>
      </c>
    </row>
    <row r="1712" spans="1:3">
      <c r="A1712">
        <v>100000</v>
      </c>
      <c r="B1712" t="s">
        <v>1803</v>
      </c>
      <c r="C1712" t="s">
        <v>1253</v>
      </c>
    </row>
    <row r="1713" spans="1:3">
      <c r="A1713">
        <v>1040000</v>
      </c>
      <c r="C1713" t="s">
        <v>1253</v>
      </c>
    </row>
    <row r="1714" spans="1:3">
      <c r="A1714">
        <v>800000</v>
      </c>
      <c r="B1714" t="s">
        <v>1803</v>
      </c>
      <c r="C1714" t="s">
        <v>1253</v>
      </c>
    </row>
    <row r="1715" spans="1:3">
      <c r="A1715">
        <v>0</v>
      </c>
      <c r="B1715" t="s">
        <v>1803</v>
      </c>
      <c r="C1715" t="s">
        <v>1253</v>
      </c>
    </row>
    <row r="1716" spans="1:3">
      <c r="A1716">
        <v>240000</v>
      </c>
      <c r="B1716" t="s">
        <v>1803</v>
      </c>
      <c r="C1716" t="s">
        <v>1253</v>
      </c>
    </row>
    <row r="1717" spans="1:3">
      <c r="A1717">
        <v>638000</v>
      </c>
      <c r="C1717" t="s">
        <v>1253</v>
      </c>
    </row>
    <row r="1718" spans="1:3">
      <c r="A1718">
        <v>255200</v>
      </c>
      <c r="B1718" t="s">
        <v>1803</v>
      </c>
      <c r="C1718" t="s">
        <v>1253</v>
      </c>
    </row>
    <row r="1719" spans="1:3">
      <c r="A1719">
        <v>255200</v>
      </c>
      <c r="B1719" t="s">
        <v>1803</v>
      </c>
      <c r="C1719" t="s">
        <v>1253</v>
      </c>
    </row>
    <row r="1720" spans="1:3">
      <c r="A1720">
        <v>127600</v>
      </c>
      <c r="B1720" t="s">
        <v>1803</v>
      </c>
      <c r="C1720" t="s">
        <v>1253</v>
      </c>
    </row>
    <row r="1721" spans="1:3">
      <c r="A1721">
        <v>497000</v>
      </c>
      <c r="C1721" t="s">
        <v>1253</v>
      </c>
    </row>
    <row r="1722" spans="1:3">
      <c r="A1722">
        <v>432000</v>
      </c>
      <c r="B1722" t="s">
        <v>1803</v>
      </c>
      <c r="C1722" t="s">
        <v>1253</v>
      </c>
    </row>
    <row r="1723" spans="1:3">
      <c r="A1723">
        <v>65000</v>
      </c>
      <c r="B1723" t="s">
        <v>1803</v>
      </c>
      <c r="C1723" t="s">
        <v>1253</v>
      </c>
    </row>
    <row r="1724" spans="1:3">
      <c r="A1724">
        <v>580000</v>
      </c>
      <c r="C1724" t="s">
        <v>1253</v>
      </c>
    </row>
    <row r="1725" spans="1:3">
      <c r="A1725">
        <v>290000</v>
      </c>
      <c r="B1725" t="s">
        <v>1803</v>
      </c>
      <c r="C1725" t="s">
        <v>1253</v>
      </c>
    </row>
    <row r="1726" spans="1:3">
      <c r="A1726">
        <v>290000</v>
      </c>
      <c r="B1726" t="s">
        <v>1803</v>
      </c>
      <c r="C1726" t="s">
        <v>1253</v>
      </c>
    </row>
    <row r="1727" spans="1:3">
      <c r="A1727">
        <v>1000000</v>
      </c>
      <c r="C1727" t="s">
        <v>1253</v>
      </c>
    </row>
    <row r="1728" spans="1:3">
      <c r="A1728">
        <v>0</v>
      </c>
      <c r="B1728" t="s">
        <v>1803</v>
      </c>
      <c r="C1728" t="s">
        <v>1253</v>
      </c>
    </row>
    <row r="1729" spans="1:3">
      <c r="A1729">
        <v>1000000</v>
      </c>
      <c r="B1729" t="s">
        <v>1803</v>
      </c>
      <c r="C1729" t="s">
        <v>1253</v>
      </c>
    </row>
    <row r="1730" spans="1:3">
      <c r="A1730">
        <v>7081300</v>
      </c>
      <c r="C1730" t="s">
        <v>1253</v>
      </c>
    </row>
    <row r="1731" spans="1:3">
      <c r="C1731" t="s">
        <v>1253</v>
      </c>
    </row>
    <row r="1732" spans="1:3">
      <c r="A1732">
        <v>0</v>
      </c>
      <c r="C1732" t="s">
        <v>1253</v>
      </c>
    </row>
    <row r="1733" spans="1:3">
      <c r="C1733" t="s">
        <v>1253</v>
      </c>
    </row>
    <row r="1734" spans="1:3">
      <c r="A1734">
        <v>535860120</v>
      </c>
      <c r="C1734" t="s">
        <v>1253</v>
      </c>
    </row>
    <row r="1735" spans="1:3">
      <c r="A1735">
        <v>0</v>
      </c>
      <c r="C1735" t="s">
        <v>1253</v>
      </c>
    </row>
    <row r="1736" spans="1:3">
      <c r="C1736" t="s">
        <v>1253</v>
      </c>
    </row>
    <row r="1737" spans="1:3">
      <c r="A1737">
        <v>445098850</v>
      </c>
      <c r="B1737" t="s">
        <v>1803</v>
      </c>
      <c r="C1737" t="s">
        <v>1253</v>
      </c>
    </row>
    <row r="1738" spans="1:3">
      <c r="A1738">
        <v>21600000</v>
      </c>
      <c r="B1738" t="s">
        <v>1803</v>
      </c>
      <c r="C1738" t="s">
        <v>1253</v>
      </c>
    </row>
    <row r="1739" spans="1:3">
      <c r="A1739">
        <v>40000000</v>
      </c>
      <c r="B1739" t="s">
        <v>1803</v>
      </c>
      <c r="C1739" t="s">
        <v>1253</v>
      </c>
    </row>
    <row r="1740" spans="1:3">
      <c r="A1740">
        <v>29161270</v>
      </c>
      <c r="B1740" t="s">
        <v>1803</v>
      </c>
      <c r="C1740" t="s">
        <v>1253</v>
      </c>
    </row>
    <row r="1741" spans="1:3">
      <c r="A1741">
        <v>0</v>
      </c>
      <c r="C1741" t="s">
        <v>1253</v>
      </c>
    </row>
    <row r="1742" spans="1:3">
      <c r="C1742" t="s">
        <v>1253</v>
      </c>
    </row>
    <row r="1743" spans="1:3">
      <c r="A1743">
        <v>535860120</v>
      </c>
      <c r="C1743" t="s">
        <v>1253</v>
      </c>
    </row>
    <row r="1744" spans="1:3">
      <c r="A1744">
        <v>542941420</v>
      </c>
      <c r="C1744" t="s">
        <v>1253</v>
      </c>
    </row>
    <row r="1745" spans="1:3">
      <c r="C1745" t="s">
        <v>1253</v>
      </c>
    </row>
    <row r="1746" spans="1:3">
      <c r="C1746" t="s">
        <v>1253</v>
      </c>
    </row>
    <row r="1747" spans="1:3">
      <c r="C1747" t="s">
        <v>1253</v>
      </c>
    </row>
    <row r="1748" spans="1:3">
      <c r="C1748" t="s">
        <v>1253</v>
      </c>
    </row>
    <row r="1749" spans="1:3">
      <c r="A1749">
        <v>0</v>
      </c>
      <c r="C1749" t="s">
        <v>1253</v>
      </c>
    </row>
    <row r="1750" spans="1:3">
      <c r="C1750" t="s">
        <v>1253</v>
      </c>
    </row>
    <row r="1751" spans="1:3">
      <c r="A1751">
        <v>504000</v>
      </c>
      <c r="C1751" t="s">
        <v>1253</v>
      </c>
    </row>
    <row r="1752" spans="1:3">
      <c r="A1752">
        <v>414000</v>
      </c>
      <c r="B1752" t="s">
        <v>1803</v>
      </c>
      <c r="C1752" t="s">
        <v>1253</v>
      </c>
    </row>
    <row r="1753" spans="1:3">
      <c r="A1753">
        <v>70000</v>
      </c>
      <c r="B1753" t="s">
        <v>1803</v>
      </c>
      <c r="C1753" t="s">
        <v>1253</v>
      </c>
    </row>
    <row r="1754" spans="1:3">
      <c r="A1754">
        <v>20000</v>
      </c>
      <c r="B1754" t="s">
        <v>1803</v>
      </c>
      <c r="C1754" t="s">
        <v>1253</v>
      </c>
    </row>
    <row r="1755" spans="1:3">
      <c r="A1755">
        <v>2061000</v>
      </c>
      <c r="C1755" t="s">
        <v>1253</v>
      </c>
    </row>
    <row r="1756" spans="1:3">
      <c r="A1756">
        <v>696000</v>
      </c>
      <c r="B1756" t="s">
        <v>1803</v>
      </c>
      <c r="C1756" t="s">
        <v>1253</v>
      </c>
    </row>
    <row r="1757" spans="1:3">
      <c r="A1757">
        <v>780000</v>
      </c>
      <c r="B1757" t="s">
        <v>1803</v>
      </c>
      <c r="C1757" t="s">
        <v>1253</v>
      </c>
    </row>
    <row r="1758" spans="1:3">
      <c r="A1758">
        <v>585000</v>
      </c>
      <c r="B1758" t="s">
        <v>1803</v>
      </c>
      <c r="C1758" t="s">
        <v>1253</v>
      </c>
    </row>
    <row r="1759" spans="1:3">
      <c r="A1759">
        <v>842411</v>
      </c>
      <c r="C1759" t="s">
        <v>1253</v>
      </c>
    </row>
    <row r="1760" spans="1:3">
      <c r="A1760">
        <v>342411</v>
      </c>
      <c r="B1760" t="s">
        <v>1803</v>
      </c>
      <c r="C1760" t="s">
        <v>1253</v>
      </c>
    </row>
    <row r="1761" spans="1:3">
      <c r="A1761">
        <v>65000</v>
      </c>
      <c r="B1761" t="s">
        <v>1803</v>
      </c>
      <c r="C1761" t="s">
        <v>1253</v>
      </c>
    </row>
    <row r="1762" spans="1:3">
      <c r="A1762">
        <v>435000</v>
      </c>
      <c r="B1762" t="s">
        <v>1803</v>
      </c>
      <c r="C1762" t="s">
        <v>1253</v>
      </c>
    </row>
    <row r="1763" spans="1:3">
      <c r="A1763">
        <v>1050000</v>
      </c>
      <c r="C1763" t="s">
        <v>1253</v>
      </c>
    </row>
    <row r="1764" spans="1:3">
      <c r="A1764">
        <v>100000</v>
      </c>
      <c r="B1764" t="s">
        <v>1803</v>
      </c>
      <c r="C1764" t="s">
        <v>1253</v>
      </c>
    </row>
    <row r="1765" spans="1:3">
      <c r="A1765">
        <v>150000</v>
      </c>
      <c r="B1765" t="s">
        <v>1803</v>
      </c>
      <c r="C1765" t="s">
        <v>1253</v>
      </c>
    </row>
    <row r="1766" spans="1:3">
      <c r="A1766">
        <v>240000</v>
      </c>
      <c r="B1766" t="s">
        <v>1803</v>
      </c>
      <c r="C1766" t="s">
        <v>1253</v>
      </c>
    </row>
    <row r="1767" spans="1:3">
      <c r="A1767">
        <v>560000</v>
      </c>
      <c r="B1767" t="s">
        <v>1803</v>
      </c>
      <c r="C1767" t="s">
        <v>1253</v>
      </c>
    </row>
    <row r="1768" spans="1:3">
      <c r="A1768">
        <v>0</v>
      </c>
      <c r="B1768" t="s">
        <v>1803</v>
      </c>
      <c r="C1768" t="s">
        <v>1253</v>
      </c>
    </row>
    <row r="1769" spans="1:3">
      <c r="A1769">
        <v>570000</v>
      </c>
      <c r="C1769" t="s">
        <v>1253</v>
      </c>
    </row>
    <row r="1770" spans="1:3">
      <c r="A1770">
        <v>420000</v>
      </c>
      <c r="B1770" t="s">
        <v>1803</v>
      </c>
      <c r="C1770" t="s">
        <v>1253</v>
      </c>
    </row>
    <row r="1771" spans="1:3">
      <c r="A1771">
        <v>150000</v>
      </c>
      <c r="B1771" t="s">
        <v>1803</v>
      </c>
      <c r="C1771" t="s">
        <v>1253</v>
      </c>
    </row>
    <row r="1772" spans="1:3">
      <c r="A1772">
        <v>8185000</v>
      </c>
      <c r="C1772" t="s">
        <v>1253</v>
      </c>
    </row>
    <row r="1773" spans="1:3">
      <c r="A1773">
        <v>7520000</v>
      </c>
      <c r="B1773" t="s">
        <v>1803</v>
      </c>
      <c r="C1773" t="s">
        <v>1253</v>
      </c>
    </row>
    <row r="1774" spans="1:3">
      <c r="A1774">
        <v>65000</v>
      </c>
      <c r="B1774" t="s">
        <v>1803</v>
      </c>
      <c r="C1774" t="s">
        <v>1253</v>
      </c>
    </row>
    <row r="1775" spans="1:3">
      <c r="A1775">
        <v>600000</v>
      </c>
      <c r="B1775" t="s">
        <v>1803</v>
      </c>
      <c r="C1775" t="s">
        <v>1253</v>
      </c>
    </row>
    <row r="1776" spans="1:3">
      <c r="A1776">
        <v>1140000</v>
      </c>
      <c r="C1776" t="s">
        <v>1253</v>
      </c>
    </row>
    <row r="1777" spans="1:3">
      <c r="A1777">
        <v>470000</v>
      </c>
      <c r="B1777" t="s">
        <v>1803</v>
      </c>
      <c r="C1777" t="s">
        <v>1253</v>
      </c>
    </row>
    <row r="1778" spans="1:3">
      <c r="A1778">
        <v>430000</v>
      </c>
      <c r="B1778" t="s">
        <v>1803</v>
      </c>
      <c r="C1778" t="s">
        <v>1253</v>
      </c>
    </row>
    <row r="1779" spans="1:3">
      <c r="A1779">
        <v>240000</v>
      </c>
      <c r="B1779" t="s">
        <v>1803</v>
      </c>
      <c r="C1779" t="s">
        <v>1253</v>
      </c>
    </row>
    <row r="1780" spans="1:3">
      <c r="A1780">
        <v>2950000</v>
      </c>
      <c r="C1780" t="s">
        <v>1253</v>
      </c>
    </row>
    <row r="1781" spans="1:3">
      <c r="A1781">
        <v>2950000</v>
      </c>
      <c r="B1781" t="s">
        <v>1803</v>
      </c>
      <c r="C1781" t="s">
        <v>1253</v>
      </c>
    </row>
    <row r="1782" spans="1:3">
      <c r="A1782">
        <v>672000</v>
      </c>
      <c r="C1782" t="s">
        <v>1253</v>
      </c>
    </row>
    <row r="1783" spans="1:3">
      <c r="A1783">
        <v>432000</v>
      </c>
      <c r="B1783" t="s">
        <v>1803</v>
      </c>
      <c r="C1783" t="s">
        <v>1253</v>
      </c>
    </row>
    <row r="1784" spans="1:3">
      <c r="A1784">
        <v>240000</v>
      </c>
      <c r="B1784" t="s">
        <v>1803</v>
      </c>
      <c r="C1784" t="s">
        <v>1253</v>
      </c>
    </row>
    <row r="1785" spans="1:3">
      <c r="A1785">
        <v>7640000</v>
      </c>
      <c r="C1785" t="s">
        <v>1253</v>
      </c>
    </row>
    <row r="1786" spans="1:3">
      <c r="A1786">
        <v>3120000</v>
      </c>
      <c r="B1786" t="s">
        <v>1803</v>
      </c>
      <c r="C1786" t="s">
        <v>1253</v>
      </c>
    </row>
    <row r="1787" spans="1:3">
      <c r="A1787">
        <v>4520000</v>
      </c>
      <c r="B1787" t="s">
        <v>1803</v>
      </c>
      <c r="C1787" t="s">
        <v>1253</v>
      </c>
    </row>
    <row r="1788" spans="1:3">
      <c r="A1788">
        <v>15910000</v>
      </c>
      <c r="C1788" t="s">
        <v>1253</v>
      </c>
    </row>
    <row r="1789" spans="1:3">
      <c r="A1789">
        <v>15330000</v>
      </c>
      <c r="B1789" t="s">
        <v>1803</v>
      </c>
      <c r="C1789" t="s">
        <v>1253</v>
      </c>
    </row>
    <row r="1790" spans="1:3">
      <c r="A1790">
        <v>580000</v>
      </c>
      <c r="B1790" t="s">
        <v>1803</v>
      </c>
      <c r="C1790" t="s">
        <v>1253</v>
      </c>
    </row>
    <row r="1791" spans="1:3">
      <c r="A1791">
        <v>0</v>
      </c>
      <c r="C1791" t="s">
        <v>1253</v>
      </c>
    </row>
    <row r="1792" spans="1:3">
      <c r="A1792">
        <v>0</v>
      </c>
      <c r="C1792" t="s">
        <v>1253</v>
      </c>
    </row>
    <row r="1793" spans="1:3">
      <c r="A1793">
        <v>800000</v>
      </c>
      <c r="C1793" t="s">
        <v>1253</v>
      </c>
    </row>
    <row r="1794" spans="1:3">
      <c r="A1794">
        <v>400000</v>
      </c>
      <c r="B1794" t="s">
        <v>1803</v>
      </c>
      <c r="C1794" t="s">
        <v>1253</v>
      </c>
    </row>
    <row r="1795" spans="1:3">
      <c r="A1795">
        <v>400000</v>
      </c>
      <c r="B1795" t="s">
        <v>1803</v>
      </c>
      <c r="C1795" t="s">
        <v>1253</v>
      </c>
    </row>
    <row r="1796" spans="1:3">
      <c r="A1796">
        <v>1640000</v>
      </c>
      <c r="C1796" t="s">
        <v>1253</v>
      </c>
    </row>
    <row r="1797" spans="1:3">
      <c r="A1797">
        <v>0</v>
      </c>
      <c r="C1797" t="s">
        <v>1253</v>
      </c>
    </row>
    <row r="1798" spans="1:3">
      <c r="A1798">
        <v>1640000</v>
      </c>
      <c r="B1798" t="s">
        <v>1803</v>
      </c>
      <c r="C1798" t="s">
        <v>1253</v>
      </c>
    </row>
    <row r="1799" spans="1:3">
      <c r="A1799">
        <v>43964411</v>
      </c>
      <c r="C1799" t="s">
        <v>1253</v>
      </c>
    </row>
    <row r="1800" spans="1:3">
      <c r="C1800" t="s">
        <v>1253</v>
      </c>
    </row>
    <row r="1801" spans="1:3">
      <c r="C1801" t="s">
        <v>1253</v>
      </c>
    </row>
    <row r="1802" spans="1:3">
      <c r="A1802">
        <v>0</v>
      </c>
      <c r="C1802" t="s">
        <v>1253</v>
      </c>
    </row>
    <row r="1803" spans="1:3">
      <c r="A1803">
        <v>0</v>
      </c>
      <c r="C1803" t="s">
        <v>1253</v>
      </c>
    </row>
    <row r="1804" spans="1:3">
      <c r="A1804">
        <v>0</v>
      </c>
      <c r="C1804" t="s">
        <v>1253</v>
      </c>
    </row>
    <row r="1805" spans="1:3">
      <c r="A1805">
        <v>0</v>
      </c>
      <c r="C1805" t="s">
        <v>1253</v>
      </c>
    </row>
    <row r="1806" spans="1:3">
      <c r="A1806">
        <v>40770462</v>
      </c>
      <c r="C1806" t="s">
        <v>1253</v>
      </c>
    </row>
    <row r="1807" spans="1:3">
      <c r="A1807">
        <v>39448000</v>
      </c>
      <c r="B1807" t="s">
        <v>1803</v>
      </c>
      <c r="C1807" t="s">
        <v>1253</v>
      </c>
    </row>
    <row r="1808" spans="1:3">
      <c r="A1808">
        <v>1322462</v>
      </c>
      <c r="B1808" t="s">
        <v>1803</v>
      </c>
      <c r="C1808" t="s">
        <v>1253</v>
      </c>
    </row>
    <row r="1809" spans="1:3">
      <c r="A1809">
        <v>6750000</v>
      </c>
      <c r="C1809" t="s">
        <v>1253</v>
      </c>
    </row>
    <row r="1810" spans="1:3">
      <c r="A1810">
        <v>6750000</v>
      </c>
      <c r="B1810" t="s">
        <v>1803</v>
      </c>
      <c r="C1810" t="s">
        <v>1253</v>
      </c>
    </row>
    <row r="1811" spans="1:3">
      <c r="A1811">
        <v>35000000</v>
      </c>
      <c r="C1811" t="s">
        <v>1253</v>
      </c>
    </row>
    <row r="1812" spans="1:3">
      <c r="A1812">
        <v>0</v>
      </c>
      <c r="C1812" t="s">
        <v>1253</v>
      </c>
    </row>
    <row r="1813" spans="1:3">
      <c r="A1813">
        <v>35000000</v>
      </c>
      <c r="B1813" t="s">
        <v>1803</v>
      </c>
      <c r="C1813" t="s">
        <v>1253</v>
      </c>
    </row>
    <row r="1814" spans="1:3">
      <c r="A1814">
        <v>28700000</v>
      </c>
      <c r="C1814" t="s">
        <v>1253</v>
      </c>
    </row>
    <row r="1815" spans="1:3">
      <c r="A1815">
        <v>15700000</v>
      </c>
      <c r="B1815" t="s">
        <v>1803</v>
      </c>
      <c r="C1815" t="s">
        <v>1253</v>
      </c>
    </row>
    <row r="1816" spans="1:3">
      <c r="A1816">
        <v>8000000</v>
      </c>
      <c r="B1816" t="s">
        <v>1803</v>
      </c>
      <c r="C1816" t="s">
        <v>1253</v>
      </c>
    </row>
    <row r="1817" spans="1:3">
      <c r="A1817">
        <v>5000000</v>
      </c>
      <c r="B1817" t="s">
        <v>1803</v>
      </c>
      <c r="C1817" t="s">
        <v>1253</v>
      </c>
    </row>
    <row r="1818" spans="1:3">
      <c r="A1818">
        <v>111220462</v>
      </c>
      <c r="C1818" t="s">
        <v>1253</v>
      </c>
    </row>
    <row r="1819" spans="1:3">
      <c r="A1819">
        <v>155184873</v>
      </c>
      <c r="C1819" t="s">
        <v>1253</v>
      </c>
    </row>
    <row r="1820" spans="1:3">
      <c r="A1820">
        <v>220470323</v>
      </c>
      <c r="C1820" t="s">
        <v>1253</v>
      </c>
    </row>
    <row r="1821" spans="1:3">
      <c r="A1821">
        <v>656160582</v>
      </c>
      <c r="C1821" t="s">
        <v>1253</v>
      </c>
    </row>
    <row r="1822" spans="1:3">
      <c r="A1822">
        <v>876630905</v>
      </c>
      <c r="C1822" t="s">
        <v>1253</v>
      </c>
    </row>
    <row r="1823" spans="1:3">
      <c r="C1823" t="s">
        <v>1253</v>
      </c>
    </row>
    <row r="1826" spans="1:3">
      <c r="A1826">
        <v>0</v>
      </c>
    </row>
    <row r="1827" spans="1:3">
      <c r="C1827" t="s">
        <v>392</v>
      </c>
    </row>
    <row r="1828" spans="1:3">
      <c r="C1828" t="s">
        <v>392</v>
      </c>
    </row>
    <row r="1829" spans="1:3">
      <c r="A1829">
        <v>891170557</v>
      </c>
      <c r="C1829" t="s">
        <v>392</v>
      </c>
    </row>
    <row r="1830" spans="1:3">
      <c r="A1830">
        <v>891170557</v>
      </c>
      <c r="B1830" t="s">
        <v>1803</v>
      </c>
      <c r="C1830" t="s">
        <v>392</v>
      </c>
    </row>
    <row r="1831" spans="1:3">
      <c r="A1831">
        <v>12656000</v>
      </c>
      <c r="C1831" t="s">
        <v>392</v>
      </c>
    </row>
    <row r="1832" spans="1:3">
      <c r="A1832">
        <v>12656000</v>
      </c>
      <c r="B1832" t="s">
        <v>1803</v>
      </c>
      <c r="C1832" t="s">
        <v>392</v>
      </c>
    </row>
    <row r="1833" spans="1:3">
      <c r="A1833">
        <v>307907.10200000001</v>
      </c>
      <c r="C1833" t="s">
        <v>392</v>
      </c>
    </row>
    <row r="1834" spans="1:3">
      <c r="A1834">
        <v>230260</v>
      </c>
      <c r="B1834" t="s">
        <v>1803</v>
      </c>
      <c r="C1834" t="s">
        <v>392</v>
      </c>
    </row>
    <row r="1835" spans="1:3">
      <c r="A1835">
        <v>39107.102000000021</v>
      </c>
      <c r="B1835" t="s">
        <v>1803</v>
      </c>
      <c r="C1835" t="s">
        <v>392</v>
      </c>
    </row>
    <row r="1836" spans="1:3">
      <c r="A1836">
        <v>38540</v>
      </c>
      <c r="B1836" t="s">
        <v>1803</v>
      </c>
      <c r="C1836" t="s">
        <v>392</v>
      </c>
    </row>
    <row r="1837" spans="1:3">
      <c r="A1837">
        <v>2372812</v>
      </c>
      <c r="C1837" t="s">
        <v>392</v>
      </c>
    </row>
    <row r="1838" spans="1:3">
      <c r="A1838">
        <v>989612</v>
      </c>
      <c r="B1838" t="s">
        <v>1803</v>
      </c>
      <c r="C1838" t="s">
        <v>392</v>
      </c>
    </row>
    <row r="1839" spans="1:3">
      <c r="A1839">
        <v>550000</v>
      </c>
      <c r="B1839" t="s">
        <v>1803</v>
      </c>
      <c r="C1839" t="s">
        <v>392</v>
      </c>
    </row>
    <row r="1840" spans="1:3">
      <c r="A1840">
        <v>833200</v>
      </c>
      <c r="B1840" t="s">
        <v>1803</v>
      </c>
      <c r="C1840" t="s">
        <v>392</v>
      </c>
    </row>
    <row r="1841" spans="1:3">
      <c r="A1841">
        <v>644906.39</v>
      </c>
      <c r="C1841" t="s">
        <v>392</v>
      </c>
    </row>
    <row r="1842" spans="1:3">
      <c r="A1842">
        <v>276800</v>
      </c>
      <c r="B1842" t="s">
        <v>1803</v>
      </c>
      <c r="C1842" t="s">
        <v>392</v>
      </c>
    </row>
    <row r="1843" spans="1:3">
      <c r="A1843">
        <v>368106.39</v>
      </c>
      <c r="B1843" t="s">
        <v>1803</v>
      </c>
      <c r="C1843" t="s">
        <v>392</v>
      </c>
    </row>
    <row r="1844" spans="1:3">
      <c r="A1844">
        <v>5245750</v>
      </c>
      <c r="C1844" t="s">
        <v>392</v>
      </c>
    </row>
    <row r="1845" spans="1:3">
      <c r="A1845">
        <v>72762.043999999994</v>
      </c>
      <c r="B1845" t="s">
        <v>1803</v>
      </c>
      <c r="C1845" t="s">
        <v>392</v>
      </c>
    </row>
    <row r="1846" spans="1:3">
      <c r="A1846">
        <v>5172987.9560000002</v>
      </c>
      <c r="B1846" t="s">
        <v>1803</v>
      </c>
      <c r="C1846" t="s">
        <v>392</v>
      </c>
    </row>
    <row r="1847" spans="1:3">
      <c r="A1847">
        <v>2710000</v>
      </c>
      <c r="C1847" t="s">
        <v>392</v>
      </c>
    </row>
    <row r="1848" spans="1:3">
      <c r="A1848">
        <v>946000</v>
      </c>
      <c r="B1848" t="s">
        <v>1803</v>
      </c>
      <c r="C1848" t="s">
        <v>392</v>
      </c>
    </row>
    <row r="1849" spans="1:3">
      <c r="A1849">
        <v>174000</v>
      </c>
      <c r="B1849" t="s">
        <v>1803</v>
      </c>
      <c r="C1849" t="s">
        <v>392</v>
      </c>
    </row>
    <row r="1850" spans="1:3">
      <c r="A1850">
        <v>290000</v>
      </c>
      <c r="B1850" t="s">
        <v>1803</v>
      </c>
      <c r="C1850" t="s">
        <v>392</v>
      </c>
    </row>
    <row r="1851" spans="1:3">
      <c r="A1851">
        <v>1160000</v>
      </c>
      <c r="B1851" t="s">
        <v>1803</v>
      </c>
      <c r="C1851" t="s">
        <v>392</v>
      </c>
    </row>
    <row r="1852" spans="1:3">
      <c r="A1852">
        <v>140000</v>
      </c>
      <c r="B1852" t="s">
        <v>1803</v>
      </c>
      <c r="C1852" t="s">
        <v>392</v>
      </c>
    </row>
    <row r="1853" spans="1:3">
      <c r="A1853">
        <v>3690000</v>
      </c>
      <c r="C1853" t="s">
        <v>392</v>
      </c>
    </row>
    <row r="1854" spans="1:3">
      <c r="A1854">
        <v>1290000</v>
      </c>
      <c r="B1854" t="s">
        <v>1803</v>
      </c>
      <c r="C1854" t="s">
        <v>392</v>
      </c>
    </row>
    <row r="1855" spans="1:3">
      <c r="A1855">
        <v>1600000</v>
      </c>
      <c r="B1855" t="s">
        <v>1803</v>
      </c>
      <c r="C1855" t="s">
        <v>392</v>
      </c>
    </row>
    <row r="1856" spans="1:3">
      <c r="A1856">
        <v>800000</v>
      </c>
      <c r="B1856" t="s">
        <v>1803</v>
      </c>
      <c r="C1856" t="s">
        <v>392</v>
      </c>
    </row>
    <row r="1857" spans="1:3">
      <c r="A1857">
        <v>1510320.2340000002</v>
      </c>
      <c r="C1857" t="s">
        <v>392</v>
      </c>
    </row>
    <row r="1858" spans="1:3">
      <c r="A1858">
        <v>800000</v>
      </c>
      <c r="B1858" t="s">
        <v>1803</v>
      </c>
      <c r="C1858" t="s">
        <v>392</v>
      </c>
    </row>
    <row r="1859" spans="1:3">
      <c r="A1859">
        <v>578381.23400000005</v>
      </c>
      <c r="B1859" t="s">
        <v>1803</v>
      </c>
      <c r="C1859" t="s">
        <v>392</v>
      </c>
    </row>
    <row r="1860" spans="1:3">
      <c r="A1860">
        <v>131939</v>
      </c>
      <c r="B1860" t="s">
        <v>1803</v>
      </c>
      <c r="C1860" t="s">
        <v>392</v>
      </c>
    </row>
    <row r="1861" spans="1:3">
      <c r="A1861">
        <v>2000000</v>
      </c>
      <c r="C1861" t="s">
        <v>392</v>
      </c>
    </row>
    <row r="1862" spans="1:3">
      <c r="A1862">
        <v>2000000</v>
      </c>
      <c r="B1862" t="s">
        <v>1803</v>
      </c>
      <c r="C1862" t="s">
        <v>392</v>
      </c>
    </row>
    <row r="1863" spans="1:3">
      <c r="A1863">
        <v>590000</v>
      </c>
      <c r="C1863" t="s">
        <v>392</v>
      </c>
    </row>
    <row r="1864" spans="1:3">
      <c r="A1864">
        <v>290000</v>
      </c>
      <c r="B1864" t="s">
        <v>1803</v>
      </c>
      <c r="C1864" t="s">
        <v>392</v>
      </c>
    </row>
    <row r="1865" spans="1:3">
      <c r="A1865">
        <v>300000</v>
      </c>
      <c r="B1865" t="s">
        <v>1803</v>
      </c>
      <c r="C1865" t="s">
        <v>392</v>
      </c>
    </row>
    <row r="1866" spans="1:3">
      <c r="A1866">
        <v>5100000</v>
      </c>
      <c r="C1866" t="s">
        <v>392</v>
      </c>
    </row>
    <row r="1867" spans="1:3">
      <c r="A1867">
        <v>2500000</v>
      </c>
      <c r="B1867" t="s">
        <v>1803</v>
      </c>
      <c r="C1867" t="s">
        <v>392</v>
      </c>
    </row>
    <row r="1868" spans="1:3">
      <c r="A1868">
        <v>600000</v>
      </c>
      <c r="B1868" t="s">
        <v>1803</v>
      </c>
      <c r="C1868" t="s">
        <v>392</v>
      </c>
    </row>
    <row r="1869" spans="1:3">
      <c r="A1869">
        <v>2000000</v>
      </c>
      <c r="B1869" t="s">
        <v>1803</v>
      </c>
      <c r="C1869" t="s">
        <v>392</v>
      </c>
    </row>
    <row r="1870" spans="1:3">
      <c r="A1870">
        <v>105306.24000000001</v>
      </c>
      <c r="C1870" t="s">
        <v>392</v>
      </c>
    </row>
    <row r="1871" spans="1:3">
      <c r="A1871">
        <v>105306.24000000001</v>
      </c>
      <c r="B1871" t="s">
        <v>1803</v>
      </c>
      <c r="C1871" t="s">
        <v>392</v>
      </c>
    </row>
    <row r="1872" spans="1:3">
      <c r="A1872">
        <v>2255000</v>
      </c>
      <c r="C1872" t="s">
        <v>392</v>
      </c>
    </row>
    <row r="1873" spans="1:3">
      <c r="A1873">
        <v>760000</v>
      </c>
      <c r="B1873" t="s">
        <v>1803</v>
      </c>
      <c r="C1873" t="s">
        <v>392</v>
      </c>
    </row>
    <row r="1874" spans="1:3">
      <c r="A1874">
        <v>1495000</v>
      </c>
      <c r="B1874" t="s">
        <v>1803</v>
      </c>
      <c r="C1874" t="s">
        <v>392</v>
      </c>
    </row>
    <row r="1875" spans="1:3">
      <c r="A1875">
        <v>930358558.96599996</v>
      </c>
      <c r="C1875" t="s">
        <v>392</v>
      </c>
    </row>
    <row r="1876" spans="1:3">
      <c r="A1876">
        <v>0</v>
      </c>
      <c r="C1876" t="s">
        <v>392</v>
      </c>
    </row>
    <row r="1877" spans="1:3">
      <c r="A1877">
        <v>0</v>
      </c>
      <c r="C1877" t="s">
        <v>392</v>
      </c>
    </row>
    <row r="1878" spans="1:3">
      <c r="A1878">
        <v>2157207</v>
      </c>
      <c r="C1878" t="s">
        <v>392</v>
      </c>
    </row>
    <row r="1879" spans="1:3">
      <c r="A1879">
        <v>2157207</v>
      </c>
      <c r="B1879" t="s">
        <v>1803</v>
      </c>
      <c r="C1879" t="s">
        <v>392</v>
      </c>
    </row>
    <row r="1880" spans="1:3">
      <c r="A1880">
        <v>2157207</v>
      </c>
      <c r="C1880" t="s">
        <v>392</v>
      </c>
    </row>
    <row r="1881" spans="1:3">
      <c r="A1881">
        <v>932515765.96599996</v>
      </c>
      <c r="C1881" t="s">
        <v>392</v>
      </c>
    </row>
    <row r="1882" spans="1:3">
      <c r="A1882">
        <v>0</v>
      </c>
      <c r="C1882" t="s">
        <v>392</v>
      </c>
    </row>
    <row r="1883" spans="1:3">
      <c r="A1883">
        <v>0</v>
      </c>
      <c r="C1883" t="s">
        <v>392</v>
      </c>
    </row>
    <row r="1884" spans="1:3">
      <c r="A1884">
        <v>0</v>
      </c>
      <c r="C1884" t="s">
        <v>392</v>
      </c>
    </row>
    <row r="1885" spans="1:3">
      <c r="C1885" t="s">
        <v>392</v>
      </c>
    </row>
    <row r="1886" spans="1:3">
      <c r="A1886">
        <v>3000000</v>
      </c>
      <c r="C1886" t="s">
        <v>392</v>
      </c>
    </row>
    <row r="1887" spans="1:3">
      <c r="A1887">
        <v>3000000</v>
      </c>
      <c r="B1887" t="s">
        <v>1803</v>
      </c>
      <c r="C1887" t="s">
        <v>392</v>
      </c>
    </row>
    <row r="1888" spans="1:3">
      <c r="A1888">
        <v>3000000</v>
      </c>
      <c r="C1888" t="s">
        <v>392</v>
      </c>
    </row>
    <row r="1889" spans="1:3">
      <c r="A1889">
        <v>0</v>
      </c>
      <c r="C1889" t="s">
        <v>392</v>
      </c>
    </row>
    <row r="1890" spans="1:3">
      <c r="A1890">
        <v>0</v>
      </c>
      <c r="C1890" t="s">
        <v>392</v>
      </c>
    </row>
    <row r="1891" spans="1:3">
      <c r="A1891">
        <v>0</v>
      </c>
      <c r="C1891" t="s">
        <v>392</v>
      </c>
    </row>
    <row r="1892" spans="1:3">
      <c r="A1892">
        <v>66062932</v>
      </c>
      <c r="C1892" t="s">
        <v>392</v>
      </c>
    </row>
    <row r="1893" spans="1:3">
      <c r="A1893">
        <v>66062932</v>
      </c>
      <c r="B1893" t="s">
        <v>1803</v>
      </c>
      <c r="C1893" t="s">
        <v>392</v>
      </c>
    </row>
    <row r="1894" spans="1:3">
      <c r="A1894">
        <v>193912.61800000002</v>
      </c>
      <c r="C1894" t="s">
        <v>392</v>
      </c>
    </row>
    <row r="1895" spans="1:3">
      <c r="A1895">
        <v>100275.21400000001</v>
      </c>
      <c r="B1895" t="s">
        <v>1803</v>
      </c>
      <c r="C1895" t="s">
        <v>392</v>
      </c>
    </row>
    <row r="1896" spans="1:3">
      <c r="A1896">
        <v>93637.403999999995</v>
      </c>
      <c r="B1896" t="s">
        <v>1803</v>
      </c>
      <c r="C1896" t="s">
        <v>392</v>
      </c>
    </row>
    <row r="1897" spans="1:3">
      <c r="A1897">
        <v>400186.48600000003</v>
      </c>
      <c r="C1897" t="s">
        <v>392</v>
      </c>
    </row>
    <row r="1898" spans="1:3">
      <c r="A1898">
        <v>378597.842</v>
      </c>
      <c r="B1898" t="s">
        <v>1803</v>
      </c>
      <c r="C1898" t="s">
        <v>392</v>
      </c>
    </row>
    <row r="1899" spans="1:3">
      <c r="A1899">
        <v>21588.644</v>
      </c>
      <c r="B1899" t="s">
        <v>1803</v>
      </c>
      <c r="C1899" t="s">
        <v>392</v>
      </c>
    </row>
    <row r="1900" spans="1:3">
      <c r="A1900">
        <v>3350330.86</v>
      </c>
      <c r="C1900" t="s">
        <v>392</v>
      </c>
    </row>
    <row r="1901" spans="1:3">
      <c r="A1901">
        <v>910330.86</v>
      </c>
      <c r="B1901" t="s">
        <v>1803</v>
      </c>
      <c r="C1901" t="s">
        <v>392</v>
      </c>
    </row>
    <row r="1902" spans="1:3">
      <c r="A1902">
        <v>1211695.5</v>
      </c>
      <c r="B1902" t="s">
        <v>1803</v>
      </c>
      <c r="C1902" t="s">
        <v>392</v>
      </c>
    </row>
    <row r="1903" spans="1:3">
      <c r="A1903">
        <v>1228304.5</v>
      </c>
      <c r="B1903" t="s">
        <v>1803</v>
      </c>
      <c r="C1903" t="s">
        <v>392</v>
      </c>
    </row>
    <row r="1904" spans="1:3">
      <c r="A1904">
        <v>1500000</v>
      </c>
      <c r="C1904" t="s">
        <v>392</v>
      </c>
    </row>
    <row r="1905" spans="1:3">
      <c r="A1905">
        <v>1500000</v>
      </c>
      <c r="B1905" t="s">
        <v>1803</v>
      </c>
      <c r="C1905" t="s">
        <v>392</v>
      </c>
    </row>
    <row r="1906" spans="1:3">
      <c r="A1906">
        <v>71507361.964000002</v>
      </c>
      <c r="C1906" t="s">
        <v>392</v>
      </c>
    </row>
    <row r="1907" spans="1:3">
      <c r="A1907">
        <v>0</v>
      </c>
      <c r="C1907" t="s">
        <v>392</v>
      </c>
    </row>
    <row r="1908" spans="1:3">
      <c r="C1908" t="s">
        <v>392</v>
      </c>
    </row>
    <row r="1909" spans="1:3">
      <c r="A1909">
        <v>86617939</v>
      </c>
      <c r="C1909" t="s">
        <v>392</v>
      </c>
    </row>
    <row r="1910" spans="1:3">
      <c r="A1910">
        <v>4400000</v>
      </c>
      <c r="B1910" t="s">
        <v>1803</v>
      </c>
      <c r="C1910" t="s">
        <v>392</v>
      </c>
    </row>
    <row r="1911" spans="1:3">
      <c r="A1911">
        <v>2500000</v>
      </c>
      <c r="B1911" t="s">
        <v>1803</v>
      </c>
      <c r="C1911" t="s">
        <v>392</v>
      </c>
    </row>
    <row r="1912" spans="1:3">
      <c r="A1912">
        <v>8000000</v>
      </c>
      <c r="B1912" t="s">
        <v>1803</v>
      </c>
      <c r="C1912" t="s">
        <v>392</v>
      </c>
    </row>
    <row r="1913" spans="1:3">
      <c r="A1913">
        <v>5800000</v>
      </c>
      <c r="B1913" t="s">
        <v>1803</v>
      </c>
      <c r="C1913" t="s">
        <v>392</v>
      </c>
    </row>
    <row r="1914" spans="1:3">
      <c r="A1914">
        <v>4000000</v>
      </c>
      <c r="B1914" t="s">
        <v>1803</v>
      </c>
      <c r="C1914" t="s">
        <v>392</v>
      </c>
    </row>
    <row r="1915" spans="1:3">
      <c r="A1915">
        <v>5000000</v>
      </c>
      <c r="B1915" t="s">
        <v>1803</v>
      </c>
      <c r="C1915" t="s">
        <v>392</v>
      </c>
    </row>
    <row r="1916" spans="1:3">
      <c r="A1916">
        <v>13000000</v>
      </c>
      <c r="B1916" t="s">
        <v>1803</v>
      </c>
      <c r="C1916" t="s">
        <v>392</v>
      </c>
    </row>
    <row r="1917" spans="1:3">
      <c r="A1917">
        <v>10000000</v>
      </c>
      <c r="B1917" t="s">
        <v>1803</v>
      </c>
      <c r="C1917" t="s">
        <v>392</v>
      </c>
    </row>
    <row r="1918" spans="1:3">
      <c r="A1918">
        <v>5000000</v>
      </c>
      <c r="B1918" t="s">
        <v>1803</v>
      </c>
      <c r="C1918" t="s">
        <v>392</v>
      </c>
    </row>
    <row r="1919" spans="1:3">
      <c r="A1919">
        <v>2000000</v>
      </c>
      <c r="B1919" t="s">
        <v>1803</v>
      </c>
      <c r="C1919" t="s">
        <v>392</v>
      </c>
    </row>
    <row r="1920" spans="1:3">
      <c r="A1920">
        <v>2000000</v>
      </c>
      <c r="B1920" t="s">
        <v>1803</v>
      </c>
      <c r="C1920" t="s">
        <v>392</v>
      </c>
    </row>
    <row r="1921" spans="1:3">
      <c r="A1921">
        <v>4950000</v>
      </c>
      <c r="B1921" t="s">
        <v>1803</v>
      </c>
      <c r="C1921" t="s">
        <v>392</v>
      </c>
    </row>
    <row r="1922" spans="1:3">
      <c r="A1922">
        <v>2000000</v>
      </c>
      <c r="B1922" t="s">
        <v>1803</v>
      </c>
      <c r="C1922" t="s">
        <v>392</v>
      </c>
    </row>
    <row r="1923" spans="1:3">
      <c r="A1923">
        <v>2000000</v>
      </c>
      <c r="B1923" t="s">
        <v>1803</v>
      </c>
      <c r="C1923" t="s">
        <v>392</v>
      </c>
    </row>
    <row r="1924" spans="1:3">
      <c r="A1924">
        <v>2000000</v>
      </c>
      <c r="B1924" t="s">
        <v>1803</v>
      </c>
      <c r="C1924" t="s">
        <v>392</v>
      </c>
    </row>
    <row r="1925" spans="1:3">
      <c r="A1925">
        <v>2000000</v>
      </c>
      <c r="B1925" t="s">
        <v>1803</v>
      </c>
      <c r="C1925" t="s">
        <v>392</v>
      </c>
    </row>
    <row r="1926" spans="1:3">
      <c r="A1926">
        <v>2044690</v>
      </c>
      <c r="B1926" t="s">
        <v>1803</v>
      </c>
      <c r="C1926" t="s">
        <v>392</v>
      </c>
    </row>
    <row r="1927" spans="1:3">
      <c r="A1927">
        <v>7923249</v>
      </c>
      <c r="B1927" t="s">
        <v>1803</v>
      </c>
      <c r="C1927" t="s">
        <v>392</v>
      </c>
    </row>
    <row r="1928" spans="1:3">
      <c r="A1928">
        <v>2000000</v>
      </c>
      <c r="B1928" t="s">
        <v>1803</v>
      </c>
      <c r="C1928" t="s">
        <v>392</v>
      </c>
    </row>
    <row r="1929" spans="1:3">
      <c r="A1929">
        <v>3600000</v>
      </c>
      <c r="C1929" t="s">
        <v>392</v>
      </c>
    </row>
    <row r="1930" spans="1:3">
      <c r="A1930">
        <v>3600000</v>
      </c>
      <c r="B1930" t="s">
        <v>1803</v>
      </c>
      <c r="C1930" t="s">
        <v>392</v>
      </c>
    </row>
    <row r="1931" spans="1:3">
      <c r="A1931">
        <v>6000000</v>
      </c>
      <c r="C1931" t="s">
        <v>392</v>
      </c>
    </row>
    <row r="1932" spans="1:3">
      <c r="A1932">
        <v>3000000</v>
      </c>
      <c r="B1932" t="s">
        <v>1803</v>
      </c>
      <c r="C1932" t="s">
        <v>392</v>
      </c>
    </row>
    <row r="1933" spans="1:3">
      <c r="A1933">
        <v>3000000</v>
      </c>
      <c r="B1933" t="s">
        <v>1803</v>
      </c>
      <c r="C1933" t="s">
        <v>392</v>
      </c>
    </row>
    <row r="1934" spans="1:3">
      <c r="A1934">
        <v>96217939</v>
      </c>
      <c r="C1934" t="s">
        <v>392</v>
      </c>
    </row>
    <row r="1935" spans="1:3">
      <c r="A1935">
        <v>167725300.96399999</v>
      </c>
      <c r="C1935" t="s">
        <v>392</v>
      </c>
    </row>
    <row r="1936" spans="1:3">
      <c r="A1936">
        <v>0</v>
      </c>
      <c r="C1936" t="s">
        <v>392</v>
      </c>
    </row>
    <row r="1937" spans="1:3">
      <c r="A1937">
        <v>0</v>
      </c>
      <c r="C1937" t="s">
        <v>392</v>
      </c>
    </row>
    <row r="1938" spans="1:3">
      <c r="A1938">
        <v>1103241066.9299998</v>
      </c>
      <c r="C1938" t="s">
        <v>392</v>
      </c>
    </row>
    <row r="1939" spans="1:3">
      <c r="A1939">
        <v>0</v>
      </c>
      <c r="C1939" t="s">
        <v>392</v>
      </c>
    </row>
    <row r="1940" spans="1:3">
      <c r="A1940">
        <v>0</v>
      </c>
      <c r="C1940" t="s">
        <v>392</v>
      </c>
    </row>
    <row r="1941" spans="1:3">
      <c r="A1941">
        <v>1370000</v>
      </c>
      <c r="C1941" t="s">
        <v>392</v>
      </c>
    </row>
    <row r="1942" spans="1:3">
      <c r="A1942">
        <v>1370000</v>
      </c>
      <c r="B1942" t="s">
        <v>1803</v>
      </c>
      <c r="C1942" t="s">
        <v>392</v>
      </c>
    </row>
    <row r="1943" spans="1:3">
      <c r="A1943">
        <v>1370000</v>
      </c>
      <c r="C1943" t="s">
        <v>392</v>
      </c>
    </row>
    <row r="1944" spans="1:3">
      <c r="A1944">
        <v>1370000</v>
      </c>
      <c r="C1944" t="s">
        <v>392</v>
      </c>
    </row>
    <row r="1945" spans="1:3">
      <c r="A1945">
        <v>0</v>
      </c>
      <c r="C1945" t="s">
        <v>392</v>
      </c>
    </row>
    <row r="1946" spans="1:3">
      <c r="A1946">
        <v>0</v>
      </c>
      <c r="C1946" t="s">
        <v>392</v>
      </c>
    </row>
    <row r="1947" spans="1:3">
      <c r="A1947">
        <v>0</v>
      </c>
      <c r="C1947" t="s">
        <v>392</v>
      </c>
    </row>
    <row r="1948" spans="1:3">
      <c r="C1948" t="s">
        <v>392</v>
      </c>
    </row>
    <row r="1949" spans="1:3">
      <c r="A1949">
        <v>374292689.79869449</v>
      </c>
      <c r="C1949" t="s">
        <v>392</v>
      </c>
    </row>
    <row r="1950" spans="1:3">
      <c r="A1950">
        <v>120351535.03928199</v>
      </c>
      <c r="B1950" t="s">
        <v>1803</v>
      </c>
      <c r="C1950" t="s">
        <v>392</v>
      </c>
    </row>
    <row r="1951" spans="1:3">
      <c r="A1951">
        <v>7200000</v>
      </c>
      <c r="B1951" t="s">
        <v>1803</v>
      </c>
      <c r="C1951" t="s">
        <v>392</v>
      </c>
    </row>
    <row r="1952" spans="1:3">
      <c r="A1952">
        <v>32400000</v>
      </c>
      <c r="B1952" t="s">
        <v>1803</v>
      </c>
      <c r="C1952" t="s">
        <v>392</v>
      </c>
    </row>
    <row r="1953" spans="1:3">
      <c r="A1953">
        <v>108000000</v>
      </c>
      <c r="B1953" t="s">
        <v>1803</v>
      </c>
      <c r="C1953" t="s">
        <v>392</v>
      </c>
    </row>
    <row r="1954" spans="1:3">
      <c r="A1954">
        <v>8338052</v>
      </c>
      <c r="B1954" t="s">
        <v>1803</v>
      </c>
      <c r="C1954" t="s">
        <v>392</v>
      </c>
    </row>
    <row r="1955" spans="1:3">
      <c r="A1955">
        <v>15728893.035461299</v>
      </c>
      <c r="B1955" t="s">
        <v>1803</v>
      </c>
      <c r="C1955" t="s">
        <v>392</v>
      </c>
    </row>
    <row r="1956" spans="1:3">
      <c r="A1956">
        <v>6533540.1839608299</v>
      </c>
      <c r="B1956" t="s">
        <v>1803</v>
      </c>
      <c r="C1956" t="s">
        <v>392</v>
      </c>
    </row>
    <row r="1957" spans="1:3">
      <c r="A1957">
        <v>6775523.1537371604</v>
      </c>
      <c r="B1957" t="s">
        <v>1803</v>
      </c>
      <c r="C1957" t="s">
        <v>392</v>
      </c>
    </row>
    <row r="1958" spans="1:3">
      <c r="A1958">
        <v>6049574.24440818</v>
      </c>
      <c r="B1958" t="s">
        <v>1803</v>
      </c>
      <c r="C1958" t="s">
        <v>392</v>
      </c>
    </row>
    <row r="1959" spans="1:3">
      <c r="A1959">
        <v>6049574.24440818</v>
      </c>
      <c r="B1959" t="s">
        <v>1803</v>
      </c>
      <c r="C1959" t="s">
        <v>392</v>
      </c>
    </row>
    <row r="1960" spans="1:3">
      <c r="A1960">
        <v>6049574.24440818</v>
      </c>
      <c r="B1960" t="s">
        <v>1803</v>
      </c>
      <c r="C1960" t="s">
        <v>392</v>
      </c>
    </row>
    <row r="1961" spans="1:3">
      <c r="A1961">
        <v>7259489.0932898102</v>
      </c>
      <c r="B1961" t="s">
        <v>1803</v>
      </c>
      <c r="C1961" t="s">
        <v>392</v>
      </c>
    </row>
    <row r="1962" spans="1:3">
      <c r="A1962">
        <v>7259489.0932898102</v>
      </c>
      <c r="B1962" t="s">
        <v>1803</v>
      </c>
      <c r="C1962" t="s">
        <v>392</v>
      </c>
    </row>
    <row r="1963" spans="1:3">
      <c r="A1963">
        <v>9679318.7910530809</v>
      </c>
      <c r="B1963" t="s">
        <v>1803</v>
      </c>
      <c r="C1963" t="s">
        <v>392</v>
      </c>
    </row>
    <row r="1964" spans="1:3">
      <c r="A1964">
        <v>13309063.337698</v>
      </c>
      <c r="B1964" t="s">
        <v>1803</v>
      </c>
      <c r="C1964" t="s">
        <v>392</v>
      </c>
    </row>
    <row r="1965" spans="1:3">
      <c r="A1965">
        <v>7259489.0932898102</v>
      </c>
      <c r="B1965" t="s">
        <v>1803</v>
      </c>
      <c r="C1965" t="s">
        <v>392</v>
      </c>
    </row>
    <row r="1966" spans="1:3">
      <c r="A1966">
        <v>6049574.24440818</v>
      </c>
      <c r="B1966" t="s">
        <v>1803</v>
      </c>
      <c r="C1966" t="s">
        <v>392</v>
      </c>
    </row>
    <row r="1967" spans="1:3">
      <c r="C1967" t="s">
        <v>392</v>
      </c>
    </row>
    <row r="1968" spans="1:3">
      <c r="C1968" t="s">
        <v>392</v>
      </c>
    </row>
    <row r="1969" spans="1:3">
      <c r="A1969">
        <v>15066000</v>
      </c>
      <c r="B1969" t="s">
        <v>1803</v>
      </c>
      <c r="C1969" t="s">
        <v>392</v>
      </c>
    </row>
    <row r="1970" spans="1:3">
      <c r="A1970">
        <v>34590250</v>
      </c>
      <c r="B1970" t="s">
        <v>1803</v>
      </c>
      <c r="C1970" t="s">
        <v>392</v>
      </c>
    </row>
    <row r="1971" spans="1:3">
      <c r="A1971">
        <v>49656250</v>
      </c>
      <c r="C1971" t="s">
        <v>392</v>
      </c>
    </row>
    <row r="1972" spans="1:3">
      <c r="C1972" t="s">
        <v>392</v>
      </c>
    </row>
    <row r="1973" spans="1:3">
      <c r="C1973" t="s">
        <v>392</v>
      </c>
    </row>
    <row r="1974" spans="1:3">
      <c r="A1974">
        <v>10044000</v>
      </c>
      <c r="B1974" t="s">
        <v>1803</v>
      </c>
      <c r="C1974" t="s">
        <v>392</v>
      </c>
    </row>
    <row r="1975" spans="1:3">
      <c r="A1975">
        <v>10044000</v>
      </c>
      <c r="C1975" t="s">
        <v>392</v>
      </c>
    </row>
    <row r="1976" spans="1:3">
      <c r="C1976" t="s">
        <v>392</v>
      </c>
    </row>
    <row r="1977" spans="1:3">
      <c r="A1977">
        <v>1430184860.7286944</v>
      </c>
      <c r="C1977" t="s">
        <v>392</v>
      </c>
    </row>
    <row r="1978" spans="1:3">
      <c r="A1978">
        <v>108419146</v>
      </c>
      <c r="C1978" t="s">
        <v>392</v>
      </c>
    </row>
    <row r="1979" spans="1:3">
      <c r="A1979">
        <v>1478903756.7286944</v>
      </c>
      <c r="C1979" t="s">
        <v>392</v>
      </c>
    </row>
    <row r="1980" spans="1:3">
      <c r="A1980">
        <v>0</v>
      </c>
      <c r="C1980" t="s">
        <v>392</v>
      </c>
    </row>
    <row r="1981" spans="1:3">
      <c r="A1981">
        <v>0</v>
      </c>
      <c r="C1981" t="s">
        <v>392</v>
      </c>
    </row>
    <row r="1982" spans="1:3">
      <c r="A1982">
        <v>0</v>
      </c>
      <c r="C1982" t="s">
        <v>392</v>
      </c>
    </row>
    <row r="1983" spans="1:3">
      <c r="A1983">
        <v>0</v>
      </c>
      <c r="C1983" t="s">
        <v>392</v>
      </c>
    </row>
    <row r="1984" spans="1:3">
      <c r="A1984">
        <v>905379774</v>
      </c>
      <c r="C1984" t="s">
        <v>392</v>
      </c>
    </row>
    <row r="1985" spans="1:3">
      <c r="A1985">
        <v>905379774</v>
      </c>
      <c r="B1985" t="s">
        <v>1803</v>
      </c>
      <c r="C1985" t="s">
        <v>392</v>
      </c>
    </row>
    <row r="1986" spans="1:3">
      <c r="A1986">
        <v>88920000</v>
      </c>
      <c r="C1986" t="s">
        <v>392</v>
      </c>
    </row>
    <row r="1987" spans="1:3">
      <c r="A1987">
        <v>88920000</v>
      </c>
      <c r="B1987" t="s">
        <v>1803</v>
      </c>
      <c r="C1987" t="s">
        <v>392</v>
      </c>
    </row>
    <row r="1988" spans="1:3">
      <c r="A1988">
        <v>123397.84200000002</v>
      </c>
      <c r="C1988" t="s">
        <v>392</v>
      </c>
    </row>
    <row r="1989" spans="1:3">
      <c r="A1989">
        <v>115910.1</v>
      </c>
      <c r="B1989" t="s">
        <v>1803</v>
      </c>
      <c r="C1989" t="s">
        <v>392</v>
      </c>
    </row>
    <row r="1990" spans="1:3">
      <c r="A1990">
        <v>7487.7420000000102</v>
      </c>
      <c r="B1990" t="s">
        <v>1803</v>
      </c>
      <c r="C1990" t="s">
        <v>392</v>
      </c>
    </row>
    <row r="1991" spans="1:3">
      <c r="A1991">
        <v>1537106</v>
      </c>
      <c r="C1991" t="s">
        <v>392</v>
      </c>
    </row>
    <row r="1992" spans="1:3">
      <c r="A1992">
        <v>1000000</v>
      </c>
      <c r="B1992" t="s">
        <v>1803</v>
      </c>
      <c r="C1992" t="s">
        <v>392</v>
      </c>
    </row>
    <row r="1993" spans="1:3">
      <c r="A1993">
        <v>537106</v>
      </c>
      <c r="B1993" t="s">
        <v>1803</v>
      </c>
      <c r="C1993" t="s">
        <v>392</v>
      </c>
    </row>
    <row r="1994" spans="1:3">
      <c r="A1994">
        <v>480000</v>
      </c>
      <c r="C1994" t="s">
        <v>392</v>
      </c>
    </row>
    <row r="1995" spans="1:3">
      <c r="A1995">
        <v>390000</v>
      </c>
      <c r="B1995" t="s">
        <v>1803</v>
      </c>
      <c r="C1995" t="s">
        <v>392</v>
      </c>
    </row>
    <row r="1996" spans="1:3">
      <c r="A1996">
        <v>90000</v>
      </c>
      <c r="B1996" t="s">
        <v>1803</v>
      </c>
      <c r="C1996" t="s">
        <v>392</v>
      </c>
    </row>
    <row r="1997" spans="1:3">
      <c r="A1997">
        <v>1500000</v>
      </c>
      <c r="C1997" t="s">
        <v>392</v>
      </c>
    </row>
    <row r="1998" spans="1:3">
      <c r="A1998">
        <v>116000</v>
      </c>
      <c r="B1998" t="s">
        <v>1803</v>
      </c>
      <c r="C1998" t="s">
        <v>392</v>
      </c>
    </row>
    <row r="1999" spans="1:3">
      <c r="A1999">
        <v>1384000</v>
      </c>
      <c r="B1999" t="s">
        <v>1803</v>
      </c>
      <c r="C1999" t="s">
        <v>392</v>
      </c>
    </row>
    <row r="2000" spans="1:3">
      <c r="A2000">
        <v>1500000</v>
      </c>
      <c r="C2000" t="s">
        <v>392</v>
      </c>
    </row>
    <row r="2001" spans="1:3">
      <c r="A2001">
        <v>287000</v>
      </c>
      <c r="B2001" t="s">
        <v>1803</v>
      </c>
      <c r="C2001" t="s">
        <v>392</v>
      </c>
    </row>
    <row r="2002" spans="1:3">
      <c r="A2002">
        <v>116000</v>
      </c>
      <c r="B2002" t="s">
        <v>1803</v>
      </c>
      <c r="C2002" t="s">
        <v>392</v>
      </c>
    </row>
    <row r="2003" spans="1:3">
      <c r="A2003">
        <v>170226</v>
      </c>
      <c r="B2003" t="s">
        <v>1803</v>
      </c>
      <c r="C2003" t="s">
        <v>392</v>
      </c>
    </row>
    <row r="2004" spans="1:3">
      <c r="A2004">
        <v>839774</v>
      </c>
      <c r="B2004" t="s">
        <v>1803</v>
      </c>
      <c r="C2004" t="s">
        <v>392</v>
      </c>
    </row>
    <row r="2005" spans="1:3">
      <c r="A2005">
        <v>87000</v>
      </c>
      <c r="B2005" t="s">
        <v>1803</v>
      </c>
      <c r="C2005" t="s">
        <v>392</v>
      </c>
    </row>
    <row r="2006" spans="1:3">
      <c r="A2006">
        <v>892831</v>
      </c>
      <c r="C2006" t="s">
        <v>392</v>
      </c>
    </row>
    <row r="2007" spans="1:3">
      <c r="A2007">
        <v>892831</v>
      </c>
      <c r="B2007" t="s">
        <v>1803</v>
      </c>
      <c r="C2007" t="s">
        <v>392</v>
      </c>
    </row>
    <row r="2008" spans="1:3">
      <c r="A2008">
        <v>500000.24199999997</v>
      </c>
      <c r="C2008" t="s">
        <v>392</v>
      </c>
    </row>
    <row r="2009" spans="1:3">
      <c r="A2009">
        <v>238357.54</v>
      </c>
      <c r="B2009" t="s">
        <v>1803</v>
      </c>
      <c r="C2009" t="s">
        <v>392</v>
      </c>
    </row>
    <row r="2010" spans="1:3">
      <c r="A2010">
        <v>228536.234</v>
      </c>
      <c r="B2010" t="s">
        <v>1803</v>
      </c>
      <c r="C2010" t="s">
        <v>392</v>
      </c>
    </row>
    <row r="2011" spans="1:3">
      <c r="A2011">
        <v>33106.468000000001</v>
      </c>
      <c r="B2011" t="s">
        <v>1803</v>
      </c>
      <c r="C2011" t="s">
        <v>392</v>
      </c>
    </row>
    <row r="2012" spans="1:3">
      <c r="A2012">
        <v>870000</v>
      </c>
      <c r="C2012" t="s">
        <v>392</v>
      </c>
    </row>
    <row r="2013" spans="1:3">
      <c r="A2013">
        <v>870000</v>
      </c>
      <c r="B2013" t="s">
        <v>1803</v>
      </c>
      <c r="C2013" t="s">
        <v>392</v>
      </c>
    </row>
    <row r="2014" spans="1:3">
      <c r="A2014">
        <v>2094000</v>
      </c>
      <c r="C2014" t="s">
        <v>392</v>
      </c>
    </row>
    <row r="2015" spans="1:3">
      <c r="A2015">
        <v>1621392.8</v>
      </c>
      <c r="B2015" t="s">
        <v>1803</v>
      </c>
      <c r="C2015" t="s">
        <v>392</v>
      </c>
    </row>
    <row r="2016" spans="1:3">
      <c r="A2016">
        <v>472607.2</v>
      </c>
      <c r="B2016" t="s">
        <v>1803</v>
      </c>
      <c r="C2016" t="s">
        <v>392</v>
      </c>
    </row>
    <row r="2017" spans="1:3">
      <c r="A2017">
        <v>105000</v>
      </c>
      <c r="C2017" t="s">
        <v>392</v>
      </c>
    </row>
    <row r="2018" spans="1:3">
      <c r="A2018">
        <v>105000</v>
      </c>
      <c r="B2018" t="s">
        <v>1803</v>
      </c>
      <c r="C2018" t="s">
        <v>392</v>
      </c>
    </row>
    <row r="2019" spans="1:3">
      <c r="A2019">
        <v>58050445</v>
      </c>
      <c r="C2019" t="s">
        <v>392</v>
      </c>
    </row>
    <row r="2020" spans="1:3">
      <c r="A2020">
        <v>58050445</v>
      </c>
      <c r="B2020" t="s">
        <v>1803</v>
      </c>
      <c r="C2020" t="s">
        <v>392</v>
      </c>
    </row>
    <row r="2021" spans="1:3">
      <c r="A2021">
        <v>2201800</v>
      </c>
      <c r="C2021" t="s">
        <v>392</v>
      </c>
    </row>
    <row r="2022" spans="1:3">
      <c r="A2022">
        <v>2201800</v>
      </c>
      <c r="B2022" t="s">
        <v>1803</v>
      </c>
      <c r="C2022" t="s">
        <v>392</v>
      </c>
    </row>
    <row r="2023" spans="1:3">
      <c r="A2023">
        <v>2000000</v>
      </c>
      <c r="C2023" t="s">
        <v>392</v>
      </c>
    </row>
    <row r="2024" spans="1:3">
      <c r="A2024">
        <v>950000</v>
      </c>
      <c r="B2024" t="s">
        <v>1803</v>
      </c>
      <c r="C2024" t="s">
        <v>392</v>
      </c>
    </row>
    <row r="2025" spans="1:3">
      <c r="A2025">
        <v>1050000</v>
      </c>
      <c r="B2025" t="s">
        <v>1803</v>
      </c>
      <c r="C2025" t="s">
        <v>392</v>
      </c>
    </row>
    <row r="2026" spans="1:3">
      <c r="A2026">
        <v>1066154354.084</v>
      </c>
      <c r="C2026" t="s">
        <v>392</v>
      </c>
    </row>
    <row r="2027" spans="1:3">
      <c r="C2027" t="s">
        <v>392</v>
      </c>
    </row>
    <row r="2028" spans="1:3">
      <c r="C2028" t="s">
        <v>392</v>
      </c>
    </row>
    <row r="2029" spans="1:3">
      <c r="A2029">
        <v>7150000</v>
      </c>
      <c r="C2029" t="s">
        <v>392</v>
      </c>
    </row>
    <row r="2030" spans="1:3">
      <c r="A2030">
        <v>3000000</v>
      </c>
      <c r="B2030" t="s">
        <v>1803</v>
      </c>
      <c r="C2030" t="s">
        <v>392</v>
      </c>
    </row>
    <row r="2031" spans="1:3">
      <c r="A2031">
        <v>1200000</v>
      </c>
      <c r="B2031" t="s">
        <v>1803</v>
      </c>
      <c r="C2031" t="s">
        <v>392</v>
      </c>
    </row>
    <row r="2032" spans="1:3">
      <c r="A2032">
        <v>1000000</v>
      </c>
      <c r="B2032" t="s">
        <v>1803</v>
      </c>
      <c r="C2032" t="s">
        <v>392</v>
      </c>
    </row>
    <row r="2033" spans="1:3">
      <c r="A2033">
        <v>1950000</v>
      </c>
      <c r="B2033" t="s">
        <v>1803</v>
      </c>
      <c r="C2033" t="s">
        <v>392</v>
      </c>
    </row>
    <row r="2034" spans="1:3">
      <c r="A2034">
        <v>12261165</v>
      </c>
      <c r="C2034" t="s">
        <v>392</v>
      </c>
    </row>
    <row r="2035" spans="1:3">
      <c r="A2035">
        <v>6200000</v>
      </c>
      <c r="B2035" t="s">
        <v>1803</v>
      </c>
      <c r="C2035" t="s">
        <v>392</v>
      </c>
    </row>
    <row r="2036" spans="1:3">
      <c r="A2036">
        <v>2061165</v>
      </c>
      <c r="B2036" t="s">
        <v>1803</v>
      </c>
      <c r="C2036" t="s">
        <v>392</v>
      </c>
    </row>
    <row r="2037" spans="1:3">
      <c r="A2037">
        <v>4000000</v>
      </c>
      <c r="B2037" t="s">
        <v>1803</v>
      </c>
      <c r="C2037" t="s">
        <v>392</v>
      </c>
    </row>
    <row r="2038" spans="1:3">
      <c r="A2038">
        <v>19411165</v>
      </c>
      <c r="C2038" t="s">
        <v>392</v>
      </c>
    </row>
    <row r="2039" spans="1:3">
      <c r="A2039">
        <v>1085565519.0840001</v>
      </c>
      <c r="C2039" t="s">
        <v>392</v>
      </c>
    </row>
    <row r="2040" spans="1:3">
      <c r="C2040" t="s">
        <v>392</v>
      </c>
    </row>
    <row r="2041" spans="1:3">
      <c r="C2041" t="s">
        <v>392</v>
      </c>
    </row>
    <row r="2042" spans="1:3">
      <c r="A2042">
        <v>1084100</v>
      </c>
      <c r="C2042" t="s">
        <v>392</v>
      </c>
    </row>
    <row r="2043" spans="1:3">
      <c r="A2043">
        <v>534000</v>
      </c>
      <c r="B2043" t="s">
        <v>1803</v>
      </c>
      <c r="C2043" t="s">
        <v>392</v>
      </c>
    </row>
    <row r="2044" spans="1:3">
      <c r="A2044">
        <v>300000</v>
      </c>
      <c r="B2044" t="s">
        <v>1803</v>
      </c>
      <c r="C2044" t="s">
        <v>392</v>
      </c>
    </row>
    <row r="2045" spans="1:3">
      <c r="A2045">
        <v>250100</v>
      </c>
      <c r="B2045" t="s">
        <v>1803</v>
      </c>
      <c r="C2045" t="s">
        <v>392</v>
      </c>
    </row>
    <row r="2046" spans="1:3">
      <c r="A2046">
        <v>872000</v>
      </c>
      <c r="C2046" t="s">
        <v>392</v>
      </c>
    </row>
    <row r="2047" spans="1:3">
      <c r="A2047">
        <v>872000</v>
      </c>
      <c r="B2047" t="s">
        <v>1803</v>
      </c>
      <c r="C2047" t="s">
        <v>392</v>
      </c>
    </row>
    <row r="2048" spans="1:3">
      <c r="A2048">
        <v>43900</v>
      </c>
      <c r="C2048" t="s">
        <v>392</v>
      </c>
    </row>
    <row r="2049" spans="1:3">
      <c r="A2049">
        <v>43900</v>
      </c>
      <c r="B2049" t="s">
        <v>1803</v>
      </c>
      <c r="C2049" t="s">
        <v>392</v>
      </c>
    </row>
    <row r="2050" spans="1:3">
      <c r="A2050">
        <v>2000000</v>
      </c>
      <c r="C2050" t="s">
        <v>392</v>
      </c>
    </row>
    <row r="2051" spans="1:3">
      <c r="C2051" t="s">
        <v>392</v>
      </c>
    </row>
    <row r="2052" spans="1:3">
      <c r="C2052" t="s">
        <v>392</v>
      </c>
    </row>
    <row r="2053" spans="1:3">
      <c r="A2053">
        <v>0</v>
      </c>
      <c r="C2053" t="s">
        <v>392</v>
      </c>
    </row>
    <row r="2054" spans="1:3">
      <c r="A2054">
        <v>3557250</v>
      </c>
      <c r="B2054" t="s">
        <v>1803</v>
      </c>
      <c r="C2054" t="s">
        <v>392</v>
      </c>
    </row>
    <row r="2055" spans="1:3">
      <c r="A2055">
        <v>3557250</v>
      </c>
      <c r="C2055" t="s">
        <v>392</v>
      </c>
    </row>
    <row r="2056" spans="1:3">
      <c r="C2056" t="s">
        <v>392</v>
      </c>
    </row>
    <row r="2057" spans="1:3">
      <c r="C2057" t="s">
        <v>392</v>
      </c>
    </row>
    <row r="2058" spans="1:3">
      <c r="A2058">
        <v>0</v>
      </c>
      <c r="C2058" t="s">
        <v>392</v>
      </c>
    </row>
    <row r="2059" spans="1:3">
      <c r="A2059">
        <v>2004170.22</v>
      </c>
      <c r="C2059" t="s">
        <v>392</v>
      </c>
    </row>
    <row r="2060" spans="1:3">
      <c r="A2060">
        <v>2004170.22</v>
      </c>
      <c r="B2060" t="s">
        <v>1803</v>
      </c>
      <c r="C2060" t="s">
        <v>392</v>
      </c>
    </row>
    <row r="2061" spans="1:3">
      <c r="A2061">
        <v>440000</v>
      </c>
      <c r="C2061" t="s">
        <v>392</v>
      </c>
    </row>
    <row r="2062" spans="1:3">
      <c r="A2062">
        <v>440000</v>
      </c>
      <c r="B2062" t="s">
        <v>1803</v>
      </c>
      <c r="C2062" t="s">
        <v>392</v>
      </c>
    </row>
    <row r="2063" spans="1:3">
      <c r="A2063">
        <v>800000</v>
      </c>
      <c r="C2063" t="s">
        <v>392</v>
      </c>
    </row>
    <row r="2064" spans="1:3">
      <c r="A2064">
        <v>550000</v>
      </c>
      <c r="B2064" t="s">
        <v>1803</v>
      </c>
      <c r="C2064" t="s">
        <v>392</v>
      </c>
    </row>
    <row r="2065" spans="1:3">
      <c r="A2065">
        <v>250000</v>
      </c>
      <c r="B2065" t="s">
        <v>1803</v>
      </c>
      <c r="C2065" t="s">
        <v>392</v>
      </c>
    </row>
    <row r="2066" spans="1:3">
      <c r="A2066">
        <v>3244170.2199999997</v>
      </c>
      <c r="C2066" t="s">
        <v>392</v>
      </c>
    </row>
    <row r="2067" spans="1:3">
      <c r="A2067">
        <v>0</v>
      </c>
      <c r="C2067" t="s">
        <v>392</v>
      </c>
    </row>
    <row r="2068" spans="1:3">
      <c r="A2068">
        <v>0</v>
      </c>
      <c r="C2068" t="s">
        <v>392</v>
      </c>
    </row>
    <row r="2069" spans="1:3">
      <c r="A2069">
        <v>60900</v>
      </c>
      <c r="C2069" t="s">
        <v>392</v>
      </c>
    </row>
    <row r="2070" spans="1:3">
      <c r="A2070">
        <v>60900</v>
      </c>
      <c r="B2070" t="s">
        <v>1803</v>
      </c>
      <c r="C2070" t="s">
        <v>392</v>
      </c>
    </row>
    <row r="2071" spans="1:3">
      <c r="A2071">
        <v>2073000</v>
      </c>
      <c r="C2071" t="s">
        <v>392</v>
      </c>
    </row>
    <row r="2072" spans="1:3">
      <c r="A2072">
        <v>835000</v>
      </c>
      <c r="B2072" t="s">
        <v>1803</v>
      </c>
      <c r="C2072" t="s">
        <v>392</v>
      </c>
    </row>
    <row r="2073" spans="1:3">
      <c r="A2073">
        <v>490000</v>
      </c>
      <c r="B2073" t="s">
        <v>1803</v>
      </c>
      <c r="C2073" t="s">
        <v>392</v>
      </c>
    </row>
    <row r="2074" spans="1:3">
      <c r="A2074">
        <v>748000</v>
      </c>
      <c r="B2074" t="s">
        <v>1803</v>
      </c>
      <c r="C2074" t="s">
        <v>392</v>
      </c>
    </row>
    <row r="2075" spans="1:3">
      <c r="A2075">
        <v>525969</v>
      </c>
      <c r="C2075" t="s">
        <v>392</v>
      </c>
    </row>
    <row r="2076" spans="1:3">
      <c r="A2076">
        <v>525969</v>
      </c>
      <c r="B2076" t="s">
        <v>1803</v>
      </c>
      <c r="C2076" t="s">
        <v>392</v>
      </c>
    </row>
    <row r="2077" spans="1:3">
      <c r="A2077">
        <v>2659869</v>
      </c>
      <c r="C2077" t="s">
        <v>392</v>
      </c>
    </row>
    <row r="2078" spans="1:3">
      <c r="A2078">
        <v>2659869</v>
      </c>
      <c r="C2078" t="s">
        <v>392</v>
      </c>
    </row>
    <row r="2079" spans="1:3">
      <c r="A2079">
        <v>0</v>
      </c>
      <c r="C2079" t="s">
        <v>392</v>
      </c>
    </row>
    <row r="2080" spans="1:3">
      <c r="A2080">
        <v>0</v>
      </c>
      <c r="C2080" t="s">
        <v>392</v>
      </c>
    </row>
    <row r="2081" spans="1:3">
      <c r="A2081">
        <v>424194.02</v>
      </c>
      <c r="C2081" t="s">
        <v>392</v>
      </c>
    </row>
    <row r="2082" spans="1:3">
      <c r="A2082">
        <v>424194.02</v>
      </c>
      <c r="B2082" t="s">
        <v>1803</v>
      </c>
      <c r="C2082" t="s">
        <v>392</v>
      </c>
    </row>
    <row r="2083" spans="1:3">
      <c r="A2083">
        <v>109748.702</v>
      </c>
      <c r="C2083" t="s">
        <v>392</v>
      </c>
    </row>
    <row r="2084" spans="1:3">
      <c r="A2084">
        <v>109748.702</v>
      </c>
      <c r="B2084" t="s">
        <v>1803</v>
      </c>
      <c r="C2084" t="s">
        <v>392</v>
      </c>
    </row>
    <row r="2085" spans="1:3">
      <c r="A2085">
        <v>750000</v>
      </c>
      <c r="C2085" t="s">
        <v>392</v>
      </c>
    </row>
    <row r="2086" spans="1:3">
      <c r="A2086">
        <v>750000</v>
      </c>
      <c r="B2086" t="s">
        <v>1803</v>
      </c>
      <c r="C2086" t="s">
        <v>392</v>
      </c>
    </row>
    <row r="2087" spans="1:3">
      <c r="A2087">
        <v>906000</v>
      </c>
      <c r="C2087" t="s">
        <v>392</v>
      </c>
    </row>
    <row r="2088" spans="1:3">
      <c r="A2088">
        <v>906000</v>
      </c>
      <c r="B2088" t="s">
        <v>1803</v>
      </c>
      <c r="C2088" t="s">
        <v>392</v>
      </c>
    </row>
    <row r="2089" spans="1:3">
      <c r="A2089">
        <v>2189942.7220000001</v>
      </c>
      <c r="C2089" t="s">
        <v>392</v>
      </c>
    </row>
    <row r="2090" spans="1:3">
      <c r="A2090">
        <v>0</v>
      </c>
      <c r="C2090" t="s">
        <v>392</v>
      </c>
    </row>
    <row r="2091" spans="1:3">
      <c r="A2091">
        <v>0</v>
      </c>
      <c r="C2091" t="s">
        <v>392</v>
      </c>
    </row>
    <row r="2092" spans="1:3">
      <c r="A2092">
        <v>1500000</v>
      </c>
      <c r="C2092" t="s">
        <v>392</v>
      </c>
    </row>
    <row r="2093" spans="1:3">
      <c r="A2093">
        <v>550000</v>
      </c>
      <c r="B2093" t="s">
        <v>1803</v>
      </c>
      <c r="C2093" t="s">
        <v>392</v>
      </c>
    </row>
    <row r="2094" spans="1:3">
      <c r="A2094">
        <v>345000</v>
      </c>
      <c r="B2094" t="s">
        <v>1803</v>
      </c>
      <c r="C2094" t="s">
        <v>392</v>
      </c>
    </row>
    <row r="2095" spans="1:3">
      <c r="A2095">
        <v>605000</v>
      </c>
      <c r="B2095" t="s">
        <v>1803</v>
      </c>
      <c r="C2095" t="s">
        <v>392</v>
      </c>
    </row>
    <row r="2096" spans="1:3">
      <c r="A2096">
        <v>181200</v>
      </c>
      <c r="C2096" t="s">
        <v>392</v>
      </c>
    </row>
    <row r="2097" spans="1:3">
      <c r="A2097">
        <v>181200</v>
      </c>
      <c r="B2097" t="s">
        <v>1803</v>
      </c>
      <c r="C2097" t="s">
        <v>392</v>
      </c>
    </row>
    <row r="2098" spans="1:3">
      <c r="A2098">
        <v>1681200</v>
      </c>
      <c r="C2098" t="s">
        <v>392</v>
      </c>
    </row>
    <row r="2099" spans="1:3">
      <c r="A2099">
        <v>1681200</v>
      </c>
      <c r="C2099" t="s">
        <v>392</v>
      </c>
    </row>
    <row r="2100" spans="1:3">
      <c r="A2100">
        <v>0</v>
      </c>
      <c r="C2100" t="s">
        <v>392</v>
      </c>
    </row>
    <row r="2101" spans="1:3">
      <c r="A2101">
        <v>0</v>
      </c>
      <c r="C2101" t="s">
        <v>392</v>
      </c>
    </row>
    <row r="2102" spans="1:3">
      <c r="A2102">
        <v>556784.005</v>
      </c>
      <c r="C2102" t="s">
        <v>392</v>
      </c>
    </row>
    <row r="2103" spans="1:3">
      <c r="A2103">
        <v>556784.005</v>
      </c>
      <c r="B2103" t="s">
        <v>1803</v>
      </c>
      <c r="C2103" t="s">
        <v>392</v>
      </c>
    </row>
    <row r="2104" spans="1:3">
      <c r="A2104">
        <v>1945790.4679999999</v>
      </c>
      <c r="C2104" t="s">
        <v>392</v>
      </c>
    </row>
    <row r="2105" spans="1:3">
      <c r="A2105">
        <v>31212.468000000001</v>
      </c>
      <c r="B2105" t="s">
        <v>1803</v>
      </c>
      <c r="C2105" t="s">
        <v>392</v>
      </c>
    </row>
    <row r="2106" spans="1:3">
      <c r="A2106">
        <v>297440</v>
      </c>
      <c r="B2106" t="s">
        <v>1803</v>
      </c>
      <c r="C2106" t="s">
        <v>392</v>
      </c>
    </row>
    <row r="2107" spans="1:3">
      <c r="A2107">
        <v>1617138</v>
      </c>
      <c r="B2107" t="s">
        <v>1803</v>
      </c>
      <c r="C2107" t="s">
        <v>392</v>
      </c>
    </row>
    <row r="2108" spans="1:3">
      <c r="A2108">
        <v>300000</v>
      </c>
      <c r="C2108" t="s">
        <v>392</v>
      </c>
    </row>
    <row r="2109" spans="1:3">
      <c r="A2109">
        <v>300000</v>
      </c>
      <c r="B2109" t="s">
        <v>1803</v>
      </c>
      <c r="C2109" t="s">
        <v>392</v>
      </c>
    </row>
    <row r="2110" spans="1:3">
      <c r="A2110">
        <v>2802574.4729999998</v>
      </c>
      <c r="C2110" t="s">
        <v>392</v>
      </c>
    </row>
    <row r="2111" spans="1:3">
      <c r="A2111">
        <v>0</v>
      </c>
      <c r="C2111" t="s">
        <v>392</v>
      </c>
    </row>
    <row r="2112" spans="1:3">
      <c r="A2112">
        <v>0</v>
      </c>
      <c r="C2112" t="s">
        <v>392</v>
      </c>
    </row>
    <row r="2113" spans="1:3">
      <c r="A2113">
        <v>2847337.4416</v>
      </c>
      <c r="C2113" t="s">
        <v>392</v>
      </c>
    </row>
    <row r="2114" spans="1:3">
      <c r="A2114">
        <v>896000</v>
      </c>
      <c r="B2114" t="s">
        <v>1803</v>
      </c>
      <c r="C2114" t="s">
        <v>392</v>
      </c>
    </row>
    <row r="2115" spans="1:3">
      <c r="A2115">
        <v>970000</v>
      </c>
      <c r="B2115" t="s">
        <v>1803</v>
      </c>
      <c r="C2115" t="s">
        <v>392</v>
      </c>
    </row>
    <row r="2116" spans="1:3">
      <c r="A2116">
        <v>981337.44160000002</v>
      </c>
      <c r="B2116" t="s">
        <v>1803</v>
      </c>
      <c r="C2116" t="s">
        <v>392</v>
      </c>
    </row>
    <row r="2117" spans="1:3">
      <c r="A2117">
        <v>780000</v>
      </c>
      <c r="C2117" t="s">
        <v>392</v>
      </c>
    </row>
    <row r="2118" spans="1:3">
      <c r="A2118">
        <v>780000</v>
      </c>
      <c r="B2118" t="s">
        <v>1803</v>
      </c>
      <c r="C2118" t="s">
        <v>392</v>
      </c>
    </row>
    <row r="2119" spans="1:3">
      <c r="A2119">
        <v>3627337.4416</v>
      </c>
      <c r="C2119" t="s">
        <v>392</v>
      </c>
    </row>
    <row r="2120" spans="1:3">
      <c r="A2120">
        <v>3627337.4416</v>
      </c>
      <c r="C2120" t="s">
        <v>392</v>
      </c>
    </row>
    <row r="2121" spans="1:3">
      <c r="A2121">
        <v>0</v>
      </c>
      <c r="C2121" t="s">
        <v>392</v>
      </c>
    </row>
    <row r="2122" spans="1:3">
      <c r="A2122">
        <v>1084359447.9405999</v>
      </c>
      <c r="C2122" t="s">
        <v>392</v>
      </c>
    </row>
    <row r="2123" spans="1:3">
      <c r="A2123">
        <v>0</v>
      </c>
      <c r="C2123" t="s">
        <v>392</v>
      </c>
    </row>
    <row r="2124" spans="1:3">
      <c r="A2124">
        <v>0</v>
      </c>
      <c r="C2124" t="s">
        <v>392</v>
      </c>
    </row>
    <row r="2125" spans="1:3">
      <c r="A2125">
        <v>0</v>
      </c>
      <c r="C2125" t="s">
        <v>392</v>
      </c>
    </row>
    <row r="2126" spans="1:3">
      <c r="A2126">
        <v>0</v>
      </c>
      <c r="C2126" t="s">
        <v>392</v>
      </c>
    </row>
    <row r="2127" spans="1:3">
      <c r="A2127">
        <v>0</v>
      </c>
      <c r="C2127" t="s">
        <v>392</v>
      </c>
    </row>
    <row r="2128" spans="1:3">
      <c r="A2128">
        <v>772253076</v>
      </c>
      <c r="C2128" t="s">
        <v>392</v>
      </c>
    </row>
    <row r="2129" spans="1:3">
      <c r="A2129">
        <v>772253076</v>
      </c>
      <c r="B2129" t="s">
        <v>1803</v>
      </c>
      <c r="C2129" t="s">
        <v>392</v>
      </c>
    </row>
    <row r="2130" spans="1:3">
      <c r="A2130">
        <v>1200000</v>
      </c>
      <c r="C2130" t="s">
        <v>392</v>
      </c>
    </row>
    <row r="2131" spans="1:3">
      <c r="A2131">
        <v>1200000</v>
      </c>
      <c r="B2131" t="s">
        <v>1803</v>
      </c>
      <c r="C2131" t="s">
        <v>392</v>
      </c>
    </row>
    <row r="2132" spans="1:3">
      <c r="A2132">
        <v>129197.842</v>
      </c>
      <c r="C2132" t="s">
        <v>392</v>
      </c>
    </row>
    <row r="2133" spans="1:3">
      <c r="A2133">
        <v>116000</v>
      </c>
      <c r="B2133" t="s">
        <v>1803</v>
      </c>
      <c r="C2133" t="s">
        <v>392</v>
      </c>
    </row>
    <row r="2134" spans="1:3">
      <c r="A2134">
        <v>13197.842000000001</v>
      </c>
      <c r="B2134" t="s">
        <v>1803</v>
      </c>
      <c r="C2134" t="s">
        <v>392</v>
      </c>
    </row>
    <row r="2135" spans="1:3">
      <c r="A2135">
        <v>6578234</v>
      </c>
      <c r="C2135" t="s">
        <v>392</v>
      </c>
    </row>
    <row r="2136" spans="1:3">
      <c r="A2136">
        <v>3400000</v>
      </c>
      <c r="B2136" t="s">
        <v>1803</v>
      </c>
      <c r="C2136" t="s">
        <v>392</v>
      </c>
    </row>
    <row r="2137" spans="1:3">
      <c r="A2137">
        <v>1000000</v>
      </c>
      <c r="B2137" t="s">
        <v>1803</v>
      </c>
      <c r="C2137" t="s">
        <v>392</v>
      </c>
    </row>
    <row r="2138" spans="1:3">
      <c r="A2138">
        <v>2178234</v>
      </c>
      <c r="B2138" t="s">
        <v>1803</v>
      </c>
      <c r="C2138" t="s">
        <v>392</v>
      </c>
    </row>
    <row r="2139" spans="1:3">
      <c r="A2139">
        <v>439999.73</v>
      </c>
      <c r="C2139" t="s">
        <v>392</v>
      </c>
    </row>
    <row r="2140" spans="1:3">
      <c r="A2140">
        <v>311766</v>
      </c>
      <c r="B2140" t="s">
        <v>1803</v>
      </c>
      <c r="C2140" t="s">
        <v>392</v>
      </c>
    </row>
    <row r="2141" spans="1:3">
      <c r="A2141">
        <v>128233.73</v>
      </c>
      <c r="B2141" t="s">
        <v>1803</v>
      </c>
      <c r="C2141" t="s">
        <v>392</v>
      </c>
    </row>
    <row r="2142" spans="1:3">
      <c r="A2142">
        <v>1116000</v>
      </c>
      <c r="C2142" t="s">
        <v>392</v>
      </c>
    </row>
    <row r="2143" spans="1:3">
      <c r="A2143">
        <v>616000</v>
      </c>
      <c r="B2143" t="s">
        <v>1803</v>
      </c>
      <c r="C2143" t="s">
        <v>392</v>
      </c>
    </row>
    <row r="2144" spans="1:3">
      <c r="A2144">
        <v>500000</v>
      </c>
      <c r="B2144" t="s">
        <v>1803</v>
      </c>
      <c r="C2144" t="s">
        <v>392</v>
      </c>
    </row>
    <row r="2145" spans="1:3">
      <c r="A2145">
        <v>1500000</v>
      </c>
      <c r="C2145" t="s">
        <v>392</v>
      </c>
    </row>
    <row r="2146" spans="1:3">
      <c r="A2146">
        <v>163000</v>
      </c>
      <c r="B2146" t="s">
        <v>1803</v>
      </c>
      <c r="C2146" t="s">
        <v>392</v>
      </c>
    </row>
    <row r="2147" spans="1:3">
      <c r="A2147">
        <v>290000</v>
      </c>
      <c r="B2147" t="s">
        <v>1803</v>
      </c>
      <c r="C2147" t="s">
        <v>392</v>
      </c>
    </row>
    <row r="2148" spans="1:3">
      <c r="A2148">
        <v>145000</v>
      </c>
      <c r="B2148" t="s">
        <v>1803</v>
      </c>
      <c r="C2148" t="s">
        <v>392</v>
      </c>
    </row>
    <row r="2149" spans="1:3">
      <c r="A2149">
        <v>804000</v>
      </c>
      <c r="B2149" t="s">
        <v>1803</v>
      </c>
      <c r="C2149" t="s">
        <v>392</v>
      </c>
    </row>
    <row r="2150" spans="1:3">
      <c r="A2150">
        <v>98000</v>
      </c>
      <c r="B2150" t="s">
        <v>1803</v>
      </c>
      <c r="C2150" t="s">
        <v>392</v>
      </c>
    </row>
    <row r="2151" spans="1:3">
      <c r="A2151">
        <v>1900000</v>
      </c>
      <c r="C2151" t="s">
        <v>392</v>
      </c>
    </row>
    <row r="2152" spans="1:3">
      <c r="A2152">
        <v>500000</v>
      </c>
      <c r="B2152" t="s">
        <v>1803</v>
      </c>
      <c r="C2152" t="s">
        <v>392</v>
      </c>
    </row>
    <row r="2153" spans="1:3">
      <c r="A2153">
        <v>600000</v>
      </c>
      <c r="B2153" t="s">
        <v>1803</v>
      </c>
      <c r="C2153" t="s">
        <v>392</v>
      </c>
    </row>
    <row r="2154" spans="1:3">
      <c r="A2154">
        <v>800000</v>
      </c>
      <c r="B2154" t="s">
        <v>1803</v>
      </c>
      <c r="C2154" t="s">
        <v>392</v>
      </c>
    </row>
    <row r="2155" spans="1:3">
      <c r="A2155">
        <v>330587834</v>
      </c>
      <c r="C2155" t="s">
        <v>392</v>
      </c>
    </row>
    <row r="2156" spans="1:3">
      <c r="A2156">
        <v>218512729</v>
      </c>
      <c r="B2156" t="s">
        <v>1803</v>
      </c>
      <c r="C2156" t="s">
        <v>392</v>
      </c>
    </row>
    <row r="2157" spans="1:3">
      <c r="A2157">
        <v>112075105</v>
      </c>
      <c r="B2157" t="s">
        <v>1803</v>
      </c>
      <c r="C2157" t="s">
        <v>392</v>
      </c>
    </row>
    <row r="2158" spans="1:3">
      <c r="A2158">
        <v>499999.77399999998</v>
      </c>
      <c r="C2158" t="s">
        <v>392</v>
      </c>
    </row>
    <row r="2159" spans="1:3">
      <c r="A2159">
        <v>278357.53999999998</v>
      </c>
      <c r="B2159" t="s">
        <v>1803</v>
      </c>
      <c r="C2159" t="s">
        <v>392</v>
      </c>
    </row>
    <row r="2160" spans="1:3">
      <c r="A2160">
        <v>161136.234</v>
      </c>
      <c r="B2160" t="s">
        <v>1803</v>
      </c>
      <c r="C2160" t="s">
        <v>392</v>
      </c>
    </row>
    <row r="2161" spans="1:3">
      <c r="A2161">
        <v>60506</v>
      </c>
      <c r="B2161" t="s">
        <v>1803</v>
      </c>
      <c r="C2161" t="s">
        <v>392</v>
      </c>
    </row>
    <row r="2162" spans="1:3">
      <c r="A2162">
        <v>3000000</v>
      </c>
      <c r="C2162" t="s">
        <v>392</v>
      </c>
    </row>
    <row r="2163" spans="1:3">
      <c r="A2163">
        <v>3000000</v>
      </c>
      <c r="B2163" t="s">
        <v>1803</v>
      </c>
      <c r="C2163" t="s">
        <v>392</v>
      </c>
    </row>
    <row r="2164" spans="1:3">
      <c r="A2164">
        <v>999999.6</v>
      </c>
      <c r="C2164" t="s">
        <v>392</v>
      </c>
    </row>
    <row r="2165" spans="1:3">
      <c r="A2165">
        <v>737749</v>
      </c>
      <c r="B2165" t="s">
        <v>1803</v>
      </c>
      <c r="C2165" t="s">
        <v>392</v>
      </c>
    </row>
    <row r="2166" spans="1:3">
      <c r="A2166">
        <v>262250.59999999998</v>
      </c>
      <c r="B2166" t="s">
        <v>1803</v>
      </c>
      <c r="C2166" t="s">
        <v>392</v>
      </c>
    </row>
    <row r="2167" spans="1:3">
      <c r="A2167">
        <v>8029307.0539999995</v>
      </c>
      <c r="C2167" t="s">
        <v>392</v>
      </c>
    </row>
    <row r="2168" spans="1:3">
      <c r="A2168">
        <v>8000000</v>
      </c>
      <c r="B2168" t="s">
        <v>1803</v>
      </c>
      <c r="C2168" t="s">
        <v>392</v>
      </c>
    </row>
    <row r="2169" spans="1:3">
      <c r="A2169">
        <v>29307.054</v>
      </c>
      <c r="B2169" t="s">
        <v>1803</v>
      </c>
      <c r="C2169" t="s">
        <v>392</v>
      </c>
    </row>
    <row r="2170" spans="1:3">
      <c r="A2170">
        <v>1800000</v>
      </c>
      <c r="C2170" t="s">
        <v>392</v>
      </c>
    </row>
    <row r="2171" spans="1:3">
      <c r="A2171">
        <v>950000</v>
      </c>
      <c r="B2171" t="s">
        <v>1803</v>
      </c>
      <c r="C2171" t="s">
        <v>392</v>
      </c>
    </row>
    <row r="2172" spans="1:3">
      <c r="A2172">
        <v>850000</v>
      </c>
      <c r="B2172" t="s">
        <v>1803</v>
      </c>
      <c r="C2172" t="s">
        <v>392</v>
      </c>
    </row>
    <row r="2173" spans="1:3">
      <c r="A2173">
        <v>1130033648</v>
      </c>
      <c r="C2173" t="s">
        <v>392</v>
      </c>
    </row>
    <row r="2174" spans="1:3">
      <c r="A2174">
        <v>0</v>
      </c>
      <c r="C2174" t="s">
        <v>392</v>
      </c>
    </row>
    <row r="2175" spans="1:3">
      <c r="A2175">
        <v>0</v>
      </c>
      <c r="C2175" t="s">
        <v>392</v>
      </c>
    </row>
    <row r="2176" spans="1:3">
      <c r="A2176">
        <v>36387168</v>
      </c>
      <c r="C2176" t="s">
        <v>392</v>
      </c>
    </row>
    <row r="2177" spans="1:3">
      <c r="A2177">
        <v>5200000</v>
      </c>
      <c r="B2177" t="s">
        <v>1803</v>
      </c>
      <c r="C2177" t="s">
        <v>392</v>
      </c>
    </row>
    <row r="2178" spans="1:3">
      <c r="A2178">
        <v>3000000</v>
      </c>
      <c r="B2178" t="s">
        <v>1803</v>
      </c>
      <c r="C2178" t="s">
        <v>392</v>
      </c>
    </row>
    <row r="2179" spans="1:3">
      <c r="A2179">
        <v>452400</v>
      </c>
      <c r="B2179" t="s">
        <v>1803</v>
      </c>
      <c r="C2179" t="s">
        <v>392</v>
      </c>
    </row>
    <row r="2180" spans="1:3">
      <c r="A2180">
        <v>4200000</v>
      </c>
      <c r="B2180" t="s">
        <v>1803</v>
      </c>
      <c r="C2180" t="s">
        <v>392</v>
      </c>
    </row>
    <row r="2181" spans="1:3">
      <c r="A2181">
        <v>2000000</v>
      </c>
      <c r="B2181" t="s">
        <v>1803</v>
      </c>
      <c r="C2181" t="s">
        <v>392</v>
      </c>
    </row>
    <row r="2182" spans="1:3">
      <c r="A2182">
        <v>2000000</v>
      </c>
      <c r="B2182" t="s">
        <v>1803</v>
      </c>
      <c r="C2182" t="s">
        <v>392</v>
      </c>
    </row>
    <row r="2183" spans="1:3">
      <c r="A2183">
        <v>2553820</v>
      </c>
      <c r="B2183" t="s">
        <v>1803</v>
      </c>
      <c r="C2183" t="s">
        <v>392</v>
      </c>
    </row>
    <row r="2184" spans="1:3">
      <c r="A2184">
        <v>2500000</v>
      </c>
      <c r="B2184" t="s">
        <v>1803</v>
      </c>
      <c r="C2184" t="s">
        <v>392</v>
      </c>
    </row>
    <row r="2185" spans="1:3">
      <c r="A2185">
        <v>3250000</v>
      </c>
      <c r="B2185" t="s">
        <v>1803</v>
      </c>
      <c r="C2185" t="s">
        <v>392</v>
      </c>
    </row>
    <row r="2186" spans="1:3">
      <c r="A2186">
        <v>3250000</v>
      </c>
      <c r="B2186" t="s">
        <v>1803</v>
      </c>
      <c r="C2186" t="s">
        <v>392</v>
      </c>
    </row>
    <row r="2187" spans="1:3">
      <c r="A2187">
        <v>3000948</v>
      </c>
      <c r="B2187" t="s">
        <v>1803</v>
      </c>
      <c r="C2187" t="s">
        <v>392</v>
      </c>
    </row>
    <row r="2188" spans="1:3">
      <c r="A2188">
        <v>600000</v>
      </c>
      <c r="B2188" t="s">
        <v>1803</v>
      </c>
      <c r="C2188" t="s">
        <v>392</v>
      </c>
    </row>
    <row r="2189" spans="1:3">
      <c r="A2189">
        <v>4380000</v>
      </c>
      <c r="B2189" t="s">
        <v>1803</v>
      </c>
      <c r="C2189" t="s">
        <v>392</v>
      </c>
    </row>
    <row r="2190" spans="1:3">
      <c r="A2190">
        <v>10000000</v>
      </c>
      <c r="C2190" t="s">
        <v>392</v>
      </c>
    </row>
    <row r="2191" spans="1:3">
      <c r="A2191">
        <v>5000000</v>
      </c>
      <c r="B2191" t="s">
        <v>1803</v>
      </c>
      <c r="C2191" t="s">
        <v>392</v>
      </c>
    </row>
    <row r="2192" spans="1:3">
      <c r="A2192">
        <v>1300000</v>
      </c>
      <c r="B2192" t="s">
        <v>1803</v>
      </c>
      <c r="C2192" t="s">
        <v>392</v>
      </c>
    </row>
    <row r="2193" spans="1:3">
      <c r="A2193">
        <v>3700000</v>
      </c>
      <c r="B2193" t="s">
        <v>1803</v>
      </c>
      <c r="C2193" t="s">
        <v>392</v>
      </c>
    </row>
    <row r="2194" spans="1:3">
      <c r="C2194" t="s">
        <v>392</v>
      </c>
    </row>
    <row r="2195" spans="1:3">
      <c r="A2195">
        <v>46387168</v>
      </c>
      <c r="C2195" t="s">
        <v>392</v>
      </c>
    </row>
    <row r="2196" spans="1:3">
      <c r="A2196">
        <v>1176420816</v>
      </c>
      <c r="C2196" t="s">
        <v>392</v>
      </c>
    </row>
    <row r="2197" spans="1:3">
      <c r="A2197">
        <v>3644577956.6692944</v>
      </c>
      <c r="C2197" t="s">
        <v>392</v>
      </c>
    </row>
    <row r="2198" spans="1:3">
      <c r="A2198">
        <v>177774729</v>
      </c>
      <c r="C2198" t="s">
        <v>392</v>
      </c>
    </row>
    <row r="2199" spans="1:3">
      <c r="A2199">
        <v>3822352685.6692944</v>
      </c>
      <c r="C2199" t="s">
        <v>392</v>
      </c>
    </row>
    <row r="2202" spans="1:3">
      <c r="C2202" t="s">
        <v>1254</v>
      </c>
    </row>
    <row r="2203" spans="1:3">
      <c r="C2203" t="s">
        <v>1254</v>
      </c>
    </row>
    <row r="2204" spans="1:3">
      <c r="A2204">
        <v>85147508</v>
      </c>
      <c r="C2204" t="s">
        <v>1254</v>
      </c>
    </row>
    <row r="2205" spans="1:3">
      <c r="A2205">
        <v>85147508</v>
      </c>
      <c r="B2205" t="s">
        <v>1803</v>
      </c>
      <c r="C2205" t="s">
        <v>1254</v>
      </c>
    </row>
    <row r="2206" spans="1:3">
      <c r="A2206">
        <v>1029300</v>
      </c>
      <c r="C2206" t="s">
        <v>1254</v>
      </c>
    </row>
    <row r="2207" spans="1:3">
      <c r="A2207">
        <v>941300</v>
      </c>
      <c r="B2207" t="s">
        <v>1803</v>
      </c>
      <c r="C2207" t="s">
        <v>1254</v>
      </c>
    </row>
    <row r="2208" spans="1:3">
      <c r="A2208">
        <v>88000</v>
      </c>
      <c r="B2208" t="s">
        <v>1803</v>
      </c>
      <c r="C2208" t="s">
        <v>1254</v>
      </c>
    </row>
    <row r="2209" spans="1:3">
      <c r="A2209">
        <v>1538420</v>
      </c>
      <c r="C2209" t="s">
        <v>1254</v>
      </c>
    </row>
    <row r="2210" spans="1:3">
      <c r="A2210">
        <v>541420</v>
      </c>
      <c r="B2210" t="s">
        <v>1803</v>
      </c>
      <c r="C2210" t="s">
        <v>1254</v>
      </c>
    </row>
    <row r="2211" spans="1:3">
      <c r="A2211">
        <v>432200</v>
      </c>
      <c r="B2211" t="s">
        <v>1803</v>
      </c>
      <c r="C2211" t="s">
        <v>1254</v>
      </c>
    </row>
    <row r="2212" spans="1:3">
      <c r="A2212">
        <v>14800</v>
      </c>
      <c r="B2212" t="s">
        <v>1803</v>
      </c>
      <c r="C2212" t="s">
        <v>1254</v>
      </c>
    </row>
    <row r="2213" spans="1:3">
      <c r="A2213">
        <v>550000</v>
      </c>
      <c r="B2213" t="s">
        <v>1803</v>
      </c>
      <c r="C2213" t="s">
        <v>1254</v>
      </c>
    </row>
    <row r="2214" spans="1:3">
      <c r="A2214">
        <v>1744410</v>
      </c>
      <c r="C2214" t="s">
        <v>1254</v>
      </c>
    </row>
    <row r="2215" spans="1:3">
      <c r="A2215">
        <v>467350</v>
      </c>
      <c r="B2215" t="s">
        <v>1803</v>
      </c>
      <c r="C2215" t="s">
        <v>1254</v>
      </c>
    </row>
    <row r="2216" spans="1:3">
      <c r="A2216">
        <v>570900</v>
      </c>
      <c r="B2216" t="s">
        <v>1803</v>
      </c>
      <c r="C2216" t="s">
        <v>1254</v>
      </c>
    </row>
    <row r="2217" spans="1:3">
      <c r="A2217">
        <v>668720</v>
      </c>
      <c r="B2217" t="s">
        <v>1803</v>
      </c>
      <c r="C2217" t="s">
        <v>1254</v>
      </c>
    </row>
    <row r="2218" spans="1:3">
      <c r="A2218">
        <v>10640</v>
      </c>
      <c r="B2218" t="s">
        <v>1803</v>
      </c>
      <c r="C2218" t="s">
        <v>1254</v>
      </c>
    </row>
    <row r="2219" spans="1:3">
      <c r="A2219">
        <v>26800</v>
      </c>
      <c r="B2219" t="s">
        <v>1803</v>
      </c>
      <c r="C2219" t="s">
        <v>1254</v>
      </c>
    </row>
    <row r="2220" spans="1:3">
      <c r="A2220">
        <v>1252516</v>
      </c>
      <c r="C2220" t="s">
        <v>1254</v>
      </c>
    </row>
    <row r="2221" spans="1:3">
      <c r="A2221">
        <v>360400</v>
      </c>
      <c r="B2221" t="s">
        <v>1803</v>
      </c>
      <c r="C2221" t="s">
        <v>1254</v>
      </c>
    </row>
    <row r="2222" spans="1:3">
      <c r="A2222">
        <v>240700</v>
      </c>
      <c r="B2222" t="s">
        <v>1803</v>
      </c>
      <c r="C2222" t="s">
        <v>1254</v>
      </c>
    </row>
    <row r="2223" spans="1:3">
      <c r="A2223">
        <v>640616</v>
      </c>
      <c r="B2223" t="s">
        <v>1803</v>
      </c>
      <c r="C2223" t="s">
        <v>1254</v>
      </c>
    </row>
    <row r="2224" spans="1:3">
      <c r="A2224">
        <v>10800</v>
      </c>
      <c r="B2224" t="s">
        <v>1803</v>
      </c>
      <c r="C2224" t="s">
        <v>1254</v>
      </c>
    </row>
    <row r="2225" spans="1:3">
      <c r="A2225">
        <v>982723</v>
      </c>
      <c r="C2225" t="s">
        <v>1254</v>
      </c>
    </row>
    <row r="2226" spans="1:3">
      <c r="A2226">
        <v>227281</v>
      </c>
      <c r="B2226" t="s">
        <v>1803</v>
      </c>
      <c r="C2226" t="s">
        <v>1254</v>
      </c>
    </row>
    <row r="2227" spans="1:3">
      <c r="A2227">
        <v>58058</v>
      </c>
      <c r="B2227" t="s">
        <v>1803</v>
      </c>
      <c r="C2227" t="s">
        <v>1254</v>
      </c>
    </row>
    <row r="2228" spans="1:3">
      <c r="A2228">
        <v>271105</v>
      </c>
      <c r="B2228" t="s">
        <v>1803</v>
      </c>
      <c r="C2228" t="s">
        <v>1254</v>
      </c>
    </row>
    <row r="2229" spans="1:3">
      <c r="A2229">
        <v>426279</v>
      </c>
      <c r="B2229" t="s">
        <v>1803</v>
      </c>
      <c r="C2229" t="s">
        <v>1254</v>
      </c>
    </row>
    <row r="2230" spans="1:3">
      <c r="A2230">
        <v>176214</v>
      </c>
      <c r="C2230" t="s">
        <v>1254</v>
      </c>
    </row>
    <row r="2231" spans="1:3">
      <c r="A2231">
        <v>176214</v>
      </c>
      <c r="B2231" t="s">
        <v>1803</v>
      </c>
      <c r="C2231" t="s">
        <v>1254</v>
      </c>
    </row>
    <row r="2232" spans="1:3">
      <c r="A2232">
        <v>1286807</v>
      </c>
      <c r="C2232" t="s">
        <v>1254</v>
      </c>
    </row>
    <row r="2233" spans="1:3">
      <c r="A2233">
        <v>226227</v>
      </c>
      <c r="B2233" t="s">
        <v>1803</v>
      </c>
      <c r="C2233" t="s">
        <v>1254</v>
      </c>
    </row>
    <row r="2234" spans="1:3">
      <c r="A2234">
        <v>243550</v>
      </c>
      <c r="B2234" t="s">
        <v>1803</v>
      </c>
      <c r="C2234" t="s">
        <v>1254</v>
      </c>
    </row>
    <row r="2235" spans="1:3">
      <c r="A2235">
        <v>175450</v>
      </c>
      <c r="B2235" t="s">
        <v>1803</v>
      </c>
      <c r="C2235" t="s">
        <v>1254</v>
      </c>
    </row>
    <row r="2236" spans="1:3">
      <c r="A2236">
        <v>510930</v>
      </c>
      <c r="B2236" t="s">
        <v>1803</v>
      </c>
      <c r="C2236" t="s">
        <v>1254</v>
      </c>
    </row>
    <row r="2237" spans="1:3">
      <c r="A2237">
        <v>130650</v>
      </c>
      <c r="B2237" t="s">
        <v>1803</v>
      </c>
      <c r="C2237" t="s">
        <v>1254</v>
      </c>
    </row>
    <row r="2238" spans="1:3">
      <c r="A2238">
        <v>1036277</v>
      </c>
      <c r="C2238" t="s">
        <v>1254</v>
      </c>
    </row>
    <row r="2239" spans="1:3">
      <c r="A2239">
        <v>524172</v>
      </c>
      <c r="B2239" t="s">
        <v>1803</v>
      </c>
      <c r="C2239" t="s">
        <v>1254</v>
      </c>
    </row>
    <row r="2240" spans="1:3">
      <c r="A2240">
        <v>512105</v>
      </c>
      <c r="B2240" t="s">
        <v>1803</v>
      </c>
      <c r="C2240" t="s">
        <v>1254</v>
      </c>
    </row>
    <row r="2241" spans="1:3">
      <c r="A2241">
        <v>999000</v>
      </c>
      <c r="C2241" t="s">
        <v>1254</v>
      </c>
    </row>
    <row r="2242" spans="1:3">
      <c r="A2242">
        <v>999000</v>
      </c>
      <c r="B2242" t="s">
        <v>1803</v>
      </c>
      <c r="C2242" t="s">
        <v>1254</v>
      </c>
    </row>
    <row r="2243" spans="1:3">
      <c r="A2243">
        <v>256800</v>
      </c>
      <c r="C2243" t="s">
        <v>1254</v>
      </c>
    </row>
    <row r="2244" spans="1:3">
      <c r="A2244">
        <v>256800</v>
      </c>
      <c r="B2244" t="s">
        <v>1803</v>
      </c>
      <c r="C2244" t="s">
        <v>1254</v>
      </c>
    </row>
    <row r="2245" spans="1:3">
      <c r="A2245">
        <v>989812</v>
      </c>
      <c r="C2245" t="s">
        <v>1254</v>
      </c>
    </row>
    <row r="2246" spans="1:3">
      <c r="A2246">
        <v>331862</v>
      </c>
      <c r="B2246" t="s">
        <v>1803</v>
      </c>
      <c r="C2246" t="s">
        <v>1254</v>
      </c>
    </row>
    <row r="2247" spans="1:3">
      <c r="A2247">
        <v>474970</v>
      </c>
      <c r="B2247" t="s">
        <v>1803</v>
      </c>
      <c r="C2247" t="s">
        <v>1254</v>
      </c>
    </row>
    <row r="2248" spans="1:3">
      <c r="A2248">
        <v>182980</v>
      </c>
      <c r="B2248" t="s">
        <v>1803</v>
      </c>
      <c r="C2248" t="s">
        <v>1254</v>
      </c>
    </row>
    <row r="2249" spans="1:3">
      <c r="A2249">
        <v>1040000</v>
      </c>
      <c r="C2249" t="s">
        <v>1254</v>
      </c>
    </row>
    <row r="2250" spans="1:3">
      <c r="A2250">
        <v>1040000</v>
      </c>
      <c r="B2250" t="s">
        <v>1803</v>
      </c>
      <c r="C2250" t="s">
        <v>1254</v>
      </c>
    </row>
    <row r="2251" spans="1:3">
      <c r="A2251">
        <v>1155331</v>
      </c>
      <c r="C2251" t="s">
        <v>1254</v>
      </c>
    </row>
    <row r="2252" spans="1:3">
      <c r="A2252">
        <v>778875</v>
      </c>
      <c r="B2252" t="s">
        <v>1803</v>
      </c>
      <c r="C2252" t="s">
        <v>1254</v>
      </c>
    </row>
    <row r="2253" spans="1:3">
      <c r="A2253">
        <v>376456</v>
      </c>
      <c r="B2253" t="s">
        <v>1803</v>
      </c>
      <c r="C2253" t="s">
        <v>1254</v>
      </c>
    </row>
    <row r="2254" spans="1:3">
      <c r="A2254">
        <v>447690</v>
      </c>
      <c r="C2254" t="s">
        <v>1254</v>
      </c>
    </row>
    <row r="2255" spans="1:3">
      <c r="A2255">
        <v>447690</v>
      </c>
      <c r="B2255" t="s">
        <v>1803</v>
      </c>
      <c r="C2255" t="s">
        <v>1254</v>
      </c>
    </row>
    <row r="2256" spans="1:3">
      <c r="A2256">
        <v>1392035</v>
      </c>
      <c r="C2256" t="s">
        <v>1254</v>
      </c>
    </row>
    <row r="2257" spans="1:3">
      <c r="A2257">
        <v>316415</v>
      </c>
      <c r="B2257" t="s">
        <v>1803</v>
      </c>
      <c r="C2257" t="s">
        <v>1254</v>
      </c>
    </row>
    <row r="2258" spans="1:3">
      <c r="A2258">
        <v>1075620</v>
      </c>
      <c r="B2258" t="s">
        <v>1803</v>
      </c>
      <c r="C2258" t="s">
        <v>1254</v>
      </c>
    </row>
    <row r="2259" spans="1:3">
      <c r="A2259">
        <v>8500000</v>
      </c>
      <c r="C2259" t="s">
        <v>1254</v>
      </c>
    </row>
    <row r="2260" spans="1:3">
      <c r="A2260">
        <v>8500000</v>
      </c>
      <c r="B2260" t="s">
        <v>1803</v>
      </c>
      <c r="C2260" t="s">
        <v>1254</v>
      </c>
    </row>
    <row r="2261" spans="1:3">
      <c r="A2261">
        <v>2165215</v>
      </c>
      <c r="C2261" t="s">
        <v>1254</v>
      </c>
    </row>
    <row r="2262" spans="1:3">
      <c r="A2262">
        <v>640000</v>
      </c>
      <c r="B2262" t="s">
        <v>1803</v>
      </c>
      <c r="C2262" t="s">
        <v>1254</v>
      </c>
    </row>
    <row r="2263" spans="1:3">
      <c r="A2263">
        <v>1050000</v>
      </c>
      <c r="B2263" t="s">
        <v>1803</v>
      </c>
      <c r="C2263" t="s">
        <v>1254</v>
      </c>
    </row>
    <row r="2264" spans="1:3">
      <c r="A2264">
        <v>475215</v>
      </c>
      <c r="B2264" t="s">
        <v>1803</v>
      </c>
      <c r="C2264" t="s">
        <v>1254</v>
      </c>
    </row>
    <row r="2265" spans="1:3">
      <c r="A2265">
        <v>111140058</v>
      </c>
      <c r="C2265" t="s">
        <v>1254</v>
      </c>
    </row>
    <row r="2266" spans="1:3">
      <c r="C2266" t="s">
        <v>1254</v>
      </c>
    </row>
    <row r="2267" spans="1:3">
      <c r="C2267" t="s">
        <v>1254</v>
      </c>
    </row>
    <row r="2268" spans="1:3">
      <c r="C2268" t="s">
        <v>1254</v>
      </c>
    </row>
    <row r="2269" spans="1:3">
      <c r="C2269" t="s">
        <v>1254</v>
      </c>
    </row>
    <row r="2270" spans="1:3">
      <c r="A2270">
        <v>435751</v>
      </c>
      <c r="C2270" t="s">
        <v>1254</v>
      </c>
    </row>
    <row r="2271" spans="1:3">
      <c r="A2271">
        <v>261235</v>
      </c>
      <c r="B2271" t="s">
        <v>1803</v>
      </c>
      <c r="C2271" t="s">
        <v>1254</v>
      </c>
    </row>
    <row r="2272" spans="1:3">
      <c r="A2272">
        <v>174516</v>
      </c>
      <c r="B2272" t="s">
        <v>1803</v>
      </c>
      <c r="C2272" t="s">
        <v>1254</v>
      </c>
    </row>
    <row r="2273" spans="1:3">
      <c r="A2273">
        <v>274815</v>
      </c>
      <c r="C2273" t="s">
        <v>1254</v>
      </c>
    </row>
    <row r="2274" spans="1:3">
      <c r="A2274">
        <v>274815</v>
      </c>
      <c r="B2274" t="s">
        <v>1803</v>
      </c>
      <c r="C2274" t="s">
        <v>1254</v>
      </c>
    </row>
    <row r="2275" spans="1:3">
      <c r="A2275">
        <v>1531325</v>
      </c>
      <c r="C2275" t="s">
        <v>1254</v>
      </c>
    </row>
    <row r="2276" spans="1:3">
      <c r="A2276">
        <v>274675</v>
      </c>
      <c r="B2276" t="s">
        <v>1803</v>
      </c>
      <c r="C2276" t="s">
        <v>1254</v>
      </c>
    </row>
    <row r="2277" spans="1:3">
      <c r="A2277">
        <v>454850</v>
      </c>
      <c r="B2277" t="s">
        <v>1803</v>
      </c>
      <c r="C2277" t="s">
        <v>1254</v>
      </c>
    </row>
    <row r="2278" spans="1:3">
      <c r="A2278">
        <v>796000</v>
      </c>
      <c r="B2278" t="s">
        <v>1803</v>
      </c>
      <c r="C2278" t="s">
        <v>1254</v>
      </c>
    </row>
    <row r="2279" spans="1:3">
      <c r="A2279">
        <v>5800</v>
      </c>
      <c r="B2279" t="s">
        <v>1803</v>
      </c>
      <c r="C2279" t="s">
        <v>1254</v>
      </c>
    </row>
    <row r="2280" spans="1:3">
      <c r="A2280">
        <v>4815710</v>
      </c>
      <c r="C2280" t="s">
        <v>1254</v>
      </c>
    </row>
    <row r="2281" spans="1:3">
      <c r="A2281">
        <v>1815710</v>
      </c>
      <c r="B2281" t="s">
        <v>1803</v>
      </c>
      <c r="C2281" t="s">
        <v>1254</v>
      </c>
    </row>
    <row r="2282" spans="1:3">
      <c r="A2282">
        <v>3000000</v>
      </c>
      <c r="B2282" t="s">
        <v>1803</v>
      </c>
      <c r="C2282" t="s">
        <v>1254</v>
      </c>
    </row>
    <row r="2283" spans="1:3">
      <c r="A2283">
        <v>3683295</v>
      </c>
      <c r="C2283" t="s">
        <v>1254</v>
      </c>
    </row>
    <row r="2284" spans="1:3">
      <c r="A2284">
        <v>219050</v>
      </c>
      <c r="B2284" t="s">
        <v>1803</v>
      </c>
      <c r="C2284" t="s">
        <v>1254</v>
      </c>
    </row>
    <row r="2285" spans="1:3">
      <c r="A2285">
        <v>323350</v>
      </c>
      <c r="B2285" t="s">
        <v>1803</v>
      </c>
      <c r="C2285" t="s">
        <v>1254</v>
      </c>
    </row>
    <row r="2286" spans="1:3">
      <c r="A2286">
        <v>2100000</v>
      </c>
      <c r="B2286" t="s">
        <v>1803</v>
      </c>
      <c r="C2286" t="s">
        <v>1254</v>
      </c>
    </row>
    <row r="2287" spans="1:3">
      <c r="A2287">
        <v>440895</v>
      </c>
      <c r="B2287" t="s">
        <v>1803</v>
      </c>
      <c r="C2287" t="s">
        <v>1254</v>
      </c>
    </row>
    <row r="2288" spans="1:3">
      <c r="A2288">
        <v>600000</v>
      </c>
      <c r="B2288" t="s">
        <v>1803</v>
      </c>
      <c r="C2288" t="s">
        <v>1254</v>
      </c>
    </row>
    <row r="2289" spans="1:3">
      <c r="A2289">
        <v>979970</v>
      </c>
      <c r="C2289" t="s">
        <v>1254</v>
      </c>
    </row>
    <row r="2290" spans="1:3">
      <c r="A2290">
        <v>423700</v>
      </c>
      <c r="B2290" t="s">
        <v>1803</v>
      </c>
      <c r="C2290" t="s">
        <v>1254</v>
      </c>
    </row>
    <row r="2291" spans="1:3">
      <c r="A2291">
        <v>556270</v>
      </c>
      <c r="B2291" t="s">
        <v>1803</v>
      </c>
      <c r="C2291" t="s">
        <v>1254</v>
      </c>
    </row>
    <row r="2292" spans="1:3">
      <c r="A2292">
        <v>495668</v>
      </c>
      <c r="C2292" t="s">
        <v>1254</v>
      </c>
    </row>
    <row r="2293" spans="1:3">
      <c r="A2293">
        <v>339416</v>
      </c>
      <c r="B2293" t="s">
        <v>1803</v>
      </c>
      <c r="C2293" t="s">
        <v>1254</v>
      </c>
    </row>
    <row r="2294" spans="1:3">
      <c r="A2294">
        <v>156252</v>
      </c>
      <c r="B2294" t="s">
        <v>1803</v>
      </c>
      <c r="C2294" t="s">
        <v>1254</v>
      </c>
    </row>
    <row r="2295" spans="1:3">
      <c r="A2295">
        <v>729880</v>
      </c>
      <c r="C2295" t="s">
        <v>1254</v>
      </c>
    </row>
    <row r="2296" spans="1:3">
      <c r="A2296">
        <v>729880</v>
      </c>
      <c r="B2296" t="s">
        <v>1803</v>
      </c>
      <c r="C2296" t="s">
        <v>1254</v>
      </c>
    </row>
    <row r="2297" spans="1:3">
      <c r="A2297">
        <v>8469562</v>
      </c>
      <c r="C2297" t="s">
        <v>1254</v>
      </c>
    </row>
    <row r="2298" spans="1:3">
      <c r="A2298">
        <v>8469562</v>
      </c>
      <c r="B2298" t="s">
        <v>1803</v>
      </c>
      <c r="C2298" t="s">
        <v>1254</v>
      </c>
    </row>
    <row r="2299" spans="1:3">
      <c r="A2299">
        <v>468200</v>
      </c>
      <c r="C2299" t="s">
        <v>1254</v>
      </c>
    </row>
    <row r="2300" spans="1:3">
      <c r="A2300">
        <v>468200</v>
      </c>
      <c r="B2300" t="s">
        <v>1803</v>
      </c>
      <c r="C2300" t="s">
        <v>1254</v>
      </c>
    </row>
    <row r="2301" spans="1:3">
      <c r="A2301">
        <v>58000</v>
      </c>
      <c r="C2301" t="s">
        <v>1254</v>
      </c>
    </row>
    <row r="2302" spans="1:3">
      <c r="A2302">
        <v>58000</v>
      </c>
      <c r="B2302" t="s">
        <v>1803</v>
      </c>
      <c r="C2302" t="s">
        <v>1254</v>
      </c>
    </row>
    <row r="2303" spans="1:3">
      <c r="A2303">
        <v>1246267</v>
      </c>
      <c r="C2303" t="s">
        <v>1254</v>
      </c>
    </row>
    <row r="2304" spans="1:3">
      <c r="A2304">
        <v>225450</v>
      </c>
      <c r="B2304" t="s">
        <v>1803</v>
      </c>
      <c r="C2304" t="s">
        <v>1254</v>
      </c>
    </row>
    <row r="2305" spans="1:3">
      <c r="A2305">
        <v>1020817</v>
      </c>
      <c r="B2305" t="s">
        <v>1803</v>
      </c>
      <c r="C2305" t="s">
        <v>1254</v>
      </c>
    </row>
    <row r="2306" spans="1:3">
      <c r="A2306">
        <v>2500000</v>
      </c>
      <c r="C2306" t="s">
        <v>1254</v>
      </c>
    </row>
    <row r="2307" spans="1:3">
      <c r="A2307">
        <v>2500000</v>
      </c>
      <c r="B2307" t="s">
        <v>1803</v>
      </c>
      <c r="C2307" t="s">
        <v>1254</v>
      </c>
    </row>
    <row r="2308" spans="1:3">
      <c r="A2308">
        <v>25688443</v>
      </c>
      <c r="C2308" t="s">
        <v>1254</v>
      </c>
    </row>
    <row r="2309" spans="1:3">
      <c r="C2309" t="s">
        <v>1254</v>
      </c>
    </row>
    <row r="2310" spans="1:3">
      <c r="C2310" t="s">
        <v>1254</v>
      </c>
    </row>
    <row r="2311" spans="1:3">
      <c r="A2311">
        <v>38049631</v>
      </c>
      <c r="C2311" t="s">
        <v>1254</v>
      </c>
    </row>
    <row r="2312" spans="1:3">
      <c r="A2312">
        <v>19000000</v>
      </c>
      <c r="B2312" t="s">
        <v>1803</v>
      </c>
      <c r="C2312" t="s">
        <v>1254</v>
      </c>
    </row>
    <row r="2313" spans="1:3">
      <c r="A2313">
        <v>19049631</v>
      </c>
      <c r="B2313" t="s">
        <v>1803</v>
      </c>
      <c r="C2313" t="s">
        <v>1254</v>
      </c>
    </row>
    <row r="2314" spans="1:3">
      <c r="A2314">
        <v>22000000</v>
      </c>
      <c r="C2314" t="s">
        <v>1254</v>
      </c>
    </row>
    <row r="2315" spans="1:3">
      <c r="A2315">
        <v>22000000</v>
      </c>
      <c r="B2315" t="s">
        <v>1803</v>
      </c>
      <c r="C2315" t="s">
        <v>1254</v>
      </c>
    </row>
    <row r="2316" spans="1:3">
      <c r="A2316">
        <v>1000000</v>
      </c>
      <c r="C2316" t="s">
        <v>1254</v>
      </c>
    </row>
    <row r="2317" spans="1:3">
      <c r="A2317">
        <v>1000000</v>
      </c>
      <c r="B2317" t="s">
        <v>1803</v>
      </c>
      <c r="C2317" t="s">
        <v>1254</v>
      </c>
    </row>
    <row r="2318" spans="1:3">
      <c r="A2318">
        <v>4000000</v>
      </c>
      <c r="C2318" t="s">
        <v>1254</v>
      </c>
    </row>
    <row r="2319" spans="1:3">
      <c r="A2319">
        <v>4000000</v>
      </c>
      <c r="B2319" t="s">
        <v>1803</v>
      </c>
      <c r="C2319" t="s">
        <v>1254</v>
      </c>
    </row>
    <row r="2320" spans="1:3">
      <c r="A2320">
        <v>65049631</v>
      </c>
      <c r="C2320" t="s">
        <v>1254</v>
      </c>
    </row>
    <row r="2321" spans="1:3">
      <c r="A2321">
        <v>90738074</v>
      </c>
      <c r="C2321" t="s">
        <v>1254</v>
      </c>
    </row>
    <row r="2322" spans="1:3">
      <c r="C2322" t="s">
        <v>1254</v>
      </c>
    </row>
    <row r="2323" spans="1:3">
      <c r="C2323" t="s">
        <v>1254</v>
      </c>
    </row>
    <row r="2324" spans="1:3">
      <c r="A2324">
        <v>200300</v>
      </c>
      <c r="C2324" t="s">
        <v>1254</v>
      </c>
    </row>
    <row r="2325" spans="1:3">
      <c r="A2325">
        <v>168700</v>
      </c>
      <c r="B2325" t="s">
        <v>1803</v>
      </c>
      <c r="C2325" t="s">
        <v>1254</v>
      </c>
    </row>
    <row r="2326" spans="1:3">
      <c r="A2326">
        <v>31600</v>
      </c>
      <c r="B2326" t="s">
        <v>1803</v>
      </c>
      <c r="C2326" t="s">
        <v>1254</v>
      </c>
    </row>
    <row r="2327" spans="1:3">
      <c r="A2327">
        <v>14000</v>
      </c>
      <c r="C2327" t="s">
        <v>1254</v>
      </c>
    </row>
    <row r="2328" spans="1:3">
      <c r="A2328">
        <v>14000</v>
      </c>
      <c r="B2328" t="s">
        <v>1803</v>
      </c>
      <c r="C2328" t="s">
        <v>1254</v>
      </c>
    </row>
    <row r="2329" spans="1:3">
      <c r="A2329">
        <v>1699718</v>
      </c>
      <c r="C2329" t="s">
        <v>1254</v>
      </c>
    </row>
    <row r="2330" spans="1:3">
      <c r="A2330">
        <v>338718</v>
      </c>
      <c r="B2330" t="s">
        <v>1803</v>
      </c>
      <c r="C2330" t="s">
        <v>1254</v>
      </c>
    </row>
    <row r="2331" spans="1:3">
      <c r="A2331">
        <v>578600</v>
      </c>
      <c r="B2331" t="s">
        <v>1803</v>
      </c>
      <c r="C2331" t="s">
        <v>1254</v>
      </c>
    </row>
    <row r="2332" spans="1:3">
      <c r="A2332">
        <v>782400</v>
      </c>
      <c r="B2332" t="s">
        <v>1803</v>
      </c>
      <c r="C2332" t="s">
        <v>1254</v>
      </c>
    </row>
    <row r="2333" spans="1:3">
      <c r="A2333">
        <v>1204150</v>
      </c>
      <c r="C2333" t="s">
        <v>1254</v>
      </c>
    </row>
    <row r="2334" spans="1:3">
      <c r="A2334">
        <v>791500</v>
      </c>
      <c r="B2334" t="s">
        <v>1803</v>
      </c>
      <c r="C2334" t="s">
        <v>1254</v>
      </c>
    </row>
    <row r="2335" spans="1:3">
      <c r="A2335">
        <v>412650</v>
      </c>
      <c r="B2335" t="s">
        <v>1803</v>
      </c>
      <c r="C2335" t="s">
        <v>1254</v>
      </c>
    </row>
    <row r="2336" spans="1:3">
      <c r="A2336">
        <v>2079013</v>
      </c>
      <c r="C2336" t="s">
        <v>1254</v>
      </c>
    </row>
    <row r="2337" spans="1:3">
      <c r="A2337">
        <v>219050</v>
      </c>
      <c r="B2337" t="s">
        <v>1803</v>
      </c>
      <c r="C2337" t="s">
        <v>1254</v>
      </c>
    </row>
    <row r="2338" spans="1:3">
      <c r="A2338">
        <v>223350</v>
      </c>
      <c r="B2338" t="s">
        <v>1803</v>
      </c>
      <c r="C2338" t="s">
        <v>1254</v>
      </c>
    </row>
    <row r="2339" spans="1:3">
      <c r="A2339">
        <v>340895</v>
      </c>
      <c r="B2339" t="s">
        <v>1803</v>
      </c>
      <c r="C2339" t="s">
        <v>1254</v>
      </c>
    </row>
    <row r="2340" spans="1:3">
      <c r="A2340">
        <v>1295718</v>
      </c>
      <c r="B2340" t="s">
        <v>1803</v>
      </c>
      <c r="C2340" t="s">
        <v>1254</v>
      </c>
    </row>
    <row r="2341" spans="1:3">
      <c r="A2341">
        <v>979970</v>
      </c>
      <c r="C2341" t="s">
        <v>1254</v>
      </c>
    </row>
    <row r="2342" spans="1:3">
      <c r="A2342">
        <v>423700</v>
      </c>
      <c r="B2342" t="s">
        <v>1803</v>
      </c>
      <c r="C2342" t="s">
        <v>1254</v>
      </c>
    </row>
    <row r="2343" spans="1:3">
      <c r="A2343">
        <v>556270</v>
      </c>
      <c r="B2343" t="s">
        <v>1803</v>
      </c>
      <c r="C2343" t="s">
        <v>1254</v>
      </c>
    </row>
    <row r="2344" spans="1:3">
      <c r="A2344">
        <v>1423000</v>
      </c>
      <c r="C2344" t="s">
        <v>1254</v>
      </c>
    </row>
    <row r="2345" spans="1:3">
      <c r="A2345">
        <v>576500</v>
      </c>
      <c r="B2345" t="s">
        <v>1803</v>
      </c>
      <c r="C2345" t="s">
        <v>1254</v>
      </c>
    </row>
    <row r="2346" spans="1:3">
      <c r="A2346">
        <v>846500</v>
      </c>
      <c r="B2346" t="s">
        <v>1803</v>
      </c>
      <c r="C2346" t="s">
        <v>1254</v>
      </c>
    </row>
    <row r="2347" spans="1:3">
      <c r="A2347">
        <v>338960</v>
      </c>
      <c r="C2347" t="s">
        <v>1254</v>
      </c>
    </row>
    <row r="2348" spans="1:3">
      <c r="A2348">
        <v>253700</v>
      </c>
      <c r="B2348" t="s">
        <v>1803</v>
      </c>
      <c r="C2348" t="s">
        <v>1254</v>
      </c>
    </row>
    <row r="2349" spans="1:3">
      <c r="A2349">
        <v>85260</v>
      </c>
      <c r="B2349" t="s">
        <v>1803</v>
      </c>
      <c r="C2349" t="s">
        <v>1254</v>
      </c>
    </row>
    <row r="2350" spans="1:3">
      <c r="A2350">
        <v>1128619</v>
      </c>
      <c r="C2350" t="s">
        <v>1254</v>
      </c>
    </row>
    <row r="2351" spans="1:3">
      <c r="A2351">
        <v>1128619</v>
      </c>
      <c r="B2351" t="s">
        <v>1803</v>
      </c>
      <c r="C2351" t="s">
        <v>1254</v>
      </c>
    </row>
    <row r="2352" spans="1:3">
      <c r="A2352">
        <v>1178745</v>
      </c>
      <c r="C2352" t="s">
        <v>1254</v>
      </c>
    </row>
    <row r="2353" spans="1:3">
      <c r="A2353">
        <v>178745</v>
      </c>
      <c r="B2353" t="s">
        <v>1803</v>
      </c>
      <c r="C2353" t="s">
        <v>1254</v>
      </c>
    </row>
    <row r="2354" spans="1:3">
      <c r="A2354">
        <v>1000000</v>
      </c>
      <c r="B2354" t="s">
        <v>1803</v>
      </c>
      <c r="C2354" t="s">
        <v>1254</v>
      </c>
    </row>
    <row r="2355" spans="1:3">
      <c r="A2355">
        <v>2000000</v>
      </c>
      <c r="C2355" t="s">
        <v>1254</v>
      </c>
    </row>
    <row r="2356" spans="1:3">
      <c r="A2356">
        <v>2000000</v>
      </c>
      <c r="B2356" t="s">
        <v>1803</v>
      </c>
      <c r="C2356" t="s">
        <v>1254</v>
      </c>
    </row>
    <row r="2357" spans="1:3">
      <c r="A2357">
        <v>1000000</v>
      </c>
      <c r="C2357" t="s">
        <v>1254</v>
      </c>
    </row>
    <row r="2358" spans="1:3">
      <c r="A2358">
        <v>1000000</v>
      </c>
      <c r="B2358" t="s">
        <v>1803</v>
      </c>
      <c r="C2358" t="s">
        <v>1254</v>
      </c>
    </row>
    <row r="2359" spans="1:3">
      <c r="A2359">
        <v>1470000</v>
      </c>
      <c r="C2359" t="s">
        <v>1254</v>
      </c>
    </row>
    <row r="2360" spans="1:3">
      <c r="A2360">
        <v>660000</v>
      </c>
      <c r="B2360" t="s">
        <v>1803</v>
      </c>
      <c r="C2360" t="s">
        <v>1254</v>
      </c>
    </row>
    <row r="2361" spans="1:3">
      <c r="A2361">
        <v>810000</v>
      </c>
      <c r="B2361" t="s">
        <v>1803</v>
      </c>
      <c r="C2361" t="s">
        <v>1254</v>
      </c>
    </row>
    <row r="2362" spans="1:3">
      <c r="C2362" t="s">
        <v>1254</v>
      </c>
    </row>
    <row r="2363" spans="1:3">
      <c r="A2363">
        <v>14716475</v>
      </c>
      <c r="C2363" t="s">
        <v>1254</v>
      </c>
    </row>
    <row r="2364" spans="1:3">
      <c r="C2364" t="s">
        <v>1254</v>
      </c>
    </row>
    <row r="2365" spans="1:3">
      <c r="C2365" t="s">
        <v>1254</v>
      </c>
    </row>
    <row r="2366" spans="1:3">
      <c r="C2366" t="s">
        <v>1254</v>
      </c>
    </row>
    <row r="2367" spans="1:3">
      <c r="A2367">
        <v>402000000</v>
      </c>
      <c r="C2367" t="s">
        <v>1254</v>
      </c>
    </row>
    <row r="2368" spans="1:3">
      <c r="A2368">
        <v>150000000</v>
      </c>
      <c r="B2368" t="s">
        <v>1803</v>
      </c>
      <c r="C2368" t="s">
        <v>1254</v>
      </c>
    </row>
    <row r="2369" spans="1:3">
      <c r="A2369">
        <v>250000000</v>
      </c>
      <c r="B2369" t="s">
        <v>1803</v>
      </c>
      <c r="C2369" t="s">
        <v>1254</v>
      </c>
    </row>
    <row r="2370" spans="1:3">
      <c r="A2370">
        <v>2000000</v>
      </c>
      <c r="B2370" t="s">
        <v>1803</v>
      </c>
      <c r="C2370" t="s">
        <v>1254</v>
      </c>
    </row>
    <row r="2371" spans="1:3">
      <c r="A2371">
        <v>42000000</v>
      </c>
      <c r="C2371" t="s">
        <v>1254</v>
      </c>
    </row>
    <row r="2372" spans="1:3">
      <c r="A2372">
        <v>20000000</v>
      </c>
      <c r="B2372" t="s">
        <v>1803</v>
      </c>
      <c r="C2372" t="s">
        <v>1254</v>
      </c>
    </row>
    <row r="2373" spans="1:3">
      <c r="A2373">
        <v>20000000</v>
      </c>
      <c r="B2373" t="s">
        <v>1803</v>
      </c>
      <c r="C2373" t="s">
        <v>1254</v>
      </c>
    </row>
    <row r="2374" spans="1:3">
      <c r="A2374">
        <v>2000000</v>
      </c>
      <c r="B2374" t="s">
        <v>1803</v>
      </c>
      <c r="C2374" t="s">
        <v>1254</v>
      </c>
    </row>
    <row r="2375" spans="1:3">
      <c r="A2375">
        <v>444000000</v>
      </c>
      <c r="C2375" t="s">
        <v>1254</v>
      </c>
    </row>
    <row r="2376" spans="1:3">
      <c r="A2376">
        <v>458716475</v>
      </c>
      <c r="C2376" t="s">
        <v>1254</v>
      </c>
    </row>
    <row r="2377" spans="1:3">
      <c r="C2377" t="s">
        <v>1254</v>
      </c>
    </row>
    <row r="2378" spans="1:3">
      <c r="C2378" t="s">
        <v>1254</v>
      </c>
    </row>
    <row r="2379" spans="1:3">
      <c r="C2379" t="s">
        <v>1254</v>
      </c>
    </row>
    <row r="2380" spans="1:3">
      <c r="C2380" t="s">
        <v>1254</v>
      </c>
    </row>
    <row r="2381" spans="1:3">
      <c r="A2381">
        <v>435751</v>
      </c>
      <c r="C2381" t="s">
        <v>1254</v>
      </c>
    </row>
    <row r="2382" spans="1:3">
      <c r="A2382">
        <v>261235</v>
      </c>
      <c r="B2382" t="s">
        <v>1803</v>
      </c>
      <c r="C2382" t="s">
        <v>1254</v>
      </c>
    </row>
    <row r="2383" spans="1:3">
      <c r="A2383">
        <v>174516</v>
      </c>
      <c r="B2383" t="s">
        <v>1803</v>
      </c>
      <c r="C2383" t="s">
        <v>1254</v>
      </c>
    </row>
    <row r="2384" spans="1:3">
      <c r="A2384">
        <v>345800</v>
      </c>
      <c r="C2384" t="s">
        <v>1254</v>
      </c>
    </row>
    <row r="2385" spans="1:3">
      <c r="A2385">
        <v>316800</v>
      </c>
      <c r="B2385" t="s">
        <v>1803</v>
      </c>
      <c r="C2385" t="s">
        <v>1254</v>
      </c>
    </row>
    <row r="2386" spans="1:3">
      <c r="A2386">
        <v>29000</v>
      </c>
      <c r="B2386" t="s">
        <v>1803</v>
      </c>
      <c r="C2386" t="s">
        <v>1254</v>
      </c>
    </row>
    <row r="2387" spans="1:3">
      <c r="A2387">
        <v>2068341</v>
      </c>
      <c r="C2387" t="s">
        <v>1254</v>
      </c>
    </row>
    <row r="2388" spans="1:3">
      <c r="A2388">
        <v>391500</v>
      </c>
      <c r="B2388" t="s">
        <v>1803</v>
      </c>
      <c r="C2388" t="s">
        <v>1254</v>
      </c>
    </row>
    <row r="2389" spans="1:3">
      <c r="A2389">
        <v>712841</v>
      </c>
      <c r="B2389" t="s">
        <v>1803</v>
      </c>
      <c r="C2389" t="s">
        <v>1254</v>
      </c>
    </row>
    <row r="2390" spans="1:3">
      <c r="A2390">
        <v>964000</v>
      </c>
      <c r="B2390" t="s">
        <v>1803</v>
      </c>
      <c r="C2390" t="s">
        <v>1254</v>
      </c>
    </row>
    <row r="2391" spans="1:3">
      <c r="A2391">
        <v>1274365</v>
      </c>
      <c r="C2391" t="s">
        <v>1254</v>
      </c>
    </row>
    <row r="2392" spans="1:3">
      <c r="A2392">
        <v>891500</v>
      </c>
      <c r="B2392" t="s">
        <v>1803</v>
      </c>
      <c r="C2392" t="s">
        <v>1254</v>
      </c>
    </row>
    <row r="2393" spans="1:3">
      <c r="A2393">
        <v>382865</v>
      </c>
      <c r="B2393" t="s">
        <v>1803</v>
      </c>
      <c r="C2393" t="s">
        <v>1254</v>
      </c>
    </row>
    <row r="2394" spans="1:3">
      <c r="A2394">
        <v>1256444</v>
      </c>
      <c r="C2394" t="s">
        <v>1254</v>
      </c>
    </row>
    <row r="2395" spans="1:3">
      <c r="A2395">
        <v>327281</v>
      </c>
      <c r="B2395" t="s">
        <v>1803</v>
      </c>
      <c r="C2395" t="s">
        <v>1254</v>
      </c>
    </row>
    <row r="2396" spans="1:3">
      <c r="A2396">
        <v>58058</v>
      </c>
      <c r="B2396" t="s">
        <v>1803</v>
      </c>
      <c r="C2396" t="s">
        <v>1254</v>
      </c>
    </row>
    <row r="2397" spans="1:3">
      <c r="A2397">
        <v>871105</v>
      </c>
      <c r="B2397" t="s">
        <v>1803</v>
      </c>
      <c r="C2397" t="s">
        <v>1254</v>
      </c>
    </row>
    <row r="2398" spans="1:3">
      <c r="A2398">
        <v>8000000</v>
      </c>
      <c r="C2398" t="s">
        <v>1254</v>
      </c>
    </row>
    <row r="2399" spans="1:3">
      <c r="A2399">
        <v>3000000</v>
      </c>
      <c r="B2399" t="s">
        <v>1803</v>
      </c>
      <c r="C2399" t="s">
        <v>1254</v>
      </c>
    </row>
    <row r="2400" spans="1:3">
      <c r="A2400">
        <v>1000000</v>
      </c>
      <c r="B2400" t="s">
        <v>1803</v>
      </c>
      <c r="C2400" t="s">
        <v>1254</v>
      </c>
    </row>
    <row r="2401" spans="1:3">
      <c r="A2401">
        <v>1500000</v>
      </c>
      <c r="B2401" t="s">
        <v>1803</v>
      </c>
      <c r="C2401" t="s">
        <v>1254</v>
      </c>
    </row>
    <row r="2402" spans="1:3">
      <c r="A2402">
        <v>2500000</v>
      </c>
      <c r="B2402" t="s">
        <v>1803</v>
      </c>
      <c r="C2402" t="s">
        <v>1254</v>
      </c>
    </row>
    <row r="2403" spans="1:3">
      <c r="A2403">
        <v>3668630</v>
      </c>
      <c r="C2403" t="s">
        <v>1254</v>
      </c>
    </row>
    <row r="2404" spans="1:3">
      <c r="A2404">
        <v>668630</v>
      </c>
      <c r="B2404" t="s">
        <v>1803</v>
      </c>
      <c r="C2404" t="s">
        <v>1254</v>
      </c>
    </row>
    <row r="2405" spans="1:3">
      <c r="A2405">
        <v>1000000</v>
      </c>
      <c r="B2405" t="s">
        <v>1803</v>
      </c>
      <c r="C2405" t="s">
        <v>1254</v>
      </c>
    </row>
    <row r="2406" spans="1:3">
      <c r="A2406">
        <v>2000000</v>
      </c>
      <c r="B2406" t="s">
        <v>1803</v>
      </c>
      <c r="C2406" t="s">
        <v>1254</v>
      </c>
    </row>
    <row r="2407" spans="1:3">
      <c r="A2407">
        <v>361875</v>
      </c>
      <c r="C2407" t="s">
        <v>1254</v>
      </c>
    </row>
    <row r="2408" spans="1:3">
      <c r="A2408">
        <v>361875</v>
      </c>
      <c r="B2408" t="s">
        <v>1803</v>
      </c>
      <c r="C2408" t="s">
        <v>1254</v>
      </c>
    </row>
    <row r="2409" spans="1:3">
      <c r="A2409">
        <v>986950</v>
      </c>
      <c r="C2409" t="s">
        <v>1254</v>
      </c>
    </row>
    <row r="2410" spans="1:3">
      <c r="A2410">
        <v>986950</v>
      </c>
      <c r="B2410" t="s">
        <v>1803</v>
      </c>
      <c r="C2410" t="s">
        <v>1254</v>
      </c>
    </row>
    <row r="2411" spans="1:3">
      <c r="A2411">
        <v>3040000</v>
      </c>
      <c r="C2411" t="s">
        <v>1254</v>
      </c>
    </row>
    <row r="2412" spans="1:3">
      <c r="A2412">
        <v>1500000</v>
      </c>
      <c r="B2412" t="s">
        <v>1803</v>
      </c>
      <c r="C2412" t="s">
        <v>1254</v>
      </c>
    </row>
    <row r="2413" spans="1:3">
      <c r="A2413">
        <v>1540000</v>
      </c>
      <c r="B2413" t="s">
        <v>1803</v>
      </c>
      <c r="C2413" t="s">
        <v>1254</v>
      </c>
    </row>
    <row r="2414" spans="1:3">
      <c r="A2414">
        <v>3047473</v>
      </c>
      <c r="C2414" t="s">
        <v>1254</v>
      </c>
    </row>
    <row r="2415" spans="1:3">
      <c r="A2415">
        <v>547473</v>
      </c>
      <c r="B2415" t="s">
        <v>1803</v>
      </c>
      <c r="C2415" t="s">
        <v>1254</v>
      </c>
    </row>
    <row r="2416" spans="1:3">
      <c r="A2416">
        <v>2500000</v>
      </c>
      <c r="B2416" t="s">
        <v>1803</v>
      </c>
      <c r="C2416" t="s">
        <v>1254</v>
      </c>
    </row>
    <row r="2417" spans="1:3">
      <c r="A2417">
        <v>1746000</v>
      </c>
      <c r="C2417" t="s">
        <v>1254</v>
      </c>
    </row>
    <row r="2418" spans="1:3">
      <c r="A2418">
        <v>696000</v>
      </c>
      <c r="B2418" t="s">
        <v>1803</v>
      </c>
      <c r="C2418" t="s">
        <v>1254</v>
      </c>
    </row>
    <row r="2419" spans="1:3">
      <c r="A2419">
        <v>1050000</v>
      </c>
      <c r="B2419" t="s">
        <v>1803</v>
      </c>
      <c r="C2419" t="s">
        <v>1254</v>
      </c>
    </row>
    <row r="2420" spans="1:3">
      <c r="A2420">
        <v>3600000</v>
      </c>
      <c r="C2420" t="s">
        <v>1254</v>
      </c>
    </row>
    <row r="2421" spans="1:3">
      <c r="A2421">
        <v>3600000</v>
      </c>
      <c r="B2421" t="s">
        <v>1803</v>
      </c>
      <c r="C2421" t="s">
        <v>1254</v>
      </c>
    </row>
    <row r="2422" spans="1:3">
      <c r="A2422">
        <v>29831629</v>
      </c>
      <c r="C2422" t="s">
        <v>1254</v>
      </c>
    </row>
    <row r="2423" spans="1:3">
      <c r="C2423" t="s">
        <v>1254</v>
      </c>
    </row>
    <row r="2424" spans="1:3">
      <c r="C2424" t="s">
        <v>1254</v>
      </c>
    </row>
    <row r="2425" spans="1:3">
      <c r="A2425">
        <v>289031</v>
      </c>
      <c r="C2425" t="s">
        <v>1254</v>
      </c>
    </row>
    <row r="2426" spans="1:3">
      <c r="A2426">
        <v>289031</v>
      </c>
      <c r="B2426" t="s">
        <v>1803</v>
      </c>
      <c r="C2426" t="s">
        <v>1254</v>
      </c>
    </row>
    <row r="2427" spans="1:3">
      <c r="A2427">
        <v>1471097</v>
      </c>
      <c r="C2427" t="s">
        <v>1254</v>
      </c>
    </row>
    <row r="2428" spans="1:3">
      <c r="A2428">
        <v>293505</v>
      </c>
      <c r="B2428" t="s">
        <v>1803</v>
      </c>
      <c r="C2428" t="s">
        <v>1254</v>
      </c>
    </row>
    <row r="2429" spans="1:3">
      <c r="A2429">
        <v>512642</v>
      </c>
      <c r="B2429" t="s">
        <v>1803</v>
      </c>
      <c r="C2429" t="s">
        <v>1254</v>
      </c>
    </row>
    <row r="2430" spans="1:3">
      <c r="A2430">
        <v>664950</v>
      </c>
      <c r="B2430" t="s">
        <v>1803</v>
      </c>
      <c r="C2430" t="s">
        <v>1254</v>
      </c>
    </row>
    <row r="2431" spans="1:3">
      <c r="A2431">
        <v>1275187</v>
      </c>
      <c r="C2431" t="s">
        <v>1254</v>
      </c>
    </row>
    <row r="2432" spans="1:3">
      <c r="A2432">
        <v>863507</v>
      </c>
      <c r="B2432" t="s">
        <v>1803</v>
      </c>
      <c r="C2432" t="s">
        <v>1254</v>
      </c>
    </row>
    <row r="2433" spans="1:3">
      <c r="A2433">
        <v>411680</v>
      </c>
      <c r="B2433" t="s">
        <v>1803</v>
      </c>
      <c r="C2433" t="s">
        <v>1254</v>
      </c>
    </row>
    <row r="2434" spans="1:3">
      <c r="A2434">
        <v>5895679</v>
      </c>
      <c r="C2434" t="s">
        <v>1254</v>
      </c>
    </row>
    <row r="2435" spans="1:3">
      <c r="A2435">
        <v>1500000</v>
      </c>
      <c r="B2435" t="s">
        <v>1803</v>
      </c>
      <c r="C2435" t="s">
        <v>1254</v>
      </c>
    </row>
    <row r="2436" spans="1:3">
      <c r="A2436">
        <v>3500000</v>
      </c>
      <c r="B2436" t="s">
        <v>1803</v>
      </c>
      <c r="C2436" t="s">
        <v>1254</v>
      </c>
    </row>
    <row r="2437" spans="1:3">
      <c r="A2437">
        <v>895679</v>
      </c>
      <c r="B2437" t="s">
        <v>1803</v>
      </c>
      <c r="C2437" t="s">
        <v>1254</v>
      </c>
    </row>
    <row r="2438" spans="1:3">
      <c r="A2438">
        <v>1200505</v>
      </c>
      <c r="C2438" t="s">
        <v>1254</v>
      </c>
    </row>
    <row r="2439" spans="1:3">
      <c r="A2439">
        <v>290000</v>
      </c>
      <c r="B2439" t="s">
        <v>1803</v>
      </c>
      <c r="C2439" t="s">
        <v>1254</v>
      </c>
    </row>
    <row r="2440" spans="1:3">
      <c r="A2440">
        <v>332290</v>
      </c>
      <c r="B2440" t="s">
        <v>1803</v>
      </c>
      <c r="C2440" t="s">
        <v>1254</v>
      </c>
    </row>
    <row r="2441" spans="1:3">
      <c r="A2441">
        <v>578215</v>
      </c>
      <c r="B2441" t="s">
        <v>1803</v>
      </c>
      <c r="C2441" t="s">
        <v>1254</v>
      </c>
    </row>
    <row r="2442" spans="1:3">
      <c r="A2442">
        <v>1125910</v>
      </c>
      <c r="C2442" t="s">
        <v>1254</v>
      </c>
    </row>
    <row r="2443" spans="1:3">
      <c r="A2443">
        <v>648290</v>
      </c>
      <c r="B2443" t="s">
        <v>1803</v>
      </c>
      <c r="C2443" t="s">
        <v>1254</v>
      </c>
    </row>
    <row r="2444" spans="1:3">
      <c r="A2444">
        <v>477620</v>
      </c>
      <c r="B2444" t="s">
        <v>1803</v>
      </c>
      <c r="C2444" t="s">
        <v>1254</v>
      </c>
    </row>
    <row r="2445" spans="1:3">
      <c r="A2445">
        <v>431873</v>
      </c>
      <c r="C2445" t="s">
        <v>1254</v>
      </c>
    </row>
    <row r="2446" spans="1:3">
      <c r="A2446">
        <v>431873</v>
      </c>
      <c r="B2446" t="s">
        <v>1803</v>
      </c>
      <c r="C2446" t="s">
        <v>1254</v>
      </c>
    </row>
    <row r="2447" spans="1:3">
      <c r="A2447">
        <v>995215</v>
      </c>
      <c r="C2447" t="s">
        <v>1254</v>
      </c>
    </row>
    <row r="2448" spans="1:3">
      <c r="A2448">
        <v>995215</v>
      </c>
      <c r="B2448" t="s">
        <v>1803</v>
      </c>
      <c r="C2448" t="s">
        <v>1254</v>
      </c>
    </row>
    <row r="2449" spans="1:3">
      <c r="A2449">
        <v>1726456</v>
      </c>
      <c r="C2449" t="s">
        <v>1254</v>
      </c>
    </row>
    <row r="2450" spans="1:3">
      <c r="A2450">
        <v>1450000</v>
      </c>
      <c r="B2450" t="s">
        <v>1803</v>
      </c>
      <c r="C2450" t="s">
        <v>1254</v>
      </c>
    </row>
    <row r="2451" spans="1:3">
      <c r="A2451">
        <v>276456</v>
      </c>
      <c r="B2451" t="s">
        <v>1803</v>
      </c>
      <c r="C2451" t="s">
        <v>1254</v>
      </c>
    </row>
    <row r="2452" spans="1:3">
      <c r="A2452">
        <v>814386</v>
      </c>
      <c r="C2452" t="s">
        <v>1254</v>
      </c>
    </row>
    <row r="2453" spans="1:3">
      <c r="A2453">
        <v>439416</v>
      </c>
      <c r="B2453" t="s">
        <v>1803</v>
      </c>
      <c r="C2453" t="s">
        <v>1254</v>
      </c>
    </row>
    <row r="2454" spans="1:3">
      <c r="A2454">
        <v>374970</v>
      </c>
      <c r="B2454" t="s">
        <v>1803</v>
      </c>
      <c r="C2454" t="s">
        <v>1254</v>
      </c>
    </row>
    <row r="2455" spans="1:3">
      <c r="A2455">
        <v>740000</v>
      </c>
      <c r="C2455" t="s">
        <v>1254</v>
      </c>
    </row>
    <row r="2456" spans="1:3">
      <c r="A2456">
        <v>740000</v>
      </c>
      <c r="B2456" t="s">
        <v>1803</v>
      </c>
      <c r="C2456" t="s">
        <v>1254</v>
      </c>
    </row>
    <row r="2457" spans="1:3">
      <c r="A2457">
        <v>2000000</v>
      </c>
      <c r="C2457" t="s">
        <v>1254</v>
      </c>
    </row>
    <row r="2458" spans="1:3">
      <c r="A2458">
        <v>2000000</v>
      </c>
      <c r="B2458" t="s">
        <v>1803</v>
      </c>
      <c r="C2458" t="s">
        <v>1254</v>
      </c>
    </row>
    <row r="2459" spans="1:3">
      <c r="A2459">
        <v>17965339</v>
      </c>
      <c r="C2459" t="s">
        <v>1254</v>
      </c>
    </row>
    <row r="2460" spans="1:3">
      <c r="C2460" t="s">
        <v>1254</v>
      </c>
    </row>
    <row r="2461" spans="1:3">
      <c r="C2461" t="s">
        <v>1254</v>
      </c>
    </row>
    <row r="2462" spans="1:3">
      <c r="A2462">
        <v>2500000</v>
      </c>
      <c r="C2462" t="s">
        <v>1254</v>
      </c>
    </row>
    <row r="2463" spans="1:3">
      <c r="A2463">
        <v>2500000</v>
      </c>
      <c r="B2463" t="s">
        <v>1803</v>
      </c>
      <c r="C2463" t="s">
        <v>1254</v>
      </c>
    </row>
    <row r="2464" spans="1:3">
      <c r="A2464">
        <v>2500000</v>
      </c>
      <c r="C2464" t="s">
        <v>1254</v>
      </c>
    </row>
    <row r="2465" spans="1:3">
      <c r="A2465">
        <v>20465339</v>
      </c>
      <c r="C2465" t="s">
        <v>1254</v>
      </c>
    </row>
    <row r="2466" spans="1:3">
      <c r="A2466">
        <v>199341944</v>
      </c>
      <c r="C2466" t="s">
        <v>1254</v>
      </c>
    </row>
    <row r="2467" spans="1:3">
      <c r="A2467">
        <v>511549631</v>
      </c>
      <c r="C2467" t="s">
        <v>1254</v>
      </c>
    </row>
    <row r="2468" spans="1:3">
      <c r="A2468">
        <v>710891575</v>
      </c>
      <c r="C2468" t="s">
        <v>1254</v>
      </c>
    </row>
    <row r="2469" spans="1:3">
      <c r="C2469" t="s">
        <v>1254</v>
      </c>
    </row>
    <row r="2472" spans="1:3">
      <c r="C2472" t="s">
        <v>1255</v>
      </c>
    </row>
    <row r="2473" spans="1:3">
      <c r="C2473" t="s">
        <v>1255</v>
      </c>
    </row>
    <row r="2474" spans="1:3">
      <c r="C2474" t="s">
        <v>1255</v>
      </c>
    </row>
    <row r="2475" spans="1:3">
      <c r="A2475">
        <v>24887955</v>
      </c>
      <c r="C2475" t="s">
        <v>1255</v>
      </c>
    </row>
    <row r="2476" spans="1:3">
      <c r="A2476">
        <v>24783955</v>
      </c>
      <c r="B2476" t="s">
        <v>1803</v>
      </c>
      <c r="C2476" t="s">
        <v>1255</v>
      </c>
    </row>
    <row r="2477" spans="1:3">
      <c r="A2477">
        <v>104000</v>
      </c>
      <c r="B2477" t="s">
        <v>1803</v>
      </c>
      <c r="C2477" t="s">
        <v>1255</v>
      </c>
    </row>
    <row r="2478" spans="1:3">
      <c r="A2478">
        <v>224389</v>
      </c>
      <c r="C2478" t="s">
        <v>1255</v>
      </c>
    </row>
    <row r="2479" spans="1:3">
      <c r="A2479">
        <v>82691</v>
      </c>
      <c r="B2479" t="s">
        <v>1803</v>
      </c>
      <c r="C2479" t="s">
        <v>1255</v>
      </c>
    </row>
    <row r="2480" spans="1:3">
      <c r="A2480">
        <v>141698</v>
      </c>
      <c r="B2480" t="s">
        <v>1803</v>
      </c>
      <c r="C2480" t="s">
        <v>1255</v>
      </c>
    </row>
    <row r="2481" spans="1:3">
      <c r="A2481">
        <v>420000</v>
      </c>
      <c r="C2481" t="s">
        <v>1255</v>
      </c>
    </row>
    <row r="2482" spans="1:3">
      <c r="A2482">
        <v>236000</v>
      </c>
      <c r="B2482" t="s">
        <v>1803</v>
      </c>
      <c r="C2482" t="s">
        <v>1255</v>
      </c>
    </row>
    <row r="2483" spans="1:3">
      <c r="A2483">
        <v>184000</v>
      </c>
      <c r="B2483" t="s">
        <v>1803</v>
      </c>
      <c r="C2483" t="s">
        <v>1255</v>
      </c>
    </row>
    <row r="2484" spans="1:3">
      <c r="A2484">
        <v>1363452</v>
      </c>
      <c r="C2484" t="s">
        <v>1255</v>
      </c>
    </row>
    <row r="2485" spans="1:3">
      <c r="A2485">
        <v>428252</v>
      </c>
      <c r="B2485" t="s">
        <v>1803</v>
      </c>
      <c r="C2485" t="s">
        <v>1255</v>
      </c>
    </row>
    <row r="2486" spans="1:3">
      <c r="A2486">
        <v>556900</v>
      </c>
      <c r="B2486" t="s">
        <v>1803</v>
      </c>
      <c r="C2486" t="s">
        <v>1255</v>
      </c>
    </row>
    <row r="2487" spans="1:3">
      <c r="A2487">
        <v>378300</v>
      </c>
      <c r="B2487" t="s">
        <v>1803</v>
      </c>
      <c r="C2487" t="s">
        <v>1255</v>
      </c>
    </row>
    <row r="2488" spans="1:3">
      <c r="A2488">
        <v>1596000</v>
      </c>
      <c r="C2488" t="s">
        <v>1255</v>
      </c>
    </row>
    <row r="2489" spans="1:3">
      <c r="A2489">
        <v>374000</v>
      </c>
      <c r="B2489" t="s">
        <v>1803</v>
      </c>
      <c r="C2489" t="s">
        <v>1255</v>
      </c>
    </row>
    <row r="2490" spans="1:3">
      <c r="A2490">
        <v>964000</v>
      </c>
      <c r="B2490" t="s">
        <v>1803</v>
      </c>
      <c r="C2490" t="s">
        <v>1255</v>
      </c>
    </row>
    <row r="2491" spans="1:3">
      <c r="A2491">
        <v>258000</v>
      </c>
      <c r="B2491" t="s">
        <v>1803</v>
      </c>
      <c r="C2491" t="s">
        <v>1255</v>
      </c>
    </row>
    <row r="2492" spans="1:3">
      <c r="A2492">
        <v>1045331</v>
      </c>
      <c r="C2492" t="s">
        <v>1255</v>
      </c>
    </row>
    <row r="2493" spans="1:3">
      <c r="A2493">
        <v>259437</v>
      </c>
      <c r="B2493" t="s">
        <v>1803</v>
      </c>
      <c r="C2493" t="s">
        <v>1255</v>
      </c>
    </row>
    <row r="2494" spans="1:3">
      <c r="A2494">
        <v>87000</v>
      </c>
      <c r="B2494" t="s">
        <v>1803</v>
      </c>
      <c r="C2494" t="s">
        <v>1255</v>
      </c>
    </row>
    <row r="2495" spans="1:3">
      <c r="A2495">
        <v>140186</v>
      </c>
      <c r="B2495" t="s">
        <v>1803</v>
      </c>
      <c r="C2495" t="s">
        <v>1255</v>
      </c>
    </row>
    <row r="2496" spans="1:3">
      <c r="A2496">
        <v>558708</v>
      </c>
      <c r="B2496" t="s">
        <v>1803</v>
      </c>
      <c r="C2496" t="s">
        <v>1255</v>
      </c>
    </row>
    <row r="2497" spans="1:3">
      <c r="A2497">
        <v>1431888</v>
      </c>
      <c r="C2497" t="s">
        <v>1255</v>
      </c>
    </row>
    <row r="2498" spans="1:3">
      <c r="A2498">
        <v>1200000</v>
      </c>
      <c r="B2498" t="s">
        <v>1803</v>
      </c>
      <c r="C2498" t="s">
        <v>1255</v>
      </c>
    </row>
    <row r="2499" spans="1:3">
      <c r="A2499">
        <v>231888</v>
      </c>
      <c r="B2499" t="s">
        <v>1803</v>
      </c>
      <c r="C2499" t="s">
        <v>1255</v>
      </c>
    </row>
    <row r="2500" spans="1:3">
      <c r="A2500">
        <v>1068720</v>
      </c>
      <c r="C2500" t="s">
        <v>1255</v>
      </c>
    </row>
    <row r="2501" spans="1:3">
      <c r="A2501">
        <v>292048</v>
      </c>
      <c r="B2501" t="s">
        <v>1803</v>
      </c>
      <c r="C2501" t="s">
        <v>1255</v>
      </c>
    </row>
    <row r="2502" spans="1:3">
      <c r="A2502">
        <v>416672</v>
      </c>
      <c r="B2502" t="s">
        <v>1803</v>
      </c>
      <c r="C2502" t="s">
        <v>1255</v>
      </c>
    </row>
    <row r="2503" spans="1:3">
      <c r="A2503">
        <v>360000</v>
      </c>
      <c r="B2503" t="s">
        <v>1803</v>
      </c>
      <c r="C2503" t="s">
        <v>1255</v>
      </c>
    </row>
    <row r="2504" spans="1:3">
      <c r="A2504">
        <v>1180841</v>
      </c>
      <c r="C2504" t="s">
        <v>1255</v>
      </c>
    </row>
    <row r="2505" spans="1:3">
      <c r="A2505">
        <v>619841</v>
      </c>
      <c r="B2505" t="s">
        <v>1803</v>
      </c>
      <c r="C2505" t="s">
        <v>1255</v>
      </c>
    </row>
    <row r="2506" spans="1:3">
      <c r="A2506">
        <v>561000</v>
      </c>
      <c r="B2506" t="s">
        <v>1803</v>
      </c>
      <c r="C2506" t="s">
        <v>1255</v>
      </c>
    </row>
    <row r="2507" spans="1:3">
      <c r="A2507">
        <v>420425</v>
      </c>
      <c r="C2507" t="s">
        <v>1255</v>
      </c>
    </row>
    <row r="2508" spans="1:3">
      <c r="A2508">
        <v>420425</v>
      </c>
      <c r="B2508" t="s">
        <v>1803</v>
      </c>
      <c r="C2508" t="s">
        <v>1255</v>
      </c>
    </row>
    <row r="2509" spans="1:3">
      <c r="A2509">
        <v>1584555</v>
      </c>
      <c r="C2509" t="s">
        <v>1255</v>
      </c>
    </row>
    <row r="2510" spans="1:3">
      <c r="A2510">
        <v>664555</v>
      </c>
      <c r="B2510" t="s">
        <v>1803</v>
      </c>
      <c r="C2510" t="s">
        <v>1255</v>
      </c>
    </row>
    <row r="2511" spans="1:3">
      <c r="A2511">
        <v>720000</v>
      </c>
      <c r="B2511" t="s">
        <v>1803</v>
      </c>
      <c r="C2511" t="s">
        <v>1255</v>
      </c>
    </row>
    <row r="2512" spans="1:3">
      <c r="A2512">
        <v>35000</v>
      </c>
      <c r="B2512" t="s">
        <v>1803</v>
      </c>
      <c r="C2512" t="s">
        <v>1255</v>
      </c>
    </row>
    <row r="2513" spans="1:3">
      <c r="A2513">
        <v>165000</v>
      </c>
      <c r="B2513" t="s">
        <v>1803</v>
      </c>
      <c r="C2513" t="s">
        <v>1255</v>
      </c>
    </row>
    <row r="2514" spans="1:3">
      <c r="A2514">
        <v>1024972</v>
      </c>
      <c r="C2514" t="s">
        <v>1255</v>
      </c>
    </row>
    <row r="2515" spans="1:3">
      <c r="A2515">
        <v>1024972</v>
      </c>
      <c r="B2515" t="s">
        <v>1803</v>
      </c>
      <c r="C2515" t="s">
        <v>1255</v>
      </c>
    </row>
    <row r="2516" spans="1:3">
      <c r="A2516">
        <v>41335</v>
      </c>
      <c r="C2516" t="s">
        <v>1255</v>
      </c>
    </row>
    <row r="2517" spans="1:3">
      <c r="A2517">
        <v>41335</v>
      </c>
      <c r="B2517" t="s">
        <v>1803</v>
      </c>
      <c r="C2517" t="s">
        <v>1255</v>
      </c>
    </row>
    <row r="2518" spans="1:3">
      <c r="A2518">
        <v>639000</v>
      </c>
      <c r="C2518" t="s">
        <v>1255</v>
      </c>
    </row>
    <row r="2519" spans="1:3">
      <c r="A2519">
        <v>325000</v>
      </c>
      <c r="B2519" t="s">
        <v>1803</v>
      </c>
      <c r="C2519" t="s">
        <v>1255</v>
      </c>
    </row>
    <row r="2520" spans="1:3">
      <c r="A2520">
        <v>314000</v>
      </c>
      <c r="B2520" t="s">
        <v>1803</v>
      </c>
      <c r="C2520" t="s">
        <v>1255</v>
      </c>
    </row>
    <row r="2521" spans="1:3">
      <c r="A2521">
        <v>1184137</v>
      </c>
      <c r="C2521" t="s">
        <v>1255</v>
      </c>
    </row>
    <row r="2522" spans="1:3">
      <c r="A2522">
        <v>950000</v>
      </c>
      <c r="B2522" t="s">
        <v>1803</v>
      </c>
      <c r="C2522" t="s">
        <v>1255</v>
      </c>
    </row>
    <row r="2523" spans="1:3">
      <c r="A2523">
        <v>176704</v>
      </c>
      <c r="B2523" t="s">
        <v>1803</v>
      </c>
      <c r="C2523" t="s">
        <v>1255</v>
      </c>
    </row>
    <row r="2524" spans="1:3">
      <c r="A2524">
        <v>57433</v>
      </c>
      <c r="B2524" t="s">
        <v>1803</v>
      </c>
      <c r="C2524" t="s">
        <v>1255</v>
      </c>
    </row>
    <row r="2525" spans="1:3">
      <c r="A2525">
        <v>1471360</v>
      </c>
      <c r="C2525" t="s">
        <v>1255</v>
      </c>
    </row>
    <row r="2526" spans="1:3">
      <c r="A2526">
        <v>480000</v>
      </c>
      <c r="B2526" t="s">
        <v>1803</v>
      </c>
      <c r="C2526" t="s">
        <v>1255</v>
      </c>
    </row>
    <row r="2527" spans="1:3">
      <c r="A2527">
        <v>720000</v>
      </c>
      <c r="B2527" t="s">
        <v>1803</v>
      </c>
      <c r="C2527" t="s">
        <v>1255</v>
      </c>
    </row>
    <row r="2528" spans="1:3">
      <c r="A2528">
        <v>271360</v>
      </c>
      <c r="B2528" t="s">
        <v>1803</v>
      </c>
      <c r="C2528" t="s">
        <v>1255</v>
      </c>
    </row>
    <row r="2529" spans="1:3">
      <c r="A2529">
        <v>39584360</v>
      </c>
      <c r="C2529" t="s">
        <v>1255</v>
      </c>
    </row>
    <row r="2530" spans="1:3">
      <c r="C2530" t="s">
        <v>1255</v>
      </c>
    </row>
    <row r="2531" spans="1:3">
      <c r="C2531" t="s">
        <v>1255</v>
      </c>
    </row>
    <row r="2532" spans="1:3">
      <c r="C2532" t="s">
        <v>1255</v>
      </c>
    </row>
    <row r="2533" spans="1:3">
      <c r="C2533" t="s">
        <v>1255</v>
      </c>
    </row>
    <row r="2534" spans="1:3">
      <c r="A2534">
        <v>14331548</v>
      </c>
      <c r="C2534" t="s">
        <v>1255</v>
      </c>
    </row>
    <row r="2535" spans="1:3">
      <c r="A2535">
        <v>14263548</v>
      </c>
      <c r="B2535" t="s">
        <v>1803</v>
      </c>
      <c r="C2535" t="s">
        <v>1255</v>
      </c>
    </row>
    <row r="2536" spans="1:3">
      <c r="A2536">
        <v>68000</v>
      </c>
      <c r="B2536" t="s">
        <v>1803</v>
      </c>
      <c r="C2536" t="s">
        <v>1255</v>
      </c>
    </row>
    <row r="2537" spans="1:3">
      <c r="A2537">
        <v>360000</v>
      </c>
      <c r="C2537" t="s">
        <v>1255</v>
      </c>
    </row>
    <row r="2538" spans="1:3">
      <c r="A2538">
        <v>360000</v>
      </c>
      <c r="B2538" t="s">
        <v>1803</v>
      </c>
      <c r="C2538" t="s">
        <v>1255</v>
      </c>
    </row>
    <row r="2539" spans="1:3">
      <c r="A2539">
        <v>644588</v>
      </c>
      <c r="C2539" t="s">
        <v>1255</v>
      </c>
    </row>
    <row r="2540" spans="1:3">
      <c r="A2540">
        <v>201598</v>
      </c>
      <c r="B2540" t="s">
        <v>1803</v>
      </c>
      <c r="C2540" t="s">
        <v>1255</v>
      </c>
    </row>
    <row r="2541" spans="1:3">
      <c r="A2541">
        <v>188133</v>
      </c>
      <c r="B2541" t="s">
        <v>1803</v>
      </c>
      <c r="C2541" t="s">
        <v>1255</v>
      </c>
    </row>
    <row r="2542" spans="1:3">
      <c r="A2542">
        <v>254857</v>
      </c>
      <c r="B2542" t="s">
        <v>1803</v>
      </c>
      <c r="C2542" t="s">
        <v>1255</v>
      </c>
    </row>
    <row r="2543" spans="1:3">
      <c r="A2543">
        <v>154706</v>
      </c>
      <c r="C2543" t="s">
        <v>1255</v>
      </c>
    </row>
    <row r="2544" spans="1:3">
      <c r="A2544">
        <v>154706</v>
      </c>
      <c r="B2544" t="s">
        <v>1803</v>
      </c>
      <c r="C2544" t="s">
        <v>1255</v>
      </c>
    </row>
    <row r="2545" spans="1:3">
      <c r="A2545">
        <v>230583</v>
      </c>
      <c r="C2545" t="s">
        <v>1255</v>
      </c>
    </row>
    <row r="2546" spans="1:3">
      <c r="A2546">
        <v>230583</v>
      </c>
      <c r="B2546" t="s">
        <v>1803</v>
      </c>
      <c r="C2546" t="s">
        <v>1255</v>
      </c>
    </row>
    <row r="2547" spans="1:3">
      <c r="A2547">
        <v>511477</v>
      </c>
      <c r="C2547" t="s">
        <v>1255</v>
      </c>
    </row>
    <row r="2548" spans="1:3">
      <c r="A2548">
        <v>196229</v>
      </c>
      <c r="B2548" t="s">
        <v>1803</v>
      </c>
      <c r="C2548" t="s">
        <v>1255</v>
      </c>
    </row>
    <row r="2549" spans="1:3">
      <c r="A2549">
        <v>110004</v>
      </c>
      <c r="B2549" t="s">
        <v>1803</v>
      </c>
      <c r="C2549" t="s">
        <v>1255</v>
      </c>
    </row>
    <row r="2550" spans="1:3">
      <c r="A2550">
        <v>205244</v>
      </c>
      <c r="B2550" t="s">
        <v>1803</v>
      </c>
      <c r="C2550" t="s">
        <v>1255</v>
      </c>
    </row>
    <row r="2551" spans="1:3">
      <c r="A2551">
        <v>414000</v>
      </c>
      <c r="C2551" t="s">
        <v>1255</v>
      </c>
    </row>
    <row r="2552" spans="1:3">
      <c r="A2552">
        <v>211000</v>
      </c>
      <c r="B2552" t="s">
        <v>1803</v>
      </c>
      <c r="C2552" t="s">
        <v>1255</v>
      </c>
    </row>
    <row r="2553" spans="1:3">
      <c r="A2553">
        <v>203000</v>
      </c>
      <c r="B2553" t="s">
        <v>1803</v>
      </c>
      <c r="C2553" t="s">
        <v>1255</v>
      </c>
    </row>
    <row r="2554" spans="1:3">
      <c r="A2554">
        <v>1024972</v>
      </c>
      <c r="C2554" t="s">
        <v>1255</v>
      </c>
    </row>
    <row r="2555" spans="1:3">
      <c r="A2555">
        <v>1024972</v>
      </c>
      <c r="B2555" t="s">
        <v>1803</v>
      </c>
      <c r="C2555" t="s">
        <v>1255</v>
      </c>
    </row>
    <row r="2556" spans="1:3">
      <c r="A2556">
        <v>40600</v>
      </c>
      <c r="C2556" t="s">
        <v>1255</v>
      </c>
    </row>
    <row r="2557" spans="1:3">
      <c r="A2557">
        <v>40600</v>
      </c>
      <c r="B2557" t="s">
        <v>1803</v>
      </c>
      <c r="C2557" t="s">
        <v>1255</v>
      </c>
    </row>
    <row r="2558" spans="1:3">
      <c r="A2558">
        <v>525960</v>
      </c>
      <c r="C2558" t="s">
        <v>1255</v>
      </c>
    </row>
    <row r="2559" spans="1:3">
      <c r="A2559">
        <v>325000</v>
      </c>
      <c r="B2559" t="s">
        <v>1803</v>
      </c>
      <c r="C2559" t="s">
        <v>1255</v>
      </c>
    </row>
    <row r="2560" spans="1:3">
      <c r="A2560">
        <v>200960</v>
      </c>
      <c r="B2560" t="s">
        <v>1803</v>
      </c>
      <c r="C2560" t="s">
        <v>1255</v>
      </c>
    </row>
    <row r="2561" spans="1:3">
      <c r="A2561">
        <v>18238434</v>
      </c>
      <c r="C2561" t="s">
        <v>1255</v>
      </c>
    </row>
    <row r="2562" spans="1:3">
      <c r="C2562" t="s">
        <v>1255</v>
      </c>
    </row>
    <row r="2563" spans="1:3">
      <c r="A2563">
        <v>500000</v>
      </c>
      <c r="C2563" t="s">
        <v>1255</v>
      </c>
    </row>
    <row r="2564" spans="1:3">
      <c r="A2564">
        <v>500000</v>
      </c>
      <c r="B2564" t="s">
        <v>1803</v>
      </c>
      <c r="C2564" t="s">
        <v>1255</v>
      </c>
    </row>
    <row r="2565" spans="1:3">
      <c r="A2565">
        <v>500000</v>
      </c>
      <c r="C2565" t="s">
        <v>1255</v>
      </c>
    </row>
    <row r="2566" spans="1:3">
      <c r="C2566" t="s">
        <v>1255</v>
      </c>
    </row>
    <row r="2567" spans="1:3">
      <c r="A2567">
        <v>18738434</v>
      </c>
      <c r="C2567" t="s">
        <v>1255</v>
      </c>
    </row>
    <row r="2568" spans="1:3">
      <c r="C2568" t="s">
        <v>1255</v>
      </c>
    </row>
    <row r="2569" spans="1:3">
      <c r="C2569" t="s">
        <v>1255</v>
      </c>
    </row>
    <row r="2570" spans="1:3">
      <c r="C2570" t="s">
        <v>1255</v>
      </c>
    </row>
    <row r="2571" spans="1:3">
      <c r="C2571" t="s">
        <v>1255</v>
      </c>
    </row>
    <row r="2572" spans="1:3">
      <c r="A2572">
        <v>182100</v>
      </c>
      <c r="C2572" t="s">
        <v>1255</v>
      </c>
    </row>
    <row r="2573" spans="1:3">
      <c r="A2573">
        <v>182100</v>
      </c>
      <c r="B2573" t="s">
        <v>1803</v>
      </c>
      <c r="C2573" t="s">
        <v>1255</v>
      </c>
    </row>
    <row r="2574" spans="1:3">
      <c r="A2574">
        <v>719078</v>
      </c>
      <c r="C2574" t="s">
        <v>1255</v>
      </c>
    </row>
    <row r="2575" spans="1:3">
      <c r="A2575">
        <v>206088</v>
      </c>
      <c r="B2575" t="s">
        <v>1803</v>
      </c>
      <c r="C2575" t="s">
        <v>1255</v>
      </c>
    </row>
    <row r="2576" spans="1:3">
      <c r="A2576">
        <v>208133</v>
      </c>
      <c r="B2576" t="s">
        <v>1803</v>
      </c>
      <c r="C2576" t="s">
        <v>1255</v>
      </c>
    </row>
    <row r="2577" spans="1:3">
      <c r="A2577">
        <v>304857</v>
      </c>
      <c r="B2577" t="s">
        <v>1803</v>
      </c>
      <c r="C2577" t="s">
        <v>1255</v>
      </c>
    </row>
    <row r="2578" spans="1:3">
      <c r="A2578">
        <v>91000</v>
      </c>
      <c r="C2578" t="s">
        <v>1255</v>
      </c>
    </row>
    <row r="2579" spans="1:3">
      <c r="A2579">
        <v>91000</v>
      </c>
      <c r="B2579" t="s">
        <v>1803</v>
      </c>
      <c r="C2579" t="s">
        <v>1255</v>
      </c>
    </row>
    <row r="2580" spans="1:3">
      <c r="A2580">
        <v>992178</v>
      </c>
      <c r="C2580" t="s">
        <v>1255</v>
      </c>
    </row>
    <row r="2581" spans="1:3">
      <c r="C2581" t="s">
        <v>1255</v>
      </c>
    </row>
    <row r="2582" spans="1:3">
      <c r="A2582">
        <v>992178</v>
      </c>
      <c r="C2582" t="s">
        <v>1255</v>
      </c>
    </row>
    <row r="2583" spans="1:3">
      <c r="C2583" t="s">
        <v>1255</v>
      </c>
    </row>
    <row r="2584" spans="1:3">
      <c r="C2584" t="s">
        <v>1255</v>
      </c>
    </row>
    <row r="2585" spans="1:3">
      <c r="C2585" t="s">
        <v>1255</v>
      </c>
    </row>
    <row r="2586" spans="1:3">
      <c r="A2586">
        <v>757550</v>
      </c>
      <c r="C2586" t="s">
        <v>1255</v>
      </c>
    </row>
    <row r="2587" spans="1:3">
      <c r="A2587">
        <v>244490</v>
      </c>
      <c r="B2587" t="s">
        <v>1803</v>
      </c>
      <c r="C2587" t="s">
        <v>1255</v>
      </c>
    </row>
    <row r="2588" spans="1:3">
      <c r="A2588">
        <v>308204</v>
      </c>
      <c r="B2588" t="s">
        <v>1803</v>
      </c>
      <c r="C2588" t="s">
        <v>1255</v>
      </c>
    </row>
    <row r="2589" spans="1:3">
      <c r="A2589">
        <v>204856</v>
      </c>
      <c r="B2589" t="s">
        <v>1803</v>
      </c>
      <c r="C2589" t="s">
        <v>1255</v>
      </c>
    </row>
    <row r="2590" spans="1:3">
      <c r="A2590">
        <v>416668</v>
      </c>
      <c r="C2590" t="s">
        <v>1255</v>
      </c>
    </row>
    <row r="2591" spans="1:3">
      <c r="A2591">
        <v>313277</v>
      </c>
      <c r="B2591" t="s">
        <v>1803</v>
      </c>
      <c r="C2591" t="s">
        <v>1255</v>
      </c>
    </row>
    <row r="2592" spans="1:3">
      <c r="A2592">
        <v>103391</v>
      </c>
      <c r="B2592" t="s">
        <v>1803</v>
      </c>
      <c r="C2592" t="s">
        <v>1255</v>
      </c>
    </row>
    <row r="2593" spans="1:3">
      <c r="A2593">
        <v>120000</v>
      </c>
      <c r="C2593" t="s">
        <v>1255</v>
      </c>
    </row>
    <row r="2594" spans="1:3">
      <c r="A2594">
        <v>120000</v>
      </c>
      <c r="B2594" t="s">
        <v>1803</v>
      </c>
      <c r="C2594" t="s">
        <v>1255</v>
      </c>
    </row>
    <row r="2595" spans="1:3">
      <c r="A2595">
        <v>1294218</v>
      </c>
      <c r="C2595" t="s">
        <v>1255</v>
      </c>
    </row>
    <row r="2596" spans="1:3">
      <c r="C2596" t="s">
        <v>1255</v>
      </c>
    </row>
    <row r="2597" spans="1:3">
      <c r="C2597" t="s">
        <v>1255</v>
      </c>
    </row>
    <row r="2598" spans="1:3">
      <c r="A2598">
        <v>52636701</v>
      </c>
      <c r="C2598" t="s">
        <v>1255</v>
      </c>
    </row>
    <row r="2599" spans="1:3">
      <c r="A2599">
        <v>52636701</v>
      </c>
      <c r="B2599" t="s">
        <v>1803</v>
      </c>
      <c r="C2599" t="s">
        <v>1255</v>
      </c>
    </row>
    <row r="2600" spans="1:3">
      <c r="A2600">
        <v>52636701</v>
      </c>
      <c r="C2600" t="s">
        <v>1255</v>
      </c>
    </row>
    <row r="2601" spans="1:3">
      <c r="A2601">
        <v>53930919</v>
      </c>
      <c r="C2601" t="s">
        <v>1255</v>
      </c>
    </row>
    <row r="2602" spans="1:3">
      <c r="C2602" t="s">
        <v>1255</v>
      </c>
    </row>
    <row r="2603" spans="1:3">
      <c r="C2603" t="s">
        <v>1255</v>
      </c>
    </row>
    <row r="2604" spans="1:3">
      <c r="C2604" t="s">
        <v>1255</v>
      </c>
    </row>
    <row r="2605" spans="1:3">
      <c r="A2605">
        <v>120000</v>
      </c>
      <c r="C2605" t="s">
        <v>1255</v>
      </c>
    </row>
    <row r="2606" spans="1:3">
      <c r="A2606">
        <v>120000</v>
      </c>
      <c r="B2606" t="s">
        <v>1803</v>
      </c>
      <c r="C2606" t="s">
        <v>1255</v>
      </c>
    </row>
    <row r="2607" spans="1:3">
      <c r="A2607">
        <v>724279</v>
      </c>
      <c r="C2607" t="s">
        <v>1255</v>
      </c>
    </row>
    <row r="2608" spans="1:3">
      <c r="A2608">
        <v>200280</v>
      </c>
      <c r="B2608" t="s">
        <v>1803</v>
      </c>
      <c r="C2608" t="s">
        <v>1255</v>
      </c>
    </row>
    <row r="2609" spans="1:3">
      <c r="A2609">
        <v>218143</v>
      </c>
      <c r="B2609" t="s">
        <v>1803</v>
      </c>
      <c r="C2609" t="s">
        <v>1255</v>
      </c>
    </row>
    <row r="2610" spans="1:3">
      <c r="A2610">
        <v>305856</v>
      </c>
      <c r="B2610" t="s">
        <v>1803</v>
      </c>
      <c r="C2610" t="s">
        <v>1255</v>
      </c>
    </row>
    <row r="2611" spans="1:3">
      <c r="A2611">
        <v>256000</v>
      </c>
      <c r="C2611" t="s">
        <v>1255</v>
      </c>
    </row>
    <row r="2612" spans="1:3">
      <c r="A2612">
        <v>256000</v>
      </c>
      <c r="B2612" t="s">
        <v>1803</v>
      </c>
      <c r="C2612" t="s">
        <v>1255</v>
      </c>
    </row>
    <row r="2613" spans="1:3">
      <c r="A2613">
        <v>223900</v>
      </c>
      <c r="C2613" t="s">
        <v>1255</v>
      </c>
    </row>
    <row r="2614" spans="1:3">
      <c r="A2614">
        <v>223900</v>
      </c>
      <c r="B2614" t="s">
        <v>1803</v>
      </c>
      <c r="C2614" t="s">
        <v>1255</v>
      </c>
    </row>
    <row r="2615" spans="1:3">
      <c r="A2615">
        <v>220000</v>
      </c>
      <c r="C2615" t="s">
        <v>1255</v>
      </c>
    </row>
    <row r="2616" spans="1:3">
      <c r="A2616">
        <v>220000</v>
      </c>
      <c r="B2616" t="s">
        <v>1803</v>
      </c>
      <c r="C2616" t="s">
        <v>1255</v>
      </c>
    </row>
    <row r="2617" spans="1:3">
      <c r="A2617">
        <v>204000</v>
      </c>
      <c r="C2617" t="s">
        <v>1255</v>
      </c>
    </row>
    <row r="2618" spans="1:3">
      <c r="A2618">
        <v>96000</v>
      </c>
      <c r="B2618" t="s">
        <v>1803</v>
      </c>
      <c r="C2618" t="s">
        <v>1255</v>
      </c>
    </row>
    <row r="2619" spans="1:3">
      <c r="A2619">
        <v>108000</v>
      </c>
      <c r="B2619" t="s">
        <v>1803</v>
      </c>
      <c r="C2619" t="s">
        <v>1255</v>
      </c>
    </row>
    <row r="2620" spans="1:3">
      <c r="A2620">
        <v>1748179</v>
      </c>
      <c r="C2620" t="s">
        <v>1255</v>
      </c>
    </row>
    <row r="2621" spans="1:3">
      <c r="C2621" t="s">
        <v>1255</v>
      </c>
    </row>
    <row r="2622" spans="1:3">
      <c r="C2622" t="s">
        <v>1255</v>
      </c>
    </row>
    <row r="2623" spans="1:3">
      <c r="A2623">
        <v>20445014</v>
      </c>
      <c r="C2623" t="s">
        <v>1255</v>
      </c>
    </row>
    <row r="2624" spans="1:3">
      <c r="A2624">
        <v>20000000</v>
      </c>
      <c r="B2624" t="s">
        <v>1803</v>
      </c>
      <c r="C2624" t="s">
        <v>1255</v>
      </c>
    </row>
    <row r="2625" spans="1:3">
      <c r="A2625">
        <v>445014</v>
      </c>
      <c r="B2625" t="s">
        <v>1803</v>
      </c>
      <c r="C2625" t="s">
        <v>1255</v>
      </c>
    </row>
    <row r="2626" spans="1:3">
      <c r="A2626">
        <v>20000000</v>
      </c>
      <c r="C2626" t="s">
        <v>1255</v>
      </c>
    </row>
    <row r="2627" spans="1:3">
      <c r="A2627">
        <v>13278720</v>
      </c>
      <c r="B2627" t="s">
        <v>1803</v>
      </c>
      <c r="C2627" t="s">
        <v>1255</v>
      </c>
    </row>
    <row r="2628" spans="1:3">
      <c r="A2628">
        <v>6721280</v>
      </c>
      <c r="B2628" t="s">
        <v>1803</v>
      </c>
      <c r="C2628" t="s">
        <v>1255</v>
      </c>
    </row>
    <row r="2629" spans="1:3">
      <c r="A2629">
        <v>40445014</v>
      </c>
      <c r="C2629" t="s">
        <v>1255</v>
      </c>
    </row>
    <row r="2630" spans="1:3">
      <c r="C2630" t="s">
        <v>1255</v>
      </c>
    </row>
    <row r="2631" spans="1:3">
      <c r="A2631">
        <v>42193193</v>
      </c>
      <c r="C2631" t="s">
        <v>1255</v>
      </c>
    </row>
    <row r="2632" spans="1:3">
      <c r="C2632" t="s">
        <v>1255</v>
      </c>
    </row>
    <row r="2633" spans="1:3">
      <c r="C2633" t="s">
        <v>1255</v>
      </c>
    </row>
    <row r="2634" spans="1:3">
      <c r="C2634" t="s">
        <v>1255</v>
      </c>
    </row>
    <row r="2635" spans="1:3">
      <c r="C2635" t="s">
        <v>1255</v>
      </c>
    </row>
    <row r="2636" spans="1:3">
      <c r="A2636">
        <v>689830</v>
      </c>
      <c r="C2636" t="s">
        <v>1255</v>
      </c>
    </row>
    <row r="2637" spans="1:3">
      <c r="A2637">
        <v>200980</v>
      </c>
      <c r="B2637" t="s">
        <v>1803</v>
      </c>
      <c r="C2637" t="s">
        <v>1255</v>
      </c>
    </row>
    <row r="2638" spans="1:3">
      <c r="A2638">
        <v>278200</v>
      </c>
      <c r="B2638" t="s">
        <v>1803</v>
      </c>
      <c r="C2638" t="s">
        <v>1255</v>
      </c>
    </row>
    <row r="2639" spans="1:3">
      <c r="A2639">
        <v>210650</v>
      </c>
      <c r="B2639" t="s">
        <v>1803</v>
      </c>
      <c r="C2639" t="s">
        <v>1255</v>
      </c>
    </row>
    <row r="2640" spans="1:3">
      <c r="A2640">
        <v>410812</v>
      </c>
      <c r="C2640" t="s">
        <v>1255</v>
      </c>
    </row>
    <row r="2641" spans="1:3">
      <c r="A2641">
        <v>182272</v>
      </c>
      <c r="B2641" t="s">
        <v>1803</v>
      </c>
      <c r="C2641" t="s">
        <v>1255</v>
      </c>
    </row>
    <row r="2642" spans="1:3">
      <c r="A2642">
        <v>202670</v>
      </c>
      <c r="B2642" t="s">
        <v>1803</v>
      </c>
      <c r="C2642" t="s">
        <v>1255</v>
      </c>
    </row>
    <row r="2643" spans="1:3">
      <c r="A2643">
        <v>25870</v>
      </c>
      <c r="B2643" t="s">
        <v>1803</v>
      </c>
      <c r="C2643" t="s">
        <v>1255</v>
      </c>
    </row>
    <row r="2644" spans="1:3">
      <c r="A2644">
        <v>200000</v>
      </c>
      <c r="C2644" t="s">
        <v>1255</v>
      </c>
    </row>
    <row r="2645" spans="1:3">
      <c r="A2645">
        <v>200000</v>
      </c>
      <c r="B2645" t="s">
        <v>1803</v>
      </c>
      <c r="C2645" t="s">
        <v>1255</v>
      </c>
    </row>
    <row r="2646" spans="1:3">
      <c r="A2646">
        <v>1300642</v>
      </c>
      <c r="C2646" t="s">
        <v>1255</v>
      </c>
    </row>
    <row r="2647" spans="1:3">
      <c r="C2647" t="s">
        <v>1255</v>
      </c>
    </row>
    <row r="2648" spans="1:3">
      <c r="A2648">
        <v>1300642</v>
      </c>
      <c r="C2648" t="s">
        <v>1255</v>
      </c>
    </row>
    <row r="2649" spans="1:3">
      <c r="C2649" t="s">
        <v>1255</v>
      </c>
    </row>
    <row r="2650" spans="1:3">
      <c r="A2650">
        <v>156739726</v>
      </c>
      <c r="C2650" t="s">
        <v>1255</v>
      </c>
    </row>
    <row r="2651" spans="1:3">
      <c r="C2651" t="s">
        <v>1255</v>
      </c>
    </row>
    <row r="2652" spans="1:3">
      <c r="C2652" t="s">
        <v>1255</v>
      </c>
    </row>
    <row r="2653" spans="1:3">
      <c r="C2653" t="s">
        <v>1255</v>
      </c>
    </row>
    <row r="2654" spans="1:3">
      <c r="C2654" t="s">
        <v>1255</v>
      </c>
    </row>
    <row r="2655" spans="1:3">
      <c r="A2655">
        <v>8237917.9999999888</v>
      </c>
      <c r="C2655" t="s">
        <v>1255</v>
      </c>
    </row>
    <row r="2656" spans="1:3">
      <c r="A2656">
        <v>8199917.9999999888</v>
      </c>
      <c r="B2656" t="s">
        <v>1803</v>
      </c>
      <c r="C2656" t="s">
        <v>1255</v>
      </c>
    </row>
    <row r="2657" spans="1:3">
      <c r="A2657">
        <v>38000</v>
      </c>
      <c r="B2657" t="s">
        <v>1803</v>
      </c>
      <c r="C2657" t="s">
        <v>1255</v>
      </c>
    </row>
    <row r="2658" spans="1:3">
      <c r="A2658">
        <v>262000</v>
      </c>
      <c r="C2658" t="s">
        <v>1255</v>
      </c>
    </row>
    <row r="2659" spans="1:3">
      <c r="A2659">
        <v>262000</v>
      </c>
      <c r="B2659" t="s">
        <v>1803</v>
      </c>
      <c r="C2659" t="s">
        <v>1255</v>
      </c>
    </row>
    <row r="2660" spans="1:3">
      <c r="A2660">
        <v>1173120</v>
      </c>
      <c r="C2660" t="s">
        <v>1255</v>
      </c>
    </row>
    <row r="2661" spans="1:3">
      <c r="A2661">
        <v>381200</v>
      </c>
      <c r="B2661" t="s">
        <v>1803</v>
      </c>
      <c r="C2661" t="s">
        <v>1255</v>
      </c>
    </row>
    <row r="2662" spans="1:3">
      <c r="A2662">
        <v>389234</v>
      </c>
      <c r="B2662" t="s">
        <v>1803</v>
      </c>
      <c r="C2662" t="s">
        <v>1255</v>
      </c>
    </row>
    <row r="2663" spans="1:3">
      <c r="A2663">
        <v>402686</v>
      </c>
      <c r="B2663" t="s">
        <v>1803</v>
      </c>
      <c r="C2663" t="s">
        <v>1255</v>
      </c>
    </row>
    <row r="2664" spans="1:3">
      <c r="A2664">
        <v>100000</v>
      </c>
      <c r="C2664" t="s">
        <v>1255</v>
      </c>
    </row>
    <row r="2665" spans="1:3">
      <c r="A2665">
        <v>100000</v>
      </c>
      <c r="B2665" t="s">
        <v>1803</v>
      </c>
      <c r="C2665" t="s">
        <v>1255</v>
      </c>
    </row>
    <row r="2666" spans="1:3">
      <c r="A2666">
        <v>49803</v>
      </c>
      <c r="C2666" t="s">
        <v>1255</v>
      </c>
    </row>
    <row r="2667" spans="1:3">
      <c r="A2667">
        <v>49803</v>
      </c>
      <c r="B2667" t="s">
        <v>1803</v>
      </c>
      <c r="C2667" t="s">
        <v>1255</v>
      </c>
    </row>
    <row r="2668" spans="1:3">
      <c r="A2668">
        <v>9822840.9999999888</v>
      </c>
      <c r="C2668" t="s">
        <v>1255</v>
      </c>
    </row>
    <row r="2669" spans="1:3">
      <c r="C2669" t="s">
        <v>1255</v>
      </c>
    </row>
    <row r="2670" spans="1:3">
      <c r="C2670" t="s">
        <v>1255</v>
      </c>
    </row>
    <row r="2671" spans="1:3">
      <c r="A2671">
        <v>40000000</v>
      </c>
      <c r="C2671" t="s">
        <v>1255</v>
      </c>
    </row>
    <row r="2672" spans="1:3">
      <c r="A2672">
        <v>40000000</v>
      </c>
      <c r="B2672" t="s">
        <v>1803</v>
      </c>
      <c r="C2672" t="s">
        <v>1255</v>
      </c>
    </row>
    <row r="2673" spans="1:3">
      <c r="A2673">
        <v>40000000</v>
      </c>
      <c r="C2673" t="s">
        <v>1255</v>
      </c>
    </row>
    <row r="2674" spans="1:3">
      <c r="C2674" t="s">
        <v>1255</v>
      </c>
    </row>
    <row r="2675" spans="1:3">
      <c r="A2675">
        <v>49822840.999999985</v>
      </c>
      <c r="C2675" t="s">
        <v>1255</v>
      </c>
    </row>
    <row r="2676" spans="1:3">
      <c r="C2676" t="s">
        <v>1255</v>
      </c>
    </row>
    <row r="2677" spans="1:3">
      <c r="C2677" t="s">
        <v>1255</v>
      </c>
    </row>
    <row r="2678" spans="1:3">
      <c r="C2678" t="s">
        <v>1255</v>
      </c>
    </row>
    <row r="2679" spans="1:3">
      <c r="A2679">
        <v>1088488</v>
      </c>
      <c r="C2679" t="s">
        <v>1255</v>
      </c>
    </row>
    <row r="2680" spans="1:3">
      <c r="A2680">
        <v>340725</v>
      </c>
      <c r="B2680" t="s">
        <v>1803</v>
      </c>
      <c r="C2680" t="s">
        <v>1255</v>
      </c>
    </row>
    <row r="2681" spans="1:3">
      <c r="A2681">
        <v>329486</v>
      </c>
      <c r="B2681" t="s">
        <v>1803</v>
      </c>
      <c r="C2681" t="s">
        <v>1255</v>
      </c>
    </row>
    <row r="2682" spans="1:3">
      <c r="A2682">
        <v>418277</v>
      </c>
      <c r="B2682" t="s">
        <v>1803</v>
      </c>
      <c r="C2682" t="s">
        <v>1255</v>
      </c>
    </row>
    <row r="2683" spans="1:3">
      <c r="A2683">
        <v>893479</v>
      </c>
      <c r="C2683" t="s">
        <v>1255</v>
      </c>
    </row>
    <row r="2684" spans="1:3">
      <c r="A2684">
        <v>336819</v>
      </c>
      <c r="B2684" t="s">
        <v>1803</v>
      </c>
      <c r="C2684" t="s">
        <v>1255</v>
      </c>
    </row>
    <row r="2685" spans="1:3">
      <c r="A2685">
        <v>316660</v>
      </c>
      <c r="B2685" t="s">
        <v>1803</v>
      </c>
      <c r="C2685" t="s">
        <v>1255</v>
      </c>
    </row>
    <row r="2686" spans="1:3">
      <c r="A2686">
        <v>240000</v>
      </c>
      <c r="B2686" t="s">
        <v>1803</v>
      </c>
      <c r="C2686" t="s">
        <v>1255</v>
      </c>
    </row>
    <row r="2687" spans="1:3">
      <c r="A2687">
        <v>433218</v>
      </c>
      <c r="C2687" t="s">
        <v>1255</v>
      </c>
    </row>
    <row r="2688" spans="1:3">
      <c r="A2688">
        <v>433218</v>
      </c>
      <c r="B2688" t="s">
        <v>1803</v>
      </c>
      <c r="C2688" t="s">
        <v>1255</v>
      </c>
    </row>
    <row r="2689" spans="1:3">
      <c r="A2689">
        <v>382277</v>
      </c>
      <c r="C2689" t="s">
        <v>1255</v>
      </c>
    </row>
    <row r="2690" spans="1:3">
      <c r="A2690">
        <v>382277</v>
      </c>
      <c r="B2690" t="s">
        <v>1803</v>
      </c>
      <c r="C2690" t="s">
        <v>1255</v>
      </c>
    </row>
    <row r="2691" spans="1:3">
      <c r="A2691">
        <v>649000</v>
      </c>
      <c r="C2691" t="s">
        <v>1255</v>
      </c>
    </row>
    <row r="2692" spans="1:3">
      <c r="A2692">
        <v>325000</v>
      </c>
      <c r="B2692" t="s">
        <v>1803</v>
      </c>
      <c r="C2692" t="s">
        <v>1255</v>
      </c>
    </row>
    <row r="2693" spans="1:3">
      <c r="A2693">
        <v>324000</v>
      </c>
      <c r="B2693" t="s">
        <v>1803</v>
      </c>
      <c r="C2693" t="s">
        <v>1255</v>
      </c>
    </row>
    <row r="2694" spans="1:3">
      <c r="A2694">
        <v>480000</v>
      </c>
      <c r="C2694" t="s">
        <v>1255</v>
      </c>
    </row>
    <row r="2695" spans="1:3">
      <c r="A2695">
        <v>480000</v>
      </c>
      <c r="B2695" t="s">
        <v>1803</v>
      </c>
      <c r="C2695" t="s">
        <v>1255</v>
      </c>
    </row>
    <row r="2696" spans="1:3">
      <c r="A2696">
        <v>3926462</v>
      </c>
      <c r="C2696" t="s">
        <v>1255</v>
      </c>
    </row>
    <row r="2697" spans="1:3">
      <c r="C2697" t="s">
        <v>1255</v>
      </c>
    </row>
    <row r="2698" spans="1:3">
      <c r="C2698" t="s">
        <v>1255</v>
      </c>
    </row>
    <row r="2699" spans="1:3">
      <c r="A2699">
        <v>41000000</v>
      </c>
      <c r="C2699" t="s">
        <v>1255</v>
      </c>
    </row>
    <row r="2700" spans="1:3">
      <c r="A2700">
        <v>27000000</v>
      </c>
      <c r="B2700" t="s">
        <v>1803</v>
      </c>
      <c r="C2700" t="s">
        <v>1255</v>
      </c>
    </row>
    <row r="2701" spans="1:3">
      <c r="A2701">
        <v>14000000</v>
      </c>
      <c r="B2701" t="s">
        <v>1803</v>
      </c>
      <c r="C2701" t="s">
        <v>1255</v>
      </c>
    </row>
    <row r="2702" spans="1:3">
      <c r="A2702">
        <v>6447732</v>
      </c>
      <c r="C2702" t="s">
        <v>1255</v>
      </c>
    </row>
    <row r="2703" spans="1:3">
      <c r="A2703">
        <v>4735228</v>
      </c>
      <c r="B2703" t="s">
        <v>1803</v>
      </c>
      <c r="C2703" t="s">
        <v>1255</v>
      </c>
    </row>
    <row r="2704" spans="1:3">
      <c r="A2704">
        <v>1712504</v>
      </c>
      <c r="B2704" t="s">
        <v>1803</v>
      </c>
      <c r="C2704" t="s">
        <v>1255</v>
      </c>
    </row>
    <row r="2705" spans="1:3">
      <c r="A2705">
        <v>47447732</v>
      </c>
      <c r="C2705" t="s">
        <v>1255</v>
      </c>
    </row>
    <row r="2706" spans="1:3">
      <c r="A2706">
        <v>51374194</v>
      </c>
      <c r="C2706" t="s">
        <v>1255</v>
      </c>
    </row>
    <row r="2707" spans="1:3">
      <c r="C2707" t="s">
        <v>1255</v>
      </c>
    </row>
    <row r="2708" spans="1:3">
      <c r="C2708" t="s">
        <v>1255</v>
      </c>
    </row>
    <row r="2709" spans="1:3">
      <c r="C2709" t="s">
        <v>1255</v>
      </c>
    </row>
    <row r="2710" spans="1:3">
      <c r="A2710">
        <v>4169792</v>
      </c>
      <c r="C2710" t="s">
        <v>1255</v>
      </c>
    </row>
    <row r="2711" spans="1:3">
      <c r="A2711">
        <v>4143792</v>
      </c>
      <c r="B2711" t="s">
        <v>1803</v>
      </c>
      <c r="C2711" t="s">
        <v>1255</v>
      </c>
    </row>
    <row r="2712" spans="1:3">
      <c r="A2712">
        <v>26000</v>
      </c>
      <c r="B2712" t="s">
        <v>1803</v>
      </c>
      <c r="C2712" t="s">
        <v>1255</v>
      </c>
    </row>
    <row r="2713" spans="1:3">
      <c r="A2713">
        <v>1531282</v>
      </c>
      <c r="C2713" t="s">
        <v>1255</v>
      </c>
    </row>
    <row r="2714" spans="1:3">
      <c r="A2714">
        <v>490725</v>
      </c>
      <c r="B2714" t="s">
        <v>1803</v>
      </c>
      <c r="C2714" t="s">
        <v>1255</v>
      </c>
    </row>
    <row r="2715" spans="1:3">
      <c r="A2715">
        <v>550680</v>
      </c>
      <c r="B2715" t="s">
        <v>1803</v>
      </c>
      <c r="C2715" t="s">
        <v>1255</v>
      </c>
    </row>
    <row r="2716" spans="1:3">
      <c r="A2716">
        <v>489877</v>
      </c>
      <c r="B2716" t="s">
        <v>1803</v>
      </c>
      <c r="C2716" t="s">
        <v>1255</v>
      </c>
    </row>
    <row r="2717" spans="1:3">
      <c r="A2717">
        <v>59803</v>
      </c>
      <c r="C2717" t="s">
        <v>1255</v>
      </c>
    </row>
    <row r="2718" spans="1:3">
      <c r="A2718">
        <v>59803</v>
      </c>
      <c r="B2718" t="s">
        <v>1803</v>
      </c>
      <c r="C2718" t="s">
        <v>1255</v>
      </c>
    </row>
    <row r="2719" spans="1:3">
      <c r="A2719">
        <v>5760877</v>
      </c>
      <c r="C2719" t="s">
        <v>1255</v>
      </c>
    </row>
    <row r="2720" spans="1:3">
      <c r="C2720" t="s">
        <v>1255</v>
      </c>
    </row>
    <row r="2721" spans="1:3">
      <c r="C2721" t="s">
        <v>1255</v>
      </c>
    </row>
    <row r="2722" spans="1:3">
      <c r="A2722">
        <v>2690000</v>
      </c>
      <c r="C2722" t="s">
        <v>1255</v>
      </c>
    </row>
    <row r="2723" spans="1:3">
      <c r="A2723">
        <v>2690000</v>
      </c>
      <c r="B2723" t="s">
        <v>1803</v>
      </c>
      <c r="C2723" t="s">
        <v>1255</v>
      </c>
    </row>
    <row r="2724" spans="1:3">
      <c r="A2724">
        <v>2690000</v>
      </c>
      <c r="C2724" t="s">
        <v>1255</v>
      </c>
    </row>
    <row r="2725" spans="1:3">
      <c r="C2725" t="s">
        <v>1255</v>
      </c>
    </row>
    <row r="2726" spans="1:3">
      <c r="A2726">
        <v>8450877</v>
      </c>
      <c r="C2726" t="s">
        <v>1255</v>
      </c>
    </row>
    <row r="2727" spans="1:3">
      <c r="C2727" t="s">
        <v>1255</v>
      </c>
    </row>
    <row r="2728" spans="1:3">
      <c r="C2728" t="s">
        <v>1255</v>
      </c>
    </row>
    <row r="2729" spans="1:3">
      <c r="A2729">
        <v>1428445</v>
      </c>
      <c r="C2729" t="s">
        <v>1255</v>
      </c>
    </row>
    <row r="2730" spans="1:3">
      <c r="A2730">
        <v>445962</v>
      </c>
      <c r="B2730" t="s">
        <v>1803</v>
      </c>
      <c r="C2730" t="s">
        <v>1255</v>
      </c>
    </row>
    <row r="2731" spans="1:3">
      <c r="A2731">
        <v>502683</v>
      </c>
      <c r="B2731" t="s">
        <v>1803</v>
      </c>
      <c r="C2731" t="s">
        <v>1255</v>
      </c>
    </row>
    <row r="2732" spans="1:3">
      <c r="A2732">
        <v>479800</v>
      </c>
      <c r="B2732" t="s">
        <v>1803</v>
      </c>
      <c r="C2732" t="s">
        <v>1255</v>
      </c>
    </row>
    <row r="2733" spans="1:3">
      <c r="A2733">
        <v>54000</v>
      </c>
      <c r="C2733" t="s">
        <v>1255</v>
      </c>
    </row>
    <row r="2734" spans="1:3">
      <c r="A2734">
        <v>54000</v>
      </c>
      <c r="B2734" t="s">
        <v>1803</v>
      </c>
      <c r="C2734" t="s">
        <v>1255</v>
      </c>
    </row>
    <row r="2735" spans="1:3">
      <c r="A2735">
        <v>162000</v>
      </c>
      <c r="C2735" t="s">
        <v>1255</v>
      </c>
    </row>
    <row r="2736" spans="1:3">
      <c r="A2736">
        <v>162000</v>
      </c>
      <c r="B2736" t="s">
        <v>1803</v>
      </c>
      <c r="C2736" t="s">
        <v>1255</v>
      </c>
    </row>
    <row r="2737" spans="1:3">
      <c r="A2737">
        <v>1644445</v>
      </c>
      <c r="C2737" t="s">
        <v>1255</v>
      </c>
    </row>
    <row r="2738" spans="1:3">
      <c r="C2738" t="s">
        <v>1255</v>
      </c>
    </row>
    <row r="2739" spans="1:3">
      <c r="C2739" t="s">
        <v>1255</v>
      </c>
    </row>
    <row r="2740" spans="1:3">
      <c r="A2740">
        <v>800000</v>
      </c>
      <c r="C2740" t="s">
        <v>1255</v>
      </c>
    </row>
    <row r="2741" spans="1:3">
      <c r="A2741">
        <v>800000</v>
      </c>
      <c r="B2741" t="s">
        <v>1803</v>
      </c>
      <c r="C2741" t="s">
        <v>1255</v>
      </c>
    </row>
    <row r="2742" spans="1:3">
      <c r="A2742">
        <v>800000</v>
      </c>
      <c r="C2742" t="s">
        <v>1255</v>
      </c>
    </row>
    <row r="2743" spans="1:3">
      <c r="C2743" t="s">
        <v>1255</v>
      </c>
    </row>
    <row r="2744" spans="1:3">
      <c r="A2744">
        <v>2444445</v>
      </c>
      <c r="C2744" t="s">
        <v>1255</v>
      </c>
    </row>
    <row r="2745" spans="1:3">
      <c r="C2745" t="s">
        <v>1255</v>
      </c>
    </row>
    <row r="2746" spans="1:3">
      <c r="C2746" t="s">
        <v>1255</v>
      </c>
    </row>
    <row r="2747" spans="1:3">
      <c r="A2747">
        <v>730000</v>
      </c>
      <c r="C2747" t="s">
        <v>1255</v>
      </c>
    </row>
    <row r="2748" spans="1:3">
      <c r="A2748">
        <v>730000</v>
      </c>
      <c r="B2748" t="s">
        <v>1803</v>
      </c>
      <c r="C2748" t="s">
        <v>1255</v>
      </c>
    </row>
    <row r="2749" spans="1:3">
      <c r="A2749">
        <v>2850000</v>
      </c>
      <c r="C2749" t="s">
        <v>1255</v>
      </c>
    </row>
    <row r="2750" spans="1:3">
      <c r="A2750">
        <v>390000</v>
      </c>
      <c r="B2750" t="s">
        <v>1803</v>
      </c>
      <c r="C2750" t="s">
        <v>1255</v>
      </c>
    </row>
    <row r="2751" spans="1:3">
      <c r="A2751">
        <v>795000</v>
      </c>
      <c r="B2751" t="s">
        <v>1803</v>
      </c>
      <c r="C2751" t="s">
        <v>1255</v>
      </c>
    </row>
    <row r="2752" spans="1:3">
      <c r="A2752">
        <v>915000</v>
      </c>
      <c r="B2752" t="s">
        <v>1803</v>
      </c>
      <c r="C2752" t="s">
        <v>1255</v>
      </c>
    </row>
    <row r="2753" spans="1:3">
      <c r="A2753">
        <v>750000</v>
      </c>
      <c r="B2753" t="s">
        <v>1803</v>
      </c>
      <c r="C2753" t="s">
        <v>1255</v>
      </c>
    </row>
    <row r="2754" spans="1:3">
      <c r="A2754">
        <v>1760000</v>
      </c>
      <c r="C2754" t="s">
        <v>1255</v>
      </c>
    </row>
    <row r="2755" spans="1:3">
      <c r="A2755">
        <v>1760000</v>
      </c>
      <c r="B2755" t="s">
        <v>1803</v>
      </c>
      <c r="C2755" t="s">
        <v>1255</v>
      </c>
    </row>
    <row r="2756" spans="1:3">
      <c r="A2756">
        <v>2500000</v>
      </c>
      <c r="C2756" t="s">
        <v>1255</v>
      </c>
    </row>
    <row r="2757" spans="1:3">
      <c r="A2757">
        <v>587000</v>
      </c>
      <c r="B2757" t="s">
        <v>1803</v>
      </c>
      <c r="C2757" t="s">
        <v>1255</v>
      </c>
    </row>
    <row r="2758" spans="1:3">
      <c r="A2758">
        <v>378000</v>
      </c>
      <c r="B2758" t="s">
        <v>1803</v>
      </c>
      <c r="C2758" t="s">
        <v>1255</v>
      </c>
    </row>
    <row r="2759" spans="1:3">
      <c r="A2759">
        <v>211000</v>
      </c>
      <c r="B2759" t="s">
        <v>1803</v>
      </c>
      <c r="C2759" t="s">
        <v>1255</v>
      </c>
    </row>
    <row r="2760" spans="1:3">
      <c r="A2760">
        <v>764000</v>
      </c>
      <c r="B2760" t="s">
        <v>1803</v>
      </c>
      <c r="C2760" t="s">
        <v>1255</v>
      </c>
    </row>
    <row r="2761" spans="1:3">
      <c r="A2761">
        <v>560000</v>
      </c>
      <c r="B2761" t="s">
        <v>1803</v>
      </c>
      <c r="C2761" t="s">
        <v>1255</v>
      </c>
    </row>
    <row r="2762" spans="1:3">
      <c r="A2762">
        <v>870000</v>
      </c>
      <c r="C2762" t="s">
        <v>1255</v>
      </c>
    </row>
    <row r="2763" spans="1:3">
      <c r="A2763">
        <v>320000</v>
      </c>
      <c r="B2763" t="s">
        <v>1803</v>
      </c>
      <c r="C2763" t="s">
        <v>1255</v>
      </c>
    </row>
    <row r="2764" spans="1:3">
      <c r="A2764">
        <v>550000</v>
      </c>
      <c r="B2764" t="s">
        <v>1803</v>
      </c>
      <c r="C2764" t="s">
        <v>1255</v>
      </c>
    </row>
    <row r="2765" spans="1:3">
      <c r="A2765">
        <v>1520000</v>
      </c>
      <c r="C2765" t="s">
        <v>1255</v>
      </c>
    </row>
    <row r="2766" spans="1:3">
      <c r="A2766">
        <v>850000</v>
      </c>
      <c r="B2766" t="s">
        <v>1803</v>
      </c>
      <c r="C2766" t="s">
        <v>1255</v>
      </c>
    </row>
    <row r="2767" spans="1:3">
      <c r="A2767">
        <v>670000</v>
      </c>
      <c r="B2767" t="s">
        <v>1803</v>
      </c>
      <c r="C2767" t="s">
        <v>1255</v>
      </c>
    </row>
    <row r="2768" spans="1:3">
      <c r="A2768">
        <v>300000</v>
      </c>
      <c r="C2768" t="s">
        <v>1255</v>
      </c>
    </row>
    <row r="2769" spans="1:3">
      <c r="A2769">
        <v>300000</v>
      </c>
      <c r="B2769" t="s">
        <v>1803</v>
      </c>
      <c r="C2769" t="s">
        <v>1255</v>
      </c>
    </row>
    <row r="2770" spans="1:3">
      <c r="A2770">
        <v>1300000</v>
      </c>
      <c r="C2770" t="s">
        <v>1255</v>
      </c>
    </row>
    <row r="2771" spans="1:3">
      <c r="A2771">
        <v>1300000</v>
      </c>
      <c r="B2771" t="s">
        <v>1803</v>
      </c>
      <c r="C2771" t="s">
        <v>1255</v>
      </c>
    </row>
    <row r="2772" spans="1:3">
      <c r="A2772">
        <v>18500000</v>
      </c>
      <c r="C2772" t="s">
        <v>1255</v>
      </c>
    </row>
    <row r="2773" spans="1:3">
      <c r="A2773">
        <v>17000000</v>
      </c>
      <c r="B2773" t="s">
        <v>1803</v>
      </c>
      <c r="C2773" t="s">
        <v>1255</v>
      </c>
    </row>
    <row r="2774" spans="1:3">
      <c r="A2774">
        <v>1500000</v>
      </c>
      <c r="B2774" t="s">
        <v>1803</v>
      </c>
      <c r="C2774" t="s">
        <v>1255</v>
      </c>
    </row>
    <row r="2775" spans="1:3">
      <c r="A2775">
        <v>1170000</v>
      </c>
      <c r="C2775" t="s">
        <v>1255</v>
      </c>
    </row>
    <row r="2776" spans="1:3">
      <c r="A2776">
        <v>450000</v>
      </c>
      <c r="B2776" t="s">
        <v>1803</v>
      </c>
      <c r="C2776" t="s">
        <v>1255</v>
      </c>
    </row>
    <row r="2777" spans="1:3">
      <c r="A2777">
        <v>720000</v>
      </c>
      <c r="B2777" t="s">
        <v>1803</v>
      </c>
      <c r="C2777" t="s">
        <v>1255</v>
      </c>
    </row>
    <row r="2778" spans="1:3">
      <c r="A2778">
        <v>4000000</v>
      </c>
      <c r="C2778" t="s">
        <v>1255</v>
      </c>
    </row>
    <row r="2779" spans="1:3">
      <c r="A2779">
        <v>2000000</v>
      </c>
      <c r="B2779" t="s">
        <v>1803</v>
      </c>
      <c r="C2779" t="s">
        <v>1255</v>
      </c>
    </row>
    <row r="2780" spans="1:3">
      <c r="A2780">
        <v>2000000</v>
      </c>
      <c r="B2780" t="s">
        <v>1803</v>
      </c>
      <c r="C2780" t="s">
        <v>1255</v>
      </c>
    </row>
    <row r="2781" spans="1:3">
      <c r="A2781">
        <v>35500000</v>
      </c>
      <c r="C2781" t="s">
        <v>1255</v>
      </c>
    </row>
    <row r="2782" spans="1:3">
      <c r="C2782" t="s">
        <v>1255</v>
      </c>
    </row>
    <row r="2783" spans="1:3">
      <c r="A2783">
        <v>35500000</v>
      </c>
      <c r="C2783" t="s">
        <v>1255</v>
      </c>
    </row>
    <row r="2784" spans="1:3">
      <c r="C2784" t="s">
        <v>1255</v>
      </c>
    </row>
    <row r="2785" spans="1:3">
      <c r="C2785" t="s">
        <v>1255</v>
      </c>
    </row>
    <row r="2786" spans="1:3">
      <c r="A2786">
        <v>1453910</v>
      </c>
      <c r="C2786" t="s">
        <v>1255</v>
      </c>
    </row>
    <row r="2787" spans="1:3">
      <c r="A2787">
        <v>434053</v>
      </c>
      <c r="B2787" t="s">
        <v>1803</v>
      </c>
      <c r="C2787" t="s">
        <v>1255</v>
      </c>
    </row>
    <row r="2788" spans="1:3">
      <c r="A2788">
        <v>544457</v>
      </c>
      <c r="B2788" t="s">
        <v>1803</v>
      </c>
      <c r="C2788" t="s">
        <v>1255</v>
      </c>
    </row>
    <row r="2789" spans="1:3">
      <c r="A2789">
        <v>475400</v>
      </c>
      <c r="B2789" t="s">
        <v>1803</v>
      </c>
      <c r="C2789" t="s">
        <v>1255</v>
      </c>
    </row>
    <row r="2790" spans="1:3">
      <c r="A2790">
        <v>420000</v>
      </c>
      <c r="C2790" t="s">
        <v>1255</v>
      </c>
    </row>
    <row r="2791" spans="1:3">
      <c r="A2791">
        <v>420000</v>
      </c>
      <c r="B2791" t="s">
        <v>1803</v>
      </c>
      <c r="C2791" t="s">
        <v>1255</v>
      </c>
    </row>
    <row r="2792" spans="1:3">
      <c r="A2792">
        <v>329826</v>
      </c>
      <c r="C2792" t="s">
        <v>1255</v>
      </c>
    </row>
    <row r="2793" spans="1:3">
      <c r="A2793">
        <v>329826</v>
      </c>
      <c r="B2793" t="s">
        <v>1803</v>
      </c>
      <c r="C2793" t="s">
        <v>1255</v>
      </c>
    </row>
    <row r="2794" spans="1:3">
      <c r="A2794">
        <v>1024972</v>
      </c>
      <c r="C2794" t="s">
        <v>1255</v>
      </c>
    </row>
    <row r="2795" spans="1:3">
      <c r="A2795">
        <v>1024972</v>
      </c>
      <c r="B2795" t="s">
        <v>1803</v>
      </c>
      <c r="C2795" t="s">
        <v>1255</v>
      </c>
    </row>
    <row r="2796" spans="1:3">
      <c r="A2796">
        <v>3228708</v>
      </c>
      <c r="C2796" t="s">
        <v>1255</v>
      </c>
    </row>
    <row r="2797" spans="1:3">
      <c r="C2797" t="s">
        <v>1255</v>
      </c>
    </row>
    <row r="2798" spans="1:3">
      <c r="C2798" t="s">
        <v>1255</v>
      </c>
    </row>
    <row r="2799" spans="1:3">
      <c r="C2799" t="s">
        <v>1255</v>
      </c>
    </row>
    <row r="2800" spans="1:3">
      <c r="A2800">
        <v>114279</v>
      </c>
      <c r="C2800" t="s">
        <v>1255</v>
      </c>
    </row>
    <row r="2801" spans="1:3">
      <c r="A2801">
        <v>114279</v>
      </c>
      <c r="B2801" t="s">
        <v>1803</v>
      </c>
      <c r="C2801" t="s">
        <v>1255</v>
      </c>
    </row>
    <row r="2802" spans="1:3">
      <c r="A2802">
        <v>6000000</v>
      </c>
      <c r="C2802" t="s">
        <v>1255</v>
      </c>
    </row>
    <row r="2803" spans="1:3">
      <c r="A2803">
        <v>6000000</v>
      </c>
      <c r="B2803" t="s">
        <v>1803</v>
      </c>
      <c r="C2803" t="s">
        <v>1255</v>
      </c>
    </row>
    <row r="2804" spans="1:3">
      <c r="A2804">
        <v>1000000</v>
      </c>
      <c r="C2804" t="s">
        <v>1255</v>
      </c>
    </row>
    <row r="2805" spans="1:3">
      <c r="A2805">
        <v>500000</v>
      </c>
      <c r="B2805" t="s">
        <v>1803</v>
      </c>
      <c r="C2805" t="s">
        <v>1255</v>
      </c>
    </row>
    <row r="2806" spans="1:3">
      <c r="A2806">
        <v>500000</v>
      </c>
      <c r="B2806" t="s">
        <v>1803</v>
      </c>
      <c r="C2806" t="s">
        <v>1255</v>
      </c>
    </row>
    <row r="2807" spans="1:3">
      <c r="A2807">
        <v>7114279</v>
      </c>
      <c r="C2807" t="s">
        <v>1255</v>
      </c>
    </row>
    <row r="2808" spans="1:3">
      <c r="A2808">
        <v>10342987</v>
      </c>
      <c r="C2808" t="s">
        <v>1255</v>
      </c>
    </row>
    <row r="2809" spans="1:3">
      <c r="C2809" t="s">
        <v>1255</v>
      </c>
    </row>
    <row r="2810" spans="1:3">
      <c r="A2810">
        <v>157935344</v>
      </c>
      <c r="C2810" t="s">
        <v>1255</v>
      </c>
    </row>
    <row r="2811" spans="1:3">
      <c r="A2811">
        <v>123041343.99999999</v>
      </c>
      <c r="C2811" t="s">
        <v>1255</v>
      </c>
    </row>
    <row r="2812" spans="1:3">
      <c r="A2812">
        <v>191633726</v>
      </c>
      <c r="C2812" t="s">
        <v>1255</v>
      </c>
    </row>
    <row r="2813" spans="1:3">
      <c r="A2813">
        <v>314675070</v>
      </c>
      <c r="C2813" t="s">
        <v>1255</v>
      </c>
    </row>
    <row r="2818" spans="1:3">
      <c r="C2818" t="s">
        <v>1256</v>
      </c>
    </row>
    <row r="2819" spans="1:3">
      <c r="A2819">
        <v>69159768</v>
      </c>
      <c r="C2819" t="s">
        <v>1256</v>
      </c>
    </row>
    <row r="2820" spans="1:3">
      <c r="A2820">
        <v>69159768</v>
      </c>
      <c r="B2820" t="s">
        <v>1803</v>
      </c>
      <c r="C2820" t="s">
        <v>1256</v>
      </c>
    </row>
    <row r="2821" spans="1:3">
      <c r="A2821">
        <v>116000</v>
      </c>
      <c r="C2821" t="s">
        <v>1256</v>
      </c>
    </row>
    <row r="2822" spans="1:3">
      <c r="A2822">
        <v>87000</v>
      </c>
      <c r="B2822" t="s">
        <v>1803</v>
      </c>
      <c r="C2822" t="s">
        <v>1256</v>
      </c>
    </row>
    <row r="2823" spans="1:3">
      <c r="A2823">
        <v>29000</v>
      </c>
      <c r="B2823" t="s">
        <v>1803</v>
      </c>
      <c r="C2823" t="s">
        <v>1256</v>
      </c>
    </row>
    <row r="2824" spans="1:3">
      <c r="A2824">
        <v>75400</v>
      </c>
      <c r="C2824" t="s">
        <v>1256</v>
      </c>
    </row>
    <row r="2825" spans="1:3">
      <c r="A2825">
        <v>58000</v>
      </c>
      <c r="B2825" t="s">
        <v>1803</v>
      </c>
      <c r="C2825" t="s">
        <v>1256</v>
      </c>
    </row>
    <row r="2826" spans="1:3">
      <c r="A2826">
        <v>17400</v>
      </c>
      <c r="B2826" t="s">
        <v>1803</v>
      </c>
      <c r="C2826" t="s">
        <v>1256</v>
      </c>
    </row>
    <row r="2827" spans="1:3">
      <c r="A2827">
        <v>704352.14</v>
      </c>
      <c r="C2827" t="s">
        <v>1256</v>
      </c>
    </row>
    <row r="2828" spans="1:3">
      <c r="A2828">
        <v>263352.14</v>
      </c>
      <c r="B2828" t="s">
        <v>1803</v>
      </c>
      <c r="C2828" t="s">
        <v>1256</v>
      </c>
    </row>
    <row r="2829" spans="1:3">
      <c r="A2829">
        <v>235000</v>
      </c>
      <c r="B2829" t="s">
        <v>1803</v>
      </c>
      <c r="C2829" t="s">
        <v>1256</v>
      </c>
    </row>
    <row r="2830" spans="1:3">
      <c r="A2830">
        <v>206000</v>
      </c>
      <c r="B2830" t="s">
        <v>1803</v>
      </c>
      <c r="C2830" t="s">
        <v>1256</v>
      </c>
    </row>
    <row r="2831" spans="1:3">
      <c r="A2831">
        <v>361100</v>
      </c>
      <c r="C2831" t="s">
        <v>1256</v>
      </c>
    </row>
    <row r="2832" spans="1:3">
      <c r="A2832">
        <v>132000</v>
      </c>
      <c r="B2832" t="s">
        <v>1803</v>
      </c>
      <c r="C2832" t="s">
        <v>1256</v>
      </c>
    </row>
    <row r="2833" spans="1:3">
      <c r="A2833">
        <v>174000</v>
      </c>
      <c r="B2833" t="s">
        <v>1803</v>
      </c>
      <c r="C2833" t="s">
        <v>1256</v>
      </c>
    </row>
    <row r="2834" spans="1:3">
      <c r="A2834">
        <v>55100</v>
      </c>
      <c r="B2834" t="s">
        <v>1803</v>
      </c>
      <c r="C2834" t="s">
        <v>1256</v>
      </c>
    </row>
    <row r="2835" spans="1:3">
      <c r="A2835">
        <v>1845000</v>
      </c>
      <c r="C2835" t="s">
        <v>1256</v>
      </c>
    </row>
    <row r="2836" spans="1:3">
      <c r="A2836">
        <v>145000</v>
      </c>
      <c r="B2836" t="s">
        <v>1803</v>
      </c>
      <c r="C2836" t="s">
        <v>1256</v>
      </c>
    </row>
    <row r="2837" spans="1:3">
      <c r="A2837">
        <v>1550000</v>
      </c>
      <c r="B2837" t="s">
        <v>1803</v>
      </c>
      <c r="C2837" t="s">
        <v>1256</v>
      </c>
    </row>
    <row r="2838" spans="1:3">
      <c r="A2838">
        <v>150000</v>
      </c>
      <c r="B2838" t="s">
        <v>1803</v>
      </c>
      <c r="C2838" t="s">
        <v>1256</v>
      </c>
    </row>
    <row r="2839" spans="1:3">
      <c r="A2839">
        <v>514000</v>
      </c>
      <c r="C2839" t="s">
        <v>1256</v>
      </c>
    </row>
    <row r="2840" spans="1:3">
      <c r="A2840">
        <v>153000</v>
      </c>
      <c r="B2840" t="s">
        <v>1803</v>
      </c>
      <c r="C2840" t="s">
        <v>1256</v>
      </c>
    </row>
    <row r="2841" spans="1:3">
      <c r="A2841">
        <v>104000</v>
      </c>
      <c r="B2841" t="s">
        <v>1803</v>
      </c>
      <c r="C2841" t="s">
        <v>1256</v>
      </c>
    </row>
    <row r="2842" spans="1:3">
      <c r="A2842">
        <v>153000</v>
      </c>
      <c r="B2842" t="s">
        <v>1803</v>
      </c>
      <c r="C2842" t="s">
        <v>1256</v>
      </c>
    </row>
    <row r="2843" spans="1:3">
      <c r="A2843">
        <v>104000</v>
      </c>
      <c r="B2843" t="s">
        <v>1803</v>
      </c>
      <c r="C2843" t="s">
        <v>1256</v>
      </c>
    </row>
    <row r="2844" spans="1:3">
      <c r="A2844">
        <v>472000</v>
      </c>
      <c r="C2844" t="s">
        <v>1256</v>
      </c>
    </row>
    <row r="2845" spans="1:3">
      <c r="A2845">
        <v>290000</v>
      </c>
      <c r="B2845" t="s">
        <v>1803</v>
      </c>
      <c r="C2845" t="s">
        <v>1256</v>
      </c>
    </row>
    <row r="2846" spans="1:3">
      <c r="A2846">
        <v>182000</v>
      </c>
      <c r="B2846" t="s">
        <v>1803</v>
      </c>
      <c r="C2846" t="s">
        <v>1256</v>
      </c>
    </row>
    <row r="2847" spans="1:3">
      <c r="A2847">
        <v>228400</v>
      </c>
      <c r="C2847" t="s">
        <v>1256</v>
      </c>
    </row>
    <row r="2848" spans="1:3">
      <c r="A2848">
        <v>145000</v>
      </c>
      <c r="B2848" t="s">
        <v>1803</v>
      </c>
      <c r="C2848" t="s">
        <v>1256</v>
      </c>
    </row>
    <row r="2849" spans="1:3">
      <c r="A2849">
        <v>83400</v>
      </c>
      <c r="B2849" t="s">
        <v>1803</v>
      </c>
      <c r="C2849" t="s">
        <v>1256</v>
      </c>
    </row>
    <row r="2850" spans="1:3">
      <c r="A2850">
        <v>618565</v>
      </c>
      <c r="C2850" t="s">
        <v>1256</v>
      </c>
    </row>
    <row r="2851" spans="1:3">
      <c r="A2851">
        <v>618565</v>
      </c>
      <c r="B2851" t="s">
        <v>1803</v>
      </c>
      <c r="C2851" t="s">
        <v>1256</v>
      </c>
    </row>
    <row r="2852" spans="1:3">
      <c r="A2852">
        <v>145000</v>
      </c>
      <c r="C2852" t="s">
        <v>1256</v>
      </c>
    </row>
    <row r="2853" spans="1:3">
      <c r="A2853">
        <v>145000</v>
      </c>
      <c r="B2853" t="s">
        <v>1803</v>
      </c>
      <c r="C2853" t="s">
        <v>1256</v>
      </c>
    </row>
    <row r="2854" spans="1:3">
      <c r="A2854">
        <v>145000</v>
      </c>
      <c r="C2854" t="s">
        <v>1256</v>
      </c>
    </row>
    <row r="2855" spans="1:3">
      <c r="A2855">
        <v>145000</v>
      </c>
      <c r="B2855" t="s">
        <v>1803</v>
      </c>
      <c r="C2855" t="s">
        <v>1256</v>
      </c>
    </row>
    <row r="2856" spans="1:3">
      <c r="A2856">
        <v>74384585.140000001</v>
      </c>
      <c r="C2856" t="s">
        <v>1256</v>
      </c>
    </row>
    <row r="2857" spans="1:3">
      <c r="C2857" t="s">
        <v>1256</v>
      </c>
    </row>
    <row r="2858" spans="1:3">
      <c r="C2858" t="s">
        <v>1256</v>
      </c>
    </row>
    <row r="2859" spans="1:3">
      <c r="C2859" t="s">
        <v>1256</v>
      </c>
    </row>
    <row r="2860" spans="1:3">
      <c r="A2860">
        <v>137344</v>
      </c>
      <c r="C2860" t="s">
        <v>1256</v>
      </c>
    </row>
    <row r="2861" spans="1:3">
      <c r="A2861">
        <v>50344</v>
      </c>
      <c r="B2861" t="s">
        <v>1803</v>
      </c>
      <c r="C2861" t="s">
        <v>1256</v>
      </c>
    </row>
    <row r="2862" spans="1:3">
      <c r="A2862">
        <v>87000</v>
      </c>
      <c r="B2862" t="s">
        <v>1803</v>
      </c>
      <c r="C2862" t="s">
        <v>1256</v>
      </c>
    </row>
    <row r="2863" spans="1:3">
      <c r="A2863">
        <v>77140</v>
      </c>
      <c r="C2863" t="s">
        <v>1256</v>
      </c>
    </row>
    <row r="2864" spans="1:3">
      <c r="A2864">
        <v>36540</v>
      </c>
      <c r="B2864" t="s">
        <v>1803</v>
      </c>
      <c r="C2864" t="s">
        <v>1256</v>
      </c>
    </row>
    <row r="2865" spans="1:3">
      <c r="A2865">
        <v>36540</v>
      </c>
      <c r="B2865" t="s">
        <v>1803</v>
      </c>
      <c r="C2865" t="s">
        <v>1256</v>
      </c>
    </row>
    <row r="2866" spans="1:3">
      <c r="A2866">
        <v>4060</v>
      </c>
      <c r="B2866" t="s">
        <v>1803</v>
      </c>
      <c r="C2866" t="s">
        <v>1256</v>
      </c>
    </row>
    <row r="2867" spans="1:3">
      <c r="A2867">
        <v>397000</v>
      </c>
      <c r="C2867" t="s">
        <v>1256</v>
      </c>
    </row>
    <row r="2868" spans="1:3">
      <c r="A2868">
        <v>150500</v>
      </c>
      <c r="B2868" t="s">
        <v>1803</v>
      </c>
      <c r="C2868" t="s">
        <v>1256</v>
      </c>
    </row>
    <row r="2869" spans="1:3">
      <c r="A2869">
        <v>130500</v>
      </c>
      <c r="B2869" t="s">
        <v>1803</v>
      </c>
      <c r="C2869" t="s">
        <v>1256</v>
      </c>
    </row>
    <row r="2870" spans="1:3">
      <c r="A2870">
        <v>116000</v>
      </c>
      <c r="B2870" t="s">
        <v>1803</v>
      </c>
      <c r="C2870" t="s">
        <v>1256</v>
      </c>
    </row>
    <row r="2871" spans="1:3">
      <c r="A2871">
        <v>2387038</v>
      </c>
      <c r="C2871" t="s">
        <v>1256</v>
      </c>
    </row>
    <row r="2872" spans="1:3">
      <c r="A2872">
        <v>73080</v>
      </c>
      <c r="B2872" t="s">
        <v>1803</v>
      </c>
      <c r="C2872" t="s">
        <v>1256</v>
      </c>
    </row>
    <row r="2873" spans="1:3">
      <c r="A2873">
        <v>20300</v>
      </c>
      <c r="B2873" t="s">
        <v>1803</v>
      </c>
      <c r="C2873" t="s">
        <v>1256</v>
      </c>
    </row>
    <row r="2874" spans="1:3">
      <c r="A2874">
        <v>2293658</v>
      </c>
      <c r="B2874" t="s">
        <v>1803</v>
      </c>
      <c r="C2874" t="s">
        <v>1256</v>
      </c>
    </row>
    <row r="2875" spans="1:3">
      <c r="A2875">
        <v>1802264</v>
      </c>
      <c r="C2875" t="s">
        <v>1256</v>
      </c>
    </row>
    <row r="2876" spans="1:3">
      <c r="A2876">
        <v>159500</v>
      </c>
      <c r="B2876" t="s">
        <v>1803</v>
      </c>
      <c r="C2876" t="s">
        <v>1256</v>
      </c>
    </row>
    <row r="2877" spans="1:3">
      <c r="A2877">
        <v>127500</v>
      </c>
      <c r="B2877" t="s">
        <v>1803</v>
      </c>
      <c r="C2877" t="s">
        <v>1256</v>
      </c>
    </row>
    <row r="2878" spans="1:3">
      <c r="A2878">
        <v>108750</v>
      </c>
      <c r="B2878" t="s">
        <v>1803</v>
      </c>
      <c r="C2878" t="s">
        <v>1256</v>
      </c>
    </row>
    <row r="2879" spans="1:3">
      <c r="A2879">
        <v>87000</v>
      </c>
      <c r="B2879" t="s">
        <v>1803</v>
      </c>
      <c r="C2879" t="s">
        <v>1256</v>
      </c>
    </row>
    <row r="2880" spans="1:3">
      <c r="A2880">
        <v>201000</v>
      </c>
      <c r="B2880" t="s">
        <v>1803</v>
      </c>
      <c r="C2880" t="s">
        <v>1256</v>
      </c>
    </row>
    <row r="2881" spans="1:3">
      <c r="A2881">
        <v>1118514</v>
      </c>
      <c r="B2881" t="s">
        <v>1803</v>
      </c>
      <c r="C2881" t="s">
        <v>1256</v>
      </c>
    </row>
    <row r="2882" spans="1:3">
      <c r="A2882">
        <v>1615000</v>
      </c>
      <c r="C2882" t="s">
        <v>1256</v>
      </c>
    </row>
    <row r="2883" spans="1:3">
      <c r="A2883">
        <v>145000</v>
      </c>
      <c r="B2883" t="s">
        <v>1803</v>
      </c>
      <c r="C2883" t="s">
        <v>1256</v>
      </c>
    </row>
    <row r="2884" spans="1:3">
      <c r="A2884">
        <v>145000</v>
      </c>
      <c r="B2884" t="s">
        <v>1803</v>
      </c>
      <c r="C2884" t="s">
        <v>1256</v>
      </c>
    </row>
    <row r="2885" spans="1:3">
      <c r="A2885">
        <v>1145000</v>
      </c>
      <c r="B2885" t="s">
        <v>1803</v>
      </c>
      <c r="C2885" t="s">
        <v>1256</v>
      </c>
    </row>
    <row r="2886" spans="1:3">
      <c r="A2886">
        <v>180000</v>
      </c>
      <c r="B2886" t="s">
        <v>1803</v>
      </c>
      <c r="C2886" t="s">
        <v>1256</v>
      </c>
    </row>
    <row r="2887" spans="1:3">
      <c r="A2887">
        <v>105560</v>
      </c>
      <c r="C2887" t="s">
        <v>1256</v>
      </c>
    </row>
    <row r="2888" spans="1:3">
      <c r="A2888">
        <v>40600</v>
      </c>
      <c r="B2888" t="s">
        <v>1803</v>
      </c>
      <c r="C2888" t="s">
        <v>1256</v>
      </c>
    </row>
    <row r="2889" spans="1:3">
      <c r="A2889">
        <v>40600</v>
      </c>
      <c r="B2889" t="s">
        <v>1803</v>
      </c>
      <c r="C2889" t="s">
        <v>1256</v>
      </c>
    </row>
    <row r="2890" spans="1:3">
      <c r="A2890">
        <v>24360</v>
      </c>
      <c r="B2890" t="s">
        <v>1803</v>
      </c>
      <c r="C2890" t="s">
        <v>1256</v>
      </c>
    </row>
    <row r="2891" spans="1:3">
      <c r="A2891">
        <v>116000</v>
      </c>
      <c r="C2891" t="s">
        <v>1256</v>
      </c>
    </row>
    <row r="2892" spans="1:3">
      <c r="A2892">
        <v>116000</v>
      </c>
      <c r="B2892" t="s">
        <v>1803</v>
      </c>
      <c r="C2892" t="s">
        <v>1256</v>
      </c>
    </row>
    <row r="2893" spans="1:3">
      <c r="A2893">
        <v>29000</v>
      </c>
      <c r="C2893" t="s">
        <v>1256</v>
      </c>
    </row>
    <row r="2894" spans="1:3">
      <c r="A2894">
        <v>29000</v>
      </c>
      <c r="B2894" t="s">
        <v>1803</v>
      </c>
      <c r="C2894" t="s">
        <v>1256</v>
      </c>
    </row>
    <row r="2895" spans="1:3">
      <c r="A2895">
        <v>110200</v>
      </c>
      <c r="C2895" t="s">
        <v>1256</v>
      </c>
    </row>
    <row r="2896" spans="1:3">
      <c r="A2896">
        <v>110200</v>
      </c>
      <c r="B2896" t="s">
        <v>1803</v>
      </c>
      <c r="C2896" t="s">
        <v>1256</v>
      </c>
    </row>
    <row r="2897" spans="1:3">
      <c r="A2897">
        <v>60900</v>
      </c>
      <c r="C2897" t="s">
        <v>1256</v>
      </c>
    </row>
    <row r="2898" spans="1:3">
      <c r="A2898">
        <v>60900</v>
      </c>
      <c r="B2898" t="s">
        <v>1803</v>
      </c>
      <c r="C2898" t="s">
        <v>1256</v>
      </c>
    </row>
    <row r="2899" spans="1:3">
      <c r="A2899">
        <v>121800</v>
      </c>
      <c r="C2899" t="s">
        <v>1256</v>
      </c>
    </row>
    <row r="2900" spans="1:3">
      <c r="A2900">
        <v>40600</v>
      </c>
      <c r="B2900" t="s">
        <v>1803</v>
      </c>
      <c r="C2900" t="s">
        <v>1256</v>
      </c>
    </row>
    <row r="2901" spans="1:3">
      <c r="A2901">
        <v>40600</v>
      </c>
      <c r="B2901" t="s">
        <v>1803</v>
      </c>
      <c r="C2901" t="s">
        <v>1256</v>
      </c>
    </row>
    <row r="2902" spans="1:3">
      <c r="A2902">
        <v>40600</v>
      </c>
      <c r="B2902" t="s">
        <v>1803</v>
      </c>
      <c r="C2902" t="s">
        <v>1256</v>
      </c>
    </row>
    <row r="2903" spans="1:3">
      <c r="A2903">
        <v>1376000</v>
      </c>
      <c r="C2903" t="s">
        <v>1256</v>
      </c>
    </row>
    <row r="2904" spans="1:3">
      <c r="A2904">
        <v>1376000</v>
      </c>
      <c r="B2904" t="s">
        <v>1803</v>
      </c>
      <c r="C2904" t="s">
        <v>1256</v>
      </c>
    </row>
    <row r="2905" spans="1:3">
      <c r="A2905">
        <v>8335246</v>
      </c>
      <c r="C2905" t="s">
        <v>1256</v>
      </c>
    </row>
    <row r="2906" spans="1:3">
      <c r="A2906">
        <v>0</v>
      </c>
      <c r="C2906" t="s">
        <v>1256</v>
      </c>
    </row>
    <row r="2907" spans="1:3">
      <c r="C2907" t="s">
        <v>1256</v>
      </c>
    </row>
    <row r="2908" spans="1:3">
      <c r="A2908">
        <v>2626501</v>
      </c>
      <c r="B2908" t="s">
        <v>1803</v>
      </c>
      <c r="C2908" t="s">
        <v>1256</v>
      </c>
    </row>
    <row r="2909" spans="1:3">
      <c r="A2909">
        <v>2626501</v>
      </c>
      <c r="C2909" t="s">
        <v>1256</v>
      </c>
    </row>
    <row r="2910" spans="1:3">
      <c r="A2910">
        <v>10961747</v>
      </c>
      <c r="C2910" t="s">
        <v>1256</v>
      </c>
    </row>
    <row r="2911" spans="1:3">
      <c r="A2911">
        <v>0</v>
      </c>
      <c r="C2911" t="s">
        <v>1256</v>
      </c>
    </row>
    <row r="2912" spans="1:3">
      <c r="A2912">
        <v>0</v>
      </c>
      <c r="C2912" t="s">
        <v>1256</v>
      </c>
    </row>
    <row r="2913" spans="1:3">
      <c r="A2913">
        <v>0</v>
      </c>
      <c r="C2913" t="s">
        <v>1256</v>
      </c>
    </row>
    <row r="2914" spans="1:3">
      <c r="A2914">
        <v>182800</v>
      </c>
      <c r="C2914" t="s">
        <v>1256</v>
      </c>
    </row>
    <row r="2915" spans="1:3">
      <c r="A2915">
        <v>119000</v>
      </c>
      <c r="B2915" t="s">
        <v>1803</v>
      </c>
      <c r="C2915" t="s">
        <v>1256</v>
      </c>
    </row>
    <row r="2916" spans="1:3">
      <c r="A2916">
        <v>63800</v>
      </c>
      <c r="B2916" t="s">
        <v>1803</v>
      </c>
      <c r="C2916" t="s">
        <v>1256</v>
      </c>
    </row>
    <row r="2917" spans="1:3">
      <c r="A2917">
        <v>380500</v>
      </c>
      <c r="C2917" t="s">
        <v>1256</v>
      </c>
    </row>
    <row r="2918" spans="1:3">
      <c r="A2918">
        <v>124000</v>
      </c>
      <c r="B2918" t="s">
        <v>1803</v>
      </c>
      <c r="C2918" t="s">
        <v>1256</v>
      </c>
    </row>
    <row r="2919" spans="1:3">
      <c r="A2919">
        <v>158500</v>
      </c>
      <c r="B2919" t="s">
        <v>1803</v>
      </c>
      <c r="C2919" t="s">
        <v>1256</v>
      </c>
    </row>
    <row r="2920" spans="1:3">
      <c r="A2920">
        <v>98000</v>
      </c>
      <c r="B2920" t="s">
        <v>1803</v>
      </c>
      <c r="C2920" t="s">
        <v>1256</v>
      </c>
    </row>
    <row r="2921" spans="1:3">
      <c r="A2921">
        <v>378500</v>
      </c>
      <c r="C2921" t="s">
        <v>1256</v>
      </c>
    </row>
    <row r="2922" spans="1:3">
      <c r="A2922">
        <v>159500</v>
      </c>
      <c r="B2922" t="s">
        <v>1803</v>
      </c>
      <c r="C2922" t="s">
        <v>1256</v>
      </c>
    </row>
    <row r="2923" spans="1:3">
      <c r="A2923">
        <v>130500</v>
      </c>
      <c r="B2923" t="s">
        <v>1803</v>
      </c>
      <c r="C2923" t="s">
        <v>1256</v>
      </c>
    </row>
    <row r="2924" spans="1:3">
      <c r="A2924">
        <v>88500</v>
      </c>
      <c r="B2924" t="s">
        <v>1803</v>
      </c>
      <c r="C2924" t="s">
        <v>1256</v>
      </c>
    </row>
    <row r="2925" spans="1:3">
      <c r="A2925">
        <v>290000</v>
      </c>
      <c r="C2925" t="s">
        <v>1256</v>
      </c>
    </row>
    <row r="2926" spans="1:3">
      <c r="A2926">
        <v>203000</v>
      </c>
      <c r="B2926" t="s">
        <v>1803</v>
      </c>
      <c r="C2926" t="s">
        <v>1256</v>
      </c>
    </row>
    <row r="2927" spans="1:3">
      <c r="A2927">
        <v>87000</v>
      </c>
      <c r="B2927" t="s">
        <v>1803</v>
      </c>
      <c r="C2927" t="s">
        <v>1256</v>
      </c>
    </row>
    <row r="2928" spans="1:3">
      <c r="A2928">
        <v>168200</v>
      </c>
      <c r="C2928" t="s">
        <v>1256</v>
      </c>
    </row>
    <row r="2929" spans="1:3">
      <c r="A2929">
        <v>168200</v>
      </c>
      <c r="B2929" t="s">
        <v>1803</v>
      </c>
      <c r="C2929" t="s">
        <v>1256</v>
      </c>
    </row>
    <row r="2930" spans="1:3">
      <c r="A2930">
        <v>180000</v>
      </c>
      <c r="C2930" t="s">
        <v>1256</v>
      </c>
    </row>
    <row r="2931" spans="1:3">
      <c r="A2931">
        <v>180000</v>
      </c>
      <c r="B2931" t="s">
        <v>1803</v>
      </c>
      <c r="C2931" t="s">
        <v>1256</v>
      </c>
    </row>
    <row r="2932" spans="1:3">
      <c r="A2932">
        <v>127600</v>
      </c>
      <c r="C2932" t="s">
        <v>1256</v>
      </c>
    </row>
    <row r="2933" spans="1:3">
      <c r="A2933">
        <v>40600</v>
      </c>
      <c r="B2933" t="s">
        <v>1803</v>
      </c>
      <c r="C2933" t="s">
        <v>1256</v>
      </c>
    </row>
    <row r="2934" spans="1:3">
      <c r="A2934">
        <v>87000</v>
      </c>
      <c r="B2934" t="s">
        <v>1803</v>
      </c>
      <c r="C2934" t="s">
        <v>1256</v>
      </c>
    </row>
    <row r="2935" spans="1:3">
      <c r="A2935">
        <v>81200</v>
      </c>
      <c r="C2935" t="s">
        <v>1256</v>
      </c>
    </row>
    <row r="2936" spans="1:3">
      <c r="A2936">
        <v>81200</v>
      </c>
      <c r="B2936" t="s">
        <v>1803</v>
      </c>
      <c r="C2936" t="s">
        <v>1256</v>
      </c>
    </row>
    <row r="2937" spans="1:3">
      <c r="A2937">
        <v>4334000</v>
      </c>
      <c r="C2937" t="s">
        <v>1256</v>
      </c>
    </row>
    <row r="2938" spans="1:3">
      <c r="A2938">
        <v>3200000</v>
      </c>
      <c r="B2938" t="s">
        <v>1803</v>
      </c>
      <c r="C2938" t="s">
        <v>1256</v>
      </c>
    </row>
    <row r="2939" spans="1:3">
      <c r="A2939">
        <v>1134000</v>
      </c>
      <c r="B2939" t="s">
        <v>1803</v>
      </c>
      <c r="C2939" t="s">
        <v>1256</v>
      </c>
    </row>
    <row r="2940" spans="1:3">
      <c r="A2940">
        <v>6122800</v>
      </c>
      <c r="C2940" t="s">
        <v>1256</v>
      </c>
    </row>
    <row r="2941" spans="1:3">
      <c r="C2941" t="s">
        <v>1256</v>
      </c>
    </row>
    <row r="2942" spans="1:3">
      <c r="C2942" t="s">
        <v>1256</v>
      </c>
    </row>
    <row r="2943" spans="1:3">
      <c r="C2943" t="s">
        <v>1256</v>
      </c>
    </row>
    <row r="2944" spans="1:3">
      <c r="A2944">
        <v>2216000</v>
      </c>
      <c r="B2944" t="s">
        <v>1803</v>
      </c>
      <c r="C2944" t="s">
        <v>1256</v>
      </c>
    </row>
    <row r="2945" spans="1:3">
      <c r="A2945">
        <v>2216000</v>
      </c>
      <c r="C2945" t="s">
        <v>1256</v>
      </c>
    </row>
    <row r="2946" spans="1:3">
      <c r="A2946">
        <v>8338800</v>
      </c>
      <c r="C2946" t="s">
        <v>1256</v>
      </c>
    </row>
    <row r="2947" spans="1:3">
      <c r="C2947" t="s">
        <v>1256</v>
      </c>
    </row>
    <row r="2948" spans="1:3">
      <c r="C2948" t="s">
        <v>1256</v>
      </c>
    </row>
    <row r="2949" spans="1:3">
      <c r="C2949" t="s">
        <v>1256</v>
      </c>
    </row>
    <row r="2950" spans="1:3">
      <c r="A2950">
        <v>29000</v>
      </c>
      <c r="C2950" t="s">
        <v>1256</v>
      </c>
    </row>
    <row r="2951" spans="1:3">
      <c r="A2951">
        <v>29000</v>
      </c>
      <c r="B2951" t="s">
        <v>1803</v>
      </c>
      <c r="C2951" t="s">
        <v>1256</v>
      </c>
    </row>
    <row r="2952" spans="1:3">
      <c r="A2952">
        <v>57000</v>
      </c>
      <c r="C2952" t="s">
        <v>1256</v>
      </c>
    </row>
    <row r="2953" spans="1:3">
      <c r="A2953">
        <v>57000</v>
      </c>
      <c r="B2953" t="s">
        <v>1803</v>
      </c>
      <c r="C2953" t="s">
        <v>1256</v>
      </c>
    </row>
    <row r="2954" spans="1:3">
      <c r="A2954">
        <v>573000</v>
      </c>
      <c r="C2954" t="s">
        <v>1256</v>
      </c>
    </row>
    <row r="2955" spans="1:3">
      <c r="A2955">
        <v>174000</v>
      </c>
      <c r="B2955" t="s">
        <v>1803</v>
      </c>
      <c r="C2955" t="s">
        <v>1256</v>
      </c>
    </row>
    <row r="2956" spans="1:3">
      <c r="A2956">
        <v>174000</v>
      </c>
      <c r="B2956" t="s">
        <v>1803</v>
      </c>
      <c r="C2956" t="s">
        <v>1256</v>
      </c>
    </row>
    <row r="2957" spans="1:3">
      <c r="A2957">
        <v>145000</v>
      </c>
      <c r="B2957" t="s">
        <v>1803</v>
      </c>
      <c r="C2957" t="s">
        <v>1256</v>
      </c>
    </row>
    <row r="2958" spans="1:3">
      <c r="A2958">
        <v>80000</v>
      </c>
      <c r="B2958" t="s">
        <v>1803</v>
      </c>
      <c r="C2958" t="s">
        <v>1256</v>
      </c>
    </row>
    <row r="2959" spans="1:3">
      <c r="A2959">
        <v>0</v>
      </c>
      <c r="C2959" t="s">
        <v>1256</v>
      </c>
    </row>
    <row r="2960" spans="1:3">
      <c r="A2960">
        <v>0</v>
      </c>
      <c r="C2960" t="s">
        <v>1256</v>
      </c>
    </row>
    <row r="2961" spans="1:3">
      <c r="A2961">
        <v>2585000</v>
      </c>
      <c r="C2961" t="s">
        <v>1256</v>
      </c>
    </row>
    <row r="2962" spans="1:3">
      <c r="A2962">
        <v>145000</v>
      </c>
      <c r="B2962" t="s">
        <v>1803</v>
      </c>
      <c r="C2962" t="s">
        <v>1256</v>
      </c>
    </row>
    <row r="2963" spans="1:3">
      <c r="A2963">
        <v>2440000</v>
      </c>
      <c r="B2963" t="s">
        <v>1803</v>
      </c>
      <c r="C2963" t="s">
        <v>1256</v>
      </c>
    </row>
    <row r="2964" spans="1:3">
      <c r="A2964">
        <v>255200</v>
      </c>
      <c r="C2964" t="s">
        <v>1256</v>
      </c>
    </row>
    <row r="2965" spans="1:3">
      <c r="A2965">
        <v>139200</v>
      </c>
      <c r="B2965" t="s">
        <v>1803</v>
      </c>
      <c r="C2965" t="s">
        <v>1256</v>
      </c>
    </row>
    <row r="2966" spans="1:3">
      <c r="A2966">
        <v>116000</v>
      </c>
      <c r="B2966" t="s">
        <v>1803</v>
      </c>
      <c r="C2966" t="s">
        <v>1256</v>
      </c>
    </row>
    <row r="2967" spans="1:3">
      <c r="A2967">
        <v>1758000</v>
      </c>
      <c r="C2967" t="s">
        <v>1256</v>
      </c>
    </row>
    <row r="2968" spans="1:3">
      <c r="A2968">
        <v>29000</v>
      </c>
      <c r="B2968" t="s">
        <v>1803</v>
      </c>
      <c r="C2968" t="s">
        <v>1256</v>
      </c>
    </row>
    <row r="2969" spans="1:3">
      <c r="A2969">
        <v>1729000</v>
      </c>
      <c r="B2969" t="s">
        <v>1803</v>
      </c>
      <c r="C2969" t="s">
        <v>1256</v>
      </c>
    </row>
    <row r="2970" spans="1:3">
      <c r="A2970">
        <v>153000</v>
      </c>
      <c r="C2970" t="s">
        <v>1256</v>
      </c>
    </row>
    <row r="2971" spans="1:3">
      <c r="A2971">
        <v>95000</v>
      </c>
      <c r="B2971" t="s">
        <v>1803</v>
      </c>
      <c r="C2971" t="s">
        <v>1256</v>
      </c>
    </row>
    <row r="2972" spans="1:3">
      <c r="A2972">
        <v>58000</v>
      </c>
      <c r="B2972" t="s">
        <v>1803</v>
      </c>
      <c r="C2972" t="s">
        <v>1256</v>
      </c>
    </row>
    <row r="2973" spans="1:3">
      <c r="A2973">
        <v>287000</v>
      </c>
      <c r="C2973" t="s">
        <v>1256</v>
      </c>
    </row>
    <row r="2974" spans="1:3">
      <c r="A2974">
        <v>287000</v>
      </c>
      <c r="B2974" t="s">
        <v>1803</v>
      </c>
      <c r="C2974" t="s">
        <v>1256</v>
      </c>
    </row>
    <row r="2975" spans="1:3">
      <c r="A2975">
        <v>1639800</v>
      </c>
      <c r="C2975" t="s">
        <v>1256</v>
      </c>
    </row>
    <row r="2976" spans="1:3">
      <c r="A2976">
        <v>1639800</v>
      </c>
      <c r="B2976" t="s">
        <v>1803</v>
      </c>
      <c r="C2976" t="s">
        <v>1256</v>
      </c>
    </row>
    <row r="2977" spans="1:3">
      <c r="A2977">
        <v>69600</v>
      </c>
      <c r="C2977" t="s">
        <v>1256</v>
      </c>
    </row>
    <row r="2978" spans="1:3">
      <c r="A2978">
        <v>69600</v>
      </c>
      <c r="B2978" t="s">
        <v>1803</v>
      </c>
      <c r="C2978" t="s">
        <v>1256</v>
      </c>
    </row>
    <row r="2979" spans="1:3">
      <c r="A2979">
        <v>58000</v>
      </c>
      <c r="C2979" t="s">
        <v>1256</v>
      </c>
    </row>
    <row r="2980" spans="1:3">
      <c r="A2980">
        <v>40600</v>
      </c>
      <c r="B2980" t="s">
        <v>1803</v>
      </c>
      <c r="C2980" t="s">
        <v>1256</v>
      </c>
    </row>
    <row r="2981" spans="1:3">
      <c r="A2981">
        <v>17400</v>
      </c>
      <c r="B2981" t="s">
        <v>1803</v>
      </c>
      <c r="C2981" t="s">
        <v>1256</v>
      </c>
    </row>
    <row r="2982" spans="1:3">
      <c r="A2982">
        <v>7464600</v>
      </c>
      <c r="C2982" t="s">
        <v>1256</v>
      </c>
    </row>
    <row r="2983" spans="1:3">
      <c r="C2983" t="s">
        <v>1256</v>
      </c>
    </row>
    <row r="2984" spans="1:3">
      <c r="A2984">
        <v>7464600</v>
      </c>
      <c r="C2984" t="s">
        <v>1256</v>
      </c>
    </row>
    <row r="2985" spans="1:3">
      <c r="C2985" t="s">
        <v>1256</v>
      </c>
    </row>
    <row r="2986" spans="1:3">
      <c r="C2986" t="s">
        <v>1256</v>
      </c>
    </row>
    <row r="2987" spans="1:3">
      <c r="A2987">
        <v>49600</v>
      </c>
      <c r="C2987" t="s">
        <v>1256</v>
      </c>
    </row>
    <row r="2988" spans="1:3">
      <c r="A2988">
        <v>32200</v>
      </c>
      <c r="B2988" t="s">
        <v>1803</v>
      </c>
      <c r="C2988" t="s">
        <v>1256</v>
      </c>
    </row>
    <row r="2989" spans="1:3">
      <c r="A2989">
        <v>17400</v>
      </c>
      <c r="B2989" t="s">
        <v>1803</v>
      </c>
      <c r="C2989" t="s">
        <v>1256</v>
      </c>
    </row>
    <row r="2990" spans="1:3">
      <c r="A2990">
        <v>58000</v>
      </c>
      <c r="C2990" t="s">
        <v>1256</v>
      </c>
    </row>
    <row r="2991" spans="1:3">
      <c r="A2991">
        <v>58000</v>
      </c>
      <c r="B2991" t="s">
        <v>1803</v>
      </c>
      <c r="C2991" t="s">
        <v>1256</v>
      </c>
    </row>
    <row r="2992" spans="1:3">
      <c r="A2992">
        <v>371600</v>
      </c>
      <c r="C2992" t="s">
        <v>1256</v>
      </c>
    </row>
    <row r="2993" spans="1:3">
      <c r="A2993">
        <v>116000</v>
      </c>
      <c r="B2993" t="s">
        <v>1803</v>
      </c>
      <c r="C2993" t="s">
        <v>1256</v>
      </c>
    </row>
    <row r="2994" spans="1:3">
      <c r="A2994">
        <v>157000</v>
      </c>
      <c r="B2994" t="s">
        <v>1803</v>
      </c>
      <c r="C2994" t="s">
        <v>1256</v>
      </c>
    </row>
    <row r="2995" spans="1:3">
      <c r="A2995">
        <v>98600</v>
      </c>
      <c r="B2995" t="s">
        <v>1803</v>
      </c>
      <c r="C2995" t="s">
        <v>1256</v>
      </c>
    </row>
    <row r="2996" spans="1:3">
      <c r="A2996">
        <v>87000</v>
      </c>
      <c r="C2996" t="s">
        <v>1256</v>
      </c>
    </row>
    <row r="2997" spans="1:3">
      <c r="A2997">
        <v>87000</v>
      </c>
      <c r="B2997" t="s">
        <v>1803</v>
      </c>
      <c r="C2997" t="s">
        <v>1256</v>
      </c>
    </row>
    <row r="2998" spans="1:3">
      <c r="A2998">
        <v>58000</v>
      </c>
      <c r="C2998" t="s">
        <v>1256</v>
      </c>
    </row>
    <row r="2999" spans="1:3">
      <c r="A2999">
        <v>58000</v>
      </c>
      <c r="B2999" t="s">
        <v>1803</v>
      </c>
      <c r="C2999" t="s">
        <v>1256</v>
      </c>
    </row>
    <row r="3000" spans="1:3">
      <c r="A3000">
        <v>69600</v>
      </c>
      <c r="C3000" t="s">
        <v>1256</v>
      </c>
    </row>
    <row r="3001" spans="1:3">
      <c r="A3001">
        <v>69600</v>
      </c>
      <c r="B3001" t="s">
        <v>1803</v>
      </c>
      <c r="C3001" t="s">
        <v>1256</v>
      </c>
    </row>
    <row r="3002" spans="1:3">
      <c r="A3002">
        <v>145000</v>
      </c>
      <c r="C3002" t="s">
        <v>1256</v>
      </c>
    </row>
    <row r="3003" spans="1:3">
      <c r="A3003">
        <v>145000</v>
      </c>
      <c r="B3003" t="s">
        <v>1803</v>
      </c>
      <c r="C3003" t="s">
        <v>1256</v>
      </c>
    </row>
    <row r="3004" spans="1:3">
      <c r="A3004">
        <v>69600</v>
      </c>
      <c r="C3004" t="s">
        <v>1256</v>
      </c>
    </row>
    <row r="3005" spans="1:3">
      <c r="A3005">
        <v>69600</v>
      </c>
      <c r="B3005" t="s">
        <v>1803</v>
      </c>
      <c r="C3005" t="s">
        <v>1256</v>
      </c>
    </row>
    <row r="3006" spans="1:3">
      <c r="A3006">
        <v>29000</v>
      </c>
      <c r="C3006" t="s">
        <v>1256</v>
      </c>
    </row>
    <row r="3007" spans="1:3">
      <c r="A3007">
        <v>29000</v>
      </c>
      <c r="B3007" t="s">
        <v>1803</v>
      </c>
      <c r="C3007" t="s">
        <v>1256</v>
      </c>
    </row>
    <row r="3008" spans="1:3">
      <c r="A3008">
        <v>937400</v>
      </c>
      <c r="C3008" t="s">
        <v>1256</v>
      </c>
    </row>
    <row r="3009" spans="1:3">
      <c r="C3009" t="s">
        <v>1256</v>
      </c>
    </row>
    <row r="3010" spans="1:3">
      <c r="C3010" t="s">
        <v>1256</v>
      </c>
    </row>
    <row r="3011" spans="1:3">
      <c r="A3011">
        <v>2000000</v>
      </c>
      <c r="B3011" t="s">
        <v>1803</v>
      </c>
      <c r="C3011" t="s">
        <v>1256</v>
      </c>
    </row>
    <row r="3012" spans="1:3">
      <c r="A3012">
        <v>21000000</v>
      </c>
      <c r="B3012" t="s">
        <v>1803</v>
      </c>
      <c r="C3012" t="s">
        <v>1256</v>
      </c>
    </row>
    <row r="3013" spans="1:3">
      <c r="A3013">
        <v>10000000</v>
      </c>
      <c r="B3013" t="s">
        <v>1803</v>
      </c>
      <c r="C3013" t="s">
        <v>1256</v>
      </c>
    </row>
    <row r="3014" spans="1:3">
      <c r="A3014">
        <v>33000000</v>
      </c>
      <c r="C3014" t="s">
        <v>1256</v>
      </c>
    </row>
    <row r="3015" spans="1:3">
      <c r="A3015">
        <v>33937400</v>
      </c>
      <c r="C3015" t="s">
        <v>1256</v>
      </c>
    </row>
    <row r="3016" spans="1:3">
      <c r="A3016">
        <v>60702547</v>
      </c>
      <c r="C3016" t="s">
        <v>1256</v>
      </c>
    </row>
    <row r="3017" spans="1:3">
      <c r="C3017" t="s">
        <v>1256</v>
      </c>
    </row>
    <row r="3018" spans="1:3">
      <c r="C3018" t="s">
        <v>1256</v>
      </c>
    </row>
    <row r="3019" spans="1:3">
      <c r="C3019" t="s">
        <v>1256</v>
      </c>
    </row>
    <row r="3020" spans="1:3">
      <c r="C3020" t="s">
        <v>1256</v>
      </c>
    </row>
    <row r="3021" spans="1:3">
      <c r="C3021" t="s">
        <v>1256</v>
      </c>
    </row>
    <row r="3022" spans="1:3">
      <c r="A3022">
        <v>29000</v>
      </c>
      <c r="C3022" t="s">
        <v>1256</v>
      </c>
    </row>
    <row r="3023" spans="1:3">
      <c r="A3023">
        <v>29000</v>
      </c>
      <c r="B3023" t="s">
        <v>1803</v>
      </c>
      <c r="C3023" t="s">
        <v>1256</v>
      </c>
    </row>
    <row r="3024" spans="1:3">
      <c r="A3024">
        <v>546392.6</v>
      </c>
      <c r="C3024" t="s">
        <v>1256</v>
      </c>
    </row>
    <row r="3025" spans="1:3">
      <c r="A3025">
        <v>203000</v>
      </c>
      <c r="B3025" t="s">
        <v>1803</v>
      </c>
      <c r="C3025" t="s">
        <v>1256</v>
      </c>
    </row>
    <row r="3026" spans="1:3">
      <c r="A3026">
        <v>230840</v>
      </c>
      <c r="B3026" t="s">
        <v>1803</v>
      </c>
      <c r="C3026" t="s">
        <v>1256</v>
      </c>
    </row>
    <row r="3027" spans="1:3">
      <c r="A3027">
        <v>112552.6</v>
      </c>
      <c r="B3027" t="s">
        <v>1803</v>
      </c>
      <c r="C3027" t="s">
        <v>1256</v>
      </c>
    </row>
    <row r="3028" spans="1:3">
      <c r="A3028">
        <v>1894200</v>
      </c>
      <c r="C3028" t="s">
        <v>1256</v>
      </c>
    </row>
    <row r="3029" spans="1:3">
      <c r="A3029">
        <v>58000</v>
      </c>
      <c r="B3029" t="s">
        <v>1803</v>
      </c>
      <c r="C3029" t="s">
        <v>1256</v>
      </c>
    </row>
    <row r="3030" spans="1:3">
      <c r="A3030">
        <v>29000</v>
      </c>
      <c r="B3030" t="s">
        <v>1803</v>
      </c>
      <c r="C3030" t="s">
        <v>1256</v>
      </c>
    </row>
    <row r="3031" spans="1:3">
      <c r="A3031">
        <v>1807200</v>
      </c>
      <c r="B3031" t="s">
        <v>1803</v>
      </c>
      <c r="C3031" t="s">
        <v>1256</v>
      </c>
    </row>
    <row r="3032" spans="1:3">
      <c r="A3032">
        <v>1431200</v>
      </c>
      <c r="C3032" t="s">
        <v>1256</v>
      </c>
    </row>
    <row r="3033" spans="1:3">
      <c r="A3033">
        <v>103000</v>
      </c>
      <c r="B3033" t="s">
        <v>1803</v>
      </c>
      <c r="C3033" t="s">
        <v>1256</v>
      </c>
    </row>
    <row r="3034" spans="1:3">
      <c r="A3034">
        <v>1148400</v>
      </c>
      <c r="B3034" t="s">
        <v>1803</v>
      </c>
      <c r="C3034" t="s">
        <v>1256</v>
      </c>
    </row>
    <row r="3035" spans="1:3">
      <c r="A3035">
        <v>179800</v>
      </c>
      <c r="B3035" t="s">
        <v>1803</v>
      </c>
      <c r="C3035" t="s">
        <v>1256</v>
      </c>
    </row>
    <row r="3036" spans="1:3">
      <c r="A3036">
        <v>2116420</v>
      </c>
      <c r="C3036" t="s">
        <v>1256</v>
      </c>
    </row>
    <row r="3037" spans="1:3">
      <c r="A3037">
        <v>145000</v>
      </c>
      <c r="B3037" t="s">
        <v>1803</v>
      </c>
      <c r="C3037" t="s">
        <v>1256</v>
      </c>
    </row>
    <row r="3038" spans="1:3">
      <c r="A3038">
        <v>1971420</v>
      </c>
      <c r="B3038" t="s">
        <v>1803</v>
      </c>
      <c r="C3038" t="s">
        <v>1256</v>
      </c>
    </row>
    <row r="3039" spans="1:3">
      <c r="A3039">
        <v>133400</v>
      </c>
      <c r="C3039" t="s">
        <v>1256</v>
      </c>
    </row>
    <row r="3040" spans="1:3">
      <c r="A3040">
        <v>87000</v>
      </c>
      <c r="B3040" t="s">
        <v>1803</v>
      </c>
      <c r="C3040" t="s">
        <v>1256</v>
      </c>
    </row>
    <row r="3041" spans="1:3">
      <c r="A3041">
        <v>46400</v>
      </c>
      <c r="B3041" t="s">
        <v>1803</v>
      </c>
      <c r="C3041" t="s">
        <v>1256</v>
      </c>
    </row>
    <row r="3042" spans="1:3">
      <c r="A3042">
        <v>298600</v>
      </c>
      <c r="C3042" t="s">
        <v>1256</v>
      </c>
    </row>
    <row r="3043" spans="1:3">
      <c r="A3043">
        <v>298600</v>
      </c>
      <c r="B3043" t="s">
        <v>1803</v>
      </c>
      <c r="C3043" t="s">
        <v>1256</v>
      </c>
    </row>
    <row r="3044" spans="1:3">
      <c r="A3044">
        <v>1786000</v>
      </c>
      <c r="C3044" t="s">
        <v>1256</v>
      </c>
    </row>
    <row r="3045" spans="1:3">
      <c r="A3045">
        <v>1786000</v>
      </c>
      <c r="B3045" t="s">
        <v>1803</v>
      </c>
      <c r="C3045" t="s">
        <v>1256</v>
      </c>
    </row>
    <row r="3046" spans="1:3">
      <c r="A3046">
        <v>110200</v>
      </c>
      <c r="C3046" t="s">
        <v>1256</v>
      </c>
    </row>
    <row r="3047" spans="1:3">
      <c r="A3047">
        <v>110200</v>
      </c>
      <c r="B3047" t="s">
        <v>1803</v>
      </c>
      <c r="C3047" t="s">
        <v>1256</v>
      </c>
    </row>
    <row r="3048" spans="1:3">
      <c r="A3048">
        <v>104400</v>
      </c>
      <c r="C3048" t="s">
        <v>1256</v>
      </c>
    </row>
    <row r="3049" spans="1:3">
      <c r="A3049">
        <v>58000</v>
      </c>
      <c r="B3049" t="s">
        <v>1803</v>
      </c>
      <c r="C3049" t="s">
        <v>1256</v>
      </c>
    </row>
    <row r="3050" spans="1:3">
      <c r="A3050">
        <v>46400</v>
      </c>
      <c r="B3050" t="s">
        <v>1803</v>
      </c>
      <c r="C3050" t="s">
        <v>1256</v>
      </c>
    </row>
    <row r="3051" spans="1:3">
      <c r="A3051">
        <v>174000</v>
      </c>
      <c r="C3051" t="s">
        <v>1256</v>
      </c>
    </row>
    <row r="3052" spans="1:3">
      <c r="A3052">
        <v>87000</v>
      </c>
      <c r="B3052" t="s">
        <v>1803</v>
      </c>
      <c r="C3052" t="s">
        <v>1256</v>
      </c>
    </row>
    <row r="3053" spans="1:3">
      <c r="A3053">
        <v>87000</v>
      </c>
      <c r="B3053" t="s">
        <v>1803</v>
      </c>
      <c r="C3053" t="s">
        <v>1256</v>
      </c>
    </row>
    <row r="3054" spans="1:3">
      <c r="A3054">
        <v>8623812.5999999996</v>
      </c>
      <c r="C3054" t="s">
        <v>1256</v>
      </c>
    </row>
    <row r="3055" spans="1:3">
      <c r="C3055" t="s">
        <v>1256</v>
      </c>
    </row>
    <row r="3056" spans="1:3">
      <c r="C3056" t="s">
        <v>1256</v>
      </c>
    </row>
    <row r="3057" spans="1:3">
      <c r="A3057">
        <v>500000</v>
      </c>
      <c r="B3057" t="s">
        <v>1803</v>
      </c>
      <c r="C3057" t="s">
        <v>1256</v>
      </c>
    </row>
    <row r="3058" spans="1:3">
      <c r="A3058">
        <v>5000000</v>
      </c>
      <c r="B3058" t="s">
        <v>1803</v>
      </c>
      <c r="C3058" t="s">
        <v>1256</v>
      </c>
    </row>
    <row r="3059" spans="1:3">
      <c r="A3059">
        <v>32905</v>
      </c>
      <c r="B3059" t="s">
        <v>1803</v>
      </c>
      <c r="C3059" t="s">
        <v>1256</v>
      </c>
    </row>
    <row r="3060" spans="1:3">
      <c r="A3060">
        <v>5532905</v>
      </c>
      <c r="C3060" t="s">
        <v>1256</v>
      </c>
    </row>
    <row r="3061" spans="1:3">
      <c r="A3061">
        <v>14156717.6</v>
      </c>
      <c r="C3061" t="s">
        <v>1256</v>
      </c>
    </row>
    <row r="3062" spans="1:3">
      <c r="C3062" t="s">
        <v>1256</v>
      </c>
    </row>
    <row r="3063" spans="1:3">
      <c r="C3063" t="s">
        <v>1256</v>
      </c>
    </row>
    <row r="3064" spans="1:3">
      <c r="C3064" t="s">
        <v>1256</v>
      </c>
    </row>
    <row r="3065" spans="1:3">
      <c r="A3065">
        <v>40600</v>
      </c>
      <c r="C3065" t="s">
        <v>1256</v>
      </c>
    </row>
    <row r="3066" spans="1:3">
      <c r="A3066">
        <v>40600</v>
      </c>
      <c r="B3066" t="s">
        <v>1803</v>
      </c>
      <c r="C3066" t="s">
        <v>1256</v>
      </c>
    </row>
    <row r="3067" spans="1:3">
      <c r="A3067">
        <v>693000</v>
      </c>
      <c r="C3067" t="s">
        <v>1256</v>
      </c>
    </row>
    <row r="3068" spans="1:3">
      <c r="A3068">
        <v>245000</v>
      </c>
      <c r="B3068" t="s">
        <v>1803</v>
      </c>
      <c r="C3068" t="s">
        <v>1256</v>
      </c>
    </row>
    <row r="3069" spans="1:3">
      <c r="A3069">
        <v>203000</v>
      </c>
      <c r="B3069" t="s">
        <v>1803</v>
      </c>
      <c r="C3069" t="s">
        <v>1256</v>
      </c>
    </row>
    <row r="3070" spans="1:3">
      <c r="A3070">
        <v>245000</v>
      </c>
      <c r="B3070" t="s">
        <v>1803</v>
      </c>
      <c r="C3070" t="s">
        <v>1256</v>
      </c>
    </row>
    <row r="3071" spans="1:3">
      <c r="A3071">
        <v>290000</v>
      </c>
      <c r="C3071" t="s">
        <v>1256</v>
      </c>
    </row>
    <row r="3072" spans="1:3">
      <c r="A3072">
        <v>290000</v>
      </c>
      <c r="B3072" t="s">
        <v>1803</v>
      </c>
      <c r="C3072" t="s">
        <v>1256</v>
      </c>
    </row>
    <row r="3073" spans="1:3">
      <c r="A3073">
        <v>250000</v>
      </c>
      <c r="C3073" t="s">
        <v>1256</v>
      </c>
    </row>
    <row r="3074" spans="1:3">
      <c r="A3074">
        <v>250000</v>
      </c>
      <c r="B3074" t="s">
        <v>1803</v>
      </c>
      <c r="C3074" t="s">
        <v>1256</v>
      </c>
    </row>
    <row r="3075" spans="1:3">
      <c r="A3075">
        <v>4639200</v>
      </c>
      <c r="C3075" t="s">
        <v>1256</v>
      </c>
    </row>
    <row r="3076" spans="1:3">
      <c r="A3076">
        <v>69600</v>
      </c>
      <c r="B3076" t="s">
        <v>1803</v>
      </c>
      <c r="C3076" t="s">
        <v>1256</v>
      </c>
    </row>
    <row r="3077" spans="1:3">
      <c r="A3077">
        <v>69600</v>
      </c>
      <c r="B3077" t="s">
        <v>1803</v>
      </c>
      <c r="C3077" t="s">
        <v>1256</v>
      </c>
    </row>
    <row r="3078" spans="1:3">
      <c r="A3078">
        <v>4500000</v>
      </c>
      <c r="B3078" t="s">
        <v>1803</v>
      </c>
      <c r="C3078" t="s">
        <v>1256</v>
      </c>
    </row>
    <row r="3079" spans="1:3">
      <c r="A3079">
        <v>63800</v>
      </c>
      <c r="C3079" t="s">
        <v>1256</v>
      </c>
    </row>
    <row r="3080" spans="1:3">
      <c r="A3080">
        <v>34800</v>
      </c>
      <c r="B3080" t="s">
        <v>1803</v>
      </c>
      <c r="C3080" t="s">
        <v>1256</v>
      </c>
    </row>
    <row r="3081" spans="1:3">
      <c r="A3081">
        <v>29000</v>
      </c>
      <c r="B3081" t="s">
        <v>1803</v>
      </c>
      <c r="C3081" t="s">
        <v>1256</v>
      </c>
    </row>
    <row r="3082" spans="1:3">
      <c r="A3082">
        <v>285600</v>
      </c>
      <c r="C3082" t="s">
        <v>1256</v>
      </c>
    </row>
    <row r="3083" spans="1:3">
      <c r="A3083">
        <v>285600</v>
      </c>
      <c r="B3083" t="s">
        <v>1803</v>
      </c>
      <c r="C3083" t="s">
        <v>1256</v>
      </c>
    </row>
    <row r="3084" spans="1:3">
      <c r="A3084">
        <v>850000</v>
      </c>
      <c r="C3084" t="s">
        <v>1256</v>
      </c>
    </row>
    <row r="3085" spans="1:3">
      <c r="A3085">
        <v>850000</v>
      </c>
      <c r="B3085" t="s">
        <v>1803</v>
      </c>
      <c r="C3085" t="s">
        <v>1256</v>
      </c>
    </row>
    <row r="3086" spans="1:3">
      <c r="A3086">
        <v>78300</v>
      </c>
      <c r="C3086" t="s">
        <v>1256</v>
      </c>
    </row>
    <row r="3087" spans="1:3">
      <c r="A3087">
        <v>78300</v>
      </c>
      <c r="B3087" t="s">
        <v>1803</v>
      </c>
      <c r="C3087" t="s">
        <v>1256</v>
      </c>
    </row>
    <row r="3088" spans="1:3">
      <c r="A3088">
        <v>40600</v>
      </c>
      <c r="C3088" t="s">
        <v>1256</v>
      </c>
    </row>
    <row r="3089" spans="1:3">
      <c r="A3089">
        <v>29000</v>
      </c>
      <c r="B3089" t="s">
        <v>1803</v>
      </c>
      <c r="C3089" t="s">
        <v>1256</v>
      </c>
    </row>
    <row r="3090" spans="1:3">
      <c r="A3090">
        <v>11600</v>
      </c>
      <c r="B3090" t="s">
        <v>1803</v>
      </c>
      <c r="C3090" t="s">
        <v>1256</v>
      </c>
    </row>
    <row r="3091" spans="1:3">
      <c r="A3091">
        <v>500000</v>
      </c>
      <c r="C3091" t="s">
        <v>1256</v>
      </c>
    </row>
    <row r="3092" spans="1:3">
      <c r="A3092">
        <v>500000</v>
      </c>
      <c r="B3092" t="s">
        <v>1803</v>
      </c>
      <c r="C3092" t="s">
        <v>1256</v>
      </c>
    </row>
    <row r="3093" spans="1:3">
      <c r="A3093">
        <v>7731100</v>
      </c>
      <c r="C3093" t="s">
        <v>1256</v>
      </c>
    </row>
    <row r="3094" spans="1:3">
      <c r="C3094" t="s">
        <v>1256</v>
      </c>
    </row>
    <row r="3095" spans="1:3">
      <c r="C3095" t="s">
        <v>1256</v>
      </c>
    </row>
    <row r="3096" spans="1:3">
      <c r="A3096">
        <v>10185000</v>
      </c>
      <c r="B3096" t="s">
        <v>1803</v>
      </c>
      <c r="C3096" t="s">
        <v>1256</v>
      </c>
    </row>
    <row r="3097" spans="1:3">
      <c r="A3097">
        <v>10185000</v>
      </c>
      <c r="C3097" t="s">
        <v>1256</v>
      </c>
    </row>
    <row r="3098" spans="1:3">
      <c r="A3098">
        <v>17916100</v>
      </c>
      <c r="C3098" t="s">
        <v>1256</v>
      </c>
    </row>
    <row r="3099" spans="1:3">
      <c r="C3099" t="s">
        <v>1256</v>
      </c>
    </row>
    <row r="3100" spans="1:3">
      <c r="C3100" t="s">
        <v>1256</v>
      </c>
    </row>
    <row r="3101" spans="1:3">
      <c r="C3101" t="s">
        <v>1256</v>
      </c>
    </row>
    <row r="3102" spans="1:3">
      <c r="C3102" t="s">
        <v>1256</v>
      </c>
    </row>
    <row r="3103" spans="1:3">
      <c r="A3103">
        <v>58000</v>
      </c>
      <c r="C3103" t="s">
        <v>1256</v>
      </c>
    </row>
    <row r="3104" spans="1:3">
      <c r="A3104">
        <v>29000</v>
      </c>
      <c r="B3104" t="s">
        <v>1803</v>
      </c>
      <c r="C3104" t="s">
        <v>1256</v>
      </c>
    </row>
    <row r="3105" spans="1:3">
      <c r="A3105">
        <v>29000</v>
      </c>
      <c r="B3105" t="s">
        <v>1803</v>
      </c>
      <c r="C3105" t="s">
        <v>1256</v>
      </c>
    </row>
    <row r="3106" spans="1:3">
      <c r="A3106">
        <v>364800</v>
      </c>
      <c r="C3106" t="s">
        <v>1256</v>
      </c>
    </row>
    <row r="3107" spans="1:3">
      <c r="A3107">
        <v>187000</v>
      </c>
      <c r="B3107" t="s">
        <v>1803</v>
      </c>
      <c r="C3107" t="s">
        <v>1256</v>
      </c>
    </row>
    <row r="3108" spans="1:3">
      <c r="A3108">
        <v>98600</v>
      </c>
      <c r="B3108" t="s">
        <v>1803</v>
      </c>
      <c r="C3108" t="s">
        <v>1256</v>
      </c>
    </row>
    <row r="3109" spans="1:3">
      <c r="A3109">
        <v>79200</v>
      </c>
      <c r="B3109" t="s">
        <v>1803</v>
      </c>
      <c r="C3109" t="s">
        <v>1256</v>
      </c>
    </row>
    <row r="3110" spans="1:3">
      <c r="A3110">
        <v>65400</v>
      </c>
      <c r="C3110" t="s">
        <v>1256</v>
      </c>
    </row>
    <row r="3111" spans="1:3">
      <c r="A3111">
        <v>36400</v>
      </c>
      <c r="B3111" t="s">
        <v>1803</v>
      </c>
      <c r="C3111" t="s">
        <v>1256</v>
      </c>
    </row>
    <row r="3112" spans="1:3">
      <c r="A3112">
        <v>29000</v>
      </c>
      <c r="B3112" t="s">
        <v>1803</v>
      </c>
      <c r="C3112" t="s">
        <v>1256</v>
      </c>
    </row>
    <row r="3113" spans="1:3">
      <c r="A3113">
        <v>807000</v>
      </c>
      <c r="C3113" t="s">
        <v>1256</v>
      </c>
    </row>
    <row r="3114" spans="1:3">
      <c r="A3114">
        <v>807000</v>
      </c>
      <c r="B3114" t="s">
        <v>1803</v>
      </c>
      <c r="C3114" t="s">
        <v>1256</v>
      </c>
    </row>
    <row r="3115" spans="1:3">
      <c r="A3115">
        <v>127600</v>
      </c>
      <c r="C3115" t="s">
        <v>1256</v>
      </c>
    </row>
    <row r="3116" spans="1:3">
      <c r="A3116">
        <v>58000</v>
      </c>
      <c r="B3116" t="s">
        <v>1803</v>
      </c>
      <c r="C3116" t="s">
        <v>1256</v>
      </c>
    </row>
    <row r="3117" spans="1:3">
      <c r="A3117">
        <v>69600</v>
      </c>
      <c r="B3117" t="s">
        <v>1803</v>
      </c>
      <c r="C3117" t="s">
        <v>1256</v>
      </c>
    </row>
    <row r="3118" spans="1:3">
      <c r="A3118">
        <v>3212600</v>
      </c>
      <c r="C3118" t="s">
        <v>1256</v>
      </c>
    </row>
    <row r="3119" spans="1:3">
      <c r="A3119">
        <v>2533000</v>
      </c>
      <c r="B3119" t="s">
        <v>1803</v>
      </c>
      <c r="C3119" t="s">
        <v>1256</v>
      </c>
    </row>
    <row r="3120" spans="1:3">
      <c r="A3120">
        <v>679600</v>
      </c>
      <c r="B3120" t="s">
        <v>1803</v>
      </c>
      <c r="C3120" t="s">
        <v>1256</v>
      </c>
    </row>
    <row r="3121" spans="1:3">
      <c r="A3121">
        <v>174000</v>
      </c>
      <c r="C3121" t="s">
        <v>1256</v>
      </c>
    </row>
    <row r="3122" spans="1:3">
      <c r="A3122">
        <v>87000</v>
      </c>
      <c r="B3122" t="s">
        <v>1803</v>
      </c>
      <c r="C3122" t="s">
        <v>1256</v>
      </c>
    </row>
    <row r="3123" spans="1:3">
      <c r="A3123">
        <v>87000</v>
      </c>
      <c r="B3123" t="s">
        <v>1803</v>
      </c>
      <c r="C3123" t="s">
        <v>1256</v>
      </c>
    </row>
    <row r="3124" spans="1:3">
      <c r="A3124">
        <v>281200</v>
      </c>
      <c r="C3124" t="s">
        <v>1256</v>
      </c>
    </row>
    <row r="3125" spans="1:3">
      <c r="A3125">
        <v>281200</v>
      </c>
      <c r="B3125" t="s">
        <v>1803</v>
      </c>
      <c r="C3125" t="s">
        <v>1256</v>
      </c>
    </row>
    <row r="3126" spans="1:3">
      <c r="A3126">
        <v>5090600</v>
      </c>
      <c r="C3126" t="s">
        <v>1256</v>
      </c>
    </row>
    <row r="3127" spans="1:3">
      <c r="A3127">
        <v>5090600</v>
      </c>
      <c r="C3127" t="s">
        <v>1256</v>
      </c>
    </row>
    <row r="3128" spans="1:3">
      <c r="C3128" t="s">
        <v>1256</v>
      </c>
    </row>
    <row r="3129" spans="1:3">
      <c r="C3129" t="s">
        <v>1256</v>
      </c>
    </row>
    <row r="3130" spans="1:3">
      <c r="A3130">
        <v>29000</v>
      </c>
      <c r="C3130" t="s">
        <v>1256</v>
      </c>
    </row>
    <row r="3131" spans="1:3">
      <c r="A3131">
        <v>29000</v>
      </c>
      <c r="B3131" t="s">
        <v>1803</v>
      </c>
      <c r="C3131" t="s">
        <v>1256</v>
      </c>
    </row>
    <row r="3132" spans="1:3">
      <c r="A3132">
        <v>17400</v>
      </c>
      <c r="C3132" t="s">
        <v>1256</v>
      </c>
    </row>
    <row r="3133" spans="1:3">
      <c r="A3133">
        <v>17400</v>
      </c>
      <c r="B3133" t="s">
        <v>1803</v>
      </c>
      <c r="C3133" t="s">
        <v>1256</v>
      </c>
    </row>
    <row r="3134" spans="1:3">
      <c r="A3134">
        <v>174000</v>
      </c>
      <c r="C3134" t="s">
        <v>1256</v>
      </c>
    </row>
    <row r="3135" spans="1:3">
      <c r="A3135">
        <v>87000</v>
      </c>
      <c r="B3135" t="s">
        <v>1803</v>
      </c>
      <c r="C3135" t="s">
        <v>1256</v>
      </c>
    </row>
    <row r="3136" spans="1:3">
      <c r="A3136">
        <v>87000</v>
      </c>
      <c r="B3136" t="s">
        <v>1803</v>
      </c>
      <c r="C3136" t="s">
        <v>1256</v>
      </c>
    </row>
    <row r="3137" spans="1:3">
      <c r="A3137">
        <v>29000</v>
      </c>
      <c r="C3137" t="s">
        <v>1256</v>
      </c>
    </row>
    <row r="3138" spans="1:3">
      <c r="A3138">
        <v>29000</v>
      </c>
      <c r="B3138" t="s">
        <v>1803</v>
      </c>
      <c r="C3138" t="s">
        <v>1256</v>
      </c>
    </row>
    <row r="3139" spans="1:3">
      <c r="A3139">
        <v>162400</v>
      </c>
      <c r="C3139" t="s">
        <v>1256</v>
      </c>
    </row>
    <row r="3140" spans="1:3">
      <c r="A3140">
        <v>87000</v>
      </c>
      <c r="B3140" t="s">
        <v>1803</v>
      </c>
      <c r="C3140" t="s">
        <v>1256</v>
      </c>
    </row>
    <row r="3141" spans="1:3">
      <c r="A3141">
        <v>75400</v>
      </c>
      <c r="B3141" t="s">
        <v>1803</v>
      </c>
      <c r="C3141" t="s">
        <v>1256</v>
      </c>
    </row>
    <row r="3142" spans="1:3">
      <c r="A3142">
        <v>1728980</v>
      </c>
      <c r="C3142" t="s">
        <v>1256</v>
      </c>
    </row>
    <row r="3143" spans="1:3">
      <c r="A3143">
        <v>1728980</v>
      </c>
      <c r="B3143" t="s">
        <v>1803</v>
      </c>
      <c r="C3143" t="s">
        <v>1256</v>
      </c>
    </row>
    <row r="3144" spans="1:3">
      <c r="A3144">
        <v>2140780</v>
      </c>
      <c r="C3144" t="s">
        <v>1256</v>
      </c>
    </row>
    <row r="3145" spans="1:3">
      <c r="C3145" t="s">
        <v>1256</v>
      </c>
    </row>
    <row r="3146" spans="1:3">
      <c r="A3146">
        <v>2140780</v>
      </c>
      <c r="C3146" t="s">
        <v>1256</v>
      </c>
    </row>
    <row r="3147" spans="1:3">
      <c r="A3147">
        <v>39304197.600000001</v>
      </c>
      <c r="C3147" t="s">
        <v>1256</v>
      </c>
    </row>
    <row r="3148" spans="1:3">
      <c r="A3148">
        <v>120830923.74000001</v>
      </c>
      <c r="C3148" t="s">
        <v>1256</v>
      </c>
    </row>
    <row r="3149" spans="1:3">
      <c r="A3149">
        <v>53560406</v>
      </c>
      <c r="C3149" t="s">
        <v>1256</v>
      </c>
    </row>
    <row r="3150" spans="1:3">
      <c r="A3150">
        <v>174391329.74000001</v>
      </c>
      <c r="C3150" t="s">
        <v>1256</v>
      </c>
    </row>
    <row r="3156" spans="1:3">
      <c r="A3156">
        <v>221180851</v>
      </c>
      <c r="C3156" t="s">
        <v>1257</v>
      </c>
    </row>
    <row r="3157" spans="1:3">
      <c r="A3157">
        <v>221180851</v>
      </c>
      <c r="B3157" t="s">
        <v>1803</v>
      </c>
      <c r="C3157" t="s">
        <v>1257</v>
      </c>
    </row>
    <row r="3158" spans="1:3">
      <c r="A3158">
        <v>124089.5</v>
      </c>
      <c r="C3158" t="s">
        <v>1257</v>
      </c>
    </row>
    <row r="3159" spans="1:3">
      <c r="A3159">
        <v>124089.5</v>
      </c>
      <c r="B3159" t="s">
        <v>1803</v>
      </c>
      <c r="C3159" t="s">
        <v>1257</v>
      </c>
    </row>
    <row r="3160" spans="1:3">
      <c r="A3160">
        <v>249400</v>
      </c>
      <c r="C3160" t="s">
        <v>1257</v>
      </c>
    </row>
    <row r="3161" spans="1:3">
      <c r="A3161">
        <v>145000</v>
      </c>
      <c r="B3161" t="s">
        <v>1803</v>
      </c>
      <c r="C3161" t="s">
        <v>1257</v>
      </c>
    </row>
    <row r="3162" spans="1:3">
      <c r="A3162">
        <v>104400</v>
      </c>
      <c r="B3162" t="s">
        <v>1803</v>
      </c>
      <c r="C3162" t="s">
        <v>1257</v>
      </c>
    </row>
    <row r="3163" spans="1:3">
      <c r="A3163">
        <v>1000500</v>
      </c>
      <c r="C3163" t="s">
        <v>1257</v>
      </c>
    </row>
    <row r="3164" spans="1:3">
      <c r="A3164">
        <v>522000</v>
      </c>
      <c r="B3164" t="s">
        <v>1803</v>
      </c>
      <c r="C3164" t="s">
        <v>1257</v>
      </c>
    </row>
    <row r="3165" spans="1:3">
      <c r="A3165">
        <v>464000</v>
      </c>
      <c r="B3165" t="s">
        <v>1803</v>
      </c>
      <c r="C3165" t="s">
        <v>1257</v>
      </c>
    </row>
    <row r="3166" spans="1:3">
      <c r="A3166">
        <v>14500</v>
      </c>
      <c r="B3166" t="s">
        <v>1803</v>
      </c>
      <c r="C3166" t="s">
        <v>1257</v>
      </c>
    </row>
    <row r="3167" spans="1:3">
      <c r="A3167">
        <v>5858688.5054000001</v>
      </c>
      <c r="C3167" t="s">
        <v>1257</v>
      </c>
    </row>
    <row r="3168" spans="1:3">
      <c r="A3168">
        <v>2130500</v>
      </c>
      <c r="B3168" t="s">
        <v>1803</v>
      </c>
      <c r="C3168" t="s">
        <v>1257</v>
      </c>
    </row>
    <row r="3169" spans="1:3">
      <c r="A3169">
        <v>1000000</v>
      </c>
      <c r="B3169" t="s">
        <v>1803</v>
      </c>
      <c r="C3169" t="s">
        <v>1257</v>
      </c>
    </row>
    <row r="3170" spans="1:3">
      <c r="A3170">
        <v>2554499.5054000001</v>
      </c>
      <c r="B3170" t="s">
        <v>1803</v>
      </c>
      <c r="C3170" t="s">
        <v>1257</v>
      </c>
    </row>
    <row r="3171" spans="1:3">
      <c r="A3171">
        <v>173689</v>
      </c>
      <c r="B3171" t="s">
        <v>1803</v>
      </c>
      <c r="C3171" t="s">
        <v>1257</v>
      </c>
    </row>
    <row r="3172" spans="1:3">
      <c r="A3172">
        <v>3247000</v>
      </c>
      <c r="C3172" t="s">
        <v>1257</v>
      </c>
    </row>
    <row r="3173" spans="1:3">
      <c r="A3173">
        <v>3247000</v>
      </c>
      <c r="B3173" t="s">
        <v>1803</v>
      </c>
      <c r="C3173" t="s">
        <v>1257</v>
      </c>
    </row>
    <row r="3174" spans="1:3">
      <c r="A3174">
        <v>5585800</v>
      </c>
      <c r="C3174" t="s">
        <v>1257</v>
      </c>
    </row>
    <row r="3175" spans="1:3">
      <c r="A3175">
        <v>2261000</v>
      </c>
      <c r="B3175" t="s">
        <v>1803</v>
      </c>
      <c r="C3175" t="s">
        <v>1257</v>
      </c>
    </row>
    <row r="3176" spans="1:3">
      <c r="A3176">
        <v>2121800</v>
      </c>
      <c r="B3176" t="s">
        <v>1803</v>
      </c>
      <c r="C3176" t="s">
        <v>1257</v>
      </c>
    </row>
    <row r="3177" spans="1:3">
      <c r="A3177">
        <v>1203000</v>
      </c>
      <c r="B3177" t="s">
        <v>1803</v>
      </c>
      <c r="C3177" t="s">
        <v>1257</v>
      </c>
    </row>
    <row r="3178" spans="1:3">
      <c r="A3178">
        <v>2043000</v>
      </c>
      <c r="C3178" t="s">
        <v>1257</v>
      </c>
    </row>
    <row r="3179" spans="1:3">
      <c r="A3179">
        <v>1116000</v>
      </c>
      <c r="B3179" t="s">
        <v>1803</v>
      </c>
      <c r="C3179" t="s">
        <v>1257</v>
      </c>
    </row>
    <row r="3180" spans="1:3">
      <c r="A3180">
        <v>145000</v>
      </c>
      <c r="B3180" t="s">
        <v>1803</v>
      </c>
      <c r="C3180" t="s">
        <v>1257</v>
      </c>
    </row>
    <row r="3181" spans="1:3">
      <c r="A3181">
        <v>116000</v>
      </c>
      <c r="B3181" t="s">
        <v>1803</v>
      </c>
      <c r="C3181" t="s">
        <v>1257</v>
      </c>
    </row>
    <row r="3182" spans="1:3">
      <c r="A3182">
        <v>116000</v>
      </c>
      <c r="B3182" t="s">
        <v>1803</v>
      </c>
      <c r="C3182" t="s">
        <v>1257</v>
      </c>
    </row>
    <row r="3183" spans="1:3">
      <c r="A3183">
        <v>550000</v>
      </c>
      <c r="B3183" t="s">
        <v>1803</v>
      </c>
      <c r="C3183" t="s">
        <v>1257</v>
      </c>
    </row>
    <row r="3184" spans="1:3">
      <c r="A3184">
        <v>1405000</v>
      </c>
      <c r="C3184" t="s">
        <v>1257</v>
      </c>
    </row>
    <row r="3185" spans="1:3">
      <c r="A3185">
        <v>187000</v>
      </c>
      <c r="B3185" t="s">
        <v>1803</v>
      </c>
      <c r="C3185" t="s">
        <v>1257</v>
      </c>
    </row>
    <row r="3186" spans="1:3">
      <c r="A3186">
        <v>1218000</v>
      </c>
      <c r="B3186" t="s">
        <v>1803</v>
      </c>
      <c r="C3186" t="s">
        <v>1257</v>
      </c>
    </row>
    <row r="3187" spans="1:3">
      <c r="A3187">
        <v>1436400</v>
      </c>
      <c r="C3187" t="s">
        <v>1257</v>
      </c>
    </row>
    <row r="3188" spans="1:3">
      <c r="A3188">
        <v>1203000</v>
      </c>
      <c r="B3188" t="s">
        <v>1803</v>
      </c>
      <c r="C3188" t="s">
        <v>1257</v>
      </c>
    </row>
    <row r="3189" spans="1:3">
      <c r="A3189">
        <v>187000</v>
      </c>
      <c r="B3189" t="s">
        <v>1803</v>
      </c>
      <c r="C3189" t="s">
        <v>1257</v>
      </c>
    </row>
    <row r="3190" spans="1:3">
      <c r="A3190">
        <v>46400</v>
      </c>
      <c r="B3190" t="s">
        <v>1803</v>
      </c>
      <c r="C3190" t="s">
        <v>1257</v>
      </c>
    </row>
    <row r="3191" spans="1:3">
      <c r="A3191">
        <v>3160000</v>
      </c>
      <c r="C3191" t="s">
        <v>1257</v>
      </c>
    </row>
    <row r="3192" spans="1:3">
      <c r="A3192">
        <v>3160000</v>
      </c>
      <c r="B3192" t="s">
        <v>1803</v>
      </c>
      <c r="C3192" t="s">
        <v>1257</v>
      </c>
    </row>
    <row r="3193" spans="1:3">
      <c r="A3193">
        <v>63800</v>
      </c>
      <c r="C3193" t="s">
        <v>1257</v>
      </c>
    </row>
    <row r="3194" spans="1:3">
      <c r="A3194">
        <v>63800</v>
      </c>
      <c r="B3194" t="s">
        <v>1803</v>
      </c>
      <c r="C3194" t="s">
        <v>1257</v>
      </c>
    </row>
    <row r="3195" spans="1:3">
      <c r="A3195">
        <v>1725000</v>
      </c>
      <c r="C3195" t="s">
        <v>1257</v>
      </c>
    </row>
    <row r="3196" spans="1:3">
      <c r="A3196">
        <v>1435000</v>
      </c>
      <c r="B3196" t="s">
        <v>1803</v>
      </c>
      <c r="C3196" t="s">
        <v>1257</v>
      </c>
    </row>
    <row r="3197" spans="1:3">
      <c r="A3197">
        <v>290000</v>
      </c>
      <c r="B3197" t="s">
        <v>1803</v>
      </c>
      <c r="C3197" t="s">
        <v>1257</v>
      </c>
    </row>
    <row r="3198" spans="1:3">
      <c r="A3198">
        <v>116000</v>
      </c>
      <c r="C3198" t="s">
        <v>1257</v>
      </c>
    </row>
    <row r="3199" spans="1:3">
      <c r="A3199">
        <v>116000</v>
      </c>
      <c r="B3199" t="s">
        <v>1803</v>
      </c>
      <c r="C3199" t="s">
        <v>1257</v>
      </c>
    </row>
    <row r="3200" spans="1:3">
      <c r="A3200">
        <v>0</v>
      </c>
      <c r="C3200" t="s">
        <v>1257</v>
      </c>
    </row>
    <row r="3201" spans="1:3">
      <c r="A3201">
        <v>0</v>
      </c>
      <c r="C3201" t="s">
        <v>1257</v>
      </c>
    </row>
    <row r="3202" spans="1:3">
      <c r="A3202">
        <v>3497672.8100000024</v>
      </c>
      <c r="C3202" t="s">
        <v>1257</v>
      </c>
    </row>
    <row r="3203" spans="1:3">
      <c r="A3203">
        <v>2132994.8046000004</v>
      </c>
      <c r="B3203" t="s">
        <v>1803</v>
      </c>
      <c r="C3203" t="s">
        <v>1257</v>
      </c>
    </row>
    <row r="3204" spans="1:3">
      <c r="A3204">
        <v>1248678.005400002</v>
      </c>
      <c r="B3204" t="s">
        <v>1803</v>
      </c>
      <c r="C3204" t="s">
        <v>1257</v>
      </c>
    </row>
    <row r="3205" spans="1:3">
      <c r="A3205">
        <v>116000</v>
      </c>
      <c r="B3205" t="s">
        <v>1803</v>
      </c>
      <c r="C3205" t="s">
        <v>1257</v>
      </c>
    </row>
    <row r="3206" spans="1:3">
      <c r="A3206">
        <v>35000000</v>
      </c>
      <c r="C3206" t="s">
        <v>1257</v>
      </c>
    </row>
    <row r="3207" spans="1:3">
      <c r="A3207">
        <v>35000000</v>
      </c>
      <c r="B3207" t="s">
        <v>1803</v>
      </c>
      <c r="C3207" t="s">
        <v>1257</v>
      </c>
    </row>
    <row r="3208" spans="1:3">
      <c r="A3208">
        <v>285693201.8154</v>
      </c>
      <c r="C3208" t="s">
        <v>1257</v>
      </c>
    </row>
    <row r="3209" spans="1:3">
      <c r="C3209" t="s">
        <v>1257</v>
      </c>
    </row>
    <row r="3210" spans="1:3">
      <c r="C3210" t="s">
        <v>1257</v>
      </c>
    </row>
    <row r="3211" spans="1:3">
      <c r="A3211">
        <v>20000000</v>
      </c>
      <c r="B3211" t="s">
        <v>1803</v>
      </c>
      <c r="C3211" t="s">
        <v>1257</v>
      </c>
    </row>
    <row r="3212" spans="1:3">
      <c r="A3212">
        <v>37500000</v>
      </c>
      <c r="B3212" t="s">
        <v>1803</v>
      </c>
      <c r="C3212" t="s">
        <v>1257</v>
      </c>
    </row>
    <row r="3213" spans="1:3">
      <c r="A3213">
        <v>57500000</v>
      </c>
      <c r="C3213" t="s">
        <v>1257</v>
      </c>
    </row>
    <row r="3214" spans="1:3">
      <c r="A3214">
        <v>343193201.8154</v>
      </c>
      <c r="C3214" t="s">
        <v>1257</v>
      </c>
    </row>
    <row r="3215" spans="1:3">
      <c r="C3215" t="s">
        <v>1257</v>
      </c>
    </row>
    <row r="3216" spans="1:3">
      <c r="C3216" t="s">
        <v>1257</v>
      </c>
    </row>
    <row r="3217" spans="1:3">
      <c r="C3217" t="s">
        <v>1257</v>
      </c>
    </row>
    <row r="3218" spans="1:3">
      <c r="C3218" t="s">
        <v>1257</v>
      </c>
    </row>
    <row r="3219" spans="1:3">
      <c r="A3219">
        <v>175000</v>
      </c>
      <c r="C3219" t="s">
        <v>1257</v>
      </c>
    </row>
    <row r="3220" spans="1:3">
      <c r="A3220">
        <v>135000</v>
      </c>
      <c r="B3220" t="s">
        <v>1803</v>
      </c>
      <c r="C3220" t="s">
        <v>1257</v>
      </c>
    </row>
    <row r="3221" spans="1:3">
      <c r="A3221">
        <v>40000</v>
      </c>
      <c r="B3221" t="s">
        <v>1803</v>
      </c>
      <c r="C3221" t="s">
        <v>1257</v>
      </c>
    </row>
    <row r="3222" spans="1:3">
      <c r="A3222">
        <v>90000</v>
      </c>
      <c r="C3222" t="s">
        <v>1257</v>
      </c>
    </row>
    <row r="3223" spans="1:3">
      <c r="A3223">
        <v>90000</v>
      </c>
      <c r="B3223" t="s">
        <v>1803</v>
      </c>
      <c r="C3223" t="s">
        <v>1257</v>
      </c>
    </row>
    <row r="3224" spans="1:3">
      <c r="A3224">
        <v>6651300</v>
      </c>
      <c r="C3224" t="s">
        <v>1257</v>
      </c>
    </row>
    <row r="3225" spans="1:3">
      <c r="A3225">
        <v>350000</v>
      </c>
      <c r="B3225" t="s">
        <v>1803</v>
      </c>
      <c r="C3225" t="s">
        <v>1257</v>
      </c>
    </row>
    <row r="3226" spans="1:3">
      <c r="A3226">
        <v>2560000</v>
      </c>
      <c r="B3226" t="s">
        <v>1803</v>
      </c>
      <c r="C3226" t="s">
        <v>1257</v>
      </c>
    </row>
    <row r="3227" spans="1:3">
      <c r="A3227">
        <v>3700500</v>
      </c>
      <c r="B3227" t="s">
        <v>1803</v>
      </c>
      <c r="C3227" t="s">
        <v>1257</v>
      </c>
    </row>
    <row r="3228" spans="1:3">
      <c r="A3228">
        <v>40800</v>
      </c>
      <c r="B3228" t="s">
        <v>1803</v>
      </c>
      <c r="C3228" t="s">
        <v>1257</v>
      </c>
    </row>
    <row r="3229" spans="1:3">
      <c r="A3229">
        <v>11066800</v>
      </c>
      <c r="C3229" t="s">
        <v>1257</v>
      </c>
    </row>
    <row r="3230" spans="1:3">
      <c r="A3230">
        <v>3450000</v>
      </c>
      <c r="B3230" t="s">
        <v>1803</v>
      </c>
      <c r="C3230" t="s">
        <v>1257</v>
      </c>
    </row>
    <row r="3231" spans="1:3">
      <c r="A3231">
        <v>116000</v>
      </c>
      <c r="B3231" t="s">
        <v>1803</v>
      </c>
      <c r="C3231" t="s">
        <v>1257</v>
      </c>
    </row>
    <row r="3232" spans="1:3">
      <c r="A3232">
        <v>7500800</v>
      </c>
      <c r="B3232" t="s">
        <v>1803</v>
      </c>
      <c r="C3232" t="s">
        <v>1257</v>
      </c>
    </row>
    <row r="3233" spans="1:3">
      <c r="A3233">
        <v>2801000</v>
      </c>
      <c r="C3233" t="s">
        <v>1257</v>
      </c>
    </row>
    <row r="3234" spans="1:3">
      <c r="A3234">
        <v>500000</v>
      </c>
      <c r="B3234" t="s">
        <v>1803</v>
      </c>
      <c r="C3234" t="s">
        <v>1257</v>
      </c>
    </row>
    <row r="3235" spans="1:3">
      <c r="A3235">
        <v>650000</v>
      </c>
      <c r="B3235" t="s">
        <v>1803</v>
      </c>
      <c r="C3235" t="s">
        <v>1257</v>
      </c>
    </row>
    <row r="3236" spans="1:3">
      <c r="A3236">
        <v>554000</v>
      </c>
      <c r="B3236" t="s">
        <v>1803</v>
      </c>
      <c r="C3236" t="s">
        <v>1257</v>
      </c>
    </row>
    <row r="3237" spans="1:3">
      <c r="A3237">
        <v>329000</v>
      </c>
      <c r="B3237" t="s">
        <v>1803</v>
      </c>
      <c r="C3237" t="s">
        <v>1257</v>
      </c>
    </row>
    <row r="3238" spans="1:3">
      <c r="A3238">
        <v>768000</v>
      </c>
      <c r="B3238" t="s">
        <v>1803</v>
      </c>
      <c r="C3238" t="s">
        <v>1257</v>
      </c>
    </row>
    <row r="3239" spans="1:3">
      <c r="A3239">
        <v>5283000</v>
      </c>
      <c r="C3239" t="s">
        <v>1257</v>
      </c>
    </row>
    <row r="3240" spans="1:3">
      <c r="A3240">
        <v>1500000</v>
      </c>
      <c r="B3240" t="s">
        <v>1803</v>
      </c>
      <c r="C3240" t="s">
        <v>1257</v>
      </c>
    </row>
    <row r="3241" spans="1:3">
      <c r="A3241">
        <v>3500000</v>
      </c>
      <c r="B3241" t="s">
        <v>1803</v>
      </c>
      <c r="C3241" t="s">
        <v>1257</v>
      </c>
    </row>
    <row r="3242" spans="1:3">
      <c r="A3242">
        <v>283000</v>
      </c>
      <c r="B3242" t="s">
        <v>1803</v>
      </c>
      <c r="C3242" t="s">
        <v>1257</v>
      </c>
    </row>
    <row r="3243" spans="1:3">
      <c r="A3243">
        <v>535000</v>
      </c>
      <c r="C3243" t="s">
        <v>1257</v>
      </c>
    </row>
    <row r="3244" spans="1:3">
      <c r="A3244">
        <v>535000</v>
      </c>
      <c r="B3244" t="s">
        <v>1803</v>
      </c>
      <c r="C3244" t="s">
        <v>1257</v>
      </c>
    </row>
    <row r="3245" spans="1:3">
      <c r="A3245">
        <v>2745000</v>
      </c>
      <c r="C3245" t="s">
        <v>1257</v>
      </c>
    </row>
    <row r="3246" spans="1:3">
      <c r="A3246">
        <v>2745000</v>
      </c>
      <c r="B3246" t="s">
        <v>1803</v>
      </c>
      <c r="C3246" t="s">
        <v>1257</v>
      </c>
    </row>
    <row r="3247" spans="1:3">
      <c r="A3247">
        <v>875300</v>
      </c>
      <c r="C3247" t="s">
        <v>1257</v>
      </c>
    </row>
    <row r="3248" spans="1:3">
      <c r="A3248">
        <v>375000</v>
      </c>
      <c r="B3248" t="s">
        <v>1803</v>
      </c>
      <c r="C3248" t="s">
        <v>1257</v>
      </c>
    </row>
    <row r="3249" spans="1:3">
      <c r="A3249">
        <v>500300</v>
      </c>
      <c r="B3249" t="s">
        <v>1803</v>
      </c>
      <c r="C3249" t="s">
        <v>1257</v>
      </c>
    </row>
    <row r="3250" spans="1:3">
      <c r="A3250">
        <v>100000</v>
      </c>
      <c r="C3250" t="s">
        <v>1257</v>
      </c>
    </row>
    <row r="3251" spans="1:3">
      <c r="A3251">
        <v>100000</v>
      </c>
      <c r="B3251" t="s">
        <v>1803</v>
      </c>
      <c r="C3251" t="s">
        <v>1257</v>
      </c>
    </row>
    <row r="3252" spans="1:3">
      <c r="A3252">
        <v>4250500</v>
      </c>
      <c r="C3252" t="s">
        <v>1257</v>
      </c>
    </row>
    <row r="3253" spans="1:3">
      <c r="A3253">
        <v>4250500</v>
      </c>
      <c r="B3253" t="s">
        <v>1803</v>
      </c>
      <c r="C3253" t="s">
        <v>1257</v>
      </c>
    </row>
    <row r="3254" spans="1:3">
      <c r="A3254">
        <v>13800000</v>
      </c>
      <c r="C3254" t="s">
        <v>1257</v>
      </c>
    </row>
    <row r="3255" spans="1:3">
      <c r="A3255">
        <v>4000000</v>
      </c>
      <c r="B3255" t="s">
        <v>1803</v>
      </c>
      <c r="C3255" t="s">
        <v>1257</v>
      </c>
    </row>
    <row r="3256" spans="1:3">
      <c r="A3256">
        <v>9800000</v>
      </c>
      <c r="B3256" t="s">
        <v>1803</v>
      </c>
      <c r="C3256" t="s">
        <v>1257</v>
      </c>
    </row>
    <row r="3257" spans="1:3">
      <c r="A3257">
        <v>48372900</v>
      </c>
      <c r="C3257" t="s">
        <v>1257</v>
      </c>
    </row>
    <row r="3258" spans="1:3">
      <c r="C3258" t="s">
        <v>1257</v>
      </c>
    </row>
    <row r="3259" spans="1:3">
      <c r="C3259" t="s">
        <v>1257</v>
      </c>
    </row>
    <row r="3260" spans="1:3">
      <c r="C3260" t="s">
        <v>1257</v>
      </c>
    </row>
    <row r="3261" spans="1:3">
      <c r="A3261">
        <v>75600</v>
      </c>
      <c r="C3261" t="s">
        <v>1257</v>
      </c>
    </row>
    <row r="3262" spans="1:3">
      <c r="A3262">
        <v>75600</v>
      </c>
      <c r="B3262" t="s">
        <v>1803</v>
      </c>
      <c r="C3262" t="s">
        <v>1257</v>
      </c>
    </row>
    <row r="3263" spans="1:3">
      <c r="A3263">
        <v>7604000</v>
      </c>
      <c r="C3263" t="s">
        <v>1257</v>
      </c>
    </row>
    <row r="3264" spans="1:3">
      <c r="A3264">
        <v>493000</v>
      </c>
      <c r="B3264" t="s">
        <v>1803</v>
      </c>
      <c r="C3264" t="s">
        <v>1257</v>
      </c>
    </row>
    <row r="3265" spans="1:3">
      <c r="A3265">
        <v>4520000</v>
      </c>
      <c r="B3265" t="s">
        <v>1803</v>
      </c>
      <c r="C3265" t="s">
        <v>1257</v>
      </c>
    </row>
    <row r="3266" spans="1:3">
      <c r="A3266">
        <v>2500000</v>
      </c>
      <c r="B3266" t="s">
        <v>1803</v>
      </c>
      <c r="C3266" t="s">
        <v>1257</v>
      </c>
    </row>
    <row r="3267" spans="1:3">
      <c r="A3267">
        <v>91000</v>
      </c>
      <c r="B3267" t="s">
        <v>1803</v>
      </c>
      <c r="C3267" t="s">
        <v>1257</v>
      </c>
    </row>
    <row r="3268" spans="1:3">
      <c r="A3268">
        <v>7753800</v>
      </c>
      <c r="C3268" t="s">
        <v>1257</v>
      </c>
    </row>
    <row r="3269" spans="1:3">
      <c r="A3269">
        <v>253000</v>
      </c>
      <c r="B3269" t="s">
        <v>1803</v>
      </c>
      <c r="C3269" t="s">
        <v>1257</v>
      </c>
    </row>
    <row r="3270" spans="1:3">
      <c r="A3270">
        <v>7500800</v>
      </c>
      <c r="B3270" t="s">
        <v>1803</v>
      </c>
      <c r="C3270" t="s">
        <v>1257</v>
      </c>
    </row>
    <row r="3271" spans="1:3">
      <c r="A3271">
        <v>1425000</v>
      </c>
      <c r="C3271" t="s">
        <v>1257</v>
      </c>
    </row>
    <row r="3272" spans="1:3">
      <c r="A3272">
        <v>350000</v>
      </c>
      <c r="B3272" t="s">
        <v>1803</v>
      </c>
      <c r="C3272" t="s">
        <v>1257</v>
      </c>
    </row>
    <row r="3273" spans="1:3">
      <c r="A3273">
        <v>350000</v>
      </c>
      <c r="B3273" t="s">
        <v>1803</v>
      </c>
      <c r="C3273" t="s">
        <v>1257</v>
      </c>
    </row>
    <row r="3274" spans="1:3">
      <c r="A3274">
        <v>232000</v>
      </c>
      <c r="B3274" t="s">
        <v>1803</v>
      </c>
      <c r="C3274" t="s">
        <v>1257</v>
      </c>
    </row>
    <row r="3275" spans="1:3">
      <c r="A3275">
        <v>493000</v>
      </c>
      <c r="B3275" t="s">
        <v>1803</v>
      </c>
      <c r="C3275" t="s">
        <v>1257</v>
      </c>
    </row>
    <row r="3276" spans="1:3">
      <c r="A3276">
        <v>6167000</v>
      </c>
      <c r="C3276" t="s">
        <v>1257</v>
      </c>
    </row>
    <row r="3277" spans="1:3">
      <c r="A3277">
        <v>2256000</v>
      </c>
      <c r="B3277" t="s">
        <v>1803</v>
      </c>
      <c r="C3277" t="s">
        <v>1257</v>
      </c>
    </row>
    <row r="3278" spans="1:3">
      <c r="A3278">
        <v>3911000</v>
      </c>
      <c r="B3278" t="s">
        <v>1803</v>
      </c>
      <c r="C3278" t="s">
        <v>1257</v>
      </c>
    </row>
    <row r="3279" spans="1:3">
      <c r="A3279">
        <v>692000</v>
      </c>
      <c r="C3279" t="s">
        <v>1257</v>
      </c>
    </row>
    <row r="3280" spans="1:3">
      <c r="A3280">
        <v>360000</v>
      </c>
      <c r="B3280" t="s">
        <v>1803</v>
      </c>
      <c r="C3280" t="s">
        <v>1257</v>
      </c>
    </row>
    <row r="3281" spans="1:3">
      <c r="A3281">
        <v>332000</v>
      </c>
      <c r="B3281" t="s">
        <v>1803</v>
      </c>
      <c r="C3281" t="s">
        <v>1257</v>
      </c>
    </row>
    <row r="3282" spans="1:3">
      <c r="A3282">
        <v>435000</v>
      </c>
      <c r="C3282" t="s">
        <v>1257</v>
      </c>
    </row>
    <row r="3283" spans="1:3">
      <c r="A3283">
        <v>435000</v>
      </c>
      <c r="B3283" t="s">
        <v>1803</v>
      </c>
      <c r="C3283" t="s">
        <v>1257</v>
      </c>
    </row>
    <row r="3284" spans="1:3">
      <c r="A3284">
        <v>240200</v>
      </c>
      <c r="C3284" t="s">
        <v>1257</v>
      </c>
    </row>
    <row r="3285" spans="1:3">
      <c r="A3285">
        <v>240200</v>
      </c>
      <c r="B3285" t="s">
        <v>1803</v>
      </c>
      <c r="C3285" t="s">
        <v>1257</v>
      </c>
    </row>
    <row r="3286" spans="1:3">
      <c r="A3286">
        <v>500000</v>
      </c>
      <c r="C3286" t="s">
        <v>1257</v>
      </c>
    </row>
    <row r="3287" spans="1:3">
      <c r="A3287">
        <v>500000</v>
      </c>
      <c r="B3287" t="s">
        <v>1803</v>
      </c>
      <c r="C3287" t="s">
        <v>1257</v>
      </c>
    </row>
    <row r="3288" spans="1:3">
      <c r="A3288">
        <v>24892600</v>
      </c>
      <c r="C3288" t="s">
        <v>1257</v>
      </c>
    </row>
    <row r="3289" spans="1:3">
      <c r="A3289">
        <v>24892600</v>
      </c>
      <c r="C3289" t="s">
        <v>1257</v>
      </c>
    </row>
    <row r="3290" spans="1:3">
      <c r="C3290" t="s">
        <v>1257</v>
      </c>
    </row>
    <row r="3291" spans="1:3">
      <c r="C3291" t="s">
        <v>1257</v>
      </c>
    </row>
    <row r="3292" spans="1:3">
      <c r="A3292">
        <v>242600</v>
      </c>
      <c r="C3292" t="s">
        <v>1257</v>
      </c>
    </row>
    <row r="3293" spans="1:3">
      <c r="A3293">
        <v>242600</v>
      </c>
      <c r="B3293" t="s">
        <v>1803</v>
      </c>
      <c r="C3293" t="s">
        <v>1257</v>
      </c>
    </row>
    <row r="3294" spans="1:3">
      <c r="A3294">
        <v>3259800</v>
      </c>
      <c r="C3294" t="s">
        <v>1257</v>
      </c>
    </row>
    <row r="3295" spans="1:3">
      <c r="A3295">
        <v>290000</v>
      </c>
      <c r="B3295" t="s">
        <v>1803</v>
      </c>
      <c r="C3295" t="s">
        <v>1257</v>
      </c>
    </row>
    <row r="3296" spans="1:3">
      <c r="A3296">
        <v>2100800</v>
      </c>
      <c r="B3296" t="s">
        <v>1803</v>
      </c>
      <c r="C3296" t="s">
        <v>1257</v>
      </c>
    </row>
    <row r="3297" spans="1:3">
      <c r="A3297">
        <v>830000</v>
      </c>
      <c r="B3297" t="s">
        <v>1803</v>
      </c>
      <c r="C3297" t="s">
        <v>1257</v>
      </c>
    </row>
    <row r="3298" spans="1:3">
      <c r="A3298">
        <v>39000</v>
      </c>
      <c r="B3298" t="s">
        <v>1803</v>
      </c>
      <c r="C3298" t="s">
        <v>1257</v>
      </c>
    </row>
    <row r="3299" spans="1:3">
      <c r="A3299">
        <v>679000</v>
      </c>
      <c r="C3299" t="s">
        <v>1257</v>
      </c>
    </row>
    <row r="3300" spans="1:3">
      <c r="A3300">
        <v>250000</v>
      </c>
      <c r="B3300" t="s">
        <v>1803</v>
      </c>
      <c r="C3300" t="s">
        <v>1257</v>
      </c>
    </row>
    <row r="3301" spans="1:3">
      <c r="A3301">
        <v>110000</v>
      </c>
      <c r="B3301" t="s">
        <v>1803</v>
      </c>
      <c r="C3301" t="s">
        <v>1257</v>
      </c>
    </row>
    <row r="3302" spans="1:3">
      <c r="A3302">
        <v>319000</v>
      </c>
      <c r="B3302" t="s">
        <v>1803</v>
      </c>
      <c r="C3302" t="s">
        <v>1257</v>
      </c>
    </row>
    <row r="3303" spans="1:3">
      <c r="A3303">
        <v>620300</v>
      </c>
      <c r="C3303" t="s">
        <v>1257</v>
      </c>
    </row>
    <row r="3304" spans="1:3">
      <c r="A3304">
        <v>232000</v>
      </c>
      <c r="B3304" t="s">
        <v>1803</v>
      </c>
      <c r="C3304" t="s">
        <v>1257</v>
      </c>
    </row>
    <row r="3305" spans="1:3">
      <c r="A3305">
        <v>91900</v>
      </c>
      <c r="B3305" t="s">
        <v>1803</v>
      </c>
      <c r="C3305" t="s">
        <v>1257</v>
      </c>
    </row>
    <row r="3306" spans="1:3">
      <c r="A3306">
        <v>58000</v>
      </c>
      <c r="B3306" t="s">
        <v>1803</v>
      </c>
      <c r="C3306" t="s">
        <v>1257</v>
      </c>
    </row>
    <row r="3307" spans="1:3">
      <c r="A3307">
        <v>238400</v>
      </c>
      <c r="B3307" t="s">
        <v>1803</v>
      </c>
      <c r="C3307" t="s">
        <v>1257</v>
      </c>
    </row>
    <row r="3308" spans="1:3">
      <c r="A3308">
        <v>659500</v>
      </c>
      <c r="C3308" t="s">
        <v>1257</v>
      </c>
    </row>
    <row r="3309" spans="1:3">
      <c r="A3309">
        <v>309500</v>
      </c>
      <c r="B3309" t="s">
        <v>1803</v>
      </c>
      <c r="C3309" t="s">
        <v>1257</v>
      </c>
    </row>
    <row r="3310" spans="1:3">
      <c r="A3310">
        <v>350000</v>
      </c>
      <c r="B3310" t="s">
        <v>1803</v>
      </c>
      <c r="C3310" t="s">
        <v>1257</v>
      </c>
    </row>
    <row r="3311" spans="1:3">
      <c r="A3311">
        <v>588000</v>
      </c>
      <c r="C3311" t="s">
        <v>1257</v>
      </c>
    </row>
    <row r="3312" spans="1:3">
      <c r="A3312">
        <v>588000</v>
      </c>
      <c r="B3312" t="s">
        <v>1803</v>
      </c>
      <c r="C3312" t="s">
        <v>1257</v>
      </c>
    </row>
    <row r="3313" spans="1:3">
      <c r="A3313">
        <v>1500000</v>
      </c>
      <c r="C3313" t="s">
        <v>1257</v>
      </c>
    </row>
    <row r="3314" spans="1:3">
      <c r="A3314">
        <v>1500000</v>
      </c>
      <c r="B3314" t="s">
        <v>1803</v>
      </c>
      <c r="C3314" t="s">
        <v>1257</v>
      </c>
    </row>
    <row r="3315" spans="1:3">
      <c r="A3315">
        <v>1385200</v>
      </c>
      <c r="C3315" t="s">
        <v>1257</v>
      </c>
    </row>
    <row r="3316" spans="1:3">
      <c r="A3316">
        <v>1385200</v>
      </c>
      <c r="B3316" t="s">
        <v>1803</v>
      </c>
      <c r="C3316" t="s">
        <v>1257</v>
      </c>
    </row>
    <row r="3317" spans="1:3">
      <c r="A3317">
        <v>8934400</v>
      </c>
      <c r="C3317" t="s">
        <v>1257</v>
      </c>
    </row>
    <row r="3318" spans="1:3">
      <c r="A3318">
        <v>8934400</v>
      </c>
      <c r="C3318" t="s">
        <v>1257</v>
      </c>
    </row>
    <row r="3319" spans="1:3">
      <c r="A3319">
        <v>82199900</v>
      </c>
      <c r="C3319" t="s">
        <v>1257</v>
      </c>
    </row>
    <row r="3320" spans="1:3">
      <c r="C3320" t="s">
        <v>1257</v>
      </c>
    </row>
    <row r="3321" spans="1:3">
      <c r="C3321" t="s">
        <v>1257</v>
      </c>
    </row>
    <row r="3322" spans="1:3">
      <c r="C3322" t="s">
        <v>1257</v>
      </c>
    </row>
    <row r="3323" spans="1:3">
      <c r="C3323" t="s">
        <v>1257</v>
      </c>
    </row>
    <row r="3324" spans="1:3">
      <c r="C3324" t="s">
        <v>1257</v>
      </c>
    </row>
    <row r="3325" spans="1:3">
      <c r="C3325" t="s">
        <v>1257</v>
      </c>
    </row>
    <row r="3326" spans="1:3">
      <c r="A3326">
        <v>0</v>
      </c>
      <c r="C3326" t="s">
        <v>1257</v>
      </c>
    </row>
    <row r="3327" spans="1:3">
      <c r="A3327">
        <v>0</v>
      </c>
      <c r="C3327" t="s">
        <v>1257</v>
      </c>
    </row>
    <row r="3328" spans="1:3">
      <c r="A3328">
        <v>253000</v>
      </c>
      <c r="C3328" t="s">
        <v>1257</v>
      </c>
    </row>
    <row r="3329" spans="1:3">
      <c r="A3329">
        <v>253000</v>
      </c>
      <c r="B3329" t="s">
        <v>1803</v>
      </c>
      <c r="C3329" t="s">
        <v>1257</v>
      </c>
    </row>
    <row r="3330" spans="1:3">
      <c r="A3330">
        <v>13393000</v>
      </c>
      <c r="C3330" t="s">
        <v>1257</v>
      </c>
    </row>
    <row r="3331" spans="1:3">
      <c r="A3331">
        <v>1160000</v>
      </c>
      <c r="B3331" t="s">
        <v>1803</v>
      </c>
      <c r="C3331" t="s">
        <v>1257</v>
      </c>
    </row>
    <row r="3332" spans="1:3">
      <c r="A3332">
        <v>3084000</v>
      </c>
      <c r="B3332" t="s">
        <v>1803</v>
      </c>
      <c r="C3332" t="s">
        <v>1257</v>
      </c>
    </row>
    <row r="3333" spans="1:3">
      <c r="A3333">
        <v>3769000</v>
      </c>
      <c r="B3333" t="s">
        <v>1803</v>
      </c>
      <c r="C3333" t="s">
        <v>1257</v>
      </c>
    </row>
    <row r="3334" spans="1:3">
      <c r="A3334">
        <v>870000</v>
      </c>
      <c r="B3334" t="s">
        <v>1803</v>
      </c>
      <c r="C3334" t="s">
        <v>1257</v>
      </c>
    </row>
    <row r="3335" spans="1:3">
      <c r="A3335">
        <v>4510000</v>
      </c>
      <c r="B3335" t="s">
        <v>1803</v>
      </c>
      <c r="C3335" t="s">
        <v>1257</v>
      </c>
    </row>
    <row r="3336" spans="1:3">
      <c r="A3336">
        <v>3528400</v>
      </c>
      <c r="C3336" t="s">
        <v>1257</v>
      </c>
    </row>
    <row r="3337" spans="1:3">
      <c r="A3337">
        <v>1576000</v>
      </c>
      <c r="B3337" t="s">
        <v>1803</v>
      </c>
      <c r="C3337" t="s">
        <v>1257</v>
      </c>
    </row>
    <row r="3338" spans="1:3">
      <c r="A3338">
        <v>96400</v>
      </c>
      <c r="B3338" t="s">
        <v>1803</v>
      </c>
      <c r="C3338" t="s">
        <v>1257</v>
      </c>
    </row>
    <row r="3339" spans="1:3">
      <c r="A3339">
        <v>1856000</v>
      </c>
      <c r="B3339" t="s">
        <v>1803</v>
      </c>
      <c r="C3339" t="s">
        <v>1257</v>
      </c>
    </row>
    <row r="3340" spans="1:3">
      <c r="A3340">
        <v>997685.18460000004</v>
      </c>
      <c r="C3340" t="s">
        <v>1257</v>
      </c>
    </row>
    <row r="3341" spans="1:3">
      <c r="A3341">
        <v>591685.18460000004</v>
      </c>
      <c r="B3341" t="s">
        <v>1803</v>
      </c>
      <c r="C3341" t="s">
        <v>1257</v>
      </c>
    </row>
    <row r="3342" spans="1:3">
      <c r="A3342">
        <v>290000</v>
      </c>
      <c r="B3342" t="s">
        <v>1803</v>
      </c>
      <c r="C3342" t="s">
        <v>1257</v>
      </c>
    </row>
    <row r="3343" spans="1:3">
      <c r="A3343">
        <v>116000</v>
      </c>
      <c r="B3343" t="s">
        <v>1803</v>
      </c>
      <c r="C3343" t="s">
        <v>1257</v>
      </c>
    </row>
    <row r="3344" spans="1:3">
      <c r="A3344">
        <v>696000</v>
      </c>
      <c r="C3344" t="s">
        <v>1257</v>
      </c>
    </row>
    <row r="3345" spans="1:3">
      <c r="A3345">
        <v>696000</v>
      </c>
      <c r="B3345" t="s">
        <v>1803</v>
      </c>
      <c r="C3345" t="s">
        <v>1257</v>
      </c>
    </row>
    <row r="3346" spans="1:3">
      <c r="A3346">
        <v>878000</v>
      </c>
      <c r="C3346" t="s">
        <v>1257</v>
      </c>
    </row>
    <row r="3347" spans="1:3">
      <c r="A3347">
        <v>261000</v>
      </c>
      <c r="B3347" t="s">
        <v>1803</v>
      </c>
      <c r="C3347" t="s">
        <v>1257</v>
      </c>
    </row>
    <row r="3348" spans="1:3">
      <c r="A3348">
        <v>467000</v>
      </c>
      <c r="B3348" t="s">
        <v>1803</v>
      </c>
      <c r="C3348" t="s">
        <v>1257</v>
      </c>
    </row>
    <row r="3349" spans="1:3">
      <c r="A3349">
        <v>150000</v>
      </c>
      <c r="B3349" t="s">
        <v>1803</v>
      </c>
      <c r="C3349" t="s">
        <v>1257</v>
      </c>
    </row>
    <row r="3350" spans="1:3">
      <c r="A3350">
        <v>8399200</v>
      </c>
      <c r="C3350" t="s">
        <v>1257</v>
      </c>
    </row>
    <row r="3351" spans="1:3">
      <c r="A3351">
        <v>8399200</v>
      </c>
      <c r="B3351" t="s">
        <v>1803</v>
      </c>
      <c r="C3351" t="s">
        <v>1257</v>
      </c>
    </row>
    <row r="3352" spans="1:3">
      <c r="A3352">
        <v>10575000</v>
      </c>
      <c r="C3352" t="s">
        <v>1257</v>
      </c>
    </row>
    <row r="3353" spans="1:3">
      <c r="A3353">
        <v>7688000</v>
      </c>
      <c r="B3353" t="s">
        <v>1803</v>
      </c>
      <c r="C3353" t="s">
        <v>1257</v>
      </c>
    </row>
    <row r="3354" spans="1:3">
      <c r="A3354">
        <v>487000</v>
      </c>
      <c r="B3354" t="s">
        <v>1803</v>
      </c>
      <c r="C3354" t="s">
        <v>1257</v>
      </c>
    </row>
    <row r="3355" spans="1:3">
      <c r="A3355">
        <v>2400000</v>
      </c>
      <c r="B3355" t="s">
        <v>1803</v>
      </c>
      <c r="C3355" t="s">
        <v>1257</v>
      </c>
    </row>
    <row r="3356" spans="1:3">
      <c r="A3356">
        <v>7494000</v>
      </c>
      <c r="C3356" t="s">
        <v>1257</v>
      </c>
    </row>
    <row r="3357" spans="1:3">
      <c r="A3357">
        <v>2700000</v>
      </c>
      <c r="B3357" t="s">
        <v>1803</v>
      </c>
      <c r="C3357" t="s">
        <v>1257</v>
      </c>
    </row>
    <row r="3358" spans="1:3">
      <c r="A3358">
        <v>4794000</v>
      </c>
      <c r="B3358" t="s">
        <v>1803</v>
      </c>
      <c r="C3358" t="s">
        <v>1257</v>
      </c>
    </row>
    <row r="3359" spans="1:3">
      <c r="A3359">
        <v>15697934</v>
      </c>
      <c r="C3359" t="s">
        <v>1257</v>
      </c>
    </row>
    <row r="3360" spans="1:3">
      <c r="A3360">
        <v>2690000</v>
      </c>
      <c r="B3360" t="s">
        <v>1803</v>
      </c>
      <c r="C3360" t="s">
        <v>1257</v>
      </c>
    </row>
    <row r="3361" spans="1:3">
      <c r="A3361">
        <v>13007934</v>
      </c>
      <c r="B3361" t="s">
        <v>1803</v>
      </c>
      <c r="C3361" t="s">
        <v>1257</v>
      </c>
    </row>
    <row r="3362" spans="1:3">
      <c r="A3362">
        <v>0</v>
      </c>
      <c r="C3362" t="s">
        <v>1257</v>
      </c>
    </row>
    <row r="3363" spans="1:3">
      <c r="A3363">
        <v>0</v>
      </c>
      <c r="C3363" t="s">
        <v>1257</v>
      </c>
    </row>
    <row r="3364" spans="1:3">
      <c r="A3364">
        <v>3764041</v>
      </c>
      <c r="C3364" t="s">
        <v>1257</v>
      </c>
    </row>
    <row r="3365" spans="1:3">
      <c r="A3365">
        <v>974000</v>
      </c>
      <c r="B3365" t="s">
        <v>1803</v>
      </c>
      <c r="C3365" t="s">
        <v>1257</v>
      </c>
    </row>
    <row r="3366" spans="1:3">
      <c r="A3366">
        <v>1144000</v>
      </c>
      <c r="B3366" t="s">
        <v>1803</v>
      </c>
      <c r="C3366" t="s">
        <v>1257</v>
      </c>
    </row>
    <row r="3367" spans="1:3">
      <c r="A3367">
        <v>1646041</v>
      </c>
      <c r="B3367" t="s">
        <v>1803</v>
      </c>
      <c r="C3367" t="s">
        <v>1257</v>
      </c>
    </row>
    <row r="3368" spans="1:3">
      <c r="A3368">
        <v>0</v>
      </c>
      <c r="C3368" t="s">
        <v>1257</v>
      </c>
    </row>
    <row r="3369" spans="1:3">
      <c r="A3369">
        <v>65676260.184599996</v>
      </c>
      <c r="C3369" t="s">
        <v>1257</v>
      </c>
    </row>
    <row r="3370" spans="1:3">
      <c r="A3370">
        <v>65676260.184599996</v>
      </c>
      <c r="C3370" t="s">
        <v>1257</v>
      </c>
    </row>
    <row r="3371" spans="1:3">
      <c r="C3371" t="s">
        <v>1257</v>
      </c>
    </row>
    <row r="3372" spans="1:3">
      <c r="A3372" t="s">
        <v>620</v>
      </c>
      <c r="C3372" t="s">
        <v>1257</v>
      </c>
    </row>
    <row r="3373" spans="1:3">
      <c r="A3373">
        <v>116000</v>
      </c>
      <c r="C3373" t="s">
        <v>1257</v>
      </c>
    </row>
    <row r="3374" spans="1:3">
      <c r="A3374">
        <v>116000</v>
      </c>
      <c r="B3374" t="s">
        <v>1803</v>
      </c>
      <c r="C3374" t="s">
        <v>1257</v>
      </c>
    </row>
    <row r="3375" spans="1:3">
      <c r="A3375">
        <v>3643000</v>
      </c>
      <c r="C3375" t="s">
        <v>1257</v>
      </c>
    </row>
    <row r="3376" spans="1:3">
      <c r="A3376">
        <v>1740000</v>
      </c>
      <c r="B3376" t="s">
        <v>1803</v>
      </c>
      <c r="C3376" t="s">
        <v>1257</v>
      </c>
    </row>
    <row r="3377" spans="1:3">
      <c r="A3377">
        <v>1798000</v>
      </c>
      <c r="B3377" t="s">
        <v>1803</v>
      </c>
      <c r="C3377" t="s">
        <v>1257</v>
      </c>
    </row>
    <row r="3378" spans="1:3">
      <c r="A3378">
        <v>105000</v>
      </c>
      <c r="B3378" t="s">
        <v>1803</v>
      </c>
      <c r="C3378" t="s">
        <v>1257</v>
      </c>
    </row>
    <row r="3379" spans="1:3">
      <c r="A3379">
        <v>220400</v>
      </c>
      <c r="C3379" t="s">
        <v>1257</v>
      </c>
    </row>
    <row r="3380" spans="1:3">
      <c r="A3380">
        <v>220400</v>
      </c>
      <c r="B3380" t="s">
        <v>1803</v>
      </c>
      <c r="C3380" t="s">
        <v>1257</v>
      </c>
    </row>
    <row r="3381" spans="1:3">
      <c r="A3381">
        <v>6446200</v>
      </c>
      <c r="C3381" t="s">
        <v>1257</v>
      </c>
    </row>
    <row r="3382" spans="1:3">
      <c r="A3382">
        <v>2656200</v>
      </c>
      <c r="B3382" t="s">
        <v>1803</v>
      </c>
      <c r="C3382" t="s">
        <v>1257</v>
      </c>
    </row>
    <row r="3383" spans="1:3">
      <c r="A3383">
        <v>1290000</v>
      </c>
      <c r="B3383" t="s">
        <v>1803</v>
      </c>
      <c r="C3383" t="s">
        <v>1257</v>
      </c>
    </row>
    <row r="3384" spans="1:3">
      <c r="A3384">
        <v>2500000</v>
      </c>
      <c r="B3384" t="s">
        <v>1803</v>
      </c>
      <c r="C3384" t="s">
        <v>1257</v>
      </c>
    </row>
    <row r="3385" spans="1:3">
      <c r="A3385">
        <v>2436000</v>
      </c>
      <c r="C3385" t="s">
        <v>1257</v>
      </c>
    </row>
    <row r="3386" spans="1:3">
      <c r="A3386">
        <v>406000</v>
      </c>
      <c r="B3386" t="s">
        <v>1803</v>
      </c>
      <c r="C3386" t="s">
        <v>1257</v>
      </c>
    </row>
    <row r="3387" spans="1:3">
      <c r="A3387">
        <v>2030000</v>
      </c>
      <c r="B3387" t="s">
        <v>1803</v>
      </c>
      <c r="C3387" t="s">
        <v>1257</v>
      </c>
    </row>
    <row r="3388" spans="1:3">
      <c r="A3388">
        <v>261000</v>
      </c>
      <c r="C3388" t="s">
        <v>1257</v>
      </c>
    </row>
    <row r="3389" spans="1:3">
      <c r="A3389">
        <v>145000</v>
      </c>
      <c r="B3389" t="s">
        <v>1803</v>
      </c>
      <c r="C3389" t="s">
        <v>1257</v>
      </c>
    </row>
    <row r="3390" spans="1:3">
      <c r="A3390">
        <v>116000</v>
      </c>
      <c r="B3390" t="s">
        <v>1803</v>
      </c>
      <c r="C3390" t="s">
        <v>1257</v>
      </c>
    </row>
    <row r="3391" spans="1:3">
      <c r="A3391">
        <v>435000</v>
      </c>
      <c r="C3391" t="s">
        <v>1257</v>
      </c>
    </row>
    <row r="3392" spans="1:3">
      <c r="A3392">
        <v>435000</v>
      </c>
      <c r="B3392" t="s">
        <v>1803</v>
      </c>
      <c r="C3392" t="s">
        <v>1257</v>
      </c>
    </row>
    <row r="3393" spans="1:3">
      <c r="A3393">
        <v>290000</v>
      </c>
      <c r="C3393" t="s">
        <v>1257</v>
      </c>
    </row>
    <row r="3394" spans="1:3">
      <c r="A3394">
        <v>290000</v>
      </c>
      <c r="B3394" t="s">
        <v>1803</v>
      </c>
      <c r="C3394" t="s">
        <v>1257</v>
      </c>
    </row>
    <row r="3395" spans="1:3">
      <c r="A3395">
        <v>1209600</v>
      </c>
      <c r="C3395" t="s">
        <v>1257</v>
      </c>
    </row>
    <row r="3396" spans="1:3">
      <c r="A3396">
        <v>208800</v>
      </c>
      <c r="B3396" t="s">
        <v>1803</v>
      </c>
      <c r="C3396" t="s">
        <v>1257</v>
      </c>
    </row>
    <row r="3397" spans="1:3">
      <c r="A3397">
        <v>1000800</v>
      </c>
      <c r="B3397" t="s">
        <v>1803</v>
      </c>
      <c r="C3397" t="s">
        <v>1257</v>
      </c>
    </row>
    <row r="3398" spans="1:3">
      <c r="A3398">
        <v>15057200</v>
      </c>
      <c r="C3398" t="s">
        <v>1257</v>
      </c>
    </row>
    <row r="3399" spans="1:3">
      <c r="A3399">
        <v>15057200</v>
      </c>
      <c r="C3399" t="s">
        <v>1257</v>
      </c>
    </row>
    <row r="3400" spans="1:3">
      <c r="C3400" t="s">
        <v>1257</v>
      </c>
    </row>
    <row r="3401" spans="1:3">
      <c r="C3401" t="s">
        <v>1257</v>
      </c>
    </row>
    <row r="3402" spans="1:3">
      <c r="A3402">
        <v>522000</v>
      </c>
      <c r="C3402" t="s">
        <v>1257</v>
      </c>
    </row>
    <row r="3403" spans="1:3">
      <c r="A3403">
        <v>232000</v>
      </c>
      <c r="B3403" t="s">
        <v>1803</v>
      </c>
      <c r="C3403" t="s">
        <v>1257</v>
      </c>
    </row>
    <row r="3404" spans="1:3">
      <c r="A3404">
        <v>290000</v>
      </c>
      <c r="B3404" t="s">
        <v>1803</v>
      </c>
      <c r="C3404" t="s">
        <v>1257</v>
      </c>
    </row>
    <row r="3405" spans="1:3">
      <c r="A3405">
        <v>5602000</v>
      </c>
      <c r="C3405" t="s">
        <v>1257</v>
      </c>
    </row>
    <row r="3406" spans="1:3">
      <c r="A3406">
        <v>1038000</v>
      </c>
      <c r="B3406" t="s">
        <v>1803</v>
      </c>
      <c r="C3406" t="s">
        <v>1257</v>
      </c>
    </row>
    <row r="3407" spans="1:3">
      <c r="A3407">
        <v>1762000</v>
      </c>
      <c r="B3407" t="s">
        <v>1803</v>
      </c>
      <c r="C3407" t="s">
        <v>1257</v>
      </c>
    </row>
    <row r="3408" spans="1:3">
      <c r="A3408">
        <v>2541000</v>
      </c>
      <c r="B3408" t="s">
        <v>1803</v>
      </c>
      <c r="C3408" t="s">
        <v>1257</v>
      </c>
    </row>
    <row r="3409" spans="1:3">
      <c r="A3409">
        <v>261000</v>
      </c>
      <c r="B3409" t="s">
        <v>1803</v>
      </c>
      <c r="C3409" t="s">
        <v>1257</v>
      </c>
    </row>
    <row r="3410" spans="1:3">
      <c r="A3410">
        <v>1377400</v>
      </c>
      <c r="C3410" t="s">
        <v>1257</v>
      </c>
    </row>
    <row r="3411" spans="1:3">
      <c r="A3411">
        <v>652400</v>
      </c>
      <c r="B3411" t="s">
        <v>1803</v>
      </c>
      <c r="C3411" t="s">
        <v>1257</v>
      </c>
    </row>
    <row r="3412" spans="1:3">
      <c r="A3412">
        <v>232000</v>
      </c>
      <c r="B3412" t="s">
        <v>1803</v>
      </c>
      <c r="C3412" t="s">
        <v>1257</v>
      </c>
    </row>
    <row r="3413" spans="1:3">
      <c r="A3413">
        <v>493000</v>
      </c>
      <c r="B3413" t="s">
        <v>1803</v>
      </c>
      <c r="C3413" t="s">
        <v>1257</v>
      </c>
    </row>
    <row r="3414" spans="1:3">
      <c r="A3414">
        <v>4662000</v>
      </c>
      <c r="C3414" t="s">
        <v>1257</v>
      </c>
    </row>
    <row r="3415" spans="1:3">
      <c r="A3415">
        <v>661000</v>
      </c>
      <c r="B3415" t="s">
        <v>1803</v>
      </c>
      <c r="C3415" t="s">
        <v>1257</v>
      </c>
    </row>
    <row r="3416" spans="1:3">
      <c r="A3416">
        <v>2011000</v>
      </c>
      <c r="B3416" t="s">
        <v>1803</v>
      </c>
      <c r="C3416" t="s">
        <v>1257</v>
      </c>
    </row>
    <row r="3417" spans="1:3">
      <c r="A3417">
        <v>1240000</v>
      </c>
      <c r="B3417" t="s">
        <v>1803</v>
      </c>
      <c r="C3417" t="s">
        <v>1257</v>
      </c>
    </row>
    <row r="3418" spans="1:3">
      <c r="A3418">
        <v>750000</v>
      </c>
      <c r="B3418" t="s">
        <v>1803</v>
      </c>
      <c r="C3418" t="s">
        <v>1257</v>
      </c>
    </row>
    <row r="3419" spans="1:3">
      <c r="A3419">
        <v>2200910</v>
      </c>
      <c r="C3419" t="s">
        <v>1257</v>
      </c>
    </row>
    <row r="3420" spans="1:3">
      <c r="A3420">
        <v>1159910</v>
      </c>
      <c r="B3420" t="s">
        <v>1803</v>
      </c>
      <c r="C3420" t="s">
        <v>1257</v>
      </c>
    </row>
    <row r="3421" spans="1:3">
      <c r="A3421">
        <v>1041000</v>
      </c>
      <c r="B3421" t="s">
        <v>1803</v>
      </c>
      <c r="C3421" t="s">
        <v>1257</v>
      </c>
    </row>
    <row r="3422" spans="1:3">
      <c r="A3422">
        <v>2164217</v>
      </c>
      <c r="C3422" t="s">
        <v>1257</v>
      </c>
    </row>
    <row r="3423" spans="1:3">
      <c r="A3423">
        <v>986000</v>
      </c>
      <c r="B3423" t="s">
        <v>1803</v>
      </c>
      <c r="C3423" t="s">
        <v>1257</v>
      </c>
    </row>
    <row r="3424" spans="1:3">
      <c r="A3424">
        <v>851000</v>
      </c>
      <c r="B3424" t="s">
        <v>1803</v>
      </c>
      <c r="C3424" t="s">
        <v>1257</v>
      </c>
    </row>
    <row r="3425" spans="1:3">
      <c r="A3425">
        <v>327217</v>
      </c>
      <c r="B3425" t="s">
        <v>1803</v>
      </c>
      <c r="C3425" t="s">
        <v>1257</v>
      </c>
    </row>
    <row r="3426" spans="1:3">
      <c r="A3426">
        <v>1764000</v>
      </c>
      <c r="C3426" t="s">
        <v>1257</v>
      </c>
    </row>
    <row r="3427" spans="1:3">
      <c r="A3427">
        <v>964000</v>
      </c>
      <c r="B3427" t="s">
        <v>1803</v>
      </c>
      <c r="C3427" t="s">
        <v>1257</v>
      </c>
    </row>
    <row r="3428" spans="1:3">
      <c r="A3428">
        <v>800000</v>
      </c>
      <c r="B3428" t="s">
        <v>1803</v>
      </c>
      <c r="C3428" t="s">
        <v>1257</v>
      </c>
    </row>
    <row r="3429" spans="1:3">
      <c r="A3429">
        <v>1867100</v>
      </c>
      <c r="C3429" t="s">
        <v>1257</v>
      </c>
    </row>
    <row r="3430" spans="1:3">
      <c r="A3430">
        <v>623100</v>
      </c>
      <c r="B3430" t="s">
        <v>1803</v>
      </c>
      <c r="C3430" t="s">
        <v>1257</v>
      </c>
    </row>
    <row r="3431" spans="1:3">
      <c r="A3431">
        <v>693000</v>
      </c>
      <c r="B3431" t="s">
        <v>1803</v>
      </c>
      <c r="C3431" t="s">
        <v>1257</v>
      </c>
    </row>
    <row r="3432" spans="1:3">
      <c r="A3432">
        <v>551000</v>
      </c>
      <c r="B3432" t="s">
        <v>1803</v>
      </c>
      <c r="C3432" t="s">
        <v>1257</v>
      </c>
    </row>
    <row r="3433" spans="1:3">
      <c r="A3433">
        <v>928000</v>
      </c>
      <c r="C3433" t="s">
        <v>1257</v>
      </c>
    </row>
    <row r="3434" spans="1:3">
      <c r="A3434">
        <v>928000</v>
      </c>
      <c r="B3434" t="s">
        <v>1803</v>
      </c>
      <c r="C3434" t="s">
        <v>1257</v>
      </c>
    </row>
    <row r="3435" spans="1:3">
      <c r="A3435">
        <v>996000</v>
      </c>
      <c r="C3435" t="s">
        <v>1257</v>
      </c>
    </row>
    <row r="3436" spans="1:3">
      <c r="A3436">
        <v>203000</v>
      </c>
      <c r="B3436" t="s">
        <v>1803</v>
      </c>
      <c r="C3436" t="s">
        <v>1257</v>
      </c>
    </row>
    <row r="3437" spans="1:3">
      <c r="A3437">
        <v>319000</v>
      </c>
      <c r="B3437" t="s">
        <v>1803</v>
      </c>
      <c r="C3437" t="s">
        <v>1257</v>
      </c>
    </row>
    <row r="3438" spans="1:3">
      <c r="A3438">
        <v>474000</v>
      </c>
      <c r="B3438" t="s">
        <v>1803</v>
      </c>
      <c r="C3438" t="s">
        <v>1257</v>
      </c>
    </row>
    <row r="3439" spans="1:3">
      <c r="A3439">
        <v>3290990</v>
      </c>
      <c r="C3439" t="s">
        <v>1257</v>
      </c>
    </row>
    <row r="3440" spans="1:3">
      <c r="A3440">
        <v>687900</v>
      </c>
      <c r="B3440" t="s">
        <v>1803</v>
      </c>
      <c r="C3440" t="s">
        <v>1257</v>
      </c>
    </row>
    <row r="3441" spans="1:3">
      <c r="A3441">
        <v>1646090</v>
      </c>
      <c r="B3441" t="s">
        <v>1803</v>
      </c>
      <c r="C3441" t="s">
        <v>1257</v>
      </c>
    </row>
    <row r="3442" spans="1:3">
      <c r="A3442">
        <v>261000</v>
      </c>
      <c r="B3442" t="s">
        <v>1803</v>
      </c>
      <c r="C3442" t="s">
        <v>1257</v>
      </c>
    </row>
    <row r="3443" spans="1:3">
      <c r="A3443">
        <v>696000</v>
      </c>
      <c r="B3443" t="s">
        <v>1803</v>
      </c>
      <c r="C3443" t="s">
        <v>1257</v>
      </c>
    </row>
    <row r="3444" spans="1:3">
      <c r="A3444">
        <v>25374617</v>
      </c>
      <c r="C3444" t="s">
        <v>1257</v>
      </c>
    </row>
    <row r="3445" spans="1:3">
      <c r="C3445" t="s">
        <v>1257</v>
      </c>
    </row>
    <row r="3446" spans="1:3">
      <c r="C3446" t="s">
        <v>1257</v>
      </c>
    </row>
    <row r="3447" spans="1:3">
      <c r="C3447" t="s">
        <v>1257</v>
      </c>
    </row>
    <row r="3448" spans="1:3">
      <c r="A3448">
        <v>332000</v>
      </c>
      <c r="C3448" t="s">
        <v>1257</v>
      </c>
    </row>
    <row r="3449" spans="1:3">
      <c r="A3449">
        <v>332000</v>
      </c>
      <c r="B3449" t="s">
        <v>1803</v>
      </c>
      <c r="C3449" t="s">
        <v>1257</v>
      </c>
    </row>
    <row r="3450" spans="1:3">
      <c r="A3450">
        <v>2664000</v>
      </c>
      <c r="C3450" t="s">
        <v>1257</v>
      </c>
    </row>
    <row r="3451" spans="1:3">
      <c r="A3451">
        <v>764000</v>
      </c>
      <c r="B3451" t="s">
        <v>1803</v>
      </c>
      <c r="C3451" t="s">
        <v>1257</v>
      </c>
    </row>
    <row r="3452" spans="1:3">
      <c r="A3452">
        <v>856000</v>
      </c>
      <c r="B3452" t="s">
        <v>1803</v>
      </c>
      <c r="C3452" t="s">
        <v>1257</v>
      </c>
    </row>
    <row r="3453" spans="1:3">
      <c r="A3453">
        <v>1044000</v>
      </c>
      <c r="B3453" t="s">
        <v>1803</v>
      </c>
      <c r="C3453" t="s">
        <v>1257</v>
      </c>
    </row>
    <row r="3454" spans="1:3">
      <c r="A3454">
        <v>667000</v>
      </c>
      <c r="C3454" t="s">
        <v>1257</v>
      </c>
    </row>
    <row r="3455" spans="1:3">
      <c r="A3455">
        <v>667000</v>
      </c>
      <c r="B3455" t="s">
        <v>1803</v>
      </c>
      <c r="C3455" t="s">
        <v>1257</v>
      </c>
    </row>
    <row r="3456" spans="1:3">
      <c r="A3456">
        <v>4842000</v>
      </c>
      <c r="C3456" t="s">
        <v>1257</v>
      </c>
    </row>
    <row r="3457" spans="1:3">
      <c r="A3457">
        <v>2330000</v>
      </c>
      <c r="B3457" t="s">
        <v>1803</v>
      </c>
      <c r="C3457" t="s">
        <v>1257</v>
      </c>
    </row>
    <row r="3458" spans="1:3">
      <c r="A3458">
        <v>950000</v>
      </c>
      <c r="B3458" t="s">
        <v>1803</v>
      </c>
      <c r="C3458" t="s">
        <v>1257</v>
      </c>
    </row>
    <row r="3459" spans="1:3">
      <c r="A3459">
        <v>1562000</v>
      </c>
      <c r="B3459" t="s">
        <v>1803</v>
      </c>
      <c r="C3459" t="s">
        <v>1257</v>
      </c>
    </row>
    <row r="3460" spans="1:3">
      <c r="A3460">
        <v>1014908</v>
      </c>
      <c r="C3460" t="s">
        <v>1257</v>
      </c>
    </row>
    <row r="3461" spans="1:3">
      <c r="A3461">
        <v>343308</v>
      </c>
      <c r="B3461" t="s">
        <v>1803</v>
      </c>
      <c r="C3461" t="s">
        <v>1257</v>
      </c>
    </row>
    <row r="3462" spans="1:3">
      <c r="A3462">
        <v>575000</v>
      </c>
      <c r="B3462" t="s">
        <v>1803</v>
      </c>
      <c r="C3462" t="s">
        <v>1257</v>
      </c>
    </row>
    <row r="3463" spans="1:3">
      <c r="A3463">
        <v>96600</v>
      </c>
      <c r="B3463" t="s">
        <v>1803</v>
      </c>
      <c r="C3463" t="s">
        <v>1257</v>
      </c>
    </row>
    <row r="3464" spans="1:3">
      <c r="A3464">
        <v>966800</v>
      </c>
      <c r="C3464" t="s">
        <v>1257</v>
      </c>
    </row>
    <row r="3465" spans="1:3">
      <c r="A3465">
        <v>966800</v>
      </c>
      <c r="B3465" t="s">
        <v>1803</v>
      </c>
      <c r="C3465" t="s">
        <v>1257</v>
      </c>
    </row>
    <row r="3466" spans="1:3">
      <c r="A3466">
        <v>556546</v>
      </c>
      <c r="C3466" t="s">
        <v>1257</v>
      </c>
    </row>
    <row r="3467" spans="1:3">
      <c r="A3467">
        <v>556546</v>
      </c>
      <c r="B3467" t="s">
        <v>1803</v>
      </c>
      <c r="C3467" t="s">
        <v>1257</v>
      </c>
    </row>
    <row r="3468" spans="1:3">
      <c r="A3468">
        <v>1806146</v>
      </c>
      <c r="C3468" t="s">
        <v>1257</v>
      </c>
    </row>
    <row r="3469" spans="1:3">
      <c r="A3469">
        <v>1806146</v>
      </c>
      <c r="B3469" t="s">
        <v>1803</v>
      </c>
      <c r="C3469" t="s">
        <v>1257</v>
      </c>
    </row>
    <row r="3470" spans="1:3">
      <c r="A3470">
        <v>12849400</v>
      </c>
      <c r="C3470" t="s">
        <v>1257</v>
      </c>
    </row>
    <row r="3471" spans="1:3">
      <c r="A3471">
        <v>12849400</v>
      </c>
      <c r="C3471" t="s">
        <v>1257</v>
      </c>
    </row>
    <row r="3472" spans="1:3">
      <c r="A3472">
        <v>118957477.1846</v>
      </c>
      <c r="C3472" t="s">
        <v>1257</v>
      </c>
    </row>
    <row r="3473" spans="1:3">
      <c r="A3473">
        <v>486850579</v>
      </c>
      <c r="C3473" t="s">
        <v>1257</v>
      </c>
    </row>
    <row r="3474" spans="1:3">
      <c r="A3474">
        <v>57500000</v>
      </c>
      <c r="C3474" t="s">
        <v>1257</v>
      </c>
    </row>
    <row r="3475" spans="1:3">
      <c r="A3475">
        <v>544350579</v>
      </c>
      <c r="C3475" t="s">
        <v>1257</v>
      </c>
    </row>
    <row r="3480" spans="1:3">
      <c r="C3480" t="s">
        <v>660</v>
      </c>
    </row>
    <row r="3481" spans="1:3">
      <c r="A3481">
        <v>29665152.04831427</v>
      </c>
      <c r="C3481" t="s">
        <v>660</v>
      </c>
    </row>
    <row r="3482" spans="1:3">
      <c r="A3482">
        <v>29665152.04831427</v>
      </c>
      <c r="B3482" t="s">
        <v>1803</v>
      </c>
      <c r="C3482" t="s">
        <v>660</v>
      </c>
    </row>
    <row r="3483" spans="1:3">
      <c r="A3483">
        <v>310000</v>
      </c>
      <c r="C3483" t="s">
        <v>660</v>
      </c>
    </row>
    <row r="3484" spans="1:3">
      <c r="A3484">
        <v>230000</v>
      </c>
      <c r="B3484" t="s">
        <v>1803</v>
      </c>
      <c r="C3484" t="s">
        <v>660</v>
      </c>
    </row>
    <row r="3485" spans="1:3">
      <c r="A3485">
        <v>80000</v>
      </c>
      <c r="B3485" t="s">
        <v>1803</v>
      </c>
      <c r="C3485" t="s">
        <v>660</v>
      </c>
    </row>
    <row r="3486" spans="1:3">
      <c r="A3486">
        <v>650000</v>
      </c>
      <c r="C3486" t="s">
        <v>660</v>
      </c>
    </row>
    <row r="3487" spans="1:3">
      <c r="A3487">
        <v>550000</v>
      </c>
      <c r="B3487" t="s">
        <v>1803</v>
      </c>
      <c r="C3487" t="s">
        <v>660</v>
      </c>
    </row>
    <row r="3488" spans="1:3">
      <c r="A3488">
        <v>50000</v>
      </c>
      <c r="B3488" t="s">
        <v>1803</v>
      </c>
      <c r="C3488" t="s">
        <v>660</v>
      </c>
    </row>
    <row r="3489" spans="1:3">
      <c r="A3489">
        <v>50000</v>
      </c>
      <c r="B3489" t="s">
        <v>1803</v>
      </c>
      <c r="C3489" t="s">
        <v>660</v>
      </c>
    </row>
    <row r="3490" spans="1:3">
      <c r="A3490">
        <v>2750000</v>
      </c>
      <c r="C3490" t="s">
        <v>660</v>
      </c>
    </row>
    <row r="3491" spans="1:3">
      <c r="A3491">
        <v>900000</v>
      </c>
      <c r="B3491" t="s">
        <v>1803</v>
      </c>
      <c r="C3491" t="s">
        <v>660</v>
      </c>
    </row>
    <row r="3492" spans="1:3">
      <c r="A3492">
        <v>750000</v>
      </c>
      <c r="B3492" t="s">
        <v>1803</v>
      </c>
      <c r="C3492" t="s">
        <v>660</v>
      </c>
    </row>
    <row r="3493" spans="1:3">
      <c r="A3493">
        <v>1100000</v>
      </c>
      <c r="B3493" t="s">
        <v>1803</v>
      </c>
      <c r="C3493" t="s">
        <v>660</v>
      </c>
    </row>
    <row r="3494" spans="1:3">
      <c r="A3494">
        <v>3900000</v>
      </c>
      <c r="C3494" t="s">
        <v>660</v>
      </c>
    </row>
    <row r="3495" spans="1:3">
      <c r="A3495">
        <v>700000</v>
      </c>
      <c r="B3495" t="s">
        <v>1803</v>
      </c>
      <c r="C3495" t="s">
        <v>660</v>
      </c>
    </row>
    <row r="3496" spans="1:3">
      <c r="A3496">
        <v>2700000</v>
      </c>
      <c r="B3496" t="s">
        <v>1803</v>
      </c>
      <c r="C3496" t="s">
        <v>660</v>
      </c>
    </row>
    <row r="3497" spans="1:3">
      <c r="A3497">
        <v>500000</v>
      </c>
      <c r="B3497" t="s">
        <v>1803</v>
      </c>
      <c r="C3497" t="s">
        <v>660</v>
      </c>
    </row>
    <row r="3498" spans="1:3">
      <c r="A3498">
        <v>550000</v>
      </c>
      <c r="C3498" t="s">
        <v>660</v>
      </c>
    </row>
    <row r="3499" spans="1:3">
      <c r="A3499">
        <v>150000</v>
      </c>
      <c r="B3499" t="s">
        <v>1803</v>
      </c>
      <c r="C3499" t="s">
        <v>660</v>
      </c>
    </row>
    <row r="3500" spans="1:3">
      <c r="A3500">
        <v>200000</v>
      </c>
      <c r="B3500" t="s">
        <v>1803</v>
      </c>
      <c r="C3500" t="s">
        <v>660</v>
      </c>
    </row>
    <row r="3501" spans="1:3">
      <c r="A3501">
        <v>200000</v>
      </c>
      <c r="B3501" t="s">
        <v>1803</v>
      </c>
      <c r="C3501" t="s">
        <v>660</v>
      </c>
    </row>
    <row r="3502" spans="1:3">
      <c r="A3502">
        <v>411000</v>
      </c>
      <c r="C3502" t="s">
        <v>660</v>
      </c>
    </row>
    <row r="3503" spans="1:3">
      <c r="A3503">
        <v>411000</v>
      </c>
      <c r="B3503" t="s">
        <v>1803</v>
      </c>
      <c r="C3503" t="s">
        <v>660</v>
      </c>
    </row>
    <row r="3504" spans="1:3">
      <c r="A3504">
        <v>1290000</v>
      </c>
      <c r="C3504" t="s">
        <v>660</v>
      </c>
    </row>
    <row r="3505" spans="1:3">
      <c r="A3505">
        <v>100000</v>
      </c>
      <c r="B3505" t="s">
        <v>1803</v>
      </c>
      <c r="C3505" t="s">
        <v>660</v>
      </c>
    </row>
    <row r="3506" spans="1:3">
      <c r="A3506">
        <v>40000</v>
      </c>
      <c r="B3506" t="s">
        <v>1803</v>
      </c>
      <c r="C3506" t="s">
        <v>660</v>
      </c>
    </row>
    <row r="3507" spans="1:3">
      <c r="A3507">
        <v>700000</v>
      </c>
      <c r="B3507" t="s">
        <v>1803</v>
      </c>
      <c r="C3507" t="s">
        <v>660</v>
      </c>
    </row>
    <row r="3508" spans="1:3">
      <c r="A3508">
        <v>200000</v>
      </c>
      <c r="B3508" t="s">
        <v>1803</v>
      </c>
      <c r="C3508" t="s">
        <v>660</v>
      </c>
    </row>
    <row r="3509" spans="1:3">
      <c r="A3509">
        <v>50000</v>
      </c>
      <c r="B3509" t="s">
        <v>1803</v>
      </c>
      <c r="C3509" t="s">
        <v>660</v>
      </c>
    </row>
    <row r="3510" spans="1:3">
      <c r="A3510">
        <v>200000</v>
      </c>
      <c r="B3510" t="s">
        <v>1803</v>
      </c>
      <c r="C3510" t="s">
        <v>660</v>
      </c>
    </row>
    <row r="3511" spans="1:3">
      <c r="A3511">
        <v>1025000</v>
      </c>
      <c r="C3511" t="s">
        <v>660</v>
      </c>
    </row>
    <row r="3512" spans="1:3">
      <c r="A3512">
        <v>625000</v>
      </c>
      <c r="B3512" t="s">
        <v>1803</v>
      </c>
      <c r="C3512" t="s">
        <v>660</v>
      </c>
    </row>
    <row r="3513" spans="1:3">
      <c r="A3513">
        <v>400000</v>
      </c>
      <c r="B3513" t="s">
        <v>1803</v>
      </c>
      <c r="C3513" t="s">
        <v>660</v>
      </c>
    </row>
    <row r="3514" spans="1:3">
      <c r="A3514">
        <v>60000</v>
      </c>
      <c r="C3514" t="s">
        <v>660</v>
      </c>
    </row>
    <row r="3515" spans="1:3">
      <c r="A3515">
        <v>60000</v>
      </c>
      <c r="B3515" t="s">
        <v>1803</v>
      </c>
      <c r="C3515" t="s">
        <v>660</v>
      </c>
    </row>
    <row r="3516" spans="1:3">
      <c r="A3516">
        <v>160000</v>
      </c>
      <c r="C3516" t="s">
        <v>660</v>
      </c>
    </row>
    <row r="3517" spans="1:3">
      <c r="A3517">
        <v>100000</v>
      </c>
      <c r="B3517" t="s">
        <v>1803</v>
      </c>
      <c r="C3517" t="s">
        <v>660</v>
      </c>
    </row>
    <row r="3518" spans="1:3">
      <c r="A3518">
        <v>10000</v>
      </c>
      <c r="B3518" t="s">
        <v>1803</v>
      </c>
      <c r="C3518" t="s">
        <v>660</v>
      </c>
    </row>
    <row r="3519" spans="1:3">
      <c r="A3519">
        <v>50000</v>
      </c>
      <c r="B3519" t="s">
        <v>1803</v>
      </c>
      <c r="C3519" t="s">
        <v>660</v>
      </c>
    </row>
    <row r="3520" spans="1:3">
      <c r="A3520">
        <v>710000</v>
      </c>
      <c r="C3520" t="s">
        <v>660</v>
      </c>
    </row>
    <row r="3521" spans="1:3">
      <c r="A3521">
        <v>710000</v>
      </c>
      <c r="B3521" t="s">
        <v>1803</v>
      </c>
      <c r="C3521" t="s">
        <v>660</v>
      </c>
    </row>
    <row r="3522" spans="1:3">
      <c r="A3522">
        <v>512000</v>
      </c>
      <c r="C3522" t="s">
        <v>660</v>
      </c>
    </row>
    <row r="3523" spans="1:3">
      <c r="A3523">
        <v>75000</v>
      </c>
      <c r="B3523" t="s">
        <v>1803</v>
      </c>
      <c r="C3523" t="s">
        <v>660</v>
      </c>
    </row>
    <row r="3524" spans="1:3">
      <c r="A3524">
        <v>87000</v>
      </c>
      <c r="B3524" t="s">
        <v>1803</v>
      </c>
      <c r="C3524" t="s">
        <v>660</v>
      </c>
    </row>
    <row r="3525" spans="1:3">
      <c r="A3525">
        <v>350000</v>
      </c>
      <c r="B3525" t="s">
        <v>1803</v>
      </c>
      <c r="C3525" t="s">
        <v>660</v>
      </c>
    </row>
    <row r="3526" spans="1:3">
      <c r="A3526">
        <v>50000</v>
      </c>
      <c r="C3526" t="s">
        <v>660</v>
      </c>
    </row>
    <row r="3527" spans="1:3">
      <c r="A3527">
        <v>50000</v>
      </c>
      <c r="B3527" t="s">
        <v>1803</v>
      </c>
      <c r="C3527" t="s">
        <v>660</v>
      </c>
    </row>
    <row r="3528" spans="1:3">
      <c r="A3528">
        <v>130000</v>
      </c>
      <c r="C3528" t="s">
        <v>660</v>
      </c>
    </row>
    <row r="3529" spans="1:3">
      <c r="A3529">
        <v>80000</v>
      </c>
      <c r="B3529" t="s">
        <v>1803</v>
      </c>
      <c r="C3529" t="s">
        <v>660</v>
      </c>
    </row>
    <row r="3530" spans="1:3">
      <c r="A3530">
        <v>50000</v>
      </c>
      <c r="B3530" t="s">
        <v>1803</v>
      </c>
      <c r="C3530" t="s">
        <v>660</v>
      </c>
    </row>
    <row r="3531" spans="1:3">
      <c r="A3531">
        <v>50000</v>
      </c>
      <c r="C3531" t="s">
        <v>660</v>
      </c>
    </row>
    <row r="3532" spans="1:3">
      <c r="A3532">
        <v>50000</v>
      </c>
      <c r="B3532" t="s">
        <v>1803</v>
      </c>
      <c r="C3532" t="s">
        <v>660</v>
      </c>
    </row>
    <row r="3533" spans="1:3">
      <c r="A3533">
        <v>200000</v>
      </c>
      <c r="C3533" t="s">
        <v>660</v>
      </c>
    </row>
    <row r="3534" spans="1:3">
      <c r="A3534">
        <v>50000</v>
      </c>
      <c r="B3534" t="s">
        <v>1803</v>
      </c>
      <c r="C3534" t="s">
        <v>660</v>
      </c>
    </row>
    <row r="3535" spans="1:3">
      <c r="A3535">
        <v>100000</v>
      </c>
      <c r="B3535" t="s">
        <v>1803</v>
      </c>
      <c r="C3535" t="s">
        <v>660</v>
      </c>
    </row>
    <row r="3536" spans="1:3">
      <c r="A3536">
        <v>50000</v>
      </c>
      <c r="B3536" t="s">
        <v>1803</v>
      </c>
      <c r="C3536" t="s">
        <v>660</v>
      </c>
    </row>
    <row r="3537" spans="1:3">
      <c r="A3537">
        <v>42423152.048314273</v>
      </c>
      <c r="C3537" t="s">
        <v>660</v>
      </c>
    </row>
    <row r="3538" spans="1:3">
      <c r="A3538">
        <v>42423152.048314273</v>
      </c>
      <c r="C3538" t="s">
        <v>660</v>
      </c>
    </row>
    <row r="3539" spans="1:3">
      <c r="C3539" t="s">
        <v>660</v>
      </c>
    </row>
    <row r="3540" spans="1:3">
      <c r="C3540" t="s">
        <v>660</v>
      </c>
    </row>
    <row r="3541" spans="1:3">
      <c r="C3541" t="s">
        <v>660</v>
      </c>
    </row>
    <row r="3542" spans="1:3">
      <c r="A3542">
        <v>280000</v>
      </c>
      <c r="C3542" t="s">
        <v>660</v>
      </c>
    </row>
    <row r="3543" spans="1:3">
      <c r="A3543">
        <v>30000</v>
      </c>
      <c r="B3543" t="s">
        <v>1803</v>
      </c>
      <c r="C3543" t="s">
        <v>660</v>
      </c>
    </row>
    <row r="3544" spans="1:3">
      <c r="A3544">
        <v>250000</v>
      </c>
      <c r="B3544" t="s">
        <v>1803</v>
      </c>
      <c r="C3544" t="s">
        <v>660</v>
      </c>
    </row>
    <row r="3545" spans="1:3">
      <c r="A3545">
        <v>1550000</v>
      </c>
      <c r="C3545" t="s">
        <v>660</v>
      </c>
    </row>
    <row r="3546" spans="1:3">
      <c r="A3546">
        <v>500000</v>
      </c>
      <c r="B3546" t="s">
        <v>1803</v>
      </c>
      <c r="C3546" t="s">
        <v>660</v>
      </c>
    </row>
    <row r="3547" spans="1:3">
      <c r="A3547">
        <v>500000</v>
      </c>
      <c r="B3547" t="s">
        <v>1803</v>
      </c>
      <c r="C3547" t="s">
        <v>660</v>
      </c>
    </row>
    <row r="3548" spans="1:3">
      <c r="A3548">
        <v>550000</v>
      </c>
      <c r="B3548" t="s">
        <v>1803</v>
      </c>
      <c r="C3548" t="s">
        <v>660</v>
      </c>
    </row>
    <row r="3549" spans="1:3">
      <c r="A3549">
        <v>650000</v>
      </c>
      <c r="C3549" t="s">
        <v>660</v>
      </c>
    </row>
    <row r="3550" spans="1:3">
      <c r="A3550">
        <v>300000</v>
      </c>
      <c r="B3550" t="s">
        <v>1803</v>
      </c>
      <c r="C3550" t="s">
        <v>660</v>
      </c>
    </row>
    <row r="3551" spans="1:3">
      <c r="A3551">
        <v>150000</v>
      </c>
      <c r="B3551" t="s">
        <v>1803</v>
      </c>
      <c r="C3551" t="s">
        <v>660</v>
      </c>
    </row>
    <row r="3552" spans="1:3">
      <c r="A3552">
        <v>200000</v>
      </c>
      <c r="B3552" t="s">
        <v>1803</v>
      </c>
      <c r="C3552" t="s">
        <v>660</v>
      </c>
    </row>
    <row r="3553" spans="1:3">
      <c r="A3553">
        <v>0</v>
      </c>
      <c r="C3553" t="s">
        <v>660</v>
      </c>
    </row>
    <row r="3554" spans="1:3">
      <c r="A3554">
        <v>0</v>
      </c>
      <c r="B3554" t="s">
        <v>1803</v>
      </c>
      <c r="C3554" t="s">
        <v>660</v>
      </c>
    </row>
    <row r="3555" spans="1:3">
      <c r="A3555">
        <v>1900000</v>
      </c>
      <c r="C3555" t="s">
        <v>660</v>
      </c>
    </row>
    <row r="3556" spans="1:3">
      <c r="A3556">
        <v>650000</v>
      </c>
      <c r="B3556" t="s">
        <v>1803</v>
      </c>
      <c r="C3556" t="s">
        <v>660</v>
      </c>
    </row>
    <row r="3557" spans="1:3">
      <c r="A3557">
        <v>50000</v>
      </c>
      <c r="B3557" t="s">
        <v>1803</v>
      </c>
      <c r="C3557" t="s">
        <v>660</v>
      </c>
    </row>
    <row r="3558" spans="1:3">
      <c r="A3558">
        <v>100000</v>
      </c>
      <c r="B3558" t="s">
        <v>1803</v>
      </c>
      <c r="C3558" t="s">
        <v>660</v>
      </c>
    </row>
    <row r="3559" spans="1:3">
      <c r="A3559">
        <v>400000</v>
      </c>
      <c r="B3559" t="s">
        <v>1803</v>
      </c>
      <c r="C3559" t="s">
        <v>660</v>
      </c>
    </row>
    <row r="3560" spans="1:3">
      <c r="A3560">
        <v>300000</v>
      </c>
      <c r="B3560" t="s">
        <v>1803</v>
      </c>
      <c r="C3560" t="s">
        <v>660</v>
      </c>
    </row>
    <row r="3561" spans="1:3">
      <c r="A3561">
        <v>50000</v>
      </c>
      <c r="B3561" t="s">
        <v>1803</v>
      </c>
      <c r="C3561" t="s">
        <v>660</v>
      </c>
    </row>
    <row r="3562" spans="1:3">
      <c r="A3562">
        <v>350000</v>
      </c>
      <c r="B3562" t="s">
        <v>1803</v>
      </c>
      <c r="C3562" t="s">
        <v>660</v>
      </c>
    </row>
    <row r="3563" spans="1:3">
      <c r="A3563">
        <v>2325000</v>
      </c>
      <c r="C3563" t="s">
        <v>660</v>
      </c>
    </row>
    <row r="3564" spans="1:3">
      <c r="A3564">
        <v>625000</v>
      </c>
      <c r="B3564" t="s">
        <v>1803</v>
      </c>
      <c r="C3564" t="s">
        <v>660</v>
      </c>
    </row>
    <row r="3565" spans="1:3">
      <c r="A3565">
        <v>1700000</v>
      </c>
      <c r="B3565" t="s">
        <v>1803</v>
      </c>
      <c r="C3565" t="s">
        <v>660</v>
      </c>
    </row>
    <row r="3566" spans="1:3">
      <c r="A3566">
        <v>45000</v>
      </c>
      <c r="C3566" t="s">
        <v>660</v>
      </c>
    </row>
    <row r="3567" spans="1:3">
      <c r="A3567">
        <v>45000</v>
      </c>
      <c r="B3567" t="s">
        <v>1803</v>
      </c>
      <c r="C3567" t="s">
        <v>660</v>
      </c>
    </row>
    <row r="3568" spans="1:3">
      <c r="A3568">
        <v>820000</v>
      </c>
      <c r="C3568" t="s">
        <v>660</v>
      </c>
    </row>
    <row r="3569" spans="1:3">
      <c r="A3569">
        <v>620000</v>
      </c>
      <c r="B3569" t="s">
        <v>1803</v>
      </c>
      <c r="C3569" t="s">
        <v>660</v>
      </c>
    </row>
    <row r="3570" spans="1:3">
      <c r="A3570">
        <v>160000</v>
      </c>
      <c r="B3570" t="s">
        <v>1803</v>
      </c>
      <c r="C3570" t="s">
        <v>660</v>
      </c>
    </row>
    <row r="3571" spans="1:3">
      <c r="A3571">
        <v>40000</v>
      </c>
      <c r="B3571" t="s">
        <v>1803</v>
      </c>
      <c r="C3571" t="s">
        <v>660</v>
      </c>
    </row>
    <row r="3572" spans="1:3">
      <c r="A3572">
        <v>800000</v>
      </c>
      <c r="C3572" t="s">
        <v>660</v>
      </c>
    </row>
    <row r="3573" spans="1:3">
      <c r="A3573">
        <v>800000</v>
      </c>
      <c r="B3573" t="s">
        <v>1803</v>
      </c>
      <c r="C3573" t="s">
        <v>660</v>
      </c>
    </row>
    <row r="3574" spans="1:3">
      <c r="A3574">
        <v>812000</v>
      </c>
      <c r="C3574" t="s">
        <v>660</v>
      </c>
    </row>
    <row r="3575" spans="1:3">
      <c r="A3575">
        <v>375000</v>
      </c>
      <c r="B3575" t="s">
        <v>1803</v>
      </c>
      <c r="C3575" t="s">
        <v>660</v>
      </c>
    </row>
    <row r="3576" spans="1:3">
      <c r="A3576">
        <v>387000</v>
      </c>
      <c r="B3576" t="s">
        <v>1803</v>
      </c>
      <c r="C3576" t="s">
        <v>660</v>
      </c>
    </row>
    <row r="3577" spans="1:3">
      <c r="A3577">
        <v>50000</v>
      </c>
      <c r="B3577" t="s">
        <v>1803</v>
      </c>
      <c r="C3577" t="s">
        <v>660</v>
      </c>
    </row>
    <row r="3578" spans="1:3">
      <c r="A3578">
        <v>430000</v>
      </c>
      <c r="C3578" t="s">
        <v>660</v>
      </c>
    </row>
    <row r="3579" spans="1:3">
      <c r="A3579">
        <v>430000</v>
      </c>
      <c r="B3579" t="s">
        <v>1803</v>
      </c>
      <c r="C3579" t="s">
        <v>660</v>
      </c>
    </row>
    <row r="3580" spans="1:3">
      <c r="A3580">
        <v>65000</v>
      </c>
      <c r="C3580" t="s">
        <v>660</v>
      </c>
    </row>
    <row r="3581" spans="1:3">
      <c r="A3581">
        <v>65000</v>
      </c>
      <c r="B3581" t="s">
        <v>1803</v>
      </c>
      <c r="C3581" t="s">
        <v>660</v>
      </c>
    </row>
    <row r="3582" spans="1:3">
      <c r="A3582">
        <v>0</v>
      </c>
      <c r="C3582" t="s">
        <v>660</v>
      </c>
    </row>
    <row r="3583" spans="1:3">
      <c r="A3583">
        <v>0</v>
      </c>
      <c r="C3583" t="s">
        <v>660</v>
      </c>
    </row>
    <row r="3584" spans="1:3">
      <c r="A3584">
        <v>0</v>
      </c>
      <c r="C3584" t="s">
        <v>660</v>
      </c>
    </row>
    <row r="3585" spans="1:3">
      <c r="A3585">
        <v>250000</v>
      </c>
      <c r="C3585" t="s">
        <v>660</v>
      </c>
    </row>
    <row r="3586" spans="1:3">
      <c r="A3586">
        <v>50000</v>
      </c>
      <c r="B3586" t="s">
        <v>1803</v>
      </c>
      <c r="C3586" t="s">
        <v>660</v>
      </c>
    </row>
    <row r="3587" spans="1:3">
      <c r="A3587">
        <v>100000</v>
      </c>
      <c r="B3587" t="s">
        <v>1803</v>
      </c>
      <c r="C3587" t="s">
        <v>660</v>
      </c>
    </row>
    <row r="3588" spans="1:3">
      <c r="A3588">
        <v>100000</v>
      </c>
      <c r="B3588" t="s">
        <v>1803</v>
      </c>
      <c r="C3588" t="s">
        <v>660</v>
      </c>
    </row>
    <row r="3589" spans="1:3">
      <c r="A3589">
        <v>9927000</v>
      </c>
      <c r="C3589" t="s">
        <v>660</v>
      </c>
    </row>
    <row r="3590" spans="1:3">
      <c r="C3590" t="s">
        <v>660</v>
      </c>
    </row>
    <row r="3591" spans="1:3">
      <c r="C3591" t="s">
        <v>660</v>
      </c>
    </row>
    <row r="3592" spans="1:3">
      <c r="C3592" t="s">
        <v>660</v>
      </c>
    </row>
    <row r="3593" spans="1:3">
      <c r="A3593">
        <v>30500</v>
      </c>
      <c r="C3593" t="s">
        <v>660</v>
      </c>
    </row>
    <row r="3594" spans="1:3">
      <c r="A3594">
        <v>10000</v>
      </c>
      <c r="B3594" t="s">
        <v>1803</v>
      </c>
      <c r="C3594" t="s">
        <v>660</v>
      </c>
    </row>
    <row r="3595" spans="1:3">
      <c r="A3595">
        <v>20500</v>
      </c>
      <c r="B3595" t="s">
        <v>1803</v>
      </c>
      <c r="C3595" t="s">
        <v>660</v>
      </c>
    </row>
    <row r="3596" spans="1:3">
      <c r="A3596">
        <v>55000</v>
      </c>
      <c r="C3596" t="s">
        <v>660</v>
      </c>
    </row>
    <row r="3597" spans="1:3">
      <c r="A3597">
        <v>50000</v>
      </c>
      <c r="B3597" t="s">
        <v>1803</v>
      </c>
      <c r="C3597" t="s">
        <v>660</v>
      </c>
    </row>
    <row r="3598" spans="1:3">
      <c r="A3598">
        <v>5000</v>
      </c>
      <c r="B3598" t="s">
        <v>1803</v>
      </c>
      <c r="C3598" t="s">
        <v>660</v>
      </c>
    </row>
    <row r="3599" spans="1:3">
      <c r="A3599">
        <v>2160000</v>
      </c>
      <c r="C3599" t="s">
        <v>660</v>
      </c>
    </row>
    <row r="3600" spans="1:3">
      <c r="A3600">
        <v>560000</v>
      </c>
      <c r="B3600" t="s">
        <v>1803</v>
      </c>
      <c r="C3600" t="s">
        <v>660</v>
      </c>
    </row>
    <row r="3601" spans="1:3">
      <c r="A3601">
        <v>1000000</v>
      </c>
      <c r="B3601" t="s">
        <v>1803</v>
      </c>
      <c r="C3601" t="s">
        <v>660</v>
      </c>
    </row>
    <row r="3602" spans="1:3">
      <c r="A3602">
        <v>600000</v>
      </c>
      <c r="B3602" t="s">
        <v>1803</v>
      </c>
      <c r="C3602" t="s">
        <v>660</v>
      </c>
    </row>
    <row r="3603" spans="1:3">
      <c r="A3603">
        <v>350000</v>
      </c>
      <c r="C3603" t="s">
        <v>660</v>
      </c>
    </row>
    <row r="3604" spans="1:3">
      <c r="A3604">
        <v>100000</v>
      </c>
      <c r="B3604" t="s">
        <v>1803</v>
      </c>
      <c r="C3604" t="s">
        <v>660</v>
      </c>
    </row>
    <row r="3605" spans="1:3">
      <c r="A3605">
        <v>150000</v>
      </c>
      <c r="B3605" t="s">
        <v>1803</v>
      </c>
      <c r="C3605" t="s">
        <v>660</v>
      </c>
    </row>
    <row r="3606" spans="1:3">
      <c r="A3606">
        <v>100000</v>
      </c>
      <c r="B3606" t="s">
        <v>1803</v>
      </c>
      <c r="C3606" t="s">
        <v>660</v>
      </c>
    </row>
    <row r="3607" spans="1:3">
      <c r="A3607">
        <v>411000</v>
      </c>
      <c r="C3607" t="s">
        <v>660</v>
      </c>
    </row>
    <row r="3608" spans="1:3">
      <c r="A3608">
        <v>411000</v>
      </c>
      <c r="B3608" t="s">
        <v>1803</v>
      </c>
      <c r="C3608" t="s">
        <v>660</v>
      </c>
    </row>
    <row r="3609" spans="1:3">
      <c r="A3609">
        <v>1230700</v>
      </c>
      <c r="C3609" t="s">
        <v>660</v>
      </c>
    </row>
    <row r="3610" spans="1:3">
      <c r="A3610">
        <v>500700</v>
      </c>
      <c r="B3610" t="s">
        <v>1803</v>
      </c>
      <c r="C3610" t="s">
        <v>660</v>
      </c>
    </row>
    <row r="3611" spans="1:3">
      <c r="A3611">
        <v>30000</v>
      </c>
      <c r="B3611" t="s">
        <v>1803</v>
      </c>
      <c r="C3611" t="s">
        <v>660</v>
      </c>
    </row>
    <row r="3612" spans="1:3">
      <c r="A3612">
        <v>100000</v>
      </c>
      <c r="B3612" t="s">
        <v>1803</v>
      </c>
      <c r="C3612" t="s">
        <v>660</v>
      </c>
    </row>
    <row r="3613" spans="1:3">
      <c r="A3613">
        <v>150000</v>
      </c>
      <c r="B3613" t="s">
        <v>1803</v>
      </c>
      <c r="C3613" t="s">
        <v>660</v>
      </c>
    </row>
    <row r="3614" spans="1:3">
      <c r="A3614">
        <v>100000</v>
      </c>
      <c r="B3614" t="s">
        <v>1803</v>
      </c>
      <c r="C3614" t="s">
        <v>660</v>
      </c>
    </row>
    <row r="3615" spans="1:3">
      <c r="A3615">
        <v>50000</v>
      </c>
      <c r="B3615" t="s">
        <v>1803</v>
      </c>
      <c r="C3615" t="s">
        <v>660</v>
      </c>
    </row>
    <row r="3616" spans="1:3">
      <c r="A3616">
        <v>300000</v>
      </c>
      <c r="B3616" t="s">
        <v>1803</v>
      </c>
      <c r="C3616" t="s">
        <v>660</v>
      </c>
    </row>
    <row r="3617" spans="1:3">
      <c r="A3617">
        <v>1325000</v>
      </c>
      <c r="C3617" t="s">
        <v>660</v>
      </c>
    </row>
    <row r="3618" spans="1:3">
      <c r="A3618">
        <v>625000</v>
      </c>
      <c r="B3618" t="s">
        <v>1803</v>
      </c>
      <c r="C3618" t="s">
        <v>660</v>
      </c>
    </row>
    <row r="3619" spans="1:3">
      <c r="A3619">
        <v>700000</v>
      </c>
      <c r="B3619" t="s">
        <v>1803</v>
      </c>
      <c r="C3619" t="s">
        <v>660</v>
      </c>
    </row>
    <row r="3620" spans="1:3">
      <c r="A3620">
        <v>340000</v>
      </c>
      <c r="C3620" t="s">
        <v>660</v>
      </c>
    </row>
    <row r="3621" spans="1:3">
      <c r="A3621">
        <v>220000</v>
      </c>
      <c r="B3621" t="s">
        <v>1803</v>
      </c>
      <c r="C3621" t="s">
        <v>660</v>
      </c>
    </row>
    <row r="3622" spans="1:3">
      <c r="A3622">
        <v>60000</v>
      </c>
      <c r="B3622" t="s">
        <v>1803</v>
      </c>
      <c r="C3622" t="s">
        <v>660</v>
      </c>
    </row>
    <row r="3623" spans="1:3">
      <c r="A3623">
        <v>60000</v>
      </c>
      <c r="B3623" t="s">
        <v>1803</v>
      </c>
      <c r="C3623" t="s">
        <v>660</v>
      </c>
    </row>
    <row r="3624" spans="1:3">
      <c r="A3624">
        <v>700000</v>
      </c>
      <c r="C3624" t="s">
        <v>660</v>
      </c>
    </row>
    <row r="3625" spans="1:3">
      <c r="A3625">
        <v>700000</v>
      </c>
      <c r="B3625" t="s">
        <v>1803</v>
      </c>
      <c r="C3625" t="s">
        <v>660</v>
      </c>
    </row>
    <row r="3626" spans="1:3">
      <c r="A3626">
        <v>712000</v>
      </c>
      <c r="C3626" t="s">
        <v>660</v>
      </c>
    </row>
    <row r="3627" spans="1:3">
      <c r="A3627">
        <v>175000</v>
      </c>
      <c r="B3627" t="s">
        <v>1803</v>
      </c>
      <c r="C3627" t="s">
        <v>660</v>
      </c>
    </row>
    <row r="3628" spans="1:3">
      <c r="A3628">
        <v>87000</v>
      </c>
      <c r="B3628" t="s">
        <v>1803</v>
      </c>
      <c r="C3628" t="s">
        <v>660</v>
      </c>
    </row>
    <row r="3629" spans="1:3">
      <c r="A3629">
        <v>450000</v>
      </c>
      <c r="B3629" t="s">
        <v>1803</v>
      </c>
      <c r="C3629" t="s">
        <v>660</v>
      </c>
    </row>
    <row r="3630" spans="1:3">
      <c r="A3630">
        <v>520000</v>
      </c>
      <c r="C3630" t="s">
        <v>660</v>
      </c>
    </row>
    <row r="3631" spans="1:3">
      <c r="A3631">
        <v>520000</v>
      </c>
      <c r="B3631" t="s">
        <v>1803</v>
      </c>
      <c r="C3631" t="s">
        <v>660</v>
      </c>
    </row>
    <row r="3632" spans="1:3">
      <c r="A3632">
        <v>90000</v>
      </c>
      <c r="C3632" t="s">
        <v>660</v>
      </c>
    </row>
    <row r="3633" spans="1:3">
      <c r="A3633">
        <v>20000</v>
      </c>
      <c r="B3633" t="s">
        <v>1803</v>
      </c>
      <c r="C3633" t="s">
        <v>660</v>
      </c>
    </row>
    <row r="3634" spans="1:3">
      <c r="A3634">
        <v>50000</v>
      </c>
      <c r="B3634" t="s">
        <v>1803</v>
      </c>
      <c r="C3634" t="s">
        <v>660</v>
      </c>
    </row>
    <row r="3635" spans="1:3">
      <c r="A3635">
        <v>20000</v>
      </c>
      <c r="B3635" t="s">
        <v>1803</v>
      </c>
      <c r="C3635" t="s">
        <v>660</v>
      </c>
    </row>
    <row r="3636" spans="1:3">
      <c r="A3636">
        <v>0</v>
      </c>
      <c r="C3636" t="s">
        <v>660</v>
      </c>
    </row>
    <row r="3637" spans="1:3">
      <c r="A3637">
        <v>0</v>
      </c>
      <c r="C3637" t="s">
        <v>660</v>
      </c>
    </row>
    <row r="3638" spans="1:3">
      <c r="A3638">
        <v>130000</v>
      </c>
      <c r="C3638" t="s">
        <v>660</v>
      </c>
    </row>
    <row r="3639" spans="1:3">
      <c r="A3639">
        <v>100000</v>
      </c>
      <c r="B3639" t="s">
        <v>1803</v>
      </c>
      <c r="C3639" t="s">
        <v>660</v>
      </c>
    </row>
    <row r="3640" spans="1:3">
      <c r="A3640">
        <v>30000</v>
      </c>
      <c r="B3640" t="s">
        <v>1803</v>
      </c>
      <c r="C3640" t="s">
        <v>660</v>
      </c>
    </row>
    <row r="3641" spans="1:3">
      <c r="A3641">
        <v>8054200</v>
      </c>
      <c r="C3641" t="s">
        <v>660</v>
      </c>
    </row>
    <row r="3642" spans="1:3">
      <c r="C3642" t="s">
        <v>660</v>
      </c>
    </row>
    <row r="3643" spans="1:3">
      <c r="C3643" t="s">
        <v>660</v>
      </c>
    </row>
    <row r="3644" spans="1:3">
      <c r="C3644" t="s">
        <v>660</v>
      </c>
    </row>
    <row r="3645" spans="1:3">
      <c r="A3645">
        <v>110000</v>
      </c>
      <c r="C3645" t="s">
        <v>660</v>
      </c>
    </row>
    <row r="3646" spans="1:3">
      <c r="A3646">
        <v>70000</v>
      </c>
      <c r="B3646" t="s">
        <v>1803</v>
      </c>
      <c r="C3646" t="s">
        <v>660</v>
      </c>
    </row>
    <row r="3647" spans="1:3">
      <c r="A3647">
        <v>35000</v>
      </c>
      <c r="B3647" t="s">
        <v>1803</v>
      </c>
      <c r="C3647" t="s">
        <v>660</v>
      </c>
    </row>
    <row r="3648" spans="1:3">
      <c r="A3648">
        <v>5000</v>
      </c>
      <c r="B3648" t="s">
        <v>1803</v>
      </c>
      <c r="C3648" t="s">
        <v>660</v>
      </c>
    </row>
    <row r="3649" spans="1:3">
      <c r="A3649">
        <v>835000</v>
      </c>
      <c r="C3649" t="s">
        <v>660</v>
      </c>
    </row>
    <row r="3650" spans="1:3">
      <c r="A3650">
        <v>100000</v>
      </c>
      <c r="B3650" t="s">
        <v>1803</v>
      </c>
      <c r="C3650" t="s">
        <v>660</v>
      </c>
    </row>
    <row r="3651" spans="1:3">
      <c r="A3651">
        <v>500000</v>
      </c>
      <c r="B3651" t="s">
        <v>1803</v>
      </c>
      <c r="C3651" t="s">
        <v>660</v>
      </c>
    </row>
    <row r="3652" spans="1:3">
      <c r="A3652">
        <v>235000</v>
      </c>
      <c r="B3652" t="s">
        <v>1803</v>
      </c>
      <c r="C3652" t="s">
        <v>660</v>
      </c>
    </row>
    <row r="3653" spans="1:3">
      <c r="A3653">
        <v>400000</v>
      </c>
      <c r="C3653" t="s">
        <v>660</v>
      </c>
    </row>
    <row r="3654" spans="1:3">
      <c r="A3654">
        <v>100000</v>
      </c>
      <c r="B3654" t="s">
        <v>1803</v>
      </c>
      <c r="C3654" t="s">
        <v>660</v>
      </c>
    </row>
    <row r="3655" spans="1:3">
      <c r="A3655">
        <v>100000</v>
      </c>
      <c r="B3655" t="s">
        <v>1803</v>
      </c>
      <c r="C3655" t="s">
        <v>660</v>
      </c>
    </row>
    <row r="3656" spans="1:3">
      <c r="A3656">
        <v>200000</v>
      </c>
      <c r="B3656" t="s">
        <v>1803</v>
      </c>
      <c r="C3656" t="s">
        <v>660</v>
      </c>
    </row>
    <row r="3657" spans="1:3">
      <c r="A3657">
        <v>411000</v>
      </c>
      <c r="C3657" t="s">
        <v>660</v>
      </c>
    </row>
    <row r="3658" spans="1:3">
      <c r="A3658">
        <v>411000</v>
      </c>
      <c r="B3658" t="s">
        <v>1803</v>
      </c>
      <c r="C3658" t="s">
        <v>660</v>
      </c>
    </row>
    <row r="3659" spans="1:3">
      <c r="A3659">
        <v>920306</v>
      </c>
      <c r="C3659" t="s">
        <v>660</v>
      </c>
    </row>
    <row r="3660" spans="1:3">
      <c r="A3660">
        <v>300000</v>
      </c>
      <c r="B3660" t="s">
        <v>1803</v>
      </c>
      <c r="C3660" t="s">
        <v>660</v>
      </c>
    </row>
    <row r="3661" spans="1:3">
      <c r="A3661">
        <v>30000</v>
      </c>
      <c r="B3661" t="s">
        <v>1803</v>
      </c>
      <c r="C3661" t="s">
        <v>660</v>
      </c>
    </row>
    <row r="3662" spans="1:3">
      <c r="A3662">
        <v>75000</v>
      </c>
      <c r="B3662" t="s">
        <v>1803</v>
      </c>
      <c r="C3662" t="s">
        <v>660</v>
      </c>
    </row>
    <row r="3663" spans="1:3">
      <c r="A3663">
        <v>100000</v>
      </c>
      <c r="B3663" t="s">
        <v>1803</v>
      </c>
      <c r="C3663" t="s">
        <v>660</v>
      </c>
    </row>
    <row r="3664" spans="1:3">
      <c r="A3664">
        <v>135306</v>
      </c>
      <c r="B3664" t="s">
        <v>1803</v>
      </c>
      <c r="C3664" t="s">
        <v>660</v>
      </c>
    </row>
    <row r="3665" spans="1:3">
      <c r="A3665">
        <v>150000</v>
      </c>
      <c r="B3665" t="s">
        <v>1803</v>
      </c>
      <c r="C3665" t="s">
        <v>660</v>
      </c>
    </row>
    <row r="3666" spans="1:3">
      <c r="A3666">
        <v>130000</v>
      </c>
      <c r="B3666" t="s">
        <v>1803</v>
      </c>
      <c r="C3666" t="s">
        <v>660</v>
      </c>
    </row>
    <row r="3667" spans="1:3">
      <c r="A3667">
        <v>1125000</v>
      </c>
      <c r="C3667" t="s">
        <v>660</v>
      </c>
    </row>
    <row r="3668" spans="1:3">
      <c r="A3668">
        <v>625000</v>
      </c>
      <c r="B3668" t="s">
        <v>1803</v>
      </c>
      <c r="C3668" t="s">
        <v>660</v>
      </c>
    </row>
    <row r="3669" spans="1:3">
      <c r="A3669">
        <v>500000</v>
      </c>
      <c r="B3669" t="s">
        <v>1803</v>
      </c>
      <c r="C3669" t="s">
        <v>660</v>
      </c>
    </row>
    <row r="3670" spans="1:3">
      <c r="A3670">
        <v>100000</v>
      </c>
      <c r="C3670" t="s">
        <v>660</v>
      </c>
    </row>
    <row r="3671" spans="1:3">
      <c r="A3671">
        <v>100000</v>
      </c>
      <c r="B3671" t="s">
        <v>1803</v>
      </c>
      <c r="C3671" t="s">
        <v>660</v>
      </c>
    </row>
    <row r="3672" spans="1:3">
      <c r="A3672">
        <v>290000</v>
      </c>
      <c r="C3672" t="s">
        <v>660</v>
      </c>
    </row>
    <row r="3673" spans="1:3">
      <c r="A3673">
        <v>290000</v>
      </c>
      <c r="B3673" t="s">
        <v>1803</v>
      </c>
      <c r="C3673" t="s">
        <v>660</v>
      </c>
    </row>
    <row r="3674" spans="1:3">
      <c r="A3674">
        <v>501000</v>
      </c>
      <c r="C3674" t="s">
        <v>660</v>
      </c>
    </row>
    <row r="3675" spans="1:3">
      <c r="A3675">
        <v>75000</v>
      </c>
      <c r="B3675" t="s">
        <v>1803</v>
      </c>
      <c r="C3675" t="s">
        <v>660</v>
      </c>
    </row>
    <row r="3676" spans="1:3">
      <c r="A3676">
        <v>76000</v>
      </c>
      <c r="B3676" t="s">
        <v>1803</v>
      </c>
      <c r="C3676" t="s">
        <v>660</v>
      </c>
    </row>
    <row r="3677" spans="1:3">
      <c r="A3677">
        <v>350000</v>
      </c>
      <c r="B3677" t="s">
        <v>1803</v>
      </c>
      <c r="C3677" t="s">
        <v>660</v>
      </c>
    </row>
    <row r="3678" spans="1:3">
      <c r="A3678">
        <v>200000</v>
      </c>
      <c r="C3678" t="s">
        <v>660</v>
      </c>
    </row>
    <row r="3679" spans="1:3">
      <c r="A3679">
        <v>200000</v>
      </c>
      <c r="B3679" t="s">
        <v>1803</v>
      </c>
      <c r="C3679" t="s">
        <v>660</v>
      </c>
    </row>
    <row r="3680" spans="1:3">
      <c r="A3680">
        <v>100000</v>
      </c>
      <c r="C3680" t="s">
        <v>660</v>
      </c>
    </row>
    <row r="3681" spans="1:3">
      <c r="A3681">
        <v>100000</v>
      </c>
      <c r="B3681" t="s">
        <v>1803</v>
      </c>
      <c r="C3681" t="s">
        <v>660</v>
      </c>
    </row>
    <row r="3682" spans="1:3">
      <c r="A3682">
        <v>4992306</v>
      </c>
      <c r="C3682" t="s">
        <v>660</v>
      </c>
    </row>
    <row r="3683" spans="1:3">
      <c r="C3683" t="s">
        <v>660</v>
      </c>
    </row>
    <row r="3684" spans="1:3">
      <c r="A3684">
        <v>5000000</v>
      </c>
      <c r="C3684" t="s">
        <v>660</v>
      </c>
    </row>
    <row r="3685" spans="1:3">
      <c r="A3685">
        <v>5000000</v>
      </c>
      <c r="B3685" t="s">
        <v>1803</v>
      </c>
      <c r="C3685" t="s">
        <v>660</v>
      </c>
    </row>
    <row r="3686" spans="1:3">
      <c r="A3686">
        <v>5000000</v>
      </c>
      <c r="C3686" t="s">
        <v>660</v>
      </c>
    </row>
    <row r="3687" spans="1:3">
      <c r="A3687">
        <v>9992306</v>
      </c>
      <c r="C3687" t="s">
        <v>660</v>
      </c>
    </row>
    <row r="3688" spans="1:3">
      <c r="A3688">
        <v>65396658.048314273</v>
      </c>
      <c r="C3688" t="s">
        <v>660</v>
      </c>
    </row>
    <row r="3689" spans="1:3">
      <c r="A3689">
        <v>5000000</v>
      </c>
      <c r="C3689" t="s">
        <v>660</v>
      </c>
    </row>
    <row r="3690" spans="1:3">
      <c r="A3690">
        <v>70396658.048314273</v>
      </c>
      <c r="C3690" t="s">
        <v>660</v>
      </c>
    </row>
    <row r="3693" spans="1:3">
      <c r="C3693" t="s">
        <v>676</v>
      </c>
    </row>
    <row r="3694" spans="1:3">
      <c r="C3694" t="s">
        <v>676</v>
      </c>
    </row>
    <row r="3695" spans="1:3">
      <c r="A3695">
        <v>0</v>
      </c>
      <c r="C3695" t="s">
        <v>676</v>
      </c>
    </row>
    <row r="3696" spans="1:3">
      <c r="A3696">
        <v>0</v>
      </c>
      <c r="C3696" t="s">
        <v>676</v>
      </c>
    </row>
    <row r="3697" spans="1:3">
      <c r="C3697" t="s">
        <v>676</v>
      </c>
    </row>
    <row r="3698" spans="1:3">
      <c r="A3698">
        <v>0</v>
      </c>
      <c r="C3698" t="s">
        <v>676</v>
      </c>
    </row>
    <row r="3699" spans="1:3">
      <c r="A3699">
        <v>0</v>
      </c>
      <c r="C3699" t="s">
        <v>676</v>
      </c>
    </row>
    <row r="3700" spans="1:3">
      <c r="A3700">
        <v>0</v>
      </c>
      <c r="C3700" t="s">
        <v>676</v>
      </c>
    </row>
    <row r="3701" spans="1:3">
      <c r="A3701">
        <v>0</v>
      </c>
      <c r="C3701" t="s">
        <v>676</v>
      </c>
    </row>
    <row r="3702" spans="1:3">
      <c r="A3702">
        <v>0</v>
      </c>
      <c r="C3702" t="s">
        <v>676</v>
      </c>
    </row>
    <row r="3703" spans="1:3">
      <c r="A3703">
        <v>0</v>
      </c>
      <c r="C3703" t="s">
        <v>676</v>
      </c>
    </row>
    <row r="3704" spans="1:3">
      <c r="A3704">
        <v>0</v>
      </c>
      <c r="C3704" t="s">
        <v>676</v>
      </c>
    </row>
    <row r="3705" spans="1:3">
      <c r="A3705">
        <v>0</v>
      </c>
      <c r="C3705" t="s">
        <v>676</v>
      </c>
    </row>
    <row r="3706" spans="1:3">
      <c r="A3706">
        <v>0</v>
      </c>
      <c r="C3706" t="s">
        <v>676</v>
      </c>
    </row>
    <row r="3707" spans="1:3">
      <c r="A3707">
        <v>0</v>
      </c>
      <c r="C3707" t="s">
        <v>676</v>
      </c>
    </row>
    <row r="3708" spans="1:3">
      <c r="A3708">
        <v>0</v>
      </c>
      <c r="C3708" t="s">
        <v>676</v>
      </c>
    </row>
    <row r="3709" spans="1:3">
      <c r="A3709">
        <v>0</v>
      </c>
      <c r="C3709" t="s">
        <v>676</v>
      </c>
    </row>
    <row r="3710" spans="1:3">
      <c r="A3710">
        <v>0</v>
      </c>
      <c r="C3710" t="s">
        <v>676</v>
      </c>
    </row>
    <row r="3711" spans="1:3">
      <c r="A3711">
        <v>0</v>
      </c>
      <c r="C3711" t="s">
        <v>676</v>
      </c>
    </row>
    <row r="3712" spans="1:3">
      <c r="A3712">
        <v>0</v>
      </c>
      <c r="C3712" t="s">
        <v>676</v>
      </c>
    </row>
    <row r="3713" spans="1:3">
      <c r="A3713">
        <v>0</v>
      </c>
      <c r="C3713" t="s">
        <v>676</v>
      </c>
    </row>
    <row r="3714" spans="1:3">
      <c r="A3714">
        <v>0</v>
      </c>
      <c r="C3714" t="s">
        <v>676</v>
      </c>
    </row>
    <row r="3715" spans="1:3">
      <c r="A3715">
        <v>0</v>
      </c>
      <c r="C3715" t="s">
        <v>676</v>
      </c>
    </row>
    <row r="3716" spans="1:3">
      <c r="A3716">
        <v>0</v>
      </c>
      <c r="C3716" t="s">
        <v>676</v>
      </c>
    </row>
    <row r="3717" spans="1:3">
      <c r="A3717">
        <v>0</v>
      </c>
      <c r="C3717" t="s">
        <v>676</v>
      </c>
    </row>
    <row r="3718" spans="1:3">
      <c r="A3718">
        <v>0</v>
      </c>
      <c r="C3718" t="s">
        <v>676</v>
      </c>
    </row>
    <row r="3719" spans="1:3">
      <c r="A3719">
        <v>0</v>
      </c>
      <c r="C3719" t="s">
        <v>676</v>
      </c>
    </row>
    <row r="3720" spans="1:3">
      <c r="A3720">
        <v>0</v>
      </c>
      <c r="C3720" t="s">
        <v>676</v>
      </c>
    </row>
    <row r="3721" spans="1:3">
      <c r="A3721">
        <v>0</v>
      </c>
      <c r="C3721" t="s">
        <v>676</v>
      </c>
    </row>
    <row r="3722" spans="1:3">
      <c r="A3722">
        <v>0</v>
      </c>
      <c r="C3722" t="s">
        <v>676</v>
      </c>
    </row>
    <row r="3723" spans="1:3">
      <c r="A3723">
        <v>0</v>
      </c>
      <c r="C3723" t="s">
        <v>676</v>
      </c>
    </row>
    <row r="3724" spans="1:3">
      <c r="A3724">
        <v>0</v>
      </c>
      <c r="C3724" t="s">
        <v>676</v>
      </c>
    </row>
    <row r="3725" spans="1:3">
      <c r="A3725">
        <v>0</v>
      </c>
      <c r="C3725" t="s">
        <v>676</v>
      </c>
    </row>
    <row r="3726" spans="1:3">
      <c r="A3726">
        <v>0</v>
      </c>
      <c r="C3726" t="s">
        <v>676</v>
      </c>
    </row>
    <row r="3727" spans="1:3">
      <c r="A3727">
        <v>0</v>
      </c>
      <c r="C3727" t="s">
        <v>676</v>
      </c>
    </row>
    <row r="3728" spans="1:3">
      <c r="C3728" t="s">
        <v>676</v>
      </c>
    </row>
    <row r="3729" spans="1:3">
      <c r="A3729">
        <v>0</v>
      </c>
      <c r="C3729" t="s">
        <v>676</v>
      </c>
    </row>
    <row r="3730" spans="1:3">
      <c r="C3730" t="s">
        <v>676</v>
      </c>
    </row>
    <row r="3731" spans="1:3">
      <c r="A3731">
        <v>0</v>
      </c>
      <c r="C3731" t="s">
        <v>676</v>
      </c>
    </row>
    <row r="3732" spans="1:3">
      <c r="A3732">
        <v>0</v>
      </c>
      <c r="C3732" t="s">
        <v>676</v>
      </c>
    </row>
    <row r="3733" spans="1:3">
      <c r="A3733">
        <v>0</v>
      </c>
      <c r="C3733" t="s">
        <v>676</v>
      </c>
    </row>
    <row r="3734" spans="1:3">
      <c r="A3734">
        <v>0</v>
      </c>
      <c r="C3734" t="s">
        <v>676</v>
      </c>
    </row>
    <row r="3735" spans="1:3">
      <c r="A3735">
        <v>0</v>
      </c>
      <c r="C3735" t="s">
        <v>676</v>
      </c>
    </row>
    <row r="3736" spans="1:3">
      <c r="A3736">
        <v>0</v>
      </c>
      <c r="C3736" t="s">
        <v>676</v>
      </c>
    </row>
    <row r="3737" spans="1:3">
      <c r="A3737">
        <v>0</v>
      </c>
      <c r="C3737" t="s">
        <v>676</v>
      </c>
    </row>
    <row r="3738" spans="1:3">
      <c r="A3738">
        <v>0</v>
      </c>
      <c r="C3738" t="s">
        <v>676</v>
      </c>
    </row>
    <row r="3739" spans="1:3">
      <c r="A3739">
        <v>0</v>
      </c>
      <c r="C3739" t="s">
        <v>676</v>
      </c>
    </row>
    <row r="3740" spans="1:3">
      <c r="A3740">
        <v>0</v>
      </c>
      <c r="C3740" t="s">
        <v>676</v>
      </c>
    </row>
    <row r="3741" spans="1:3">
      <c r="A3741">
        <v>0</v>
      </c>
      <c r="C3741" t="s">
        <v>676</v>
      </c>
    </row>
    <row r="3742" spans="1:3">
      <c r="A3742">
        <v>0</v>
      </c>
      <c r="C3742" t="s">
        <v>676</v>
      </c>
    </row>
    <row r="3743" spans="1:3">
      <c r="A3743">
        <v>0</v>
      </c>
      <c r="C3743" t="s">
        <v>676</v>
      </c>
    </row>
    <row r="3744" spans="1:3">
      <c r="A3744">
        <v>0</v>
      </c>
      <c r="C3744" t="s">
        <v>676</v>
      </c>
    </row>
    <row r="3745" spans="1:3">
      <c r="A3745">
        <v>0</v>
      </c>
      <c r="C3745" t="s">
        <v>676</v>
      </c>
    </row>
    <row r="3746" spans="1:3">
      <c r="A3746">
        <v>0</v>
      </c>
      <c r="C3746" t="s">
        <v>676</v>
      </c>
    </row>
    <row r="3747" spans="1:3">
      <c r="A3747">
        <v>0</v>
      </c>
      <c r="C3747" t="s">
        <v>676</v>
      </c>
    </row>
    <row r="3748" spans="1:3">
      <c r="A3748">
        <v>0</v>
      </c>
      <c r="C3748" t="s">
        <v>676</v>
      </c>
    </row>
    <row r="3749" spans="1:3">
      <c r="A3749">
        <v>0</v>
      </c>
      <c r="C3749" t="s">
        <v>676</v>
      </c>
    </row>
    <row r="3750" spans="1:3">
      <c r="A3750">
        <v>0</v>
      </c>
      <c r="C3750" t="s">
        <v>676</v>
      </c>
    </row>
    <row r="3751" spans="1:3">
      <c r="C3751" t="s">
        <v>676</v>
      </c>
    </row>
    <row r="3752" spans="1:3">
      <c r="C3752" t="s">
        <v>676</v>
      </c>
    </row>
    <row r="3753" spans="1:3">
      <c r="A3753">
        <v>0</v>
      </c>
      <c r="C3753" t="s">
        <v>676</v>
      </c>
    </row>
    <row r="3754" spans="1:3">
      <c r="A3754">
        <v>0</v>
      </c>
      <c r="C3754" t="s">
        <v>676</v>
      </c>
    </row>
    <row r="3755" spans="1:3">
      <c r="A3755">
        <v>0</v>
      </c>
      <c r="C3755" t="s">
        <v>676</v>
      </c>
    </row>
    <row r="3756" spans="1:3">
      <c r="A3756">
        <v>0</v>
      </c>
      <c r="C3756" t="s">
        <v>676</v>
      </c>
    </row>
    <row r="3757" spans="1:3">
      <c r="A3757">
        <v>0</v>
      </c>
      <c r="C3757" t="s">
        <v>676</v>
      </c>
    </row>
    <row r="3758" spans="1:3">
      <c r="A3758">
        <v>0</v>
      </c>
      <c r="C3758" t="s">
        <v>676</v>
      </c>
    </row>
    <row r="3759" spans="1:3">
      <c r="A3759">
        <v>0</v>
      </c>
      <c r="C3759" t="s">
        <v>676</v>
      </c>
    </row>
    <row r="3760" spans="1:3">
      <c r="A3760">
        <v>0</v>
      </c>
      <c r="C3760" t="s">
        <v>676</v>
      </c>
    </row>
    <row r="3761" spans="1:3">
      <c r="C3761" t="s">
        <v>676</v>
      </c>
    </row>
    <row r="3762" spans="1:3">
      <c r="A3762">
        <v>0</v>
      </c>
      <c r="C3762" t="s">
        <v>676</v>
      </c>
    </row>
    <row r="3763" spans="1:3">
      <c r="A3763">
        <v>0</v>
      </c>
      <c r="C3763" t="s">
        <v>676</v>
      </c>
    </row>
    <row r="3764" spans="1:3">
      <c r="A3764">
        <v>0</v>
      </c>
      <c r="C3764" t="s">
        <v>676</v>
      </c>
    </row>
    <row r="3765" spans="1:3">
      <c r="A3765">
        <v>0</v>
      </c>
      <c r="C3765" t="s">
        <v>676</v>
      </c>
    </row>
    <row r="3766" spans="1:3">
      <c r="A3766">
        <v>0</v>
      </c>
      <c r="C3766" t="s">
        <v>676</v>
      </c>
    </row>
    <row r="3767" spans="1:3">
      <c r="A3767">
        <v>0</v>
      </c>
      <c r="C3767" t="s">
        <v>676</v>
      </c>
    </row>
    <row r="3768" spans="1:3">
      <c r="A3768">
        <v>0</v>
      </c>
      <c r="C3768" t="s">
        <v>676</v>
      </c>
    </row>
    <row r="3769" spans="1:3">
      <c r="C3769" t="s">
        <v>676</v>
      </c>
    </row>
    <row r="3770" spans="1:3">
      <c r="A3770">
        <v>0</v>
      </c>
      <c r="C3770" t="s">
        <v>676</v>
      </c>
    </row>
    <row r="3771" spans="1:3">
      <c r="A3771">
        <v>0</v>
      </c>
      <c r="C3771" t="s">
        <v>676</v>
      </c>
    </row>
    <row r="3772" spans="1:3">
      <c r="A3772">
        <v>0</v>
      </c>
      <c r="C3772" t="s">
        <v>676</v>
      </c>
    </row>
    <row r="3773" spans="1:3">
      <c r="C3773" t="s">
        <v>676</v>
      </c>
    </row>
    <row r="3774" spans="1:3">
      <c r="C3774" t="s">
        <v>676</v>
      </c>
    </row>
    <row r="3775" spans="1:3">
      <c r="C3775" t="s">
        <v>676</v>
      </c>
    </row>
    <row r="3776" spans="1:3">
      <c r="A3776">
        <v>0</v>
      </c>
      <c r="C3776" t="s">
        <v>676</v>
      </c>
    </row>
    <row r="3777" spans="1:3">
      <c r="C3777" t="s">
        <v>676</v>
      </c>
    </row>
    <row r="3778" spans="1:3">
      <c r="A3778">
        <v>0</v>
      </c>
      <c r="C3778" t="s">
        <v>676</v>
      </c>
    </row>
    <row r="3779" spans="1:3">
      <c r="A3779">
        <v>0</v>
      </c>
      <c r="C3779" t="s">
        <v>676</v>
      </c>
    </row>
    <row r="3780" spans="1:3">
      <c r="A3780">
        <v>0</v>
      </c>
      <c r="C3780" t="s">
        <v>676</v>
      </c>
    </row>
    <row r="3781" spans="1:3">
      <c r="A3781">
        <v>0</v>
      </c>
      <c r="C3781" t="s">
        <v>676</v>
      </c>
    </row>
    <row r="3782" spans="1:3">
      <c r="A3782">
        <v>0</v>
      </c>
      <c r="C3782" t="s">
        <v>676</v>
      </c>
    </row>
    <row r="3783" spans="1:3">
      <c r="A3783">
        <v>0</v>
      </c>
      <c r="C3783" t="s">
        <v>676</v>
      </c>
    </row>
    <row r="3784" spans="1:3">
      <c r="A3784">
        <v>0</v>
      </c>
      <c r="C3784" t="s">
        <v>676</v>
      </c>
    </row>
    <row r="3785" spans="1:3">
      <c r="A3785">
        <v>0</v>
      </c>
      <c r="C3785" t="s">
        <v>676</v>
      </c>
    </row>
    <row r="3786" spans="1:3">
      <c r="A3786">
        <v>0</v>
      </c>
      <c r="C3786" t="s">
        <v>676</v>
      </c>
    </row>
    <row r="3787" spans="1:3">
      <c r="C3787" t="s">
        <v>676</v>
      </c>
    </row>
    <row r="3788" spans="1:3">
      <c r="A3788">
        <v>0</v>
      </c>
      <c r="C3788" t="s">
        <v>676</v>
      </c>
    </row>
    <row r="3789" spans="1:3">
      <c r="A3789">
        <v>0</v>
      </c>
      <c r="C3789" t="s">
        <v>676</v>
      </c>
    </row>
    <row r="3790" spans="1:3">
      <c r="A3790">
        <v>0</v>
      </c>
      <c r="C3790" t="s">
        <v>676</v>
      </c>
    </row>
    <row r="3791" spans="1:3">
      <c r="A3791">
        <v>0</v>
      </c>
      <c r="C3791" t="s">
        <v>676</v>
      </c>
    </row>
    <row r="3792" spans="1:3">
      <c r="A3792">
        <v>0</v>
      </c>
      <c r="C3792" t="s">
        <v>676</v>
      </c>
    </row>
    <row r="3793" spans="1:3">
      <c r="A3793">
        <v>0</v>
      </c>
      <c r="C3793" t="s">
        <v>676</v>
      </c>
    </row>
    <row r="3794" spans="1:3">
      <c r="A3794">
        <v>0</v>
      </c>
      <c r="C3794" t="s">
        <v>676</v>
      </c>
    </row>
    <row r="3795" spans="1:3">
      <c r="A3795">
        <v>0</v>
      </c>
      <c r="C3795" t="s">
        <v>676</v>
      </c>
    </row>
    <row r="3796" spans="1:3">
      <c r="A3796">
        <v>0</v>
      </c>
      <c r="C3796" t="s">
        <v>676</v>
      </c>
    </row>
    <row r="3797" spans="1:3">
      <c r="A3797">
        <v>0</v>
      </c>
      <c r="C3797" t="s">
        <v>676</v>
      </c>
    </row>
    <row r="3798" spans="1:3">
      <c r="C3798" t="s">
        <v>676</v>
      </c>
    </row>
    <row r="3799" spans="1:3">
      <c r="C3799" t="s">
        <v>676</v>
      </c>
    </row>
    <row r="3800" spans="1:3">
      <c r="A3800">
        <v>0</v>
      </c>
      <c r="C3800" t="s">
        <v>676</v>
      </c>
    </row>
    <row r="3801" spans="1:3">
      <c r="A3801">
        <v>0</v>
      </c>
      <c r="C3801" t="s">
        <v>676</v>
      </c>
    </row>
    <row r="3802" spans="1:3">
      <c r="A3802">
        <v>0</v>
      </c>
      <c r="C3802" t="s">
        <v>676</v>
      </c>
    </row>
    <row r="3803" spans="1:3">
      <c r="A3803">
        <v>0</v>
      </c>
      <c r="C3803" t="s">
        <v>676</v>
      </c>
    </row>
    <row r="3804" spans="1:3">
      <c r="A3804">
        <v>0</v>
      </c>
      <c r="C3804" t="s">
        <v>676</v>
      </c>
    </row>
    <row r="3805" spans="1:3">
      <c r="A3805">
        <v>0</v>
      </c>
      <c r="C3805" t="s">
        <v>676</v>
      </c>
    </row>
    <row r="3806" spans="1:3">
      <c r="A3806">
        <v>0</v>
      </c>
      <c r="C3806" t="s">
        <v>676</v>
      </c>
    </row>
    <row r="3807" spans="1:3">
      <c r="A3807">
        <v>0</v>
      </c>
      <c r="C3807" t="s">
        <v>676</v>
      </c>
    </row>
    <row r="3808" spans="1:3">
      <c r="A3808">
        <v>0</v>
      </c>
      <c r="C3808" t="s">
        <v>676</v>
      </c>
    </row>
    <row r="3809" spans="1:3">
      <c r="A3809">
        <v>0</v>
      </c>
      <c r="C3809" t="s">
        <v>676</v>
      </c>
    </row>
    <row r="3810" spans="1:3">
      <c r="A3810">
        <v>0</v>
      </c>
      <c r="C3810" t="s">
        <v>676</v>
      </c>
    </row>
    <row r="3811" spans="1:3">
      <c r="A3811">
        <v>0</v>
      </c>
      <c r="C3811" t="s">
        <v>676</v>
      </c>
    </row>
    <row r="3812" spans="1:3">
      <c r="A3812">
        <v>0</v>
      </c>
      <c r="C3812" t="s">
        <v>676</v>
      </c>
    </row>
    <row r="3813" spans="1:3">
      <c r="A3813">
        <v>0</v>
      </c>
      <c r="C3813" t="s">
        <v>676</v>
      </c>
    </row>
    <row r="3814" spans="1:3">
      <c r="A3814">
        <v>0</v>
      </c>
      <c r="C3814" t="s">
        <v>676</v>
      </c>
    </row>
    <row r="3815" spans="1:3">
      <c r="A3815">
        <v>0</v>
      </c>
      <c r="C3815" t="s">
        <v>676</v>
      </c>
    </row>
    <row r="3816" spans="1:3">
      <c r="A3816">
        <v>0</v>
      </c>
      <c r="C3816" t="s">
        <v>676</v>
      </c>
    </row>
    <row r="3817" spans="1:3">
      <c r="A3817">
        <v>0</v>
      </c>
      <c r="C3817" t="s">
        <v>676</v>
      </c>
    </row>
    <row r="3818" spans="1:3">
      <c r="A3818">
        <v>0</v>
      </c>
      <c r="C3818" t="s">
        <v>676</v>
      </c>
    </row>
    <row r="3819" spans="1:3">
      <c r="A3819">
        <v>0</v>
      </c>
      <c r="C3819" t="s">
        <v>676</v>
      </c>
    </row>
    <row r="3820" spans="1:3">
      <c r="A3820">
        <v>0</v>
      </c>
      <c r="C3820" t="s">
        <v>676</v>
      </c>
    </row>
    <row r="3821" spans="1:3">
      <c r="A3821">
        <v>0</v>
      </c>
      <c r="C3821" t="s">
        <v>676</v>
      </c>
    </row>
    <row r="3822" spans="1:3">
      <c r="A3822">
        <v>0</v>
      </c>
      <c r="C3822" t="s">
        <v>676</v>
      </c>
    </row>
    <row r="3823" spans="1:3">
      <c r="A3823">
        <v>0</v>
      </c>
      <c r="C3823" t="s">
        <v>676</v>
      </c>
    </row>
    <row r="3824" spans="1:3">
      <c r="A3824">
        <v>0</v>
      </c>
      <c r="C3824" t="s">
        <v>676</v>
      </c>
    </row>
    <row r="3825" spans="1:3">
      <c r="A3825">
        <v>0</v>
      </c>
      <c r="C3825" t="s">
        <v>676</v>
      </c>
    </row>
    <row r="3826" spans="1:3">
      <c r="A3826">
        <v>0</v>
      </c>
      <c r="C3826" t="s">
        <v>676</v>
      </c>
    </row>
    <row r="3827" spans="1:3">
      <c r="A3827">
        <v>0</v>
      </c>
      <c r="C3827" t="s">
        <v>676</v>
      </c>
    </row>
    <row r="3828" spans="1:3">
      <c r="A3828">
        <v>0</v>
      </c>
      <c r="C3828" t="s">
        <v>676</v>
      </c>
    </row>
    <row r="3829" spans="1:3">
      <c r="A3829">
        <v>0</v>
      </c>
      <c r="C3829" t="s">
        <v>676</v>
      </c>
    </row>
    <row r="3830" spans="1:3">
      <c r="A3830">
        <v>0</v>
      </c>
      <c r="C3830" t="s">
        <v>676</v>
      </c>
    </row>
    <row r="3831" spans="1:3">
      <c r="A3831">
        <v>0</v>
      </c>
      <c r="C3831" t="s">
        <v>676</v>
      </c>
    </row>
    <row r="3832" spans="1:3">
      <c r="A3832">
        <v>0</v>
      </c>
      <c r="C3832" t="s">
        <v>676</v>
      </c>
    </row>
    <row r="3833" spans="1:3">
      <c r="A3833">
        <v>0</v>
      </c>
      <c r="C3833" t="s">
        <v>676</v>
      </c>
    </row>
    <row r="3834" spans="1:3">
      <c r="A3834">
        <v>0</v>
      </c>
      <c r="C3834" t="s">
        <v>676</v>
      </c>
    </row>
    <row r="3835" spans="1:3">
      <c r="A3835">
        <v>0</v>
      </c>
      <c r="C3835" t="s">
        <v>676</v>
      </c>
    </row>
    <row r="3836" spans="1:3">
      <c r="A3836">
        <v>0</v>
      </c>
      <c r="C3836" t="s">
        <v>676</v>
      </c>
    </row>
    <row r="3837" spans="1:3">
      <c r="A3837">
        <v>0</v>
      </c>
      <c r="C3837" t="s">
        <v>676</v>
      </c>
    </row>
    <row r="3838" spans="1:3">
      <c r="A3838">
        <v>1095630000</v>
      </c>
      <c r="B3838" t="s">
        <v>1803</v>
      </c>
      <c r="C3838" t="s">
        <v>676</v>
      </c>
    </row>
    <row r="3839" spans="1:3">
      <c r="A3839">
        <v>5000000</v>
      </c>
      <c r="B3839" t="s">
        <v>1803</v>
      </c>
      <c r="C3839" t="s">
        <v>676</v>
      </c>
    </row>
    <row r="3840" spans="1:3">
      <c r="A3840">
        <v>1100630000</v>
      </c>
      <c r="C3840" t="s">
        <v>676</v>
      </c>
    </row>
    <row r="3845" spans="1:3">
      <c r="C3845" t="s">
        <v>678</v>
      </c>
    </row>
    <row r="3846" spans="1:3">
      <c r="A3846">
        <v>33636755</v>
      </c>
      <c r="C3846" t="s">
        <v>678</v>
      </c>
    </row>
    <row r="3847" spans="1:3">
      <c r="A3847">
        <v>33636755</v>
      </c>
      <c r="B3847" t="s">
        <v>1803</v>
      </c>
      <c r="C3847" t="s">
        <v>678</v>
      </c>
    </row>
    <row r="3848" spans="1:3">
      <c r="A3848">
        <v>10000000</v>
      </c>
      <c r="C3848" t="s">
        <v>678</v>
      </c>
    </row>
    <row r="3849" spans="1:3">
      <c r="A3849">
        <v>10000000</v>
      </c>
      <c r="B3849" t="s">
        <v>1803</v>
      </c>
      <c r="C3849" t="s">
        <v>678</v>
      </c>
    </row>
    <row r="3850" spans="1:3">
      <c r="A3850">
        <v>1050000</v>
      </c>
      <c r="C3850" t="s">
        <v>678</v>
      </c>
    </row>
    <row r="3851" spans="1:3">
      <c r="A3851">
        <v>400000</v>
      </c>
      <c r="B3851" t="s">
        <v>1803</v>
      </c>
      <c r="C3851" t="s">
        <v>678</v>
      </c>
    </row>
    <row r="3852" spans="1:3">
      <c r="A3852">
        <v>650000</v>
      </c>
      <c r="B3852" t="s">
        <v>1803</v>
      </c>
      <c r="C3852" t="s">
        <v>678</v>
      </c>
    </row>
    <row r="3853" spans="1:3">
      <c r="A3853">
        <v>84000</v>
      </c>
      <c r="C3853" t="s">
        <v>678</v>
      </c>
    </row>
    <row r="3854" spans="1:3">
      <c r="A3854">
        <v>58000</v>
      </c>
      <c r="B3854" t="s">
        <v>1803</v>
      </c>
      <c r="C3854" t="s">
        <v>678</v>
      </c>
    </row>
    <row r="3855" spans="1:3">
      <c r="A3855">
        <v>20000</v>
      </c>
      <c r="B3855" t="s">
        <v>1803</v>
      </c>
      <c r="C3855" t="s">
        <v>678</v>
      </c>
    </row>
    <row r="3856" spans="1:3">
      <c r="A3856">
        <v>6000</v>
      </c>
      <c r="B3856" t="s">
        <v>1803</v>
      </c>
      <c r="C3856" t="s">
        <v>678</v>
      </c>
    </row>
    <row r="3857" spans="1:3">
      <c r="A3857">
        <v>783000</v>
      </c>
      <c r="C3857" t="s">
        <v>678</v>
      </c>
    </row>
    <row r="3858" spans="1:3">
      <c r="A3858">
        <v>319000</v>
      </c>
      <c r="B3858" t="s">
        <v>1803</v>
      </c>
      <c r="C3858" t="s">
        <v>678</v>
      </c>
    </row>
    <row r="3859" spans="1:3">
      <c r="A3859">
        <v>464000</v>
      </c>
      <c r="B3859" t="s">
        <v>1803</v>
      </c>
      <c r="C3859" t="s">
        <v>678</v>
      </c>
    </row>
    <row r="3860" spans="1:3">
      <c r="A3860">
        <v>10000</v>
      </c>
      <c r="C3860" t="s">
        <v>678</v>
      </c>
    </row>
    <row r="3861" spans="1:3">
      <c r="A3861">
        <v>10000</v>
      </c>
      <c r="B3861" t="s">
        <v>1803</v>
      </c>
      <c r="C3861" t="s">
        <v>678</v>
      </c>
    </row>
    <row r="3862" spans="1:3">
      <c r="A3862">
        <v>274000</v>
      </c>
      <c r="C3862" t="s">
        <v>678</v>
      </c>
    </row>
    <row r="3863" spans="1:3">
      <c r="A3863">
        <v>174000</v>
      </c>
      <c r="B3863" t="s">
        <v>1803</v>
      </c>
      <c r="C3863" t="s">
        <v>678</v>
      </c>
    </row>
    <row r="3864" spans="1:3">
      <c r="A3864">
        <v>100000</v>
      </c>
      <c r="B3864" t="s">
        <v>1803</v>
      </c>
      <c r="C3864" t="s">
        <v>678</v>
      </c>
    </row>
    <row r="3865" spans="1:3">
      <c r="A3865">
        <v>1816814</v>
      </c>
      <c r="C3865" t="s">
        <v>678</v>
      </c>
    </row>
    <row r="3866" spans="1:3">
      <c r="A3866">
        <v>316814</v>
      </c>
      <c r="B3866" t="s">
        <v>1803</v>
      </c>
      <c r="C3866" t="s">
        <v>678</v>
      </c>
    </row>
    <row r="3867" spans="1:3">
      <c r="A3867">
        <v>1500000</v>
      </c>
      <c r="B3867" t="s">
        <v>1803</v>
      </c>
      <c r="C3867" t="s">
        <v>678</v>
      </c>
    </row>
    <row r="3868" spans="1:3">
      <c r="A3868">
        <v>950000</v>
      </c>
      <c r="C3868" t="s">
        <v>678</v>
      </c>
    </row>
    <row r="3869" spans="1:3">
      <c r="A3869">
        <v>400000</v>
      </c>
      <c r="B3869" t="s">
        <v>1803</v>
      </c>
      <c r="C3869" t="s">
        <v>678</v>
      </c>
    </row>
    <row r="3870" spans="1:3">
      <c r="A3870">
        <v>300000</v>
      </c>
      <c r="B3870" t="s">
        <v>1803</v>
      </c>
      <c r="C3870" t="s">
        <v>678</v>
      </c>
    </row>
    <row r="3871" spans="1:3">
      <c r="A3871">
        <v>250000</v>
      </c>
      <c r="B3871" t="s">
        <v>1803</v>
      </c>
      <c r="C3871" t="s">
        <v>678</v>
      </c>
    </row>
    <row r="3872" spans="1:3">
      <c r="A3872">
        <v>1000000</v>
      </c>
      <c r="C3872" t="s">
        <v>678</v>
      </c>
    </row>
    <row r="3873" spans="1:3">
      <c r="A3873">
        <v>1000000</v>
      </c>
      <c r="B3873" t="s">
        <v>1803</v>
      </c>
      <c r="C3873" t="s">
        <v>678</v>
      </c>
    </row>
    <row r="3874" spans="1:3">
      <c r="A3874">
        <v>400000</v>
      </c>
      <c r="C3874" t="s">
        <v>678</v>
      </c>
    </row>
    <row r="3875" spans="1:3">
      <c r="A3875">
        <v>400000</v>
      </c>
      <c r="B3875" t="s">
        <v>1803</v>
      </c>
      <c r="C3875" t="s">
        <v>678</v>
      </c>
    </row>
    <row r="3876" spans="1:3">
      <c r="A3876">
        <v>950000</v>
      </c>
      <c r="C3876" t="s">
        <v>678</v>
      </c>
    </row>
    <row r="3877" spans="1:3">
      <c r="A3877">
        <v>150000</v>
      </c>
      <c r="B3877" t="s">
        <v>1803</v>
      </c>
      <c r="C3877" t="s">
        <v>678</v>
      </c>
    </row>
    <row r="3878" spans="1:3">
      <c r="A3878">
        <v>300000</v>
      </c>
      <c r="B3878" t="s">
        <v>1803</v>
      </c>
      <c r="C3878" t="s">
        <v>678</v>
      </c>
    </row>
    <row r="3879" spans="1:3">
      <c r="A3879">
        <v>500000</v>
      </c>
      <c r="B3879" t="s">
        <v>1803</v>
      </c>
      <c r="C3879" t="s">
        <v>678</v>
      </c>
    </row>
    <row r="3880" spans="1:3">
      <c r="A3880">
        <v>500000</v>
      </c>
      <c r="C3880" t="s">
        <v>678</v>
      </c>
    </row>
    <row r="3881" spans="1:3">
      <c r="A3881">
        <v>500000</v>
      </c>
      <c r="B3881" t="s">
        <v>1803</v>
      </c>
      <c r="C3881" t="s">
        <v>678</v>
      </c>
    </row>
    <row r="3882" spans="1:3">
      <c r="A3882">
        <v>51454569</v>
      </c>
      <c r="C3882" t="s">
        <v>678</v>
      </c>
    </row>
    <row r="3883" spans="1:3">
      <c r="C3883" t="s">
        <v>678</v>
      </c>
    </row>
    <row r="3884" spans="1:3">
      <c r="C3884" t="s">
        <v>678</v>
      </c>
    </row>
    <row r="3885" spans="1:3">
      <c r="A3885">
        <v>27100000</v>
      </c>
      <c r="C3885" t="s">
        <v>678</v>
      </c>
    </row>
    <row r="3886" spans="1:3">
      <c r="A3886">
        <v>21100000</v>
      </c>
      <c r="B3886" t="s">
        <v>1803</v>
      </c>
      <c r="C3886" t="s">
        <v>678</v>
      </c>
    </row>
    <row r="3887" spans="1:3">
      <c r="A3887">
        <v>6000000</v>
      </c>
      <c r="B3887" t="s">
        <v>1803</v>
      </c>
      <c r="C3887" t="s">
        <v>678</v>
      </c>
    </row>
    <row r="3888" spans="1:3">
      <c r="A3888">
        <v>1500000</v>
      </c>
      <c r="C3888" t="s">
        <v>678</v>
      </c>
    </row>
    <row r="3889" spans="1:3">
      <c r="A3889">
        <v>1500000</v>
      </c>
      <c r="B3889" t="s">
        <v>1803</v>
      </c>
      <c r="C3889" t="s">
        <v>678</v>
      </c>
    </row>
    <row r="3890" spans="1:3">
      <c r="A3890">
        <v>28600000</v>
      </c>
      <c r="C3890" t="s">
        <v>678</v>
      </c>
    </row>
    <row r="3891" spans="1:3">
      <c r="A3891">
        <v>80054569</v>
      </c>
      <c r="C3891" t="s">
        <v>678</v>
      </c>
    </row>
    <row r="3892" spans="1:3">
      <c r="C3892" t="s">
        <v>678</v>
      </c>
    </row>
    <row r="3893" spans="1:3">
      <c r="C3893" t="s">
        <v>678</v>
      </c>
    </row>
    <row r="3894" spans="1:3">
      <c r="A3894">
        <v>880000</v>
      </c>
      <c r="C3894" t="s">
        <v>678</v>
      </c>
    </row>
    <row r="3895" spans="1:3">
      <c r="A3895">
        <v>880000</v>
      </c>
      <c r="B3895" t="s">
        <v>1803</v>
      </c>
      <c r="C3895" t="s">
        <v>678</v>
      </c>
    </row>
    <row r="3896" spans="1:3">
      <c r="A3896">
        <v>58000</v>
      </c>
      <c r="C3896" t="s">
        <v>678</v>
      </c>
    </row>
    <row r="3897" spans="1:3">
      <c r="A3897">
        <v>58000</v>
      </c>
      <c r="B3897" t="s">
        <v>1803</v>
      </c>
      <c r="C3897" t="s">
        <v>678</v>
      </c>
    </row>
    <row r="3898" spans="1:3">
      <c r="A3898">
        <v>1493000</v>
      </c>
      <c r="C3898" t="s">
        <v>678</v>
      </c>
    </row>
    <row r="3899" spans="1:3">
      <c r="A3899">
        <v>232000</v>
      </c>
      <c r="B3899" t="s">
        <v>1803</v>
      </c>
      <c r="C3899" t="s">
        <v>678</v>
      </c>
    </row>
    <row r="3900" spans="1:3">
      <c r="A3900">
        <v>261000</v>
      </c>
      <c r="B3900" t="s">
        <v>1803</v>
      </c>
      <c r="C3900" t="s">
        <v>678</v>
      </c>
    </row>
    <row r="3901" spans="1:3">
      <c r="A3901">
        <v>1000000</v>
      </c>
      <c r="B3901" t="s">
        <v>1803</v>
      </c>
      <c r="C3901" t="s">
        <v>678</v>
      </c>
    </row>
    <row r="3902" spans="1:3">
      <c r="A3902">
        <v>60000</v>
      </c>
      <c r="C3902" t="s">
        <v>678</v>
      </c>
    </row>
    <row r="3903" spans="1:3">
      <c r="A3903">
        <v>10000</v>
      </c>
      <c r="B3903" t="s">
        <v>1803</v>
      </c>
      <c r="C3903" t="s">
        <v>678</v>
      </c>
    </row>
    <row r="3904" spans="1:3">
      <c r="A3904">
        <v>50000</v>
      </c>
      <c r="B3904" t="s">
        <v>1803</v>
      </c>
      <c r="C3904" t="s">
        <v>678</v>
      </c>
    </row>
    <row r="3905" spans="1:3">
      <c r="A3905">
        <v>450000</v>
      </c>
      <c r="C3905" t="s">
        <v>678</v>
      </c>
    </row>
    <row r="3906" spans="1:3">
      <c r="A3906">
        <v>100000</v>
      </c>
      <c r="B3906" t="s">
        <v>1803</v>
      </c>
      <c r="C3906" t="s">
        <v>678</v>
      </c>
    </row>
    <row r="3907" spans="1:3">
      <c r="A3907">
        <v>250000</v>
      </c>
      <c r="B3907" t="s">
        <v>1803</v>
      </c>
      <c r="C3907" t="s">
        <v>678</v>
      </c>
    </row>
    <row r="3908" spans="1:3">
      <c r="A3908">
        <v>100000</v>
      </c>
      <c r="B3908" t="s">
        <v>1803</v>
      </c>
      <c r="C3908" t="s">
        <v>678</v>
      </c>
    </row>
    <row r="3909" spans="1:3">
      <c r="A3909">
        <v>300000</v>
      </c>
      <c r="C3909" t="s">
        <v>678</v>
      </c>
    </row>
    <row r="3910" spans="1:3">
      <c r="A3910">
        <v>300000</v>
      </c>
      <c r="B3910" t="s">
        <v>1803</v>
      </c>
      <c r="C3910" t="s">
        <v>678</v>
      </c>
    </row>
    <row r="3911" spans="1:3">
      <c r="A3911">
        <v>300000</v>
      </c>
      <c r="C3911" t="s">
        <v>678</v>
      </c>
    </row>
    <row r="3912" spans="1:3">
      <c r="A3912">
        <v>300000</v>
      </c>
      <c r="B3912" t="s">
        <v>1803</v>
      </c>
      <c r="C3912" t="s">
        <v>678</v>
      </c>
    </row>
    <row r="3913" spans="1:3">
      <c r="A3913">
        <v>640000</v>
      </c>
      <c r="C3913" t="s">
        <v>678</v>
      </c>
    </row>
    <row r="3914" spans="1:3">
      <c r="A3914">
        <v>400000</v>
      </c>
      <c r="B3914" t="s">
        <v>1803</v>
      </c>
      <c r="C3914" t="s">
        <v>678</v>
      </c>
    </row>
    <row r="3915" spans="1:3">
      <c r="A3915">
        <v>240000</v>
      </c>
      <c r="B3915" t="s">
        <v>1803</v>
      </c>
      <c r="C3915" t="s">
        <v>678</v>
      </c>
    </row>
    <row r="3916" spans="1:3">
      <c r="A3916">
        <v>850000</v>
      </c>
      <c r="C3916" t="s">
        <v>678</v>
      </c>
    </row>
    <row r="3917" spans="1:3">
      <c r="A3917">
        <v>850000</v>
      </c>
      <c r="B3917" t="s">
        <v>1803</v>
      </c>
      <c r="C3917" t="s">
        <v>678</v>
      </c>
    </row>
    <row r="3918" spans="1:3">
      <c r="A3918">
        <v>15000</v>
      </c>
      <c r="C3918" t="s">
        <v>678</v>
      </c>
    </row>
    <row r="3919" spans="1:3">
      <c r="A3919">
        <v>15000</v>
      </c>
      <c r="B3919" t="s">
        <v>1803</v>
      </c>
      <c r="C3919" t="s">
        <v>678</v>
      </c>
    </row>
    <row r="3920" spans="1:3">
      <c r="A3920">
        <v>400000</v>
      </c>
      <c r="C3920" t="s">
        <v>678</v>
      </c>
    </row>
    <row r="3921" spans="1:3">
      <c r="A3921">
        <v>400000</v>
      </c>
      <c r="B3921" t="s">
        <v>1803</v>
      </c>
      <c r="C3921" t="s">
        <v>678</v>
      </c>
    </row>
    <row r="3922" spans="1:3">
      <c r="A3922">
        <v>350000</v>
      </c>
      <c r="C3922" t="s">
        <v>678</v>
      </c>
    </row>
    <row r="3923" spans="1:3">
      <c r="A3923">
        <v>350000</v>
      </c>
      <c r="B3923" t="s">
        <v>1803</v>
      </c>
      <c r="C3923" t="s">
        <v>678</v>
      </c>
    </row>
    <row r="3924" spans="1:3">
      <c r="A3924">
        <v>5796000</v>
      </c>
      <c r="C3924" t="s">
        <v>678</v>
      </c>
    </row>
    <row r="3925" spans="1:3">
      <c r="C3925" t="s">
        <v>678</v>
      </c>
    </row>
    <row r="3926" spans="1:3">
      <c r="C3926" t="s">
        <v>678</v>
      </c>
    </row>
    <row r="3927" spans="1:3">
      <c r="A3927">
        <v>4300000</v>
      </c>
      <c r="C3927" t="s">
        <v>678</v>
      </c>
    </row>
    <row r="3928" spans="1:3">
      <c r="A3928">
        <v>1500000</v>
      </c>
      <c r="B3928" t="s">
        <v>1803</v>
      </c>
      <c r="C3928" t="s">
        <v>678</v>
      </c>
    </row>
    <row r="3929" spans="1:3">
      <c r="A3929">
        <v>2800000</v>
      </c>
      <c r="B3929" t="s">
        <v>1803</v>
      </c>
      <c r="C3929" t="s">
        <v>678</v>
      </c>
    </row>
    <row r="3930" spans="1:3">
      <c r="A3930">
        <v>4300000</v>
      </c>
      <c r="C3930" t="s">
        <v>678</v>
      </c>
    </row>
    <row r="3931" spans="1:3">
      <c r="A3931">
        <v>10096000</v>
      </c>
      <c r="C3931" t="s">
        <v>678</v>
      </c>
    </row>
    <row r="3932" spans="1:3">
      <c r="C3932" t="s">
        <v>678</v>
      </c>
    </row>
    <row r="3933" spans="1:3">
      <c r="C3933" t="s">
        <v>678</v>
      </c>
    </row>
    <row r="3934" spans="1:3">
      <c r="C3934" t="s">
        <v>678</v>
      </c>
    </row>
    <row r="3935" spans="1:3">
      <c r="A3935">
        <v>1000000</v>
      </c>
      <c r="C3935" t="s">
        <v>678</v>
      </c>
    </row>
    <row r="3936" spans="1:3">
      <c r="A3936">
        <v>500000</v>
      </c>
      <c r="B3936" t="s">
        <v>1803</v>
      </c>
      <c r="C3936" t="s">
        <v>678</v>
      </c>
    </row>
    <row r="3937" spans="1:3">
      <c r="A3937">
        <v>500000</v>
      </c>
      <c r="B3937" t="s">
        <v>1803</v>
      </c>
      <c r="C3937" t="s">
        <v>678</v>
      </c>
    </row>
    <row r="3938" spans="1:3">
      <c r="A3938">
        <v>1089000</v>
      </c>
      <c r="C3938" t="s">
        <v>678</v>
      </c>
    </row>
    <row r="3939" spans="1:3">
      <c r="A3939">
        <v>174000</v>
      </c>
      <c r="B3939" t="s">
        <v>1803</v>
      </c>
      <c r="C3939" t="s">
        <v>678</v>
      </c>
    </row>
    <row r="3940" spans="1:3">
      <c r="A3940">
        <v>435000</v>
      </c>
      <c r="B3940" t="s">
        <v>1803</v>
      </c>
      <c r="C3940" t="s">
        <v>678</v>
      </c>
    </row>
    <row r="3941" spans="1:3">
      <c r="A3941">
        <v>480000</v>
      </c>
      <c r="B3941" t="s">
        <v>1803</v>
      </c>
      <c r="C3941" t="s">
        <v>678</v>
      </c>
    </row>
    <row r="3942" spans="1:3">
      <c r="A3942">
        <v>100000</v>
      </c>
      <c r="C3942" t="s">
        <v>678</v>
      </c>
    </row>
    <row r="3943" spans="1:3">
      <c r="A3943">
        <v>100000</v>
      </c>
      <c r="B3943" t="s">
        <v>1803</v>
      </c>
      <c r="C3943" t="s">
        <v>678</v>
      </c>
    </row>
    <row r="3944" spans="1:3">
      <c r="A3944">
        <v>250000</v>
      </c>
      <c r="C3944" t="s">
        <v>678</v>
      </c>
    </row>
    <row r="3945" spans="1:3">
      <c r="A3945">
        <v>250000</v>
      </c>
      <c r="B3945" t="s">
        <v>1803</v>
      </c>
      <c r="C3945" t="s">
        <v>678</v>
      </c>
    </row>
    <row r="3946" spans="1:3">
      <c r="A3946">
        <v>1000000</v>
      </c>
      <c r="C3946" t="s">
        <v>678</v>
      </c>
    </row>
    <row r="3947" spans="1:3">
      <c r="A3947">
        <v>1000000</v>
      </c>
      <c r="B3947" t="s">
        <v>1803</v>
      </c>
      <c r="C3947" t="s">
        <v>678</v>
      </c>
    </row>
    <row r="3948" spans="1:3">
      <c r="A3948">
        <v>400000</v>
      </c>
      <c r="C3948" t="s">
        <v>678</v>
      </c>
    </row>
    <row r="3949" spans="1:3">
      <c r="A3949">
        <v>400000</v>
      </c>
      <c r="B3949" t="s">
        <v>1803</v>
      </c>
      <c r="C3949" t="s">
        <v>678</v>
      </c>
    </row>
    <row r="3950" spans="1:3">
      <c r="A3950">
        <v>600000</v>
      </c>
      <c r="C3950" t="s">
        <v>678</v>
      </c>
    </row>
    <row r="3951" spans="1:3">
      <c r="A3951">
        <v>600000</v>
      </c>
      <c r="B3951" t="s">
        <v>1803</v>
      </c>
      <c r="C3951" t="s">
        <v>678</v>
      </c>
    </row>
    <row r="3952" spans="1:3">
      <c r="A3952">
        <v>4439000</v>
      </c>
      <c r="C3952" t="s">
        <v>678</v>
      </c>
    </row>
    <row r="3953" spans="1:3">
      <c r="C3953" t="s">
        <v>678</v>
      </c>
    </row>
    <row r="3954" spans="1:3">
      <c r="C3954" t="s">
        <v>678</v>
      </c>
    </row>
    <row r="3955" spans="1:3">
      <c r="A3955">
        <v>22500000</v>
      </c>
      <c r="C3955" t="s">
        <v>678</v>
      </c>
    </row>
    <row r="3956" spans="1:3">
      <c r="A3956">
        <v>2500000</v>
      </c>
      <c r="B3956" t="s">
        <v>1803</v>
      </c>
      <c r="C3956" t="s">
        <v>678</v>
      </c>
    </row>
    <row r="3957" spans="1:3">
      <c r="A3957">
        <v>20000000</v>
      </c>
      <c r="B3957" t="s">
        <v>1803</v>
      </c>
      <c r="C3957" t="s">
        <v>678</v>
      </c>
    </row>
    <row r="3958" spans="1:3">
      <c r="A3958">
        <v>16500000</v>
      </c>
      <c r="C3958" t="s">
        <v>678</v>
      </c>
    </row>
    <row r="3959" spans="1:3">
      <c r="A3959">
        <v>4500000</v>
      </c>
      <c r="B3959" t="s">
        <v>1803</v>
      </c>
      <c r="C3959" t="s">
        <v>678</v>
      </c>
    </row>
    <row r="3960" spans="1:3">
      <c r="A3960">
        <v>12000000</v>
      </c>
      <c r="B3960" t="s">
        <v>1803</v>
      </c>
      <c r="C3960" t="s">
        <v>678</v>
      </c>
    </row>
    <row r="3961" spans="1:3">
      <c r="A3961">
        <v>6500000</v>
      </c>
      <c r="C3961" t="s">
        <v>678</v>
      </c>
    </row>
    <row r="3962" spans="1:3">
      <c r="A3962">
        <v>6500000</v>
      </c>
      <c r="B3962" t="s">
        <v>1803</v>
      </c>
      <c r="C3962" t="s">
        <v>678</v>
      </c>
    </row>
    <row r="3963" spans="1:3">
      <c r="A3963">
        <v>3000000</v>
      </c>
      <c r="C3963" t="s">
        <v>678</v>
      </c>
    </row>
    <row r="3964" spans="1:3">
      <c r="A3964">
        <v>3000000</v>
      </c>
      <c r="B3964" t="s">
        <v>1803</v>
      </c>
      <c r="C3964" t="s">
        <v>678</v>
      </c>
    </row>
    <row r="3965" spans="1:3">
      <c r="A3965">
        <v>48500000</v>
      </c>
      <c r="C3965" t="s">
        <v>678</v>
      </c>
    </row>
    <row r="3966" spans="1:3">
      <c r="A3966">
        <v>52939000</v>
      </c>
      <c r="C3966" t="s">
        <v>678</v>
      </c>
    </row>
    <row r="3967" spans="1:3">
      <c r="C3967" t="s">
        <v>678</v>
      </c>
    </row>
    <row r="3968" spans="1:3">
      <c r="C3968" t="s">
        <v>678</v>
      </c>
    </row>
    <row r="3969" spans="1:3">
      <c r="C3969" t="s">
        <v>678</v>
      </c>
    </row>
    <row r="3970" spans="1:3">
      <c r="A3970">
        <v>700000</v>
      </c>
      <c r="C3970" t="s">
        <v>678</v>
      </c>
    </row>
    <row r="3971" spans="1:3">
      <c r="A3971">
        <v>700000</v>
      </c>
      <c r="B3971" t="s">
        <v>1803</v>
      </c>
      <c r="C3971" t="s">
        <v>678</v>
      </c>
    </row>
    <row r="3972" spans="1:3">
      <c r="A3972">
        <v>87000</v>
      </c>
      <c r="C3972" t="s">
        <v>678</v>
      </c>
    </row>
    <row r="3973" spans="1:3">
      <c r="A3973">
        <v>87000</v>
      </c>
      <c r="B3973" t="s">
        <v>1803</v>
      </c>
      <c r="C3973" t="s">
        <v>678</v>
      </c>
    </row>
    <row r="3974" spans="1:3">
      <c r="A3974">
        <v>812000</v>
      </c>
      <c r="C3974" t="s">
        <v>678</v>
      </c>
    </row>
    <row r="3975" spans="1:3">
      <c r="A3975">
        <v>406000</v>
      </c>
      <c r="B3975" t="s">
        <v>1803</v>
      </c>
      <c r="C3975" t="s">
        <v>678</v>
      </c>
    </row>
    <row r="3976" spans="1:3">
      <c r="A3976">
        <v>116000</v>
      </c>
      <c r="B3976" t="s">
        <v>1803</v>
      </c>
      <c r="C3976" t="s">
        <v>678</v>
      </c>
    </row>
    <row r="3977" spans="1:3">
      <c r="A3977">
        <v>290000</v>
      </c>
      <c r="B3977" t="s">
        <v>1803</v>
      </c>
      <c r="C3977" t="s">
        <v>678</v>
      </c>
    </row>
    <row r="3978" spans="1:3">
      <c r="A3978">
        <v>100000</v>
      </c>
      <c r="C3978" t="s">
        <v>678</v>
      </c>
    </row>
    <row r="3979" spans="1:3">
      <c r="A3979">
        <v>100000</v>
      </c>
      <c r="B3979" t="s">
        <v>1803</v>
      </c>
      <c r="C3979" t="s">
        <v>678</v>
      </c>
    </row>
    <row r="3980" spans="1:3">
      <c r="A3980">
        <v>450000</v>
      </c>
      <c r="C3980" t="s">
        <v>678</v>
      </c>
    </row>
    <row r="3981" spans="1:3">
      <c r="A3981">
        <v>450000</v>
      </c>
      <c r="B3981" t="s">
        <v>1803</v>
      </c>
      <c r="C3981" t="s">
        <v>678</v>
      </c>
    </row>
    <row r="3982" spans="1:3">
      <c r="A3982">
        <v>800000</v>
      </c>
      <c r="C3982" t="s">
        <v>678</v>
      </c>
    </row>
    <row r="3983" spans="1:3">
      <c r="A3983">
        <v>800000</v>
      </c>
      <c r="B3983" t="s">
        <v>1803</v>
      </c>
      <c r="C3983" t="s">
        <v>678</v>
      </c>
    </row>
    <row r="3984" spans="1:3">
      <c r="A3984">
        <v>150000</v>
      </c>
      <c r="C3984" t="s">
        <v>678</v>
      </c>
    </row>
    <row r="3985" spans="1:3">
      <c r="A3985">
        <v>150000</v>
      </c>
      <c r="B3985" t="s">
        <v>1803</v>
      </c>
      <c r="C3985" t="s">
        <v>678</v>
      </c>
    </row>
    <row r="3986" spans="1:3">
      <c r="A3986">
        <v>150000</v>
      </c>
      <c r="C3986" t="s">
        <v>678</v>
      </c>
    </row>
    <row r="3987" spans="1:3">
      <c r="A3987">
        <v>150000</v>
      </c>
      <c r="B3987" t="s">
        <v>1803</v>
      </c>
      <c r="C3987" t="s">
        <v>678</v>
      </c>
    </row>
    <row r="3988" spans="1:3">
      <c r="A3988">
        <v>400000</v>
      </c>
      <c r="C3988" t="s">
        <v>678</v>
      </c>
    </row>
    <row r="3989" spans="1:3">
      <c r="A3989">
        <v>400000</v>
      </c>
      <c r="B3989" t="s">
        <v>1803</v>
      </c>
      <c r="C3989" t="s">
        <v>678</v>
      </c>
    </row>
    <row r="3990" spans="1:3">
      <c r="A3990">
        <v>3649000</v>
      </c>
      <c r="C3990" t="s">
        <v>678</v>
      </c>
    </row>
    <row r="3991" spans="1:3">
      <c r="C3991" t="s">
        <v>678</v>
      </c>
    </row>
    <row r="3992" spans="1:3">
      <c r="C3992" t="s">
        <v>678</v>
      </c>
    </row>
    <row r="3993" spans="1:3">
      <c r="A3993">
        <v>3800000</v>
      </c>
      <c r="C3993" t="s">
        <v>678</v>
      </c>
    </row>
    <row r="3994" spans="1:3">
      <c r="A3994">
        <v>2000000</v>
      </c>
      <c r="B3994" t="s">
        <v>1803</v>
      </c>
      <c r="C3994" t="s">
        <v>678</v>
      </c>
    </row>
    <row r="3995" spans="1:3">
      <c r="A3995">
        <v>1800000</v>
      </c>
      <c r="B3995" t="s">
        <v>1803</v>
      </c>
      <c r="C3995" t="s">
        <v>678</v>
      </c>
    </row>
    <row r="3996" spans="1:3">
      <c r="A3996">
        <v>3800000</v>
      </c>
      <c r="C3996" t="s">
        <v>678</v>
      </c>
    </row>
    <row r="3997" spans="1:3">
      <c r="A3997">
        <v>7449000</v>
      </c>
      <c r="C3997" t="s">
        <v>678</v>
      </c>
    </row>
    <row r="3998" spans="1:3">
      <c r="C3998" t="s">
        <v>678</v>
      </c>
    </row>
    <row r="3999" spans="1:3">
      <c r="C3999" t="s">
        <v>678</v>
      </c>
    </row>
    <row r="4000" spans="1:3">
      <c r="C4000" t="s">
        <v>678</v>
      </c>
    </row>
    <row r="4001" spans="1:3">
      <c r="A4001">
        <v>10000000</v>
      </c>
      <c r="C4001" t="s">
        <v>678</v>
      </c>
    </row>
    <row r="4002" spans="1:3">
      <c r="A4002">
        <v>10000000</v>
      </c>
      <c r="B4002" t="s">
        <v>1803</v>
      </c>
      <c r="C4002" t="s">
        <v>678</v>
      </c>
    </row>
    <row r="4003" spans="1:3">
      <c r="A4003">
        <v>90000</v>
      </c>
      <c r="C4003" t="s">
        <v>678</v>
      </c>
    </row>
    <row r="4004" spans="1:3">
      <c r="A4004">
        <v>90000</v>
      </c>
      <c r="B4004" t="s">
        <v>1803</v>
      </c>
      <c r="C4004" t="s">
        <v>678</v>
      </c>
    </row>
    <row r="4005" spans="1:3">
      <c r="A4005">
        <v>1118000</v>
      </c>
      <c r="C4005" t="s">
        <v>678</v>
      </c>
    </row>
    <row r="4006" spans="1:3">
      <c r="A4006">
        <v>348000</v>
      </c>
      <c r="B4006" t="s">
        <v>1803</v>
      </c>
      <c r="C4006" t="s">
        <v>678</v>
      </c>
    </row>
    <row r="4007" spans="1:3">
      <c r="A4007">
        <v>290000</v>
      </c>
      <c r="B4007" t="s">
        <v>1803</v>
      </c>
      <c r="C4007" t="s">
        <v>678</v>
      </c>
    </row>
    <row r="4008" spans="1:3">
      <c r="A4008">
        <v>480000</v>
      </c>
      <c r="B4008" t="s">
        <v>1803</v>
      </c>
      <c r="C4008" t="s">
        <v>678</v>
      </c>
    </row>
    <row r="4009" spans="1:3">
      <c r="A4009">
        <v>100000</v>
      </c>
      <c r="C4009" t="s">
        <v>678</v>
      </c>
    </row>
    <row r="4010" spans="1:3">
      <c r="A4010">
        <v>100000</v>
      </c>
      <c r="B4010" t="s">
        <v>1803</v>
      </c>
      <c r="C4010" t="s">
        <v>678</v>
      </c>
    </row>
    <row r="4011" spans="1:3">
      <c r="A4011">
        <v>1050000</v>
      </c>
      <c r="C4011" t="s">
        <v>678</v>
      </c>
    </row>
    <row r="4012" spans="1:3">
      <c r="A4012">
        <v>600000</v>
      </c>
      <c r="B4012" t="s">
        <v>1803</v>
      </c>
      <c r="C4012" t="s">
        <v>678</v>
      </c>
    </row>
    <row r="4013" spans="1:3">
      <c r="A4013">
        <v>450000</v>
      </c>
      <c r="B4013" t="s">
        <v>1803</v>
      </c>
      <c r="C4013" t="s">
        <v>678</v>
      </c>
    </row>
    <row r="4014" spans="1:3">
      <c r="A4014">
        <v>400000</v>
      </c>
      <c r="C4014" t="s">
        <v>678</v>
      </c>
    </row>
    <row r="4015" spans="1:3">
      <c r="A4015">
        <v>400000</v>
      </c>
      <c r="B4015" t="s">
        <v>1803</v>
      </c>
      <c r="C4015" t="s">
        <v>678</v>
      </c>
    </row>
    <row r="4016" spans="1:3">
      <c r="A4016">
        <v>1200000</v>
      </c>
      <c r="C4016" t="s">
        <v>678</v>
      </c>
    </row>
    <row r="4017" spans="1:3">
      <c r="A4017">
        <v>1200000</v>
      </c>
      <c r="B4017" t="s">
        <v>1803</v>
      </c>
      <c r="C4017" t="s">
        <v>678</v>
      </c>
    </row>
    <row r="4018" spans="1:3">
      <c r="A4018">
        <v>900000</v>
      </c>
      <c r="C4018" t="s">
        <v>678</v>
      </c>
    </row>
    <row r="4019" spans="1:3">
      <c r="A4019">
        <v>400000</v>
      </c>
      <c r="B4019" t="s">
        <v>1803</v>
      </c>
      <c r="C4019" t="s">
        <v>678</v>
      </c>
    </row>
    <row r="4020" spans="1:3">
      <c r="A4020">
        <v>500000</v>
      </c>
      <c r="B4020" t="s">
        <v>1803</v>
      </c>
      <c r="C4020" t="s">
        <v>678</v>
      </c>
    </row>
    <row r="4021" spans="1:3">
      <c r="A4021">
        <v>14858000</v>
      </c>
      <c r="C4021" t="s">
        <v>678</v>
      </c>
    </row>
    <row r="4022" spans="1:3">
      <c r="C4022" t="s">
        <v>678</v>
      </c>
    </row>
    <row r="4023" spans="1:3">
      <c r="C4023" t="s">
        <v>678</v>
      </c>
    </row>
    <row r="4024" spans="1:3">
      <c r="A4024">
        <v>3061711</v>
      </c>
      <c r="C4024" t="s">
        <v>678</v>
      </c>
    </row>
    <row r="4025" spans="1:3">
      <c r="A4025">
        <v>2561711</v>
      </c>
      <c r="B4025" t="s">
        <v>1803</v>
      </c>
      <c r="C4025" t="s">
        <v>678</v>
      </c>
    </row>
    <row r="4026" spans="1:3">
      <c r="A4026">
        <v>500000</v>
      </c>
      <c r="B4026" t="s">
        <v>1803</v>
      </c>
      <c r="C4026" t="s">
        <v>678</v>
      </c>
    </row>
    <row r="4027" spans="1:3">
      <c r="A4027">
        <v>2800000</v>
      </c>
      <c r="C4027" t="s">
        <v>678</v>
      </c>
    </row>
    <row r="4028" spans="1:3">
      <c r="A4028">
        <v>2800000</v>
      </c>
      <c r="B4028" t="s">
        <v>1803</v>
      </c>
      <c r="C4028" t="s">
        <v>678</v>
      </c>
    </row>
    <row r="4029" spans="1:3">
      <c r="A4029">
        <v>1200000</v>
      </c>
      <c r="C4029" t="s">
        <v>678</v>
      </c>
    </row>
    <row r="4030" spans="1:3">
      <c r="A4030">
        <v>1200000</v>
      </c>
      <c r="B4030" t="s">
        <v>1803</v>
      </c>
      <c r="C4030" t="s">
        <v>678</v>
      </c>
    </row>
    <row r="4031" spans="1:3">
      <c r="A4031">
        <v>0</v>
      </c>
      <c r="C4031" t="s">
        <v>678</v>
      </c>
    </row>
    <row r="4032" spans="1:3">
      <c r="A4032">
        <v>7061711</v>
      </c>
      <c r="C4032" t="s">
        <v>678</v>
      </c>
    </row>
    <row r="4033" spans="1:3">
      <c r="A4033">
        <v>21919711</v>
      </c>
      <c r="C4033" t="s">
        <v>678</v>
      </c>
    </row>
    <row r="4034" spans="1:3">
      <c r="A4034">
        <v>80196569</v>
      </c>
      <c r="C4034" t="s">
        <v>678</v>
      </c>
    </row>
    <row r="4035" spans="1:3">
      <c r="A4035">
        <v>92261711</v>
      </c>
      <c r="C4035" t="s">
        <v>678</v>
      </c>
    </row>
    <row r="4036" spans="1:3">
      <c r="A4036">
        <v>172458280</v>
      </c>
      <c r="C4036" t="s">
        <v>678</v>
      </c>
    </row>
    <row r="4040" spans="1:3">
      <c r="A4040">
        <v>0</v>
      </c>
    </row>
    <row r="4041" spans="1:3">
      <c r="A4041">
        <v>0</v>
      </c>
      <c r="C4041" t="s">
        <v>715</v>
      </c>
    </row>
    <row r="4042" spans="1:3">
      <c r="A4042">
        <v>16813307</v>
      </c>
      <c r="C4042" t="s">
        <v>715</v>
      </c>
    </row>
    <row r="4043" spans="1:3">
      <c r="A4043">
        <v>16813307</v>
      </c>
      <c r="B4043" t="s">
        <v>1803</v>
      </c>
      <c r="C4043" t="s">
        <v>715</v>
      </c>
    </row>
    <row r="4044" spans="1:3">
      <c r="A4044">
        <v>13000000</v>
      </c>
      <c r="C4044" t="s">
        <v>715</v>
      </c>
    </row>
    <row r="4045" spans="1:3">
      <c r="A4045">
        <v>13000000</v>
      </c>
      <c r="B4045" t="s">
        <v>1803</v>
      </c>
      <c r="C4045" t="s">
        <v>715</v>
      </c>
    </row>
    <row r="4046" spans="1:3">
      <c r="A4046">
        <v>4055560</v>
      </c>
      <c r="C4046" t="s">
        <v>715</v>
      </c>
    </row>
    <row r="4047" spans="1:3">
      <c r="A4047">
        <v>3050460</v>
      </c>
      <c r="B4047" t="s">
        <v>1803</v>
      </c>
      <c r="C4047" t="s">
        <v>715</v>
      </c>
    </row>
    <row r="4048" spans="1:3">
      <c r="A4048">
        <v>1005100</v>
      </c>
      <c r="B4048" t="s">
        <v>1803</v>
      </c>
      <c r="C4048" t="s">
        <v>715</v>
      </c>
    </row>
    <row r="4049" spans="1:3">
      <c r="A4049">
        <v>1897020</v>
      </c>
      <c r="C4049" t="s">
        <v>715</v>
      </c>
    </row>
    <row r="4050" spans="1:3">
      <c r="A4050">
        <v>316855</v>
      </c>
      <c r="B4050" t="s">
        <v>1803</v>
      </c>
      <c r="C4050" t="s">
        <v>715</v>
      </c>
    </row>
    <row r="4051" spans="1:3">
      <c r="A4051">
        <v>1580165</v>
      </c>
      <c r="B4051" t="s">
        <v>1803</v>
      </c>
      <c r="C4051" t="s">
        <v>715</v>
      </c>
    </row>
    <row r="4052" spans="1:3">
      <c r="A4052">
        <v>35765887</v>
      </c>
      <c r="C4052" t="s">
        <v>715</v>
      </c>
    </row>
    <row r="4053" spans="1:3">
      <c r="A4053">
        <v>3500000</v>
      </c>
      <c r="C4053" t="s">
        <v>715</v>
      </c>
    </row>
    <row r="4054" spans="1:3">
      <c r="A4054">
        <v>3000000</v>
      </c>
      <c r="B4054" t="s">
        <v>1803</v>
      </c>
      <c r="C4054" t="s">
        <v>715</v>
      </c>
    </row>
    <row r="4055" spans="1:3">
      <c r="A4055">
        <v>500000</v>
      </c>
      <c r="B4055" t="s">
        <v>1803</v>
      </c>
      <c r="C4055" t="s">
        <v>715</v>
      </c>
    </row>
    <row r="4056" spans="1:3">
      <c r="A4056">
        <v>177635</v>
      </c>
      <c r="C4056" t="s">
        <v>715</v>
      </c>
    </row>
    <row r="4057" spans="1:3">
      <c r="A4057">
        <v>100000</v>
      </c>
      <c r="B4057" t="s">
        <v>1803</v>
      </c>
      <c r="C4057" t="s">
        <v>715</v>
      </c>
    </row>
    <row r="4058" spans="1:3">
      <c r="A4058">
        <v>67635</v>
      </c>
      <c r="B4058" t="s">
        <v>1803</v>
      </c>
      <c r="C4058" t="s">
        <v>715</v>
      </c>
    </row>
    <row r="4059" spans="1:3">
      <c r="A4059">
        <v>10000</v>
      </c>
      <c r="B4059" t="s">
        <v>1803</v>
      </c>
      <c r="C4059" t="s">
        <v>715</v>
      </c>
    </row>
    <row r="4060" spans="1:3">
      <c r="A4060">
        <v>553455</v>
      </c>
      <c r="C4060" t="s">
        <v>715</v>
      </c>
    </row>
    <row r="4061" spans="1:3">
      <c r="A4061">
        <v>220000</v>
      </c>
      <c r="B4061" t="s">
        <v>1803</v>
      </c>
      <c r="C4061" t="s">
        <v>715</v>
      </c>
    </row>
    <row r="4062" spans="1:3">
      <c r="A4062">
        <v>200000</v>
      </c>
      <c r="B4062" t="s">
        <v>1803</v>
      </c>
      <c r="C4062" t="s">
        <v>715</v>
      </c>
    </row>
    <row r="4063" spans="1:3">
      <c r="A4063">
        <v>133455</v>
      </c>
      <c r="B4063" t="s">
        <v>1803</v>
      </c>
      <c r="C4063" t="s">
        <v>715</v>
      </c>
    </row>
    <row r="4064" spans="1:3">
      <c r="A4064">
        <v>562133</v>
      </c>
      <c r="C4064" t="s">
        <v>715</v>
      </c>
    </row>
    <row r="4065" spans="1:3">
      <c r="A4065">
        <v>50000</v>
      </c>
      <c r="B4065" t="s">
        <v>1803</v>
      </c>
      <c r="C4065" t="s">
        <v>715</v>
      </c>
    </row>
    <row r="4066" spans="1:3">
      <c r="A4066">
        <v>12000</v>
      </c>
      <c r="B4066" t="s">
        <v>1803</v>
      </c>
      <c r="C4066" t="s">
        <v>715</v>
      </c>
    </row>
    <row r="4067" spans="1:3">
      <c r="A4067">
        <v>10000</v>
      </c>
      <c r="B4067" t="s">
        <v>1803</v>
      </c>
      <c r="C4067" t="s">
        <v>715</v>
      </c>
    </row>
    <row r="4068" spans="1:3">
      <c r="A4068">
        <v>490133</v>
      </c>
      <c r="B4068" t="s">
        <v>1803</v>
      </c>
      <c r="C4068" t="s">
        <v>715</v>
      </c>
    </row>
    <row r="4069" spans="1:3">
      <c r="A4069">
        <v>383900</v>
      </c>
      <c r="C4069" t="s">
        <v>715</v>
      </c>
    </row>
    <row r="4070" spans="1:3">
      <c r="A4070">
        <v>120000</v>
      </c>
      <c r="B4070" t="s">
        <v>1803</v>
      </c>
      <c r="C4070" t="s">
        <v>715</v>
      </c>
    </row>
    <row r="4071" spans="1:3">
      <c r="A4071">
        <v>147900</v>
      </c>
      <c r="B4071" t="s">
        <v>1803</v>
      </c>
      <c r="C4071" t="s">
        <v>715</v>
      </c>
    </row>
    <row r="4072" spans="1:3">
      <c r="A4072">
        <v>116000</v>
      </c>
      <c r="B4072" t="s">
        <v>1803</v>
      </c>
      <c r="C4072" t="s">
        <v>715</v>
      </c>
    </row>
    <row r="4073" spans="1:3">
      <c r="A4073">
        <v>1700000</v>
      </c>
      <c r="C4073" t="s">
        <v>715</v>
      </c>
    </row>
    <row r="4074" spans="1:3">
      <c r="A4074">
        <v>200000</v>
      </c>
      <c r="B4074" t="s">
        <v>1803</v>
      </c>
      <c r="C4074" t="s">
        <v>715</v>
      </c>
    </row>
    <row r="4075" spans="1:3">
      <c r="A4075">
        <v>1500000</v>
      </c>
      <c r="B4075" t="s">
        <v>1803</v>
      </c>
      <c r="C4075" t="s">
        <v>715</v>
      </c>
    </row>
    <row r="4076" spans="1:3">
      <c r="A4076">
        <v>1000000</v>
      </c>
      <c r="C4076" t="s">
        <v>715</v>
      </c>
    </row>
    <row r="4077" spans="1:3">
      <c r="A4077">
        <v>500000</v>
      </c>
      <c r="B4077" t="s">
        <v>1803</v>
      </c>
      <c r="C4077" t="s">
        <v>715</v>
      </c>
    </row>
    <row r="4078" spans="1:3">
      <c r="A4078">
        <v>500000</v>
      </c>
      <c r="B4078" t="s">
        <v>1803</v>
      </c>
      <c r="C4078" t="s">
        <v>715</v>
      </c>
    </row>
    <row r="4079" spans="1:3">
      <c r="A4079">
        <v>1300000</v>
      </c>
      <c r="C4079" t="s">
        <v>715</v>
      </c>
    </row>
    <row r="4080" spans="1:3">
      <c r="A4080">
        <v>500000</v>
      </c>
      <c r="B4080" t="s">
        <v>1803</v>
      </c>
      <c r="C4080" t="s">
        <v>715</v>
      </c>
    </row>
    <row r="4081" spans="1:3">
      <c r="A4081">
        <v>500000</v>
      </c>
      <c r="B4081" t="s">
        <v>1803</v>
      </c>
      <c r="C4081" t="s">
        <v>715</v>
      </c>
    </row>
    <row r="4082" spans="1:3">
      <c r="A4082">
        <v>300000</v>
      </c>
      <c r="B4082" t="s">
        <v>1803</v>
      </c>
      <c r="C4082" t="s">
        <v>715</v>
      </c>
    </row>
    <row r="4083" spans="1:3">
      <c r="A4083">
        <v>1000000</v>
      </c>
      <c r="C4083" t="s">
        <v>715</v>
      </c>
    </row>
    <row r="4084" spans="1:3">
      <c r="A4084">
        <v>1000000</v>
      </c>
      <c r="B4084" t="s">
        <v>1803</v>
      </c>
      <c r="C4084" t="s">
        <v>715</v>
      </c>
    </row>
    <row r="4085" spans="1:3">
      <c r="A4085">
        <v>80000</v>
      </c>
      <c r="C4085" t="s">
        <v>715</v>
      </c>
    </row>
    <row r="4086" spans="1:3">
      <c r="A4086">
        <v>30000</v>
      </c>
      <c r="B4086" t="s">
        <v>1803</v>
      </c>
      <c r="C4086" t="s">
        <v>715</v>
      </c>
    </row>
    <row r="4087" spans="1:3">
      <c r="A4087">
        <v>50000</v>
      </c>
      <c r="B4087" t="s">
        <v>1803</v>
      </c>
      <c r="C4087" t="s">
        <v>715</v>
      </c>
    </row>
    <row r="4088" spans="1:3">
      <c r="A4088">
        <v>905000</v>
      </c>
      <c r="C4088" t="s">
        <v>715</v>
      </c>
    </row>
    <row r="4089" spans="1:3">
      <c r="A4089">
        <v>905000</v>
      </c>
      <c r="B4089" t="s">
        <v>1803</v>
      </c>
      <c r="C4089" t="s">
        <v>715</v>
      </c>
    </row>
    <row r="4090" spans="1:3">
      <c r="A4090">
        <v>11162123</v>
      </c>
      <c r="C4090" t="s">
        <v>715</v>
      </c>
    </row>
    <row r="4091" spans="1:3">
      <c r="A4091">
        <v>46928010</v>
      </c>
      <c r="C4091" t="s">
        <v>715</v>
      </c>
    </row>
    <row r="4092" spans="1:3">
      <c r="A4092">
        <v>0</v>
      </c>
      <c r="C4092" t="s">
        <v>715</v>
      </c>
    </row>
    <row r="4093" spans="1:3">
      <c r="A4093">
        <v>0</v>
      </c>
      <c r="C4093" t="s">
        <v>715</v>
      </c>
    </row>
    <row r="4094" spans="1:3">
      <c r="A4094">
        <v>5000000</v>
      </c>
      <c r="C4094" t="s">
        <v>715</v>
      </c>
    </row>
    <row r="4095" spans="1:3">
      <c r="A4095">
        <v>5000000</v>
      </c>
      <c r="B4095" t="s">
        <v>1803</v>
      </c>
      <c r="C4095" t="s">
        <v>715</v>
      </c>
    </row>
    <row r="4096" spans="1:3">
      <c r="A4096">
        <v>5000000</v>
      </c>
      <c r="C4096" t="s">
        <v>715</v>
      </c>
    </row>
    <row r="4097" spans="1:3">
      <c r="A4097">
        <v>51928010</v>
      </c>
      <c r="C4097" t="s">
        <v>715</v>
      </c>
    </row>
    <row r="4098" spans="1:3">
      <c r="A4098">
        <v>0</v>
      </c>
      <c r="C4098" t="s">
        <v>715</v>
      </c>
    </row>
    <row r="4099" spans="1:3">
      <c r="A4099">
        <v>0</v>
      </c>
      <c r="C4099" t="s">
        <v>715</v>
      </c>
    </row>
    <row r="4100" spans="1:3">
      <c r="A4100">
        <v>0</v>
      </c>
      <c r="C4100" t="s">
        <v>715</v>
      </c>
    </row>
    <row r="4101" spans="1:3">
      <c r="A4101">
        <v>3104417</v>
      </c>
      <c r="C4101" t="s">
        <v>715</v>
      </c>
    </row>
    <row r="4102" spans="1:3">
      <c r="A4102">
        <v>3104417</v>
      </c>
      <c r="B4102" t="s">
        <v>1803</v>
      </c>
      <c r="C4102" t="s">
        <v>715</v>
      </c>
    </row>
    <row r="4103" spans="1:3">
      <c r="A4103">
        <v>1061017</v>
      </c>
      <c r="C4103" t="s">
        <v>715</v>
      </c>
    </row>
    <row r="4104" spans="1:3">
      <c r="A4104">
        <v>645677</v>
      </c>
      <c r="B4104" t="s">
        <v>1803</v>
      </c>
      <c r="C4104" t="s">
        <v>715</v>
      </c>
    </row>
    <row r="4105" spans="1:3">
      <c r="A4105">
        <v>415340</v>
      </c>
      <c r="B4105" t="s">
        <v>1803</v>
      </c>
      <c r="C4105" t="s">
        <v>715</v>
      </c>
    </row>
    <row r="4106" spans="1:3">
      <c r="A4106">
        <v>518550</v>
      </c>
      <c r="C4106" t="s">
        <v>715</v>
      </c>
    </row>
    <row r="4107" spans="1:3">
      <c r="A4107">
        <v>82900</v>
      </c>
      <c r="B4107" t="s">
        <v>1803</v>
      </c>
      <c r="C4107" t="s">
        <v>715</v>
      </c>
    </row>
    <row r="4108" spans="1:3">
      <c r="A4108">
        <v>435650</v>
      </c>
      <c r="B4108" t="s">
        <v>1803</v>
      </c>
      <c r="C4108" t="s">
        <v>715</v>
      </c>
    </row>
    <row r="4109" spans="1:3">
      <c r="A4109">
        <v>4683984</v>
      </c>
      <c r="C4109" t="s">
        <v>715</v>
      </c>
    </row>
    <row r="4110" spans="1:3">
      <c r="A4110">
        <v>170000</v>
      </c>
      <c r="C4110" t="s">
        <v>715</v>
      </c>
    </row>
    <row r="4111" spans="1:3">
      <c r="A4111">
        <v>100000</v>
      </c>
      <c r="B4111" t="s">
        <v>1803</v>
      </c>
      <c r="C4111" t="s">
        <v>715</v>
      </c>
    </row>
    <row r="4112" spans="1:3">
      <c r="A4112">
        <v>70000</v>
      </c>
      <c r="B4112" t="s">
        <v>1803</v>
      </c>
      <c r="C4112" t="s">
        <v>715</v>
      </c>
    </row>
    <row r="4113" spans="1:3">
      <c r="A4113">
        <v>344000</v>
      </c>
      <c r="C4113" t="s">
        <v>715</v>
      </c>
    </row>
    <row r="4114" spans="1:3">
      <c r="A4114">
        <v>125000</v>
      </c>
      <c r="B4114" t="s">
        <v>1803</v>
      </c>
      <c r="C4114" t="s">
        <v>715</v>
      </c>
    </row>
    <row r="4115" spans="1:3">
      <c r="A4115">
        <v>103000</v>
      </c>
      <c r="B4115" t="s">
        <v>1803</v>
      </c>
      <c r="C4115" t="s">
        <v>715</v>
      </c>
    </row>
    <row r="4116" spans="1:3">
      <c r="A4116">
        <v>116000</v>
      </c>
      <c r="B4116" t="s">
        <v>1803</v>
      </c>
      <c r="C4116" t="s">
        <v>715</v>
      </c>
    </row>
    <row r="4117" spans="1:3">
      <c r="A4117">
        <v>10000</v>
      </c>
      <c r="C4117" t="s">
        <v>715</v>
      </c>
    </row>
    <row r="4118" spans="1:3">
      <c r="A4118">
        <v>10000</v>
      </c>
      <c r="B4118" t="s">
        <v>1803</v>
      </c>
      <c r="C4118" t="s">
        <v>715</v>
      </c>
    </row>
    <row r="4119" spans="1:3">
      <c r="A4119">
        <v>243559.4</v>
      </c>
      <c r="C4119" t="s">
        <v>715</v>
      </c>
    </row>
    <row r="4120" spans="1:3">
      <c r="A4120">
        <v>66700</v>
      </c>
      <c r="B4120" t="s">
        <v>1803</v>
      </c>
      <c r="C4120" t="s">
        <v>715</v>
      </c>
    </row>
    <row r="4121" spans="1:3">
      <c r="A4121">
        <v>58000</v>
      </c>
      <c r="B4121" t="s">
        <v>1803</v>
      </c>
      <c r="C4121" t="s">
        <v>715</v>
      </c>
    </row>
    <row r="4122" spans="1:3">
      <c r="A4122">
        <v>92759.4</v>
      </c>
      <c r="B4122" t="s">
        <v>1803</v>
      </c>
      <c r="C4122" t="s">
        <v>715</v>
      </c>
    </row>
    <row r="4123" spans="1:3">
      <c r="A4123">
        <v>26100</v>
      </c>
      <c r="B4123" t="s">
        <v>1803</v>
      </c>
      <c r="C4123" t="s">
        <v>715</v>
      </c>
    </row>
    <row r="4124" spans="1:3">
      <c r="A4124">
        <v>300000</v>
      </c>
      <c r="C4124" t="s">
        <v>715</v>
      </c>
    </row>
    <row r="4125" spans="1:3">
      <c r="A4125">
        <v>185000</v>
      </c>
      <c r="B4125" t="s">
        <v>1803</v>
      </c>
      <c r="C4125" t="s">
        <v>715</v>
      </c>
    </row>
    <row r="4126" spans="1:3">
      <c r="A4126">
        <v>115000</v>
      </c>
      <c r="B4126" t="s">
        <v>1803</v>
      </c>
      <c r="C4126" t="s">
        <v>715</v>
      </c>
    </row>
    <row r="4127" spans="1:3">
      <c r="A4127">
        <v>1000000</v>
      </c>
      <c r="C4127" t="s">
        <v>715</v>
      </c>
    </row>
    <row r="4128" spans="1:3">
      <c r="A4128">
        <v>1000000</v>
      </c>
      <c r="B4128" t="s">
        <v>1803</v>
      </c>
      <c r="C4128" t="s">
        <v>715</v>
      </c>
    </row>
    <row r="4129" spans="1:3">
      <c r="A4129">
        <v>350000</v>
      </c>
      <c r="C4129" t="s">
        <v>715</v>
      </c>
    </row>
    <row r="4130" spans="1:3">
      <c r="A4130">
        <v>350000</v>
      </c>
      <c r="B4130" t="s">
        <v>1803</v>
      </c>
      <c r="C4130" t="s">
        <v>715</v>
      </c>
    </row>
    <row r="4131" spans="1:3">
      <c r="A4131">
        <v>2417559.4</v>
      </c>
      <c r="C4131" t="s">
        <v>715</v>
      </c>
    </row>
    <row r="4132" spans="1:3">
      <c r="A4132">
        <v>7101543.4000000004</v>
      </c>
      <c r="C4132" t="s">
        <v>715</v>
      </c>
    </row>
    <row r="4133" spans="1:3">
      <c r="A4133">
        <v>0</v>
      </c>
      <c r="C4133" t="s">
        <v>715</v>
      </c>
    </row>
    <row r="4134" spans="1:3">
      <c r="A4134">
        <v>0</v>
      </c>
      <c r="C4134" t="s">
        <v>715</v>
      </c>
    </row>
    <row r="4135" spans="1:3">
      <c r="A4135">
        <v>1000000</v>
      </c>
      <c r="C4135" t="s">
        <v>715</v>
      </c>
    </row>
    <row r="4136" spans="1:3">
      <c r="A4136">
        <v>1000000</v>
      </c>
      <c r="B4136" t="s">
        <v>1803</v>
      </c>
      <c r="C4136" t="s">
        <v>715</v>
      </c>
    </row>
    <row r="4137" spans="1:3">
      <c r="A4137">
        <v>500000</v>
      </c>
      <c r="C4137" t="s">
        <v>715</v>
      </c>
    </row>
    <row r="4138" spans="1:3">
      <c r="A4138">
        <v>500000</v>
      </c>
      <c r="B4138" t="s">
        <v>1803</v>
      </c>
      <c r="C4138" t="s">
        <v>715</v>
      </c>
    </row>
    <row r="4139" spans="1:3">
      <c r="A4139">
        <v>1500000</v>
      </c>
      <c r="C4139" t="s">
        <v>715</v>
      </c>
    </row>
    <row r="4140" spans="1:3">
      <c r="A4140">
        <v>8601543.4000000004</v>
      </c>
      <c r="C4140" t="s">
        <v>715</v>
      </c>
    </row>
    <row r="4141" spans="1:3">
      <c r="A4141">
        <v>0</v>
      </c>
      <c r="C4141" t="s">
        <v>715</v>
      </c>
    </row>
    <row r="4142" spans="1:3">
      <c r="A4142">
        <v>0</v>
      </c>
      <c r="C4142" t="s">
        <v>715</v>
      </c>
    </row>
    <row r="4143" spans="1:3">
      <c r="A4143">
        <v>0</v>
      </c>
      <c r="C4143" t="s">
        <v>715</v>
      </c>
    </row>
    <row r="4144" spans="1:3">
      <c r="A4144">
        <v>2556200</v>
      </c>
      <c r="C4144" t="s">
        <v>715</v>
      </c>
    </row>
    <row r="4145" spans="1:3">
      <c r="A4145">
        <v>2556200</v>
      </c>
      <c r="B4145" t="s">
        <v>1803</v>
      </c>
      <c r="C4145" t="s">
        <v>715</v>
      </c>
    </row>
    <row r="4146" spans="1:3">
      <c r="A4146">
        <v>838920</v>
      </c>
      <c r="C4146" t="s">
        <v>715</v>
      </c>
    </row>
    <row r="4147" spans="1:3">
      <c r="A4147">
        <v>523455</v>
      </c>
      <c r="B4147" t="s">
        <v>1803</v>
      </c>
      <c r="C4147" t="s">
        <v>715</v>
      </c>
    </row>
    <row r="4148" spans="1:3">
      <c r="A4148">
        <v>315465</v>
      </c>
      <c r="B4148" t="s">
        <v>1803</v>
      </c>
      <c r="C4148" t="s">
        <v>715</v>
      </c>
    </row>
    <row r="4149" spans="1:3">
      <c r="A4149">
        <v>515900</v>
      </c>
      <c r="C4149" t="s">
        <v>715</v>
      </c>
    </row>
    <row r="4150" spans="1:3">
      <c r="A4150">
        <v>165900</v>
      </c>
      <c r="B4150" t="s">
        <v>1803</v>
      </c>
      <c r="C4150" t="s">
        <v>715</v>
      </c>
    </row>
    <row r="4151" spans="1:3">
      <c r="A4151">
        <v>350000</v>
      </c>
      <c r="B4151" t="s">
        <v>1803</v>
      </c>
      <c r="C4151" t="s">
        <v>715</v>
      </c>
    </row>
    <row r="4152" spans="1:3">
      <c r="A4152">
        <v>3911020</v>
      </c>
      <c r="C4152" t="s">
        <v>715</v>
      </c>
    </row>
    <row r="4153" spans="1:3">
      <c r="A4153">
        <v>281900</v>
      </c>
      <c r="C4153" t="s">
        <v>715</v>
      </c>
    </row>
    <row r="4154" spans="1:3">
      <c r="A4154">
        <v>119200</v>
      </c>
      <c r="B4154" t="s">
        <v>1803</v>
      </c>
      <c r="C4154" t="s">
        <v>715</v>
      </c>
    </row>
    <row r="4155" spans="1:3">
      <c r="A4155">
        <v>95700</v>
      </c>
      <c r="B4155" t="s">
        <v>1803</v>
      </c>
      <c r="C4155" t="s">
        <v>715</v>
      </c>
    </row>
    <row r="4156" spans="1:3">
      <c r="A4156">
        <v>67000</v>
      </c>
      <c r="B4156" t="s">
        <v>1803</v>
      </c>
      <c r="C4156" t="s">
        <v>715</v>
      </c>
    </row>
    <row r="4157" spans="1:3">
      <c r="A4157">
        <v>228300</v>
      </c>
      <c r="C4157" t="s">
        <v>715</v>
      </c>
    </row>
    <row r="4158" spans="1:3">
      <c r="A4158">
        <v>87000</v>
      </c>
      <c r="B4158" t="s">
        <v>1803</v>
      </c>
      <c r="C4158" t="s">
        <v>715</v>
      </c>
    </row>
    <row r="4159" spans="1:3">
      <c r="A4159">
        <v>5000</v>
      </c>
      <c r="B4159" t="s">
        <v>1803</v>
      </c>
      <c r="C4159" t="s">
        <v>715</v>
      </c>
    </row>
    <row r="4160" spans="1:3">
      <c r="A4160">
        <v>26100</v>
      </c>
      <c r="B4160" t="s">
        <v>1803</v>
      </c>
      <c r="C4160" t="s">
        <v>715</v>
      </c>
    </row>
    <row r="4161" spans="1:3">
      <c r="A4161">
        <v>52200</v>
      </c>
      <c r="B4161" t="s">
        <v>1803</v>
      </c>
      <c r="C4161" t="s">
        <v>715</v>
      </c>
    </row>
    <row r="4162" spans="1:3">
      <c r="A4162">
        <v>58000</v>
      </c>
      <c r="B4162" t="s">
        <v>1803</v>
      </c>
      <c r="C4162" t="s">
        <v>715</v>
      </c>
    </row>
    <row r="4163" spans="1:3">
      <c r="A4163">
        <v>300000</v>
      </c>
      <c r="C4163" t="s">
        <v>715</v>
      </c>
    </row>
    <row r="4164" spans="1:3">
      <c r="A4164">
        <v>200000</v>
      </c>
      <c r="B4164" t="s">
        <v>1803</v>
      </c>
      <c r="C4164" t="s">
        <v>715</v>
      </c>
    </row>
    <row r="4165" spans="1:3">
      <c r="A4165">
        <v>100000</v>
      </c>
      <c r="B4165" t="s">
        <v>1803</v>
      </c>
      <c r="C4165" t="s">
        <v>715</v>
      </c>
    </row>
    <row r="4166" spans="1:3">
      <c r="A4166">
        <v>1000000</v>
      </c>
      <c r="C4166" t="s">
        <v>715</v>
      </c>
    </row>
    <row r="4167" spans="1:3">
      <c r="A4167">
        <v>1000000</v>
      </c>
      <c r="B4167" t="s">
        <v>1803</v>
      </c>
      <c r="C4167" t="s">
        <v>715</v>
      </c>
    </row>
    <row r="4168" spans="1:3">
      <c r="A4168">
        <v>350000</v>
      </c>
      <c r="C4168" t="s">
        <v>715</v>
      </c>
    </row>
    <row r="4169" spans="1:3">
      <c r="A4169">
        <v>350000</v>
      </c>
      <c r="B4169" t="s">
        <v>1803</v>
      </c>
      <c r="C4169" t="s">
        <v>715</v>
      </c>
    </row>
    <row r="4170" spans="1:3">
      <c r="A4170">
        <v>500000</v>
      </c>
      <c r="C4170" t="s">
        <v>715</v>
      </c>
    </row>
    <row r="4171" spans="1:3">
      <c r="A4171">
        <v>500000</v>
      </c>
      <c r="B4171" t="s">
        <v>1803</v>
      </c>
      <c r="C4171" t="s">
        <v>715</v>
      </c>
    </row>
    <row r="4172" spans="1:3">
      <c r="A4172">
        <v>2660200</v>
      </c>
      <c r="C4172" t="s">
        <v>715</v>
      </c>
    </row>
    <row r="4173" spans="1:3">
      <c r="A4173">
        <v>6571220</v>
      </c>
      <c r="C4173" t="s">
        <v>715</v>
      </c>
    </row>
    <row r="4174" spans="1:3">
      <c r="A4174">
        <v>0</v>
      </c>
      <c r="C4174" t="s">
        <v>715</v>
      </c>
    </row>
    <row r="4175" spans="1:3">
      <c r="A4175">
        <v>0</v>
      </c>
      <c r="C4175" t="s">
        <v>715</v>
      </c>
    </row>
    <row r="4176" spans="1:3">
      <c r="A4176">
        <v>2000000</v>
      </c>
      <c r="C4176" t="s">
        <v>715</v>
      </c>
    </row>
    <row r="4177" spans="1:3">
      <c r="A4177">
        <v>2000000</v>
      </c>
      <c r="B4177" t="s">
        <v>1803</v>
      </c>
      <c r="C4177" t="s">
        <v>715</v>
      </c>
    </row>
    <row r="4178" spans="1:3">
      <c r="A4178">
        <v>8500000</v>
      </c>
      <c r="C4178" t="s">
        <v>715</v>
      </c>
    </row>
    <row r="4179" spans="1:3">
      <c r="A4179">
        <v>6000000</v>
      </c>
      <c r="B4179" t="s">
        <v>1803</v>
      </c>
      <c r="C4179" t="s">
        <v>715</v>
      </c>
    </row>
    <row r="4180" spans="1:3">
      <c r="A4180">
        <v>2500000</v>
      </c>
      <c r="B4180" t="s">
        <v>1803</v>
      </c>
      <c r="C4180" t="s">
        <v>715</v>
      </c>
    </row>
    <row r="4181" spans="1:3">
      <c r="A4181">
        <v>10500000</v>
      </c>
      <c r="C4181" t="s">
        <v>715</v>
      </c>
    </row>
    <row r="4182" spans="1:3">
      <c r="A4182">
        <v>17071220</v>
      </c>
      <c r="C4182" t="s">
        <v>715</v>
      </c>
    </row>
    <row r="4183" spans="1:3">
      <c r="A4183">
        <v>0</v>
      </c>
      <c r="C4183" t="s">
        <v>715</v>
      </c>
    </row>
    <row r="4184" spans="1:3">
      <c r="A4184">
        <v>0</v>
      </c>
      <c r="C4184" t="s">
        <v>715</v>
      </c>
    </row>
    <row r="4185" spans="1:3">
      <c r="A4185">
        <v>230000</v>
      </c>
      <c r="C4185" t="s">
        <v>715</v>
      </c>
    </row>
    <row r="4186" spans="1:3">
      <c r="A4186">
        <v>87000</v>
      </c>
      <c r="B4186" t="s">
        <v>1803</v>
      </c>
      <c r="C4186" t="s">
        <v>715</v>
      </c>
    </row>
    <row r="4187" spans="1:3">
      <c r="A4187">
        <v>79000</v>
      </c>
      <c r="B4187" t="s">
        <v>1803</v>
      </c>
      <c r="C4187" t="s">
        <v>715</v>
      </c>
    </row>
    <row r="4188" spans="1:3">
      <c r="A4188">
        <v>64000</v>
      </c>
      <c r="B4188" t="s">
        <v>1803</v>
      </c>
      <c r="C4188" t="s">
        <v>715</v>
      </c>
    </row>
    <row r="4189" spans="1:3">
      <c r="A4189">
        <v>200000</v>
      </c>
      <c r="C4189" t="s">
        <v>715</v>
      </c>
    </row>
    <row r="4190" spans="1:3">
      <c r="A4190">
        <v>100000</v>
      </c>
      <c r="B4190" t="s">
        <v>1803</v>
      </c>
      <c r="C4190" t="s">
        <v>715</v>
      </c>
    </row>
    <row r="4191" spans="1:3">
      <c r="A4191">
        <v>100000</v>
      </c>
      <c r="B4191" t="s">
        <v>1803</v>
      </c>
      <c r="C4191" t="s">
        <v>715</v>
      </c>
    </row>
    <row r="4192" spans="1:3">
      <c r="A4192">
        <v>150000</v>
      </c>
      <c r="C4192" t="s">
        <v>715</v>
      </c>
    </row>
    <row r="4193" spans="1:3">
      <c r="A4193">
        <v>150000</v>
      </c>
      <c r="B4193" t="s">
        <v>1803</v>
      </c>
      <c r="C4193" t="s">
        <v>715</v>
      </c>
    </row>
    <row r="4194" spans="1:3">
      <c r="A4194">
        <v>580000</v>
      </c>
      <c r="C4194" t="s">
        <v>715</v>
      </c>
    </row>
    <row r="4195" spans="1:3">
      <c r="A4195">
        <v>580000</v>
      </c>
      <c r="C4195" t="s">
        <v>715</v>
      </c>
    </row>
    <row r="4196" spans="1:3">
      <c r="A4196">
        <v>580000</v>
      </c>
      <c r="C4196" t="s">
        <v>715</v>
      </c>
    </row>
    <row r="4197" spans="1:3">
      <c r="A4197">
        <v>0</v>
      </c>
      <c r="C4197" t="s">
        <v>715</v>
      </c>
    </row>
    <row r="4198" spans="1:3">
      <c r="A4198">
        <v>0</v>
      </c>
      <c r="C4198" t="s">
        <v>715</v>
      </c>
    </row>
    <row r="4199" spans="1:3">
      <c r="A4199">
        <v>152323</v>
      </c>
      <c r="C4199" t="s">
        <v>715</v>
      </c>
    </row>
    <row r="4200" spans="1:3">
      <c r="A4200">
        <v>52258</v>
      </c>
      <c r="B4200" t="s">
        <v>1803</v>
      </c>
      <c r="C4200" t="s">
        <v>715</v>
      </c>
    </row>
    <row r="4201" spans="1:3">
      <c r="A4201">
        <v>50065</v>
      </c>
      <c r="B4201" t="s">
        <v>1803</v>
      </c>
      <c r="C4201" t="s">
        <v>715</v>
      </c>
    </row>
    <row r="4202" spans="1:3">
      <c r="A4202">
        <v>50000</v>
      </c>
      <c r="B4202" t="s">
        <v>1803</v>
      </c>
      <c r="C4202" t="s">
        <v>715</v>
      </c>
    </row>
    <row r="4203" spans="1:3">
      <c r="A4203">
        <v>152323</v>
      </c>
      <c r="C4203" t="s">
        <v>715</v>
      </c>
    </row>
    <row r="4204" spans="1:3">
      <c r="A4204">
        <v>152323</v>
      </c>
      <c r="C4204" t="s">
        <v>715</v>
      </c>
    </row>
    <row r="4205" spans="1:3">
      <c r="A4205">
        <v>0</v>
      </c>
      <c r="C4205" t="s">
        <v>715</v>
      </c>
    </row>
    <row r="4206" spans="1:3">
      <c r="A4206">
        <v>0</v>
      </c>
      <c r="C4206" t="s">
        <v>715</v>
      </c>
    </row>
    <row r="4207" spans="1:3">
      <c r="A4207">
        <v>2500000</v>
      </c>
      <c r="C4207" t="s">
        <v>715</v>
      </c>
    </row>
    <row r="4208" spans="1:3">
      <c r="A4208">
        <v>2500000</v>
      </c>
      <c r="B4208" t="s">
        <v>1803</v>
      </c>
      <c r="C4208" t="s">
        <v>715</v>
      </c>
    </row>
    <row r="4209" spans="1:3">
      <c r="A4209">
        <v>2500000</v>
      </c>
      <c r="C4209" t="s">
        <v>715</v>
      </c>
    </row>
    <row r="4210" spans="1:3">
      <c r="A4210">
        <v>2652323</v>
      </c>
      <c r="C4210" t="s">
        <v>715</v>
      </c>
    </row>
    <row r="4211" spans="1:3">
      <c r="A4211">
        <v>0</v>
      </c>
      <c r="C4211" t="s">
        <v>715</v>
      </c>
    </row>
    <row r="4212" spans="1:3">
      <c r="A4212">
        <v>0</v>
      </c>
      <c r="C4212" t="s">
        <v>715</v>
      </c>
    </row>
    <row r="4213" spans="1:3">
      <c r="A4213">
        <v>0</v>
      </c>
      <c r="C4213" t="s">
        <v>715</v>
      </c>
    </row>
    <row r="4214" spans="1:3">
      <c r="A4214">
        <v>261000</v>
      </c>
      <c r="C4214" t="s">
        <v>715</v>
      </c>
    </row>
    <row r="4215" spans="1:3">
      <c r="A4215">
        <v>116000</v>
      </c>
      <c r="B4215" t="s">
        <v>1803</v>
      </c>
      <c r="C4215" t="s">
        <v>715</v>
      </c>
    </row>
    <row r="4216" spans="1:3">
      <c r="A4216">
        <v>60000</v>
      </c>
      <c r="B4216" t="s">
        <v>1803</v>
      </c>
      <c r="C4216" t="s">
        <v>715</v>
      </c>
    </row>
    <row r="4217" spans="1:3">
      <c r="A4217">
        <v>85000</v>
      </c>
      <c r="B4217" t="s">
        <v>1803</v>
      </c>
      <c r="C4217" t="s">
        <v>715</v>
      </c>
    </row>
    <row r="4218" spans="1:3">
      <c r="A4218">
        <v>165200</v>
      </c>
      <c r="C4218" t="s">
        <v>715</v>
      </c>
    </row>
    <row r="4219" spans="1:3">
      <c r="A4219">
        <v>84100</v>
      </c>
      <c r="B4219" t="s">
        <v>1803</v>
      </c>
      <c r="C4219" t="s">
        <v>715</v>
      </c>
    </row>
    <row r="4220" spans="1:3">
      <c r="A4220">
        <v>55000</v>
      </c>
      <c r="B4220" t="s">
        <v>1803</v>
      </c>
      <c r="C4220" t="s">
        <v>715</v>
      </c>
    </row>
    <row r="4221" spans="1:3">
      <c r="A4221">
        <v>26100</v>
      </c>
      <c r="B4221" t="s">
        <v>1803</v>
      </c>
      <c r="C4221" t="s">
        <v>715</v>
      </c>
    </row>
    <row r="4222" spans="1:3">
      <c r="A4222">
        <v>150000</v>
      </c>
      <c r="C4222" t="s">
        <v>715</v>
      </c>
    </row>
    <row r="4223" spans="1:3">
      <c r="A4223">
        <v>80000</v>
      </c>
      <c r="B4223" t="s">
        <v>1803</v>
      </c>
      <c r="C4223" t="s">
        <v>715</v>
      </c>
    </row>
    <row r="4224" spans="1:3">
      <c r="A4224">
        <v>70000</v>
      </c>
      <c r="B4224" t="s">
        <v>1803</v>
      </c>
      <c r="C4224" t="s">
        <v>715</v>
      </c>
    </row>
    <row r="4225" spans="1:3">
      <c r="A4225">
        <v>500000</v>
      </c>
      <c r="C4225" t="s">
        <v>715</v>
      </c>
    </row>
    <row r="4226" spans="1:3">
      <c r="A4226">
        <v>500000</v>
      </c>
      <c r="B4226" t="s">
        <v>1803</v>
      </c>
      <c r="C4226" t="s">
        <v>715</v>
      </c>
    </row>
    <row r="4227" spans="1:3">
      <c r="A4227">
        <v>245000</v>
      </c>
      <c r="C4227" t="s">
        <v>715</v>
      </c>
    </row>
    <row r="4228" spans="1:3">
      <c r="A4228">
        <v>245000</v>
      </c>
      <c r="B4228" t="s">
        <v>1803</v>
      </c>
      <c r="C4228" t="s">
        <v>715</v>
      </c>
    </row>
    <row r="4229" spans="1:3">
      <c r="A4229">
        <v>1321200</v>
      </c>
      <c r="C4229" t="s">
        <v>715</v>
      </c>
    </row>
    <row r="4230" spans="1:3">
      <c r="A4230">
        <v>1321200</v>
      </c>
      <c r="C4230" t="s">
        <v>715</v>
      </c>
    </row>
    <row r="4231" spans="1:3">
      <c r="A4231">
        <v>0</v>
      </c>
      <c r="C4231" t="s">
        <v>715</v>
      </c>
    </row>
    <row r="4232" spans="1:3">
      <c r="A4232">
        <v>0</v>
      </c>
      <c r="C4232" t="s">
        <v>715</v>
      </c>
    </row>
    <row r="4233" spans="1:3">
      <c r="A4233">
        <v>2000000</v>
      </c>
      <c r="C4233" t="s">
        <v>715</v>
      </c>
    </row>
    <row r="4234" spans="1:3">
      <c r="A4234">
        <v>2000000</v>
      </c>
      <c r="B4234" t="s">
        <v>1803</v>
      </c>
      <c r="C4234" t="s">
        <v>715</v>
      </c>
    </row>
    <row r="4235" spans="1:3">
      <c r="A4235">
        <v>6000000</v>
      </c>
      <c r="C4235" t="s">
        <v>715</v>
      </c>
    </row>
    <row r="4236" spans="1:3">
      <c r="A4236">
        <v>4000000</v>
      </c>
      <c r="B4236" t="s">
        <v>1803</v>
      </c>
      <c r="C4236" t="s">
        <v>715</v>
      </c>
    </row>
    <row r="4237" spans="1:3">
      <c r="A4237">
        <v>2000000</v>
      </c>
      <c r="B4237" t="s">
        <v>1803</v>
      </c>
      <c r="C4237" t="s">
        <v>715</v>
      </c>
    </row>
    <row r="4238" spans="1:3">
      <c r="A4238">
        <v>8000000</v>
      </c>
      <c r="C4238" t="s">
        <v>715</v>
      </c>
    </row>
    <row r="4239" spans="1:3">
      <c r="A4239">
        <v>9321200</v>
      </c>
      <c r="C4239" t="s">
        <v>715</v>
      </c>
    </row>
    <row r="4240" spans="1:3">
      <c r="A4240">
        <v>0</v>
      </c>
      <c r="C4240" t="s">
        <v>715</v>
      </c>
    </row>
    <row r="4241" spans="1:3">
      <c r="A4241">
        <v>0</v>
      </c>
      <c r="C4241" t="s">
        <v>715</v>
      </c>
    </row>
    <row r="4242" spans="1:3">
      <c r="A4242">
        <v>0</v>
      </c>
      <c r="C4242" t="s">
        <v>715</v>
      </c>
    </row>
    <row r="4243" spans="1:3">
      <c r="A4243">
        <v>56100</v>
      </c>
      <c r="C4243" t="s">
        <v>715</v>
      </c>
    </row>
    <row r="4244" spans="1:3">
      <c r="A4244">
        <v>30000</v>
      </c>
      <c r="B4244" t="s">
        <v>1803</v>
      </c>
      <c r="C4244" t="s">
        <v>715</v>
      </c>
    </row>
    <row r="4245" spans="1:3">
      <c r="A4245">
        <v>26100</v>
      </c>
      <c r="B4245" t="s">
        <v>1803</v>
      </c>
      <c r="C4245" t="s">
        <v>715</v>
      </c>
    </row>
    <row r="4246" spans="1:3">
      <c r="A4246">
        <v>159645</v>
      </c>
      <c r="C4246" t="s">
        <v>715</v>
      </c>
    </row>
    <row r="4247" spans="1:3">
      <c r="A4247">
        <v>78445</v>
      </c>
      <c r="B4247" t="s">
        <v>1803</v>
      </c>
      <c r="C4247" t="s">
        <v>715</v>
      </c>
    </row>
    <row r="4248" spans="1:3">
      <c r="A4248">
        <v>55100</v>
      </c>
      <c r="B4248" t="s">
        <v>1803</v>
      </c>
      <c r="C4248" t="s">
        <v>715</v>
      </c>
    </row>
    <row r="4249" spans="1:3">
      <c r="A4249">
        <v>26100</v>
      </c>
      <c r="B4249" t="s">
        <v>1803</v>
      </c>
      <c r="C4249" t="s">
        <v>715</v>
      </c>
    </row>
    <row r="4250" spans="1:3">
      <c r="A4250">
        <v>5000</v>
      </c>
      <c r="C4250" t="s">
        <v>715</v>
      </c>
    </row>
    <row r="4251" spans="1:3">
      <c r="A4251">
        <v>5000</v>
      </c>
      <c r="B4251" t="s">
        <v>1803</v>
      </c>
      <c r="C4251" t="s">
        <v>715</v>
      </c>
    </row>
    <row r="4252" spans="1:3">
      <c r="A4252">
        <v>196718</v>
      </c>
      <c r="C4252" t="s">
        <v>715</v>
      </c>
    </row>
    <row r="4253" spans="1:3">
      <c r="A4253">
        <v>74998</v>
      </c>
      <c r="B4253" t="s">
        <v>1803</v>
      </c>
      <c r="C4253" t="s">
        <v>715</v>
      </c>
    </row>
    <row r="4254" spans="1:3">
      <c r="A4254">
        <v>73000</v>
      </c>
      <c r="B4254" t="s">
        <v>1803</v>
      </c>
      <c r="C4254" t="s">
        <v>715</v>
      </c>
    </row>
    <row r="4255" spans="1:3">
      <c r="A4255">
        <v>48720</v>
      </c>
      <c r="B4255" t="s">
        <v>1803</v>
      </c>
      <c r="C4255" t="s">
        <v>715</v>
      </c>
    </row>
    <row r="4256" spans="1:3">
      <c r="A4256">
        <v>417463</v>
      </c>
      <c r="C4256" t="s">
        <v>715</v>
      </c>
    </row>
    <row r="4257" spans="1:3">
      <c r="A4257">
        <v>417463</v>
      </c>
      <c r="C4257" t="s">
        <v>715</v>
      </c>
    </row>
    <row r="4258" spans="1:3">
      <c r="A4258">
        <v>0</v>
      </c>
      <c r="C4258" t="s">
        <v>715</v>
      </c>
    </row>
    <row r="4259" spans="1:3">
      <c r="A4259">
        <v>0</v>
      </c>
      <c r="C4259" t="s">
        <v>715</v>
      </c>
    </row>
    <row r="4260" spans="1:3">
      <c r="A4260">
        <v>0</v>
      </c>
      <c r="C4260" t="s">
        <v>715</v>
      </c>
    </row>
    <row r="4261" spans="1:3">
      <c r="A4261">
        <v>0</v>
      </c>
      <c r="C4261" t="s">
        <v>715</v>
      </c>
    </row>
    <row r="4262" spans="1:3">
      <c r="A4262">
        <v>0</v>
      </c>
      <c r="C4262" t="s">
        <v>715</v>
      </c>
    </row>
    <row r="4263" spans="1:3">
      <c r="A4263">
        <v>417463</v>
      </c>
      <c r="C4263" t="s">
        <v>715</v>
      </c>
    </row>
    <row r="4264" spans="1:3">
      <c r="A4264">
        <v>63071759.399999999</v>
      </c>
      <c r="C4264" t="s">
        <v>715</v>
      </c>
    </row>
    <row r="4265" spans="1:3">
      <c r="A4265">
        <v>27500000</v>
      </c>
      <c r="C4265" t="s">
        <v>715</v>
      </c>
    </row>
    <row r="4266" spans="1:3">
      <c r="A4266">
        <v>90571759.400000006</v>
      </c>
      <c r="C4266" t="s">
        <v>715</v>
      </c>
    </row>
    <row r="4267" spans="1:3">
      <c r="C4267" t="s">
        <v>715</v>
      </c>
    </row>
    <row r="4271" spans="1:3">
      <c r="C4271" t="s">
        <v>1258</v>
      </c>
    </row>
    <row r="4272" spans="1:3">
      <c r="A4272">
        <v>206109444</v>
      </c>
      <c r="C4272" t="s">
        <v>1258</v>
      </c>
    </row>
    <row r="4273" spans="1:3">
      <c r="A4273">
        <v>206109444</v>
      </c>
      <c r="B4273" t="s">
        <v>1803</v>
      </c>
      <c r="C4273" t="s">
        <v>1258</v>
      </c>
    </row>
    <row r="4274" spans="1:3">
      <c r="A4274">
        <v>168200</v>
      </c>
      <c r="C4274" t="s">
        <v>1258</v>
      </c>
    </row>
    <row r="4275" spans="1:3">
      <c r="A4275">
        <v>52200</v>
      </c>
      <c r="B4275" t="s">
        <v>1803</v>
      </c>
      <c r="C4275" t="s">
        <v>1258</v>
      </c>
    </row>
    <row r="4276" spans="1:3">
      <c r="A4276">
        <v>116000</v>
      </c>
      <c r="B4276" t="s">
        <v>1803</v>
      </c>
      <c r="C4276" t="s">
        <v>1258</v>
      </c>
    </row>
    <row r="4277" spans="1:3">
      <c r="A4277">
        <v>280198</v>
      </c>
      <c r="C4277" t="s">
        <v>1258</v>
      </c>
    </row>
    <row r="4278" spans="1:3">
      <c r="A4278">
        <v>256998</v>
      </c>
      <c r="B4278" t="s">
        <v>1803</v>
      </c>
      <c r="C4278" t="s">
        <v>1258</v>
      </c>
    </row>
    <row r="4279" spans="1:3">
      <c r="A4279">
        <v>23200</v>
      </c>
      <c r="B4279" t="s">
        <v>1803</v>
      </c>
      <c r="C4279" t="s">
        <v>1258</v>
      </c>
    </row>
    <row r="4280" spans="1:3">
      <c r="A4280">
        <v>2182041</v>
      </c>
      <c r="C4280" t="s">
        <v>1258</v>
      </c>
    </row>
    <row r="4281" spans="1:3">
      <c r="A4281">
        <v>552985</v>
      </c>
      <c r="B4281" t="s">
        <v>1803</v>
      </c>
      <c r="C4281" t="s">
        <v>1258</v>
      </c>
    </row>
    <row r="4282" spans="1:3">
      <c r="A4282">
        <v>547803</v>
      </c>
      <c r="B4282" t="s">
        <v>1803</v>
      </c>
      <c r="C4282" t="s">
        <v>1258</v>
      </c>
    </row>
    <row r="4283" spans="1:3">
      <c r="A4283">
        <v>1081253</v>
      </c>
      <c r="B4283" t="s">
        <v>1803</v>
      </c>
      <c r="C4283" t="s">
        <v>1258</v>
      </c>
    </row>
    <row r="4284" spans="1:3">
      <c r="A4284">
        <v>1129229</v>
      </c>
      <c r="C4284" t="s">
        <v>1258</v>
      </c>
    </row>
    <row r="4285" spans="1:3">
      <c r="A4285">
        <v>318989</v>
      </c>
      <c r="B4285" t="s">
        <v>1803</v>
      </c>
      <c r="C4285" t="s">
        <v>1258</v>
      </c>
    </row>
    <row r="4286" spans="1:3">
      <c r="A4286">
        <v>673565</v>
      </c>
      <c r="B4286" t="s">
        <v>1803</v>
      </c>
      <c r="C4286" t="s">
        <v>1258</v>
      </c>
    </row>
    <row r="4287" spans="1:3">
      <c r="A4287">
        <v>136675</v>
      </c>
      <c r="B4287" t="s">
        <v>1803</v>
      </c>
      <c r="C4287" t="s">
        <v>1258</v>
      </c>
    </row>
    <row r="4288" spans="1:3">
      <c r="A4288">
        <v>677465</v>
      </c>
      <c r="C4288" t="s">
        <v>1258</v>
      </c>
    </row>
    <row r="4289" spans="1:3">
      <c r="A4289">
        <v>274908</v>
      </c>
      <c r="B4289" t="s">
        <v>1803</v>
      </c>
      <c r="C4289" t="s">
        <v>1258</v>
      </c>
    </row>
    <row r="4290" spans="1:3">
      <c r="A4290">
        <v>22514</v>
      </c>
      <c r="B4290" t="s">
        <v>1803</v>
      </c>
      <c r="C4290" t="s">
        <v>1258</v>
      </c>
    </row>
    <row r="4291" spans="1:3">
      <c r="A4291">
        <v>380043</v>
      </c>
      <c r="B4291" t="s">
        <v>1803</v>
      </c>
      <c r="C4291" t="s">
        <v>1258</v>
      </c>
    </row>
    <row r="4292" spans="1:3">
      <c r="A4292">
        <v>1057431</v>
      </c>
      <c r="C4292" t="s">
        <v>1258</v>
      </c>
    </row>
    <row r="4293" spans="1:3">
      <c r="A4293">
        <v>418974</v>
      </c>
      <c r="B4293" t="s">
        <v>1803</v>
      </c>
      <c r="C4293" t="s">
        <v>1258</v>
      </c>
    </row>
    <row r="4294" spans="1:3">
      <c r="A4294">
        <v>161213</v>
      </c>
      <c r="B4294" t="s">
        <v>1803</v>
      </c>
      <c r="C4294" t="s">
        <v>1258</v>
      </c>
    </row>
    <row r="4295" spans="1:3">
      <c r="A4295">
        <v>172674</v>
      </c>
      <c r="B4295" t="s">
        <v>1803</v>
      </c>
      <c r="C4295" t="s">
        <v>1258</v>
      </c>
    </row>
    <row r="4296" spans="1:3">
      <c r="A4296">
        <v>304570</v>
      </c>
      <c r="B4296" t="s">
        <v>1803</v>
      </c>
      <c r="C4296" t="s">
        <v>1258</v>
      </c>
    </row>
    <row r="4297" spans="1:3">
      <c r="A4297">
        <v>772823</v>
      </c>
      <c r="C4297" t="s">
        <v>1258</v>
      </c>
    </row>
    <row r="4298" spans="1:3">
      <c r="A4298">
        <v>565739</v>
      </c>
      <c r="B4298" t="s">
        <v>1803</v>
      </c>
      <c r="C4298" t="s">
        <v>1258</v>
      </c>
    </row>
    <row r="4299" spans="1:3">
      <c r="A4299">
        <v>207084</v>
      </c>
      <c r="B4299" t="s">
        <v>1803</v>
      </c>
      <c r="C4299" t="s">
        <v>1258</v>
      </c>
    </row>
    <row r="4300" spans="1:3">
      <c r="A4300">
        <v>652040</v>
      </c>
      <c r="C4300" t="s">
        <v>1258</v>
      </c>
    </row>
    <row r="4301" spans="1:3">
      <c r="A4301">
        <v>145765</v>
      </c>
      <c r="B4301" t="s">
        <v>1803</v>
      </c>
      <c r="C4301" t="s">
        <v>1258</v>
      </c>
    </row>
    <row r="4302" spans="1:3">
      <c r="A4302">
        <v>354705</v>
      </c>
      <c r="B4302" t="s">
        <v>1803</v>
      </c>
      <c r="C4302" t="s">
        <v>1258</v>
      </c>
    </row>
    <row r="4303" spans="1:3">
      <c r="A4303">
        <v>151570</v>
      </c>
      <c r="B4303" t="s">
        <v>1803</v>
      </c>
      <c r="C4303" t="s">
        <v>1258</v>
      </c>
    </row>
    <row r="4304" spans="1:3">
      <c r="A4304">
        <v>707940</v>
      </c>
      <c r="C4304" t="s">
        <v>1258</v>
      </c>
    </row>
    <row r="4305" spans="1:3">
      <c r="A4305">
        <v>707940</v>
      </c>
      <c r="B4305" t="s">
        <v>1803</v>
      </c>
      <c r="C4305" t="s">
        <v>1258</v>
      </c>
    </row>
    <row r="4306" spans="1:3">
      <c r="A4306">
        <v>454321</v>
      </c>
      <c r="C4306" t="s">
        <v>1258</v>
      </c>
    </row>
    <row r="4307" spans="1:3">
      <c r="A4307">
        <v>454321</v>
      </c>
      <c r="B4307" t="s">
        <v>1803</v>
      </c>
      <c r="C4307" t="s">
        <v>1258</v>
      </c>
    </row>
    <row r="4308" spans="1:3">
      <c r="A4308">
        <v>541990</v>
      </c>
      <c r="C4308" t="s">
        <v>1258</v>
      </c>
    </row>
    <row r="4309" spans="1:3">
      <c r="A4309">
        <v>298660</v>
      </c>
      <c r="B4309" t="s">
        <v>1803</v>
      </c>
      <c r="C4309" t="s">
        <v>1258</v>
      </c>
    </row>
    <row r="4310" spans="1:3">
      <c r="A4310">
        <v>243330</v>
      </c>
      <c r="B4310" t="s">
        <v>1803</v>
      </c>
      <c r="C4310" t="s">
        <v>1258</v>
      </c>
    </row>
    <row r="4311" spans="1:3">
      <c r="A4311">
        <v>2524560</v>
      </c>
      <c r="C4311" t="s">
        <v>1258</v>
      </c>
    </row>
    <row r="4312" spans="1:3">
      <c r="A4312">
        <v>2524560</v>
      </c>
      <c r="B4312" t="s">
        <v>1803</v>
      </c>
      <c r="C4312" t="s">
        <v>1258</v>
      </c>
    </row>
    <row r="4313" spans="1:3">
      <c r="A4313">
        <v>12543768</v>
      </c>
      <c r="C4313" t="s">
        <v>1258</v>
      </c>
    </row>
    <row r="4314" spans="1:3">
      <c r="A4314">
        <v>12543768</v>
      </c>
      <c r="B4314" t="s">
        <v>1803</v>
      </c>
      <c r="C4314" t="s">
        <v>1258</v>
      </c>
    </row>
    <row r="4315" spans="1:3">
      <c r="A4315">
        <v>412345</v>
      </c>
      <c r="C4315" t="s">
        <v>1258</v>
      </c>
    </row>
    <row r="4316" spans="1:3">
      <c r="A4316">
        <v>412345</v>
      </c>
      <c r="B4316" t="s">
        <v>1803</v>
      </c>
      <c r="C4316" t="s">
        <v>1258</v>
      </c>
    </row>
    <row r="4317" spans="1:3">
      <c r="A4317">
        <v>230213795</v>
      </c>
      <c r="C4317" t="s">
        <v>1258</v>
      </c>
    </row>
    <row r="4318" spans="1:3">
      <c r="C4318" t="s">
        <v>1258</v>
      </c>
    </row>
    <row r="4319" spans="1:3">
      <c r="C4319" t="s">
        <v>1258</v>
      </c>
    </row>
    <row r="4320" spans="1:3">
      <c r="C4320" t="s">
        <v>1258</v>
      </c>
    </row>
    <row r="4321" spans="1:3">
      <c r="A4321">
        <v>1792217</v>
      </c>
      <c r="C4321" t="s">
        <v>1258</v>
      </c>
    </row>
    <row r="4322" spans="1:3">
      <c r="A4322">
        <v>550986</v>
      </c>
      <c r="B4322" t="s">
        <v>1803</v>
      </c>
      <c r="C4322" t="s">
        <v>1258</v>
      </c>
    </row>
    <row r="4323" spans="1:3">
      <c r="A4323">
        <v>500710</v>
      </c>
      <c r="B4323" t="s">
        <v>1803</v>
      </c>
      <c r="C4323" t="s">
        <v>1258</v>
      </c>
    </row>
    <row r="4324" spans="1:3">
      <c r="A4324">
        <v>740521</v>
      </c>
      <c r="B4324" t="s">
        <v>1803</v>
      </c>
      <c r="C4324" t="s">
        <v>1258</v>
      </c>
    </row>
    <row r="4325" spans="1:3">
      <c r="A4325">
        <v>455203</v>
      </c>
      <c r="C4325" t="s">
        <v>1258</v>
      </c>
    </row>
    <row r="4326" spans="1:3">
      <c r="A4326">
        <v>304500</v>
      </c>
      <c r="B4326" t="s">
        <v>1803</v>
      </c>
      <c r="C4326" t="s">
        <v>1258</v>
      </c>
    </row>
    <row r="4327" spans="1:3">
      <c r="A4327">
        <v>150703</v>
      </c>
      <c r="B4327" t="s">
        <v>1803</v>
      </c>
      <c r="C4327" t="s">
        <v>1258</v>
      </c>
    </row>
    <row r="4328" spans="1:3">
      <c r="A4328">
        <v>302468</v>
      </c>
      <c r="C4328" t="s">
        <v>1258</v>
      </c>
    </row>
    <row r="4329" spans="1:3">
      <c r="A4329">
        <v>302468</v>
      </c>
      <c r="B4329" t="s">
        <v>1803</v>
      </c>
      <c r="C4329" t="s">
        <v>1258</v>
      </c>
    </row>
    <row r="4330" spans="1:3">
      <c r="A4330">
        <v>941020</v>
      </c>
      <c r="C4330" t="s">
        <v>1258</v>
      </c>
    </row>
    <row r="4331" spans="1:3">
      <c r="A4331">
        <v>369515</v>
      </c>
      <c r="B4331" t="s">
        <v>1803</v>
      </c>
      <c r="C4331" t="s">
        <v>1258</v>
      </c>
    </row>
    <row r="4332" spans="1:3">
      <c r="A4332">
        <v>407029</v>
      </c>
      <c r="B4332" t="s">
        <v>1803</v>
      </c>
      <c r="C4332" t="s">
        <v>1258</v>
      </c>
    </row>
    <row r="4333" spans="1:3">
      <c r="A4333">
        <v>164476</v>
      </c>
      <c r="B4333" t="s">
        <v>1803</v>
      </c>
      <c r="C4333" t="s">
        <v>1258</v>
      </c>
    </row>
    <row r="4334" spans="1:3">
      <c r="A4334">
        <v>1306130</v>
      </c>
      <c r="C4334" t="s">
        <v>1258</v>
      </c>
    </row>
    <row r="4335" spans="1:3">
      <c r="A4335">
        <v>1306130</v>
      </c>
      <c r="B4335" t="s">
        <v>1803</v>
      </c>
      <c r="C4335" t="s">
        <v>1258</v>
      </c>
    </row>
    <row r="4336" spans="1:3">
      <c r="A4336">
        <v>454264</v>
      </c>
      <c r="C4336" t="s">
        <v>1258</v>
      </c>
    </row>
    <row r="4337" spans="1:3">
      <c r="A4337">
        <v>454264</v>
      </c>
      <c r="B4337" t="s">
        <v>1803</v>
      </c>
      <c r="C4337" t="s">
        <v>1258</v>
      </c>
    </row>
    <row r="4338" spans="1:3">
      <c r="A4338">
        <v>356439</v>
      </c>
      <c r="C4338" t="s">
        <v>1258</v>
      </c>
    </row>
    <row r="4339" spans="1:3">
      <c r="A4339">
        <v>356439</v>
      </c>
      <c r="B4339" t="s">
        <v>1803</v>
      </c>
      <c r="C4339" t="s">
        <v>1258</v>
      </c>
    </row>
    <row r="4340" spans="1:3">
      <c r="A4340">
        <v>5607741</v>
      </c>
      <c r="C4340" t="s">
        <v>1258</v>
      </c>
    </row>
    <row r="4341" spans="1:3">
      <c r="C4341" t="s">
        <v>1258</v>
      </c>
    </row>
    <row r="4342" spans="1:3">
      <c r="C4342" t="s">
        <v>1258</v>
      </c>
    </row>
    <row r="4343" spans="1:3">
      <c r="C4343" t="s">
        <v>1258</v>
      </c>
    </row>
    <row r="4344" spans="1:3">
      <c r="A4344">
        <v>0</v>
      </c>
      <c r="C4344" t="s">
        <v>1258</v>
      </c>
    </row>
    <row r="4345" spans="1:3">
      <c r="A4345">
        <v>954363</v>
      </c>
      <c r="C4345" t="s">
        <v>1258</v>
      </c>
    </row>
    <row r="4346" spans="1:3">
      <c r="A4346">
        <v>954363</v>
      </c>
      <c r="B4346" t="s">
        <v>1803</v>
      </c>
      <c r="C4346" t="s">
        <v>1258</v>
      </c>
    </row>
    <row r="4347" spans="1:3">
      <c r="A4347">
        <v>121025000</v>
      </c>
      <c r="C4347" t="s">
        <v>1258</v>
      </c>
    </row>
    <row r="4348" spans="1:3">
      <c r="A4348">
        <v>121025000</v>
      </c>
      <c r="B4348" t="s">
        <v>1803</v>
      </c>
      <c r="C4348" t="s">
        <v>1258</v>
      </c>
    </row>
    <row r="4349" spans="1:3">
      <c r="A4349">
        <v>1065446</v>
      </c>
      <c r="C4349" t="s">
        <v>1258</v>
      </c>
    </row>
    <row r="4350" spans="1:3">
      <c r="A4350">
        <v>1065446</v>
      </c>
      <c r="B4350" t="s">
        <v>1803</v>
      </c>
      <c r="C4350" t="s">
        <v>1258</v>
      </c>
    </row>
    <row r="4351" spans="1:3">
      <c r="A4351">
        <v>123044809</v>
      </c>
      <c r="C4351" t="s">
        <v>1258</v>
      </c>
    </row>
    <row r="4352" spans="1:3">
      <c r="A4352">
        <v>128652550</v>
      </c>
      <c r="C4352" t="s">
        <v>1258</v>
      </c>
    </row>
    <row r="4353" spans="1:3">
      <c r="C4353" t="s">
        <v>1258</v>
      </c>
    </row>
    <row r="4354" spans="1:3">
      <c r="C4354" t="s">
        <v>1258</v>
      </c>
    </row>
    <row r="4355" spans="1:3">
      <c r="C4355" t="s">
        <v>1258</v>
      </c>
    </row>
    <row r="4356" spans="1:3">
      <c r="A4356">
        <v>0</v>
      </c>
      <c r="C4356" t="s">
        <v>1258</v>
      </c>
    </row>
    <row r="4357" spans="1:3">
      <c r="A4357">
        <v>0</v>
      </c>
      <c r="C4357" t="s">
        <v>1258</v>
      </c>
    </row>
    <row r="4358" spans="1:3">
      <c r="A4358">
        <v>40020</v>
      </c>
      <c r="C4358" t="s">
        <v>1258</v>
      </c>
    </row>
    <row r="4359" spans="1:3">
      <c r="A4359">
        <v>26680</v>
      </c>
      <c r="B4359" t="s">
        <v>1803</v>
      </c>
      <c r="C4359" t="s">
        <v>1258</v>
      </c>
    </row>
    <row r="4360" spans="1:3">
      <c r="A4360">
        <v>13340</v>
      </c>
      <c r="B4360" t="s">
        <v>1803</v>
      </c>
      <c r="C4360" t="s">
        <v>1258</v>
      </c>
    </row>
    <row r="4361" spans="1:3">
      <c r="A4361">
        <v>34243</v>
      </c>
      <c r="C4361" t="s">
        <v>1258</v>
      </c>
    </row>
    <row r="4362" spans="1:3">
      <c r="A4362">
        <v>34243</v>
      </c>
      <c r="B4362" t="s">
        <v>1803</v>
      </c>
      <c r="C4362" t="s">
        <v>1258</v>
      </c>
    </row>
    <row r="4363" spans="1:3">
      <c r="A4363">
        <v>974281</v>
      </c>
      <c r="C4363" t="s">
        <v>1258</v>
      </c>
    </row>
    <row r="4364" spans="1:3">
      <c r="A4364">
        <v>43982</v>
      </c>
      <c r="B4364" t="s">
        <v>1803</v>
      </c>
      <c r="C4364" t="s">
        <v>1258</v>
      </c>
    </row>
    <row r="4365" spans="1:3">
      <c r="A4365">
        <v>208025</v>
      </c>
      <c r="B4365" t="s">
        <v>1803</v>
      </c>
      <c r="C4365" t="s">
        <v>1258</v>
      </c>
    </row>
    <row r="4366" spans="1:3">
      <c r="A4366">
        <v>368274</v>
      </c>
      <c r="B4366" t="s">
        <v>1803</v>
      </c>
      <c r="C4366" t="s">
        <v>1258</v>
      </c>
    </row>
    <row r="4367" spans="1:3">
      <c r="A4367">
        <v>354000</v>
      </c>
      <c r="B4367" t="s">
        <v>1803</v>
      </c>
      <c r="C4367" t="s">
        <v>1258</v>
      </c>
    </row>
    <row r="4368" spans="1:3">
      <c r="A4368">
        <v>319000</v>
      </c>
      <c r="C4368" t="s">
        <v>1258</v>
      </c>
    </row>
    <row r="4369" spans="1:3">
      <c r="A4369">
        <v>116000</v>
      </c>
      <c r="B4369" t="s">
        <v>1803</v>
      </c>
      <c r="C4369" t="s">
        <v>1258</v>
      </c>
    </row>
    <row r="4370" spans="1:3">
      <c r="A4370">
        <v>203000</v>
      </c>
      <c r="B4370" t="s">
        <v>1803</v>
      </c>
      <c r="C4370" t="s">
        <v>1258</v>
      </c>
    </row>
    <row r="4371" spans="1:3">
      <c r="A4371">
        <v>413638</v>
      </c>
      <c r="C4371" t="s">
        <v>1258</v>
      </c>
    </row>
    <row r="4372" spans="1:3">
      <c r="A4372">
        <v>149513</v>
      </c>
      <c r="B4372" t="s">
        <v>1803</v>
      </c>
      <c r="C4372" t="s">
        <v>1258</v>
      </c>
    </row>
    <row r="4373" spans="1:3">
      <c r="A4373">
        <v>119260</v>
      </c>
      <c r="B4373" t="s">
        <v>1803</v>
      </c>
      <c r="C4373" t="s">
        <v>1258</v>
      </c>
    </row>
    <row r="4374" spans="1:3">
      <c r="A4374">
        <v>144865</v>
      </c>
      <c r="B4374" t="s">
        <v>1803</v>
      </c>
      <c r="C4374" t="s">
        <v>1258</v>
      </c>
    </row>
    <row r="4375" spans="1:3">
      <c r="A4375">
        <v>3178296</v>
      </c>
      <c r="C4375" t="s">
        <v>1258</v>
      </c>
    </row>
    <row r="4376" spans="1:3">
      <c r="A4376">
        <v>608417</v>
      </c>
      <c r="B4376" t="s">
        <v>1803</v>
      </c>
      <c r="C4376" t="s">
        <v>1258</v>
      </c>
    </row>
    <row r="4377" spans="1:3">
      <c r="A4377">
        <v>2569879</v>
      </c>
      <c r="B4377" t="s">
        <v>1803</v>
      </c>
      <c r="C4377" t="s">
        <v>1258</v>
      </c>
    </row>
    <row r="4378" spans="1:3">
      <c r="A4378">
        <v>55216</v>
      </c>
      <c r="C4378" t="s">
        <v>1258</v>
      </c>
    </row>
    <row r="4379" spans="1:3">
      <c r="A4379">
        <v>55216</v>
      </c>
      <c r="B4379" t="s">
        <v>1803</v>
      </c>
      <c r="C4379" t="s">
        <v>1258</v>
      </c>
    </row>
    <row r="4380" spans="1:3">
      <c r="A4380">
        <v>238518</v>
      </c>
      <c r="C4380" t="s">
        <v>1258</v>
      </c>
    </row>
    <row r="4381" spans="1:3">
      <c r="A4381">
        <v>238518</v>
      </c>
      <c r="B4381" t="s">
        <v>1803</v>
      </c>
      <c r="C4381" t="s">
        <v>1258</v>
      </c>
    </row>
    <row r="4382" spans="1:3">
      <c r="A4382">
        <v>15202976</v>
      </c>
      <c r="C4382" t="s">
        <v>1258</v>
      </c>
    </row>
    <row r="4383" spans="1:3">
      <c r="A4383">
        <v>15064867</v>
      </c>
      <c r="B4383" t="s">
        <v>1803</v>
      </c>
      <c r="C4383" t="s">
        <v>1258</v>
      </c>
    </row>
    <row r="4384" spans="1:3">
      <c r="A4384">
        <v>138109</v>
      </c>
      <c r="B4384" t="s">
        <v>1803</v>
      </c>
      <c r="C4384" t="s">
        <v>1258</v>
      </c>
    </row>
    <row r="4385" spans="1:3">
      <c r="A4385">
        <v>20456188</v>
      </c>
      <c r="C4385" t="s">
        <v>1258</v>
      </c>
    </row>
    <row r="4386" spans="1:3">
      <c r="C4386" t="s">
        <v>1258</v>
      </c>
    </row>
    <row r="4387" spans="1:3">
      <c r="C4387" t="s">
        <v>1258</v>
      </c>
    </row>
    <row r="4388" spans="1:3">
      <c r="C4388" t="s">
        <v>1258</v>
      </c>
    </row>
    <row r="4389" spans="1:3">
      <c r="A4389">
        <v>4619106</v>
      </c>
      <c r="C4389" t="s">
        <v>1258</v>
      </c>
    </row>
    <row r="4390" spans="1:3">
      <c r="A4390">
        <v>4619106</v>
      </c>
      <c r="B4390" t="s">
        <v>1803</v>
      </c>
      <c r="C4390" t="s">
        <v>1258</v>
      </c>
    </row>
    <row r="4391" spans="1:3">
      <c r="A4391">
        <v>90000</v>
      </c>
      <c r="C4391" t="s">
        <v>1258</v>
      </c>
    </row>
    <row r="4392" spans="1:3">
      <c r="A4392">
        <v>90000</v>
      </c>
      <c r="B4392" t="s">
        <v>1803</v>
      </c>
      <c r="C4392" t="s">
        <v>1258</v>
      </c>
    </row>
    <row r="4393" spans="1:3">
      <c r="A4393">
        <v>163015152</v>
      </c>
      <c r="C4393" t="s">
        <v>1258</v>
      </c>
    </row>
    <row r="4394" spans="1:3">
      <c r="A4394">
        <v>151515152</v>
      </c>
      <c r="B4394" t="s">
        <v>1803</v>
      </c>
      <c r="C4394" t="s">
        <v>1258</v>
      </c>
    </row>
    <row r="4395" spans="1:3">
      <c r="A4395">
        <v>11500000</v>
      </c>
      <c r="B4395" t="s">
        <v>1803</v>
      </c>
      <c r="C4395" t="s">
        <v>1258</v>
      </c>
    </row>
    <row r="4396" spans="1:3">
      <c r="A4396">
        <v>167724258</v>
      </c>
      <c r="C4396" t="s">
        <v>1258</v>
      </c>
    </row>
    <row r="4397" spans="1:3">
      <c r="A4397">
        <v>188180446</v>
      </c>
      <c r="C4397" t="s">
        <v>1258</v>
      </c>
    </row>
    <row r="4398" spans="1:3">
      <c r="C4398" t="s">
        <v>1258</v>
      </c>
    </row>
    <row r="4399" spans="1:3">
      <c r="C4399" t="s">
        <v>1258</v>
      </c>
    </row>
    <row r="4400" spans="1:3">
      <c r="A4400">
        <v>6860000</v>
      </c>
      <c r="C4400" t="s">
        <v>1258</v>
      </c>
    </row>
    <row r="4401" spans="1:3">
      <c r="A4401">
        <v>6860000</v>
      </c>
      <c r="B4401" t="s">
        <v>1803</v>
      </c>
      <c r="C4401" t="s">
        <v>1258</v>
      </c>
    </row>
    <row r="4402" spans="1:3">
      <c r="A4402">
        <v>277363</v>
      </c>
      <c r="C4402" t="s">
        <v>1258</v>
      </c>
    </row>
    <row r="4403" spans="1:3">
      <c r="A4403">
        <v>184200</v>
      </c>
      <c r="B4403" t="s">
        <v>1803</v>
      </c>
      <c r="C4403" t="s">
        <v>1258</v>
      </c>
    </row>
    <row r="4404" spans="1:3">
      <c r="A4404">
        <v>93163</v>
      </c>
      <c r="B4404" t="s">
        <v>1803</v>
      </c>
      <c r="C4404" t="s">
        <v>1258</v>
      </c>
    </row>
    <row r="4405" spans="1:3">
      <c r="A4405">
        <v>437317</v>
      </c>
      <c r="C4405" t="s">
        <v>1258</v>
      </c>
    </row>
    <row r="4406" spans="1:3">
      <c r="A4406">
        <v>238000</v>
      </c>
      <c r="B4406" t="s">
        <v>1803</v>
      </c>
      <c r="C4406" t="s">
        <v>1258</v>
      </c>
    </row>
    <row r="4407" spans="1:3">
      <c r="A4407">
        <v>174000</v>
      </c>
      <c r="B4407" t="s">
        <v>1803</v>
      </c>
      <c r="C4407" t="s">
        <v>1258</v>
      </c>
    </row>
    <row r="4408" spans="1:3">
      <c r="A4408">
        <v>25317</v>
      </c>
      <c r="B4408" t="s">
        <v>1803</v>
      </c>
      <c r="C4408" t="s">
        <v>1258</v>
      </c>
    </row>
    <row r="4409" spans="1:3">
      <c r="A4409">
        <v>1518615</v>
      </c>
      <c r="C4409" t="s">
        <v>1258</v>
      </c>
    </row>
    <row r="4410" spans="1:3">
      <c r="A4410">
        <v>346885</v>
      </c>
      <c r="B4410" t="s">
        <v>1803</v>
      </c>
      <c r="C4410" t="s">
        <v>1258</v>
      </c>
    </row>
    <row r="4411" spans="1:3">
      <c r="A4411">
        <v>449560</v>
      </c>
      <c r="B4411" t="s">
        <v>1803</v>
      </c>
      <c r="C4411" t="s">
        <v>1258</v>
      </c>
    </row>
    <row r="4412" spans="1:3">
      <c r="A4412">
        <v>722170</v>
      </c>
      <c r="B4412" t="s">
        <v>1803</v>
      </c>
      <c r="C4412" t="s">
        <v>1258</v>
      </c>
    </row>
    <row r="4413" spans="1:3">
      <c r="A4413">
        <v>381200</v>
      </c>
      <c r="C4413" t="s">
        <v>1258</v>
      </c>
    </row>
    <row r="4414" spans="1:3">
      <c r="A4414">
        <v>381200</v>
      </c>
      <c r="B4414" t="s">
        <v>1803</v>
      </c>
      <c r="C4414" t="s">
        <v>1258</v>
      </c>
    </row>
    <row r="4415" spans="1:3">
      <c r="A4415">
        <v>65054</v>
      </c>
      <c r="C4415" t="s">
        <v>1258</v>
      </c>
    </row>
    <row r="4416" spans="1:3">
      <c r="A4416">
        <v>65054</v>
      </c>
      <c r="B4416" t="s">
        <v>1803</v>
      </c>
      <c r="C4416" t="s">
        <v>1258</v>
      </c>
    </row>
    <row r="4417" spans="1:3">
      <c r="A4417">
        <v>1536099</v>
      </c>
      <c r="C4417" t="s">
        <v>1258</v>
      </c>
    </row>
    <row r="4418" spans="1:3">
      <c r="A4418">
        <v>886766</v>
      </c>
      <c r="B4418" t="s">
        <v>1803</v>
      </c>
      <c r="C4418" t="s">
        <v>1258</v>
      </c>
    </row>
    <row r="4419" spans="1:3">
      <c r="A4419">
        <v>258593</v>
      </c>
      <c r="B4419" t="s">
        <v>1803</v>
      </c>
      <c r="C4419" t="s">
        <v>1258</v>
      </c>
    </row>
    <row r="4420" spans="1:3">
      <c r="A4420">
        <v>390740</v>
      </c>
      <c r="B4420" t="s">
        <v>1803</v>
      </c>
      <c r="C4420" t="s">
        <v>1258</v>
      </c>
    </row>
    <row r="4421" spans="1:3">
      <c r="A4421">
        <v>376288</v>
      </c>
      <c r="C4421" t="s">
        <v>1258</v>
      </c>
    </row>
    <row r="4422" spans="1:3">
      <c r="A4422">
        <v>376288</v>
      </c>
      <c r="B4422" t="s">
        <v>1803</v>
      </c>
      <c r="C4422" t="s">
        <v>1258</v>
      </c>
    </row>
    <row r="4423" spans="1:3">
      <c r="A4423">
        <v>581257</v>
      </c>
      <c r="C4423" t="s">
        <v>1258</v>
      </c>
    </row>
    <row r="4424" spans="1:3">
      <c r="A4424">
        <v>27840</v>
      </c>
      <c r="B4424" t="s">
        <v>1803</v>
      </c>
      <c r="C4424" t="s">
        <v>1258</v>
      </c>
    </row>
    <row r="4425" spans="1:3">
      <c r="A4425">
        <v>387079</v>
      </c>
      <c r="B4425" t="s">
        <v>1803</v>
      </c>
      <c r="C4425" t="s">
        <v>1258</v>
      </c>
    </row>
    <row r="4426" spans="1:3">
      <c r="A4426">
        <v>166338</v>
      </c>
      <c r="B4426" t="s">
        <v>1803</v>
      </c>
      <c r="C4426" t="s">
        <v>1258</v>
      </c>
    </row>
    <row r="4427" spans="1:3">
      <c r="A4427">
        <v>931649</v>
      </c>
      <c r="C4427" t="s">
        <v>1258</v>
      </c>
    </row>
    <row r="4428" spans="1:3">
      <c r="A4428">
        <v>358372</v>
      </c>
      <c r="B4428" t="s">
        <v>1803</v>
      </c>
      <c r="C4428" t="s">
        <v>1258</v>
      </c>
    </row>
    <row r="4429" spans="1:3">
      <c r="A4429">
        <v>481400</v>
      </c>
      <c r="B4429" t="s">
        <v>1803</v>
      </c>
      <c r="C4429" t="s">
        <v>1258</v>
      </c>
    </row>
    <row r="4430" spans="1:3">
      <c r="A4430">
        <v>91877</v>
      </c>
      <c r="B4430" t="s">
        <v>1803</v>
      </c>
      <c r="C4430" t="s">
        <v>1258</v>
      </c>
    </row>
    <row r="4431" spans="1:3">
      <c r="A4431">
        <v>1414000</v>
      </c>
      <c r="C4431" t="s">
        <v>1258</v>
      </c>
    </row>
    <row r="4432" spans="1:3">
      <c r="A4432">
        <v>1414000</v>
      </c>
      <c r="B4432" t="s">
        <v>1803</v>
      </c>
      <c r="C4432" t="s">
        <v>1258</v>
      </c>
    </row>
    <row r="4433" spans="1:3">
      <c r="A4433">
        <v>226400</v>
      </c>
      <c r="C4433" t="s">
        <v>1258</v>
      </c>
    </row>
    <row r="4434" spans="1:3">
      <c r="A4434">
        <v>226400</v>
      </c>
      <c r="B4434" t="s">
        <v>1803</v>
      </c>
      <c r="C4434" t="s">
        <v>1258</v>
      </c>
    </row>
    <row r="4435" spans="1:3">
      <c r="A4435">
        <v>908527</v>
      </c>
      <c r="C4435" t="s">
        <v>1258</v>
      </c>
    </row>
    <row r="4436" spans="1:3">
      <c r="A4436">
        <v>908527</v>
      </c>
      <c r="B4436" t="s">
        <v>1803</v>
      </c>
      <c r="C4436" t="s">
        <v>1258</v>
      </c>
    </row>
    <row r="4437" spans="1:3">
      <c r="A4437">
        <v>963223</v>
      </c>
      <c r="C4437" t="s">
        <v>1258</v>
      </c>
    </row>
    <row r="4438" spans="1:3">
      <c r="A4438">
        <v>223880</v>
      </c>
      <c r="B4438" t="s">
        <v>1803</v>
      </c>
      <c r="C4438" t="s">
        <v>1258</v>
      </c>
    </row>
    <row r="4439" spans="1:3">
      <c r="A4439">
        <v>270219</v>
      </c>
      <c r="B4439" t="s">
        <v>1803</v>
      </c>
      <c r="C4439" t="s">
        <v>1258</v>
      </c>
    </row>
    <row r="4440" spans="1:3">
      <c r="A4440">
        <v>256844</v>
      </c>
      <c r="B4440" t="s">
        <v>1803</v>
      </c>
      <c r="C4440" t="s">
        <v>1258</v>
      </c>
    </row>
    <row r="4441" spans="1:3">
      <c r="A4441">
        <v>212280</v>
      </c>
      <c r="B4441" t="s">
        <v>1803</v>
      </c>
      <c r="C4441" t="s">
        <v>1258</v>
      </c>
    </row>
    <row r="4442" spans="1:3">
      <c r="A4442">
        <v>4567800</v>
      </c>
      <c r="C4442" t="s">
        <v>1258</v>
      </c>
    </row>
    <row r="4443" spans="1:3">
      <c r="A4443">
        <v>4567800</v>
      </c>
      <c r="B4443" t="s">
        <v>1803</v>
      </c>
      <c r="C4443" t="s">
        <v>1258</v>
      </c>
    </row>
    <row r="4444" spans="1:3">
      <c r="A4444">
        <v>380000</v>
      </c>
      <c r="C4444" t="s">
        <v>1258</v>
      </c>
    </row>
    <row r="4445" spans="1:3">
      <c r="A4445">
        <v>260000</v>
      </c>
      <c r="B4445" t="s">
        <v>1803</v>
      </c>
      <c r="C4445" t="s">
        <v>1258</v>
      </c>
    </row>
    <row r="4446" spans="1:3">
      <c r="A4446">
        <v>120000</v>
      </c>
      <c r="B4446" t="s">
        <v>1803</v>
      </c>
      <c r="C4446" t="s">
        <v>1258</v>
      </c>
    </row>
    <row r="4447" spans="1:3">
      <c r="A4447">
        <v>315242</v>
      </c>
      <c r="C4447" t="s">
        <v>1258</v>
      </c>
    </row>
    <row r="4448" spans="1:3">
      <c r="A4448">
        <v>315242</v>
      </c>
      <c r="B4448" t="s">
        <v>1803</v>
      </c>
      <c r="C4448" t="s">
        <v>1258</v>
      </c>
    </row>
    <row r="4449" spans="1:3">
      <c r="A4449">
        <v>21740034</v>
      </c>
      <c r="C4449" t="s">
        <v>1258</v>
      </c>
    </row>
    <row r="4450" spans="1:3">
      <c r="C4450" t="s">
        <v>1258</v>
      </c>
    </row>
    <row r="4451" spans="1:3">
      <c r="C4451" t="s">
        <v>1258</v>
      </c>
    </row>
    <row r="4452" spans="1:3">
      <c r="A4452">
        <v>15000000</v>
      </c>
      <c r="C4452" t="s">
        <v>1258</v>
      </c>
    </row>
    <row r="4453" spans="1:3">
      <c r="A4453">
        <v>15000000</v>
      </c>
      <c r="B4453" t="s">
        <v>1803</v>
      </c>
      <c r="C4453" t="s">
        <v>1258</v>
      </c>
    </row>
    <row r="4454" spans="1:3">
      <c r="A4454">
        <v>1771406</v>
      </c>
      <c r="C4454" t="s">
        <v>1258</v>
      </c>
    </row>
    <row r="4455" spans="1:3">
      <c r="A4455">
        <v>771406</v>
      </c>
      <c r="B4455" t="s">
        <v>1803</v>
      </c>
      <c r="C4455" t="s">
        <v>1258</v>
      </c>
    </row>
    <row r="4456" spans="1:3">
      <c r="A4456">
        <v>1000000</v>
      </c>
      <c r="B4456" t="s">
        <v>1803</v>
      </c>
      <c r="C4456" t="s">
        <v>1258</v>
      </c>
    </row>
    <row r="4457" spans="1:3">
      <c r="A4457">
        <v>6912055</v>
      </c>
      <c r="C4457" t="s">
        <v>1258</v>
      </c>
    </row>
    <row r="4458" spans="1:3">
      <c r="A4458">
        <v>5412055</v>
      </c>
      <c r="B4458" t="s">
        <v>1803</v>
      </c>
      <c r="C4458" t="s">
        <v>1258</v>
      </c>
    </row>
    <row r="4459" spans="1:3">
      <c r="A4459">
        <v>1500000</v>
      </c>
      <c r="B4459" t="s">
        <v>1803</v>
      </c>
      <c r="C4459" t="s">
        <v>1258</v>
      </c>
    </row>
    <row r="4460" spans="1:3">
      <c r="A4460">
        <v>649013</v>
      </c>
      <c r="C4460" t="s">
        <v>1258</v>
      </c>
    </row>
    <row r="4461" spans="1:3">
      <c r="A4461">
        <v>649013</v>
      </c>
      <c r="B4461" t="s">
        <v>1803</v>
      </c>
      <c r="C4461" t="s">
        <v>1258</v>
      </c>
    </row>
    <row r="4462" spans="1:3">
      <c r="A4462">
        <v>3453655</v>
      </c>
      <c r="C4462" t="s">
        <v>1258</v>
      </c>
    </row>
    <row r="4463" spans="1:3">
      <c r="A4463">
        <v>3453655</v>
      </c>
      <c r="B4463" t="s">
        <v>1803</v>
      </c>
      <c r="C4463" t="s">
        <v>1258</v>
      </c>
    </row>
    <row r="4464" spans="1:3">
      <c r="A4464">
        <v>27786129</v>
      </c>
      <c r="C4464" t="s">
        <v>1258</v>
      </c>
    </row>
    <row r="4465" spans="1:3">
      <c r="A4465">
        <v>49526163</v>
      </c>
      <c r="C4465" t="s">
        <v>1258</v>
      </c>
    </row>
    <row r="4466" spans="1:3">
      <c r="C4466" t="s">
        <v>1258</v>
      </c>
    </row>
    <row r="4467" spans="1:3">
      <c r="C4467" t="s">
        <v>1258</v>
      </c>
    </row>
    <row r="4468" spans="1:3">
      <c r="C4468" t="s">
        <v>1258</v>
      </c>
    </row>
    <row r="4469" spans="1:3">
      <c r="C4469" t="s">
        <v>1258</v>
      </c>
    </row>
    <row r="4470" spans="1:3">
      <c r="A4470">
        <v>28700</v>
      </c>
      <c r="C4470" t="s">
        <v>1258</v>
      </c>
    </row>
    <row r="4471" spans="1:3">
      <c r="A4471">
        <v>15800</v>
      </c>
      <c r="B4471" t="s">
        <v>1803</v>
      </c>
      <c r="C4471" t="s">
        <v>1258</v>
      </c>
    </row>
    <row r="4472" spans="1:3">
      <c r="A4472">
        <v>12900</v>
      </c>
      <c r="B4472" t="s">
        <v>1803</v>
      </c>
      <c r="C4472" t="s">
        <v>1258</v>
      </c>
    </row>
    <row r="4473" spans="1:3">
      <c r="A4473">
        <v>55800</v>
      </c>
      <c r="C4473" t="s">
        <v>1258</v>
      </c>
    </row>
    <row r="4474" spans="1:3">
      <c r="A4474">
        <v>55800</v>
      </c>
      <c r="B4474" t="s">
        <v>1803</v>
      </c>
      <c r="C4474" t="s">
        <v>1258</v>
      </c>
    </row>
    <row r="4475" spans="1:3">
      <c r="A4475">
        <v>616000</v>
      </c>
      <c r="C4475" t="s">
        <v>1258</v>
      </c>
    </row>
    <row r="4476" spans="1:3">
      <c r="A4476">
        <v>158000</v>
      </c>
      <c r="B4476" t="s">
        <v>1803</v>
      </c>
      <c r="C4476" t="s">
        <v>1258</v>
      </c>
    </row>
    <row r="4477" spans="1:3">
      <c r="A4477">
        <v>129000</v>
      </c>
      <c r="B4477" t="s">
        <v>1803</v>
      </c>
      <c r="C4477" t="s">
        <v>1258</v>
      </c>
    </row>
    <row r="4478" spans="1:3">
      <c r="A4478">
        <v>329000</v>
      </c>
      <c r="B4478" t="s">
        <v>1803</v>
      </c>
      <c r="C4478" t="s">
        <v>1258</v>
      </c>
    </row>
    <row r="4479" spans="1:3">
      <c r="A4479">
        <v>67748</v>
      </c>
      <c r="C4479" t="s">
        <v>1258</v>
      </c>
    </row>
    <row r="4480" spans="1:3">
      <c r="A4480">
        <v>54437</v>
      </c>
      <c r="B4480" t="s">
        <v>1803</v>
      </c>
      <c r="C4480" t="s">
        <v>1258</v>
      </c>
    </row>
    <row r="4481" spans="1:3">
      <c r="A4481">
        <v>13311</v>
      </c>
      <c r="B4481" t="s">
        <v>1803</v>
      </c>
      <c r="C4481" t="s">
        <v>1258</v>
      </c>
    </row>
    <row r="4482" spans="1:3">
      <c r="A4482">
        <v>107160</v>
      </c>
      <c r="C4482" t="s">
        <v>1258</v>
      </c>
    </row>
    <row r="4483" spans="1:3">
      <c r="A4483">
        <v>30160</v>
      </c>
      <c r="B4483" t="s">
        <v>1803</v>
      </c>
      <c r="C4483" t="s">
        <v>1258</v>
      </c>
    </row>
    <row r="4484" spans="1:3">
      <c r="A4484">
        <v>19000</v>
      </c>
      <c r="B4484" t="s">
        <v>1803</v>
      </c>
      <c r="C4484" t="s">
        <v>1258</v>
      </c>
    </row>
    <row r="4485" spans="1:3">
      <c r="A4485">
        <v>58000</v>
      </c>
      <c r="B4485" t="s">
        <v>1803</v>
      </c>
      <c r="C4485" t="s">
        <v>1258</v>
      </c>
    </row>
    <row r="4486" spans="1:3">
      <c r="A4486">
        <v>126622</v>
      </c>
      <c r="C4486" t="s">
        <v>1258</v>
      </c>
    </row>
    <row r="4487" spans="1:3">
      <c r="A4487">
        <v>126622</v>
      </c>
      <c r="B4487" t="s">
        <v>1803</v>
      </c>
      <c r="C4487" t="s">
        <v>1258</v>
      </c>
    </row>
    <row r="4488" spans="1:3">
      <c r="A4488">
        <v>358000</v>
      </c>
      <c r="C4488" t="s">
        <v>1258</v>
      </c>
    </row>
    <row r="4489" spans="1:3">
      <c r="A4489">
        <v>358000</v>
      </c>
      <c r="B4489" t="s">
        <v>1803</v>
      </c>
      <c r="C4489" t="s">
        <v>1258</v>
      </c>
    </row>
    <row r="4490" spans="1:3">
      <c r="A4490">
        <v>434576</v>
      </c>
      <c r="C4490" t="s">
        <v>1258</v>
      </c>
    </row>
    <row r="4491" spans="1:3">
      <c r="A4491">
        <v>139370</v>
      </c>
      <c r="B4491" t="s">
        <v>1803</v>
      </c>
      <c r="C4491" t="s">
        <v>1258</v>
      </c>
    </row>
    <row r="4492" spans="1:3">
      <c r="A4492">
        <v>175955</v>
      </c>
      <c r="B4492" t="s">
        <v>1803</v>
      </c>
      <c r="C4492" t="s">
        <v>1258</v>
      </c>
    </row>
    <row r="4493" spans="1:3">
      <c r="A4493">
        <v>119251</v>
      </c>
      <c r="B4493" t="s">
        <v>1803</v>
      </c>
      <c r="C4493" t="s">
        <v>1258</v>
      </c>
    </row>
    <row r="4494" spans="1:3">
      <c r="A4494">
        <v>273335</v>
      </c>
      <c r="C4494" t="s">
        <v>1258</v>
      </c>
    </row>
    <row r="4495" spans="1:3">
      <c r="A4495">
        <v>273335</v>
      </c>
      <c r="B4495" t="s">
        <v>1803</v>
      </c>
      <c r="C4495" t="s">
        <v>1258</v>
      </c>
    </row>
    <row r="4496" spans="1:3">
      <c r="A4496">
        <v>29680</v>
      </c>
      <c r="C4496" t="s">
        <v>1258</v>
      </c>
    </row>
    <row r="4497" spans="1:3">
      <c r="A4497">
        <v>29680</v>
      </c>
      <c r="B4497" t="s">
        <v>1803</v>
      </c>
      <c r="C4497" t="s">
        <v>1258</v>
      </c>
    </row>
    <row r="4498" spans="1:3">
      <c r="A4498">
        <v>182555</v>
      </c>
      <c r="C4498" t="s">
        <v>1258</v>
      </c>
    </row>
    <row r="4499" spans="1:3">
      <c r="A4499">
        <v>182555</v>
      </c>
      <c r="B4499" t="s">
        <v>1803</v>
      </c>
      <c r="C4499" t="s">
        <v>1258</v>
      </c>
    </row>
    <row r="4500" spans="1:3">
      <c r="A4500">
        <v>372500</v>
      </c>
      <c r="C4500" t="s">
        <v>1258</v>
      </c>
    </row>
    <row r="4501" spans="1:3">
      <c r="A4501">
        <v>126100</v>
      </c>
      <c r="B4501" t="s">
        <v>1803</v>
      </c>
      <c r="C4501" t="s">
        <v>1258</v>
      </c>
    </row>
    <row r="4502" spans="1:3">
      <c r="A4502">
        <v>129000</v>
      </c>
      <c r="B4502" t="s">
        <v>1803</v>
      </c>
      <c r="C4502" t="s">
        <v>1258</v>
      </c>
    </row>
    <row r="4503" spans="1:3">
      <c r="A4503">
        <v>117400</v>
      </c>
      <c r="B4503" t="s">
        <v>1803</v>
      </c>
      <c r="C4503" t="s">
        <v>1258</v>
      </c>
    </row>
    <row r="4504" spans="1:3">
      <c r="A4504">
        <v>158000</v>
      </c>
      <c r="C4504" t="s">
        <v>1258</v>
      </c>
    </row>
    <row r="4505" spans="1:3">
      <c r="A4505">
        <v>158000</v>
      </c>
      <c r="B4505" t="s">
        <v>1803</v>
      </c>
      <c r="C4505" t="s">
        <v>1258</v>
      </c>
    </row>
    <row r="4506" spans="1:3">
      <c r="A4506">
        <v>2810676</v>
      </c>
      <c r="C4506" t="s">
        <v>1258</v>
      </c>
    </row>
    <row r="4507" spans="1:3">
      <c r="C4507" t="s">
        <v>1258</v>
      </c>
    </row>
    <row r="4508" spans="1:3">
      <c r="C4508" t="s">
        <v>1258</v>
      </c>
    </row>
    <row r="4509" spans="1:3">
      <c r="C4509" t="s">
        <v>1258</v>
      </c>
    </row>
    <row r="4510" spans="1:3">
      <c r="A4510">
        <v>4698400</v>
      </c>
      <c r="C4510" t="s">
        <v>1258</v>
      </c>
    </row>
    <row r="4511" spans="1:3">
      <c r="A4511">
        <v>2218400</v>
      </c>
      <c r="B4511" t="s">
        <v>1803</v>
      </c>
      <c r="C4511" t="s">
        <v>1258</v>
      </c>
    </row>
    <row r="4512" spans="1:3">
      <c r="A4512">
        <v>2480000</v>
      </c>
      <c r="B4512" t="s">
        <v>1803</v>
      </c>
      <c r="C4512" t="s">
        <v>1258</v>
      </c>
    </row>
    <row r="4513" spans="1:3">
      <c r="A4513">
        <v>4698400</v>
      </c>
      <c r="C4513" t="s">
        <v>1258</v>
      </c>
    </row>
    <row r="4514" spans="1:3">
      <c r="A4514">
        <v>7509076</v>
      </c>
      <c r="C4514" t="s">
        <v>1258</v>
      </c>
    </row>
    <row r="4515" spans="1:3">
      <c r="A4515">
        <v>280828434</v>
      </c>
      <c r="C4515" t="s">
        <v>1258</v>
      </c>
    </row>
    <row r="4516" spans="1:3">
      <c r="A4516">
        <v>323253596</v>
      </c>
      <c r="C4516" t="s">
        <v>1258</v>
      </c>
    </row>
    <row r="4517" spans="1:3">
      <c r="C4517" t="s">
        <v>1258</v>
      </c>
    </row>
    <row r="4518" spans="1:3">
      <c r="C4518" t="s">
        <v>1258</v>
      </c>
    </row>
    <row r="4519" spans="1:3">
      <c r="C4519" t="s">
        <v>1258</v>
      </c>
    </row>
    <row r="4520" spans="1:3">
      <c r="A4520">
        <v>54079625</v>
      </c>
      <c r="C4520" t="s">
        <v>1258</v>
      </c>
    </row>
    <row r="4521" spans="1:3">
      <c r="A4521">
        <v>54079625</v>
      </c>
      <c r="B4521" t="s">
        <v>1803</v>
      </c>
      <c r="C4521" t="s">
        <v>1258</v>
      </c>
    </row>
    <row r="4522" spans="1:3">
      <c r="A4522">
        <v>130852</v>
      </c>
      <c r="C4522" t="s">
        <v>1258</v>
      </c>
    </row>
    <row r="4523" spans="1:3">
      <c r="A4523">
        <v>75752</v>
      </c>
      <c r="B4523" t="s">
        <v>1803</v>
      </c>
      <c r="C4523" t="s">
        <v>1258</v>
      </c>
    </row>
    <row r="4524" spans="1:3">
      <c r="A4524">
        <v>55100</v>
      </c>
      <c r="B4524" t="s">
        <v>1803</v>
      </c>
      <c r="C4524" t="s">
        <v>1258</v>
      </c>
    </row>
    <row r="4525" spans="1:3">
      <c r="A4525">
        <v>124397</v>
      </c>
      <c r="C4525" t="s">
        <v>1258</v>
      </c>
    </row>
    <row r="4526" spans="1:3">
      <c r="A4526">
        <v>102458</v>
      </c>
      <c r="B4526" t="s">
        <v>1803</v>
      </c>
      <c r="C4526" t="s">
        <v>1258</v>
      </c>
    </row>
    <row r="4527" spans="1:3">
      <c r="A4527">
        <v>21939</v>
      </c>
      <c r="B4527" t="s">
        <v>1803</v>
      </c>
      <c r="C4527" t="s">
        <v>1258</v>
      </c>
    </row>
    <row r="4528" spans="1:3">
      <c r="A4528">
        <v>1573543</v>
      </c>
      <c r="C4528" t="s">
        <v>1258</v>
      </c>
    </row>
    <row r="4529" spans="1:3">
      <c r="A4529">
        <v>523985</v>
      </c>
      <c r="B4529" t="s">
        <v>1803</v>
      </c>
      <c r="C4529" t="s">
        <v>1258</v>
      </c>
    </row>
    <row r="4530" spans="1:3">
      <c r="A4530">
        <v>448380</v>
      </c>
      <c r="B4530" t="s">
        <v>1803</v>
      </c>
      <c r="C4530" t="s">
        <v>1258</v>
      </c>
    </row>
    <row r="4531" spans="1:3">
      <c r="A4531">
        <v>601178</v>
      </c>
      <c r="B4531" t="s">
        <v>1803</v>
      </c>
      <c r="C4531" t="s">
        <v>1258</v>
      </c>
    </row>
    <row r="4532" spans="1:3">
      <c r="A4532">
        <v>74375</v>
      </c>
      <c r="C4532" t="s">
        <v>1258</v>
      </c>
    </row>
    <row r="4533" spans="1:3">
      <c r="A4533">
        <v>20300</v>
      </c>
      <c r="B4533" t="s">
        <v>1803</v>
      </c>
      <c r="C4533" t="s">
        <v>1258</v>
      </c>
    </row>
    <row r="4534" spans="1:3">
      <c r="A4534">
        <v>40600</v>
      </c>
      <c r="B4534" t="s">
        <v>1803</v>
      </c>
      <c r="C4534" t="s">
        <v>1258</v>
      </c>
    </row>
    <row r="4535" spans="1:3">
      <c r="A4535">
        <v>13475</v>
      </c>
      <c r="B4535" t="s">
        <v>1803</v>
      </c>
      <c r="C4535" t="s">
        <v>1258</v>
      </c>
    </row>
    <row r="4536" spans="1:3">
      <c r="A4536">
        <v>162239</v>
      </c>
      <c r="C4536" t="s">
        <v>1258</v>
      </c>
    </row>
    <row r="4537" spans="1:3">
      <c r="A4537">
        <v>62640</v>
      </c>
      <c r="B4537" t="s">
        <v>1803</v>
      </c>
      <c r="C4537" t="s">
        <v>1258</v>
      </c>
    </row>
    <row r="4538" spans="1:3">
      <c r="A4538">
        <v>17539</v>
      </c>
      <c r="B4538" t="s">
        <v>1803</v>
      </c>
      <c r="C4538" t="s">
        <v>1258</v>
      </c>
    </row>
    <row r="4539" spans="1:3">
      <c r="A4539">
        <v>82060</v>
      </c>
      <c r="B4539" t="s">
        <v>1803</v>
      </c>
      <c r="C4539" t="s">
        <v>1258</v>
      </c>
    </row>
    <row r="4540" spans="1:3">
      <c r="A4540">
        <v>1434360</v>
      </c>
      <c r="C4540" t="s">
        <v>1258</v>
      </c>
    </row>
    <row r="4541" spans="1:3">
      <c r="A4541">
        <v>618974</v>
      </c>
      <c r="B4541" t="s">
        <v>1803</v>
      </c>
      <c r="C4541" t="s">
        <v>1258</v>
      </c>
    </row>
    <row r="4542" spans="1:3">
      <c r="A4542">
        <v>114975</v>
      </c>
      <c r="B4542" t="s">
        <v>1803</v>
      </c>
      <c r="C4542" t="s">
        <v>1258</v>
      </c>
    </row>
    <row r="4543" spans="1:3">
      <c r="A4543">
        <v>127841</v>
      </c>
      <c r="B4543" t="s">
        <v>1803</v>
      </c>
      <c r="C4543" t="s">
        <v>1258</v>
      </c>
    </row>
    <row r="4544" spans="1:3">
      <c r="A4544">
        <v>572570</v>
      </c>
      <c r="B4544" t="s">
        <v>1803</v>
      </c>
      <c r="C4544" t="s">
        <v>1258</v>
      </c>
    </row>
    <row r="4545" spans="1:3">
      <c r="A4545">
        <v>461540</v>
      </c>
      <c r="C4545" t="s">
        <v>1258</v>
      </c>
    </row>
    <row r="4546" spans="1:3">
      <c r="A4546">
        <v>312456</v>
      </c>
      <c r="B4546" t="s">
        <v>1803</v>
      </c>
      <c r="C4546" t="s">
        <v>1258</v>
      </c>
    </row>
    <row r="4547" spans="1:3">
      <c r="A4547">
        <v>149084</v>
      </c>
      <c r="B4547" t="s">
        <v>1803</v>
      </c>
      <c r="C4547" t="s">
        <v>1258</v>
      </c>
    </row>
    <row r="4548" spans="1:3">
      <c r="A4548">
        <v>248441</v>
      </c>
      <c r="C4548" t="s">
        <v>1258</v>
      </c>
    </row>
    <row r="4549" spans="1:3">
      <c r="A4549">
        <v>116651</v>
      </c>
      <c r="B4549" t="s">
        <v>1803</v>
      </c>
      <c r="C4549" t="s">
        <v>1258</v>
      </c>
    </row>
    <row r="4550" spans="1:3">
      <c r="A4550">
        <v>73705</v>
      </c>
      <c r="B4550" t="s">
        <v>1803</v>
      </c>
      <c r="C4550" t="s">
        <v>1258</v>
      </c>
    </row>
    <row r="4551" spans="1:3">
      <c r="A4551">
        <v>58085</v>
      </c>
      <c r="B4551" t="s">
        <v>1803</v>
      </c>
      <c r="C4551" t="s">
        <v>1258</v>
      </c>
    </row>
    <row r="4552" spans="1:3">
      <c r="A4552">
        <v>796340</v>
      </c>
      <c r="C4552" t="s">
        <v>1258</v>
      </c>
    </row>
    <row r="4553" spans="1:3">
      <c r="A4553">
        <v>796340</v>
      </c>
      <c r="B4553" t="s">
        <v>1803</v>
      </c>
      <c r="C4553" t="s">
        <v>1258</v>
      </c>
    </row>
    <row r="4554" spans="1:3">
      <c r="A4554">
        <v>154471</v>
      </c>
      <c r="C4554" t="s">
        <v>1258</v>
      </c>
    </row>
    <row r="4555" spans="1:3">
      <c r="A4555">
        <v>154471</v>
      </c>
      <c r="B4555" t="s">
        <v>1803</v>
      </c>
      <c r="C4555" t="s">
        <v>1258</v>
      </c>
    </row>
    <row r="4556" spans="1:3">
      <c r="A4556">
        <v>76845</v>
      </c>
      <c r="C4556" t="s">
        <v>1258</v>
      </c>
    </row>
    <row r="4557" spans="1:3">
      <c r="A4557">
        <v>76845</v>
      </c>
      <c r="B4557" t="s">
        <v>1803</v>
      </c>
      <c r="C4557" t="s">
        <v>1258</v>
      </c>
    </row>
    <row r="4558" spans="1:3">
      <c r="A4558">
        <v>373802</v>
      </c>
      <c r="C4558" t="s">
        <v>1258</v>
      </c>
    </row>
    <row r="4559" spans="1:3">
      <c r="A4559">
        <v>125123</v>
      </c>
      <c r="B4559" t="s">
        <v>1803</v>
      </c>
      <c r="C4559" t="s">
        <v>1258</v>
      </c>
    </row>
    <row r="4560" spans="1:3">
      <c r="A4560">
        <v>248679</v>
      </c>
      <c r="B4560" t="s">
        <v>1803</v>
      </c>
      <c r="C4560" t="s">
        <v>1258</v>
      </c>
    </row>
    <row r="4561" spans="1:3">
      <c r="A4561">
        <v>59690830</v>
      </c>
      <c r="C4561" t="s">
        <v>1258</v>
      </c>
    </row>
    <row r="4562" spans="1:3">
      <c r="C4562" t="s">
        <v>1258</v>
      </c>
    </row>
    <row r="4563" spans="1:3">
      <c r="C4563" t="s">
        <v>1258</v>
      </c>
    </row>
    <row r="4564" spans="1:3">
      <c r="C4564" t="s">
        <v>1258</v>
      </c>
    </row>
    <row r="4565" spans="1:3">
      <c r="C4565" t="s">
        <v>1258</v>
      </c>
    </row>
    <row r="4566" spans="1:3">
      <c r="C4566" t="s">
        <v>1258</v>
      </c>
    </row>
    <row r="4567" spans="1:3">
      <c r="A4567">
        <v>63140</v>
      </c>
      <c r="C4567" t="s">
        <v>1258</v>
      </c>
    </row>
    <row r="4568" spans="1:3">
      <c r="A4568">
        <v>39463</v>
      </c>
      <c r="B4568" t="s">
        <v>1803</v>
      </c>
      <c r="C4568" t="s">
        <v>1258</v>
      </c>
    </row>
    <row r="4569" spans="1:3">
      <c r="A4569">
        <v>23677</v>
      </c>
      <c r="B4569" t="s">
        <v>1803</v>
      </c>
      <c r="C4569" t="s">
        <v>1258</v>
      </c>
    </row>
    <row r="4570" spans="1:3">
      <c r="A4570">
        <v>119389</v>
      </c>
      <c r="C4570" t="s">
        <v>1258</v>
      </c>
    </row>
    <row r="4571" spans="1:3">
      <c r="A4571">
        <v>90389</v>
      </c>
      <c r="B4571" t="s">
        <v>1803</v>
      </c>
      <c r="C4571" t="s">
        <v>1258</v>
      </c>
    </row>
    <row r="4572" spans="1:3">
      <c r="A4572">
        <v>29000</v>
      </c>
      <c r="B4572" t="s">
        <v>1803</v>
      </c>
      <c r="C4572" t="s">
        <v>1258</v>
      </c>
    </row>
    <row r="4573" spans="1:3">
      <c r="A4573">
        <v>1102107</v>
      </c>
      <c r="C4573" t="s">
        <v>1258</v>
      </c>
    </row>
    <row r="4574" spans="1:3">
      <c r="A4574">
        <v>190936</v>
      </c>
      <c r="B4574" t="s">
        <v>1803</v>
      </c>
      <c r="C4574" t="s">
        <v>1258</v>
      </c>
    </row>
    <row r="4575" spans="1:3">
      <c r="A4575">
        <v>476180</v>
      </c>
      <c r="B4575" t="s">
        <v>1803</v>
      </c>
      <c r="C4575" t="s">
        <v>1258</v>
      </c>
    </row>
    <row r="4576" spans="1:3">
      <c r="A4576">
        <v>434991</v>
      </c>
      <c r="B4576" t="s">
        <v>1803</v>
      </c>
      <c r="C4576" t="s">
        <v>1258</v>
      </c>
    </row>
    <row r="4577" spans="1:3">
      <c r="A4577">
        <v>31088</v>
      </c>
      <c r="C4577" t="s">
        <v>1258</v>
      </c>
    </row>
    <row r="4578" spans="1:3">
      <c r="A4578">
        <v>31088</v>
      </c>
      <c r="B4578" t="s">
        <v>1803</v>
      </c>
      <c r="C4578" t="s">
        <v>1258</v>
      </c>
    </row>
    <row r="4579" spans="1:3">
      <c r="A4579">
        <v>1089060</v>
      </c>
      <c r="C4579" t="s">
        <v>1258</v>
      </c>
    </row>
    <row r="4580" spans="1:3">
      <c r="A4580">
        <v>498560</v>
      </c>
      <c r="B4580" t="s">
        <v>1803</v>
      </c>
      <c r="C4580" t="s">
        <v>1258</v>
      </c>
    </row>
    <row r="4581" spans="1:3">
      <c r="A4581">
        <v>36020</v>
      </c>
      <c r="B4581" t="s">
        <v>1803</v>
      </c>
      <c r="C4581" t="s">
        <v>1258</v>
      </c>
    </row>
    <row r="4582" spans="1:3">
      <c r="A4582">
        <v>554480</v>
      </c>
      <c r="B4582" t="s">
        <v>1803</v>
      </c>
      <c r="C4582" t="s">
        <v>1258</v>
      </c>
    </row>
    <row r="4583" spans="1:3">
      <c r="A4583">
        <v>62384</v>
      </c>
      <c r="C4583" t="s">
        <v>1258</v>
      </c>
    </row>
    <row r="4584" spans="1:3">
      <c r="A4584">
        <v>62384</v>
      </c>
      <c r="B4584" t="s">
        <v>1803</v>
      </c>
      <c r="C4584" t="s">
        <v>1258</v>
      </c>
    </row>
    <row r="4585" spans="1:3">
      <c r="A4585">
        <v>504160</v>
      </c>
      <c r="C4585" t="s">
        <v>1258</v>
      </c>
    </row>
    <row r="4586" spans="1:3">
      <c r="A4586">
        <v>504160</v>
      </c>
      <c r="B4586" t="s">
        <v>1803</v>
      </c>
      <c r="C4586" t="s">
        <v>1258</v>
      </c>
    </row>
    <row r="4587" spans="1:3">
      <c r="A4587">
        <v>172774</v>
      </c>
      <c r="C4587" t="s">
        <v>1258</v>
      </c>
    </row>
    <row r="4588" spans="1:3">
      <c r="A4588">
        <v>77369</v>
      </c>
      <c r="B4588" t="s">
        <v>1803</v>
      </c>
      <c r="C4588" t="s">
        <v>1258</v>
      </c>
    </row>
    <row r="4589" spans="1:3">
      <c r="A4589">
        <v>73080</v>
      </c>
      <c r="B4589" t="s">
        <v>1803</v>
      </c>
      <c r="C4589" t="s">
        <v>1258</v>
      </c>
    </row>
    <row r="4590" spans="1:3">
      <c r="A4590">
        <v>22325</v>
      </c>
      <c r="B4590" t="s">
        <v>1803</v>
      </c>
      <c r="C4590" t="s">
        <v>1258</v>
      </c>
    </row>
    <row r="4591" spans="1:3">
      <c r="A4591">
        <v>894740</v>
      </c>
      <c r="C4591" t="s">
        <v>1258</v>
      </c>
    </row>
    <row r="4592" spans="1:3">
      <c r="A4592">
        <v>894740</v>
      </c>
      <c r="B4592" t="s">
        <v>1803</v>
      </c>
      <c r="C4592" t="s">
        <v>1258</v>
      </c>
    </row>
    <row r="4593" spans="1:3">
      <c r="A4593">
        <v>107841</v>
      </c>
      <c r="C4593" t="s">
        <v>1258</v>
      </c>
    </row>
    <row r="4594" spans="1:3">
      <c r="A4594">
        <v>107841</v>
      </c>
      <c r="B4594" t="s">
        <v>1803</v>
      </c>
      <c r="C4594" t="s">
        <v>1258</v>
      </c>
    </row>
    <row r="4595" spans="1:3">
      <c r="A4595">
        <v>502671</v>
      </c>
      <c r="C4595" t="s">
        <v>1258</v>
      </c>
    </row>
    <row r="4596" spans="1:3">
      <c r="A4596">
        <v>502671</v>
      </c>
      <c r="B4596" t="s">
        <v>1803</v>
      </c>
      <c r="C4596" t="s">
        <v>1258</v>
      </c>
    </row>
    <row r="4597" spans="1:3">
      <c r="A4597">
        <v>184340</v>
      </c>
      <c r="C4597" t="s">
        <v>1258</v>
      </c>
    </row>
    <row r="4598" spans="1:3">
      <c r="A4598">
        <v>98560</v>
      </c>
      <c r="B4598" t="s">
        <v>1803</v>
      </c>
      <c r="C4598" t="s">
        <v>1258</v>
      </c>
    </row>
    <row r="4599" spans="1:3">
      <c r="A4599">
        <v>56780</v>
      </c>
      <c r="B4599" t="s">
        <v>1803</v>
      </c>
      <c r="C4599" t="s">
        <v>1258</v>
      </c>
    </row>
    <row r="4600" spans="1:3">
      <c r="A4600">
        <v>29000</v>
      </c>
      <c r="B4600" t="s">
        <v>1803</v>
      </c>
      <c r="C4600" t="s">
        <v>1258</v>
      </c>
    </row>
    <row r="4601" spans="1:3">
      <c r="A4601">
        <v>525678</v>
      </c>
      <c r="C4601" t="s">
        <v>1258</v>
      </c>
    </row>
    <row r="4602" spans="1:3">
      <c r="A4602">
        <v>525678</v>
      </c>
      <c r="B4602" t="s">
        <v>1803</v>
      </c>
      <c r="C4602" t="s">
        <v>1258</v>
      </c>
    </row>
    <row r="4603" spans="1:3">
      <c r="A4603">
        <v>5359372</v>
      </c>
      <c r="C4603" t="s">
        <v>1258</v>
      </c>
    </row>
    <row r="4604" spans="1:3">
      <c r="C4604" t="s">
        <v>1258</v>
      </c>
    </row>
    <row r="4605" spans="1:3">
      <c r="C4605" t="s">
        <v>1258</v>
      </c>
    </row>
    <row r="4606" spans="1:3">
      <c r="C4606" t="s">
        <v>1258</v>
      </c>
    </row>
    <row r="4607" spans="1:3">
      <c r="A4607">
        <v>3000000</v>
      </c>
      <c r="C4607" t="s">
        <v>1258</v>
      </c>
    </row>
    <row r="4608" spans="1:3">
      <c r="A4608">
        <v>3000000</v>
      </c>
      <c r="B4608" t="s">
        <v>1803</v>
      </c>
      <c r="C4608" t="s">
        <v>1258</v>
      </c>
    </row>
    <row r="4609" spans="1:3">
      <c r="A4609">
        <v>1000000</v>
      </c>
      <c r="C4609" t="s">
        <v>1258</v>
      </c>
    </row>
    <row r="4610" spans="1:3">
      <c r="A4610">
        <v>1000000</v>
      </c>
      <c r="B4610" t="s">
        <v>1803</v>
      </c>
      <c r="C4610" t="s">
        <v>1258</v>
      </c>
    </row>
    <row r="4611" spans="1:3">
      <c r="A4611">
        <v>1200000</v>
      </c>
      <c r="C4611" t="s">
        <v>1258</v>
      </c>
    </row>
    <row r="4612" spans="1:3">
      <c r="A4612">
        <v>1200000</v>
      </c>
      <c r="B4612" t="s">
        <v>1803</v>
      </c>
      <c r="C4612" t="s">
        <v>1258</v>
      </c>
    </row>
    <row r="4613" spans="1:3">
      <c r="A4613">
        <v>5200000</v>
      </c>
      <c r="C4613" t="s">
        <v>1258</v>
      </c>
    </row>
    <row r="4614" spans="1:3">
      <c r="A4614">
        <v>10559372</v>
      </c>
      <c r="C4614" t="s">
        <v>1258</v>
      </c>
    </row>
    <row r="4615" spans="1:3">
      <c r="C4615" t="s">
        <v>1258</v>
      </c>
    </row>
    <row r="4616" spans="1:3">
      <c r="C4616" t="s">
        <v>1258</v>
      </c>
    </row>
    <row r="4617" spans="1:3">
      <c r="C4617" t="s">
        <v>1258</v>
      </c>
    </row>
    <row r="4618" spans="1:3">
      <c r="A4618">
        <v>84152</v>
      </c>
      <c r="C4618" t="s">
        <v>1258</v>
      </c>
    </row>
    <row r="4619" spans="1:3">
      <c r="A4619">
        <v>63052</v>
      </c>
      <c r="B4619" t="s">
        <v>1803</v>
      </c>
      <c r="C4619" t="s">
        <v>1258</v>
      </c>
    </row>
    <row r="4620" spans="1:3">
      <c r="A4620">
        <v>21100</v>
      </c>
      <c r="B4620" t="s">
        <v>1803</v>
      </c>
      <c r="C4620" t="s">
        <v>1258</v>
      </c>
    </row>
    <row r="4621" spans="1:3">
      <c r="A4621">
        <v>112949</v>
      </c>
      <c r="C4621" t="s">
        <v>1258</v>
      </c>
    </row>
    <row r="4622" spans="1:3">
      <c r="A4622">
        <v>112949</v>
      </c>
      <c r="B4622" t="s">
        <v>1803</v>
      </c>
      <c r="C4622" t="s">
        <v>1258</v>
      </c>
    </row>
    <row r="4623" spans="1:3">
      <c r="A4623">
        <v>1014425</v>
      </c>
      <c r="C4623" t="s">
        <v>1258</v>
      </c>
    </row>
    <row r="4624" spans="1:3">
      <c r="A4624">
        <v>69600</v>
      </c>
      <c r="B4624" t="s">
        <v>1803</v>
      </c>
      <c r="C4624" t="s">
        <v>1258</v>
      </c>
    </row>
    <row r="4625" spans="1:3">
      <c r="A4625">
        <v>312240</v>
      </c>
      <c r="B4625" t="s">
        <v>1803</v>
      </c>
      <c r="C4625" t="s">
        <v>1258</v>
      </c>
    </row>
    <row r="4626" spans="1:3">
      <c r="A4626">
        <v>632585</v>
      </c>
      <c r="B4626" t="s">
        <v>1803</v>
      </c>
      <c r="C4626" t="s">
        <v>1258</v>
      </c>
    </row>
    <row r="4627" spans="1:3">
      <c r="A4627">
        <v>26028</v>
      </c>
      <c r="C4627" t="s">
        <v>1258</v>
      </c>
    </row>
    <row r="4628" spans="1:3">
      <c r="A4628">
        <v>8628</v>
      </c>
      <c r="B4628" t="s">
        <v>1803</v>
      </c>
      <c r="C4628" t="s">
        <v>1258</v>
      </c>
    </row>
    <row r="4629" spans="1:3">
      <c r="A4629">
        <v>17400</v>
      </c>
      <c r="B4629" t="s">
        <v>1803</v>
      </c>
      <c r="C4629" t="s">
        <v>1258</v>
      </c>
    </row>
    <row r="4630" spans="1:3">
      <c r="A4630">
        <v>517199</v>
      </c>
      <c r="C4630" t="s">
        <v>1258</v>
      </c>
    </row>
    <row r="4631" spans="1:3">
      <c r="A4631">
        <v>488199</v>
      </c>
      <c r="B4631" t="s">
        <v>1803</v>
      </c>
      <c r="C4631" t="s">
        <v>1258</v>
      </c>
    </row>
    <row r="4632" spans="1:3">
      <c r="A4632">
        <v>29000</v>
      </c>
      <c r="B4632" t="s">
        <v>1803</v>
      </c>
      <c r="C4632" t="s">
        <v>1258</v>
      </c>
    </row>
    <row r="4633" spans="1:3">
      <c r="A4633">
        <v>152035</v>
      </c>
      <c r="C4633" t="s">
        <v>1258</v>
      </c>
    </row>
    <row r="4634" spans="1:3">
      <c r="A4634">
        <v>152035</v>
      </c>
      <c r="B4634" t="s">
        <v>1803</v>
      </c>
      <c r="C4634" t="s">
        <v>1258</v>
      </c>
    </row>
    <row r="4635" spans="1:3">
      <c r="A4635">
        <v>490242</v>
      </c>
      <c r="C4635" t="s">
        <v>1258</v>
      </c>
    </row>
    <row r="4636" spans="1:3">
      <c r="A4636">
        <v>490242</v>
      </c>
      <c r="B4636" t="s">
        <v>1803</v>
      </c>
      <c r="C4636" t="s">
        <v>1258</v>
      </c>
    </row>
    <row r="4637" spans="1:3">
      <c r="A4637">
        <v>334091</v>
      </c>
      <c r="C4637" t="s">
        <v>1258</v>
      </c>
    </row>
    <row r="4638" spans="1:3">
      <c r="A4638">
        <v>100394</v>
      </c>
      <c r="B4638" t="s">
        <v>1803</v>
      </c>
      <c r="C4638" t="s">
        <v>1258</v>
      </c>
    </row>
    <row r="4639" spans="1:3">
      <c r="A4639">
        <v>135090</v>
      </c>
      <c r="B4639" t="s">
        <v>1803</v>
      </c>
      <c r="C4639" t="s">
        <v>1258</v>
      </c>
    </row>
    <row r="4640" spans="1:3">
      <c r="A4640">
        <v>98607</v>
      </c>
      <c r="B4640" t="s">
        <v>1803</v>
      </c>
      <c r="C4640" t="s">
        <v>1258</v>
      </c>
    </row>
    <row r="4641" spans="1:3">
      <c r="A4641">
        <v>807067</v>
      </c>
      <c r="C4641" t="s">
        <v>1258</v>
      </c>
    </row>
    <row r="4642" spans="1:3">
      <c r="A4642">
        <v>807067</v>
      </c>
      <c r="B4642" t="s">
        <v>1803</v>
      </c>
      <c r="C4642" t="s">
        <v>1258</v>
      </c>
    </row>
    <row r="4643" spans="1:3">
      <c r="A4643">
        <v>506000</v>
      </c>
      <c r="C4643" t="s">
        <v>1258</v>
      </c>
    </row>
    <row r="4644" spans="1:3">
      <c r="A4644">
        <v>506000</v>
      </c>
      <c r="B4644" t="s">
        <v>1803</v>
      </c>
      <c r="C4644" t="s">
        <v>1258</v>
      </c>
    </row>
    <row r="4645" spans="1:3">
      <c r="A4645">
        <v>586890</v>
      </c>
      <c r="C4645" t="s">
        <v>1258</v>
      </c>
    </row>
    <row r="4646" spans="1:3">
      <c r="A4646">
        <v>586890</v>
      </c>
      <c r="B4646" t="s">
        <v>1803</v>
      </c>
      <c r="C4646" t="s">
        <v>1258</v>
      </c>
    </row>
    <row r="4647" spans="1:3">
      <c r="A4647">
        <v>4631078</v>
      </c>
      <c r="C4647" t="s">
        <v>1258</v>
      </c>
    </row>
    <row r="4648" spans="1:3">
      <c r="C4648" t="s">
        <v>1258</v>
      </c>
    </row>
    <row r="4649" spans="1:3">
      <c r="C4649" t="s">
        <v>1258</v>
      </c>
    </row>
    <row r="4650" spans="1:3">
      <c r="C4650" t="s">
        <v>1258</v>
      </c>
    </row>
    <row r="4651" spans="1:3">
      <c r="A4651">
        <v>2000000</v>
      </c>
      <c r="C4651" t="s">
        <v>1258</v>
      </c>
    </row>
    <row r="4652" spans="1:3">
      <c r="A4652">
        <v>2000000</v>
      </c>
      <c r="B4652" t="s">
        <v>1803</v>
      </c>
      <c r="C4652" t="s">
        <v>1258</v>
      </c>
    </row>
    <row r="4653" spans="1:3">
      <c r="A4653">
        <v>3050487</v>
      </c>
      <c r="C4653" t="s">
        <v>1258</v>
      </c>
    </row>
    <row r="4654" spans="1:3">
      <c r="A4654">
        <v>2000000</v>
      </c>
      <c r="B4654" t="s">
        <v>1803</v>
      </c>
      <c r="C4654" t="s">
        <v>1258</v>
      </c>
    </row>
    <row r="4655" spans="1:3">
      <c r="A4655">
        <v>1050487</v>
      </c>
      <c r="B4655" t="s">
        <v>1803</v>
      </c>
      <c r="C4655" t="s">
        <v>1258</v>
      </c>
    </row>
    <row r="4656" spans="1:3">
      <c r="A4656">
        <v>5050487</v>
      </c>
      <c r="C4656" t="s">
        <v>1258</v>
      </c>
    </row>
    <row r="4657" spans="1:3">
      <c r="A4657">
        <v>9681565</v>
      </c>
      <c r="C4657" t="s">
        <v>1258</v>
      </c>
    </row>
    <row r="4658" spans="1:3">
      <c r="A4658">
        <v>69681280</v>
      </c>
      <c r="C4658" t="s">
        <v>1258</v>
      </c>
    </row>
    <row r="4659" spans="1:3">
      <c r="A4659">
        <v>10250487</v>
      </c>
      <c r="C4659" t="s">
        <v>1258</v>
      </c>
    </row>
    <row r="4660" spans="1:3">
      <c r="A4660">
        <v>79931767</v>
      </c>
      <c r="C4660" t="s">
        <v>1258</v>
      </c>
    </row>
    <row r="4661" spans="1:3">
      <c r="A4661">
        <v>350509714</v>
      </c>
      <c r="C4661" t="s">
        <v>1258</v>
      </c>
    </row>
    <row r="4662" spans="1:3">
      <c r="A4662">
        <v>333504083</v>
      </c>
      <c r="C4662" t="s">
        <v>1258</v>
      </c>
    </row>
    <row r="4663" spans="1:3">
      <c r="A4663">
        <v>684013797</v>
      </c>
      <c r="C4663" t="s">
        <v>1258</v>
      </c>
    </row>
    <row r="4667" spans="1:3">
      <c r="A4667">
        <v>0</v>
      </c>
    </row>
    <row r="4668" spans="1:3">
      <c r="A4668">
        <v>56983440</v>
      </c>
      <c r="C4668" t="s">
        <v>1259</v>
      </c>
    </row>
    <row r="4669" spans="1:3">
      <c r="A4669">
        <v>56983440</v>
      </c>
      <c r="B4669" t="s">
        <v>1803</v>
      </c>
      <c r="C4669" t="s">
        <v>1259</v>
      </c>
    </row>
    <row r="4670" spans="1:3">
      <c r="A4670">
        <v>400000</v>
      </c>
      <c r="C4670" t="s">
        <v>1259</v>
      </c>
    </row>
    <row r="4671" spans="1:3">
      <c r="A4671">
        <v>300000</v>
      </c>
      <c r="B4671" t="s">
        <v>1803</v>
      </c>
      <c r="C4671" t="s">
        <v>1259</v>
      </c>
    </row>
    <row r="4672" spans="1:3">
      <c r="A4672">
        <v>100000</v>
      </c>
      <c r="B4672" t="s">
        <v>1803</v>
      </c>
      <c r="C4672" t="s">
        <v>1259</v>
      </c>
    </row>
    <row r="4673" spans="1:3">
      <c r="A4673">
        <v>667000</v>
      </c>
      <c r="C4673" t="s">
        <v>1259</v>
      </c>
    </row>
    <row r="4674" spans="1:3">
      <c r="A4674">
        <v>319000</v>
      </c>
      <c r="B4674" t="s">
        <v>1803</v>
      </c>
      <c r="C4674" t="s">
        <v>1259</v>
      </c>
    </row>
    <row r="4675" spans="1:3">
      <c r="A4675">
        <v>290000</v>
      </c>
      <c r="B4675" t="s">
        <v>1803</v>
      </c>
      <c r="C4675" t="s">
        <v>1259</v>
      </c>
    </row>
    <row r="4676" spans="1:3">
      <c r="A4676">
        <v>58000</v>
      </c>
      <c r="B4676" t="s">
        <v>1803</v>
      </c>
      <c r="C4676" t="s">
        <v>1259</v>
      </c>
    </row>
    <row r="4677" spans="1:3">
      <c r="A4677">
        <v>2624000</v>
      </c>
      <c r="C4677" t="s">
        <v>1259</v>
      </c>
    </row>
    <row r="4678" spans="1:3">
      <c r="A4678">
        <v>580000</v>
      </c>
      <c r="B4678" t="s">
        <v>1803</v>
      </c>
      <c r="C4678" t="s">
        <v>1259</v>
      </c>
    </row>
    <row r="4679" spans="1:3">
      <c r="A4679">
        <v>1000000</v>
      </c>
      <c r="B4679" t="s">
        <v>1803</v>
      </c>
      <c r="C4679" t="s">
        <v>1259</v>
      </c>
    </row>
    <row r="4680" spans="1:3">
      <c r="A4680">
        <v>1044000</v>
      </c>
      <c r="B4680" t="s">
        <v>1803</v>
      </c>
      <c r="C4680" t="s">
        <v>1259</v>
      </c>
    </row>
    <row r="4681" spans="1:3">
      <c r="A4681">
        <v>375400</v>
      </c>
      <c r="C4681" t="s">
        <v>1259</v>
      </c>
    </row>
    <row r="4682" spans="1:3">
      <c r="A4682">
        <v>100000</v>
      </c>
      <c r="B4682" t="s">
        <v>1803</v>
      </c>
      <c r="C4682" t="s">
        <v>1259</v>
      </c>
    </row>
    <row r="4683" spans="1:3">
      <c r="A4683">
        <v>75400</v>
      </c>
      <c r="B4683" t="s">
        <v>1803</v>
      </c>
      <c r="C4683" t="s">
        <v>1259</v>
      </c>
    </row>
    <row r="4684" spans="1:3">
      <c r="A4684">
        <v>200000</v>
      </c>
      <c r="B4684" t="s">
        <v>1803</v>
      </c>
      <c r="C4684" t="s">
        <v>1259</v>
      </c>
    </row>
    <row r="4685" spans="1:3">
      <c r="A4685">
        <v>551000</v>
      </c>
      <c r="C4685" t="s">
        <v>1259</v>
      </c>
    </row>
    <row r="4686" spans="1:3">
      <c r="A4686">
        <v>290000</v>
      </c>
      <c r="B4686" t="s">
        <v>1803</v>
      </c>
      <c r="C4686" t="s">
        <v>1259</v>
      </c>
    </row>
    <row r="4687" spans="1:3">
      <c r="A4687">
        <v>58000</v>
      </c>
      <c r="B4687" t="s">
        <v>1803</v>
      </c>
      <c r="C4687" t="s">
        <v>1259</v>
      </c>
    </row>
    <row r="4688" spans="1:3">
      <c r="A4688">
        <v>203000</v>
      </c>
      <c r="B4688" t="s">
        <v>1803</v>
      </c>
      <c r="C4688" t="s">
        <v>1259</v>
      </c>
    </row>
    <row r="4689" spans="1:3">
      <c r="A4689">
        <v>200000</v>
      </c>
      <c r="C4689" t="s">
        <v>1259</v>
      </c>
    </row>
    <row r="4690" spans="1:3">
      <c r="A4690">
        <v>200000</v>
      </c>
      <c r="B4690" t="s">
        <v>1803</v>
      </c>
      <c r="C4690" t="s">
        <v>1259</v>
      </c>
    </row>
    <row r="4691" spans="1:3">
      <c r="A4691">
        <v>2145000</v>
      </c>
      <c r="C4691" t="s">
        <v>1259</v>
      </c>
    </row>
    <row r="4692" spans="1:3">
      <c r="A4692">
        <v>1058000</v>
      </c>
      <c r="B4692" t="s">
        <v>1803</v>
      </c>
      <c r="C4692" t="s">
        <v>1259</v>
      </c>
    </row>
    <row r="4693" spans="1:3">
      <c r="A4693">
        <v>1000000</v>
      </c>
      <c r="B4693" t="s">
        <v>1803</v>
      </c>
      <c r="C4693" t="s">
        <v>1259</v>
      </c>
    </row>
    <row r="4694" spans="1:3">
      <c r="A4694">
        <v>87000</v>
      </c>
      <c r="B4694" t="s">
        <v>1803</v>
      </c>
      <c r="C4694" t="s">
        <v>1259</v>
      </c>
    </row>
    <row r="4695" spans="1:3">
      <c r="A4695">
        <v>1100000</v>
      </c>
      <c r="C4695" t="s">
        <v>1259</v>
      </c>
    </row>
    <row r="4696" spans="1:3">
      <c r="A4696">
        <v>100000</v>
      </c>
      <c r="B4696" t="s">
        <v>1803</v>
      </c>
      <c r="C4696" t="s">
        <v>1259</v>
      </c>
    </row>
    <row r="4697" spans="1:3">
      <c r="A4697">
        <v>1000000</v>
      </c>
      <c r="B4697" t="s">
        <v>1803</v>
      </c>
      <c r="C4697" t="s">
        <v>1259</v>
      </c>
    </row>
    <row r="4698" spans="1:3">
      <c r="A4698">
        <v>0</v>
      </c>
      <c r="C4698" t="s">
        <v>1259</v>
      </c>
    </row>
    <row r="4699" spans="1:3">
      <c r="A4699">
        <v>0</v>
      </c>
      <c r="C4699" t="s">
        <v>1259</v>
      </c>
    </row>
    <row r="4700" spans="1:3">
      <c r="A4700">
        <v>295000</v>
      </c>
      <c r="C4700" t="s">
        <v>1259</v>
      </c>
    </row>
    <row r="4701" spans="1:3">
      <c r="A4701">
        <v>145000</v>
      </c>
      <c r="B4701" t="s">
        <v>1803</v>
      </c>
      <c r="C4701" t="s">
        <v>1259</v>
      </c>
    </row>
    <row r="4702" spans="1:3">
      <c r="A4702">
        <v>150000</v>
      </c>
      <c r="B4702" t="s">
        <v>1803</v>
      </c>
      <c r="C4702" t="s">
        <v>1259</v>
      </c>
    </row>
    <row r="4703" spans="1:3">
      <c r="A4703">
        <v>58000</v>
      </c>
      <c r="C4703" t="s">
        <v>1259</v>
      </c>
    </row>
    <row r="4704" spans="1:3">
      <c r="A4704">
        <v>58000</v>
      </c>
      <c r="B4704" t="s">
        <v>1803</v>
      </c>
      <c r="C4704" t="s">
        <v>1259</v>
      </c>
    </row>
    <row r="4705" spans="1:3">
      <c r="C4705" t="s">
        <v>1259</v>
      </c>
    </row>
    <row r="4706" spans="1:3">
      <c r="C4706" t="s">
        <v>1259</v>
      </c>
    </row>
    <row r="4707" spans="1:3">
      <c r="A4707">
        <v>65398840</v>
      </c>
      <c r="C4707" t="s">
        <v>1259</v>
      </c>
    </row>
    <row r="4708" spans="1:3">
      <c r="A4708">
        <v>65398840</v>
      </c>
      <c r="C4708" t="s">
        <v>1259</v>
      </c>
    </row>
    <row r="4709" spans="1:3">
      <c r="C4709" t="s">
        <v>1259</v>
      </c>
    </row>
    <row r="4710" spans="1:3">
      <c r="C4710" t="s">
        <v>1259</v>
      </c>
    </row>
    <row r="4711" spans="1:3">
      <c r="C4711" t="s">
        <v>1259</v>
      </c>
    </row>
    <row r="4712" spans="1:3">
      <c r="C4712" t="s">
        <v>1259</v>
      </c>
    </row>
    <row r="4713" spans="1:3">
      <c r="C4713" t="s">
        <v>1259</v>
      </c>
    </row>
    <row r="4714" spans="1:3">
      <c r="A4714">
        <v>158000</v>
      </c>
      <c r="C4714" t="s">
        <v>1259</v>
      </c>
    </row>
    <row r="4715" spans="1:3">
      <c r="A4715">
        <v>100000</v>
      </c>
      <c r="B4715" t="s">
        <v>1803</v>
      </c>
      <c r="C4715" t="s">
        <v>1259</v>
      </c>
    </row>
    <row r="4716" spans="1:3">
      <c r="A4716">
        <v>58000</v>
      </c>
      <c r="B4716" t="s">
        <v>1803</v>
      </c>
      <c r="C4716" t="s">
        <v>1259</v>
      </c>
    </row>
    <row r="4717" spans="1:3">
      <c r="A4717">
        <v>748400</v>
      </c>
      <c r="C4717" t="s">
        <v>1259</v>
      </c>
    </row>
    <row r="4718" spans="1:3">
      <c r="A4718">
        <v>748400</v>
      </c>
      <c r="B4718" t="s">
        <v>1803</v>
      </c>
      <c r="C4718" t="s">
        <v>1259</v>
      </c>
    </row>
    <row r="4719" spans="1:3">
      <c r="A4719">
        <v>403000</v>
      </c>
      <c r="C4719" t="s">
        <v>1259</v>
      </c>
    </row>
    <row r="4720" spans="1:3">
      <c r="A4720">
        <v>100000</v>
      </c>
      <c r="B4720" t="s">
        <v>1803</v>
      </c>
      <c r="C4720" t="s">
        <v>1259</v>
      </c>
    </row>
    <row r="4721" spans="1:3">
      <c r="A4721">
        <v>100000</v>
      </c>
      <c r="B4721" t="s">
        <v>1803</v>
      </c>
      <c r="C4721" t="s">
        <v>1259</v>
      </c>
    </row>
    <row r="4722" spans="1:3">
      <c r="A4722">
        <v>203000</v>
      </c>
      <c r="B4722" t="s">
        <v>1803</v>
      </c>
      <c r="C4722" t="s">
        <v>1259</v>
      </c>
    </row>
    <row r="4723" spans="1:3">
      <c r="A4723">
        <v>200000</v>
      </c>
      <c r="C4723" t="s">
        <v>1259</v>
      </c>
    </row>
    <row r="4724" spans="1:3">
      <c r="A4724">
        <v>200000</v>
      </c>
      <c r="B4724" t="s">
        <v>1803</v>
      </c>
      <c r="C4724" t="s">
        <v>1259</v>
      </c>
    </row>
    <row r="4725" spans="1:3">
      <c r="A4725">
        <v>245000</v>
      </c>
      <c r="C4725" t="s">
        <v>1259</v>
      </c>
    </row>
    <row r="4726" spans="1:3">
      <c r="A4726">
        <v>58000</v>
      </c>
      <c r="B4726" t="s">
        <v>1803</v>
      </c>
      <c r="C4726" t="s">
        <v>1259</v>
      </c>
    </row>
    <row r="4727" spans="1:3">
      <c r="A4727">
        <v>100000</v>
      </c>
      <c r="B4727" t="s">
        <v>1803</v>
      </c>
      <c r="C4727" t="s">
        <v>1259</v>
      </c>
    </row>
    <row r="4728" spans="1:3">
      <c r="A4728">
        <v>87000</v>
      </c>
      <c r="B4728" t="s">
        <v>1803</v>
      </c>
      <c r="C4728" t="s">
        <v>1259</v>
      </c>
    </row>
    <row r="4729" spans="1:3">
      <c r="A4729">
        <v>308000</v>
      </c>
      <c r="C4729" t="s">
        <v>1259</v>
      </c>
    </row>
    <row r="4730" spans="1:3">
      <c r="A4730">
        <v>58000</v>
      </c>
      <c r="B4730" t="s">
        <v>1803</v>
      </c>
      <c r="C4730" t="s">
        <v>1259</v>
      </c>
    </row>
    <row r="4731" spans="1:3">
      <c r="A4731">
        <v>50000</v>
      </c>
      <c r="B4731" t="s">
        <v>1803</v>
      </c>
      <c r="C4731" t="s">
        <v>1259</v>
      </c>
    </row>
    <row r="4732" spans="1:3">
      <c r="A4732">
        <v>200000</v>
      </c>
      <c r="B4732" t="s">
        <v>1803</v>
      </c>
      <c r="C4732" t="s">
        <v>1259</v>
      </c>
    </row>
    <row r="4733" spans="1:3">
      <c r="A4733">
        <v>2062400</v>
      </c>
      <c r="C4733" t="s">
        <v>1259</v>
      </c>
    </row>
    <row r="4734" spans="1:3">
      <c r="C4734" t="s">
        <v>1259</v>
      </c>
    </row>
    <row r="4735" spans="1:3">
      <c r="C4735" t="s">
        <v>1259</v>
      </c>
    </row>
    <row r="4736" spans="1:3">
      <c r="C4736" t="s">
        <v>1259</v>
      </c>
    </row>
    <row r="4737" spans="1:3">
      <c r="A4737">
        <v>0</v>
      </c>
      <c r="C4737" t="s">
        <v>1259</v>
      </c>
    </row>
    <row r="4738" spans="1:3">
      <c r="A4738">
        <v>0</v>
      </c>
      <c r="C4738" t="s">
        <v>1259</v>
      </c>
    </row>
    <row r="4739" spans="1:3">
      <c r="A4739">
        <v>0</v>
      </c>
      <c r="C4739" t="s">
        <v>1259</v>
      </c>
    </row>
    <row r="4740" spans="1:3">
      <c r="A4740">
        <v>0</v>
      </c>
      <c r="C4740" t="s">
        <v>1259</v>
      </c>
    </row>
    <row r="4741" spans="1:3">
      <c r="A4741">
        <v>0</v>
      </c>
      <c r="C4741" t="s">
        <v>1259</v>
      </c>
    </row>
    <row r="4742" spans="1:3">
      <c r="A4742">
        <v>0</v>
      </c>
      <c r="C4742" t="s">
        <v>1259</v>
      </c>
    </row>
    <row r="4743" spans="1:3">
      <c r="A4743">
        <v>0</v>
      </c>
      <c r="C4743" t="s">
        <v>1259</v>
      </c>
    </row>
    <row r="4744" spans="1:3">
      <c r="A4744">
        <v>2062400</v>
      </c>
      <c r="C4744" t="s">
        <v>1259</v>
      </c>
    </row>
    <row r="4745" spans="1:3">
      <c r="C4745" t="s">
        <v>1259</v>
      </c>
    </row>
    <row r="4746" spans="1:3">
      <c r="C4746" t="s">
        <v>1259</v>
      </c>
    </row>
    <row r="4747" spans="1:3">
      <c r="A4747">
        <v>0</v>
      </c>
      <c r="C4747" t="s">
        <v>1259</v>
      </c>
    </row>
    <row r="4748" spans="1:3">
      <c r="A4748">
        <v>0</v>
      </c>
      <c r="C4748" t="s">
        <v>1259</v>
      </c>
    </row>
    <row r="4749" spans="1:3">
      <c r="A4749">
        <v>0</v>
      </c>
      <c r="C4749" t="s">
        <v>1259</v>
      </c>
    </row>
    <row r="4750" spans="1:3">
      <c r="A4750">
        <v>308000</v>
      </c>
      <c r="C4750" t="s">
        <v>1259</v>
      </c>
    </row>
    <row r="4751" spans="1:3">
      <c r="A4751">
        <v>100000</v>
      </c>
      <c r="B4751" t="s">
        <v>1803</v>
      </c>
      <c r="C4751" t="s">
        <v>1259</v>
      </c>
    </row>
    <row r="4752" spans="1:3">
      <c r="A4752">
        <v>150000</v>
      </c>
      <c r="B4752" t="s">
        <v>1803</v>
      </c>
      <c r="C4752" t="s">
        <v>1259</v>
      </c>
    </row>
    <row r="4753" spans="1:3">
      <c r="A4753">
        <v>58000</v>
      </c>
      <c r="B4753" t="s">
        <v>1803</v>
      </c>
      <c r="C4753" t="s">
        <v>1259</v>
      </c>
    </row>
    <row r="4754" spans="1:3">
      <c r="A4754">
        <v>2484000</v>
      </c>
      <c r="C4754" t="s">
        <v>1259</v>
      </c>
    </row>
    <row r="4755" spans="1:3">
      <c r="A4755">
        <v>580000</v>
      </c>
      <c r="B4755" t="s">
        <v>1803</v>
      </c>
      <c r="C4755" t="s">
        <v>1259</v>
      </c>
    </row>
    <row r="4756" spans="1:3">
      <c r="A4756">
        <v>860000</v>
      </c>
      <c r="B4756" t="s">
        <v>1803</v>
      </c>
      <c r="C4756" t="s">
        <v>1259</v>
      </c>
    </row>
    <row r="4757" spans="1:3">
      <c r="A4757">
        <v>1044000</v>
      </c>
      <c r="B4757" t="s">
        <v>1803</v>
      </c>
      <c r="C4757" t="s">
        <v>1259</v>
      </c>
    </row>
    <row r="4758" spans="1:3">
      <c r="A4758">
        <v>975400</v>
      </c>
      <c r="C4758" t="s">
        <v>1259</v>
      </c>
    </row>
    <row r="4759" spans="1:3">
      <c r="A4759">
        <v>200000</v>
      </c>
      <c r="B4759" t="s">
        <v>1803</v>
      </c>
      <c r="C4759" t="s">
        <v>1259</v>
      </c>
    </row>
    <row r="4760" spans="1:3">
      <c r="A4760">
        <v>75400</v>
      </c>
      <c r="B4760" t="s">
        <v>1803</v>
      </c>
      <c r="C4760" t="s">
        <v>1259</v>
      </c>
    </row>
    <row r="4761" spans="1:3">
      <c r="A4761">
        <v>700000</v>
      </c>
      <c r="B4761" t="s">
        <v>1803</v>
      </c>
      <c r="C4761" t="s">
        <v>1259</v>
      </c>
    </row>
    <row r="4762" spans="1:3">
      <c r="A4762">
        <v>551000</v>
      </c>
      <c r="C4762" t="s">
        <v>1259</v>
      </c>
    </row>
    <row r="4763" spans="1:3">
      <c r="A4763">
        <v>290000</v>
      </c>
      <c r="B4763" t="s">
        <v>1803</v>
      </c>
      <c r="C4763" t="s">
        <v>1259</v>
      </c>
    </row>
    <row r="4764" spans="1:3">
      <c r="A4764">
        <v>58000</v>
      </c>
      <c r="B4764" t="s">
        <v>1803</v>
      </c>
      <c r="C4764" t="s">
        <v>1259</v>
      </c>
    </row>
    <row r="4765" spans="1:3">
      <c r="A4765">
        <v>203000</v>
      </c>
      <c r="B4765" t="s">
        <v>1803</v>
      </c>
      <c r="C4765" t="s">
        <v>1259</v>
      </c>
    </row>
    <row r="4766" spans="1:3">
      <c r="A4766">
        <v>145000</v>
      </c>
      <c r="C4766" t="s">
        <v>1259</v>
      </c>
    </row>
    <row r="4767" spans="1:3">
      <c r="A4767">
        <v>145000</v>
      </c>
      <c r="B4767" t="s">
        <v>1803</v>
      </c>
      <c r="C4767" t="s">
        <v>1259</v>
      </c>
    </row>
    <row r="4768" spans="1:3">
      <c r="A4768">
        <v>393083.98</v>
      </c>
      <c r="C4768" t="s">
        <v>1259</v>
      </c>
    </row>
    <row r="4769" spans="1:3">
      <c r="A4769">
        <v>58000</v>
      </c>
      <c r="B4769" t="s">
        <v>1803</v>
      </c>
      <c r="C4769" t="s">
        <v>1259</v>
      </c>
    </row>
    <row r="4770" spans="1:3">
      <c r="A4770">
        <v>248083.98</v>
      </c>
      <c r="B4770" t="s">
        <v>1803</v>
      </c>
      <c r="C4770" t="s">
        <v>1259</v>
      </c>
    </row>
    <row r="4771" spans="1:3">
      <c r="A4771">
        <v>87000</v>
      </c>
      <c r="B4771" t="s">
        <v>1803</v>
      </c>
      <c r="C4771" t="s">
        <v>1259</v>
      </c>
    </row>
    <row r="4772" spans="1:3">
      <c r="A4772">
        <v>632000</v>
      </c>
      <c r="C4772" t="s">
        <v>1259</v>
      </c>
    </row>
    <row r="4773" spans="1:3">
      <c r="A4773">
        <v>232000</v>
      </c>
      <c r="B4773" t="s">
        <v>1803</v>
      </c>
      <c r="C4773" t="s">
        <v>1259</v>
      </c>
    </row>
    <row r="4774" spans="1:3">
      <c r="A4774">
        <v>200000</v>
      </c>
      <c r="B4774" t="s">
        <v>1803</v>
      </c>
      <c r="C4774" t="s">
        <v>1259</v>
      </c>
    </row>
    <row r="4775" spans="1:3">
      <c r="A4775">
        <v>200000</v>
      </c>
      <c r="B4775" t="s">
        <v>1803</v>
      </c>
      <c r="C4775" t="s">
        <v>1259</v>
      </c>
    </row>
    <row r="4776" spans="1:3">
      <c r="A4776">
        <v>700000</v>
      </c>
      <c r="C4776" t="s">
        <v>1259</v>
      </c>
    </row>
    <row r="4777" spans="1:3">
      <c r="A4777">
        <v>700000</v>
      </c>
      <c r="B4777" t="s">
        <v>1803</v>
      </c>
      <c r="C4777" t="s">
        <v>1259</v>
      </c>
    </row>
    <row r="4778" spans="1:3">
      <c r="A4778">
        <v>348000</v>
      </c>
      <c r="C4778" t="s">
        <v>1259</v>
      </c>
    </row>
    <row r="4779" spans="1:3">
      <c r="A4779">
        <v>145000</v>
      </c>
      <c r="B4779" t="s">
        <v>1803</v>
      </c>
      <c r="C4779" t="s">
        <v>1259</v>
      </c>
    </row>
    <row r="4780" spans="1:3">
      <c r="A4780">
        <v>203000</v>
      </c>
      <c r="B4780" t="s">
        <v>1803</v>
      </c>
      <c r="C4780" t="s">
        <v>1259</v>
      </c>
    </row>
    <row r="4781" spans="1:3">
      <c r="A4781">
        <v>58000</v>
      </c>
      <c r="C4781" t="s">
        <v>1259</v>
      </c>
    </row>
    <row r="4782" spans="1:3">
      <c r="A4782">
        <v>58000</v>
      </c>
      <c r="B4782" t="s">
        <v>1803</v>
      </c>
      <c r="C4782" t="s">
        <v>1259</v>
      </c>
    </row>
    <row r="4783" spans="1:3">
      <c r="A4783">
        <v>6594483.9800000004</v>
      </c>
      <c r="C4783" t="s">
        <v>1259</v>
      </c>
    </row>
    <row r="4784" spans="1:3">
      <c r="A4784">
        <v>6594483.9800000004</v>
      </c>
      <c r="C4784" t="s">
        <v>1259</v>
      </c>
    </row>
    <row r="4785" spans="1:3">
      <c r="A4785">
        <v>0</v>
      </c>
      <c r="C4785" t="s">
        <v>1259</v>
      </c>
    </row>
    <row r="4786" spans="1:3">
      <c r="A4786">
        <v>0</v>
      </c>
      <c r="C4786" t="s">
        <v>1259</v>
      </c>
    </row>
    <row r="4787" spans="1:3">
      <c r="A4787">
        <v>0</v>
      </c>
      <c r="C4787" t="s">
        <v>1259</v>
      </c>
    </row>
    <row r="4788" spans="1:3">
      <c r="A4788">
        <v>307400</v>
      </c>
      <c r="C4788" t="s">
        <v>1259</v>
      </c>
    </row>
    <row r="4789" spans="1:3">
      <c r="A4789">
        <v>100000</v>
      </c>
      <c r="B4789" t="s">
        <v>1803</v>
      </c>
      <c r="C4789" t="s">
        <v>1259</v>
      </c>
    </row>
    <row r="4790" spans="1:3">
      <c r="A4790">
        <v>149400</v>
      </c>
      <c r="B4790" t="s">
        <v>1803</v>
      </c>
      <c r="C4790" t="s">
        <v>1259</v>
      </c>
    </row>
    <row r="4791" spans="1:3">
      <c r="A4791">
        <v>58000</v>
      </c>
      <c r="B4791" t="s">
        <v>1803</v>
      </c>
      <c r="C4791" t="s">
        <v>1259</v>
      </c>
    </row>
    <row r="4792" spans="1:3">
      <c r="A4792">
        <v>2024000</v>
      </c>
      <c r="C4792" t="s">
        <v>1259</v>
      </c>
    </row>
    <row r="4793" spans="1:3">
      <c r="A4793">
        <v>480000</v>
      </c>
      <c r="B4793" t="s">
        <v>1803</v>
      </c>
      <c r="C4793" t="s">
        <v>1259</v>
      </c>
    </row>
    <row r="4794" spans="1:3">
      <c r="A4794">
        <v>500000</v>
      </c>
      <c r="B4794" t="s">
        <v>1803</v>
      </c>
      <c r="C4794" t="s">
        <v>1259</v>
      </c>
    </row>
    <row r="4795" spans="1:3">
      <c r="A4795">
        <v>1044000</v>
      </c>
      <c r="B4795" t="s">
        <v>1803</v>
      </c>
      <c r="C4795" t="s">
        <v>1259</v>
      </c>
    </row>
    <row r="4796" spans="1:3">
      <c r="A4796">
        <v>325400</v>
      </c>
      <c r="C4796" t="s">
        <v>1259</v>
      </c>
    </row>
    <row r="4797" spans="1:3">
      <c r="A4797">
        <v>100000</v>
      </c>
      <c r="B4797" t="s">
        <v>1803</v>
      </c>
      <c r="C4797" t="s">
        <v>1259</v>
      </c>
    </row>
    <row r="4798" spans="1:3">
      <c r="A4798">
        <v>75400</v>
      </c>
      <c r="B4798" t="s">
        <v>1803</v>
      </c>
      <c r="C4798" t="s">
        <v>1259</v>
      </c>
    </row>
    <row r="4799" spans="1:3">
      <c r="A4799">
        <v>150000</v>
      </c>
      <c r="B4799" t="s">
        <v>1803</v>
      </c>
      <c r="C4799" t="s">
        <v>1259</v>
      </c>
    </row>
    <row r="4800" spans="1:3">
      <c r="A4800">
        <v>551000</v>
      </c>
      <c r="C4800" t="s">
        <v>1259</v>
      </c>
    </row>
    <row r="4801" spans="1:3">
      <c r="A4801">
        <v>290000</v>
      </c>
      <c r="B4801" t="s">
        <v>1803</v>
      </c>
      <c r="C4801" t="s">
        <v>1259</v>
      </c>
    </row>
    <row r="4802" spans="1:3">
      <c r="A4802">
        <v>58000</v>
      </c>
      <c r="B4802" t="s">
        <v>1803</v>
      </c>
      <c r="C4802" t="s">
        <v>1259</v>
      </c>
    </row>
    <row r="4803" spans="1:3">
      <c r="A4803">
        <v>203000</v>
      </c>
      <c r="B4803" t="s">
        <v>1803</v>
      </c>
      <c r="C4803" t="s">
        <v>1259</v>
      </c>
    </row>
    <row r="4804" spans="1:3">
      <c r="A4804">
        <v>145000</v>
      </c>
      <c r="C4804" t="s">
        <v>1259</v>
      </c>
    </row>
    <row r="4805" spans="1:3">
      <c r="A4805">
        <v>145000</v>
      </c>
      <c r="B4805" t="s">
        <v>1803</v>
      </c>
      <c r="C4805" t="s">
        <v>1259</v>
      </c>
    </row>
    <row r="4806" spans="1:3">
      <c r="A4806">
        <v>245000</v>
      </c>
      <c r="C4806" t="s">
        <v>1259</v>
      </c>
    </row>
    <row r="4807" spans="1:3">
      <c r="A4807">
        <v>58000</v>
      </c>
      <c r="B4807" t="s">
        <v>1803</v>
      </c>
      <c r="C4807" t="s">
        <v>1259</v>
      </c>
    </row>
    <row r="4808" spans="1:3">
      <c r="A4808">
        <v>100000</v>
      </c>
      <c r="B4808" t="s">
        <v>1803</v>
      </c>
      <c r="C4808" t="s">
        <v>1259</v>
      </c>
    </row>
    <row r="4809" spans="1:3">
      <c r="A4809">
        <v>87000</v>
      </c>
      <c r="B4809" t="s">
        <v>1803</v>
      </c>
      <c r="C4809" t="s">
        <v>1259</v>
      </c>
    </row>
    <row r="4810" spans="1:3">
      <c r="A4810">
        <v>100000</v>
      </c>
      <c r="C4810" t="s">
        <v>1259</v>
      </c>
    </row>
    <row r="4811" spans="1:3">
      <c r="A4811">
        <v>100000</v>
      </c>
      <c r="B4811" t="s">
        <v>1803</v>
      </c>
      <c r="C4811" t="s">
        <v>1259</v>
      </c>
    </row>
    <row r="4812" spans="1:3">
      <c r="A4812">
        <v>580000</v>
      </c>
      <c r="C4812" t="s">
        <v>1259</v>
      </c>
    </row>
    <row r="4813" spans="1:3">
      <c r="A4813">
        <v>580000</v>
      </c>
      <c r="B4813" t="s">
        <v>1803</v>
      </c>
      <c r="C4813" t="s">
        <v>1259</v>
      </c>
    </row>
    <row r="4814" spans="1:3">
      <c r="A4814">
        <v>303000</v>
      </c>
      <c r="C4814" t="s">
        <v>1259</v>
      </c>
    </row>
    <row r="4815" spans="1:3">
      <c r="A4815">
        <v>100000</v>
      </c>
      <c r="B4815" t="s">
        <v>1803</v>
      </c>
      <c r="C4815" t="s">
        <v>1259</v>
      </c>
    </row>
    <row r="4816" spans="1:3">
      <c r="A4816">
        <v>203000</v>
      </c>
      <c r="B4816" t="s">
        <v>1803</v>
      </c>
      <c r="C4816" t="s">
        <v>1259</v>
      </c>
    </row>
    <row r="4817" spans="1:3">
      <c r="A4817">
        <v>1058000</v>
      </c>
      <c r="C4817" t="s">
        <v>1259</v>
      </c>
    </row>
    <row r="4818" spans="1:3">
      <c r="A4818">
        <v>58000</v>
      </c>
      <c r="B4818" t="s">
        <v>1803</v>
      </c>
      <c r="C4818" t="s">
        <v>1259</v>
      </c>
    </row>
    <row r="4819" spans="1:3">
      <c r="A4819">
        <v>1000000</v>
      </c>
      <c r="B4819" t="s">
        <v>1803</v>
      </c>
      <c r="C4819" t="s">
        <v>1259</v>
      </c>
    </row>
    <row r="4820" spans="1:3">
      <c r="A4820">
        <v>5638800</v>
      </c>
      <c r="C4820" t="s">
        <v>1259</v>
      </c>
    </row>
    <row r="4821" spans="1:3">
      <c r="A4821">
        <v>0</v>
      </c>
      <c r="C4821" t="s">
        <v>1259</v>
      </c>
    </row>
    <row r="4822" spans="1:3">
      <c r="A4822">
        <v>0</v>
      </c>
      <c r="C4822" t="s">
        <v>1259</v>
      </c>
    </row>
    <row r="4823" spans="1:3">
      <c r="A4823">
        <v>6400000</v>
      </c>
      <c r="C4823" t="s">
        <v>1259</v>
      </c>
    </row>
    <row r="4824" spans="1:3">
      <c r="A4824">
        <v>1900000</v>
      </c>
      <c r="B4824" t="s">
        <v>1803</v>
      </c>
      <c r="C4824" t="s">
        <v>1259</v>
      </c>
    </row>
    <row r="4825" spans="1:3">
      <c r="A4825">
        <v>4500000</v>
      </c>
      <c r="B4825" t="s">
        <v>1803</v>
      </c>
      <c r="C4825" t="s">
        <v>1259</v>
      </c>
    </row>
    <row r="4826" spans="1:3">
      <c r="A4826">
        <v>2000000</v>
      </c>
      <c r="C4826" t="s">
        <v>1259</v>
      </c>
    </row>
    <row r="4827" spans="1:3">
      <c r="A4827">
        <v>2000000</v>
      </c>
      <c r="B4827" t="s">
        <v>1803</v>
      </c>
      <c r="C4827" t="s">
        <v>1259</v>
      </c>
    </row>
    <row r="4828" spans="1:3">
      <c r="A4828">
        <v>8400000</v>
      </c>
      <c r="C4828" t="s">
        <v>1259</v>
      </c>
    </row>
    <row r="4829" spans="1:3">
      <c r="A4829">
        <v>14038800</v>
      </c>
      <c r="C4829" t="s">
        <v>1259</v>
      </c>
    </row>
    <row r="4830" spans="1:3">
      <c r="C4830" t="s">
        <v>1259</v>
      </c>
    </row>
    <row r="4831" spans="1:3">
      <c r="C4831" t="s">
        <v>1259</v>
      </c>
    </row>
    <row r="4832" spans="1:3">
      <c r="A4832">
        <v>0</v>
      </c>
      <c r="C4832" t="s">
        <v>1259</v>
      </c>
    </row>
    <row r="4833" spans="1:3">
      <c r="A4833">
        <v>0</v>
      </c>
      <c r="C4833" t="s">
        <v>1259</v>
      </c>
    </row>
    <row r="4834" spans="1:3">
      <c r="A4834">
        <v>0</v>
      </c>
      <c r="C4834" t="s">
        <v>1259</v>
      </c>
    </row>
    <row r="4835" spans="1:3">
      <c r="A4835">
        <v>258000</v>
      </c>
      <c r="C4835" t="s">
        <v>1259</v>
      </c>
    </row>
    <row r="4836" spans="1:3">
      <c r="A4836">
        <v>100000</v>
      </c>
      <c r="B4836" t="s">
        <v>1803</v>
      </c>
      <c r="C4836" t="s">
        <v>1259</v>
      </c>
    </row>
    <row r="4837" spans="1:3">
      <c r="A4837">
        <v>100000</v>
      </c>
      <c r="B4837" t="s">
        <v>1803</v>
      </c>
      <c r="C4837" t="s">
        <v>1259</v>
      </c>
    </row>
    <row r="4838" spans="1:3">
      <c r="A4838">
        <v>58000</v>
      </c>
      <c r="B4838" t="s">
        <v>1803</v>
      </c>
      <c r="C4838" t="s">
        <v>1259</v>
      </c>
    </row>
    <row r="4839" spans="1:3">
      <c r="A4839">
        <v>2230000</v>
      </c>
      <c r="C4839" t="s">
        <v>1259</v>
      </c>
    </row>
    <row r="4840" spans="1:3">
      <c r="A4840">
        <v>580000</v>
      </c>
      <c r="B4840" t="s">
        <v>1803</v>
      </c>
      <c r="C4840" t="s">
        <v>1259</v>
      </c>
    </row>
    <row r="4841" spans="1:3">
      <c r="A4841">
        <v>900000</v>
      </c>
      <c r="B4841" t="s">
        <v>1803</v>
      </c>
      <c r="C4841" t="s">
        <v>1259</v>
      </c>
    </row>
    <row r="4842" spans="1:3">
      <c r="A4842">
        <v>750000</v>
      </c>
      <c r="B4842" t="s">
        <v>1803</v>
      </c>
      <c r="C4842" t="s">
        <v>1259</v>
      </c>
    </row>
    <row r="4843" spans="1:3">
      <c r="A4843">
        <v>625400</v>
      </c>
      <c r="C4843" t="s">
        <v>1259</v>
      </c>
    </row>
    <row r="4844" spans="1:3">
      <c r="A4844">
        <v>150000</v>
      </c>
      <c r="B4844" t="s">
        <v>1803</v>
      </c>
      <c r="C4844" t="s">
        <v>1259</v>
      </c>
    </row>
    <row r="4845" spans="1:3">
      <c r="A4845">
        <v>75400</v>
      </c>
      <c r="B4845" t="s">
        <v>1803</v>
      </c>
      <c r="C4845" t="s">
        <v>1259</v>
      </c>
    </row>
    <row r="4846" spans="1:3">
      <c r="A4846">
        <v>400000</v>
      </c>
      <c r="B4846" t="s">
        <v>1803</v>
      </c>
      <c r="C4846" t="s">
        <v>1259</v>
      </c>
    </row>
    <row r="4847" spans="1:3">
      <c r="A4847">
        <v>411000</v>
      </c>
      <c r="C4847" t="s">
        <v>1259</v>
      </c>
    </row>
    <row r="4848" spans="1:3">
      <c r="A4848">
        <v>150000</v>
      </c>
      <c r="B4848" t="s">
        <v>1803</v>
      </c>
      <c r="C4848" t="s">
        <v>1259</v>
      </c>
    </row>
    <row r="4849" spans="1:3">
      <c r="A4849">
        <v>58000</v>
      </c>
      <c r="B4849" t="s">
        <v>1803</v>
      </c>
      <c r="C4849" t="s">
        <v>1259</v>
      </c>
    </row>
    <row r="4850" spans="1:3">
      <c r="A4850">
        <v>203000</v>
      </c>
      <c r="B4850" t="s">
        <v>1803</v>
      </c>
      <c r="C4850" t="s">
        <v>1259</v>
      </c>
    </row>
    <row r="4851" spans="1:3">
      <c r="A4851">
        <v>295000</v>
      </c>
      <c r="C4851" t="s">
        <v>1259</v>
      </c>
    </row>
    <row r="4852" spans="1:3">
      <c r="A4852">
        <v>58000</v>
      </c>
      <c r="B4852" t="s">
        <v>1803</v>
      </c>
      <c r="C4852" t="s">
        <v>1259</v>
      </c>
    </row>
    <row r="4853" spans="1:3">
      <c r="A4853">
        <v>150000</v>
      </c>
      <c r="B4853" t="s">
        <v>1803</v>
      </c>
      <c r="C4853" t="s">
        <v>1259</v>
      </c>
    </row>
    <row r="4854" spans="1:3">
      <c r="A4854">
        <v>87000</v>
      </c>
      <c r="B4854" t="s">
        <v>1803</v>
      </c>
      <c r="C4854" t="s">
        <v>1259</v>
      </c>
    </row>
    <row r="4855" spans="1:3">
      <c r="A4855">
        <v>50000</v>
      </c>
      <c r="C4855" t="s">
        <v>1259</v>
      </c>
    </row>
    <row r="4856" spans="1:3">
      <c r="A4856">
        <v>50000</v>
      </c>
      <c r="B4856" t="s">
        <v>1803</v>
      </c>
      <c r="C4856" t="s">
        <v>1259</v>
      </c>
    </row>
    <row r="4857" spans="1:3">
      <c r="A4857">
        <v>500000</v>
      </c>
      <c r="C4857" t="s">
        <v>1259</v>
      </c>
    </row>
    <row r="4858" spans="1:3">
      <c r="A4858">
        <v>500000</v>
      </c>
      <c r="B4858" t="s">
        <v>1803</v>
      </c>
      <c r="C4858" t="s">
        <v>1259</v>
      </c>
    </row>
    <row r="4859" spans="1:3">
      <c r="A4859">
        <v>495600</v>
      </c>
      <c r="C4859" t="s">
        <v>1259</v>
      </c>
    </row>
    <row r="4860" spans="1:3">
      <c r="A4860">
        <v>292600</v>
      </c>
      <c r="B4860" t="s">
        <v>1803</v>
      </c>
      <c r="C4860" t="s">
        <v>1259</v>
      </c>
    </row>
    <row r="4861" spans="1:3">
      <c r="A4861">
        <v>203000</v>
      </c>
      <c r="B4861" t="s">
        <v>1803</v>
      </c>
      <c r="C4861" t="s">
        <v>1259</v>
      </c>
    </row>
    <row r="4862" spans="1:3">
      <c r="A4862">
        <v>4865000</v>
      </c>
      <c r="C4862" t="s">
        <v>1259</v>
      </c>
    </row>
    <row r="4863" spans="1:3">
      <c r="A4863">
        <v>0</v>
      </c>
      <c r="C4863" t="s">
        <v>1259</v>
      </c>
    </row>
    <row r="4864" spans="1:3">
      <c r="A4864">
        <v>0</v>
      </c>
      <c r="C4864" t="s">
        <v>1259</v>
      </c>
    </row>
    <row r="4865" spans="1:3">
      <c r="A4865">
        <v>4831598</v>
      </c>
      <c r="C4865" t="s">
        <v>1259</v>
      </c>
    </row>
    <row r="4866" spans="1:3">
      <c r="A4866">
        <v>1000000</v>
      </c>
      <c r="B4866" t="s">
        <v>1803</v>
      </c>
      <c r="C4866" t="s">
        <v>1259</v>
      </c>
    </row>
    <row r="4867" spans="1:3">
      <c r="A4867">
        <v>2300000</v>
      </c>
      <c r="B4867" t="s">
        <v>1803</v>
      </c>
      <c r="C4867" t="s">
        <v>1259</v>
      </c>
    </row>
    <row r="4868" spans="1:3">
      <c r="A4868">
        <v>1531598</v>
      </c>
      <c r="B4868" t="s">
        <v>1803</v>
      </c>
      <c r="C4868" t="s">
        <v>1259</v>
      </c>
    </row>
    <row r="4869" spans="1:3">
      <c r="A4869">
        <v>4831598</v>
      </c>
      <c r="C4869" t="s">
        <v>1259</v>
      </c>
    </row>
    <row r="4870" spans="1:3">
      <c r="A4870">
        <v>9696598</v>
      </c>
      <c r="C4870" t="s">
        <v>1259</v>
      </c>
    </row>
    <row r="4871" spans="1:3">
      <c r="C4871" t="s">
        <v>1259</v>
      </c>
    </row>
    <row r="4872" spans="1:3">
      <c r="C4872" t="s">
        <v>1259</v>
      </c>
    </row>
    <row r="4873" spans="1:3">
      <c r="C4873" t="s">
        <v>1259</v>
      </c>
    </row>
    <row r="4874" spans="1:3">
      <c r="C4874" t="s">
        <v>1259</v>
      </c>
    </row>
    <row r="4875" spans="1:3">
      <c r="A4875">
        <v>258000</v>
      </c>
      <c r="C4875" t="s">
        <v>1259</v>
      </c>
    </row>
    <row r="4876" spans="1:3">
      <c r="A4876">
        <v>100000</v>
      </c>
      <c r="B4876" t="s">
        <v>1803</v>
      </c>
      <c r="C4876" t="s">
        <v>1259</v>
      </c>
    </row>
    <row r="4877" spans="1:3">
      <c r="A4877">
        <v>100000</v>
      </c>
      <c r="B4877" t="s">
        <v>1803</v>
      </c>
      <c r="C4877" t="s">
        <v>1259</v>
      </c>
    </row>
    <row r="4878" spans="1:3">
      <c r="A4878">
        <v>58000</v>
      </c>
      <c r="B4878" t="s">
        <v>1803</v>
      </c>
      <c r="C4878" t="s">
        <v>1259</v>
      </c>
    </row>
    <row r="4879" spans="1:3">
      <c r="A4879">
        <v>2456179</v>
      </c>
      <c r="C4879" t="s">
        <v>1259</v>
      </c>
    </row>
    <row r="4880" spans="1:3">
      <c r="A4880">
        <v>500000</v>
      </c>
      <c r="B4880" t="s">
        <v>1803</v>
      </c>
      <c r="C4880" t="s">
        <v>1259</v>
      </c>
    </row>
    <row r="4881" spans="1:3">
      <c r="A4881">
        <v>700000</v>
      </c>
      <c r="B4881" t="s">
        <v>1803</v>
      </c>
      <c r="C4881" t="s">
        <v>1259</v>
      </c>
    </row>
    <row r="4882" spans="1:3">
      <c r="A4882">
        <v>1256179</v>
      </c>
      <c r="B4882" t="s">
        <v>1803</v>
      </c>
      <c r="C4882" t="s">
        <v>1259</v>
      </c>
    </row>
    <row r="4883" spans="1:3">
      <c r="A4883">
        <v>415400</v>
      </c>
      <c r="C4883" t="s">
        <v>1259</v>
      </c>
    </row>
    <row r="4884" spans="1:3">
      <c r="A4884">
        <v>190000</v>
      </c>
      <c r="B4884" t="s">
        <v>1803</v>
      </c>
      <c r="C4884" t="s">
        <v>1259</v>
      </c>
    </row>
    <row r="4885" spans="1:3">
      <c r="A4885">
        <v>75400</v>
      </c>
      <c r="B4885" t="s">
        <v>1803</v>
      </c>
      <c r="C4885" t="s">
        <v>1259</v>
      </c>
    </row>
    <row r="4886" spans="1:3">
      <c r="A4886">
        <v>150000</v>
      </c>
      <c r="B4886" t="s">
        <v>1803</v>
      </c>
      <c r="C4886" t="s">
        <v>1259</v>
      </c>
    </row>
    <row r="4887" spans="1:3">
      <c r="A4887">
        <v>408000</v>
      </c>
      <c r="C4887" t="s">
        <v>1259</v>
      </c>
    </row>
    <row r="4888" spans="1:3">
      <c r="A4888">
        <v>200000</v>
      </c>
      <c r="B4888" t="s">
        <v>1803</v>
      </c>
      <c r="C4888" t="s">
        <v>1259</v>
      </c>
    </row>
    <row r="4889" spans="1:3">
      <c r="A4889">
        <v>58000</v>
      </c>
      <c r="B4889" t="s">
        <v>1803</v>
      </c>
      <c r="C4889" t="s">
        <v>1259</v>
      </c>
    </row>
    <row r="4890" spans="1:3">
      <c r="A4890">
        <v>150000</v>
      </c>
      <c r="B4890" t="s">
        <v>1803</v>
      </c>
      <c r="C4890" t="s">
        <v>1259</v>
      </c>
    </row>
    <row r="4891" spans="1:3">
      <c r="A4891">
        <v>145000</v>
      </c>
      <c r="C4891" t="s">
        <v>1259</v>
      </c>
    </row>
    <row r="4892" spans="1:3">
      <c r="A4892">
        <v>145000</v>
      </c>
      <c r="B4892" t="s">
        <v>1803</v>
      </c>
      <c r="C4892" t="s">
        <v>1259</v>
      </c>
    </row>
    <row r="4893" spans="1:3">
      <c r="A4893">
        <v>747000</v>
      </c>
      <c r="C4893" t="s">
        <v>1259</v>
      </c>
    </row>
    <row r="4894" spans="1:3">
      <c r="A4894">
        <v>260000</v>
      </c>
      <c r="B4894" t="s">
        <v>1803</v>
      </c>
      <c r="C4894" t="s">
        <v>1259</v>
      </c>
    </row>
    <row r="4895" spans="1:3">
      <c r="A4895">
        <v>200000</v>
      </c>
      <c r="B4895" t="s">
        <v>1803</v>
      </c>
      <c r="C4895" t="s">
        <v>1259</v>
      </c>
    </row>
    <row r="4896" spans="1:3">
      <c r="A4896">
        <v>287000</v>
      </c>
      <c r="B4896" t="s">
        <v>1803</v>
      </c>
      <c r="C4896" t="s">
        <v>1259</v>
      </c>
    </row>
    <row r="4897" spans="1:3">
      <c r="A4897">
        <v>232000</v>
      </c>
      <c r="C4897" t="s">
        <v>1259</v>
      </c>
    </row>
    <row r="4898" spans="1:3">
      <c r="A4898">
        <v>232000</v>
      </c>
      <c r="B4898" t="s">
        <v>1803</v>
      </c>
      <c r="C4898" t="s">
        <v>1259</v>
      </c>
    </row>
    <row r="4899" spans="1:3">
      <c r="A4899">
        <v>1200000</v>
      </c>
      <c r="C4899" t="s">
        <v>1259</v>
      </c>
    </row>
    <row r="4900" spans="1:3">
      <c r="A4900">
        <v>1200000</v>
      </c>
      <c r="B4900" t="s">
        <v>1803</v>
      </c>
      <c r="C4900" t="s">
        <v>1259</v>
      </c>
    </row>
    <row r="4901" spans="1:3">
      <c r="A4901">
        <v>1048000</v>
      </c>
      <c r="C4901" t="s">
        <v>1259</v>
      </c>
    </row>
    <row r="4902" spans="1:3">
      <c r="A4902">
        <v>845000</v>
      </c>
      <c r="B4902" t="s">
        <v>1803</v>
      </c>
      <c r="C4902" t="s">
        <v>1259</v>
      </c>
    </row>
    <row r="4903" spans="1:3">
      <c r="A4903">
        <v>203000</v>
      </c>
      <c r="B4903" t="s">
        <v>1803</v>
      </c>
      <c r="C4903" t="s">
        <v>1259</v>
      </c>
    </row>
    <row r="4904" spans="1:3">
      <c r="A4904">
        <v>6909579</v>
      </c>
      <c r="C4904" t="s">
        <v>1259</v>
      </c>
    </row>
    <row r="4905" spans="1:3">
      <c r="C4905" t="s">
        <v>1259</v>
      </c>
    </row>
    <row r="4906" spans="1:3">
      <c r="C4906" t="s">
        <v>1259</v>
      </c>
    </row>
    <row r="4907" spans="1:3">
      <c r="C4907" t="s">
        <v>1259</v>
      </c>
    </row>
    <row r="4908" spans="1:3">
      <c r="A4908">
        <v>2812127</v>
      </c>
      <c r="C4908" t="s">
        <v>1259</v>
      </c>
    </row>
    <row r="4909" spans="1:3">
      <c r="A4909">
        <v>2812127</v>
      </c>
      <c r="B4909" t="s">
        <v>1803</v>
      </c>
      <c r="C4909" t="s">
        <v>1259</v>
      </c>
    </row>
    <row r="4910" spans="1:3">
      <c r="A4910">
        <v>8000000</v>
      </c>
      <c r="C4910" t="s">
        <v>1259</v>
      </c>
    </row>
    <row r="4911" spans="1:3">
      <c r="A4911">
        <v>8000000</v>
      </c>
      <c r="B4911" t="s">
        <v>1803</v>
      </c>
      <c r="C4911" t="s">
        <v>1259</v>
      </c>
    </row>
    <row r="4912" spans="1:3">
      <c r="A4912">
        <v>215500000</v>
      </c>
      <c r="C4912" t="s">
        <v>1259</v>
      </c>
    </row>
    <row r="4913" spans="1:3">
      <c r="A4913">
        <v>5000000</v>
      </c>
      <c r="B4913" t="s">
        <v>1803</v>
      </c>
      <c r="C4913" t="s">
        <v>1259</v>
      </c>
    </row>
    <row r="4914" spans="1:3">
      <c r="A4914">
        <v>5000000</v>
      </c>
      <c r="B4914" t="s">
        <v>1803</v>
      </c>
      <c r="C4914" t="s">
        <v>1259</v>
      </c>
    </row>
    <row r="4915" spans="1:3">
      <c r="A4915">
        <v>40000000</v>
      </c>
      <c r="B4915" t="s">
        <v>1803</v>
      </c>
      <c r="C4915" t="s">
        <v>1259</v>
      </c>
    </row>
    <row r="4916" spans="1:3">
      <c r="A4916">
        <v>100000000</v>
      </c>
      <c r="B4916" t="s">
        <v>1803</v>
      </c>
      <c r="C4916" t="s">
        <v>1259</v>
      </c>
    </row>
    <row r="4917" spans="1:3">
      <c r="A4917">
        <v>10000000</v>
      </c>
      <c r="B4917" t="s">
        <v>1803</v>
      </c>
      <c r="C4917" t="s">
        <v>1259</v>
      </c>
    </row>
    <row r="4918" spans="1:3">
      <c r="A4918">
        <v>5000000</v>
      </c>
      <c r="B4918" t="s">
        <v>1803</v>
      </c>
      <c r="C4918" t="s">
        <v>1259</v>
      </c>
    </row>
    <row r="4919" spans="1:3">
      <c r="A4919">
        <v>4000000</v>
      </c>
      <c r="B4919" t="s">
        <v>1803</v>
      </c>
      <c r="C4919" t="s">
        <v>1259</v>
      </c>
    </row>
    <row r="4920" spans="1:3">
      <c r="A4920">
        <v>35000000</v>
      </c>
      <c r="B4920" t="s">
        <v>1803</v>
      </c>
      <c r="C4920" t="s">
        <v>1259</v>
      </c>
    </row>
    <row r="4921" spans="1:3">
      <c r="A4921">
        <v>11500000</v>
      </c>
      <c r="B4921" t="s">
        <v>1803</v>
      </c>
      <c r="C4921" t="s">
        <v>1259</v>
      </c>
    </row>
    <row r="4922" spans="1:3">
      <c r="A4922">
        <v>226312127</v>
      </c>
    </row>
    <row r="4923" spans="1:3">
      <c r="A4923">
        <v>233221706</v>
      </c>
    </row>
    <row r="4924" spans="1:3">
      <c r="A4924">
        <v>91469102.980000004</v>
      </c>
    </row>
    <row r="4925" spans="1:3">
      <c r="A4925">
        <v>239543725</v>
      </c>
    </row>
    <row r="4926" spans="1:3">
      <c r="A4926">
        <v>331012827.98000002</v>
      </c>
    </row>
    <row r="4929" spans="1:1">
      <c r="A4929">
        <v>7796053109.5761356</v>
      </c>
    </row>
    <row r="4930" spans="1:1">
      <c r="A4930">
        <v>3805477823.4238625</v>
      </c>
    </row>
    <row r="4931" spans="1:1">
      <c r="A4931">
        <v>11601530932.999998</v>
      </c>
    </row>
    <row r="4932" spans="1:1">
      <c r="A4932">
        <v>1100630000</v>
      </c>
    </row>
    <row r="4933" spans="1:1">
      <c r="A4933">
        <v>12702160932.999998</v>
      </c>
    </row>
    <row r="4934" spans="1:1">
      <c r="A4934">
        <v>12702160932.02</v>
      </c>
    </row>
    <row r="4935" spans="1:1">
      <c r="A4935">
        <v>-0.97999763488769531</v>
      </c>
    </row>
    <row r="4937" spans="1:1">
      <c r="A4937">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defaultColWidth="10" defaultRowHeight="14.4"/>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13"/>
  <sheetViews>
    <sheetView workbookViewId="0">
      <selection activeCell="A8" sqref="A8"/>
    </sheetView>
  </sheetViews>
  <sheetFormatPr defaultColWidth="8.88671875" defaultRowHeight="29.4"/>
  <cols>
    <col min="1" max="1" width="147.5546875" style="262" bestFit="1" customWidth="1"/>
    <col min="2" max="2" width="20.5546875" style="262" bestFit="1" customWidth="1"/>
    <col min="3" max="16384" width="8.88671875" style="262"/>
  </cols>
  <sheetData>
    <row r="1" spans="1:2">
      <c r="A1" s="263" t="s">
        <v>2130</v>
      </c>
    </row>
    <row r="2" spans="1:2">
      <c r="A2" s="262" t="s">
        <v>2131</v>
      </c>
    </row>
    <row r="3" spans="1:2">
      <c r="A3" s="262" t="s">
        <v>2132</v>
      </c>
      <c r="B3" s="262">
        <v>24.6</v>
      </c>
    </row>
    <row r="4" spans="1:2">
      <c r="A4" s="262" t="s">
        <v>2133</v>
      </c>
    </row>
    <row r="5" spans="1:2">
      <c r="A5" s="262" t="s">
        <v>2134</v>
      </c>
    </row>
    <row r="6" spans="1:2">
      <c r="A6" s="262" t="s">
        <v>2135</v>
      </c>
      <c r="B6" s="262">
        <v>-100</v>
      </c>
    </row>
    <row r="7" spans="1:2">
      <c r="A7" s="262" t="s">
        <v>2136</v>
      </c>
    </row>
    <row r="10" spans="1:2">
      <c r="A10" s="262" t="s">
        <v>2137</v>
      </c>
      <c r="B10" s="262">
        <v>1678</v>
      </c>
    </row>
    <row r="11" spans="1:2">
      <c r="A11" s="262" t="s">
        <v>2138</v>
      </c>
      <c r="B11" s="262">
        <v>57</v>
      </c>
    </row>
    <row r="12" spans="1:2">
      <c r="A12" s="262" t="s">
        <v>2139</v>
      </c>
      <c r="B12" s="262">
        <v>3878</v>
      </c>
    </row>
    <row r="13" spans="1:2">
      <c r="B13" s="262">
        <f>SUM(B10:B12)</f>
        <v>5613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7"/>
  <sheetViews>
    <sheetView workbookViewId="0">
      <selection activeCell="K22" sqref="K22"/>
    </sheetView>
  </sheetViews>
  <sheetFormatPr defaultColWidth="10" defaultRowHeight="14.4"/>
  <sheetData>
    <row r="1" spans="1:2">
      <c r="A1" t="s">
        <v>2156</v>
      </c>
      <c r="B1">
        <v>12</v>
      </c>
    </row>
    <row r="2" spans="1:2">
      <c r="A2" t="s">
        <v>2157</v>
      </c>
      <c r="B2">
        <v>3</v>
      </c>
    </row>
    <row r="3" spans="1:2">
      <c r="A3" t="s">
        <v>2158</v>
      </c>
      <c r="B3">
        <v>3</v>
      </c>
    </row>
    <row r="4" spans="1:2">
      <c r="A4" t="s">
        <v>2159</v>
      </c>
      <c r="B4">
        <v>5</v>
      </c>
    </row>
    <row r="5" spans="1:2">
      <c r="A5" t="s">
        <v>2160</v>
      </c>
      <c r="B5">
        <v>50</v>
      </c>
    </row>
    <row r="6" spans="1:2">
      <c r="A6" t="s">
        <v>2161</v>
      </c>
      <c r="B6">
        <v>6.8</v>
      </c>
    </row>
    <row r="7" spans="1:2">
      <c r="B7">
        <f>SUM(B1:B6)</f>
        <v>79.8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3"/>
  <sheetViews>
    <sheetView workbookViewId="0">
      <selection activeCell="E11" sqref="E11"/>
    </sheetView>
  </sheetViews>
  <sheetFormatPr defaultColWidth="10" defaultRowHeight="14.4"/>
  <sheetData>
    <row r="1" spans="1:1">
      <c r="A1" s="264"/>
    </row>
    <row r="2" spans="1:1">
      <c r="A2" s="264"/>
    </row>
    <row r="3" spans="1:1">
      <c r="A3" s="264"/>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5"/>
  <sheetViews>
    <sheetView topLeftCell="D1" workbookViewId="0">
      <selection activeCell="J9" sqref="A1:XFD1048576"/>
    </sheetView>
  </sheetViews>
  <sheetFormatPr defaultColWidth="10" defaultRowHeight="14.4"/>
  <cols>
    <col min="2" max="2" width="33.44140625" customWidth="1"/>
    <col min="3" max="3" width="29.44140625" customWidth="1"/>
    <col min="4" max="4" width="24.88671875" customWidth="1"/>
    <col min="5" max="5" width="20.88671875" bestFit="1" customWidth="1"/>
    <col min="6" max="6" width="20" bestFit="1" customWidth="1"/>
    <col min="7" max="7" width="25.44140625" customWidth="1"/>
    <col min="10" max="10" width="40.44140625" customWidth="1"/>
  </cols>
  <sheetData>
    <row r="1" spans="1:10" ht="41.4">
      <c r="A1" s="265" t="s">
        <v>1201</v>
      </c>
      <c r="B1" s="266" t="s">
        <v>2038</v>
      </c>
      <c r="C1" s="266" t="s">
        <v>2039</v>
      </c>
      <c r="D1" s="266" t="s">
        <v>2040</v>
      </c>
      <c r="E1" s="266" t="s">
        <v>2041</v>
      </c>
      <c r="F1" s="266" t="s">
        <v>2042</v>
      </c>
      <c r="G1" s="266" t="s">
        <v>2043</v>
      </c>
      <c r="H1" s="266" t="s">
        <v>2044</v>
      </c>
      <c r="I1" s="266" t="s">
        <v>2045</v>
      </c>
      <c r="J1" s="266" t="s">
        <v>2046</v>
      </c>
    </row>
    <row r="2" spans="1:10" ht="16.8">
      <c r="A2" s="267">
        <v>1</v>
      </c>
      <c r="B2" s="268" t="s">
        <v>2047</v>
      </c>
      <c r="C2" s="268" t="s">
        <v>2048</v>
      </c>
      <c r="D2" s="268" t="s">
        <v>2049</v>
      </c>
      <c r="E2" s="268">
        <v>91</v>
      </c>
      <c r="F2" s="268" t="s">
        <v>2050</v>
      </c>
      <c r="G2" s="269">
        <v>1325000</v>
      </c>
      <c r="H2" s="268" t="s">
        <v>2051</v>
      </c>
      <c r="I2" s="268"/>
      <c r="J2" s="269">
        <v>1325000</v>
      </c>
    </row>
    <row r="3" spans="1:10" ht="41.4">
      <c r="A3" s="267">
        <v>2</v>
      </c>
      <c r="B3" s="268" t="s">
        <v>2052</v>
      </c>
      <c r="C3" s="268" t="s">
        <v>2053</v>
      </c>
      <c r="D3" s="268" t="s">
        <v>2049</v>
      </c>
      <c r="E3" s="268">
        <v>93</v>
      </c>
      <c r="F3" s="268" t="s">
        <v>2054</v>
      </c>
      <c r="G3" s="269">
        <v>899940</v>
      </c>
      <c r="H3" s="268" t="s">
        <v>2055</v>
      </c>
      <c r="I3" s="268"/>
      <c r="J3" s="269">
        <v>899940</v>
      </c>
    </row>
    <row r="4" spans="1:10" ht="16.8">
      <c r="A4" s="267">
        <v>3</v>
      </c>
      <c r="B4" s="268" t="s">
        <v>2056</v>
      </c>
      <c r="C4" s="268" t="s">
        <v>2057</v>
      </c>
      <c r="D4" s="268" t="s">
        <v>2049</v>
      </c>
      <c r="E4" s="268">
        <v>85</v>
      </c>
      <c r="F4" s="268" t="s">
        <v>2058</v>
      </c>
      <c r="G4" s="269">
        <v>661670</v>
      </c>
      <c r="H4" s="268" t="s">
        <v>2055</v>
      </c>
      <c r="I4" s="268"/>
      <c r="J4" s="269">
        <v>661670</v>
      </c>
    </row>
    <row r="5" spans="1:10">
      <c r="A5" s="270"/>
      <c r="B5" s="266" t="s">
        <v>77</v>
      </c>
      <c r="C5" s="271"/>
      <c r="D5" s="271"/>
      <c r="E5" s="271"/>
      <c r="F5" s="271"/>
      <c r="G5" s="271"/>
      <c r="H5" s="271"/>
      <c r="I5" s="271"/>
      <c r="J5" s="272">
        <v>2886610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D3:G26"/>
  <sheetViews>
    <sheetView showGridLines="0" topLeftCell="A2" workbookViewId="0">
      <selection activeCell="E28" sqref="E28"/>
    </sheetView>
  </sheetViews>
  <sheetFormatPr defaultColWidth="8.6640625" defaultRowHeight="17.399999999999999"/>
  <cols>
    <col min="1" max="3" width="8.6640625" style="273"/>
    <col min="4" max="4" width="26.109375" style="274" customWidth="1"/>
    <col min="5" max="5" width="29.44140625" style="275" customWidth="1"/>
    <col min="6" max="6" width="30" style="275" bestFit="1" customWidth="1"/>
    <col min="7" max="7" width="30" style="273" bestFit="1" customWidth="1"/>
    <col min="8" max="16384" width="8.6640625" style="273"/>
  </cols>
  <sheetData>
    <row r="3" spans="4:7" s="274" customFormat="1" ht="69.599999999999994">
      <c r="D3" s="276" t="s">
        <v>2583</v>
      </c>
      <c r="E3" s="277" t="s">
        <v>2579</v>
      </c>
      <c r="F3" s="278" t="s">
        <v>2580</v>
      </c>
      <c r="G3" s="279" t="s">
        <v>2584</v>
      </c>
    </row>
    <row r="5" spans="4:7">
      <c r="G5" s="280"/>
    </row>
    <row r="6" spans="4:7">
      <c r="D6" s="281" t="s">
        <v>2581</v>
      </c>
      <c r="E6" s="282">
        <f>E10-E8</f>
        <v>10181734470</v>
      </c>
      <c r="F6" s="282">
        <f>F10-F8</f>
        <v>9939890544</v>
      </c>
      <c r="G6" s="283">
        <f t="shared" ref="G6" si="0">F6-E6</f>
        <v>-241843926</v>
      </c>
    </row>
    <row r="7" spans="4:7">
      <c r="G7" s="280"/>
    </row>
    <row r="8" spans="4:7">
      <c r="D8" s="281" t="s">
        <v>2578</v>
      </c>
      <c r="E8" s="282">
        <v>1062587992</v>
      </c>
      <c r="F8" s="282">
        <v>946077555</v>
      </c>
      <c r="G8" s="283">
        <f>F8-E8</f>
        <v>-116510437</v>
      </c>
    </row>
    <row r="9" spans="4:7">
      <c r="G9" s="280"/>
    </row>
    <row r="10" spans="4:7">
      <c r="D10" s="284" t="s">
        <v>1203</v>
      </c>
      <c r="E10" s="285">
        <v>11244322462</v>
      </c>
      <c r="F10" s="285">
        <v>10885968099</v>
      </c>
      <c r="G10" s="286">
        <f>F10-E10</f>
        <v>-358354363</v>
      </c>
    </row>
    <row r="11" spans="4:7">
      <c r="G11" s="280"/>
    </row>
    <row r="12" spans="4:7">
      <c r="D12" s="281" t="s">
        <v>1206</v>
      </c>
      <c r="E12" s="282">
        <v>1111954976.02</v>
      </c>
      <c r="F12" s="287">
        <v>529268784</v>
      </c>
      <c r="G12" s="283">
        <f>F12-E12</f>
        <v>-582686192.01999998</v>
      </c>
    </row>
    <row r="13" spans="4:7">
      <c r="G13" s="280"/>
    </row>
    <row r="14" spans="4:7">
      <c r="D14" s="281" t="s">
        <v>2582</v>
      </c>
      <c r="E14" s="282">
        <v>988645941</v>
      </c>
      <c r="F14" s="282">
        <f>'FINAL RESOURCE ENVELOPE'!_Hlk195011545</f>
        <v>1145025058</v>
      </c>
      <c r="G14" s="283">
        <f t="shared" ref="G14:G16" si="1">F14-E14</f>
        <v>156379117</v>
      </c>
    </row>
    <row r="15" spans="4:7">
      <c r="G15" s="280"/>
    </row>
    <row r="16" spans="4:7" s="288" customFormat="1">
      <c r="D16" s="289" t="s">
        <v>510</v>
      </c>
      <c r="E16" s="290">
        <f>E10+E12+E14</f>
        <v>13344923379.02</v>
      </c>
      <c r="F16" s="290">
        <f>F10+F12+F14</f>
        <v>12560261941</v>
      </c>
      <c r="G16" s="291">
        <f t="shared" si="1"/>
        <v>-784661438.02000046</v>
      </c>
    </row>
    <row r="18" spans="4:7">
      <c r="G18" s="291">
        <v>250000000</v>
      </c>
    </row>
    <row r="20" spans="4:7">
      <c r="D20" s="274" t="s">
        <v>2602</v>
      </c>
      <c r="F20" s="275">
        <v>1495093369</v>
      </c>
      <c r="G20" s="292">
        <f>SUM(G16:G19)</f>
        <v>-534661438.02000046</v>
      </c>
    </row>
    <row r="22" spans="4:7">
      <c r="D22" s="274" t="s">
        <v>2603</v>
      </c>
      <c r="F22" s="275">
        <v>250000000</v>
      </c>
    </row>
    <row r="24" spans="4:7">
      <c r="F24" s="293">
        <f>SUM(F16:F23)</f>
        <v>14305355310</v>
      </c>
    </row>
    <row r="26" spans="4:7">
      <c r="F26" s="294">
        <f>F24-Summary!F21</f>
        <v>7339074.9699134827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EJ5064"/>
  <sheetViews>
    <sheetView tabSelected="1" topLeftCell="C1" zoomScale="62" workbookViewId="0">
      <pane xSplit="2" ySplit="2" topLeftCell="E39" activePane="bottomRight" state="frozen"/>
      <selection pane="topRight" activeCell="C1" sqref="C1"/>
      <selection pane="bottomLeft" activeCell="C1" sqref="C1"/>
      <selection pane="bottomRight" activeCell="J58" sqref="J58"/>
    </sheetView>
  </sheetViews>
  <sheetFormatPr defaultColWidth="53" defaultRowHeight="15.6" outlineLevelRow="3"/>
  <cols>
    <col min="1" max="1" width="9.5546875" style="295" customWidth="1"/>
    <col min="2" max="2" width="12.44140625" style="295" customWidth="1"/>
    <col min="3" max="3" width="17.5546875" style="296" customWidth="1"/>
    <col min="4" max="4" width="54.109375" style="297" customWidth="1"/>
    <col min="5" max="5" width="18.5546875" style="298" customWidth="1"/>
    <col min="6" max="6" width="16.44140625" style="299" customWidth="1"/>
    <col min="7" max="7" width="16.5546875" style="299" customWidth="1"/>
    <col min="8" max="9" width="25.88671875" style="299" bestFit="1" customWidth="1"/>
    <col min="10" max="10" width="15.44140625" style="299" customWidth="1"/>
    <col min="11" max="11" width="15.6640625" style="299" bestFit="1" customWidth="1"/>
    <col min="12" max="12" width="19.6640625" style="300" bestFit="1" customWidth="1"/>
    <col min="13" max="13" width="12.109375" style="300" hidden="1" customWidth="1"/>
    <col min="14" max="14" width="11.109375" style="2222" hidden="1" customWidth="1"/>
    <col min="15" max="15" width="12.21875" style="301" hidden="1" customWidth="1"/>
    <col min="16" max="16" width="20.44140625" style="302" hidden="1" customWidth="1"/>
    <col min="17" max="17" width="19.88671875" style="303" hidden="1" customWidth="1"/>
    <col min="18" max="18" width="21.5546875" style="300" hidden="1" customWidth="1"/>
    <col min="19" max="19" width="53" style="303" hidden="1" customWidth="1"/>
    <col min="20" max="20" width="53" style="303"/>
    <col min="21" max="21" width="21.5546875" style="304" customWidth="1"/>
    <col min="22" max="16384" width="53" style="303"/>
  </cols>
  <sheetData>
    <row r="1" spans="1:140" s="305" customFormat="1" ht="45.6">
      <c r="A1" s="2263" t="s">
        <v>2482</v>
      </c>
      <c r="B1" s="2264"/>
      <c r="C1" s="2264"/>
      <c r="D1" s="2264"/>
      <c r="E1" s="2264"/>
      <c r="F1" s="2264"/>
      <c r="G1" s="2264"/>
      <c r="H1" s="2264"/>
      <c r="I1" s="2264"/>
      <c r="J1" s="2264"/>
      <c r="K1" s="2264"/>
      <c r="L1" s="2264"/>
      <c r="M1" s="2209"/>
      <c r="N1" s="2220"/>
      <c r="O1" s="306"/>
      <c r="P1" s="306"/>
      <c r="Q1" s="306"/>
      <c r="R1" s="306"/>
      <c r="S1" s="306"/>
      <c r="T1" s="306"/>
      <c r="U1" s="306"/>
      <c r="V1" s="306"/>
      <c r="W1" s="306"/>
      <c r="X1" s="306"/>
      <c r="Y1" s="306"/>
      <c r="Z1" s="306"/>
      <c r="AA1" s="306"/>
      <c r="AB1" s="306"/>
      <c r="AC1" s="306"/>
      <c r="AD1" s="306"/>
      <c r="AE1" s="306"/>
      <c r="AF1" s="306"/>
      <c r="AG1" s="306"/>
      <c r="AH1" s="306"/>
      <c r="AI1" s="306"/>
      <c r="AJ1" s="306"/>
      <c r="AK1" s="306"/>
      <c r="AL1" s="306"/>
      <c r="AM1" s="306"/>
      <c r="AN1" s="306"/>
      <c r="AO1" s="306"/>
      <c r="AP1" s="306"/>
      <c r="AQ1" s="306"/>
      <c r="AR1" s="306"/>
      <c r="AS1" s="306"/>
      <c r="AT1" s="306"/>
      <c r="AU1" s="306"/>
      <c r="AV1" s="306"/>
      <c r="AW1" s="306"/>
      <c r="AX1" s="306"/>
      <c r="AY1" s="306"/>
      <c r="AZ1" s="306"/>
      <c r="BA1" s="306"/>
      <c r="BB1" s="306"/>
      <c r="BC1" s="306"/>
      <c r="BD1" s="306"/>
      <c r="BE1" s="306"/>
      <c r="BF1" s="306"/>
      <c r="BG1" s="306"/>
      <c r="BH1" s="306"/>
      <c r="BI1" s="306"/>
      <c r="BJ1" s="306"/>
      <c r="BK1" s="306"/>
      <c r="BL1" s="306"/>
      <c r="BM1" s="306"/>
      <c r="BN1" s="306"/>
      <c r="BO1" s="306"/>
      <c r="BP1" s="306"/>
      <c r="BQ1" s="306"/>
      <c r="BR1" s="306"/>
      <c r="BS1" s="306"/>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c r="DS1" s="306"/>
      <c r="DT1" s="306"/>
      <c r="DU1" s="306"/>
      <c r="DV1" s="306"/>
      <c r="DW1" s="306"/>
      <c r="DX1" s="306"/>
      <c r="DY1" s="306"/>
      <c r="DZ1" s="306"/>
      <c r="EA1" s="306"/>
      <c r="EB1" s="306"/>
      <c r="EC1" s="306"/>
      <c r="ED1" s="306"/>
      <c r="EE1" s="306"/>
      <c r="EF1" s="306"/>
      <c r="EG1" s="306"/>
      <c r="EH1" s="306"/>
      <c r="EI1" s="306"/>
      <c r="EJ1" s="306"/>
    </row>
    <row r="2" spans="1:140" s="307" customFormat="1" ht="78">
      <c r="A2" s="308" t="s">
        <v>3</v>
      </c>
      <c r="B2" s="308" t="s">
        <v>4</v>
      </c>
      <c r="C2" s="308" t="s">
        <v>5</v>
      </c>
      <c r="D2" s="309" t="s">
        <v>6</v>
      </c>
      <c r="E2" s="308" t="s">
        <v>1310</v>
      </c>
      <c r="F2" s="308" t="s">
        <v>2035</v>
      </c>
      <c r="G2" s="308" t="s">
        <v>2034</v>
      </c>
      <c r="H2" s="308" t="s">
        <v>2037</v>
      </c>
      <c r="I2" s="308" t="s">
        <v>2036</v>
      </c>
      <c r="J2" s="308" t="s">
        <v>2576</v>
      </c>
      <c r="K2" s="308" t="s">
        <v>2037</v>
      </c>
      <c r="L2" s="308" t="s">
        <v>2481</v>
      </c>
      <c r="M2" s="2219" t="s">
        <v>2604</v>
      </c>
      <c r="N2" s="2221" t="s">
        <v>2605</v>
      </c>
      <c r="O2" s="310" t="s">
        <v>7</v>
      </c>
      <c r="P2" s="308" t="s">
        <v>1311</v>
      </c>
      <c r="R2" s="308"/>
      <c r="U2" s="311" t="s">
        <v>2577</v>
      </c>
    </row>
    <row r="3" spans="1:140" s="312" customFormat="1">
      <c r="A3" s="313"/>
      <c r="B3" s="313"/>
      <c r="C3" s="314" t="s">
        <v>8</v>
      </c>
      <c r="D3" s="314"/>
      <c r="E3" s="315"/>
      <c r="F3" s="316"/>
      <c r="G3" s="316"/>
      <c r="H3" s="316"/>
      <c r="I3" s="316"/>
      <c r="J3" s="316"/>
      <c r="K3" s="316"/>
      <c r="L3" s="317">
        <f>I3+J3+K3</f>
        <v>0</v>
      </c>
      <c r="M3" s="2210"/>
      <c r="N3" s="989"/>
      <c r="O3" s="318"/>
      <c r="P3" s="319"/>
      <c r="R3" s="317"/>
      <c r="U3" s="320" t="s">
        <v>1803</v>
      </c>
    </row>
    <row r="4" spans="1:140" s="312" customFormat="1" outlineLevel="1">
      <c r="A4" s="321"/>
      <c r="B4" s="321" t="s">
        <v>9</v>
      </c>
      <c r="C4" s="322" t="s">
        <v>10</v>
      </c>
      <c r="D4" s="322"/>
      <c r="E4" s="323"/>
      <c r="F4" s="324"/>
      <c r="G4" s="324"/>
      <c r="H4" s="324"/>
      <c r="I4" s="324">
        <f>E4+F4+G4+H4</f>
        <v>0</v>
      </c>
      <c r="J4" s="324"/>
      <c r="K4" s="324"/>
      <c r="L4" s="317">
        <f t="shared" ref="L4:L67" si="0">I4+J4+K4</f>
        <v>0</v>
      </c>
      <c r="M4" s="317"/>
      <c r="N4" s="372"/>
      <c r="O4" s="319">
        <f>L4*1.1</f>
        <v>0</v>
      </c>
      <c r="P4" s="319">
        <f t="shared" ref="P4:P22" si="1">O4*1.1</f>
        <v>0</v>
      </c>
      <c r="R4" s="317"/>
      <c r="U4" s="320"/>
    </row>
    <row r="5" spans="1:140" s="312" customFormat="1" outlineLevel="1">
      <c r="A5" s="313"/>
      <c r="B5" s="313"/>
      <c r="C5" s="314" t="s">
        <v>11</v>
      </c>
      <c r="D5" s="314"/>
      <c r="E5" s="315"/>
      <c r="F5" s="316"/>
      <c r="G5" s="316"/>
      <c r="H5" s="316"/>
      <c r="I5" s="324">
        <f t="shared" ref="I5:I67" si="2">E5+F5+G5+H5</f>
        <v>0</v>
      </c>
      <c r="J5" s="316"/>
      <c r="K5" s="316"/>
      <c r="L5" s="317">
        <f t="shared" si="0"/>
        <v>0</v>
      </c>
      <c r="M5" s="317"/>
      <c r="N5" s="372"/>
      <c r="O5" s="319">
        <f>L5*1.1</f>
        <v>0</v>
      </c>
      <c r="P5" s="319">
        <f t="shared" si="1"/>
        <v>0</v>
      </c>
      <c r="R5" s="317"/>
      <c r="U5" s="320"/>
    </row>
    <row r="6" spans="1:140" s="312" customFormat="1" outlineLevel="1">
      <c r="A6" s="313"/>
      <c r="B6" s="313"/>
      <c r="C6" s="314" t="s">
        <v>12</v>
      </c>
      <c r="D6" s="314"/>
      <c r="E6" s="315"/>
      <c r="F6" s="316"/>
      <c r="G6" s="316"/>
      <c r="H6" s="316"/>
      <c r="I6" s="324">
        <f t="shared" si="2"/>
        <v>0</v>
      </c>
      <c r="J6" s="316"/>
      <c r="K6" s="316"/>
      <c r="L6" s="317">
        <f t="shared" si="0"/>
        <v>0</v>
      </c>
      <c r="M6" s="317"/>
      <c r="N6" s="372"/>
      <c r="O6" s="319">
        <f>L6*1.1</f>
        <v>0</v>
      </c>
      <c r="P6" s="319">
        <f t="shared" si="1"/>
        <v>0</v>
      </c>
      <c r="R6" s="317"/>
      <c r="U6" s="320"/>
    </row>
    <row r="7" spans="1:140" s="325" customFormat="1" outlineLevel="3">
      <c r="A7" s="326"/>
      <c r="B7" s="326"/>
      <c r="C7" s="327">
        <v>2110100</v>
      </c>
      <c r="D7" s="328" t="s">
        <v>13</v>
      </c>
      <c r="E7" s="329">
        <f>E8</f>
        <v>508750023</v>
      </c>
      <c r="F7" s="329">
        <f t="shared" ref="F7:K7" si="3">F8</f>
        <v>0</v>
      </c>
      <c r="G7" s="329">
        <f t="shared" si="3"/>
        <v>0</v>
      </c>
      <c r="H7" s="329">
        <f t="shared" si="3"/>
        <v>0</v>
      </c>
      <c r="I7" s="329">
        <f t="shared" si="3"/>
        <v>508750023</v>
      </c>
      <c r="J7" s="329">
        <f t="shared" si="3"/>
        <v>0</v>
      </c>
      <c r="K7" s="329">
        <f t="shared" si="3"/>
        <v>0</v>
      </c>
      <c r="L7" s="317">
        <f t="shared" si="0"/>
        <v>508750023</v>
      </c>
      <c r="M7" s="317"/>
      <c r="N7" s="372">
        <f>M7-K7</f>
        <v>0</v>
      </c>
      <c r="O7" s="329">
        <f t="shared" ref="O7:P7" si="4">O8</f>
        <v>559625025.30000007</v>
      </c>
      <c r="P7" s="329">
        <f t="shared" si="4"/>
        <v>615587527.83000016</v>
      </c>
      <c r="R7" s="317"/>
      <c r="U7" s="320"/>
    </row>
    <row r="8" spans="1:140" outlineLevel="3">
      <c r="A8" s="330"/>
      <c r="B8" s="330"/>
      <c r="C8" s="331">
        <v>2110101</v>
      </c>
      <c r="D8" s="332" t="s">
        <v>14</v>
      </c>
      <c r="E8" s="333">
        <v>508750023</v>
      </c>
      <c r="F8" s="334"/>
      <c r="G8" s="334"/>
      <c r="H8" s="334"/>
      <c r="I8" s="324">
        <f t="shared" si="2"/>
        <v>508750023</v>
      </c>
      <c r="J8" s="335"/>
      <c r="K8" s="335"/>
      <c r="L8" s="317">
        <f t="shared" si="0"/>
        <v>508750023</v>
      </c>
      <c r="M8" s="317"/>
      <c r="N8" s="372">
        <f t="shared" ref="N8:N71" si="5">M8-K8</f>
        <v>0</v>
      </c>
      <c r="O8" s="336">
        <f>L8*1.1</f>
        <v>559625025.30000007</v>
      </c>
      <c r="P8" s="336">
        <f t="shared" si="1"/>
        <v>615587527.83000016</v>
      </c>
      <c r="R8" s="317"/>
      <c r="U8" s="320"/>
    </row>
    <row r="9" spans="1:140" s="337" customFormat="1" outlineLevel="3">
      <c r="A9" s="338"/>
      <c r="B9" s="338"/>
      <c r="C9" s="339">
        <v>2110200</v>
      </c>
      <c r="D9" s="340" t="s">
        <v>15</v>
      </c>
      <c r="E9" s="329">
        <f>E10</f>
        <v>580000</v>
      </c>
      <c r="F9" s="329">
        <f t="shared" ref="F9:P9" si="6">F10</f>
        <v>0</v>
      </c>
      <c r="G9" s="329">
        <f t="shared" si="6"/>
        <v>0</v>
      </c>
      <c r="H9" s="329">
        <f t="shared" si="6"/>
        <v>0</v>
      </c>
      <c r="I9" s="329">
        <f t="shared" si="6"/>
        <v>580000</v>
      </c>
      <c r="J9" s="329">
        <f t="shared" si="6"/>
        <v>0</v>
      </c>
      <c r="K9" s="329">
        <f t="shared" si="6"/>
        <v>0</v>
      </c>
      <c r="L9" s="317">
        <f t="shared" si="0"/>
        <v>580000</v>
      </c>
      <c r="M9" s="317"/>
      <c r="N9" s="372">
        <f>M9-K9</f>
        <v>0</v>
      </c>
      <c r="O9" s="329">
        <f t="shared" si="6"/>
        <v>638000</v>
      </c>
      <c r="P9" s="329">
        <f t="shared" si="6"/>
        <v>701800</v>
      </c>
      <c r="R9" s="317"/>
      <c r="U9" s="320"/>
    </row>
    <row r="10" spans="1:140" outlineLevel="3">
      <c r="A10" s="330"/>
      <c r="B10" s="330"/>
      <c r="C10" s="331">
        <v>2110202</v>
      </c>
      <c r="D10" s="332" t="s">
        <v>15</v>
      </c>
      <c r="E10" s="334">
        <v>580000</v>
      </c>
      <c r="F10" s="334"/>
      <c r="G10" s="334"/>
      <c r="H10" s="334"/>
      <c r="I10" s="324">
        <f t="shared" si="2"/>
        <v>580000</v>
      </c>
      <c r="J10" s="335"/>
      <c r="K10" s="335"/>
      <c r="L10" s="317">
        <f t="shared" si="0"/>
        <v>580000</v>
      </c>
      <c r="M10" s="317"/>
      <c r="N10" s="372">
        <f t="shared" si="5"/>
        <v>0</v>
      </c>
      <c r="O10" s="336">
        <f>L10*1.1</f>
        <v>638000</v>
      </c>
      <c r="P10" s="336">
        <f t="shared" si="1"/>
        <v>701800</v>
      </c>
      <c r="R10" s="317"/>
      <c r="U10" s="320"/>
    </row>
    <row r="11" spans="1:140" outlineLevel="3">
      <c r="A11" s="330"/>
      <c r="B11" s="330"/>
      <c r="C11" s="339">
        <v>2210100</v>
      </c>
      <c r="D11" s="340" t="s">
        <v>16</v>
      </c>
      <c r="E11" s="329">
        <f>E12+E13</f>
        <v>2330000</v>
      </c>
      <c r="F11" s="329">
        <f t="shared" ref="F11:K11" si="7">F12+F13</f>
        <v>0</v>
      </c>
      <c r="G11" s="329">
        <f t="shared" si="7"/>
        <v>0</v>
      </c>
      <c r="H11" s="329">
        <f t="shared" si="7"/>
        <v>0</v>
      </c>
      <c r="I11" s="329">
        <f t="shared" si="7"/>
        <v>2330000</v>
      </c>
      <c r="J11" s="329">
        <f t="shared" si="7"/>
        <v>0</v>
      </c>
      <c r="K11" s="329">
        <f t="shared" si="7"/>
        <v>0</v>
      </c>
      <c r="L11" s="317">
        <f t="shared" si="0"/>
        <v>2330000</v>
      </c>
      <c r="M11" s="317"/>
      <c r="N11" s="372">
        <f t="shared" si="5"/>
        <v>0</v>
      </c>
      <c r="O11" s="329">
        <f t="shared" ref="O11:P11" si="8">O12+O13</f>
        <v>2563000.0000000005</v>
      </c>
      <c r="P11" s="329">
        <f t="shared" si="8"/>
        <v>2819300.0000000009</v>
      </c>
      <c r="R11" s="317"/>
      <c r="U11" s="320"/>
    </row>
    <row r="12" spans="1:140" outlineLevel="3">
      <c r="A12" s="330"/>
      <c r="B12" s="330"/>
      <c r="C12" s="331">
        <v>2210101</v>
      </c>
      <c r="D12" s="332" t="s">
        <v>17</v>
      </c>
      <c r="E12" s="334">
        <f>350000*13-3000000</f>
        <v>1550000</v>
      </c>
      <c r="F12" s="334"/>
      <c r="G12" s="334"/>
      <c r="H12" s="334"/>
      <c r="I12" s="324">
        <f t="shared" si="2"/>
        <v>1550000</v>
      </c>
      <c r="J12" s="335"/>
      <c r="K12" s="335">
        <v>0</v>
      </c>
      <c r="L12" s="317">
        <f t="shared" si="0"/>
        <v>1550000</v>
      </c>
      <c r="M12" s="317"/>
      <c r="N12" s="372">
        <f t="shared" si="5"/>
        <v>0</v>
      </c>
      <c r="O12" s="336">
        <f>L12*1.1</f>
        <v>1705000.0000000002</v>
      </c>
      <c r="P12" s="336">
        <f t="shared" si="1"/>
        <v>1875500.0000000005</v>
      </c>
      <c r="R12" s="317"/>
      <c r="U12" s="320"/>
    </row>
    <row r="13" spans="1:140" outlineLevel="3">
      <c r="A13" s="330"/>
      <c r="B13" s="330"/>
      <c r="C13" s="331">
        <v>2210102</v>
      </c>
      <c r="D13" s="332" t="s">
        <v>18</v>
      </c>
      <c r="E13" s="334">
        <f>60000*13</f>
        <v>780000</v>
      </c>
      <c r="F13" s="334"/>
      <c r="G13" s="334"/>
      <c r="H13" s="334"/>
      <c r="I13" s="324">
        <f t="shared" si="2"/>
        <v>780000</v>
      </c>
      <c r="J13" s="335"/>
      <c r="K13" s="335"/>
      <c r="L13" s="317">
        <f t="shared" si="0"/>
        <v>780000</v>
      </c>
      <c r="M13" s="317"/>
      <c r="N13" s="372">
        <f t="shared" si="5"/>
        <v>0</v>
      </c>
      <c r="O13" s="336">
        <f>L13*1.1</f>
        <v>858000.00000000012</v>
      </c>
      <c r="P13" s="336">
        <f t="shared" si="1"/>
        <v>943800.00000000023</v>
      </c>
      <c r="R13" s="317"/>
      <c r="U13" s="320"/>
    </row>
    <row r="14" spans="1:140" s="337" customFormat="1" outlineLevel="3">
      <c r="A14" s="338"/>
      <c r="B14" s="338"/>
      <c r="C14" s="339" t="s">
        <v>19</v>
      </c>
      <c r="D14" s="340" t="s">
        <v>20</v>
      </c>
      <c r="E14" s="329">
        <f>E15+E16+E17</f>
        <v>1572000</v>
      </c>
      <c r="F14" s="329">
        <f t="shared" ref="F14:K14" si="9">F15+F16+F17</f>
        <v>0</v>
      </c>
      <c r="G14" s="329">
        <f t="shared" si="9"/>
        <v>0</v>
      </c>
      <c r="H14" s="329">
        <f t="shared" si="9"/>
        <v>0</v>
      </c>
      <c r="I14" s="329">
        <f t="shared" si="9"/>
        <v>1572000</v>
      </c>
      <c r="J14" s="329">
        <f t="shared" si="9"/>
        <v>0</v>
      </c>
      <c r="K14" s="329">
        <f t="shared" si="9"/>
        <v>-300000</v>
      </c>
      <c r="L14" s="317">
        <f t="shared" si="0"/>
        <v>1272000</v>
      </c>
      <c r="M14" s="317"/>
      <c r="N14" s="372">
        <f t="shared" si="5"/>
        <v>300000</v>
      </c>
      <c r="O14" s="329">
        <f t="shared" ref="O14:P14" si="10">O15+O16+O17</f>
        <v>1399200</v>
      </c>
      <c r="P14" s="329">
        <f t="shared" si="10"/>
        <v>1539120.0000000002</v>
      </c>
      <c r="R14" s="317"/>
      <c r="U14" s="320"/>
    </row>
    <row r="15" spans="1:140" outlineLevel="3">
      <c r="A15" s="330"/>
      <c r="B15" s="330"/>
      <c r="C15" s="331">
        <v>2210201</v>
      </c>
      <c r="D15" s="332" t="s">
        <v>21</v>
      </c>
      <c r="E15" s="334">
        <f>1392000-500000</f>
        <v>892000</v>
      </c>
      <c r="F15" s="334"/>
      <c r="G15" s="334"/>
      <c r="H15" s="334"/>
      <c r="I15" s="324">
        <f t="shared" si="2"/>
        <v>892000</v>
      </c>
      <c r="J15" s="335"/>
      <c r="K15" s="335"/>
      <c r="L15" s="317">
        <f t="shared" si="0"/>
        <v>892000</v>
      </c>
      <c r="M15" s="317"/>
      <c r="N15" s="372">
        <f t="shared" si="5"/>
        <v>0</v>
      </c>
      <c r="O15" s="336">
        <f>L15*1.1</f>
        <v>981200.00000000012</v>
      </c>
      <c r="P15" s="336">
        <f t="shared" si="1"/>
        <v>1079320.0000000002</v>
      </c>
      <c r="R15" s="317"/>
      <c r="U15" s="320"/>
    </row>
    <row r="16" spans="1:140" outlineLevel="3">
      <c r="A16" s="330"/>
      <c r="B16" s="330"/>
      <c r="C16" s="331">
        <v>2210202</v>
      </c>
      <c r="D16" s="332" t="s">
        <v>22</v>
      </c>
      <c r="E16" s="334">
        <v>580000</v>
      </c>
      <c r="F16" s="334"/>
      <c r="G16" s="334"/>
      <c r="H16" s="334"/>
      <c r="I16" s="324">
        <f t="shared" si="2"/>
        <v>580000</v>
      </c>
      <c r="J16" s="335"/>
      <c r="K16" s="335">
        <v>-300000</v>
      </c>
      <c r="L16" s="317">
        <f t="shared" si="0"/>
        <v>280000</v>
      </c>
      <c r="M16" s="317">
        <f>'[1]GOK_IFMIS_Vote_Book_290525 -VOT'!$L$18</f>
        <v>203000</v>
      </c>
      <c r="N16" s="372">
        <f>K16-M16</f>
        <v>-503000</v>
      </c>
      <c r="O16" s="336">
        <f>L16*1.1</f>
        <v>308000</v>
      </c>
      <c r="P16" s="336">
        <f t="shared" si="1"/>
        <v>338800</v>
      </c>
      <c r="R16" s="317"/>
      <c r="U16" s="320"/>
    </row>
    <row r="17" spans="1:21" outlineLevel="3">
      <c r="A17" s="330"/>
      <c r="B17" s="330"/>
      <c r="C17" s="331">
        <v>2210203</v>
      </c>
      <c r="D17" s="341" t="s">
        <v>23</v>
      </c>
      <c r="E17" s="334">
        <v>100000</v>
      </c>
      <c r="F17" s="334"/>
      <c r="G17" s="334"/>
      <c r="H17" s="334"/>
      <c r="I17" s="324">
        <f t="shared" si="2"/>
        <v>100000</v>
      </c>
      <c r="J17" s="335"/>
      <c r="K17" s="335"/>
      <c r="L17" s="317">
        <f t="shared" si="0"/>
        <v>100000</v>
      </c>
      <c r="M17" s="317"/>
      <c r="N17" s="372">
        <f t="shared" si="5"/>
        <v>0</v>
      </c>
      <c r="O17" s="336">
        <f>L17*1.1</f>
        <v>110000.00000000001</v>
      </c>
      <c r="P17" s="336">
        <f t="shared" si="1"/>
        <v>121000.00000000003</v>
      </c>
      <c r="R17" s="317"/>
      <c r="U17" s="320"/>
    </row>
    <row r="18" spans="1:21" s="337" customFormat="1" ht="31.2" outlineLevel="3">
      <c r="A18" s="338"/>
      <c r="B18" s="338"/>
      <c r="C18" s="339">
        <v>2210300</v>
      </c>
      <c r="D18" s="342" t="s">
        <v>24</v>
      </c>
      <c r="E18" s="329">
        <f>SUM(E19:E22)</f>
        <v>2240000</v>
      </c>
      <c r="F18" s="329">
        <f t="shared" ref="F18:K18" si="11">SUM(F19:F22)</f>
        <v>0</v>
      </c>
      <c r="G18" s="329">
        <f t="shared" si="11"/>
        <v>0</v>
      </c>
      <c r="H18" s="329">
        <f t="shared" si="11"/>
        <v>0</v>
      </c>
      <c r="I18" s="329">
        <f t="shared" si="11"/>
        <v>2240000</v>
      </c>
      <c r="J18" s="329">
        <f t="shared" si="11"/>
        <v>0</v>
      </c>
      <c r="K18" s="329">
        <f t="shared" si="11"/>
        <v>0</v>
      </c>
      <c r="L18" s="317">
        <f t="shared" si="0"/>
        <v>2240000</v>
      </c>
      <c r="M18" s="317"/>
      <c r="N18" s="372">
        <f t="shared" si="5"/>
        <v>0</v>
      </c>
      <c r="O18" s="329">
        <f t="shared" ref="O18:P18" si="12">SUM(O19:O22)</f>
        <v>2464000</v>
      </c>
      <c r="P18" s="329">
        <f t="shared" si="12"/>
        <v>2710400</v>
      </c>
      <c r="R18" s="317"/>
      <c r="U18" s="320"/>
    </row>
    <row r="19" spans="1:21" outlineLevel="3">
      <c r="A19" s="330"/>
      <c r="B19" s="330"/>
      <c r="C19" s="331">
        <v>2210301</v>
      </c>
      <c r="D19" s="341" t="s">
        <v>25</v>
      </c>
      <c r="E19" s="334">
        <f>1000000-500000</f>
        <v>500000</v>
      </c>
      <c r="F19" s="334"/>
      <c r="G19" s="334"/>
      <c r="H19" s="334"/>
      <c r="I19" s="324">
        <f t="shared" si="2"/>
        <v>500000</v>
      </c>
      <c r="J19" s="335">
        <v>0</v>
      </c>
      <c r="K19" s="335"/>
      <c r="L19" s="317">
        <f t="shared" si="0"/>
        <v>500000</v>
      </c>
      <c r="M19" s="317"/>
      <c r="N19" s="372">
        <f t="shared" si="5"/>
        <v>0</v>
      </c>
      <c r="O19" s="336">
        <f>L19*1.1</f>
        <v>550000</v>
      </c>
      <c r="P19" s="336">
        <f t="shared" si="1"/>
        <v>605000</v>
      </c>
      <c r="R19" s="317"/>
      <c r="U19" s="320"/>
    </row>
    <row r="20" spans="1:21" outlineLevel="3">
      <c r="A20" s="330"/>
      <c r="B20" s="330"/>
      <c r="C20" s="331">
        <v>2210302</v>
      </c>
      <c r="D20" s="341" t="s">
        <v>26</v>
      </c>
      <c r="E20" s="334">
        <v>500000</v>
      </c>
      <c r="F20" s="334"/>
      <c r="G20" s="334"/>
      <c r="H20" s="334"/>
      <c r="I20" s="324">
        <f t="shared" si="2"/>
        <v>500000</v>
      </c>
      <c r="J20" s="335"/>
      <c r="K20" s="335"/>
      <c r="L20" s="317">
        <f t="shared" si="0"/>
        <v>500000</v>
      </c>
      <c r="M20" s="317"/>
      <c r="N20" s="372">
        <f t="shared" si="5"/>
        <v>0</v>
      </c>
      <c r="O20" s="336">
        <f>L20*1.1</f>
        <v>550000</v>
      </c>
      <c r="P20" s="336">
        <f t="shared" si="1"/>
        <v>605000</v>
      </c>
      <c r="R20" s="317"/>
      <c r="U20" s="320"/>
    </row>
    <row r="21" spans="1:21" outlineLevel="3">
      <c r="A21" s="330"/>
      <c r="B21" s="330"/>
      <c r="C21" s="331">
        <v>2210303</v>
      </c>
      <c r="D21" s="341" t="s">
        <v>27</v>
      </c>
      <c r="E21" s="334">
        <f>1160000-500000</f>
        <v>660000</v>
      </c>
      <c r="F21" s="334"/>
      <c r="G21" s="334"/>
      <c r="H21" s="334"/>
      <c r="I21" s="324">
        <f t="shared" si="2"/>
        <v>660000</v>
      </c>
      <c r="J21" s="335">
        <v>0</v>
      </c>
      <c r="K21" s="335"/>
      <c r="L21" s="317">
        <f t="shared" si="0"/>
        <v>660000</v>
      </c>
      <c r="M21" s="317"/>
      <c r="N21" s="372">
        <f t="shared" si="5"/>
        <v>0</v>
      </c>
      <c r="O21" s="336">
        <f>L21*1.1</f>
        <v>726000.00000000012</v>
      </c>
      <c r="P21" s="336">
        <f t="shared" si="1"/>
        <v>798600.00000000023</v>
      </c>
      <c r="R21" s="317"/>
      <c r="U21" s="320"/>
    </row>
    <row r="22" spans="1:21" outlineLevel="3">
      <c r="A22" s="330"/>
      <c r="B22" s="330"/>
      <c r="C22" s="331">
        <v>2210304</v>
      </c>
      <c r="D22" s="341" t="s">
        <v>28</v>
      </c>
      <c r="E22" s="334">
        <v>580000</v>
      </c>
      <c r="F22" s="334"/>
      <c r="G22" s="334"/>
      <c r="H22" s="334"/>
      <c r="I22" s="324">
        <f t="shared" si="2"/>
        <v>580000</v>
      </c>
      <c r="J22" s="335"/>
      <c r="K22" s="335"/>
      <c r="L22" s="317">
        <f t="shared" si="0"/>
        <v>580000</v>
      </c>
      <c r="M22" s="317"/>
      <c r="N22" s="372">
        <f t="shared" si="5"/>
        <v>0</v>
      </c>
      <c r="O22" s="336">
        <f>L22*1.1</f>
        <v>638000</v>
      </c>
      <c r="P22" s="336">
        <f t="shared" si="1"/>
        <v>701800</v>
      </c>
      <c r="R22" s="317"/>
      <c r="U22" s="320"/>
    </row>
    <row r="23" spans="1:21" s="337" customFormat="1" outlineLevel="3">
      <c r="A23" s="338"/>
      <c r="B23" s="338"/>
      <c r="C23" s="339">
        <v>2210400</v>
      </c>
      <c r="D23" s="343" t="s">
        <v>29</v>
      </c>
      <c r="E23" s="329">
        <f>SUM(E24:E26)</f>
        <v>1740000</v>
      </c>
      <c r="F23" s="329">
        <f t="shared" ref="F23:K23" si="13">SUM(F24:F26)</f>
        <v>0</v>
      </c>
      <c r="G23" s="329">
        <f t="shared" si="13"/>
        <v>0</v>
      </c>
      <c r="H23" s="329">
        <f t="shared" si="13"/>
        <v>0</v>
      </c>
      <c r="I23" s="329">
        <f t="shared" si="13"/>
        <v>1740000</v>
      </c>
      <c r="J23" s="329">
        <f t="shared" si="13"/>
        <v>0</v>
      </c>
      <c r="K23" s="329">
        <f t="shared" si="13"/>
        <v>-1740000</v>
      </c>
      <c r="L23" s="317">
        <f t="shared" si="0"/>
        <v>0</v>
      </c>
      <c r="M23" s="317"/>
      <c r="N23" s="372">
        <f t="shared" si="5"/>
        <v>1740000</v>
      </c>
      <c r="O23" s="329">
        <f t="shared" ref="O23:P23" si="14">SUM(O24:O26)</f>
        <v>0</v>
      </c>
      <c r="P23" s="329">
        <f t="shared" si="14"/>
        <v>0</v>
      </c>
      <c r="R23" s="317"/>
      <c r="U23" s="320"/>
    </row>
    <row r="24" spans="1:21" outlineLevel="3">
      <c r="A24" s="330"/>
      <c r="B24" s="330"/>
      <c r="C24" s="331">
        <v>2210401</v>
      </c>
      <c r="D24" s="341" t="s">
        <v>25</v>
      </c>
      <c r="E24" s="334">
        <v>580000</v>
      </c>
      <c r="F24" s="334"/>
      <c r="G24" s="334"/>
      <c r="H24" s="334"/>
      <c r="I24" s="324">
        <f t="shared" si="2"/>
        <v>580000</v>
      </c>
      <c r="J24" s="335"/>
      <c r="K24" s="335">
        <v>-580000</v>
      </c>
      <c r="L24" s="317">
        <f t="shared" si="0"/>
        <v>0</v>
      </c>
      <c r="M24" s="317">
        <f>'[1]GOK_IFMIS_Vote_Book_290525 -VOT'!$L$24</f>
        <v>-79000</v>
      </c>
      <c r="N24" s="372">
        <f t="shared" si="5"/>
        <v>501000</v>
      </c>
      <c r="O24" s="336">
        <f>L24*1.1</f>
        <v>0</v>
      </c>
      <c r="P24" s="336">
        <f t="shared" ref="P24:P42" si="15">O24*1.1</f>
        <v>0</v>
      </c>
      <c r="R24" s="317"/>
      <c r="U24" s="320"/>
    </row>
    <row r="25" spans="1:21" outlineLevel="3">
      <c r="A25" s="330"/>
      <c r="B25" s="330"/>
      <c r="C25" s="331">
        <v>2210402</v>
      </c>
      <c r="D25" s="341" t="s">
        <v>30</v>
      </c>
      <c r="E25" s="334">
        <v>870000</v>
      </c>
      <c r="F25" s="334"/>
      <c r="G25" s="334"/>
      <c r="H25" s="334"/>
      <c r="I25" s="324">
        <f t="shared" si="2"/>
        <v>870000</v>
      </c>
      <c r="J25" s="335"/>
      <c r="K25" s="335">
        <v>-870000</v>
      </c>
      <c r="L25" s="317">
        <f t="shared" si="0"/>
        <v>0</v>
      </c>
      <c r="M25" s="317">
        <f>'[1]GOK_IFMIS_Vote_Book_290525 -VOT'!$L$25</f>
        <v>-328000</v>
      </c>
      <c r="N25" s="372">
        <f t="shared" si="5"/>
        <v>542000</v>
      </c>
      <c r="O25" s="336">
        <f>L25*1.1</f>
        <v>0</v>
      </c>
      <c r="P25" s="336">
        <f t="shared" si="15"/>
        <v>0</v>
      </c>
      <c r="R25" s="317"/>
      <c r="U25" s="320"/>
    </row>
    <row r="26" spans="1:21" outlineLevel="3">
      <c r="A26" s="330"/>
      <c r="B26" s="330"/>
      <c r="C26" s="331">
        <v>2210404</v>
      </c>
      <c r="D26" s="341" t="s">
        <v>28</v>
      </c>
      <c r="E26" s="334">
        <v>290000</v>
      </c>
      <c r="F26" s="334"/>
      <c r="G26" s="334"/>
      <c r="H26" s="334"/>
      <c r="I26" s="324">
        <f t="shared" si="2"/>
        <v>290000</v>
      </c>
      <c r="J26" s="335"/>
      <c r="K26" s="335">
        <v>-290000</v>
      </c>
      <c r="L26" s="317">
        <f t="shared" si="0"/>
        <v>0</v>
      </c>
      <c r="M26" s="317">
        <f>'[1]GOK_IFMIS_Vote_Book_290525 -VOT'!$L$26</f>
        <v>0</v>
      </c>
      <c r="N26" s="372">
        <f t="shared" si="5"/>
        <v>290000</v>
      </c>
      <c r="O26" s="336">
        <f>L26*1.1</f>
        <v>0</v>
      </c>
      <c r="P26" s="336">
        <f t="shared" si="15"/>
        <v>0</v>
      </c>
      <c r="R26" s="317"/>
      <c r="U26" s="320"/>
    </row>
    <row r="27" spans="1:21" s="337" customFormat="1" outlineLevel="3">
      <c r="A27" s="338"/>
      <c r="B27" s="338"/>
      <c r="C27" s="339">
        <v>2210500</v>
      </c>
      <c r="D27" s="343" t="s">
        <v>31</v>
      </c>
      <c r="E27" s="329">
        <f>SUM(E28:E30)</f>
        <v>1600000</v>
      </c>
      <c r="F27" s="329">
        <f t="shared" ref="F27:K27" si="16">SUM(F28:F30)</f>
        <v>0</v>
      </c>
      <c r="G27" s="329">
        <f t="shared" si="16"/>
        <v>0</v>
      </c>
      <c r="H27" s="329">
        <f t="shared" si="16"/>
        <v>0</v>
      </c>
      <c r="I27" s="329">
        <f t="shared" si="16"/>
        <v>1600000</v>
      </c>
      <c r="J27" s="329">
        <f t="shared" si="16"/>
        <v>0</v>
      </c>
      <c r="K27" s="329">
        <f t="shared" si="16"/>
        <v>0</v>
      </c>
      <c r="L27" s="317">
        <f t="shared" si="0"/>
        <v>1600000</v>
      </c>
      <c r="M27" s="317"/>
      <c r="N27" s="372">
        <f t="shared" si="5"/>
        <v>0</v>
      </c>
      <c r="O27" s="329">
        <f t="shared" ref="O27:P27" si="17">SUM(O28:O30)</f>
        <v>1760000</v>
      </c>
      <c r="P27" s="329">
        <f t="shared" si="17"/>
        <v>1936000</v>
      </c>
      <c r="R27" s="317"/>
      <c r="U27" s="320"/>
    </row>
    <row r="28" spans="1:21" outlineLevel="3">
      <c r="A28" s="330"/>
      <c r="B28" s="330"/>
      <c r="C28" s="331">
        <v>2210503</v>
      </c>
      <c r="D28" s="341" t="s">
        <v>32</v>
      </c>
      <c r="E28" s="334">
        <v>600000</v>
      </c>
      <c r="F28" s="334"/>
      <c r="G28" s="334"/>
      <c r="H28" s="334"/>
      <c r="I28" s="324">
        <f t="shared" si="2"/>
        <v>600000</v>
      </c>
      <c r="J28" s="335"/>
      <c r="K28" s="335"/>
      <c r="L28" s="317">
        <f t="shared" si="0"/>
        <v>600000</v>
      </c>
      <c r="M28" s="317"/>
      <c r="N28" s="372">
        <f t="shared" si="5"/>
        <v>0</v>
      </c>
      <c r="O28" s="336">
        <f>L28*1.1</f>
        <v>660000</v>
      </c>
      <c r="P28" s="336">
        <f t="shared" si="15"/>
        <v>726000.00000000012</v>
      </c>
      <c r="R28" s="317"/>
      <c r="U28" s="320"/>
    </row>
    <row r="29" spans="1:21" outlineLevel="3">
      <c r="A29" s="330"/>
      <c r="B29" s="330"/>
      <c r="C29" s="331">
        <v>2210504</v>
      </c>
      <c r="D29" s="341" t="s">
        <v>33</v>
      </c>
      <c r="E29" s="334">
        <v>500000</v>
      </c>
      <c r="F29" s="334"/>
      <c r="G29" s="334"/>
      <c r="H29" s="334"/>
      <c r="I29" s="324">
        <f t="shared" si="2"/>
        <v>500000</v>
      </c>
      <c r="J29" s="335"/>
      <c r="K29" s="335"/>
      <c r="L29" s="317">
        <f t="shared" si="0"/>
        <v>500000</v>
      </c>
      <c r="M29" s="317"/>
      <c r="N29" s="372">
        <f t="shared" si="5"/>
        <v>0</v>
      </c>
      <c r="O29" s="336">
        <f>L29*1.1</f>
        <v>550000</v>
      </c>
      <c r="P29" s="336">
        <f t="shared" si="15"/>
        <v>605000</v>
      </c>
      <c r="R29" s="317"/>
      <c r="U29" s="320"/>
    </row>
    <row r="30" spans="1:21" outlineLevel="3">
      <c r="A30" s="330"/>
      <c r="B30" s="330"/>
      <c r="C30" s="331">
        <v>2210599</v>
      </c>
      <c r="D30" s="341" t="s">
        <v>34</v>
      </c>
      <c r="E30" s="334">
        <v>500000</v>
      </c>
      <c r="F30" s="334"/>
      <c r="G30" s="334"/>
      <c r="H30" s="334"/>
      <c r="I30" s="324">
        <f t="shared" si="2"/>
        <v>500000</v>
      </c>
      <c r="J30" s="335"/>
      <c r="K30" s="335"/>
      <c r="L30" s="317">
        <f t="shared" si="0"/>
        <v>500000</v>
      </c>
      <c r="M30" s="317"/>
      <c r="N30" s="372">
        <f t="shared" si="5"/>
        <v>0</v>
      </c>
      <c r="O30" s="336">
        <f>L30*1.1</f>
        <v>550000</v>
      </c>
      <c r="P30" s="336">
        <f t="shared" si="15"/>
        <v>605000</v>
      </c>
      <c r="R30" s="317"/>
      <c r="U30" s="320"/>
    </row>
    <row r="31" spans="1:21" s="337" customFormat="1" outlineLevel="3">
      <c r="A31" s="338"/>
      <c r="B31" s="338"/>
      <c r="C31" s="339">
        <v>2210700</v>
      </c>
      <c r="D31" s="343" t="s">
        <v>35</v>
      </c>
      <c r="E31" s="329">
        <f>SUM(E32:E37)</f>
        <v>2756000</v>
      </c>
      <c r="F31" s="329">
        <f t="shared" ref="F31:P31" si="18">SUM(F32:F37)</f>
        <v>0</v>
      </c>
      <c r="G31" s="329">
        <f t="shared" si="18"/>
        <v>0</v>
      </c>
      <c r="H31" s="329">
        <f t="shared" si="18"/>
        <v>0</v>
      </c>
      <c r="I31" s="329">
        <f t="shared" si="18"/>
        <v>2756000</v>
      </c>
      <c r="J31" s="329">
        <f t="shared" si="18"/>
        <v>0</v>
      </c>
      <c r="K31" s="329">
        <f t="shared" si="18"/>
        <v>-267200</v>
      </c>
      <c r="L31" s="317">
        <f t="shared" si="0"/>
        <v>2488800</v>
      </c>
      <c r="M31" s="317"/>
      <c r="N31" s="372">
        <f t="shared" si="5"/>
        <v>267200</v>
      </c>
      <c r="O31" s="329">
        <f t="shared" si="18"/>
        <v>2737680</v>
      </c>
      <c r="P31" s="329">
        <f t="shared" si="18"/>
        <v>3011448</v>
      </c>
      <c r="R31" s="317"/>
      <c r="U31" s="320"/>
    </row>
    <row r="32" spans="1:21" outlineLevel="3">
      <c r="A32" s="330"/>
      <c r="B32" s="330"/>
      <c r="C32" s="332">
        <v>2210701</v>
      </c>
      <c r="D32" s="332" t="s">
        <v>36</v>
      </c>
      <c r="E32" s="334">
        <v>500000</v>
      </c>
      <c r="F32" s="334"/>
      <c r="G32" s="334"/>
      <c r="H32" s="334"/>
      <c r="I32" s="324">
        <f t="shared" si="2"/>
        <v>500000</v>
      </c>
      <c r="J32" s="335"/>
      <c r="K32" s="335"/>
      <c r="L32" s="317">
        <f t="shared" si="0"/>
        <v>500000</v>
      </c>
      <c r="M32" s="317"/>
      <c r="N32" s="372">
        <f t="shared" si="5"/>
        <v>0</v>
      </c>
      <c r="O32" s="336">
        <f t="shared" ref="O32:O37" si="19">L32*1.1</f>
        <v>550000</v>
      </c>
      <c r="P32" s="336">
        <f t="shared" si="15"/>
        <v>605000</v>
      </c>
      <c r="R32" s="317"/>
      <c r="U32" s="320"/>
    </row>
    <row r="33" spans="1:23" outlineLevel="3">
      <c r="A33" s="330"/>
      <c r="B33" s="330"/>
      <c r="C33" s="332">
        <v>2210702</v>
      </c>
      <c r="D33" s="332" t="s">
        <v>37</v>
      </c>
      <c r="E33" s="334">
        <v>500000</v>
      </c>
      <c r="F33" s="334"/>
      <c r="G33" s="334"/>
      <c r="H33" s="334"/>
      <c r="I33" s="324">
        <f t="shared" si="2"/>
        <v>500000</v>
      </c>
      <c r="J33" s="335"/>
      <c r="K33" s="335">
        <v>-267200</v>
      </c>
      <c r="L33" s="317">
        <f t="shared" si="0"/>
        <v>232800</v>
      </c>
      <c r="M33" s="317">
        <f>'[1]GOK_IFMIS_Vote_Book_290525 -VOT'!$L$31</f>
        <v>244600</v>
      </c>
      <c r="N33" s="372">
        <f t="shared" si="5"/>
        <v>511800</v>
      </c>
      <c r="O33" s="336">
        <f t="shared" si="19"/>
        <v>256080.00000000003</v>
      </c>
      <c r="P33" s="336">
        <f t="shared" si="15"/>
        <v>281688.00000000006</v>
      </c>
      <c r="R33" s="317"/>
      <c r="U33" s="320"/>
    </row>
    <row r="34" spans="1:23" outlineLevel="3">
      <c r="A34" s="330"/>
      <c r="B34" s="330"/>
      <c r="C34" s="332">
        <v>2210704</v>
      </c>
      <c r="D34" s="332" t="s">
        <v>38</v>
      </c>
      <c r="E34" s="334">
        <v>300000</v>
      </c>
      <c r="F34" s="334"/>
      <c r="G34" s="334"/>
      <c r="H34" s="334"/>
      <c r="I34" s="324">
        <f t="shared" si="2"/>
        <v>300000</v>
      </c>
      <c r="J34" s="335"/>
      <c r="K34" s="335"/>
      <c r="L34" s="317">
        <f t="shared" si="0"/>
        <v>300000</v>
      </c>
      <c r="M34" s="317"/>
      <c r="N34" s="372">
        <f t="shared" si="5"/>
        <v>0</v>
      </c>
      <c r="O34" s="336">
        <f t="shared" si="19"/>
        <v>330000</v>
      </c>
      <c r="P34" s="336">
        <f t="shared" si="15"/>
        <v>363000.00000000006</v>
      </c>
      <c r="R34" s="317"/>
      <c r="U34" s="320"/>
    </row>
    <row r="35" spans="1:23" outlineLevel="3">
      <c r="A35" s="330"/>
      <c r="B35" s="330"/>
      <c r="C35" s="332">
        <v>2210710</v>
      </c>
      <c r="D35" s="332" t="s">
        <v>39</v>
      </c>
      <c r="E35" s="334">
        <v>600000</v>
      </c>
      <c r="F35" s="334"/>
      <c r="G35" s="334"/>
      <c r="H35" s="334"/>
      <c r="I35" s="324">
        <f t="shared" si="2"/>
        <v>600000</v>
      </c>
      <c r="J35" s="335"/>
      <c r="K35" s="335"/>
      <c r="L35" s="317">
        <f t="shared" si="0"/>
        <v>600000</v>
      </c>
      <c r="M35" s="317"/>
      <c r="N35" s="372">
        <f t="shared" si="5"/>
        <v>0</v>
      </c>
      <c r="O35" s="336">
        <f t="shared" si="19"/>
        <v>660000</v>
      </c>
      <c r="P35" s="336">
        <f t="shared" si="15"/>
        <v>726000.00000000012</v>
      </c>
      <c r="R35" s="317"/>
      <c r="U35" s="320"/>
    </row>
    <row r="36" spans="1:23" outlineLevel="3">
      <c r="A36" s="330"/>
      <c r="B36" s="330"/>
      <c r="C36" s="332">
        <v>2210715</v>
      </c>
      <c r="D36" s="332" t="s">
        <v>40</v>
      </c>
      <c r="E36" s="334">
        <f>580000+500000-500000</f>
        <v>580000</v>
      </c>
      <c r="F36" s="334"/>
      <c r="G36" s="334"/>
      <c r="H36" s="334"/>
      <c r="I36" s="324">
        <f t="shared" si="2"/>
        <v>580000</v>
      </c>
      <c r="J36" s="335"/>
      <c r="K36" s="335"/>
      <c r="L36" s="317">
        <f t="shared" si="0"/>
        <v>580000</v>
      </c>
      <c r="M36" s="317"/>
      <c r="N36" s="372">
        <f t="shared" si="5"/>
        <v>0</v>
      </c>
      <c r="O36" s="336">
        <f t="shared" si="19"/>
        <v>638000</v>
      </c>
      <c r="P36" s="336">
        <f t="shared" si="15"/>
        <v>701800</v>
      </c>
      <c r="R36" s="317"/>
      <c r="U36" s="320"/>
    </row>
    <row r="37" spans="1:23" outlineLevel="3">
      <c r="A37" s="330"/>
      <c r="B37" s="330"/>
      <c r="C37" s="332">
        <v>2210799</v>
      </c>
      <c r="D37" s="332" t="s">
        <v>41</v>
      </c>
      <c r="E37" s="334">
        <f>1276000-1000000</f>
        <v>276000</v>
      </c>
      <c r="F37" s="334"/>
      <c r="G37" s="334"/>
      <c r="H37" s="334"/>
      <c r="I37" s="324">
        <f t="shared" si="2"/>
        <v>276000</v>
      </c>
      <c r="J37" s="335"/>
      <c r="K37" s="335"/>
      <c r="L37" s="317">
        <f t="shared" si="0"/>
        <v>276000</v>
      </c>
      <c r="M37" s="317"/>
      <c r="N37" s="372">
        <f t="shared" si="5"/>
        <v>0</v>
      </c>
      <c r="O37" s="336">
        <f t="shared" si="19"/>
        <v>303600</v>
      </c>
      <c r="P37" s="336">
        <f t="shared" si="15"/>
        <v>333960</v>
      </c>
      <c r="R37" s="317"/>
      <c r="U37" s="320"/>
    </row>
    <row r="38" spans="1:23" s="337" customFormat="1" outlineLevel="3">
      <c r="A38" s="338"/>
      <c r="B38" s="338"/>
      <c r="C38" s="339">
        <v>2210800</v>
      </c>
      <c r="D38" s="343" t="s">
        <v>42</v>
      </c>
      <c r="E38" s="329">
        <f>SUM(E39:E43)</f>
        <v>15040000</v>
      </c>
      <c r="F38" s="329">
        <f t="shared" ref="F38:K38" si="20">SUM(F39:F43)</f>
        <v>0</v>
      </c>
      <c r="G38" s="329">
        <f t="shared" si="20"/>
        <v>0</v>
      </c>
      <c r="H38" s="329">
        <f t="shared" si="20"/>
        <v>-6000000</v>
      </c>
      <c r="I38" s="329">
        <f t="shared" si="20"/>
        <v>9040000</v>
      </c>
      <c r="J38" s="329">
        <f t="shared" si="20"/>
        <v>0</v>
      </c>
      <c r="K38" s="329">
        <f t="shared" si="20"/>
        <v>0</v>
      </c>
      <c r="L38" s="317">
        <f t="shared" si="0"/>
        <v>9040000</v>
      </c>
      <c r="M38" s="317"/>
      <c r="N38" s="372">
        <f t="shared" si="5"/>
        <v>0</v>
      </c>
      <c r="O38" s="329">
        <f t="shared" ref="O38:P38" si="21">SUM(O39:O43)</f>
        <v>9538000</v>
      </c>
      <c r="P38" s="329">
        <f t="shared" si="21"/>
        <v>10085800.000000002</v>
      </c>
      <c r="R38" s="317"/>
      <c r="U38" s="320"/>
    </row>
    <row r="39" spans="1:23" outlineLevel="3">
      <c r="A39" s="330"/>
      <c r="B39" s="330"/>
      <c r="C39" s="331">
        <v>2210801</v>
      </c>
      <c r="D39" s="341" t="s">
        <v>1527</v>
      </c>
      <c r="E39" s="334">
        <f>1500000-500000+1000000+500000+360000+120000</f>
        <v>2980000</v>
      </c>
      <c r="F39" s="334"/>
      <c r="G39" s="334"/>
      <c r="H39" s="334"/>
      <c r="I39" s="324">
        <f t="shared" si="2"/>
        <v>2980000</v>
      </c>
      <c r="J39" s="335"/>
      <c r="K39" s="335"/>
      <c r="L39" s="317">
        <f t="shared" si="0"/>
        <v>2980000</v>
      </c>
      <c r="M39" s="317"/>
      <c r="N39" s="372">
        <f t="shared" si="5"/>
        <v>0</v>
      </c>
      <c r="O39" s="336">
        <f>L39*1.1</f>
        <v>3278000.0000000005</v>
      </c>
      <c r="P39" s="336">
        <f t="shared" si="15"/>
        <v>3605800.0000000009</v>
      </c>
      <c r="R39" s="317"/>
      <c r="U39" s="320"/>
    </row>
    <row r="40" spans="1:23" s="344" customFormat="1" outlineLevel="3">
      <c r="A40" s="345"/>
      <c r="B40" s="345"/>
      <c r="C40" s="346">
        <v>2210801</v>
      </c>
      <c r="D40" s="347" t="s">
        <v>2420</v>
      </c>
      <c r="E40" s="348">
        <f>1500000</f>
        <v>1500000</v>
      </c>
      <c r="F40" s="348"/>
      <c r="G40" s="348"/>
      <c r="H40" s="348"/>
      <c r="I40" s="324">
        <f t="shared" si="2"/>
        <v>1500000</v>
      </c>
      <c r="J40" s="335">
        <v>0</v>
      </c>
      <c r="K40" s="335"/>
      <c r="L40" s="317">
        <f t="shared" si="0"/>
        <v>1500000</v>
      </c>
      <c r="M40" s="317"/>
      <c r="N40" s="372">
        <f t="shared" si="5"/>
        <v>0</v>
      </c>
      <c r="O40" s="349">
        <f>L40*1.1</f>
        <v>1650000.0000000002</v>
      </c>
      <c r="P40" s="349">
        <f t="shared" si="15"/>
        <v>1815000.0000000005</v>
      </c>
      <c r="R40" s="317"/>
      <c r="U40" s="320"/>
    </row>
    <row r="41" spans="1:23" outlineLevel="3">
      <c r="A41" s="330"/>
      <c r="B41" s="330"/>
      <c r="C41" s="331">
        <v>2210805</v>
      </c>
      <c r="D41" s="341" t="s">
        <v>1529</v>
      </c>
      <c r="E41" s="333">
        <v>6000000</v>
      </c>
      <c r="F41" s="334"/>
      <c r="G41" s="334"/>
      <c r="H41" s="334">
        <v>-6000000</v>
      </c>
      <c r="I41" s="324">
        <f t="shared" si="2"/>
        <v>0</v>
      </c>
      <c r="J41" s="335">
        <v>0</v>
      </c>
      <c r="K41" s="335"/>
      <c r="L41" s="317">
        <f t="shared" si="0"/>
        <v>0</v>
      </c>
      <c r="M41" s="317"/>
      <c r="N41" s="372">
        <f t="shared" si="5"/>
        <v>0</v>
      </c>
      <c r="O41" s="336">
        <f>L41*1.1</f>
        <v>0</v>
      </c>
      <c r="P41" s="336">
        <f t="shared" si="15"/>
        <v>0</v>
      </c>
      <c r="R41" s="317"/>
      <c r="U41" s="320"/>
    </row>
    <row r="42" spans="1:23" outlineLevel="3">
      <c r="A42" s="330"/>
      <c r="B42" s="330"/>
      <c r="C42" s="331">
        <v>2210802</v>
      </c>
      <c r="D42" s="341" t="s">
        <v>45</v>
      </c>
      <c r="E42" s="334">
        <f>1000000-500000</f>
        <v>500000</v>
      </c>
      <c r="F42" s="334"/>
      <c r="G42" s="334"/>
      <c r="H42" s="334"/>
      <c r="I42" s="324">
        <f t="shared" si="2"/>
        <v>500000</v>
      </c>
      <c r="J42" s="335"/>
      <c r="K42" s="335"/>
      <c r="L42" s="317">
        <f t="shared" si="0"/>
        <v>500000</v>
      </c>
      <c r="M42" s="317"/>
      <c r="N42" s="372">
        <f t="shared" si="5"/>
        <v>0</v>
      </c>
      <c r="O42" s="336">
        <f>L42*1.1</f>
        <v>550000</v>
      </c>
      <c r="P42" s="336">
        <f t="shared" si="15"/>
        <v>605000</v>
      </c>
      <c r="R42" s="317"/>
      <c r="U42" s="320"/>
    </row>
    <row r="43" spans="1:23" s="350" customFormat="1" outlineLevel="3">
      <c r="A43" s="330"/>
      <c r="B43" s="330"/>
      <c r="C43" s="331">
        <v>2210899</v>
      </c>
      <c r="D43" s="341" t="s">
        <v>1530</v>
      </c>
      <c r="E43" s="334">
        <v>4060000</v>
      </c>
      <c r="F43" s="334"/>
      <c r="G43" s="334"/>
      <c r="H43" s="334"/>
      <c r="I43" s="324">
        <f t="shared" si="2"/>
        <v>4060000</v>
      </c>
      <c r="J43" s="335"/>
      <c r="K43" s="335"/>
      <c r="L43" s="317">
        <f t="shared" si="0"/>
        <v>4060000</v>
      </c>
      <c r="M43" s="317"/>
      <c r="N43" s="372">
        <f t="shared" si="5"/>
        <v>0</v>
      </c>
      <c r="O43" s="351">
        <v>4060000</v>
      </c>
      <c r="P43" s="351">
        <v>4060000</v>
      </c>
      <c r="R43" s="317"/>
      <c r="U43" s="320"/>
    </row>
    <row r="44" spans="1:23" s="337" customFormat="1" outlineLevel="3">
      <c r="A44" s="338"/>
      <c r="B44" s="338"/>
      <c r="C44" s="339">
        <v>2210900</v>
      </c>
      <c r="D44" s="343" t="s">
        <v>46</v>
      </c>
      <c r="E44" s="329">
        <f>SUM(E45:E47)</f>
        <v>211850130</v>
      </c>
      <c r="F44" s="329">
        <f t="shared" ref="F44:K44" si="22">SUM(F45:F47)</f>
        <v>0</v>
      </c>
      <c r="G44" s="329">
        <f t="shared" si="22"/>
        <v>104650365</v>
      </c>
      <c r="H44" s="329">
        <f t="shared" si="22"/>
        <v>7000000</v>
      </c>
      <c r="I44" s="329">
        <f t="shared" si="22"/>
        <v>323500495</v>
      </c>
      <c r="J44" s="329">
        <f t="shared" si="22"/>
        <v>-7000000</v>
      </c>
      <c r="K44" s="329">
        <f t="shared" si="22"/>
        <v>0</v>
      </c>
      <c r="L44" s="317">
        <f t="shared" si="0"/>
        <v>316500495</v>
      </c>
      <c r="M44" s="317"/>
      <c r="N44" s="372">
        <f t="shared" si="5"/>
        <v>0</v>
      </c>
      <c r="O44" s="329">
        <f t="shared" ref="O44:P44" si="23">SUM(O45:O47)</f>
        <v>348150544.5</v>
      </c>
      <c r="P44" s="329">
        <f t="shared" si="23"/>
        <v>382965598.95000005</v>
      </c>
      <c r="R44" s="317"/>
      <c r="U44" s="320"/>
    </row>
    <row r="45" spans="1:23" outlineLevel="3">
      <c r="A45" s="330"/>
      <c r="B45" s="330"/>
      <c r="C45" s="331">
        <v>2210902</v>
      </c>
      <c r="D45" s="341" t="s">
        <v>47</v>
      </c>
      <c r="E45" s="333">
        <v>1000000</v>
      </c>
      <c r="F45" s="334"/>
      <c r="G45" s="334"/>
      <c r="H45" s="334"/>
      <c r="I45" s="324">
        <f t="shared" si="2"/>
        <v>1000000</v>
      </c>
      <c r="J45" s="335"/>
      <c r="K45" s="335"/>
      <c r="L45" s="317">
        <f t="shared" si="0"/>
        <v>1000000</v>
      </c>
      <c r="M45" s="317"/>
      <c r="N45" s="372">
        <f t="shared" si="5"/>
        <v>0</v>
      </c>
      <c r="O45" s="336">
        <f>L45*1.1</f>
        <v>1100000</v>
      </c>
      <c r="P45" s="336">
        <f t="shared" ref="P45:P62" si="24">O45*1.1</f>
        <v>1210000</v>
      </c>
      <c r="R45" s="317"/>
      <c r="U45" s="320"/>
    </row>
    <row r="46" spans="1:23" s="365" customFormat="1" outlineLevel="3">
      <c r="A46" s="2228"/>
      <c r="B46" s="2228"/>
      <c r="C46" s="2229">
        <v>2210904</v>
      </c>
      <c r="D46" s="2230" t="s">
        <v>48</v>
      </c>
      <c r="E46" s="2231">
        <f>40000000-18000000+3000000+15000000-149870</f>
        <v>39850130</v>
      </c>
      <c r="F46" s="2232"/>
      <c r="G46" s="2232">
        <v>-18000000</v>
      </c>
      <c r="H46" s="2232"/>
      <c r="I46" s="370">
        <f t="shared" si="2"/>
        <v>21850130</v>
      </c>
      <c r="J46" s="371"/>
      <c r="K46" s="371"/>
      <c r="L46" s="372">
        <f t="shared" si="0"/>
        <v>21850130</v>
      </c>
      <c r="M46" s="372"/>
      <c r="N46" s="372">
        <f t="shared" si="5"/>
        <v>0</v>
      </c>
      <c r="O46" s="373">
        <f>L46*1.1</f>
        <v>24035143.000000004</v>
      </c>
      <c r="P46" s="373">
        <f t="shared" si="24"/>
        <v>26438657.300000004</v>
      </c>
      <c r="R46" s="372"/>
      <c r="U46" s="2227"/>
      <c r="V46" s="365">
        <v>21850130</v>
      </c>
      <c r="W46" s="374">
        <f>L46-V46</f>
        <v>0</v>
      </c>
    </row>
    <row r="47" spans="1:23" s="2226" customFormat="1" outlineLevel="3">
      <c r="A47" s="2223"/>
      <c r="B47" s="2223"/>
      <c r="C47" s="367">
        <v>2210910</v>
      </c>
      <c r="D47" s="368" t="s">
        <v>1531</v>
      </c>
      <c r="E47" s="2224">
        <f>175000000-4000000</f>
        <v>171000000</v>
      </c>
      <c r="F47" s="369"/>
      <c r="G47" s="369">
        <v>122650365</v>
      </c>
      <c r="H47" s="369">
        <v>7000000</v>
      </c>
      <c r="I47" s="370">
        <f t="shared" si="2"/>
        <v>300650365</v>
      </c>
      <c r="J47" s="371">
        <v>-7000000</v>
      </c>
      <c r="K47" s="371">
        <v>0</v>
      </c>
      <c r="L47" s="372">
        <f t="shared" si="0"/>
        <v>293650365</v>
      </c>
      <c r="M47" s="989"/>
      <c r="N47" s="372">
        <f t="shared" si="5"/>
        <v>0</v>
      </c>
      <c r="O47" s="2225">
        <f>L47*1.1</f>
        <v>323015401.5</v>
      </c>
      <c r="P47" s="373">
        <f t="shared" si="24"/>
        <v>355316941.65000004</v>
      </c>
      <c r="R47" s="372"/>
      <c r="T47" s="2233">
        <f>G47-180000000</f>
        <v>-57349635</v>
      </c>
      <c r="U47" s="2227"/>
      <c r="V47" s="2226">
        <v>293650365</v>
      </c>
      <c r="W47" s="2233">
        <f>L47-V47</f>
        <v>0</v>
      </c>
    </row>
    <row r="48" spans="1:23" s="337" customFormat="1" outlineLevel="3">
      <c r="A48" s="358"/>
      <c r="B48" s="358"/>
      <c r="C48" s="359">
        <v>2211100</v>
      </c>
      <c r="D48" s="360" t="s">
        <v>51</v>
      </c>
      <c r="E48" s="361">
        <f>SUM(E49:E51)</f>
        <v>1690000</v>
      </c>
      <c r="F48" s="361">
        <f t="shared" ref="F48:K48" si="25">SUM(F49:F51)</f>
        <v>0</v>
      </c>
      <c r="G48" s="361">
        <f t="shared" si="25"/>
        <v>0</v>
      </c>
      <c r="H48" s="361">
        <f t="shared" si="25"/>
        <v>0</v>
      </c>
      <c r="I48" s="361">
        <f t="shared" si="25"/>
        <v>1690000</v>
      </c>
      <c r="J48" s="361">
        <f t="shared" si="25"/>
        <v>0</v>
      </c>
      <c r="K48" s="361">
        <f t="shared" si="25"/>
        <v>0</v>
      </c>
      <c r="L48" s="317">
        <f t="shared" si="0"/>
        <v>1690000</v>
      </c>
      <c r="M48" s="2211"/>
      <c r="N48" s="372">
        <f t="shared" si="5"/>
        <v>0</v>
      </c>
      <c r="O48" s="361">
        <f t="shared" ref="O48:P48" si="26">SUM(O49:O51)</f>
        <v>1859000</v>
      </c>
      <c r="P48" s="361">
        <f t="shared" si="26"/>
        <v>2044900</v>
      </c>
      <c r="R48" s="317"/>
      <c r="U48" s="320"/>
    </row>
    <row r="49" spans="1:21" outlineLevel="3">
      <c r="A49" s="330"/>
      <c r="B49" s="330"/>
      <c r="C49" s="331">
        <v>2211101</v>
      </c>
      <c r="D49" s="341" t="s">
        <v>289</v>
      </c>
      <c r="E49" s="334">
        <f>580000+1000000-1000000</f>
        <v>580000</v>
      </c>
      <c r="F49" s="334"/>
      <c r="G49" s="334"/>
      <c r="H49" s="334"/>
      <c r="I49" s="324">
        <f t="shared" si="2"/>
        <v>580000</v>
      </c>
      <c r="J49" s="335">
        <v>0</v>
      </c>
      <c r="K49" s="335"/>
      <c r="L49" s="317">
        <f t="shared" si="0"/>
        <v>580000</v>
      </c>
      <c r="M49" s="317"/>
      <c r="N49" s="372">
        <f t="shared" si="5"/>
        <v>0</v>
      </c>
      <c r="O49" s="336">
        <f>L49*1.1</f>
        <v>638000</v>
      </c>
      <c r="P49" s="336">
        <f t="shared" si="24"/>
        <v>701800</v>
      </c>
      <c r="R49" s="317"/>
      <c r="U49" s="320"/>
    </row>
    <row r="50" spans="1:21" s="337" customFormat="1" outlineLevel="3">
      <c r="A50" s="338"/>
      <c r="B50" s="338"/>
      <c r="C50" s="331">
        <v>2211102</v>
      </c>
      <c r="D50" s="341" t="s">
        <v>53</v>
      </c>
      <c r="E50" s="334">
        <f>580000+1000000-1000000</f>
        <v>580000</v>
      </c>
      <c r="F50" s="334"/>
      <c r="G50" s="334"/>
      <c r="H50" s="334"/>
      <c r="I50" s="324">
        <f t="shared" si="2"/>
        <v>580000</v>
      </c>
      <c r="J50" s="335"/>
      <c r="K50" s="335"/>
      <c r="L50" s="317">
        <f t="shared" si="0"/>
        <v>580000</v>
      </c>
      <c r="M50" s="317"/>
      <c r="N50" s="372">
        <f t="shared" si="5"/>
        <v>0</v>
      </c>
      <c r="O50" s="336">
        <f>L50*1.1</f>
        <v>638000</v>
      </c>
      <c r="P50" s="336">
        <f t="shared" si="24"/>
        <v>701800</v>
      </c>
      <c r="R50" s="317"/>
      <c r="U50" s="320"/>
    </row>
    <row r="51" spans="1:21" outlineLevel="3">
      <c r="A51" s="330"/>
      <c r="B51" s="330"/>
      <c r="C51" s="331">
        <v>2211103</v>
      </c>
      <c r="D51" s="341" t="s">
        <v>54</v>
      </c>
      <c r="E51" s="334">
        <f>290000+740000-500000</f>
        <v>530000</v>
      </c>
      <c r="F51" s="334"/>
      <c r="G51" s="334"/>
      <c r="H51" s="334"/>
      <c r="I51" s="324">
        <f t="shared" si="2"/>
        <v>530000</v>
      </c>
      <c r="J51" s="335">
        <v>0</v>
      </c>
      <c r="K51" s="335"/>
      <c r="L51" s="317">
        <f t="shared" si="0"/>
        <v>530000</v>
      </c>
      <c r="M51" s="317"/>
      <c r="N51" s="372">
        <f t="shared" si="5"/>
        <v>0</v>
      </c>
      <c r="O51" s="336">
        <f>L51*1.1</f>
        <v>583000</v>
      </c>
      <c r="P51" s="336">
        <f t="shared" si="24"/>
        <v>641300</v>
      </c>
      <c r="R51" s="317"/>
      <c r="U51" s="320"/>
    </row>
    <row r="52" spans="1:21" outlineLevel="3">
      <c r="A52" s="330"/>
      <c r="B52" s="330"/>
      <c r="C52" s="339">
        <v>2211200</v>
      </c>
      <c r="D52" s="343" t="s">
        <v>55</v>
      </c>
      <c r="E52" s="329">
        <f>SUM(E53)</f>
        <v>4860000</v>
      </c>
      <c r="F52" s="329">
        <f t="shared" ref="F52:I52" si="27">SUM(F53)</f>
        <v>0</v>
      </c>
      <c r="G52" s="329">
        <f t="shared" si="27"/>
        <v>0</v>
      </c>
      <c r="H52" s="329">
        <f t="shared" si="27"/>
        <v>0</v>
      </c>
      <c r="I52" s="329">
        <f t="shared" si="27"/>
        <v>4860000</v>
      </c>
      <c r="J52" s="362">
        <f t="shared" ref="J52:K52" si="28">J53</f>
        <v>0</v>
      </c>
      <c r="K52" s="362">
        <f t="shared" si="28"/>
        <v>0</v>
      </c>
      <c r="L52" s="317">
        <f t="shared" si="0"/>
        <v>4860000</v>
      </c>
      <c r="M52" s="317"/>
      <c r="N52" s="372">
        <f t="shared" si="5"/>
        <v>0</v>
      </c>
      <c r="O52" s="329">
        <f t="shared" ref="O52:P52" si="29">SUM(O53)</f>
        <v>5346000</v>
      </c>
      <c r="P52" s="329">
        <f t="shared" si="29"/>
        <v>5880600.0000000009</v>
      </c>
      <c r="R52" s="317"/>
      <c r="U52" s="320"/>
    </row>
    <row r="53" spans="1:21" outlineLevel="3">
      <c r="A53" s="330"/>
      <c r="B53" s="330"/>
      <c r="C53" s="331">
        <v>2211201</v>
      </c>
      <c r="D53" s="341" t="s">
        <v>1532</v>
      </c>
      <c r="E53" s="334">
        <f>4060000+8000000-5200000-2000000</f>
        <v>4860000</v>
      </c>
      <c r="F53" s="334"/>
      <c r="G53" s="334"/>
      <c r="H53" s="334"/>
      <c r="I53" s="324">
        <f t="shared" si="2"/>
        <v>4860000</v>
      </c>
      <c r="J53" s="335"/>
      <c r="K53" s="335"/>
      <c r="L53" s="317">
        <f t="shared" si="0"/>
        <v>4860000</v>
      </c>
      <c r="M53" s="317"/>
      <c r="N53" s="372">
        <f t="shared" si="5"/>
        <v>0</v>
      </c>
      <c r="O53" s="336">
        <f>L53*1.1</f>
        <v>5346000</v>
      </c>
      <c r="P53" s="336">
        <f t="shared" si="24"/>
        <v>5880600.0000000009</v>
      </c>
      <c r="R53" s="317"/>
      <c r="U53" s="320"/>
    </row>
    <row r="54" spans="1:21" s="337" customFormat="1" outlineLevel="3">
      <c r="A54" s="338"/>
      <c r="B54" s="338"/>
      <c r="C54" s="339">
        <v>2211300</v>
      </c>
      <c r="D54" s="343" t="s">
        <v>57</v>
      </c>
      <c r="E54" s="329">
        <f>SUM(E55:E59)</f>
        <v>54259870</v>
      </c>
      <c r="F54" s="329">
        <f t="shared" ref="F54:I54" si="30">SUM(F55:F59)</f>
        <v>0</v>
      </c>
      <c r="G54" s="329">
        <f t="shared" si="30"/>
        <v>0</v>
      </c>
      <c r="H54" s="329">
        <f t="shared" si="30"/>
        <v>0</v>
      </c>
      <c r="I54" s="329">
        <f t="shared" si="30"/>
        <v>54259870</v>
      </c>
      <c r="J54" s="329">
        <f t="shared" ref="J54" si="31">SUM(J55:J59)</f>
        <v>0</v>
      </c>
      <c r="K54" s="329">
        <f t="shared" ref="K54" si="32">SUM(K55:K59)</f>
        <v>-530000</v>
      </c>
      <c r="L54" s="317">
        <f t="shared" si="0"/>
        <v>53729870</v>
      </c>
      <c r="M54" s="317"/>
      <c r="N54" s="372">
        <f t="shared" si="5"/>
        <v>530000</v>
      </c>
      <c r="O54" s="329">
        <f t="shared" ref="O54" si="33">SUM(O55:O59)</f>
        <v>59102857.000000007</v>
      </c>
      <c r="P54" s="329">
        <f t="shared" ref="P54" si="34">SUM(P55:P59)</f>
        <v>65013142.70000001</v>
      </c>
      <c r="R54" s="317"/>
      <c r="U54" s="320"/>
    </row>
    <row r="55" spans="1:21" s="350" customFormat="1" outlineLevel="3">
      <c r="A55" s="330"/>
      <c r="B55" s="330"/>
      <c r="C55" s="331">
        <v>2211305</v>
      </c>
      <c r="D55" s="363" t="s">
        <v>1533</v>
      </c>
      <c r="E55" s="334">
        <f>120000*12</f>
        <v>1440000</v>
      </c>
      <c r="F55" s="364"/>
      <c r="G55" s="364"/>
      <c r="H55" s="364"/>
      <c r="I55" s="324">
        <f t="shared" si="2"/>
        <v>1440000</v>
      </c>
      <c r="J55" s="335"/>
      <c r="K55" s="335"/>
      <c r="L55" s="317">
        <f t="shared" si="0"/>
        <v>1440000</v>
      </c>
      <c r="M55" s="317"/>
      <c r="N55" s="372">
        <f t="shared" si="5"/>
        <v>0</v>
      </c>
      <c r="O55" s="336">
        <f>L55*1.1</f>
        <v>1584000.0000000002</v>
      </c>
      <c r="P55" s="336">
        <f t="shared" si="24"/>
        <v>1742400.0000000005</v>
      </c>
      <c r="R55" s="317"/>
      <c r="U55" s="320"/>
    </row>
    <row r="56" spans="1:21" s="337" customFormat="1" outlineLevel="3">
      <c r="A56" s="338"/>
      <c r="B56" s="338"/>
      <c r="C56" s="331">
        <v>2211306</v>
      </c>
      <c r="D56" s="363" t="s">
        <v>58</v>
      </c>
      <c r="E56" s="334">
        <v>290000</v>
      </c>
      <c r="F56" s="364"/>
      <c r="G56" s="364"/>
      <c r="H56" s="364"/>
      <c r="I56" s="324">
        <f t="shared" si="2"/>
        <v>290000</v>
      </c>
      <c r="J56" s="335"/>
      <c r="K56" s="335"/>
      <c r="L56" s="317">
        <f t="shared" si="0"/>
        <v>290000</v>
      </c>
      <c r="M56" s="317"/>
      <c r="N56" s="372">
        <f t="shared" si="5"/>
        <v>0</v>
      </c>
      <c r="O56" s="336">
        <f>L56*1.1</f>
        <v>319000</v>
      </c>
      <c r="P56" s="336">
        <f t="shared" si="24"/>
        <v>350900</v>
      </c>
      <c r="R56" s="317"/>
      <c r="U56" s="320"/>
    </row>
    <row r="57" spans="1:21" s="350" customFormat="1" outlineLevel="3">
      <c r="A57" s="356"/>
      <c r="B57" s="356"/>
      <c r="C57" s="331">
        <v>2211310</v>
      </c>
      <c r="D57" s="341" t="s">
        <v>59</v>
      </c>
      <c r="E57" s="334">
        <v>580000</v>
      </c>
      <c r="F57" s="334"/>
      <c r="G57" s="334"/>
      <c r="H57" s="334"/>
      <c r="I57" s="324">
        <f t="shared" si="2"/>
        <v>580000</v>
      </c>
      <c r="J57" s="335"/>
      <c r="K57" s="335">
        <v>-530000</v>
      </c>
      <c r="L57" s="317">
        <f t="shared" si="0"/>
        <v>50000</v>
      </c>
      <c r="M57" s="317">
        <f>'[1]GOK_IFMIS_Vote_Book_290525 -VOT'!$L$49</f>
        <v>241400</v>
      </c>
      <c r="N57" s="372">
        <f t="shared" si="5"/>
        <v>771400</v>
      </c>
      <c r="O57" s="336">
        <f>L57*1.1</f>
        <v>55000.000000000007</v>
      </c>
      <c r="P57" s="336">
        <f t="shared" si="24"/>
        <v>60500.000000000015</v>
      </c>
      <c r="R57" s="317"/>
      <c r="U57" s="320"/>
    </row>
    <row r="58" spans="1:21" outlineLevel="3">
      <c r="A58" s="330"/>
      <c r="B58" s="330"/>
      <c r="C58" s="331">
        <v>2211320</v>
      </c>
      <c r="D58" s="341" t="s">
        <v>1534</v>
      </c>
      <c r="E58" s="334">
        <v>1800000</v>
      </c>
      <c r="F58" s="334"/>
      <c r="G58" s="334"/>
      <c r="H58" s="334"/>
      <c r="I58" s="324">
        <f t="shared" si="2"/>
        <v>1800000</v>
      </c>
      <c r="J58" s="335"/>
      <c r="K58" s="335"/>
      <c r="L58" s="317">
        <f t="shared" si="0"/>
        <v>1800000</v>
      </c>
      <c r="M58" s="317"/>
      <c r="N58" s="372">
        <f t="shared" si="5"/>
        <v>0</v>
      </c>
      <c r="O58" s="336">
        <f>L58*1.1</f>
        <v>1980000.0000000002</v>
      </c>
      <c r="P58" s="336">
        <f t="shared" si="24"/>
        <v>2178000.0000000005</v>
      </c>
      <c r="R58" s="317"/>
      <c r="U58" s="320"/>
    </row>
    <row r="59" spans="1:21" s="365" customFormat="1" outlineLevel="3">
      <c r="A59" s="366"/>
      <c r="B59" s="366"/>
      <c r="C59" s="367">
        <v>2211399</v>
      </c>
      <c r="D59" s="368" t="s">
        <v>1582</v>
      </c>
      <c r="E59" s="369">
        <f>60000000-25000000-5000000-5000000+564560+600000+600000+1116000+700000+2000000-580560+20000000+149870</f>
        <v>50149870</v>
      </c>
      <c r="F59" s="369"/>
      <c r="G59" s="369"/>
      <c r="H59" s="369">
        <v>0</v>
      </c>
      <c r="I59" s="370">
        <v>50149870</v>
      </c>
      <c r="J59" s="371">
        <v>0</v>
      </c>
      <c r="K59" s="371">
        <f>-7000000+7000000</f>
        <v>0</v>
      </c>
      <c r="L59" s="372">
        <v>50149870</v>
      </c>
      <c r="M59" s="372"/>
      <c r="N59" s="372">
        <f t="shared" si="5"/>
        <v>0</v>
      </c>
      <c r="O59" s="373">
        <f>L59*1.1</f>
        <v>55164857.000000007</v>
      </c>
      <c r="P59" s="373">
        <f t="shared" si="24"/>
        <v>60681342.70000001</v>
      </c>
      <c r="Q59" s="374">
        <f>I59+J59+K59-L59</f>
        <v>0</v>
      </c>
      <c r="R59" s="372"/>
      <c r="U59" s="320" t="s">
        <v>1803</v>
      </c>
    </row>
    <row r="60" spans="1:21" outlineLevel="3">
      <c r="A60" s="330"/>
      <c r="B60" s="330"/>
      <c r="C60" s="339">
        <v>2220100</v>
      </c>
      <c r="D60" s="343" t="s">
        <v>62</v>
      </c>
      <c r="E60" s="329">
        <f>SUM(E61:E62)</f>
        <v>1960000</v>
      </c>
      <c r="F60" s="329">
        <f t="shared" ref="F60:K60" si="35">SUM(F61:F62)</f>
        <v>0</v>
      </c>
      <c r="G60" s="329">
        <f t="shared" si="35"/>
        <v>0</v>
      </c>
      <c r="H60" s="329">
        <f t="shared" si="35"/>
        <v>0</v>
      </c>
      <c r="I60" s="329">
        <f t="shared" si="35"/>
        <v>1960000</v>
      </c>
      <c r="J60" s="329">
        <f t="shared" si="35"/>
        <v>0</v>
      </c>
      <c r="K60" s="329">
        <f t="shared" si="35"/>
        <v>0</v>
      </c>
      <c r="L60" s="317">
        <f t="shared" si="0"/>
        <v>1960000</v>
      </c>
      <c r="M60" s="317"/>
      <c r="N60" s="372">
        <f t="shared" si="5"/>
        <v>0</v>
      </c>
      <c r="O60" s="329">
        <f t="shared" ref="O60:P60" si="36">SUM(O61:O62)</f>
        <v>2156000</v>
      </c>
      <c r="P60" s="329">
        <f t="shared" si="36"/>
        <v>2371600</v>
      </c>
      <c r="R60" s="317"/>
      <c r="U60" s="320"/>
    </row>
    <row r="61" spans="1:21" s="350" customFormat="1" outlineLevel="3">
      <c r="A61" s="330"/>
      <c r="B61" s="330"/>
      <c r="C61" s="332">
        <v>2220101</v>
      </c>
      <c r="D61" s="332" t="s">
        <v>63</v>
      </c>
      <c r="E61" s="334">
        <f>1160000+1000000-1000000</f>
        <v>1160000</v>
      </c>
      <c r="F61" s="334"/>
      <c r="G61" s="334"/>
      <c r="H61" s="334"/>
      <c r="I61" s="324">
        <f t="shared" si="2"/>
        <v>1160000</v>
      </c>
      <c r="J61" s="335"/>
      <c r="K61" s="335"/>
      <c r="L61" s="317">
        <f t="shared" si="0"/>
        <v>1160000</v>
      </c>
      <c r="M61" s="317"/>
      <c r="N61" s="372">
        <f t="shared" si="5"/>
        <v>0</v>
      </c>
      <c r="O61" s="336">
        <f>L61*1.1</f>
        <v>1276000</v>
      </c>
      <c r="P61" s="336">
        <f t="shared" si="24"/>
        <v>1403600</v>
      </c>
      <c r="R61" s="317"/>
      <c r="U61" s="320"/>
    </row>
    <row r="62" spans="1:21" s="337" customFormat="1" outlineLevel="3">
      <c r="A62" s="338"/>
      <c r="B62" s="338"/>
      <c r="C62" s="332">
        <v>2220105</v>
      </c>
      <c r="D62" s="332" t="s">
        <v>64</v>
      </c>
      <c r="E62" s="334">
        <f>800000</f>
        <v>800000</v>
      </c>
      <c r="F62" s="334"/>
      <c r="G62" s="334"/>
      <c r="H62" s="334"/>
      <c r="I62" s="324">
        <f t="shared" si="2"/>
        <v>800000</v>
      </c>
      <c r="J62" s="335"/>
      <c r="K62" s="335"/>
      <c r="L62" s="317">
        <f t="shared" si="0"/>
        <v>800000</v>
      </c>
      <c r="M62" s="317"/>
      <c r="N62" s="372">
        <f t="shared" si="5"/>
        <v>0</v>
      </c>
      <c r="O62" s="336">
        <f>L62*1.1</f>
        <v>880000.00000000012</v>
      </c>
      <c r="P62" s="336">
        <f t="shared" si="24"/>
        <v>968000.00000000023</v>
      </c>
      <c r="R62" s="317"/>
      <c r="U62" s="320"/>
    </row>
    <row r="63" spans="1:21" outlineLevel="3">
      <c r="A63" s="330"/>
      <c r="B63" s="330"/>
      <c r="C63" s="375" t="s">
        <v>66</v>
      </c>
      <c r="D63" s="343" t="s">
        <v>67</v>
      </c>
      <c r="E63" s="329">
        <f>SUM(E64:E64)</f>
        <v>900000</v>
      </c>
      <c r="F63" s="329">
        <f t="shared" ref="F63:K63" si="37">SUM(F64:F64)</f>
        <v>0</v>
      </c>
      <c r="G63" s="329">
        <f t="shared" si="37"/>
        <v>0</v>
      </c>
      <c r="H63" s="329">
        <f t="shared" si="37"/>
        <v>0</v>
      </c>
      <c r="I63" s="329">
        <f t="shared" si="37"/>
        <v>900000</v>
      </c>
      <c r="J63" s="329">
        <f t="shared" si="37"/>
        <v>0</v>
      </c>
      <c r="K63" s="329">
        <f t="shared" si="37"/>
        <v>0</v>
      </c>
      <c r="L63" s="317">
        <f t="shared" si="0"/>
        <v>900000</v>
      </c>
      <c r="M63" s="317"/>
      <c r="N63" s="372">
        <f t="shared" si="5"/>
        <v>0</v>
      </c>
      <c r="O63" s="329">
        <f t="shared" ref="O63:P63" si="38">SUM(O64:O64)</f>
        <v>990000.00000000012</v>
      </c>
      <c r="P63" s="329">
        <f t="shared" si="38"/>
        <v>1089000.0000000002</v>
      </c>
      <c r="R63" s="317"/>
      <c r="U63" s="320"/>
    </row>
    <row r="64" spans="1:21" outlineLevel="3">
      <c r="A64" s="330"/>
      <c r="B64" s="330"/>
      <c r="C64" s="331">
        <v>3111003</v>
      </c>
      <c r="D64" s="341" t="s">
        <v>1535</v>
      </c>
      <c r="E64" s="334">
        <v>900000</v>
      </c>
      <c r="F64" s="334"/>
      <c r="G64" s="334"/>
      <c r="H64" s="334"/>
      <c r="I64" s="324">
        <f t="shared" si="2"/>
        <v>900000</v>
      </c>
      <c r="J64" s="335"/>
      <c r="K64" s="335"/>
      <c r="L64" s="317">
        <f t="shared" si="0"/>
        <v>900000</v>
      </c>
      <c r="M64" s="317"/>
      <c r="N64" s="372">
        <f t="shared" si="5"/>
        <v>0</v>
      </c>
      <c r="O64" s="336">
        <f>L64*1.1</f>
        <v>990000.00000000012</v>
      </c>
      <c r="P64" s="336">
        <f t="shared" ref="P64:P80" si="39">O64*1.1</f>
        <v>1089000.0000000002</v>
      </c>
      <c r="R64" s="317"/>
      <c r="U64" s="320"/>
    </row>
    <row r="65" spans="1:21" outlineLevel="3">
      <c r="A65" s="330"/>
      <c r="B65" s="330"/>
      <c r="C65" s="339">
        <v>3111000</v>
      </c>
      <c r="D65" s="343" t="s">
        <v>69</v>
      </c>
      <c r="E65" s="329">
        <f>E66+E67</f>
        <v>950000</v>
      </c>
      <c r="F65" s="329">
        <f t="shared" ref="F65:P65" si="40">F66+F67</f>
        <v>0</v>
      </c>
      <c r="G65" s="329">
        <f t="shared" si="40"/>
        <v>0</v>
      </c>
      <c r="H65" s="329">
        <f t="shared" si="40"/>
        <v>0</v>
      </c>
      <c r="I65" s="329">
        <f t="shared" si="40"/>
        <v>950000</v>
      </c>
      <c r="J65" s="329">
        <f t="shared" si="40"/>
        <v>0</v>
      </c>
      <c r="K65" s="329">
        <f t="shared" si="40"/>
        <v>0</v>
      </c>
      <c r="L65" s="317">
        <f t="shared" si="0"/>
        <v>950000</v>
      </c>
      <c r="M65" s="317"/>
      <c r="N65" s="372">
        <f t="shared" si="5"/>
        <v>0</v>
      </c>
      <c r="O65" s="329">
        <f t="shared" si="40"/>
        <v>1045000</v>
      </c>
      <c r="P65" s="329">
        <f t="shared" si="40"/>
        <v>1149500</v>
      </c>
      <c r="R65" s="317"/>
      <c r="U65" s="320"/>
    </row>
    <row r="66" spans="1:21" outlineLevel="3">
      <c r="A66" s="330"/>
      <c r="B66" s="330"/>
      <c r="C66" s="331">
        <v>3111001</v>
      </c>
      <c r="D66" s="341" t="s">
        <v>70</v>
      </c>
      <c r="E66" s="334">
        <f>870000+500000-1000000</f>
        <v>370000</v>
      </c>
      <c r="F66" s="334"/>
      <c r="G66" s="334"/>
      <c r="H66" s="334"/>
      <c r="I66" s="324">
        <f t="shared" si="2"/>
        <v>370000</v>
      </c>
      <c r="J66" s="335"/>
      <c r="K66" s="335"/>
      <c r="L66" s="317">
        <f t="shared" si="0"/>
        <v>370000</v>
      </c>
      <c r="M66" s="317"/>
      <c r="N66" s="372">
        <f t="shared" si="5"/>
        <v>0</v>
      </c>
      <c r="O66" s="336">
        <f>L66*1.1</f>
        <v>407000.00000000006</v>
      </c>
      <c r="P66" s="336">
        <f t="shared" si="39"/>
        <v>447700.00000000012</v>
      </c>
      <c r="R66" s="317"/>
      <c r="U66" s="320"/>
    </row>
    <row r="67" spans="1:21" s="337" customFormat="1" outlineLevel="3">
      <c r="A67" s="338"/>
      <c r="B67" s="338"/>
      <c r="C67" s="331">
        <v>3111002</v>
      </c>
      <c r="D67" s="341" t="s">
        <v>71</v>
      </c>
      <c r="E67" s="334">
        <f>580000+500000-500000</f>
        <v>580000</v>
      </c>
      <c r="F67" s="334"/>
      <c r="G67" s="334"/>
      <c r="H67" s="334"/>
      <c r="I67" s="324">
        <f t="shared" si="2"/>
        <v>580000</v>
      </c>
      <c r="J67" s="335"/>
      <c r="K67" s="335"/>
      <c r="L67" s="317">
        <f t="shared" si="0"/>
        <v>580000</v>
      </c>
      <c r="M67" s="317"/>
      <c r="N67" s="372">
        <f t="shared" si="5"/>
        <v>0</v>
      </c>
      <c r="O67" s="336">
        <f>L67*1.1</f>
        <v>638000</v>
      </c>
      <c r="P67" s="336">
        <f t="shared" si="39"/>
        <v>701800</v>
      </c>
      <c r="R67" s="317"/>
      <c r="U67" s="320"/>
    </row>
    <row r="68" spans="1:21" s="337" customFormat="1" outlineLevel="3">
      <c r="A68" s="376"/>
      <c r="B68" s="376"/>
      <c r="C68" s="377">
        <v>3111400</v>
      </c>
      <c r="D68" s="378" t="s">
        <v>75</v>
      </c>
      <c r="E68" s="379">
        <f>SUM(E69:E69)</f>
        <v>22500000</v>
      </c>
      <c r="F68" s="379">
        <f t="shared" ref="F68:K68" si="41">SUM(F69:F69)</f>
        <v>0</v>
      </c>
      <c r="G68" s="379">
        <f t="shared" si="41"/>
        <v>0</v>
      </c>
      <c r="H68" s="379">
        <f t="shared" si="41"/>
        <v>0</v>
      </c>
      <c r="I68" s="379">
        <f t="shared" si="41"/>
        <v>22500000</v>
      </c>
      <c r="J68" s="379">
        <f t="shared" si="41"/>
        <v>0</v>
      </c>
      <c r="K68" s="379">
        <f t="shared" si="41"/>
        <v>0</v>
      </c>
      <c r="L68" s="317">
        <f t="shared" ref="L68:L131" si="42">I68+J68+K68</f>
        <v>22500000</v>
      </c>
      <c r="M68" s="2212"/>
      <c r="N68" s="372">
        <f t="shared" si="5"/>
        <v>0</v>
      </c>
      <c r="O68" s="379">
        <f t="shared" ref="O68:P68" si="43">SUM(O69:O69)</f>
        <v>24750000.000000004</v>
      </c>
      <c r="P68" s="379">
        <f t="shared" si="43"/>
        <v>27225000.000000007</v>
      </c>
      <c r="R68" s="317"/>
      <c r="U68" s="320"/>
    </row>
    <row r="69" spans="1:21" outlineLevel="3">
      <c r="A69" s="330"/>
      <c r="B69" s="330"/>
      <c r="C69" s="331">
        <v>3111401</v>
      </c>
      <c r="D69" s="341" t="s">
        <v>76</v>
      </c>
      <c r="E69" s="333">
        <f>0.03*710000000+1200000</f>
        <v>22500000</v>
      </c>
      <c r="F69" s="334"/>
      <c r="G69" s="333">
        <v>0</v>
      </c>
      <c r="H69" s="334"/>
      <c r="I69" s="324">
        <f t="shared" ref="I69:I132" si="44">E69+F69+G69+H69</f>
        <v>22500000</v>
      </c>
      <c r="J69" s="335"/>
      <c r="K69" s="335"/>
      <c r="L69" s="317">
        <f t="shared" si="42"/>
        <v>22500000</v>
      </c>
      <c r="M69" s="2210"/>
      <c r="N69" s="372">
        <f t="shared" si="5"/>
        <v>0</v>
      </c>
      <c r="O69" s="357">
        <f>L69*1.1</f>
        <v>24750000.000000004</v>
      </c>
      <c r="P69" s="336">
        <f t="shared" si="39"/>
        <v>27225000.000000007</v>
      </c>
      <c r="R69" s="317"/>
      <c r="U69" s="320"/>
    </row>
    <row r="70" spans="1:21" s="337" customFormat="1" outlineLevel="3">
      <c r="A70" s="358"/>
      <c r="B70" s="358"/>
      <c r="C70" s="359"/>
      <c r="D70" s="360"/>
      <c r="E70" s="380">
        <f>E71</f>
        <v>0</v>
      </c>
      <c r="F70" s="380"/>
      <c r="G70" s="380"/>
      <c r="H70" s="380"/>
      <c r="I70" s="324">
        <f t="shared" si="44"/>
        <v>0</v>
      </c>
      <c r="J70" s="335"/>
      <c r="K70" s="335"/>
      <c r="L70" s="317">
        <f t="shared" si="42"/>
        <v>0</v>
      </c>
      <c r="M70" s="317"/>
      <c r="N70" s="372">
        <f t="shared" si="5"/>
        <v>0</v>
      </c>
      <c r="O70" s="381">
        <f t="shared" ref="O70:P70" si="45">O71</f>
        <v>0</v>
      </c>
      <c r="P70" s="381">
        <f t="shared" si="45"/>
        <v>0</v>
      </c>
      <c r="R70" s="317"/>
      <c r="U70" s="320"/>
    </row>
    <row r="71" spans="1:21" outlineLevel="3">
      <c r="A71" s="330"/>
      <c r="B71" s="330"/>
      <c r="C71" s="331"/>
      <c r="D71" s="341"/>
      <c r="E71" s="334">
        <f>(50000*12+200000*12)-3000000</f>
        <v>0</v>
      </c>
      <c r="F71" s="334"/>
      <c r="G71" s="334"/>
      <c r="H71" s="334"/>
      <c r="I71" s="324">
        <f t="shared" si="44"/>
        <v>0</v>
      </c>
      <c r="J71" s="335"/>
      <c r="K71" s="335"/>
      <c r="L71" s="317">
        <f t="shared" si="42"/>
        <v>0</v>
      </c>
      <c r="M71" s="317"/>
      <c r="N71" s="372">
        <f t="shared" si="5"/>
        <v>0</v>
      </c>
      <c r="O71" s="336">
        <f>L71*1.1</f>
        <v>0</v>
      </c>
      <c r="P71" s="336">
        <f t="shared" si="39"/>
        <v>0</v>
      </c>
      <c r="R71" s="317"/>
      <c r="U71" s="320"/>
    </row>
    <row r="72" spans="1:21" s="312" customFormat="1" outlineLevel="2">
      <c r="A72" s="313"/>
      <c r="B72" s="313"/>
      <c r="C72" s="382"/>
      <c r="D72" s="383" t="s">
        <v>77</v>
      </c>
      <c r="E72" s="384">
        <f>E70+E68+E65+E63+E60+E54+E52+E48+E44+E38+E31+E27+E23+E18+E14+E11+E9+E7</f>
        <v>835578023</v>
      </c>
      <c r="F72" s="384">
        <f t="shared" ref="F72:K72" si="46">F70+F68+F65+F63+F60+F54+F52+F48+F44+F38+F31+F27+F23+F18+F14+F11+F9+F7</f>
        <v>0</v>
      </c>
      <c r="G72" s="384">
        <f t="shared" si="46"/>
        <v>104650365</v>
      </c>
      <c r="H72" s="384">
        <f t="shared" si="46"/>
        <v>1000000</v>
      </c>
      <c r="I72" s="384">
        <f t="shared" si="46"/>
        <v>941228388</v>
      </c>
      <c r="J72" s="384">
        <f t="shared" si="46"/>
        <v>-7000000</v>
      </c>
      <c r="K72" s="384">
        <f t="shared" si="46"/>
        <v>-2837200</v>
      </c>
      <c r="L72" s="317">
        <f t="shared" si="42"/>
        <v>931391188</v>
      </c>
      <c r="M72" s="317"/>
      <c r="N72" s="372">
        <f t="shared" ref="N72:N135" si="47">M72-K72</f>
        <v>2837200</v>
      </c>
      <c r="O72" s="384">
        <f t="shared" ref="O72:P72" si="48">O70+O68+O65+O63+O60+O54+O52+O48+O44+O38+O31+O27+O23+O18+O14+O11+O9+O7</f>
        <v>1024124306.8000001</v>
      </c>
      <c r="P72" s="384">
        <f t="shared" si="48"/>
        <v>1126130737.4800003</v>
      </c>
      <c r="R72" s="317"/>
      <c r="U72" s="320"/>
    </row>
    <row r="73" spans="1:21" outlineLevel="2">
      <c r="A73" s="330"/>
      <c r="B73" s="330"/>
      <c r="C73" s="343"/>
      <c r="D73" s="343"/>
      <c r="E73" s="385"/>
      <c r="F73" s="386"/>
      <c r="G73" s="386"/>
      <c r="H73" s="386"/>
      <c r="I73" s="324">
        <f t="shared" si="44"/>
        <v>0</v>
      </c>
      <c r="J73" s="335"/>
      <c r="K73" s="335"/>
      <c r="L73" s="317">
        <f t="shared" si="42"/>
        <v>0</v>
      </c>
      <c r="M73" s="317"/>
      <c r="N73" s="372">
        <f t="shared" si="47"/>
        <v>0</v>
      </c>
      <c r="O73" s="336">
        <f>L73*1.1</f>
        <v>0</v>
      </c>
      <c r="P73" s="336">
        <f t="shared" si="39"/>
        <v>0</v>
      </c>
      <c r="R73" s="317"/>
      <c r="U73" s="320"/>
    </row>
    <row r="74" spans="1:21" s="337" customFormat="1" outlineLevel="2">
      <c r="A74" s="338"/>
      <c r="B74" s="338"/>
      <c r="C74" s="343" t="s">
        <v>78</v>
      </c>
      <c r="D74" s="343"/>
      <c r="E74" s="385"/>
      <c r="F74" s="386"/>
      <c r="G74" s="386"/>
      <c r="H74" s="386"/>
      <c r="I74" s="324">
        <f t="shared" si="44"/>
        <v>0</v>
      </c>
      <c r="J74" s="335"/>
      <c r="K74" s="335"/>
      <c r="L74" s="317">
        <f t="shared" si="42"/>
        <v>0</v>
      </c>
      <c r="M74" s="317"/>
      <c r="N74" s="372">
        <f t="shared" si="47"/>
        <v>0</v>
      </c>
      <c r="O74" s="336">
        <f>L74*1.1</f>
        <v>0</v>
      </c>
      <c r="P74" s="336">
        <f t="shared" si="39"/>
        <v>0</v>
      </c>
      <c r="R74" s="317"/>
      <c r="U74" s="320"/>
    </row>
    <row r="75" spans="1:21" s="337" customFormat="1" outlineLevel="3">
      <c r="A75" s="338"/>
      <c r="B75" s="338"/>
      <c r="C75" s="339">
        <v>3110200</v>
      </c>
      <c r="D75" s="343" t="s">
        <v>79</v>
      </c>
      <c r="E75" s="329">
        <f>E76+E77+E78</f>
        <v>32000000</v>
      </c>
      <c r="F75" s="329">
        <f t="shared" ref="F75:K75" si="49">F76+F77+F78</f>
        <v>0</v>
      </c>
      <c r="G75" s="329">
        <f t="shared" si="49"/>
        <v>0</v>
      </c>
      <c r="H75" s="329">
        <f t="shared" si="49"/>
        <v>0</v>
      </c>
      <c r="I75" s="329">
        <f t="shared" si="49"/>
        <v>32000000</v>
      </c>
      <c r="J75" s="329">
        <f t="shared" si="49"/>
        <v>0</v>
      </c>
      <c r="K75" s="329">
        <f t="shared" si="49"/>
        <v>0</v>
      </c>
      <c r="L75" s="317">
        <f t="shared" si="42"/>
        <v>32000000</v>
      </c>
      <c r="M75" s="317"/>
      <c r="N75" s="372">
        <f t="shared" si="47"/>
        <v>0</v>
      </c>
      <c r="O75" s="329">
        <f t="shared" ref="O75:P75" si="50">O76+O77+O78</f>
        <v>35200000</v>
      </c>
      <c r="P75" s="329">
        <f t="shared" si="50"/>
        <v>38720000.000000007</v>
      </c>
      <c r="R75" s="317"/>
      <c r="U75" s="320"/>
    </row>
    <row r="76" spans="1:21" s="337" customFormat="1" outlineLevel="3">
      <c r="A76" s="338"/>
      <c r="B76" s="338"/>
      <c r="C76" s="331">
        <v>3110202</v>
      </c>
      <c r="D76" s="387" t="s">
        <v>1869</v>
      </c>
      <c r="E76" s="333">
        <f>30000000</f>
        <v>30000000</v>
      </c>
      <c r="F76" s="334"/>
      <c r="G76" s="334"/>
      <c r="H76" s="334"/>
      <c r="I76" s="324">
        <f t="shared" si="44"/>
        <v>30000000</v>
      </c>
      <c r="J76" s="335"/>
      <c r="K76" s="335"/>
      <c r="L76" s="317">
        <f t="shared" si="42"/>
        <v>30000000</v>
      </c>
      <c r="M76" s="317"/>
      <c r="N76" s="372">
        <f t="shared" si="47"/>
        <v>0</v>
      </c>
      <c r="O76" s="336">
        <f t="shared" ref="O76:O78" si="51">L76*1.1</f>
        <v>33000000.000000004</v>
      </c>
      <c r="P76" s="336">
        <f t="shared" ref="P76:P78" si="52">O76*1.1</f>
        <v>36300000.000000007</v>
      </c>
      <c r="R76" s="317"/>
      <c r="U76" s="320"/>
    </row>
    <row r="77" spans="1:21" s="337" customFormat="1" outlineLevel="3">
      <c r="A77" s="338"/>
      <c r="B77" s="338"/>
      <c r="C77" s="331"/>
      <c r="D77" s="387"/>
      <c r="E77" s="333"/>
      <c r="F77" s="334"/>
      <c r="G77" s="334"/>
      <c r="H77" s="334"/>
      <c r="I77" s="324">
        <f t="shared" si="44"/>
        <v>0</v>
      </c>
      <c r="J77" s="335"/>
      <c r="K77" s="335"/>
      <c r="L77" s="317">
        <f t="shared" si="42"/>
        <v>0</v>
      </c>
      <c r="M77" s="317"/>
      <c r="N77" s="372">
        <f t="shared" si="47"/>
        <v>0</v>
      </c>
      <c r="O77" s="336">
        <f t="shared" si="51"/>
        <v>0</v>
      </c>
      <c r="P77" s="336">
        <f t="shared" si="52"/>
        <v>0</v>
      </c>
      <c r="R77" s="317"/>
      <c r="U77" s="320"/>
    </row>
    <row r="78" spans="1:21" s="337" customFormat="1" outlineLevel="3">
      <c r="A78" s="338"/>
      <c r="B78" s="338"/>
      <c r="C78" s="331">
        <v>3110202</v>
      </c>
      <c r="D78" s="387" t="s">
        <v>1537</v>
      </c>
      <c r="E78" s="333">
        <f>8000000-6000000</f>
        <v>2000000</v>
      </c>
      <c r="F78" s="334"/>
      <c r="G78" s="334"/>
      <c r="H78" s="334"/>
      <c r="I78" s="324">
        <f t="shared" si="44"/>
        <v>2000000</v>
      </c>
      <c r="J78" s="335"/>
      <c r="K78" s="335"/>
      <c r="L78" s="317">
        <f t="shared" si="42"/>
        <v>2000000</v>
      </c>
      <c r="M78" s="317"/>
      <c r="N78" s="372">
        <f t="shared" si="47"/>
        <v>0</v>
      </c>
      <c r="O78" s="336">
        <f t="shared" si="51"/>
        <v>2200000</v>
      </c>
      <c r="P78" s="336">
        <f t="shared" si="52"/>
        <v>2420000</v>
      </c>
      <c r="R78" s="317"/>
      <c r="U78" s="320"/>
    </row>
    <row r="79" spans="1:21" s="337" customFormat="1" outlineLevel="3">
      <c r="A79" s="338"/>
      <c r="B79" s="338"/>
      <c r="C79" s="339" t="s">
        <v>72</v>
      </c>
      <c r="D79" s="388" t="s">
        <v>73</v>
      </c>
      <c r="E79" s="329">
        <f>E80</f>
        <v>7500000</v>
      </c>
      <c r="F79" s="329">
        <f t="shared" ref="F79:P79" si="53">F80</f>
        <v>0</v>
      </c>
      <c r="G79" s="329">
        <f t="shared" si="53"/>
        <v>0</v>
      </c>
      <c r="H79" s="329">
        <f t="shared" si="53"/>
        <v>0</v>
      </c>
      <c r="I79" s="329">
        <f t="shared" si="53"/>
        <v>7500000</v>
      </c>
      <c r="J79" s="329">
        <f t="shared" si="53"/>
        <v>0</v>
      </c>
      <c r="K79" s="329">
        <f t="shared" si="53"/>
        <v>0</v>
      </c>
      <c r="L79" s="317">
        <f t="shared" si="42"/>
        <v>7500000</v>
      </c>
      <c r="M79" s="317"/>
      <c r="N79" s="372">
        <f t="shared" si="47"/>
        <v>0</v>
      </c>
      <c r="O79" s="329">
        <f t="shared" si="53"/>
        <v>8250000.0000000009</v>
      </c>
      <c r="P79" s="329">
        <f t="shared" si="53"/>
        <v>9075000.0000000019</v>
      </c>
      <c r="R79" s="317"/>
      <c r="U79" s="320"/>
    </row>
    <row r="80" spans="1:21" outlineLevel="3">
      <c r="A80" s="330"/>
      <c r="B80" s="330"/>
      <c r="C80" s="331" t="s">
        <v>1538</v>
      </c>
      <c r="D80" s="387" t="s">
        <v>1539</v>
      </c>
      <c r="E80" s="333">
        <v>7500000</v>
      </c>
      <c r="F80" s="334"/>
      <c r="G80" s="334"/>
      <c r="H80" s="334">
        <f>-7500000+7500000</f>
        <v>0</v>
      </c>
      <c r="I80" s="324">
        <f t="shared" si="44"/>
        <v>7500000</v>
      </c>
      <c r="J80" s="335"/>
      <c r="K80" s="335"/>
      <c r="L80" s="317">
        <f t="shared" si="42"/>
        <v>7500000</v>
      </c>
      <c r="M80" s="317"/>
      <c r="N80" s="372">
        <f t="shared" si="47"/>
        <v>0</v>
      </c>
      <c r="O80" s="336">
        <f>L80*1.1</f>
        <v>8250000.0000000009</v>
      </c>
      <c r="P80" s="336">
        <f t="shared" si="39"/>
        <v>9075000.0000000019</v>
      </c>
      <c r="R80" s="317"/>
      <c r="U80" s="320"/>
    </row>
    <row r="81" spans="1:21" s="337" customFormat="1" outlineLevel="3">
      <c r="A81" s="376"/>
      <c r="B81" s="376"/>
      <c r="C81" s="377">
        <v>3110500</v>
      </c>
      <c r="D81" s="378" t="s">
        <v>80</v>
      </c>
      <c r="E81" s="379">
        <f>SUM(E82:E85)</f>
        <v>759274535</v>
      </c>
      <c r="F81" s="379">
        <f t="shared" ref="F81:K81" si="54">SUM(F82:F85)</f>
        <v>156798932.5</v>
      </c>
      <c r="G81" s="379">
        <f t="shared" si="54"/>
        <v>0</v>
      </c>
      <c r="H81" s="379">
        <f t="shared" si="54"/>
        <v>0</v>
      </c>
      <c r="I81" s="379">
        <f t="shared" si="54"/>
        <v>916073467.5</v>
      </c>
      <c r="J81" s="379">
        <f t="shared" si="54"/>
        <v>0</v>
      </c>
      <c r="K81" s="379">
        <f t="shared" si="54"/>
        <v>0</v>
      </c>
      <c r="L81" s="317">
        <f t="shared" si="42"/>
        <v>916073467.5</v>
      </c>
      <c r="M81" s="2212"/>
      <c r="N81" s="372">
        <f t="shared" si="47"/>
        <v>0</v>
      </c>
      <c r="O81" s="379">
        <f t="shared" ref="O81:P81" si="55">SUM(O82:O85)</f>
        <v>1005893314.25</v>
      </c>
      <c r="P81" s="379">
        <f t="shared" si="55"/>
        <v>1106482645.675</v>
      </c>
      <c r="R81" s="317"/>
      <c r="U81" s="320"/>
    </row>
    <row r="82" spans="1:21" s="337" customFormat="1" outlineLevel="3">
      <c r="A82" s="338"/>
      <c r="B82" s="338"/>
      <c r="C82" s="331">
        <v>3110504</v>
      </c>
      <c r="D82" s="341" t="s">
        <v>81</v>
      </c>
      <c r="E82" s="333">
        <f>0.72*710000000+28800000</f>
        <v>540000000</v>
      </c>
      <c r="F82" s="334"/>
      <c r="G82" s="333">
        <v>0</v>
      </c>
      <c r="H82" s="334"/>
      <c r="I82" s="324">
        <f t="shared" si="44"/>
        <v>540000000</v>
      </c>
      <c r="J82" s="335"/>
      <c r="K82" s="335"/>
      <c r="L82" s="317">
        <f t="shared" si="42"/>
        <v>540000000</v>
      </c>
      <c r="M82" s="2210"/>
      <c r="N82" s="372">
        <f t="shared" si="47"/>
        <v>0</v>
      </c>
      <c r="O82" s="357">
        <f>L82*1.1</f>
        <v>594000000</v>
      </c>
      <c r="P82" s="336">
        <f t="shared" ref="P82:P85" si="56">O82*1.1</f>
        <v>653400000</v>
      </c>
      <c r="R82" s="317"/>
      <c r="U82" s="320"/>
    </row>
    <row r="83" spans="1:21" outlineLevel="3">
      <c r="A83" s="330"/>
      <c r="B83" s="330"/>
      <c r="C83" s="331">
        <v>3110504</v>
      </c>
      <c r="D83" s="341" t="s">
        <v>82</v>
      </c>
      <c r="E83" s="333">
        <f>0.25*710000000+10000000</f>
        <v>187500000</v>
      </c>
      <c r="F83" s="334"/>
      <c r="G83" s="333">
        <v>0</v>
      </c>
      <c r="H83" s="389"/>
      <c r="I83" s="324">
        <f t="shared" si="44"/>
        <v>187500000</v>
      </c>
      <c r="J83" s="335"/>
      <c r="K83" s="335"/>
      <c r="L83" s="317">
        <f t="shared" si="42"/>
        <v>187500000</v>
      </c>
      <c r="M83" s="2210"/>
      <c r="N83" s="372">
        <f t="shared" si="47"/>
        <v>0</v>
      </c>
      <c r="O83" s="357">
        <f>L83*1.1</f>
        <v>206250000.00000003</v>
      </c>
      <c r="P83" s="336">
        <f t="shared" si="56"/>
        <v>226875000.00000006</v>
      </c>
      <c r="R83" s="317"/>
      <c r="U83" s="320"/>
    </row>
    <row r="84" spans="1:21" outlineLevel="3">
      <c r="A84" s="390"/>
      <c r="B84" s="390"/>
      <c r="C84" s="391" t="s">
        <v>2109</v>
      </c>
      <c r="D84" s="392" t="s">
        <v>2108</v>
      </c>
      <c r="E84" s="393"/>
      <c r="F84" s="394"/>
      <c r="G84" s="394"/>
      <c r="H84" s="393">
        <v>1625000</v>
      </c>
      <c r="I84" s="324">
        <f t="shared" si="44"/>
        <v>1625000</v>
      </c>
      <c r="J84" s="335"/>
      <c r="K84" s="335"/>
      <c r="L84" s="317">
        <f t="shared" si="42"/>
        <v>1625000</v>
      </c>
      <c r="M84" s="317"/>
      <c r="N84" s="372">
        <f t="shared" si="47"/>
        <v>0</v>
      </c>
      <c r="O84" s="336"/>
      <c r="P84" s="336"/>
      <c r="R84" s="317"/>
      <c r="U84" s="320"/>
    </row>
    <row r="85" spans="1:21" outlineLevel="3">
      <c r="A85" s="330"/>
      <c r="B85" s="330"/>
      <c r="C85" s="331" t="s">
        <v>1461</v>
      </c>
      <c r="D85" s="341" t="s">
        <v>2442</v>
      </c>
      <c r="E85" s="333">
        <v>31774535</v>
      </c>
      <c r="F85" s="334">
        <v>156798932.5</v>
      </c>
      <c r="G85" s="334"/>
      <c r="H85" s="333">
        <v>-1625000</v>
      </c>
      <c r="I85" s="324">
        <f t="shared" si="44"/>
        <v>186948467.5</v>
      </c>
      <c r="J85" s="335"/>
      <c r="K85" s="335"/>
      <c r="L85" s="317">
        <f t="shared" si="42"/>
        <v>186948467.5</v>
      </c>
      <c r="M85" s="317"/>
      <c r="N85" s="372">
        <f t="shared" si="47"/>
        <v>0</v>
      </c>
      <c r="O85" s="336">
        <f>L85*1.1</f>
        <v>205643314.25000003</v>
      </c>
      <c r="P85" s="336">
        <f t="shared" si="56"/>
        <v>226207645.67500004</v>
      </c>
      <c r="R85" s="317"/>
      <c r="U85" s="320"/>
    </row>
    <row r="86" spans="1:21" s="312" customFormat="1" outlineLevel="2">
      <c r="A86" s="313"/>
      <c r="B86" s="313"/>
      <c r="C86" s="383"/>
      <c r="D86" s="383" t="s">
        <v>83</v>
      </c>
      <c r="E86" s="384">
        <f>E75+E79+E81</f>
        <v>798774535</v>
      </c>
      <c r="F86" s="384">
        <f t="shared" ref="F86:K86" si="57">F75+F79+F81</f>
        <v>156798932.5</v>
      </c>
      <c r="G86" s="384">
        <f t="shared" si="57"/>
        <v>0</v>
      </c>
      <c r="H86" s="384">
        <f t="shared" si="57"/>
        <v>0</v>
      </c>
      <c r="I86" s="384">
        <f t="shared" si="57"/>
        <v>955573467.5</v>
      </c>
      <c r="J86" s="384">
        <f t="shared" si="57"/>
        <v>0</v>
      </c>
      <c r="K86" s="384">
        <f t="shared" si="57"/>
        <v>0</v>
      </c>
      <c r="L86" s="317">
        <f t="shared" si="42"/>
        <v>955573467.5</v>
      </c>
      <c r="M86" s="317"/>
      <c r="N86" s="372">
        <f t="shared" si="47"/>
        <v>0</v>
      </c>
      <c r="O86" s="384">
        <f t="shared" ref="O86:P86" si="58">O75+O79+O81</f>
        <v>1049343314.25</v>
      </c>
      <c r="P86" s="384">
        <f t="shared" si="58"/>
        <v>1154277645.675</v>
      </c>
      <c r="R86" s="317"/>
      <c r="U86" s="320"/>
    </row>
    <row r="87" spans="1:21" s="312" customFormat="1" outlineLevel="1">
      <c r="A87" s="313"/>
      <c r="B87" s="313"/>
      <c r="C87" s="383"/>
      <c r="D87" s="383" t="s">
        <v>84</v>
      </c>
      <c r="E87" s="384">
        <f>E86+E72</f>
        <v>1634352558</v>
      </c>
      <c r="F87" s="384">
        <f t="shared" ref="F87:K87" si="59">F86+F72</f>
        <v>156798932.5</v>
      </c>
      <c r="G87" s="384">
        <f t="shared" si="59"/>
        <v>104650365</v>
      </c>
      <c r="H87" s="384">
        <f t="shared" si="59"/>
        <v>1000000</v>
      </c>
      <c r="I87" s="384">
        <f t="shared" si="59"/>
        <v>1896801855.5</v>
      </c>
      <c r="J87" s="384">
        <f t="shared" si="59"/>
        <v>-7000000</v>
      </c>
      <c r="K87" s="384">
        <f t="shared" si="59"/>
        <v>-2837200</v>
      </c>
      <c r="L87" s="317">
        <f t="shared" si="42"/>
        <v>1886964655.5</v>
      </c>
      <c r="M87" s="317"/>
      <c r="N87" s="372">
        <f t="shared" si="47"/>
        <v>2837200</v>
      </c>
      <c r="O87" s="384">
        <f t="shared" ref="O87:P87" si="60">O86+O72</f>
        <v>2073467621.0500002</v>
      </c>
      <c r="P87" s="384">
        <f t="shared" si="60"/>
        <v>2280408383.1550002</v>
      </c>
      <c r="R87" s="317"/>
      <c r="U87" s="320"/>
    </row>
    <row r="88" spans="1:21" s="312" customFormat="1" outlineLevel="1">
      <c r="A88" s="313"/>
      <c r="B88" s="313"/>
      <c r="C88" s="383"/>
      <c r="D88" s="383"/>
      <c r="E88" s="384"/>
      <c r="F88" s="316"/>
      <c r="G88" s="316"/>
      <c r="H88" s="316"/>
      <c r="I88" s="324">
        <f t="shared" si="44"/>
        <v>0</v>
      </c>
      <c r="J88" s="335"/>
      <c r="K88" s="335"/>
      <c r="L88" s="317">
        <f t="shared" si="42"/>
        <v>0</v>
      </c>
      <c r="M88" s="317"/>
      <c r="N88" s="372">
        <f t="shared" si="47"/>
        <v>0</v>
      </c>
      <c r="O88" s="395"/>
      <c r="P88" s="395"/>
      <c r="R88" s="317"/>
      <c r="U88" s="320"/>
    </row>
    <row r="89" spans="1:21" s="312" customFormat="1" outlineLevel="1">
      <c r="A89" s="313"/>
      <c r="B89" s="313">
        <v>1</v>
      </c>
      <c r="C89" s="383" t="s">
        <v>93</v>
      </c>
      <c r="D89" s="383"/>
      <c r="E89" s="385"/>
      <c r="F89" s="316"/>
      <c r="G89" s="316"/>
      <c r="H89" s="316"/>
      <c r="I89" s="324">
        <f t="shared" si="44"/>
        <v>0</v>
      </c>
      <c r="J89" s="335"/>
      <c r="K89" s="335"/>
      <c r="L89" s="317">
        <f t="shared" si="42"/>
        <v>0</v>
      </c>
      <c r="M89" s="317"/>
      <c r="N89" s="372">
        <f t="shared" si="47"/>
        <v>0</v>
      </c>
      <c r="O89" s="336">
        <f t="shared" ref="O89:O90" si="61">L89*1.1</f>
        <v>0</v>
      </c>
      <c r="P89" s="336">
        <f t="shared" ref="P89:P90" si="62">O89*1.1</f>
        <v>0</v>
      </c>
      <c r="R89" s="317"/>
      <c r="U89" s="320"/>
    </row>
    <row r="90" spans="1:21" s="312" customFormat="1" outlineLevel="1">
      <c r="A90" s="313"/>
      <c r="B90" s="313"/>
      <c r="C90" s="383" t="s">
        <v>94</v>
      </c>
      <c r="D90" s="383"/>
      <c r="E90" s="384"/>
      <c r="F90" s="316"/>
      <c r="G90" s="316"/>
      <c r="H90" s="316"/>
      <c r="I90" s="324">
        <f t="shared" si="44"/>
        <v>0</v>
      </c>
      <c r="J90" s="335"/>
      <c r="K90" s="335"/>
      <c r="L90" s="317">
        <f t="shared" si="42"/>
        <v>0</v>
      </c>
      <c r="M90" s="317"/>
      <c r="N90" s="372">
        <f t="shared" si="47"/>
        <v>0</v>
      </c>
      <c r="O90" s="336">
        <f t="shared" si="61"/>
        <v>0</v>
      </c>
      <c r="P90" s="336">
        <f t="shared" si="62"/>
        <v>0</v>
      </c>
      <c r="R90" s="317"/>
      <c r="U90" s="320"/>
    </row>
    <row r="91" spans="1:21" s="312" customFormat="1" outlineLevel="2">
      <c r="A91" s="313"/>
      <c r="B91" s="313"/>
      <c r="C91" s="396">
        <v>2210100</v>
      </c>
      <c r="D91" s="396" t="s">
        <v>16</v>
      </c>
      <c r="E91" s="397">
        <f>SUM(E92:E93)</f>
        <v>1100000</v>
      </c>
      <c r="F91" s="397">
        <f t="shared" ref="F91:K91" si="63">SUM(F92:F93)</f>
        <v>0</v>
      </c>
      <c r="G91" s="397">
        <f t="shared" si="63"/>
        <v>0</v>
      </c>
      <c r="H91" s="397">
        <f t="shared" si="63"/>
        <v>0</v>
      </c>
      <c r="I91" s="397">
        <f t="shared" si="63"/>
        <v>1100000</v>
      </c>
      <c r="J91" s="397">
        <f t="shared" si="63"/>
        <v>0</v>
      </c>
      <c r="K91" s="397">
        <f t="shared" si="63"/>
        <v>-800000</v>
      </c>
      <c r="L91" s="317">
        <f t="shared" si="42"/>
        <v>300000</v>
      </c>
      <c r="M91" s="317"/>
      <c r="N91" s="372">
        <f t="shared" si="47"/>
        <v>800000</v>
      </c>
      <c r="O91" s="397">
        <f t="shared" ref="O91:P91" si="64">SUM(O92:O93)</f>
        <v>330000</v>
      </c>
      <c r="P91" s="397">
        <f t="shared" si="64"/>
        <v>363000.00000000006</v>
      </c>
      <c r="R91" s="317"/>
      <c r="U91" s="320"/>
    </row>
    <row r="92" spans="1:21" s="312" customFormat="1" outlineLevel="2">
      <c r="A92" s="313"/>
      <c r="B92" s="313"/>
      <c r="C92" s="398">
        <v>2210101</v>
      </c>
      <c r="D92" s="398" t="s">
        <v>17</v>
      </c>
      <c r="E92" s="389">
        <v>800000</v>
      </c>
      <c r="F92" s="399"/>
      <c r="G92" s="399"/>
      <c r="H92" s="399"/>
      <c r="I92" s="324">
        <f t="shared" si="44"/>
        <v>800000</v>
      </c>
      <c r="J92" s="335"/>
      <c r="K92" s="335">
        <v>-800000</v>
      </c>
      <c r="L92" s="317">
        <f t="shared" si="42"/>
        <v>0</v>
      </c>
      <c r="M92" s="317"/>
      <c r="N92" s="372">
        <f t="shared" si="47"/>
        <v>800000</v>
      </c>
      <c r="O92" s="336">
        <f t="shared" ref="O92:O93" si="65">L92*1.1</f>
        <v>0</v>
      </c>
      <c r="P92" s="336">
        <f t="shared" ref="P92:P93" si="66">O92*1.1</f>
        <v>0</v>
      </c>
      <c r="R92" s="317"/>
      <c r="U92" s="320"/>
    </row>
    <row r="93" spans="1:21" s="312" customFormat="1" outlineLevel="2">
      <c r="A93" s="313"/>
      <c r="B93" s="313"/>
      <c r="C93" s="398">
        <v>2210102</v>
      </c>
      <c r="D93" s="398" t="s">
        <v>18</v>
      </c>
      <c r="E93" s="389">
        <v>300000</v>
      </c>
      <c r="F93" s="399"/>
      <c r="G93" s="399"/>
      <c r="H93" s="399"/>
      <c r="I93" s="324">
        <f t="shared" si="44"/>
        <v>300000</v>
      </c>
      <c r="J93" s="335"/>
      <c r="K93" s="335"/>
      <c r="L93" s="317">
        <f t="shared" si="42"/>
        <v>300000</v>
      </c>
      <c r="M93" s="317"/>
      <c r="N93" s="372">
        <f t="shared" si="47"/>
        <v>0</v>
      </c>
      <c r="O93" s="336">
        <f t="shared" si="65"/>
        <v>330000</v>
      </c>
      <c r="P93" s="336">
        <f t="shared" si="66"/>
        <v>363000.00000000006</v>
      </c>
      <c r="R93" s="317"/>
      <c r="U93" s="320"/>
    </row>
    <row r="94" spans="1:21" s="312" customFormat="1" outlineLevel="2">
      <c r="A94" s="313"/>
      <c r="B94" s="313"/>
      <c r="C94" s="327">
        <v>2210200</v>
      </c>
      <c r="D94" s="400" t="s">
        <v>20</v>
      </c>
      <c r="E94" s="397">
        <f>SUM(E95:E96)</f>
        <v>220000</v>
      </c>
      <c r="F94" s="397">
        <f t="shared" ref="F94:K94" si="67">SUM(F95:F96)</f>
        <v>0</v>
      </c>
      <c r="G94" s="397">
        <f t="shared" si="67"/>
        <v>0</v>
      </c>
      <c r="H94" s="397">
        <f t="shared" si="67"/>
        <v>0</v>
      </c>
      <c r="I94" s="397">
        <f t="shared" si="67"/>
        <v>220000</v>
      </c>
      <c r="J94" s="397">
        <f t="shared" si="67"/>
        <v>0</v>
      </c>
      <c r="K94" s="397">
        <f t="shared" si="67"/>
        <v>-100000</v>
      </c>
      <c r="L94" s="317">
        <f t="shared" si="42"/>
        <v>120000</v>
      </c>
      <c r="M94" s="317"/>
      <c r="N94" s="372">
        <f t="shared" si="47"/>
        <v>100000</v>
      </c>
      <c r="O94" s="397">
        <f t="shared" ref="O94:P94" si="68">SUM(O95:O96)</f>
        <v>132000</v>
      </c>
      <c r="P94" s="397">
        <f t="shared" si="68"/>
        <v>145200</v>
      </c>
      <c r="R94" s="317"/>
      <c r="U94" s="320"/>
    </row>
    <row r="95" spans="1:21" s="312" customFormat="1" outlineLevel="2">
      <c r="A95" s="313"/>
      <c r="B95" s="313"/>
      <c r="C95" s="346">
        <v>2210201</v>
      </c>
      <c r="D95" s="347" t="s">
        <v>21</v>
      </c>
      <c r="E95" s="389">
        <v>120000</v>
      </c>
      <c r="F95" s="348"/>
      <c r="G95" s="348"/>
      <c r="H95" s="348"/>
      <c r="I95" s="324">
        <f t="shared" si="44"/>
        <v>120000</v>
      </c>
      <c r="J95" s="335"/>
      <c r="K95" s="335"/>
      <c r="L95" s="317">
        <f t="shared" si="42"/>
        <v>120000</v>
      </c>
      <c r="M95" s="317"/>
      <c r="N95" s="372">
        <f t="shared" si="47"/>
        <v>0</v>
      </c>
      <c r="O95" s="336">
        <f t="shared" ref="O95:O96" si="69">L95*1.1</f>
        <v>132000</v>
      </c>
      <c r="P95" s="336">
        <f t="shared" ref="P95:P96" si="70">O95*1.1</f>
        <v>145200</v>
      </c>
      <c r="R95" s="317"/>
      <c r="U95" s="320"/>
    </row>
    <row r="96" spans="1:21" s="312" customFormat="1" outlineLevel="2">
      <c r="A96" s="313"/>
      <c r="B96" s="313"/>
      <c r="C96" s="346">
        <v>2210202</v>
      </c>
      <c r="D96" s="347" t="s">
        <v>22</v>
      </c>
      <c r="E96" s="389">
        <v>100000</v>
      </c>
      <c r="F96" s="348"/>
      <c r="G96" s="348"/>
      <c r="H96" s="348"/>
      <c r="I96" s="324">
        <f t="shared" si="44"/>
        <v>100000</v>
      </c>
      <c r="J96" s="335"/>
      <c r="K96" s="335">
        <v>-100000</v>
      </c>
      <c r="L96" s="317">
        <f t="shared" si="42"/>
        <v>0</v>
      </c>
      <c r="M96" s="317"/>
      <c r="N96" s="372">
        <f t="shared" si="47"/>
        <v>100000</v>
      </c>
      <c r="O96" s="336">
        <f t="shared" si="69"/>
        <v>0</v>
      </c>
      <c r="P96" s="336">
        <f t="shared" si="70"/>
        <v>0</v>
      </c>
      <c r="R96" s="317"/>
      <c r="U96" s="320"/>
    </row>
    <row r="97" spans="1:21" s="312" customFormat="1" outlineLevel="2">
      <c r="A97" s="313"/>
      <c r="B97" s="313"/>
      <c r="C97" s="327">
        <v>2210300</v>
      </c>
      <c r="D97" s="400" t="s">
        <v>24</v>
      </c>
      <c r="E97" s="397">
        <f>SUM(E98:E100)</f>
        <v>2250000</v>
      </c>
      <c r="F97" s="397">
        <f t="shared" ref="F97:K97" si="71">SUM(F98:F100)</f>
        <v>0</v>
      </c>
      <c r="G97" s="397">
        <f t="shared" si="71"/>
        <v>0</v>
      </c>
      <c r="H97" s="397">
        <f t="shared" si="71"/>
        <v>0</v>
      </c>
      <c r="I97" s="397">
        <f t="shared" si="71"/>
        <v>2250000</v>
      </c>
      <c r="J97" s="397">
        <f t="shared" si="71"/>
        <v>0</v>
      </c>
      <c r="K97" s="397">
        <f t="shared" si="71"/>
        <v>0</v>
      </c>
      <c r="L97" s="317">
        <f t="shared" si="42"/>
        <v>2250000</v>
      </c>
      <c r="M97" s="317"/>
      <c r="N97" s="372">
        <f t="shared" si="47"/>
        <v>0</v>
      </c>
      <c r="O97" s="397">
        <f t="shared" ref="O97:P97" si="72">SUM(O98:O100)</f>
        <v>2475000.0000000005</v>
      </c>
      <c r="P97" s="397">
        <f t="shared" si="72"/>
        <v>2722500.0000000009</v>
      </c>
      <c r="R97" s="317"/>
      <c r="U97" s="320"/>
    </row>
    <row r="98" spans="1:21" s="312" customFormat="1" outlineLevel="2">
      <c r="A98" s="313"/>
      <c r="B98" s="313"/>
      <c r="C98" s="346">
        <v>2210301</v>
      </c>
      <c r="D98" s="347" t="s">
        <v>25</v>
      </c>
      <c r="E98" s="389">
        <v>800000</v>
      </c>
      <c r="F98" s="348"/>
      <c r="G98" s="348"/>
      <c r="H98" s="348"/>
      <c r="I98" s="324">
        <f t="shared" si="44"/>
        <v>800000</v>
      </c>
      <c r="J98" s="335">
        <v>0</v>
      </c>
      <c r="K98" s="335"/>
      <c r="L98" s="317">
        <f t="shared" si="42"/>
        <v>800000</v>
      </c>
      <c r="M98" s="317"/>
      <c r="N98" s="372">
        <f t="shared" si="47"/>
        <v>0</v>
      </c>
      <c r="O98" s="336">
        <f t="shared" ref="O98:O100" si="73">L98*1.1</f>
        <v>880000.00000000012</v>
      </c>
      <c r="P98" s="336">
        <f t="shared" ref="P98:P100" si="74">O98*1.1</f>
        <v>968000.00000000023</v>
      </c>
      <c r="R98" s="317"/>
      <c r="U98" s="320"/>
    </row>
    <row r="99" spans="1:21" s="312" customFormat="1" outlineLevel="2">
      <c r="A99" s="313"/>
      <c r="B99" s="313"/>
      <c r="C99" s="346">
        <v>2210302</v>
      </c>
      <c r="D99" s="347" t="s">
        <v>26</v>
      </c>
      <c r="E99" s="389">
        <v>700000</v>
      </c>
      <c r="F99" s="348"/>
      <c r="G99" s="348"/>
      <c r="H99" s="348"/>
      <c r="I99" s="324">
        <f t="shared" si="44"/>
        <v>700000</v>
      </c>
      <c r="J99" s="335"/>
      <c r="K99" s="335"/>
      <c r="L99" s="317">
        <f t="shared" si="42"/>
        <v>700000</v>
      </c>
      <c r="M99" s="317"/>
      <c r="N99" s="372">
        <f t="shared" si="47"/>
        <v>0</v>
      </c>
      <c r="O99" s="336">
        <f t="shared" si="73"/>
        <v>770000.00000000012</v>
      </c>
      <c r="P99" s="336">
        <f t="shared" si="74"/>
        <v>847000.00000000023</v>
      </c>
      <c r="R99" s="317"/>
      <c r="U99" s="320"/>
    </row>
    <row r="100" spans="1:21" s="312" customFormat="1" outlineLevel="2">
      <c r="A100" s="313"/>
      <c r="B100" s="313"/>
      <c r="C100" s="346">
        <v>2210303</v>
      </c>
      <c r="D100" s="347" t="s">
        <v>27</v>
      </c>
      <c r="E100" s="389">
        <f>1000000-250000</f>
        <v>750000</v>
      </c>
      <c r="F100" s="348"/>
      <c r="G100" s="348"/>
      <c r="H100" s="348"/>
      <c r="I100" s="324">
        <f t="shared" si="44"/>
        <v>750000</v>
      </c>
      <c r="J100" s="335"/>
      <c r="K100" s="335"/>
      <c r="L100" s="317">
        <f t="shared" si="42"/>
        <v>750000</v>
      </c>
      <c r="M100" s="317"/>
      <c r="N100" s="372">
        <f t="shared" si="47"/>
        <v>0</v>
      </c>
      <c r="O100" s="336">
        <f t="shared" si="73"/>
        <v>825000.00000000012</v>
      </c>
      <c r="P100" s="336">
        <f t="shared" si="74"/>
        <v>907500.00000000023</v>
      </c>
      <c r="R100" s="317"/>
      <c r="U100" s="320"/>
    </row>
    <row r="101" spans="1:21" s="312" customFormat="1" outlineLevel="2">
      <c r="A101" s="313"/>
      <c r="B101" s="313"/>
      <c r="C101" s="327">
        <v>2210500</v>
      </c>
      <c r="D101" s="400" t="s">
        <v>31</v>
      </c>
      <c r="E101" s="397">
        <f>E102</f>
        <v>200000</v>
      </c>
      <c r="F101" s="397">
        <f t="shared" ref="F101:P101" si="75">F102</f>
        <v>0</v>
      </c>
      <c r="G101" s="397">
        <f t="shared" si="75"/>
        <v>0</v>
      </c>
      <c r="H101" s="397">
        <f t="shared" si="75"/>
        <v>0</v>
      </c>
      <c r="I101" s="397">
        <f t="shared" si="75"/>
        <v>200000</v>
      </c>
      <c r="J101" s="397">
        <f t="shared" si="75"/>
        <v>0</v>
      </c>
      <c r="K101" s="397">
        <f t="shared" si="75"/>
        <v>0</v>
      </c>
      <c r="L101" s="317">
        <f t="shared" si="42"/>
        <v>200000</v>
      </c>
      <c r="M101" s="317"/>
      <c r="N101" s="372">
        <f t="shared" si="47"/>
        <v>0</v>
      </c>
      <c r="O101" s="397">
        <f t="shared" si="75"/>
        <v>220000.00000000003</v>
      </c>
      <c r="P101" s="397">
        <f t="shared" si="75"/>
        <v>242000.00000000006</v>
      </c>
      <c r="R101" s="317"/>
      <c r="U101" s="320"/>
    </row>
    <row r="102" spans="1:21" s="312" customFormat="1" outlineLevel="2">
      <c r="A102" s="313"/>
      <c r="B102" s="313"/>
      <c r="C102" s="346">
        <v>2210503</v>
      </c>
      <c r="D102" s="347" t="s">
        <v>32</v>
      </c>
      <c r="E102" s="389">
        <v>200000</v>
      </c>
      <c r="F102" s="348"/>
      <c r="G102" s="348"/>
      <c r="H102" s="348"/>
      <c r="I102" s="324">
        <f t="shared" si="44"/>
        <v>200000</v>
      </c>
      <c r="J102" s="335"/>
      <c r="K102" s="335"/>
      <c r="L102" s="317">
        <f t="shared" si="42"/>
        <v>200000</v>
      </c>
      <c r="M102" s="317"/>
      <c r="N102" s="372">
        <f t="shared" si="47"/>
        <v>0</v>
      </c>
      <c r="O102" s="336">
        <f t="shared" ref="O102" si="76">L102*1.1</f>
        <v>220000.00000000003</v>
      </c>
      <c r="P102" s="336">
        <f t="shared" ref="P102" si="77">O102*1.1</f>
        <v>242000.00000000006</v>
      </c>
      <c r="R102" s="317"/>
      <c r="U102" s="320"/>
    </row>
    <row r="103" spans="1:21" s="312" customFormat="1" outlineLevel="2">
      <c r="A103" s="313"/>
      <c r="B103" s="313"/>
      <c r="C103" s="327">
        <v>2210700</v>
      </c>
      <c r="D103" s="400" t="s">
        <v>35</v>
      </c>
      <c r="E103" s="397">
        <f>SUM(E104:E109)</f>
        <v>1800000</v>
      </c>
      <c r="F103" s="397">
        <f t="shared" ref="F103:K103" si="78">SUM(F104:F109)</f>
        <v>0</v>
      </c>
      <c r="G103" s="397">
        <f t="shared" si="78"/>
        <v>0</v>
      </c>
      <c r="H103" s="397">
        <f t="shared" si="78"/>
        <v>0</v>
      </c>
      <c r="I103" s="397">
        <f t="shared" si="78"/>
        <v>1800000</v>
      </c>
      <c r="J103" s="397">
        <f t="shared" si="78"/>
        <v>0</v>
      </c>
      <c r="K103" s="397">
        <f t="shared" si="78"/>
        <v>-405500</v>
      </c>
      <c r="L103" s="317">
        <f t="shared" si="42"/>
        <v>1394500</v>
      </c>
      <c r="M103" s="317"/>
      <c r="N103" s="372">
        <f t="shared" si="47"/>
        <v>405500</v>
      </c>
      <c r="O103" s="397">
        <f t="shared" ref="O103:P103" si="79">SUM(O104:O109)</f>
        <v>1533950</v>
      </c>
      <c r="P103" s="397">
        <f t="shared" si="79"/>
        <v>1687345</v>
      </c>
      <c r="R103" s="317"/>
      <c r="U103" s="320"/>
    </row>
    <row r="104" spans="1:21" s="312" customFormat="1" outlineLevel="2">
      <c r="A104" s="313"/>
      <c r="B104" s="313"/>
      <c r="C104" s="346">
        <v>2210701</v>
      </c>
      <c r="D104" s="347" t="s">
        <v>36</v>
      </c>
      <c r="E104" s="389">
        <v>100000</v>
      </c>
      <c r="F104" s="348"/>
      <c r="G104" s="348"/>
      <c r="H104" s="348"/>
      <c r="I104" s="324">
        <f t="shared" si="44"/>
        <v>100000</v>
      </c>
      <c r="J104" s="335"/>
      <c r="K104" s="335"/>
      <c r="L104" s="317">
        <f t="shared" si="42"/>
        <v>100000</v>
      </c>
      <c r="M104" s="317"/>
      <c r="N104" s="372">
        <f t="shared" si="47"/>
        <v>0</v>
      </c>
      <c r="O104" s="336">
        <f t="shared" ref="O104:O109" si="80">L104*1.1</f>
        <v>110000.00000000001</v>
      </c>
      <c r="P104" s="336">
        <f t="shared" ref="P104:P109" si="81">O104*1.1</f>
        <v>121000.00000000003</v>
      </c>
      <c r="R104" s="317"/>
      <c r="U104" s="320"/>
    </row>
    <row r="105" spans="1:21" s="312" customFormat="1" outlineLevel="2">
      <c r="A105" s="313"/>
      <c r="B105" s="313"/>
      <c r="C105" s="346">
        <v>2210702</v>
      </c>
      <c r="D105" s="347" t="s">
        <v>95</v>
      </c>
      <c r="E105" s="389">
        <v>500000</v>
      </c>
      <c r="F105" s="348"/>
      <c r="G105" s="348"/>
      <c r="H105" s="348"/>
      <c r="I105" s="324">
        <f t="shared" si="44"/>
        <v>500000</v>
      </c>
      <c r="J105" s="335"/>
      <c r="K105" s="335">
        <v>-405500</v>
      </c>
      <c r="L105" s="317">
        <f t="shared" si="42"/>
        <v>94500</v>
      </c>
      <c r="M105" s="317"/>
      <c r="N105" s="372">
        <f t="shared" si="47"/>
        <v>405500</v>
      </c>
      <c r="O105" s="336">
        <f t="shared" si="80"/>
        <v>103950.00000000001</v>
      </c>
      <c r="P105" s="336">
        <f t="shared" si="81"/>
        <v>114345.00000000003</v>
      </c>
      <c r="R105" s="317"/>
      <c r="U105" s="320"/>
    </row>
    <row r="106" spans="1:21" s="312" customFormat="1" outlineLevel="2">
      <c r="A106" s="313"/>
      <c r="B106" s="313"/>
      <c r="C106" s="346">
        <v>2210704</v>
      </c>
      <c r="D106" s="347" t="s">
        <v>38</v>
      </c>
      <c r="E106" s="389">
        <v>100000</v>
      </c>
      <c r="F106" s="348"/>
      <c r="G106" s="348"/>
      <c r="H106" s="348"/>
      <c r="I106" s="324">
        <f t="shared" si="44"/>
        <v>100000</v>
      </c>
      <c r="J106" s="335"/>
      <c r="K106" s="335"/>
      <c r="L106" s="317">
        <f t="shared" si="42"/>
        <v>100000</v>
      </c>
      <c r="M106" s="317"/>
      <c r="N106" s="372">
        <f t="shared" si="47"/>
        <v>0</v>
      </c>
      <c r="O106" s="336">
        <f t="shared" si="80"/>
        <v>110000.00000000001</v>
      </c>
      <c r="P106" s="336">
        <f t="shared" si="81"/>
        <v>121000.00000000003</v>
      </c>
      <c r="R106" s="317"/>
      <c r="U106" s="320"/>
    </row>
    <row r="107" spans="1:21" s="312" customFormat="1" outlineLevel="2">
      <c r="A107" s="313"/>
      <c r="B107" s="313"/>
      <c r="C107" s="346">
        <v>2210710</v>
      </c>
      <c r="D107" s="347" t="s">
        <v>39</v>
      </c>
      <c r="E107" s="389">
        <v>100000</v>
      </c>
      <c r="F107" s="348"/>
      <c r="G107" s="348"/>
      <c r="H107" s="348"/>
      <c r="I107" s="324">
        <f t="shared" si="44"/>
        <v>100000</v>
      </c>
      <c r="J107" s="335"/>
      <c r="K107" s="335"/>
      <c r="L107" s="317">
        <f t="shared" si="42"/>
        <v>100000</v>
      </c>
      <c r="M107" s="317"/>
      <c r="N107" s="372">
        <f t="shared" si="47"/>
        <v>0</v>
      </c>
      <c r="O107" s="336">
        <f t="shared" si="80"/>
        <v>110000.00000000001</v>
      </c>
      <c r="P107" s="336">
        <f t="shared" si="81"/>
        <v>121000.00000000003</v>
      </c>
      <c r="R107" s="317"/>
      <c r="U107" s="320"/>
    </row>
    <row r="108" spans="1:21" s="312" customFormat="1" outlineLevel="2">
      <c r="A108" s="313"/>
      <c r="B108" s="313"/>
      <c r="C108" s="346">
        <v>2210715</v>
      </c>
      <c r="D108" s="347" t="s">
        <v>40</v>
      </c>
      <c r="E108" s="389">
        <v>500000</v>
      </c>
      <c r="F108" s="348"/>
      <c r="G108" s="348"/>
      <c r="H108" s="348"/>
      <c r="I108" s="324">
        <f t="shared" si="44"/>
        <v>500000</v>
      </c>
      <c r="J108" s="335"/>
      <c r="K108" s="335"/>
      <c r="L108" s="317">
        <f t="shared" si="42"/>
        <v>500000</v>
      </c>
      <c r="M108" s="317"/>
      <c r="N108" s="372">
        <f t="shared" si="47"/>
        <v>0</v>
      </c>
      <c r="O108" s="336">
        <f t="shared" si="80"/>
        <v>550000</v>
      </c>
      <c r="P108" s="336">
        <f t="shared" si="81"/>
        <v>605000</v>
      </c>
      <c r="R108" s="317"/>
      <c r="U108" s="320"/>
    </row>
    <row r="109" spans="1:21" s="312" customFormat="1" outlineLevel="2">
      <c r="A109" s="313"/>
      <c r="B109" s="313"/>
      <c r="C109" s="346">
        <v>2210799</v>
      </c>
      <c r="D109" s="347" t="s">
        <v>96</v>
      </c>
      <c r="E109" s="389">
        <v>500000</v>
      </c>
      <c r="F109" s="348"/>
      <c r="G109" s="348"/>
      <c r="H109" s="348"/>
      <c r="I109" s="324">
        <f t="shared" si="44"/>
        <v>500000</v>
      </c>
      <c r="J109" s="335"/>
      <c r="K109" s="335"/>
      <c r="L109" s="317">
        <f t="shared" si="42"/>
        <v>500000</v>
      </c>
      <c r="M109" s="317"/>
      <c r="N109" s="372">
        <f t="shared" si="47"/>
        <v>0</v>
      </c>
      <c r="O109" s="336">
        <f t="shared" si="80"/>
        <v>550000</v>
      </c>
      <c r="P109" s="336">
        <f t="shared" si="81"/>
        <v>605000</v>
      </c>
      <c r="R109" s="317"/>
      <c r="U109" s="320"/>
    </row>
    <row r="110" spans="1:21" s="312" customFormat="1" outlineLevel="2">
      <c r="A110" s="313"/>
      <c r="B110" s="313"/>
      <c r="C110" s="327">
        <v>2210800</v>
      </c>
      <c r="D110" s="400" t="s">
        <v>42</v>
      </c>
      <c r="E110" s="397">
        <f>SUM(E111:E112)</f>
        <v>1000000</v>
      </c>
      <c r="F110" s="397">
        <f t="shared" ref="F110:K110" si="82">SUM(F111:F112)</f>
        <v>0</v>
      </c>
      <c r="G110" s="397">
        <f t="shared" si="82"/>
        <v>0</v>
      </c>
      <c r="H110" s="397">
        <f t="shared" si="82"/>
        <v>0</v>
      </c>
      <c r="I110" s="397">
        <f t="shared" si="82"/>
        <v>1000000</v>
      </c>
      <c r="J110" s="397">
        <f t="shared" si="82"/>
        <v>0</v>
      </c>
      <c r="K110" s="397">
        <f t="shared" si="82"/>
        <v>0</v>
      </c>
      <c r="L110" s="317">
        <f t="shared" si="42"/>
        <v>1000000</v>
      </c>
      <c r="M110" s="317"/>
      <c r="N110" s="372">
        <f t="shared" si="47"/>
        <v>0</v>
      </c>
      <c r="O110" s="397">
        <f t="shared" ref="O110:P110" si="83">SUM(O111:O112)</f>
        <v>1100000</v>
      </c>
      <c r="P110" s="397">
        <f t="shared" si="83"/>
        <v>1210000</v>
      </c>
      <c r="R110" s="317"/>
      <c r="U110" s="320"/>
    </row>
    <row r="111" spans="1:21" s="312" customFormat="1" outlineLevel="2">
      <c r="A111" s="313"/>
      <c r="B111" s="313"/>
      <c r="C111" s="346">
        <v>2210801</v>
      </c>
      <c r="D111" s="347" t="s">
        <v>2418</v>
      </c>
      <c r="E111" s="389">
        <v>500000</v>
      </c>
      <c r="F111" s="348"/>
      <c r="G111" s="348"/>
      <c r="H111" s="348"/>
      <c r="I111" s="324">
        <f t="shared" si="44"/>
        <v>500000</v>
      </c>
      <c r="J111" s="335"/>
      <c r="K111" s="335">
        <v>0</v>
      </c>
      <c r="L111" s="317">
        <f t="shared" si="42"/>
        <v>500000</v>
      </c>
      <c r="M111" s="317"/>
      <c r="N111" s="372">
        <f t="shared" si="47"/>
        <v>0</v>
      </c>
      <c r="O111" s="336">
        <f t="shared" ref="O111:O112" si="84">L111*1.1</f>
        <v>550000</v>
      </c>
      <c r="P111" s="336">
        <f t="shared" ref="P111:P112" si="85">O111*1.1</f>
        <v>605000</v>
      </c>
      <c r="R111" s="317"/>
      <c r="U111" s="320"/>
    </row>
    <row r="112" spans="1:21" s="312" customFormat="1" outlineLevel="2">
      <c r="A112" s="313"/>
      <c r="B112" s="313"/>
      <c r="C112" s="346">
        <v>2210802</v>
      </c>
      <c r="D112" s="347" t="s">
        <v>97</v>
      </c>
      <c r="E112" s="389">
        <v>500000</v>
      </c>
      <c r="F112" s="348"/>
      <c r="G112" s="348"/>
      <c r="H112" s="348"/>
      <c r="I112" s="324">
        <f t="shared" si="44"/>
        <v>500000</v>
      </c>
      <c r="J112" s="335"/>
      <c r="K112" s="335"/>
      <c r="L112" s="317">
        <f t="shared" si="42"/>
        <v>500000</v>
      </c>
      <c r="M112" s="317"/>
      <c r="N112" s="372">
        <f t="shared" si="47"/>
        <v>0</v>
      </c>
      <c r="O112" s="336">
        <f t="shared" si="84"/>
        <v>550000</v>
      </c>
      <c r="P112" s="336">
        <f t="shared" si="85"/>
        <v>605000</v>
      </c>
      <c r="R112" s="317"/>
      <c r="U112" s="320"/>
    </row>
    <row r="113" spans="1:21" s="312" customFormat="1" outlineLevel="2">
      <c r="A113" s="313"/>
      <c r="B113" s="313"/>
      <c r="C113" s="327">
        <v>2211100</v>
      </c>
      <c r="D113" s="400" t="s">
        <v>51</v>
      </c>
      <c r="E113" s="397">
        <f>SUM(E114:E116)</f>
        <v>2400000</v>
      </c>
      <c r="F113" s="397">
        <f t="shared" ref="F113:K113" si="86">SUM(F114:F116)</f>
        <v>0</v>
      </c>
      <c r="G113" s="397">
        <f t="shared" si="86"/>
        <v>0</v>
      </c>
      <c r="H113" s="397">
        <f t="shared" si="86"/>
        <v>0</v>
      </c>
      <c r="I113" s="397">
        <f t="shared" si="86"/>
        <v>2400000</v>
      </c>
      <c r="J113" s="397">
        <f t="shared" si="86"/>
        <v>0</v>
      </c>
      <c r="K113" s="397">
        <f t="shared" si="86"/>
        <v>164160</v>
      </c>
      <c r="L113" s="317">
        <f t="shared" si="42"/>
        <v>2564160</v>
      </c>
      <c r="M113" s="317"/>
      <c r="N113" s="372">
        <f t="shared" si="47"/>
        <v>-164160</v>
      </c>
      <c r="O113" s="397">
        <f t="shared" ref="O113:P113" si="87">SUM(O114:O116)</f>
        <v>2820576.0000000005</v>
      </c>
      <c r="P113" s="397">
        <f t="shared" si="87"/>
        <v>3102633.6000000006</v>
      </c>
      <c r="R113" s="317"/>
      <c r="U113" s="320"/>
    </row>
    <row r="114" spans="1:21" s="312" customFormat="1" outlineLevel="2">
      <c r="A114" s="313"/>
      <c r="B114" s="313"/>
      <c r="C114" s="346">
        <v>2211101</v>
      </c>
      <c r="D114" s="347" t="s">
        <v>52</v>
      </c>
      <c r="E114" s="389">
        <v>700000</v>
      </c>
      <c r="F114" s="348"/>
      <c r="G114" s="348"/>
      <c r="H114" s="348"/>
      <c r="I114" s="324">
        <f t="shared" si="44"/>
        <v>700000</v>
      </c>
      <c r="J114" s="335">
        <v>0</v>
      </c>
      <c r="K114" s="335">
        <v>64160</v>
      </c>
      <c r="L114" s="317">
        <f t="shared" si="42"/>
        <v>764160</v>
      </c>
      <c r="M114" s="317"/>
      <c r="N114" s="372">
        <f t="shared" si="47"/>
        <v>-64160</v>
      </c>
      <c r="O114" s="336">
        <f t="shared" ref="O114:O116" si="88">L114*1.1</f>
        <v>840576.00000000012</v>
      </c>
      <c r="P114" s="336">
        <f t="shared" ref="P114:P116" si="89">O114*1.1</f>
        <v>924633.60000000021</v>
      </c>
      <c r="R114" s="317"/>
      <c r="U114" s="320"/>
    </row>
    <row r="115" spans="1:21" s="312" customFormat="1" outlineLevel="2">
      <c r="A115" s="313"/>
      <c r="B115" s="313"/>
      <c r="C115" s="346">
        <v>2211102</v>
      </c>
      <c r="D115" s="347" t="s">
        <v>53</v>
      </c>
      <c r="E115" s="389">
        <v>800000</v>
      </c>
      <c r="F115" s="348"/>
      <c r="G115" s="348"/>
      <c r="H115" s="348"/>
      <c r="I115" s="324">
        <f t="shared" si="44"/>
        <v>800000</v>
      </c>
      <c r="J115" s="335"/>
      <c r="K115" s="335">
        <v>100000</v>
      </c>
      <c r="L115" s="317">
        <f t="shared" si="42"/>
        <v>900000</v>
      </c>
      <c r="M115" s="317"/>
      <c r="N115" s="372">
        <f t="shared" si="47"/>
        <v>-100000</v>
      </c>
      <c r="O115" s="336">
        <f t="shared" si="88"/>
        <v>990000.00000000012</v>
      </c>
      <c r="P115" s="336">
        <f t="shared" si="89"/>
        <v>1089000.0000000002</v>
      </c>
      <c r="R115" s="317"/>
      <c r="U115" s="320"/>
    </row>
    <row r="116" spans="1:21" s="312" customFormat="1" outlineLevel="2">
      <c r="A116" s="313"/>
      <c r="B116" s="313"/>
      <c r="C116" s="346">
        <v>2211103</v>
      </c>
      <c r="D116" s="347" t="s">
        <v>54</v>
      </c>
      <c r="E116" s="389">
        <v>900000</v>
      </c>
      <c r="F116" s="348"/>
      <c r="G116" s="348"/>
      <c r="H116" s="348"/>
      <c r="I116" s="324">
        <f t="shared" si="44"/>
        <v>900000</v>
      </c>
      <c r="J116" s="335"/>
      <c r="K116" s="335"/>
      <c r="L116" s="317">
        <f t="shared" si="42"/>
        <v>900000</v>
      </c>
      <c r="M116" s="317"/>
      <c r="N116" s="372">
        <f t="shared" si="47"/>
        <v>0</v>
      </c>
      <c r="O116" s="336">
        <f t="shared" si="88"/>
        <v>990000.00000000012</v>
      </c>
      <c r="P116" s="336">
        <f t="shared" si="89"/>
        <v>1089000.0000000002</v>
      </c>
      <c r="R116" s="317"/>
      <c r="U116" s="320"/>
    </row>
    <row r="117" spans="1:21" s="312" customFormat="1" outlineLevel="2">
      <c r="A117" s="313"/>
      <c r="B117" s="313"/>
      <c r="C117" s="339">
        <v>2211000</v>
      </c>
      <c r="D117" s="343" t="s">
        <v>49</v>
      </c>
      <c r="E117" s="329">
        <f>SUM(E118:E119)</f>
        <v>1300000</v>
      </c>
      <c r="F117" s="329">
        <f t="shared" ref="F117:P117" si="90">SUM(F118:F119)</f>
        <v>0</v>
      </c>
      <c r="G117" s="329">
        <f t="shared" si="90"/>
        <v>0</v>
      </c>
      <c r="H117" s="329">
        <f t="shared" si="90"/>
        <v>0</v>
      </c>
      <c r="I117" s="329">
        <f t="shared" si="90"/>
        <v>1300000</v>
      </c>
      <c r="J117" s="329">
        <f t="shared" si="90"/>
        <v>0</v>
      </c>
      <c r="K117" s="329">
        <f t="shared" si="90"/>
        <v>0</v>
      </c>
      <c r="L117" s="317">
        <f t="shared" si="42"/>
        <v>1300000</v>
      </c>
      <c r="M117" s="317"/>
      <c r="N117" s="372">
        <f t="shared" si="47"/>
        <v>0</v>
      </c>
      <c r="O117" s="329">
        <f t="shared" si="90"/>
        <v>1430000</v>
      </c>
      <c r="P117" s="329">
        <f t="shared" si="90"/>
        <v>1573000.0000000002</v>
      </c>
      <c r="R117" s="317"/>
      <c r="U117" s="320"/>
    </row>
    <row r="118" spans="1:21" s="312" customFormat="1" outlineLevel="2">
      <c r="A118" s="313"/>
      <c r="B118" s="313"/>
      <c r="C118" s="331">
        <v>2211016</v>
      </c>
      <c r="D118" s="341" t="s">
        <v>50</v>
      </c>
      <c r="E118" s="334">
        <v>800000</v>
      </c>
      <c r="F118" s="334"/>
      <c r="G118" s="334"/>
      <c r="H118" s="334"/>
      <c r="I118" s="324">
        <f t="shared" si="44"/>
        <v>800000</v>
      </c>
      <c r="J118" s="335"/>
      <c r="K118" s="335"/>
      <c r="L118" s="317">
        <f t="shared" si="42"/>
        <v>800000</v>
      </c>
      <c r="M118" s="317"/>
      <c r="N118" s="372">
        <f t="shared" si="47"/>
        <v>0</v>
      </c>
      <c r="O118" s="336">
        <f t="shared" ref="O118:O119" si="91">L118*1.1</f>
        <v>880000.00000000012</v>
      </c>
      <c r="P118" s="336">
        <f t="shared" ref="P118:P119" si="92">O118*1.1</f>
        <v>968000.00000000023</v>
      </c>
      <c r="R118" s="317"/>
      <c r="U118" s="320"/>
    </row>
    <row r="119" spans="1:21" s="312" customFormat="1" outlineLevel="2">
      <c r="A119" s="313"/>
      <c r="B119" s="313"/>
      <c r="C119" s="331" t="s">
        <v>1541</v>
      </c>
      <c r="D119" s="363" t="s">
        <v>1542</v>
      </c>
      <c r="E119" s="334">
        <v>500000</v>
      </c>
      <c r="F119" s="364"/>
      <c r="G119" s="364"/>
      <c r="H119" s="364"/>
      <c r="I119" s="324">
        <f t="shared" si="44"/>
        <v>500000</v>
      </c>
      <c r="J119" s="335"/>
      <c r="K119" s="335"/>
      <c r="L119" s="317">
        <f t="shared" si="42"/>
        <v>500000</v>
      </c>
      <c r="M119" s="317"/>
      <c r="N119" s="372">
        <f t="shared" si="47"/>
        <v>0</v>
      </c>
      <c r="O119" s="336">
        <f t="shared" si="91"/>
        <v>550000</v>
      </c>
      <c r="P119" s="336">
        <f t="shared" si="92"/>
        <v>605000</v>
      </c>
      <c r="R119" s="317"/>
      <c r="U119" s="320"/>
    </row>
    <row r="120" spans="1:21" s="312" customFormat="1" outlineLevel="2">
      <c r="A120" s="313"/>
      <c r="B120" s="313"/>
      <c r="C120" s="327">
        <v>2211200</v>
      </c>
      <c r="D120" s="400" t="s">
        <v>55</v>
      </c>
      <c r="E120" s="397">
        <f>E121</f>
        <v>1500000</v>
      </c>
      <c r="F120" s="397">
        <f t="shared" ref="F120:P120" si="93">F121</f>
        <v>0</v>
      </c>
      <c r="G120" s="397">
        <f t="shared" si="93"/>
        <v>0</v>
      </c>
      <c r="H120" s="397">
        <f t="shared" si="93"/>
        <v>0</v>
      </c>
      <c r="I120" s="397">
        <f t="shared" si="93"/>
        <v>1500000</v>
      </c>
      <c r="J120" s="397">
        <f t="shared" si="93"/>
        <v>0</v>
      </c>
      <c r="K120" s="397">
        <f t="shared" si="93"/>
        <v>0</v>
      </c>
      <c r="L120" s="317">
        <f t="shared" si="42"/>
        <v>1500000</v>
      </c>
      <c r="M120" s="317"/>
      <c r="N120" s="372">
        <f t="shared" si="47"/>
        <v>0</v>
      </c>
      <c r="O120" s="397">
        <f t="shared" si="93"/>
        <v>1650000.0000000002</v>
      </c>
      <c r="P120" s="397">
        <f t="shared" si="93"/>
        <v>1815000.0000000005</v>
      </c>
      <c r="R120" s="317"/>
      <c r="U120" s="320"/>
    </row>
    <row r="121" spans="1:21" s="312" customFormat="1" outlineLevel="2">
      <c r="A121" s="313"/>
      <c r="B121" s="313"/>
      <c r="C121" s="346">
        <v>2211201</v>
      </c>
      <c r="D121" s="347" t="s">
        <v>56</v>
      </c>
      <c r="E121" s="389">
        <v>1500000</v>
      </c>
      <c r="F121" s="348"/>
      <c r="G121" s="348"/>
      <c r="H121" s="348"/>
      <c r="I121" s="324">
        <f t="shared" si="44"/>
        <v>1500000</v>
      </c>
      <c r="J121" s="335"/>
      <c r="K121" s="335"/>
      <c r="L121" s="317">
        <f t="shared" si="42"/>
        <v>1500000</v>
      </c>
      <c r="M121" s="317"/>
      <c r="N121" s="372">
        <f t="shared" si="47"/>
        <v>0</v>
      </c>
      <c r="O121" s="336">
        <f t="shared" ref="O121" si="94">L121*1.1</f>
        <v>1650000.0000000002</v>
      </c>
      <c r="P121" s="336">
        <f t="shared" ref="P121" si="95">O121*1.1</f>
        <v>1815000.0000000005</v>
      </c>
      <c r="R121" s="317"/>
      <c r="U121" s="320"/>
    </row>
    <row r="122" spans="1:21" s="312" customFormat="1" outlineLevel="2">
      <c r="A122" s="313"/>
      <c r="B122" s="313"/>
      <c r="C122" s="327">
        <v>2220100</v>
      </c>
      <c r="D122" s="400" t="s">
        <v>62</v>
      </c>
      <c r="E122" s="397">
        <f>SUM(E123:E124)</f>
        <v>600000</v>
      </c>
      <c r="F122" s="397">
        <f t="shared" ref="F122:K122" si="96">SUM(F123:F124)</f>
        <v>0</v>
      </c>
      <c r="G122" s="397">
        <f t="shared" si="96"/>
        <v>0</v>
      </c>
      <c r="H122" s="397">
        <f t="shared" si="96"/>
        <v>0</v>
      </c>
      <c r="I122" s="397">
        <f t="shared" si="96"/>
        <v>600000</v>
      </c>
      <c r="J122" s="397">
        <f t="shared" si="96"/>
        <v>0</v>
      </c>
      <c r="K122" s="397">
        <f t="shared" si="96"/>
        <v>38856</v>
      </c>
      <c r="L122" s="317">
        <f t="shared" si="42"/>
        <v>638856</v>
      </c>
      <c r="M122" s="317"/>
      <c r="N122" s="372">
        <f t="shared" si="47"/>
        <v>-38856</v>
      </c>
      <c r="O122" s="397">
        <f t="shared" ref="O122:P122" si="97">SUM(O123:O124)</f>
        <v>702741.60000000009</v>
      </c>
      <c r="P122" s="397">
        <f t="shared" si="97"/>
        <v>773015.76000000013</v>
      </c>
      <c r="R122" s="317"/>
      <c r="U122" s="320"/>
    </row>
    <row r="123" spans="1:21" s="312" customFormat="1" outlineLevel="2">
      <c r="A123" s="313"/>
      <c r="B123" s="313"/>
      <c r="C123" s="346">
        <v>2220101</v>
      </c>
      <c r="D123" s="347" t="s">
        <v>250</v>
      </c>
      <c r="E123" s="389">
        <v>300000</v>
      </c>
      <c r="F123" s="348"/>
      <c r="G123" s="348"/>
      <c r="H123" s="348"/>
      <c r="I123" s="324">
        <f t="shared" si="44"/>
        <v>300000</v>
      </c>
      <c r="J123" s="335"/>
      <c r="K123" s="335"/>
      <c r="L123" s="317">
        <f t="shared" si="42"/>
        <v>300000</v>
      </c>
      <c r="M123" s="317"/>
      <c r="N123" s="372">
        <f t="shared" si="47"/>
        <v>0</v>
      </c>
      <c r="O123" s="336">
        <f t="shared" ref="O123:O124" si="98">L123*1.1</f>
        <v>330000</v>
      </c>
      <c r="P123" s="336">
        <f t="shared" ref="P123:P124" si="99">O123*1.1</f>
        <v>363000.00000000006</v>
      </c>
      <c r="R123" s="317"/>
      <c r="U123" s="320"/>
    </row>
    <row r="124" spans="1:21" s="312" customFormat="1" outlineLevel="2">
      <c r="A124" s="313"/>
      <c r="B124" s="313"/>
      <c r="C124" s="401">
        <v>2220105</v>
      </c>
      <c r="D124" s="402" t="s">
        <v>404</v>
      </c>
      <c r="E124" s="389">
        <v>300000</v>
      </c>
      <c r="F124" s="333"/>
      <c r="G124" s="333"/>
      <c r="H124" s="333"/>
      <c r="I124" s="324">
        <f t="shared" si="44"/>
        <v>300000</v>
      </c>
      <c r="J124" s="335"/>
      <c r="K124" s="335">
        <v>38856</v>
      </c>
      <c r="L124" s="317">
        <f t="shared" si="42"/>
        <v>338856</v>
      </c>
      <c r="M124" s="317"/>
      <c r="N124" s="372">
        <f t="shared" si="47"/>
        <v>-38856</v>
      </c>
      <c r="O124" s="336">
        <f t="shared" si="98"/>
        <v>372741.60000000003</v>
      </c>
      <c r="P124" s="336">
        <f t="shared" si="99"/>
        <v>410015.76000000007</v>
      </c>
      <c r="R124" s="317"/>
      <c r="U124" s="320"/>
    </row>
    <row r="125" spans="1:21" s="312" customFormat="1" outlineLevel="2">
      <c r="A125" s="313"/>
      <c r="B125" s="313"/>
      <c r="C125" s="403">
        <v>2220200</v>
      </c>
      <c r="D125" s="404" t="s">
        <v>405</v>
      </c>
      <c r="E125" s="397">
        <f>E126</f>
        <v>800000</v>
      </c>
      <c r="F125" s="397">
        <f t="shared" ref="F125:K125" si="100">F126</f>
        <v>0</v>
      </c>
      <c r="G125" s="397">
        <f t="shared" si="100"/>
        <v>0</v>
      </c>
      <c r="H125" s="397">
        <f t="shared" si="100"/>
        <v>0</v>
      </c>
      <c r="I125" s="397">
        <f t="shared" si="100"/>
        <v>800000</v>
      </c>
      <c r="J125" s="397">
        <f t="shared" si="100"/>
        <v>0</v>
      </c>
      <c r="K125" s="397">
        <f t="shared" si="100"/>
        <v>0</v>
      </c>
      <c r="L125" s="317">
        <f t="shared" si="42"/>
        <v>800000</v>
      </c>
      <c r="M125" s="317"/>
      <c r="N125" s="372">
        <f t="shared" si="47"/>
        <v>0</v>
      </c>
      <c r="O125" s="397">
        <f t="shared" ref="O125:P125" si="101">O126</f>
        <v>880000.00000000012</v>
      </c>
      <c r="P125" s="397">
        <f t="shared" si="101"/>
        <v>968000.00000000023</v>
      </c>
      <c r="R125" s="317"/>
      <c r="U125" s="320"/>
    </row>
    <row r="126" spans="1:21" s="312" customFormat="1" outlineLevel="2">
      <c r="A126" s="313"/>
      <c r="B126" s="313"/>
      <c r="C126" s="401">
        <v>2220205</v>
      </c>
      <c r="D126" s="402" t="s">
        <v>1543</v>
      </c>
      <c r="E126" s="389">
        <v>800000</v>
      </c>
      <c r="F126" s="333"/>
      <c r="G126" s="333"/>
      <c r="H126" s="333"/>
      <c r="I126" s="324">
        <f t="shared" si="44"/>
        <v>800000</v>
      </c>
      <c r="J126" s="335"/>
      <c r="K126" s="335">
        <v>0</v>
      </c>
      <c r="L126" s="317">
        <f t="shared" si="42"/>
        <v>800000</v>
      </c>
      <c r="M126" s="317"/>
      <c r="N126" s="372">
        <f t="shared" si="47"/>
        <v>0</v>
      </c>
      <c r="O126" s="336">
        <f t="shared" ref="O126" si="102">L126*1.1</f>
        <v>880000.00000000012</v>
      </c>
      <c r="P126" s="336">
        <f t="shared" ref="P126" si="103">O126*1.1</f>
        <v>968000.00000000023</v>
      </c>
      <c r="R126" s="317"/>
      <c r="U126" s="320"/>
    </row>
    <row r="127" spans="1:21" s="312" customFormat="1" outlineLevel="2">
      <c r="A127" s="313"/>
      <c r="B127" s="313"/>
      <c r="C127" s="327">
        <v>3111000</v>
      </c>
      <c r="D127" s="400" t="s">
        <v>69</v>
      </c>
      <c r="E127" s="397">
        <f>SUM(E128:E129)</f>
        <v>1100000</v>
      </c>
      <c r="F127" s="397">
        <f t="shared" ref="F127:K127" si="104">SUM(F128:F129)</f>
        <v>0</v>
      </c>
      <c r="G127" s="397">
        <f t="shared" si="104"/>
        <v>0</v>
      </c>
      <c r="H127" s="397">
        <f t="shared" si="104"/>
        <v>0</v>
      </c>
      <c r="I127" s="397">
        <f t="shared" si="104"/>
        <v>1100000</v>
      </c>
      <c r="J127" s="397">
        <f t="shared" si="104"/>
        <v>0</v>
      </c>
      <c r="K127" s="397">
        <f t="shared" si="104"/>
        <v>0</v>
      </c>
      <c r="L127" s="317">
        <f t="shared" si="42"/>
        <v>1100000</v>
      </c>
      <c r="M127" s="317"/>
      <c r="N127" s="372">
        <f t="shared" si="47"/>
        <v>0</v>
      </c>
      <c r="O127" s="397">
        <f t="shared" ref="O127:P127" si="105">SUM(O128:O129)</f>
        <v>1210000</v>
      </c>
      <c r="P127" s="397">
        <f t="shared" si="105"/>
        <v>1331000</v>
      </c>
      <c r="R127" s="317"/>
      <c r="U127" s="320"/>
    </row>
    <row r="128" spans="1:21" s="312" customFormat="1" outlineLevel="2">
      <c r="A128" s="313"/>
      <c r="B128" s="313"/>
      <c r="C128" s="346" t="s">
        <v>98</v>
      </c>
      <c r="D128" s="347" t="s">
        <v>70</v>
      </c>
      <c r="E128" s="389">
        <v>600000</v>
      </c>
      <c r="F128" s="348"/>
      <c r="G128" s="348"/>
      <c r="H128" s="348"/>
      <c r="I128" s="324">
        <f t="shared" si="44"/>
        <v>600000</v>
      </c>
      <c r="J128" s="335"/>
      <c r="K128" s="335"/>
      <c r="L128" s="317">
        <f t="shared" si="42"/>
        <v>600000</v>
      </c>
      <c r="M128" s="317"/>
      <c r="N128" s="372">
        <f t="shared" si="47"/>
        <v>0</v>
      </c>
      <c r="O128" s="336">
        <f t="shared" ref="O128:O129" si="106">L128*1.1</f>
        <v>660000</v>
      </c>
      <c r="P128" s="336">
        <f t="shared" ref="P128:P129" si="107">O128*1.1</f>
        <v>726000.00000000012</v>
      </c>
      <c r="R128" s="317"/>
      <c r="U128" s="320"/>
    </row>
    <row r="129" spans="1:21" s="312" customFormat="1" outlineLevel="2">
      <c r="A129" s="313"/>
      <c r="B129" s="313"/>
      <c r="C129" s="346">
        <v>3111002</v>
      </c>
      <c r="D129" s="347" t="s">
        <v>71</v>
      </c>
      <c r="E129" s="389">
        <v>500000</v>
      </c>
      <c r="F129" s="348"/>
      <c r="G129" s="348"/>
      <c r="H129" s="348"/>
      <c r="I129" s="324">
        <f t="shared" si="44"/>
        <v>500000</v>
      </c>
      <c r="J129" s="335"/>
      <c r="K129" s="335"/>
      <c r="L129" s="317">
        <f t="shared" si="42"/>
        <v>500000</v>
      </c>
      <c r="M129" s="317"/>
      <c r="N129" s="372">
        <f t="shared" si="47"/>
        <v>0</v>
      </c>
      <c r="O129" s="336">
        <f t="shared" si="106"/>
        <v>550000</v>
      </c>
      <c r="P129" s="336">
        <f t="shared" si="107"/>
        <v>605000</v>
      </c>
      <c r="R129" s="317"/>
      <c r="U129" s="320"/>
    </row>
    <row r="130" spans="1:21" s="312" customFormat="1" outlineLevel="2">
      <c r="A130" s="313"/>
      <c r="B130" s="313"/>
      <c r="C130" s="328">
        <v>3111400</v>
      </c>
      <c r="D130" s="326" t="s">
        <v>531</v>
      </c>
      <c r="E130" s="397">
        <f>E131</f>
        <v>500000</v>
      </c>
      <c r="F130" s="397">
        <f t="shared" ref="F130:K130" si="108">F131</f>
        <v>0</v>
      </c>
      <c r="G130" s="397">
        <f t="shared" si="108"/>
        <v>0</v>
      </c>
      <c r="H130" s="397">
        <f t="shared" si="108"/>
        <v>0</v>
      </c>
      <c r="I130" s="397">
        <f t="shared" si="108"/>
        <v>500000</v>
      </c>
      <c r="J130" s="397">
        <f t="shared" si="108"/>
        <v>0</v>
      </c>
      <c r="K130" s="397">
        <f t="shared" si="108"/>
        <v>0</v>
      </c>
      <c r="L130" s="317">
        <f t="shared" si="42"/>
        <v>500000</v>
      </c>
      <c r="M130" s="317"/>
      <c r="N130" s="372">
        <f t="shared" si="47"/>
        <v>0</v>
      </c>
      <c r="O130" s="397">
        <f t="shared" ref="O130:P130" si="109">O131</f>
        <v>550000</v>
      </c>
      <c r="P130" s="397">
        <f t="shared" si="109"/>
        <v>605000</v>
      </c>
      <c r="R130" s="317"/>
      <c r="U130" s="320"/>
    </row>
    <row r="131" spans="1:21" s="312" customFormat="1" outlineLevel="2">
      <c r="A131" s="313"/>
      <c r="B131" s="313"/>
      <c r="C131" s="405">
        <v>3111403</v>
      </c>
      <c r="D131" s="345" t="s">
        <v>1544</v>
      </c>
      <c r="E131" s="389">
        <f>1000000-500000</f>
        <v>500000</v>
      </c>
      <c r="F131" s="406"/>
      <c r="G131" s="406"/>
      <c r="H131" s="406"/>
      <c r="I131" s="324">
        <f t="shared" si="44"/>
        <v>500000</v>
      </c>
      <c r="J131" s="335"/>
      <c r="K131" s="335"/>
      <c r="L131" s="317">
        <f t="shared" si="42"/>
        <v>500000</v>
      </c>
      <c r="M131" s="317"/>
      <c r="N131" s="372">
        <f t="shared" si="47"/>
        <v>0</v>
      </c>
      <c r="O131" s="336">
        <f t="shared" ref="O131" si="110">L131*1.1</f>
        <v>550000</v>
      </c>
      <c r="P131" s="336">
        <f t="shared" ref="P131" si="111">O131*1.1</f>
        <v>605000</v>
      </c>
      <c r="R131" s="317"/>
      <c r="U131" s="320"/>
    </row>
    <row r="132" spans="1:21" s="312" customFormat="1" outlineLevel="2">
      <c r="A132" s="313"/>
      <c r="B132" s="313"/>
      <c r="C132" s="339"/>
      <c r="D132" s="343"/>
      <c r="E132" s="386">
        <f>E133</f>
        <v>0</v>
      </c>
      <c r="F132" s="386"/>
      <c r="G132" s="386"/>
      <c r="H132" s="386"/>
      <c r="I132" s="324">
        <f t="shared" si="44"/>
        <v>0</v>
      </c>
      <c r="J132" s="335"/>
      <c r="K132" s="335"/>
      <c r="L132" s="317">
        <f t="shared" ref="L132:L195" si="112">I132+J132+K132</f>
        <v>0</v>
      </c>
      <c r="M132" s="317"/>
      <c r="N132" s="372">
        <f t="shared" si="47"/>
        <v>0</v>
      </c>
      <c r="O132" s="381">
        <f t="shared" ref="O132:P132" si="113">O133</f>
        <v>0</v>
      </c>
      <c r="P132" s="381">
        <f t="shared" si="113"/>
        <v>0</v>
      </c>
      <c r="R132" s="317"/>
      <c r="U132" s="320"/>
    </row>
    <row r="133" spans="1:21" s="312" customFormat="1" outlineLevel="2">
      <c r="A133" s="313"/>
      <c r="B133" s="313"/>
      <c r="C133" s="331"/>
      <c r="D133" s="341"/>
      <c r="E133" s="334">
        <v>0</v>
      </c>
      <c r="F133" s="334"/>
      <c r="G133" s="334"/>
      <c r="H133" s="334"/>
      <c r="I133" s="324">
        <f t="shared" ref="I133:I196" si="114">E133+F133+G133+H133</f>
        <v>0</v>
      </c>
      <c r="J133" s="335"/>
      <c r="K133" s="335"/>
      <c r="L133" s="317">
        <f t="shared" si="112"/>
        <v>0</v>
      </c>
      <c r="M133" s="317"/>
      <c r="N133" s="372">
        <f t="shared" si="47"/>
        <v>0</v>
      </c>
      <c r="O133" s="336">
        <f t="shared" ref="O133" si="115">L133*1.1</f>
        <v>0</v>
      </c>
      <c r="P133" s="336">
        <f t="shared" ref="P133" si="116">O133*1.1</f>
        <v>0</v>
      </c>
      <c r="R133" s="317"/>
      <c r="U133" s="320"/>
    </row>
    <row r="134" spans="1:21" s="312" customFormat="1" outlineLevel="1">
      <c r="A134" s="313"/>
      <c r="B134" s="313"/>
      <c r="C134" s="331"/>
      <c r="D134" s="383" t="s">
        <v>1546</v>
      </c>
      <c r="E134" s="386">
        <f>E91+E94+E97+E101+E103+E110+E113+E117+E120+E125+E127+E130+E132+E122</f>
        <v>14770000</v>
      </c>
      <c r="F134" s="386">
        <f t="shared" ref="F134:K134" si="117">F91+F94+F97+F101+F103+F110+F113+F117+F120+F125+F127+F130+F132+F122</f>
        <v>0</v>
      </c>
      <c r="G134" s="386">
        <f t="shared" si="117"/>
        <v>0</v>
      </c>
      <c r="H134" s="386">
        <f t="shared" si="117"/>
        <v>0</v>
      </c>
      <c r="I134" s="386">
        <f t="shared" si="117"/>
        <v>14770000</v>
      </c>
      <c r="J134" s="386">
        <f t="shared" si="117"/>
        <v>0</v>
      </c>
      <c r="K134" s="386">
        <f t="shared" si="117"/>
        <v>-1102484</v>
      </c>
      <c r="L134" s="317">
        <f t="shared" si="112"/>
        <v>13667516</v>
      </c>
      <c r="M134" s="317"/>
      <c r="N134" s="372">
        <f t="shared" si="47"/>
        <v>1102484</v>
      </c>
      <c r="O134" s="386">
        <f t="shared" ref="O134:P134" si="118">O91+O94+O97+O101+O103+O110+O113+O117+O120+O125+O127+O130+O132+O122</f>
        <v>15034267.6</v>
      </c>
      <c r="P134" s="386">
        <f t="shared" si="118"/>
        <v>16537694.360000001</v>
      </c>
      <c r="R134" s="317"/>
      <c r="U134" s="320"/>
    </row>
    <row r="135" spans="1:21" s="312" customFormat="1" outlineLevel="1">
      <c r="A135" s="313"/>
      <c r="B135" s="313"/>
      <c r="C135" s="407"/>
      <c r="D135" s="383" t="s">
        <v>84</v>
      </c>
      <c r="E135" s="384">
        <f>E134</f>
        <v>14770000</v>
      </c>
      <c r="F135" s="384">
        <f t="shared" ref="F135:K135" si="119">F134</f>
        <v>0</v>
      </c>
      <c r="G135" s="384">
        <f t="shared" si="119"/>
        <v>0</v>
      </c>
      <c r="H135" s="384">
        <f t="shared" si="119"/>
        <v>0</v>
      </c>
      <c r="I135" s="384">
        <f t="shared" si="119"/>
        <v>14770000</v>
      </c>
      <c r="J135" s="384">
        <f t="shared" si="119"/>
        <v>0</v>
      </c>
      <c r="K135" s="384">
        <f t="shared" si="119"/>
        <v>-1102484</v>
      </c>
      <c r="L135" s="317">
        <f t="shared" si="112"/>
        <v>13667516</v>
      </c>
      <c r="M135" s="317"/>
      <c r="N135" s="372">
        <f t="shared" si="47"/>
        <v>1102484</v>
      </c>
      <c r="O135" s="384">
        <f t="shared" ref="O135:P135" si="120">O134</f>
        <v>15034267.6</v>
      </c>
      <c r="P135" s="384">
        <f t="shared" si="120"/>
        <v>16537694.360000001</v>
      </c>
      <c r="R135" s="317"/>
      <c r="U135" s="320"/>
    </row>
    <row r="136" spans="1:21" s="312" customFormat="1" outlineLevel="1">
      <c r="A136" s="313"/>
      <c r="B136" s="313"/>
      <c r="C136" s="383"/>
      <c r="D136" s="383"/>
      <c r="E136" s="384"/>
      <c r="F136" s="316"/>
      <c r="G136" s="316"/>
      <c r="H136" s="316"/>
      <c r="I136" s="324">
        <f t="shared" si="114"/>
        <v>0</v>
      </c>
      <c r="J136" s="335"/>
      <c r="K136" s="335"/>
      <c r="L136" s="317">
        <f t="shared" si="112"/>
        <v>0</v>
      </c>
      <c r="M136" s="317"/>
      <c r="N136" s="372">
        <f t="shared" ref="N136:N199" si="121">M136-K136</f>
        <v>0</v>
      </c>
      <c r="O136" s="395"/>
      <c r="P136" s="395"/>
      <c r="R136" s="317"/>
      <c r="U136" s="320"/>
    </row>
    <row r="137" spans="1:21" s="312" customFormat="1" outlineLevel="1">
      <c r="A137" s="313"/>
      <c r="B137" s="408" t="s">
        <v>146</v>
      </c>
      <c r="C137" s="409" t="s">
        <v>1547</v>
      </c>
      <c r="D137" s="409"/>
      <c r="E137" s="410"/>
      <c r="F137" s="411"/>
      <c r="G137" s="411"/>
      <c r="H137" s="411"/>
      <c r="I137" s="324">
        <f t="shared" si="114"/>
        <v>0</v>
      </c>
      <c r="J137" s="335"/>
      <c r="K137" s="335"/>
      <c r="L137" s="317">
        <f t="shared" si="112"/>
        <v>0</v>
      </c>
      <c r="M137" s="317"/>
      <c r="N137" s="372">
        <f t="shared" si="121"/>
        <v>0</v>
      </c>
      <c r="O137" s="395"/>
      <c r="P137" s="395"/>
      <c r="R137" s="317"/>
      <c r="U137" s="320"/>
    </row>
    <row r="138" spans="1:21" s="312" customFormat="1" outlineLevel="3">
      <c r="A138" s="313"/>
      <c r="B138" s="412"/>
      <c r="C138" s="396">
        <v>2210100</v>
      </c>
      <c r="D138" s="396" t="s">
        <v>16</v>
      </c>
      <c r="E138" s="413">
        <f>E139+E140</f>
        <v>1000000</v>
      </c>
      <c r="F138" s="413">
        <f t="shared" ref="F138:K138" si="122">F139+F140</f>
        <v>0</v>
      </c>
      <c r="G138" s="413">
        <f t="shared" si="122"/>
        <v>0</v>
      </c>
      <c r="H138" s="413">
        <f t="shared" si="122"/>
        <v>0</v>
      </c>
      <c r="I138" s="413">
        <f t="shared" si="122"/>
        <v>1000000</v>
      </c>
      <c r="J138" s="413">
        <f t="shared" si="122"/>
        <v>0</v>
      </c>
      <c r="K138" s="413">
        <f t="shared" si="122"/>
        <v>-800000</v>
      </c>
      <c r="L138" s="317">
        <f t="shared" si="112"/>
        <v>200000</v>
      </c>
      <c r="M138" s="317"/>
      <c r="N138" s="372">
        <f t="shared" si="121"/>
        <v>800000</v>
      </c>
      <c r="O138" s="413">
        <f t="shared" ref="O138:P138" si="123">O139+O140</f>
        <v>220000.00000000003</v>
      </c>
      <c r="P138" s="413">
        <f t="shared" si="123"/>
        <v>242000.00000000006</v>
      </c>
      <c r="R138" s="317"/>
      <c r="U138" s="320"/>
    </row>
    <row r="139" spans="1:21" s="312" customFormat="1" outlineLevel="3">
      <c r="A139" s="313"/>
      <c r="B139" s="412"/>
      <c r="C139" s="398">
        <v>2210101</v>
      </c>
      <c r="D139" s="398" t="s">
        <v>17</v>
      </c>
      <c r="E139" s="410">
        <v>800000</v>
      </c>
      <c r="F139" s="399"/>
      <c r="G139" s="399"/>
      <c r="H139" s="399"/>
      <c r="I139" s="324">
        <f t="shared" si="114"/>
        <v>800000</v>
      </c>
      <c r="J139" s="335"/>
      <c r="K139" s="335">
        <v>-800000</v>
      </c>
      <c r="L139" s="317">
        <f t="shared" si="112"/>
        <v>0</v>
      </c>
      <c r="M139" s="317"/>
      <c r="N139" s="372">
        <f t="shared" si="121"/>
        <v>800000</v>
      </c>
      <c r="O139" s="336">
        <f t="shared" ref="O139:O140" si="124">L139*1.1</f>
        <v>0</v>
      </c>
      <c r="P139" s="336">
        <f t="shared" ref="P139:P140" si="125">O139*1.1</f>
        <v>0</v>
      </c>
      <c r="R139" s="317"/>
      <c r="U139" s="320"/>
    </row>
    <row r="140" spans="1:21" s="312" customFormat="1" outlineLevel="3">
      <c r="A140" s="313"/>
      <c r="B140" s="412"/>
      <c r="C140" s="398">
        <v>2210102</v>
      </c>
      <c r="D140" s="398" t="s">
        <v>18</v>
      </c>
      <c r="E140" s="410">
        <v>200000</v>
      </c>
      <c r="F140" s="399"/>
      <c r="G140" s="399"/>
      <c r="H140" s="399"/>
      <c r="I140" s="324">
        <f t="shared" si="114"/>
        <v>200000</v>
      </c>
      <c r="J140" s="335"/>
      <c r="K140" s="335"/>
      <c r="L140" s="317">
        <f t="shared" si="112"/>
        <v>200000</v>
      </c>
      <c r="M140" s="317"/>
      <c r="N140" s="372">
        <f t="shared" si="121"/>
        <v>0</v>
      </c>
      <c r="O140" s="336">
        <f t="shared" si="124"/>
        <v>220000.00000000003</v>
      </c>
      <c r="P140" s="336">
        <f t="shared" si="125"/>
        <v>242000.00000000006</v>
      </c>
      <c r="R140" s="317"/>
      <c r="U140" s="320"/>
    </row>
    <row r="141" spans="1:21" s="312" customFormat="1" outlineLevel="3">
      <c r="A141" s="313"/>
      <c r="B141" s="414"/>
      <c r="C141" s="415">
        <v>2210200</v>
      </c>
      <c r="D141" s="416" t="s">
        <v>20</v>
      </c>
      <c r="E141" s="413">
        <f>E142+E143</f>
        <v>220000</v>
      </c>
      <c r="F141" s="413">
        <f t="shared" ref="F141:P141" si="126">F142+F143</f>
        <v>0</v>
      </c>
      <c r="G141" s="413">
        <f t="shared" si="126"/>
        <v>0</v>
      </c>
      <c r="H141" s="413">
        <f t="shared" si="126"/>
        <v>0</v>
      </c>
      <c r="I141" s="413">
        <f t="shared" si="126"/>
        <v>220000</v>
      </c>
      <c r="J141" s="413">
        <f t="shared" si="126"/>
        <v>0</v>
      </c>
      <c r="K141" s="413">
        <f t="shared" si="126"/>
        <v>-100000</v>
      </c>
      <c r="L141" s="317">
        <f t="shared" si="112"/>
        <v>120000</v>
      </c>
      <c r="M141" s="317"/>
      <c r="N141" s="372">
        <f t="shared" si="121"/>
        <v>100000</v>
      </c>
      <c r="O141" s="413">
        <f t="shared" si="126"/>
        <v>132000</v>
      </c>
      <c r="P141" s="413">
        <f t="shared" si="126"/>
        <v>145200</v>
      </c>
      <c r="R141" s="317"/>
      <c r="U141" s="320"/>
    </row>
    <row r="142" spans="1:21" s="312" customFormat="1" outlineLevel="3">
      <c r="A142" s="313"/>
      <c r="B142" s="412"/>
      <c r="C142" s="417">
        <v>2210201</v>
      </c>
      <c r="D142" s="418" t="s">
        <v>21</v>
      </c>
      <c r="E142" s="410">
        <v>120000</v>
      </c>
      <c r="F142" s="419"/>
      <c r="G142" s="419"/>
      <c r="H142" s="419"/>
      <c r="I142" s="324">
        <f t="shared" si="114"/>
        <v>120000</v>
      </c>
      <c r="J142" s="335"/>
      <c r="K142" s="335"/>
      <c r="L142" s="317">
        <f t="shared" si="112"/>
        <v>120000</v>
      </c>
      <c r="M142" s="317"/>
      <c r="N142" s="372">
        <f t="shared" si="121"/>
        <v>0</v>
      </c>
      <c r="O142" s="336">
        <f t="shared" ref="O142:O143" si="127">L142*1.1</f>
        <v>132000</v>
      </c>
      <c r="P142" s="336">
        <f t="shared" ref="P142:P143" si="128">O142*1.1</f>
        <v>145200</v>
      </c>
      <c r="R142" s="317"/>
      <c r="U142" s="320"/>
    </row>
    <row r="143" spans="1:21" s="312" customFormat="1" outlineLevel="3">
      <c r="A143" s="313"/>
      <c r="B143" s="412"/>
      <c r="C143" s="417">
        <v>2210202</v>
      </c>
      <c r="D143" s="418" t="s">
        <v>22</v>
      </c>
      <c r="E143" s="410">
        <v>100000</v>
      </c>
      <c r="F143" s="419"/>
      <c r="G143" s="419"/>
      <c r="H143" s="419"/>
      <c r="I143" s="324">
        <f t="shared" si="114"/>
        <v>100000</v>
      </c>
      <c r="J143" s="335"/>
      <c r="K143" s="335">
        <v>-100000</v>
      </c>
      <c r="L143" s="317">
        <f t="shared" si="112"/>
        <v>0</v>
      </c>
      <c r="M143" s="317"/>
      <c r="N143" s="372">
        <f t="shared" si="121"/>
        <v>100000</v>
      </c>
      <c r="O143" s="336">
        <f t="shared" si="127"/>
        <v>0</v>
      </c>
      <c r="P143" s="336">
        <f t="shared" si="128"/>
        <v>0</v>
      </c>
      <c r="R143" s="317"/>
      <c r="U143" s="320"/>
    </row>
    <row r="144" spans="1:21" s="312" customFormat="1" outlineLevel="3">
      <c r="A144" s="313"/>
      <c r="B144" s="414"/>
      <c r="C144" s="415">
        <v>2210300</v>
      </c>
      <c r="D144" s="416" t="s">
        <v>24</v>
      </c>
      <c r="E144" s="413">
        <f>E145+E146+E147</f>
        <v>2000000</v>
      </c>
      <c r="F144" s="413">
        <f t="shared" ref="F144:K144" si="129">F145+F146+F147</f>
        <v>0</v>
      </c>
      <c r="G144" s="413">
        <f t="shared" si="129"/>
        <v>0</v>
      </c>
      <c r="H144" s="413">
        <f t="shared" si="129"/>
        <v>0</v>
      </c>
      <c r="I144" s="413">
        <f t="shared" si="129"/>
        <v>2000000</v>
      </c>
      <c r="J144" s="413">
        <f t="shared" si="129"/>
        <v>0</v>
      </c>
      <c r="K144" s="413">
        <f t="shared" si="129"/>
        <v>0</v>
      </c>
      <c r="L144" s="317">
        <f t="shared" si="112"/>
        <v>2000000</v>
      </c>
      <c r="M144" s="317"/>
      <c r="N144" s="372">
        <f t="shared" si="121"/>
        <v>0</v>
      </c>
      <c r="O144" s="413">
        <f t="shared" ref="O144:P144" si="130">O145+O146+O147</f>
        <v>2200000</v>
      </c>
      <c r="P144" s="413">
        <f t="shared" si="130"/>
        <v>2420000.0000000005</v>
      </c>
      <c r="R144" s="317"/>
      <c r="U144" s="320"/>
    </row>
    <row r="145" spans="1:21" s="312" customFormat="1" outlineLevel="3">
      <c r="A145" s="313"/>
      <c r="B145" s="412"/>
      <c r="C145" s="417">
        <v>2210301</v>
      </c>
      <c r="D145" s="418" t="s">
        <v>25</v>
      </c>
      <c r="E145" s="410">
        <v>800000</v>
      </c>
      <c r="F145" s="419"/>
      <c r="G145" s="419"/>
      <c r="H145" s="419"/>
      <c r="I145" s="324">
        <f t="shared" si="114"/>
        <v>800000</v>
      </c>
      <c r="J145" s="335"/>
      <c r="K145" s="335"/>
      <c r="L145" s="317">
        <f t="shared" si="112"/>
        <v>800000</v>
      </c>
      <c r="M145" s="317"/>
      <c r="N145" s="372">
        <f t="shared" si="121"/>
        <v>0</v>
      </c>
      <c r="O145" s="336">
        <f t="shared" ref="O145:O147" si="131">L145*1.1</f>
        <v>880000.00000000012</v>
      </c>
      <c r="P145" s="336">
        <f t="shared" ref="P145:P147" si="132">O145*1.1</f>
        <v>968000.00000000023</v>
      </c>
      <c r="R145" s="317"/>
      <c r="U145" s="320"/>
    </row>
    <row r="146" spans="1:21" s="312" customFormat="1" outlineLevel="3">
      <c r="A146" s="313"/>
      <c r="B146" s="412"/>
      <c r="C146" s="417">
        <v>2210302</v>
      </c>
      <c r="D146" s="418" t="s">
        <v>26</v>
      </c>
      <c r="E146" s="410">
        <v>700000</v>
      </c>
      <c r="F146" s="419"/>
      <c r="G146" s="419"/>
      <c r="H146" s="419"/>
      <c r="I146" s="324">
        <f t="shared" si="114"/>
        <v>700000</v>
      </c>
      <c r="J146" s="335"/>
      <c r="K146" s="335"/>
      <c r="L146" s="317">
        <f t="shared" si="112"/>
        <v>700000</v>
      </c>
      <c r="M146" s="317"/>
      <c r="N146" s="372">
        <f t="shared" si="121"/>
        <v>0</v>
      </c>
      <c r="O146" s="336">
        <f t="shared" si="131"/>
        <v>770000.00000000012</v>
      </c>
      <c r="P146" s="336">
        <f t="shared" si="132"/>
        <v>847000.00000000023</v>
      </c>
      <c r="R146" s="317"/>
      <c r="U146" s="320"/>
    </row>
    <row r="147" spans="1:21" s="312" customFormat="1" outlineLevel="3">
      <c r="A147" s="313"/>
      <c r="B147" s="412"/>
      <c r="C147" s="417">
        <v>2210303</v>
      </c>
      <c r="D147" s="418" t="s">
        <v>27</v>
      </c>
      <c r="E147" s="410">
        <f>1000000-500000</f>
        <v>500000</v>
      </c>
      <c r="F147" s="419"/>
      <c r="G147" s="419"/>
      <c r="H147" s="419"/>
      <c r="I147" s="324">
        <f t="shared" si="114"/>
        <v>500000</v>
      </c>
      <c r="J147" s="335"/>
      <c r="K147" s="335"/>
      <c r="L147" s="317">
        <f t="shared" si="112"/>
        <v>500000</v>
      </c>
      <c r="M147" s="317"/>
      <c r="N147" s="372">
        <f t="shared" si="121"/>
        <v>0</v>
      </c>
      <c r="O147" s="336">
        <f t="shared" si="131"/>
        <v>550000</v>
      </c>
      <c r="P147" s="336">
        <f t="shared" si="132"/>
        <v>605000</v>
      </c>
      <c r="R147" s="317"/>
      <c r="U147" s="320"/>
    </row>
    <row r="148" spans="1:21" s="312" customFormat="1" outlineLevel="3">
      <c r="A148" s="313"/>
      <c r="B148" s="414"/>
      <c r="C148" s="415">
        <v>2210700</v>
      </c>
      <c r="D148" s="416" t="s">
        <v>35</v>
      </c>
      <c r="E148" s="413">
        <f>E149+E150+E151+E152+E153+E154+E155</f>
        <v>4300000</v>
      </c>
      <c r="F148" s="413">
        <f t="shared" ref="F148:K148" si="133">F149+F150+F151+F152+F153+F154+F155</f>
        <v>0</v>
      </c>
      <c r="G148" s="413">
        <f t="shared" si="133"/>
        <v>0</v>
      </c>
      <c r="H148" s="413">
        <f t="shared" si="133"/>
        <v>0</v>
      </c>
      <c r="I148" s="413">
        <f t="shared" si="133"/>
        <v>4300000</v>
      </c>
      <c r="J148" s="413">
        <f t="shared" si="133"/>
        <v>0</v>
      </c>
      <c r="K148" s="413">
        <f t="shared" si="133"/>
        <v>-717001</v>
      </c>
      <c r="L148" s="317">
        <f t="shared" si="112"/>
        <v>3582999</v>
      </c>
      <c r="M148" s="317"/>
      <c r="N148" s="372">
        <f t="shared" si="121"/>
        <v>717001</v>
      </c>
      <c r="O148" s="413">
        <f t="shared" ref="O148:P148" si="134">O149+O150+O151+O152+O153+O154+O155</f>
        <v>3941298.9000000004</v>
      </c>
      <c r="P148" s="413">
        <f t="shared" si="134"/>
        <v>4335428.790000001</v>
      </c>
      <c r="R148" s="317"/>
      <c r="U148" s="320"/>
    </row>
    <row r="149" spans="1:21" s="312" customFormat="1" outlineLevel="3">
      <c r="A149" s="313"/>
      <c r="B149" s="412"/>
      <c r="C149" s="417">
        <v>2210701</v>
      </c>
      <c r="D149" s="418" t="s">
        <v>36</v>
      </c>
      <c r="E149" s="410">
        <v>100000</v>
      </c>
      <c r="F149" s="419"/>
      <c r="G149" s="419"/>
      <c r="H149" s="419"/>
      <c r="I149" s="324">
        <f t="shared" si="114"/>
        <v>100000</v>
      </c>
      <c r="J149" s="335"/>
      <c r="K149" s="335"/>
      <c r="L149" s="317">
        <f t="shared" si="112"/>
        <v>100000</v>
      </c>
      <c r="M149" s="317"/>
      <c r="N149" s="372">
        <f t="shared" si="121"/>
        <v>0</v>
      </c>
      <c r="O149" s="336">
        <f t="shared" ref="O149:O155" si="135">L149*1.1</f>
        <v>110000.00000000001</v>
      </c>
      <c r="P149" s="336">
        <f t="shared" ref="P149:P155" si="136">O149*1.1</f>
        <v>121000.00000000003</v>
      </c>
      <c r="R149" s="317"/>
      <c r="U149" s="320"/>
    </row>
    <row r="150" spans="1:21" s="312" customFormat="1" outlineLevel="3">
      <c r="A150" s="313"/>
      <c r="B150" s="412"/>
      <c r="C150" s="417">
        <v>2210702</v>
      </c>
      <c r="D150" s="418" t="s">
        <v>95</v>
      </c>
      <c r="E150" s="410">
        <v>500000</v>
      </c>
      <c r="F150" s="419"/>
      <c r="G150" s="419"/>
      <c r="H150" s="419"/>
      <c r="I150" s="324">
        <f t="shared" si="114"/>
        <v>500000</v>
      </c>
      <c r="J150" s="335"/>
      <c r="K150" s="335">
        <v>-500000</v>
      </c>
      <c r="L150" s="317">
        <f t="shared" si="112"/>
        <v>0</v>
      </c>
      <c r="M150" s="317"/>
      <c r="N150" s="372">
        <f t="shared" si="121"/>
        <v>500000</v>
      </c>
      <c r="O150" s="336">
        <f t="shared" si="135"/>
        <v>0</v>
      </c>
      <c r="P150" s="336">
        <f t="shared" si="136"/>
        <v>0</v>
      </c>
      <c r="R150" s="317"/>
      <c r="U150" s="320"/>
    </row>
    <row r="151" spans="1:21" s="312" customFormat="1" outlineLevel="3">
      <c r="A151" s="313"/>
      <c r="B151" s="412"/>
      <c r="C151" s="417">
        <v>2210704</v>
      </c>
      <c r="D151" s="418" t="s">
        <v>38</v>
      </c>
      <c r="E151" s="410">
        <v>100000</v>
      </c>
      <c r="F151" s="419"/>
      <c r="G151" s="419"/>
      <c r="H151" s="419"/>
      <c r="I151" s="324">
        <f t="shared" si="114"/>
        <v>100000</v>
      </c>
      <c r="J151" s="335"/>
      <c r="K151" s="335"/>
      <c r="L151" s="317">
        <f t="shared" si="112"/>
        <v>100000</v>
      </c>
      <c r="M151" s="317"/>
      <c r="N151" s="372">
        <f t="shared" si="121"/>
        <v>0</v>
      </c>
      <c r="O151" s="336">
        <f t="shared" si="135"/>
        <v>110000.00000000001</v>
      </c>
      <c r="P151" s="336">
        <f t="shared" si="136"/>
        <v>121000.00000000003</v>
      </c>
      <c r="R151" s="317"/>
      <c r="U151" s="320"/>
    </row>
    <row r="152" spans="1:21" s="312" customFormat="1" outlineLevel="3">
      <c r="A152" s="313"/>
      <c r="B152" s="412"/>
      <c r="C152" s="417">
        <v>2210710</v>
      </c>
      <c r="D152" s="418" t="s">
        <v>39</v>
      </c>
      <c r="E152" s="410">
        <v>100000</v>
      </c>
      <c r="F152" s="419"/>
      <c r="G152" s="419"/>
      <c r="H152" s="419"/>
      <c r="I152" s="324">
        <f t="shared" si="114"/>
        <v>100000</v>
      </c>
      <c r="J152" s="335"/>
      <c r="K152" s="335"/>
      <c r="L152" s="317">
        <f t="shared" si="112"/>
        <v>100000</v>
      </c>
      <c r="M152" s="317"/>
      <c r="N152" s="372">
        <f t="shared" si="121"/>
        <v>0</v>
      </c>
      <c r="O152" s="336">
        <f t="shared" si="135"/>
        <v>110000.00000000001</v>
      </c>
      <c r="P152" s="336">
        <f t="shared" si="136"/>
        <v>121000.00000000003</v>
      </c>
      <c r="R152" s="317"/>
      <c r="U152" s="320"/>
    </row>
    <row r="153" spans="1:21" s="312" customFormat="1" outlineLevel="3">
      <c r="A153" s="313"/>
      <c r="B153" s="412"/>
      <c r="C153" s="417">
        <v>2210715</v>
      </c>
      <c r="D153" s="418" t="s">
        <v>40</v>
      </c>
      <c r="E153" s="410">
        <v>500000</v>
      </c>
      <c r="F153" s="419"/>
      <c r="G153" s="419"/>
      <c r="H153" s="419"/>
      <c r="I153" s="324">
        <f t="shared" si="114"/>
        <v>500000</v>
      </c>
      <c r="J153" s="335"/>
      <c r="K153" s="335"/>
      <c r="L153" s="317">
        <f t="shared" si="112"/>
        <v>500000</v>
      </c>
      <c r="M153" s="317"/>
      <c r="N153" s="372">
        <f t="shared" si="121"/>
        <v>0</v>
      </c>
      <c r="O153" s="336">
        <f t="shared" si="135"/>
        <v>550000</v>
      </c>
      <c r="P153" s="336">
        <f t="shared" si="136"/>
        <v>605000</v>
      </c>
      <c r="R153" s="317"/>
      <c r="U153" s="320"/>
    </row>
    <row r="154" spans="1:21" s="312" customFormat="1" outlineLevel="3">
      <c r="A154" s="313"/>
      <c r="B154" s="412"/>
      <c r="C154" s="420">
        <v>2210716</v>
      </c>
      <c r="D154" s="421" t="s">
        <v>1548</v>
      </c>
      <c r="E154" s="422">
        <v>2500000</v>
      </c>
      <c r="F154" s="410"/>
      <c r="G154" s="410"/>
      <c r="H154" s="410"/>
      <c r="I154" s="324">
        <f t="shared" si="114"/>
        <v>2500000</v>
      </c>
      <c r="J154" s="335"/>
      <c r="K154" s="335">
        <v>-217001</v>
      </c>
      <c r="L154" s="317">
        <f t="shared" si="112"/>
        <v>2282999</v>
      </c>
      <c r="M154" s="317"/>
      <c r="N154" s="372">
        <f t="shared" si="121"/>
        <v>217001</v>
      </c>
      <c r="O154" s="336">
        <f t="shared" si="135"/>
        <v>2511298.9000000004</v>
      </c>
      <c r="P154" s="336">
        <f t="shared" si="136"/>
        <v>2762428.7900000005</v>
      </c>
      <c r="R154" s="317"/>
      <c r="U154" s="320"/>
    </row>
    <row r="155" spans="1:21" s="312" customFormat="1" outlineLevel="3">
      <c r="A155" s="313"/>
      <c r="B155" s="412"/>
      <c r="C155" s="417">
        <v>2210799</v>
      </c>
      <c r="D155" s="418" t="s">
        <v>129</v>
      </c>
      <c r="E155" s="410">
        <v>500000</v>
      </c>
      <c r="F155" s="419"/>
      <c r="G155" s="419"/>
      <c r="H155" s="419"/>
      <c r="I155" s="324">
        <f t="shared" si="114"/>
        <v>500000</v>
      </c>
      <c r="J155" s="335"/>
      <c r="K155" s="335"/>
      <c r="L155" s="317">
        <f t="shared" si="112"/>
        <v>500000</v>
      </c>
      <c r="M155" s="317"/>
      <c r="N155" s="372">
        <f t="shared" si="121"/>
        <v>0</v>
      </c>
      <c r="O155" s="336">
        <f t="shared" si="135"/>
        <v>550000</v>
      </c>
      <c r="P155" s="336">
        <f t="shared" si="136"/>
        <v>605000</v>
      </c>
      <c r="R155" s="317"/>
      <c r="U155" s="320"/>
    </row>
    <row r="156" spans="1:21" s="312" customFormat="1" outlineLevel="3">
      <c r="A156" s="313"/>
      <c r="B156" s="414"/>
      <c r="C156" s="415">
        <v>2210800</v>
      </c>
      <c r="D156" s="416" t="s">
        <v>42</v>
      </c>
      <c r="E156" s="413">
        <f>E157+E158</f>
        <v>1200000</v>
      </c>
      <c r="F156" s="413">
        <f t="shared" ref="F156:P156" si="137">F157+F158</f>
        <v>0</v>
      </c>
      <c r="G156" s="413">
        <f t="shared" si="137"/>
        <v>0</v>
      </c>
      <c r="H156" s="413">
        <f t="shared" si="137"/>
        <v>0</v>
      </c>
      <c r="I156" s="413">
        <f t="shared" si="137"/>
        <v>1200000</v>
      </c>
      <c r="J156" s="413">
        <f t="shared" si="137"/>
        <v>0</v>
      </c>
      <c r="K156" s="413">
        <f t="shared" si="137"/>
        <v>1000000</v>
      </c>
      <c r="L156" s="317">
        <f t="shared" si="112"/>
        <v>2200000</v>
      </c>
      <c r="M156" s="317"/>
      <c r="N156" s="372">
        <f t="shared" si="121"/>
        <v>-1000000</v>
      </c>
      <c r="O156" s="413">
        <f t="shared" si="137"/>
        <v>2420000.0000000005</v>
      </c>
      <c r="P156" s="413">
        <f t="shared" si="137"/>
        <v>2662000.0000000005</v>
      </c>
      <c r="R156" s="317"/>
      <c r="U156" s="320"/>
    </row>
    <row r="157" spans="1:21" s="312" customFormat="1" outlineLevel="3">
      <c r="A157" s="313"/>
      <c r="B157" s="412"/>
      <c r="C157" s="417">
        <v>2210801</v>
      </c>
      <c r="D157" s="418" t="s">
        <v>2418</v>
      </c>
      <c r="E157" s="410">
        <v>800000</v>
      </c>
      <c r="F157" s="419"/>
      <c r="G157" s="419"/>
      <c r="H157" s="419"/>
      <c r="I157" s="324">
        <f t="shared" si="114"/>
        <v>800000</v>
      </c>
      <c r="J157" s="335"/>
      <c r="K157" s="335">
        <v>1000000</v>
      </c>
      <c r="L157" s="317">
        <f t="shared" si="112"/>
        <v>1800000</v>
      </c>
      <c r="M157" s="317"/>
      <c r="N157" s="372">
        <f t="shared" si="121"/>
        <v>-1000000</v>
      </c>
      <c r="O157" s="336">
        <f t="shared" ref="O157:O158" si="138">L157*1.1</f>
        <v>1980000.0000000002</v>
      </c>
      <c r="P157" s="336">
        <f t="shared" ref="P157:P158" si="139">O157*1.1</f>
        <v>2178000.0000000005</v>
      </c>
      <c r="R157" s="317"/>
      <c r="U157" s="320"/>
    </row>
    <row r="158" spans="1:21" s="312" customFormat="1" outlineLevel="3">
      <c r="A158" s="313"/>
      <c r="B158" s="412"/>
      <c r="C158" s="417">
        <v>2210802</v>
      </c>
      <c r="D158" s="418" t="s">
        <v>97</v>
      </c>
      <c r="E158" s="410">
        <v>400000</v>
      </c>
      <c r="F158" s="419"/>
      <c r="G158" s="419"/>
      <c r="H158" s="419"/>
      <c r="I158" s="324">
        <f t="shared" si="114"/>
        <v>400000</v>
      </c>
      <c r="J158" s="335"/>
      <c r="K158" s="335"/>
      <c r="L158" s="317">
        <f t="shared" si="112"/>
        <v>400000</v>
      </c>
      <c r="M158" s="317"/>
      <c r="N158" s="372">
        <f t="shared" si="121"/>
        <v>0</v>
      </c>
      <c r="O158" s="336">
        <f t="shared" si="138"/>
        <v>440000.00000000006</v>
      </c>
      <c r="P158" s="336">
        <f t="shared" si="139"/>
        <v>484000.00000000012</v>
      </c>
      <c r="R158" s="317"/>
      <c r="U158" s="320"/>
    </row>
    <row r="159" spans="1:21" s="312" customFormat="1" outlineLevel="3">
      <c r="A159" s="313"/>
      <c r="B159" s="414"/>
      <c r="C159" s="415">
        <v>2211100</v>
      </c>
      <c r="D159" s="416" t="s">
        <v>51</v>
      </c>
      <c r="E159" s="413">
        <f>E160+E161+E162</f>
        <v>3200000</v>
      </c>
      <c r="F159" s="413">
        <f t="shared" ref="F159:K159" si="140">F160+F161+F162</f>
        <v>0</v>
      </c>
      <c r="G159" s="413">
        <f t="shared" si="140"/>
        <v>0</v>
      </c>
      <c r="H159" s="413">
        <f t="shared" si="140"/>
        <v>0</v>
      </c>
      <c r="I159" s="413">
        <f t="shared" si="140"/>
        <v>3200000</v>
      </c>
      <c r="J159" s="413">
        <f t="shared" si="140"/>
        <v>0</v>
      </c>
      <c r="K159" s="413">
        <f t="shared" si="140"/>
        <v>600000</v>
      </c>
      <c r="L159" s="317">
        <f t="shared" si="112"/>
        <v>3800000</v>
      </c>
      <c r="M159" s="317"/>
      <c r="N159" s="372">
        <f t="shared" si="121"/>
        <v>-600000</v>
      </c>
      <c r="O159" s="413">
        <f t="shared" ref="O159:P159" si="141">O160+O161+O162</f>
        <v>4180000</v>
      </c>
      <c r="P159" s="413">
        <f t="shared" si="141"/>
        <v>4598000</v>
      </c>
      <c r="R159" s="317"/>
      <c r="U159" s="320"/>
    </row>
    <row r="160" spans="1:21" s="312" customFormat="1" outlineLevel="3">
      <c r="A160" s="313"/>
      <c r="B160" s="412"/>
      <c r="C160" s="417">
        <v>2211101</v>
      </c>
      <c r="D160" s="418" t="s">
        <v>52</v>
      </c>
      <c r="E160" s="410">
        <f>1700000-200000</f>
        <v>1500000</v>
      </c>
      <c r="F160" s="419"/>
      <c r="G160" s="419"/>
      <c r="H160" s="419"/>
      <c r="I160" s="324">
        <f t="shared" si="114"/>
        <v>1500000</v>
      </c>
      <c r="J160" s="335"/>
      <c r="K160" s="335">
        <v>500000</v>
      </c>
      <c r="L160" s="317">
        <f t="shared" si="112"/>
        <v>2000000</v>
      </c>
      <c r="M160" s="317"/>
      <c r="N160" s="372">
        <f t="shared" si="121"/>
        <v>-500000</v>
      </c>
      <c r="O160" s="336">
        <f t="shared" ref="O160:O162" si="142">L160*1.1</f>
        <v>2200000</v>
      </c>
      <c r="P160" s="336">
        <f t="shared" ref="P160:P162" si="143">O160*1.1</f>
        <v>2420000</v>
      </c>
      <c r="R160" s="317"/>
      <c r="U160" s="320"/>
    </row>
    <row r="161" spans="1:21" s="312" customFormat="1" outlineLevel="3">
      <c r="A161" s="313"/>
      <c r="B161" s="412"/>
      <c r="C161" s="417">
        <v>2211102</v>
      </c>
      <c r="D161" s="418" t="s">
        <v>53</v>
      </c>
      <c r="E161" s="410">
        <v>800000</v>
      </c>
      <c r="F161" s="419"/>
      <c r="G161" s="419"/>
      <c r="H161" s="419"/>
      <c r="I161" s="324">
        <f t="shared" si="114"/>
        <v>800000</v>
      </c>
      <c r="J161" s="335"/>
      <c r="K161" s="335">
        <v>100000</v>
      </c>
      <c r="L161" s="317">
        <f t="shared" si="112"/>
        <v>900000</v>
      </c>
      <c r="M161" s="317"/>
      <c r="N161" s="372">
        <f t="shared" si="121"/>
        <v>-100000</v>
      </c>
      <c r="O161" s="336">
        <f t="shared" si="142"/>
        <v>990000.00000000012</v>
      </c>
      <c r="P161" s="336">
        <f t="shared" si="143"/>
        <v>1089000.0000000002</v>
      </c>
      <c r="R161" s="317"/>
      <c r="U161" s="320"/>
    </row>
    <row r="162" spans="1:21" s="312" customFormat="1" outlineLevel="3">
      <c r="A162" s="313"/>
      <c r="B162" s="412"/>
      <c r="C162" s="417">
        <v>2211103</v>
      </c>
      <c r="D162" s="418" t="s">
        <v>54</v>
      </c>
      <c r="E162" s="410">
        <v>900000</v>
      </c>
      <c r="F162" s="419"/>
      <c r="G162" s="419"/>
      <c r="H162" s="419"/>
      <c r="I162" s="324">
        <f t="shared" si="114"/>
        <v>900000</v>
      </c>
      <c r="J162" s="335"/>
      <c r="K162" s="335"/>
      <c r="L162" s="317">
        <f t="shared" si="112"/>
        <v>900000</v>
      </c>
      <c r="M162" s="317"/>
      <c r="N162" s="372">
        <f t="shared" si="121"/>
        <v>0</v>
      </c>
      <c r="O162" s="336">
        <f t="shared" si="142"/>
        <v>990000.00000000012</v>
      </c>
      <c r="P162" s="336">
        <f t="shared" si="143"/>
        <v>1089000.0000000002</v>
      </c>
      <c r="R162" s="317"/>
      <c r="U162" s="320"/>
    </row>
    <row r="163" spans="1:21" s="312" customFormat="1" outlineLevel="3">
      <c r="A163" s="313"/>
      <c r="B163" s="414"/>
      <c r="C163" s="415">
        <v>2211200</v>
      </c>
      <c r="D163" s="416" t="s">
        <v>55</v>
      </c>
      <c r="E163" s="413">
        <f>E164</f>
        <v>1500000</v>
      </c>
      <c r="F163" s="413">
        <f t="shared" ref="F163:K163" si="144">F164</f>
        <v>0</v>
      </c>
      <c r="G163" s="413">
        <f t="shared" si="144"/>
        <v>0</v>
      </c>
      <c r="H163" s="413">
        <f t="shared" si="144"/>
        <v>0</v>
      </c>
      <c r="I163" s="413">
        <f t="shared" si="144"/>
        <v>1500000</v>
      </c>
      <c r="J163" s="413">
        <f t="shared" si="144"/>
        <v>0</v>
      </c>
      <c r="K163" s="413">
        <f t="shared" si="144"/>
        <v>0</v>
      </c>
      <c r="L163" s="317">
        <f t="shared" si="112"/>
        <v>1500000</v>
      </c>
      <c r="M163" s="317"/>
      <c r="N163" s="372">
        <f t="shared" si="121"/>
        <v>0</v>
      </c>
      <c r="O163" s="413">
        <f t="shared" ref="O163:P163" si="145">O164</f>
        <v>1650000.0000000002</v>
      </c>
      <c r="P163" s="413">
        <f t="shared" si="145"/>
        <v>1815000.0000000005</v>
      </c>
      <c r="R163" s="317"/>
      <c r="U163" s="320"/>
    </row>
    <row r="164" spans="1:21" s="312" customFormat="1" outlineLevel="3">
      <c r="A164" s="313"/>
      <c r="B164" s="412"/>
      <c r="C164" s="417">
        <v>2211201</v>
      </c>
      <c r="D164" s="418" t="s">
        <v>56</v>
      </c>
      <c r="E164" s="410">
        <v>1500000</v>
      </c>
      <c r="F164" s="419"/>
      <c r="G164" s="419"/>
      <c r="H164" s="419"/>
      <c r="I164" s="324">
        <f t="shared" si="114"/>
        <v>1500000</v>
      </c>
      <c r="J164" s="335"/>
      <c r="K164" s="335"/>
      <c r="L164" s="317">
        <f t="shared" si="112"/>
        <v>1500000</v>
      </c>
      <c r="M164" s="317"/>
      <c r="N164" s="372">
        <f t="shared" si="121"/>
        <v>0</v>
      </c>
      <c r="O164" s="336">
        <f t="shared" ref="O164" si="146">L164*1.1</f>
        <v>1650000.0000000002</v>
      </c>
      <c r="P164" s="336">
        <f t="shared" ref="P164" si="147">O164*1.1</f>
        <v>1815000.0000000005</v>
      </c>
      <c r="R164" s="317"/>
      <c r="U164" s="320"/>
    </row>
    <row r="165" spans="1:21" s="312" customFormat="1" outlineLevel="3">
      <c r="A165" s="313"/>
      <c r="B165" s="414"/>
      <c r="C165" s="415">
        <v>2220100</v>
      </c>
      <c r="D165" s="416" t="s">
        <v>62</v>
      </c>
      <c r="E165" s="413">
        <f>E166+E167</f>
        <v>1200000</v>
      </c>
      <c r="F165" s="413">
        <f t="shared" ref="F165:K165" si="148">F166+F167</f>
        <v>0</v>
      </c>
      <c r="G165" s="413">
        <f t="shared" si="148"/>
        <v>0</v>
      </c>
      <c r="H165" s="413">
        <f t="shared" si="148"/>
        <v>0</v>
      </c>
      <c r="I165" s="413">
        <f t="shared" si="148"/>
        <v>1200000</v>
      </c>
      <c r="J165" s="413">
        <f t="shared" si="148"/>
        <v>0</v>
      </c>
      <c r="K165" s="413">
        <f t="shared" si="148"/>
        <v>-736262</v>
      </c>
      <c r="L165" s="317">
        <f t="shared" si="112"/>
        <v>463738</v>
      </c>
      <c r="M165" s="317"/>
      <c r="N165" s="372">
        <f t="shared" si="121"/>
        <v>736262</v>
      </c>
      <c r="O165" s="413">
        <f t="shared" ref="O165:P165" si="149">O166+O167</f>
        <v>510111.80000000005</v>
      </c>
      <c r="P165" s="413">
        <f t="shared" si="149"/>
        <v>561122.9800000001</v>
      </c>
      <c r="R165" s="317"/>
      <c r="U165" s="320"/>
    </row>
    <row r="166" spans="1:21" s="312" customFormat="1" outlineLevel="3">
      <c r="A166" s="313"/>
      <c r="B166" s="412"/>
      <c r="C166" s="417">
        <v>2220101</v>
      </c>
      <c r="D166" s="418" t="s">
        <v>250</v>
      </c>
      <c r="E166" s="410">
        <v>600000</v>
      </c>
      <c r="F166" s="419"/>
      <c r="G166" s="419"/>
      <c r="H166" s="419"/>
      <c r="I166" s="324">
        <f t="shared" si="114"/>
        <v>600000</v>
      </c>
      <c r="J166" s="335"/>
      <c r="K166" s="335">
        <v>-136262</v>
      </c>
      <c r="L166" s="317">
        <f t="shared" si="112"/>
        <v>463738</v>
      </c>
      <c r="M166" s="317"/>
      <c r="N166" s="372">
        <f t="shared" si="121"/>
        <v>136262</v>
      </c>
      <c r="O166" s="336">
        <f t="shared" ref="O166:O167" si="150">L166*1.1</f>
        <v>510111.80000000005</v>
      </c>
      <c r="P166" s="336">
        <f t="shared" ref="P166:P167" si="151">O166*1.1</f>
        <v>561122.9800000001</v>
      </c>
      <c r="R166" s="317"/>
      <c r="U166" s="320"/>
    </row>
    <row r="167" spans="1:21" s="312" customFormat="1" outlineLevel="3">
      <c r="A167" s="313"/>
      <c r="B167" s="412"/>
      <c r="C167" s="401">
        <v>2220105</v>
      </c>
      <c r="D167" s="402" t="s">
        <v>404</v>
      </c>
      <c r="E167" s="410">
        <v>600000</v>
      </c>
      <c r="F167" s="333"/>
      <c r="G167" s="333"/>
      <c r="H167" s="333"/>
      <c r="I167" s="324">
        <f t="shared" si="114"/>
        <v>600000</v>
      </c>
      <c r="J167" s="335"/>
      <c r="K167" s="335">
        <v>-600000</v>
      </c>
      <c r="L167" s="317">
        <f t="shared" si="112"/>
        <v>0</v>
      </c>
      <c r="M167" s="317"/>
      <c r="N167" s="372">
        <f t="shared" si="121"/>
        <v>600000</v>
      </c>
      <c r="O167" s="336">
        <f t="shared" si="150"/>
        <v>0</v>
      </c>
      <c r="P167" s="336">
        <f t="shared" si="151"/>
        <v>0</v>
      </c>
      <c r="R167" s="317"/>
      <c r="U167" s="320"/>
    </row>
    <row r="168" spans="1:21" s="312" customFormat="1" outlineLevel="3">
      <c r="A168" s="313"/>
      <c r="B168" s="414"/>
      <c r="C168" s="403">
        <v>2220200</v>
      </c>
      <c r="D168" s="404" t="s">
        <v>405</v>
      </c>
      <c r="E168" s="413">
        <f>E169</f>
        <v>800000</v>
      </c>
      <c r="F168" s="413">
        <f t="shared" ref="F168:P168" si="152">F169</f>
        <v>0</v>
      </c>
      <c r="G168" s="413">
        <f t="shared" si="152"/>
        <v>0</v>
      </c>
      <c r="H168" s="413">
        <f t="shared" si="152"/>
        <v>0</v>
      </c>
      <c r="I168" s="413">
        <f t="shared" si="152"/>
        <v>800000</v>
      </c>
      <c r="J168" s="413">
        <f t="shared" si="152"/>
        <v>0</v>
      </c>
      <c r="K168" s="413">
        <f t="shared" si="152"/>
        <v>0</v>
      </c>
      <c r="L168" s="317">
        <f t="shared" si="112"/>
        <v>800000</v>
      </c>
      <c r="M168" s="317"/>
      <c r="N168" s="372">
        <f t="shared" si="121"/>
        <v>0</v>
      </c>
      <c r="O168" s="413">
        <f t="shared" si="152"/>
        <v>880000.00000000012</v>
      </c>
      <c r="P168" s="413">
        <f t="shared" si="152"/>
        <v>968000.00000000023</v>
      </c>
      <c r="R168" s="317"/>
      <c r="U168" s="320"/>
    </row>
    <row r="169" spans="1:21" s="312" customFormat="1" outlineLevel="3">
      <c r="A169" s="313"/>
      <c r="B169" s="412"/>
      <c r="C169" s="401">
        <v>2220205</v>
      </c>
      <c r="D169" s="402" t="s">
        <v>1543</v>
      </c>
      <c r="E169" s="410">
        <v>800000</v>
      </c>
      <c r="F169" s="333"/>
      <c r="G169" s="333"/>
      <c r="H169" s="333"/>
      <c r="I169" s="324">
        <f t="shared" si="114"/>
        <v>800000</v>
      </c>
      <c r="J169" s="335"/>
      <c r="K169" s="335">
        <v>0</v>
      </c>
      <c r="L169" s="317">
        <f t="shared" si="112"/>
        <v>800000</v>
      </c>
      <c r="M169" s="317"/>
      <c r="N169" s="372">
        <f t="shared" si="121"/>
        <v>0</v>
      </c>
      <c r="O169" s="336">
        <f t="shared" ref="O169" si="153">L169*1.1</f>
        <v>880000.00000000012</v>
      </c>
      <c r="P169" s="336">
        <f t="shared" ref="P169" si="154">O169*1.1</f>
        <v>968000.00000000023</v>
      </c>
      <c r="R169" s="317"/>
      <c r="U169" s="320"/>
    </row>
    <row r="170" spans="1:21" s="312" customFormat="1" outlineLevel="3">
      <c r="A170" s="313"/>
      <c r="B170" s="414"/>
      <c r="C170" s="415">
        <v>3111000</v>
      </c>
      <c r="D170" s="416" t="s">
        <v>69</v>
      </c>
      <c r="E170" s="413">
        <f>E171+E172</f>
        <v>1300000</v>
      </c>
      <c r="F170" s="413">
        <f t="shared" ref="F170:P170" si="155">F171+F172</f>
        <v>0</v>
      </c>
      <c r="G170" s="413">
        <f t="shared" si="155"/>
        <v>0</v>
      </c>
      <c r="H170" s="413">
        <f t="shared" si="155"/>
        <v>0</v>
      </c>
      <c r="I170" s="413">
        <f t="shared" si="155"/>
        <v>1300000</v>
      </c>
      <c r="J170" s="413">
        <f t="shared" si="155"/>
        <v>0</v>
      </c>
      <c r="K170" s="413">
        <f t="shared" si="155"/>
        <v>-400027</v>
      </c>
      <c r="L170" s="317">
        <f t="shared" si="112"/>
        <v>899973</v>
      </c>
      <c r="M170" s="317"/>
      <c r="N170" s="372">
        <f t="shared" si="121"/>
        <v>400027</v>
      </c>
      <c r="O170" s="413">
        <f t="shared" si="155"/>
        <v>989970.3</v>
      </c>
      <c r="P170" s="413">
        <f t="shared" si="155"/>
        <v>1088967.33</v>
      </c>
      <c r="R170" s="317"/>
      <c r="U170" s="320"/>
    </row>
    <row r="171" spans="1:21" s="312" customFormat="1" outlineLevel="3">
      <c r="A171" s="313"/>
      <c r="B171" s="412"/>
      <c r="C171" s="417" t="s">
        <v>98</v>
      </c>
      <c r="D171" s="418" t="s">
        <v>70</v>
      </c>
      <c r="E171" s="410">
        <v>800000</v>
      </c>
      <c r="F171" s="419"/>
      <c r="G171" s="419"/>
      <c r="H171" s="419"/>
      <c r="I171" s="324">
        <f t="shared" si="114"/>
        <v>800000</v>
      </c>
      <c r="J171" s="335"/>
      <c r="K171" s="335">
        <v>-400027</v>
      </c>
      <c r="L171" s="317">
        <f t="shared" si="112"/>
        <v>399973</v>
      </c>
      <c r="M171" s="317"/>
      <c r="N171" s="372">
        <f t="shared" si="121"/>
        <v>400027</v>
      </c>
      <c r="O171" s="336">
        <f t="shared" ref="O171:O172" si="156">L171*1.1</f>
        <v>439970.30000000005</v>
      </c>
      <c r="P171" s="336">
        <f t="shared" ref="P171:P172" si="157">O171*1.1</f>
        <v>483967.33000000007</v>
      </c>
      <c r="R171" s="317"/>
      <c r="U171" s="320"/>
    </row>
    <row r="172" spans="1:21" s="312" customFormat="1" outlineLevel="3">
      <c r="A172" s="313"/>
      <c r="B172" s="412"/>
      <c r="C172" s="417">
        <v>3111002</v>
      </c>
      <c r="D172" s="418" t="s">
        <v>71</v>
      </c>
      <c r="E172" s="410">
        <v>500000</v>
      </c>
      <c r="F172" s="419"/>
      <c r="G172" s="419"/>
      <c r="H172" s="419"/>
      <c r="I172" s="324">
        <f t="shared" si="114"/>
        <v>500000</v>
      </c>
      <c r="J172" s="335"/>
      <c r="K172" s="335"/>
      <c r="L172" s="317">
        <f t="shared" si="112"/>
        <v>500000</v>
      </c>
      <c r="M172" s="317"/>
      <c r="N172" s="372">
        <f t="shared" si="121"/>
        <v>0</v>
      </c>
      <c r="O172" s="336">
        <f t="shared" si="156"/>
        <v>550000</v>
      </c>
      <c r="P172" s="336">
        <f t="shared" si="157"/>
        <v>605000</v>
      </c>
      <c r="R172" s="317"/>
      <c r="U172" s="320"/>
    </row>
    <row r="173" spans="1:21" s="312" customFormat="1" outlineLevel="3">
      <c r="A173" s="313"/>
      <c r="B173" s="414"/>
      <c r="C173" s="423">
        <v>3111400</v>
      </c>
      <c r="D173" s="424" t="s">
        <v>531</v>
      </c>
      <c r="E173" s="413">
        <f>E174</f>
        <v>1000000</v>
      </c>
      <c r="F173" s="413">
        <f t="shared" ref="F173:P173" si="158">F174</f>
        <v>0</v>
      </c>
      <c r="G173" s="413">
        <f t="shared" si="158"/>
        <v>0</v>
      </c>
      <c r="H173" s="413">
        <f t="shared" si="158"/>
        <v>0</v>
      </c>
      <c r="I173" s="413">
        <f t="shared" si="158"/>
        <v>1000000</v>
      </c>
      <c r="J173" s="413">
        <f t="shared" si="158"/>
        <v>0</v>
      </c>
      <c r="K173" s="413">
        <f t="shared" si="158"/>
        <v>0</v>
      </c>
      <c r="L173" s="317">
        <f t="shared" si="112"/>
        <v>1000000</v>
      </c>
      <c r="M173" s="317"/>
      <c r="N173" s="372">
        <f t="shared" si="121"/>
        <v>0</v>
      </c>
      <c r="O173" s="413">
        <f t="shared" si="158"/>
        <v>1100000</v>
      </c>
      <c r="P173" s="413">
        <f t="shared" si="158"/>
        <v>1210000</v>
      </c>
      <c r="R173" s="317"/>
      <c r="U173" s="320"/>
    </row>
    <row r="174" spans="1:21" s="312" customFormat="1" outlineLevel="3">
      <c r="A174" s="313"/>
      <c r="B174" s="412"/>
      <c r="C174" s="425">
        <v>3111403</v>
      </c>
      <c r="D174" s="426" t="s">
        <v>1549</v>
      </c>
      <c r="E174" s="410">
        <v>1000000</v>
      </c>
      <c r="F174" s="427"/>
      <c r="G174" s="427"/>
      <c r="H174" s="427"/>
      <c r="I174" s="324">
        <f t="shared" si="114"/>
        <v>1000000</v>
      </c>
      <c r="J174" s="335"/>
      <c r="K174" s="335"/>
      <c r="L174" s="317">
        <f t="shared" si="112"/>
        <v>1000000</v>
      </c>
      <c r="M174" s="317"/>
      <c r="N174" s="372">
        <f t="shared" si="121"/>
        <v>0</v>
      </c>
      <c r="O174" s="336">
        <f t="shared" ref="O174" si="159">L174*1.1</f>
        <v>1100000</v>
      </c>
      <c r="P174" s="336">
        <f t="shared" ref="P174" si="160">O174*1.1</f>
        <v>1210000</v>
      </c>
      <c r="R174" s="317"/>
      <c r="U174" s="320"/>
    </row>
    <row r="175" spans="1:21" s="312" customFormat="1" outlineLevel="3">
      <c r="A175" s="313"/>
      <c r="B175" s="412"/>
      <c r="C175" s="428"/>
      <c r="D175" s="429"/>
      <c r="E175" s="430">
        <f>E176</f>
        <v>0</v>
      </c>
      <c r="F175" s="430"/>
      <c r="G175" s="430"/>
      <c r="H175" s="430"/>
      <c r="I175" s="324">
        <f t="shared" si="114"/>
        <v>0</v>
      </c>
      <c r="J175" s="335"/>
      <c r="K175" s="335"/>
      <c r="L175" s="317">
        <f t="shared" si="112"/>
        <v>0</v>
      </c>
      <c r="M175" s="317"/>
      <c r="N175" s="372">
        <f t="shared" si="121"/>
        <v>0</v>
      </c>
      <c r="O175" s="431">
        <f t="shared" ref="O175:P175" si="161">O176</f>
        <v>0</v>
      </c>
      <c r="P175" s="431">
        <f t="shared" si="161"/>
        <v>0</v>
      </c>
      <c r="R175" s="317"/>
      <c r="U175" s="320"/>
    </row>
    <row r="176" spans="1:21" s="312" customFormat="1" outlineLevel="3">
      <c r="A176" s="313"/>
      <c r="B176" s="412"/>
      <c r="C176" s="420"/>
      <c r="D176" s="432"/>
      <c r="E176" s="433"/>
      <c r="F176" s="433"/>
      <c r="G176" s="433"/>
      <c r="H176" s="433"/>
      <c r="I176" s="324">
        <f t="shared" si="114"/>
        <v>0</v>
      </c>
      <c r="J176" s="335"/>
      <c r="K176" s="335"/>
      <c r="L176" s="317">
        <f t="shared" si="112"/>
        <v>0</v>
      </c>
      <c r="M176" s="317"/>
      <c r="N176" s="372">
        <f t="shared" si="121"/>
        <v>0</v>
      </c>
      <c r="O176" s="336">
        <f t="shared" ref="O176" si="162">L176*1.1</f>
        <v>0</v>
      </c>
      <c r="P176" s="336">
        <f t="shared" ref="P176" si="163">O176*1.1</f>
        <v>0</v>
      </c>
      <c r="R176" s="317"/>
      <c r="U176" s="320"/>
    </row>
    <row r="177" spans="1:21" s="312" customFormat="1" outlineLevel="1">
      <c r="A177" s="313"/>
      <c r="B177" s="414"/>
      <c r="C177" s="416"/>
      <c r="D177" s="416" t="s">
        <v>99</v>
      </c>
      <c r="E177" s="413">
        <f>E175+E173+E170+E168+E165+E163+E159+E156+E148+E144+E141+E138</f>
        <v>17720000</v>
      </c>
      <c r="F177" s="413">
        <f t="shared" ref="F177:P177" si="164">F175+F173+F170+F168+F165+F163+F159+F156+F148+F144+F141+F138</f>
        <v>0</v>
      </c>
      <c r="G177" s="413">
        <f t="shared" si="164"/>
        <v>0</v>
      </c>
      <c r="H177" s="413">
        <f t="shared" si="164"/>
        <v>0</v>
      </c>
      <c r="I177" s="413">
        <f t="shared" si="164"/>
        <v>17720000</v>
      </c>
      <c r="J177" s="413">
        <f t="shared" si="164"/>
        <v>0</v>
      </c>
      <c r="K177" s="413">
        <f t="shared" si="164"/>
        <v>-1153290</v>
      </c>
      <c r="L177" s="317">
        <f t="shared" si="112"/>
        <v>16566710</v>
      </c>
      <c r="M177" s="317"/>
      <c r="N177" s="372">
        <f t="shared" si="121"/>
        <v>1153290</v>
      </c>
      <c r="O177" s="413">
        <f t="shared" si="164"/>
        <v>18223381</v>
      </c>
      <c r="P177" s="413">
        <f t="shared" si="164"/>
        <v>20045719.100000001</v>
      </c>
      <c r="R177" s="317"/>
      <c r="U177" s="320"/>
    </row>
    <row r="178" spans="1:21" s="312" customFormat="1" outlineLevel="1">
      <c r="A178" s="313"/>
      <c r="B178" s="414"/>
      <c r="C178" s="416"/>
      <c r="D178" s="416" t="s">
        <v>84</v>
      </c>
      <c r="E178" s="413">
        <f>E177</f>
        <v>17720000</v>
      </c>
      <c r="F178" s="413">
        <f t="shared" ref="F178:K178" si="165">F177</f>
        <v>0</v>
      </c>
      <c r="G178" s="413">
        <f t="shared" si="165"/>
        <v>0</v>
      </c>
      <c r="H178" s="413">
        <f t="shared" si="165"/>
        <v>0</v>
      </c>
      <c r="I178" s="413">
        <f t="shared" si="165"/>
        <v>17720000</v>
      </c>
      <c r="J178" s="413">
        <f t="shared" si="165"/>
        <v>0</v>
      </c>
      <c r="K178" s="413">
        <f t="shared" si="165"/>
        <v>-1153290</v>
      </c>
      <c r="L178" s="317">
        <f t="shared" si="112"/>
        <v>16566710</v>
      </c>
      <c r="M178" s="317"/>
      <c r="N178" s="372">
        <f t="shared" si="121"/>
        <v>1153290</v>
      </c>
      <c r="O178" s="413">
        <f t="shared" ref="O178:P178" si="166">O177</f>
        <v>18223381</v>
      </c>
      <c r="P178" s="413">
        <f t="shared" si="166"/>
        <v>20045719.100000001</v>
      </c>
      <c r="R178" s="317"/>
      <c r="U178" s="320"/>
    </row>
    <row r="179" spans="1:21" s="312" customFormat="1" outlineLevel="1">
      <c r="A179" s="313"/>
      <c r="B179" s="414"/>
      <c r="C179" s="416"/>
      <c r="D179" s="416"/>
      <c r="E179" s="413"/>
      <c r="F179" s="434"/>
      <c r="G179" s="434"/>
      <c r="H179" s="434"/>
      <c r="I179" s="324">
        <f t="shared" si="114"/>
        <v>0</v>
      </c>
      <c r="J179" s="335"/>
      <c r="K179" s="335"/>
      <c r="L179" s="317">
        <f t="shared" si="112"/>
        <v>0</v>
      </c>
      <c r="M179" s="317"/>
      <c r="N179" s="372">
        <f t="shared" si="121"/>
        <v>0</v>
      </c>
      <c r="O179" s="435"/>
      <c r="P179" s="435"/>
      <c r="R179" s="317"/>
      <c r="U179" s="320"/>
    </row>
    <row r="180" spans="1:21" s="312" customFormat="1" outlineLevel="1">
      <c r="A180" s="313"/>
      <c r="B180" s="436" t="s">
        <v>146</v>
      </c>
      <c r="C180" s="437" t="s">
        <v>1550</v>
      </c>
      <c r="D180" s="437"/>
      <c r="E180" s="389"/>
      <c r="F180" s="438"/>
      <c r="G180" s="438"/>
      <c r="H180" s="438"/>
      <c r="I180" s="324">
        <f t="shared" si="114"/>
        <v>0</v>
      </c>
      <c r="J180" s="335"/>
      <c r="K180" s="335"/>
      <c r="L180" s="317">
        <f t="shared" si="112"/>
        <v>0</v>
      </c>
      <c r="M180" s="317"/>
      <c r="N180" s="372">
        <f t="shared" si="121"/>
        <v>0</v>
      </c>
      <c r="O180" s="435"/>
      <c r="P180" s="435"/>
      <c r="R180" s="317"/>
      <c r="U180" s="320"/>
    </row>
    <row r="181" spans="1:21" s="312" customFormat="1" outlineLevel="3">
      <c r="A181" s="313"/>
      <c r="B181" s="414"/>
      <c r="C181" s="439">
        <v>2210100</v>
      </c>
      <c r="D181" s="439" t="s">
        <v>16</v>
      </c>
      <c r="E181" s="397">
        <f>E182+E183</f>
        <v>1000000</v>
      </c>
      <c r="F181" s="397">
        <f t="shared" ref="F181:K181" si="167">F182+F183</f>
        <v>0</v>
      </c>
      <c r="G181" s="397">
        <f t="shared" si="167"/>
        <v>0</v>
      </c>
      <c r="H181" s="397">
        <f t="shared" si="167"/>
        <v>0</v>
      </c>
      <c r="I181" s="397">
        <f t="shared" si="167"/>
        <v>1000000</v>
      </c>
      <c r="J181" s="397">
        <f t="shared" si="167"/>
        <v>0</v>
      </c>
      <c r="K181" s="397">
        <f t="shared" si="167"/>
        <v>-800000</v>
      </c>
      <c r="L181" s="317">
        <f t="shared" si="112"/>
        <v>200000</v>
      </c>
      <c r="M181" s="317"/>
      <c r="N181" s="372">
        <f t="shared" si="121"/>
        <v>800000</v>
      </c>
      <c r="O181" s="397">
        <f t="shared" ref="O181:P181" si="168">O182+O183</f>
        <v>220000.00000000003</v>
      </c>
      <c r="P181" s="397">
        <f t="shared" si="168"/>
        <v>242000.00000000006</v>
      </c>
      <c r="R181" s="317"/>
      <c r="U181" s="320"/>
    </row>
    <row r="182" spans="1:21" s="312" customFormat="1" outlineLevel="3">
      <c r="A182" s="313"/>
      <c r="B182" s="414"/>
      <c r="C182" s="398">
        <v>2210101</v>
      </c>
      <c r="D182" s="398" t="s">
        <v>17</v>
      </c>
      <c r="E182" s="389">
        <v>800000</v>
      </c>
      <c r="F182" s="399"/>
      <c r="G182" s="399"/>
      <c r="H182" s="399"/>
      <c r="I182" s="324">
        <f t="shared" si="114"/>
        <v>800000</v>
      </c>
      <c r="J182" s="335"/>
      <c r="K182" s="335">
        <v>-800000</v>
      </c>
      <c r="L182" s="317">
        <f t="shared" si="112"/>
        <v>0</v>
      </c>
      <c r="M182" s="317"/>
      <c r="N182" s="372">
        <f t="shared" si="121"/>
        <v>800000</v>
      </c>
      <c r="O182" s="336">
        <f t="shared" ref="O182:O214" si="169">L182*1.1</f>
        <v>0</v>
      </c>
      <c r="P182" s="336">
        <f t="shared" ref="P182:P214" si="170">O182*1.1</f>
        <v>0</v>
      </c>
      <c r="R182" s="317"/>
      <c r="U182" s="320"/>
    </row>
    <row r="183" spans="1:21" s="312" customFormat="1" outlineLevel="3">
      <c r="A183" s="313"/>
      <c r="B183" s="414"/>
      <c r="C183" s="398">
        <v>2210102</v>
      </c>
      <c r="D183" s="398" t="s">
        <v>18</v>
      </c>
      <c r="E183" s="389">
        <v>200000</v>
      </c>
      <c r="F183" s="399"/>
      <c r="G183" s="399"/>
      <c r="H183" s="399"/>
      <c r="I183" s="324">
        <f t="shared" si="114"/>
        <v>200000</v>
      </c>
      <c r="J183" s="335"/>
      <c r="K183" s="335"/>
      <c r="L183" s="317">
        <f t="shared" si="112"/>
        <v>200000</v>
      </c>
      <c r="M183" s="317"/>
      <c r="N183" s="372">
        <f t="shared" si="121"/>
        <v>0</v>
      </c>
      <c r="O183" s="336">
        <f t="shared" si="169"/>
        <v>220000.00000000003</v>
      </c>
      <c r="P183" s="336">
        <f t="shared" si="170"/>
        <v>242000.00000000006</v>
      </c>
      <c r="R183" s="317"/>
      <c r="U183" s="320"/>
    </row>
    <row r="184" spans="1:21" s="312" customFormat="1" outlineLevel="3">
      <c r="A184" s="313"/>
      <c r="B184" s="414"/>
      <c r="C184" s="327">
        <v>2210200</v>
      </c>
      <c r="D184" s="400" t="s">
        <v>20</v>
      </c>
      <c r="E184" s="397">
        <f>E185+E186</f>
        <v>170000</v>
      </c>
      <c r="F184" s="397">
        <f t="shared" ref="F184:K184" si="171">F185+F186</f>
        <v>0</v>
      </c>
      <c r="G184" s="397">
        <f t="shared" si="171"/>
        <v>0</v>
      </c>
      <c r="H184" s="397">
        <f t="shared" si="171"/>
        <v>0</v>
      </c>
      <c r="I184" s="397">
        <f t="shared" si="171"/>
        <v>170000</v>
      </c>
      <c r="J184" s="397">
        <f t="shared" si="171"/>
        <v>0</v>
      </c>
      <c r="K184" s="397">
        <f t="shared" si="171"/>
        <v>-50000</v>
      </c>
      <c r="L184" s="317">
        <f t="shared" si="112"/>
        <v>120000</v>
      </c>
      <c r="M184" s="317"/>
      <c r="N184" s="372">
        <f t="shared" si="121"/>
        <v>50000</v>
      </c>
      <c r="O184" s="397">
        <f t="shared" ref="O184:P184" si="172">O185+O186</f>
        <v>132000</v>
      </c>
      <c r="P184" s="397">
        <f t="shared" si="172"/>
        <v>145200</v>
      </c>
      <c r="R184" s="317"/>
      <c r="U184" s="320"/>
    </row>
    <row r="185" spans="1:21" s="312" customFormat="1" outlineLevel="3">
      <c r="A185" s="313"/>
      <c r="B185" s="414"/>
      <c r="C185" s="346">
        <v>2210201</v>
      </c>
      <c r="D185" s="347" t="s">
        <v>21</v>
      </c>
      <c r="E185" s="389">
        <v>120000</v>
      </c>
      <c r="F185" s="348"/>
      <c r="G185" s="348"/>
      <c r="H185" s="348"/>
      <c r="I185" s="324">
        <f t="shared" si="114"/>
        <v>120000</v>
      </c>
      <c r="J185" s="335"/>
      <c r="K185" s="335"/>
      <c r="L185" s="317">
        <f t="shared" si="112"/>
        <v>120000</v>
      </c>
      <c r="M185" s="317"/>
      <c r="N185" s="372">
        <f t="shared" si="121"/>
        <v>0</v>
      </c>
      <c r="O185" s="336">
        <f t="shared" si="169"/>
        <v>132000</v>
      </c>
      <c r="P185" s="336">
        <f t="shared" si="170"/>
        <v>145200</v>
      </c>
      <c r="R185" s="317"/>
      <c r="U185" s="320"/>
    </row>
    <row r="186" spans="1:21" s="312" customFormat="1" outlineLevel="3">
      <c r="A186" s="313"/>
      <c r="B186" s="414"/>
      <c r="C186" s="346">
        <v>2210202</v>
      </c>
      <c r="D186" s="347" t="s">
        <v>22</v>
      </c>
      <c r="E186" s="389">
        <v>50000</v>
      </c>
      <c r="F186" s="348"/>
      <c r="G186" s="348"/>
      <c r="H186" s="348"/>
      <c r="I186" s="324">
        <f t="shared" si="114"/>
        <v>50000</v>
      </c>
      <c r="J186" s="335"/>
      <c r="K186" s="335">
        <v>-50000</v>
      </c>
      <c r="L186" s="317">
        <f t="shared" si="112"/>
        <v>0</v>
      </c>
      <c r="M186" s="317"/>
      <c r="N186" s="372">
        <f t="shared" si="121"/>
        <v>50000</v>
      </c>
      <c r="O186" s="336">
        <f t="shared" si="169"/>
        <v>0</v>
      </c>
      <c r="P186" s="336">
        <f t="shared" si="170"/>
        <v>0</v>
      </c>
      <c r="R186" s="317"/>
      <c r="U186" s="320"/>
    </row>
    <row r="187" spans="1:21" s="312" customFormat="1" outlineLevel="3">
      <c r="A187" s="313"/>
      <c r="B187" s="414"/>
      <c r="C187" s="327">
        <v>2210300</v>
      </c>
      <c r="D187" s="400" t="s">
        <v>24</v>
      </c>
      <c r="E187" s="397">
        <f>E188+E189+E190</f>
        <v>1200000</v>
      </c>
      <c r="F187" s="397">
        <f t="shared" ref="F187:P187" si="173">F188+F189+F190</f>
        <v>0</v>
      </c>
      <c r="G187" s="397">
        <f t="shared" si="173"/>
        <v>0</v>
      </c>
      <c r="H187" s="397">
        <f t="shared" si="173"/>
        <v>0</v>
      </c>
      <c r="I187" s="397">
        <f t="shared" si="173"/>
        <v>1200000</v>
      </c>
      <c r="J187" s="397">
        <f t="shared" si="173"/>
        <v>0</v>
      </c>
      <c r="K187" s="397">
        <f t="shared" si="173"/>
        <v>1130000</v>
      </c>
      <c r="L187" s="317">
        <f t="shared" si="112"/>
        <v>2330000</v>
      </c>
      <c r="M187" s="317"/>
      <c r="N187" s="372">
        <f t="shared" si="121"/>
        <v>-1130000</v>
      </c>
      <c r="O187" s="397">
        <f t="shared" si="173"/>
        <v>2563000.0000000005</v>
      </c>
      <c r="P187" s="397">
        <f t="shared" si="173"/>
        <v>2819300.0000000009</v>
      </c>
      <c r="R187" s="317"/>
      <c r="U187" s="320"/>
    </row>
    <row r="188" spans="1:21" s="312" customFormat="1" outlineLevel="3">
      <c r="A188" s="313"/>
      <c r="B188" s="313"/>
      <c r="C188" s="346">
        <v>2210301</v>
      </c>
      <c r="D188" s="347" t="s">
        <v>25</v>
      </c>
      <c r="E188" s="389">
        <v>200000</v>
      </c>
      <c r="F188" s="348"/>
      <c r="G188" s="348"/>
      <c r="H188" s="348"/>
      <c r="I188" s="324">
        <f t="shared" si="114"/>
        <v>200000</v>
      </c>
      <c r="J188" s="335"/>
      <c r="K188" s="335"/>
      <c r="L188" s="317">
        <f t="shared" si="112"/>
        <v>200000</v>
      </c>
      <c r="M188" s="317"/>
      <c r="N188" s="372">
        <f t="shared" si="121"/>
        <v>0</v>
      </c>
      <c r="O188" s="336">
        <f t="shared" si="169"/>
        <v>220000.00000000003</v>
      </c>
      <c r="P188" s="336">
        <f t="shared" si="170"/>
        <v>242000.00000000006</v>
      </c>
      <c r="R188" s="317"/>
      <c r="U188" s="320"/>
    </row>
    <row r="189" spans="1:21" s="312" customFormat="1" outlineLevel="3">
      <c r="A189" s="313"/>
      <c r="B189" s="313"/>
      <c r="C189" s="346">
        <v>2210302</v>
      </c>
      <c r="D189" s="347" t="s">
        <v>26</v>
      </c>
      <c r="E189" s="389">
        <v>500000</v>
      </c>
      <c r="F189" s="348"/>
      <c r="G189" s="348"/>
      <c r="H189" s="348"/>
      <c r="I189" s="324">
        <f t="shared" si="114"/>
        <v>500000</v>
      </c>
      <c r="J189" s="335"/>
      <c r="K189" s="335">
        <v>930000</v>
      </c>
      <c r="L189" s="317">
        <f t="shared" si="112"/>
        <v>1430000</v>
      </c>
      <c r="M189" s="317"/>
      <c r="N189" s="372">
        <f t="shared" si="121"/>
        <v>-930000</v>
      </c>
      <c r="O189" s="336">
        <f t="shared" si="169"/>
        <v>1573000.0000000002</v>
      </c>
      <c r="P189" s="336">
        <f t="shared" si="170"/>
        <v>1730300.0000000005</v>
      </c>
      <c r="R189" s="317"/>
      <c r="U189" s="320"/>
    </row>
    <row r="190" spans="1:21" s="312" customFormat="1" outlineLevel="3">
      <c r="A190" s="313"/>
      <c r="B190" s="313"/>
      <c r="C190" s="346">
        <v>2210303</v>
      </c>
      <c r="D190" s="347" t="s">
        <v>27</v>
      </c>
      <c r="E190" s="389">
        <v>500000</v>
      </c>
      <c r="F190" s="348"/>
      <c r="G190" s="348"/>
      <c r="H190" s="348"/>
      <c r="I190" s="324">
        <f t="shared" si="114"/>
        <v>500000</v>
      </c>
      <c r="J190" s="335"/>
      <c r="K190" s="335">
        <v>200000</v>
      </c>
      <c r="L190" s="317">
        <f t="shared" si="112"/>
        <v>700000</v>
      </c>
      <c r="M190" s="317"/>
      <c r="N190" s="372">
        <f t="shared" si="121"/>
        <v>-200000</v>
      </c>
      <c r="O190" s="336">
        <f t="shared" si="169"/>
        <v>770000.00000000012</v>
      </c>
      <c r="P190" s="336">
        <f t="shared" si="170"/>
        <v>847000.00000000023</v>
      </c>
      <c r="R190" s="317"/>
      <c r="U190" s="320"/>
    </row>
    <row r="191" spans="1:21" s="312" customFormat="1" outlineLevel="3">
      <c r="A191" s="313"/>
      <c r="B191" s="313"/>
      <c r="C191" s="327">
        <v>2210500</v>
      </c>
      <c r="D191" s="400" t="s">
        <v>31</v>
      </c>
      <c r="E191" s="397">
        <f>E192</f>
        <v>100000</v>
      </c>
      <c r="F191" s="397">
        <f t="shared" ref="F191:K191" si="174">F192</f>
        <v>0</v>
      </c>
      <c r="G191" s="397">
        <f t="shared" si="174"/>
        <v>0</v>
      </c>
      <c r="H191" s="397">
        <f t="shared" si="174"/>
        <v>0</v>
      </c>
      <c r="I191" s="397">
        <f t="shared" si="174"/>
        <v>100000</v>
      </c>
      <c r="J191" s="397">
        <f t="shared" si="174"/>
        <v>0</v>
      </c>
      <c r="K191" s="397">
        <f t="shared" si="174"/>
        <v>0</v>
      </c>
      <c r="L191" s="317">
        <f t="shared" si="112"/>
        <v>100000</v>
      </c>
      <c r="M191" s="317"/>
      <c r="N191" s="372">
        <f t="shared" si="121"/>
        <v>0</v>
      </c>
      <c r="O191" s="397">
        <f t="shared" ref="O191:P191" si="175">O192</f>
        <v>110000.00000000001</v>
      </c>
      <c r="P191" s="397">
        <f t="shared" si="175"/>
        <v>121000.00000000003</v>
      </c>
      <c r="R191" s="317"/>
      <c r="U191" s="320"/>
    </row>
    <row r="192" spans="1:21" s="312" customFormat="1" outlineLevel="3">
      <c r="A192" s="313"/>
      <c r="B192" s="313"/>
      <c r="C192" s="346">
        <v>2210503</v>
      </c>
      <c r="D192" s="347" t="s">
        <v>32</v>
      </c>
      <c r="E192" s="389">
        <v>100000</v>
      </c>
      <c r="F192" s="348"/>
      <c r="G192" s="348"/>
      <c r="H192" s="348"/>
      <c r="I192" s="324">
        <f t="shared" si="114"/>
        <v>100000</v>
      </c>
      <c r="J192" s="335"/>
      <c r="K192" s="335"/>
      <c r="L192" s="317">
        <f t="shared" si="112"/>
        <v>100000</v>
      </c>
      <c r="M192" s="317"/>
      <c r="N192" s="372">
        <f t="shared" si="121"/>
        <v>0</v>
      </c>
      <c r="O192" s="336">
        <f t="shared" si="169"/>
        <v>110000.00000000001</v>
      </c>
      <c r="P192" s="336">
        <f t="shared" si="170"/>
        <v>121000.00000000003</v>
      </c>
      <c r="R192" s="317"/>
      <c r="U192" s="320"/>
    </row>
    <row r="193" spans="1:21" s="312" customFormat="1" outlineLevel="3">
      <c r="A193" s="313"/>
      <c r="B193" s="313"/>
      <c r="C193" s="327">
        <v>2210700</v>
      </c>
      <c r="D193" s="400" t="s">
        <v>35</v>
      </c>
      <c r="E193" s="397">
        <f>E194+E195+E196+E197</f>
        <v>800000</v>
      </c>
      <c r="F193" s="397">
        <f t="shared" ref="F193:K193" si="176">F194+F195+F196+F197</f>
        <v>0</v>
      </c>
      <c r="G193" s="397">
        <f t="shared" si="176"/>
        <v>0</v>
      </c>
      <c r="H193" s="397">
        <f t="shared" si="176"/>
        <v>0</v>
      </c>
      <c r="I193" s="397">
        <f t="shared" si="176"/>
        <v>800000</v>
      </c>
      <c r="J193" s="397">
        <f t="shared" si="176"/>
        <v>0</v>
      </c>
      <c r="K193" s="397">
        <f t="shared" si="176"/>
        <v>0</v>
      </c>
      <c r="L193" s="317">
        <f t="shared" si="112"/>
        <v>800000</v>
      </c>
      <c r="M193" s="317"/>
      <c r="N193" s="372">
        <f t="shared" si="121"/>
        <v>0</v>
      </c>
      <c r="O193" s="397">
        <f t="shared" ref="O193:P193" si="177">O194+O195+O196+O197</f>
        <v>880000</v>
      </c>
      <c r="P193" s="397">
        <f t="shared" si="177"/>
        <v>968000</v>
      </c>
      <c r="R193" s="317"/>
      <c r="U193" s="320"/>
    </row>
    <row r="194" spans="1:21" s="312" customFormat="1" outlineLevel="3">
      <c r="A194" s="313"/>
      <c r="B194" s="313"/>
      <c r="C194" s="346">
        <v>2210701</v>
      </c>
      <c r="D194" s="347" t="s">
        <v>36</v>
      </c>
      <c r="E194" s="389">
        <v>100000</v>
      </c>
      <c r="F194" s="348"/>
      <c r="G194" s="348"/>
      <c r="H194" s="348"/>
      <c r="I194" s="324">
        <f t="shared" si="114"/>
        <v>100000</v>
      </c>
      <c r="J194" s="335"/>
      <c r="K194" s="335"/>
      <c r="L194" s="317">
        <f t="shared" si="112"/>
        <v>100000</v>
      </c>
      <c r="M194" s="317"/>
      <c r="N194" s="372">
        <f t="shared" si="121"/>
        <v>0</v>
      </c>
      <c r="O194" s="336">
        <f t="shared" si="169"/>
        <v>110000.00000000001</v>
      </c>
      <c r="P194" s="336">
        <f t="shared" si="170"/>
        <v>121000.00000000003</v>
      </c>
      <c r="R194" s="317"/>
      <c r="U194" s="320"/>
    </row>
    <row r="195" spans="1:21" s="312" customFormat="1" outlineLevel="3">
      <c r="A195" s="313"/>
      <c r="B195" s="313"/>
      <c r="C195" s="346">
        <v>2210702</v>
      </c>
      <c r="D195" s="347" t="s">
        <v>95</v>
      </c>
      <c r="E195" s="389">
        <v>100000</v>
      </c>
      <c r="F195" s="348"/>
      <c r="G195" s="348"/>
      <c r="H195" s="348"/>
      <c r="I195" s="324">
        <f t="shared" si="114"/>
        <v>100000</v>
      </c>
      <c r="J195" s="335"/>
      <c r="K195" s="335"/>
      <c r="L195" s="317">
        <f t="shared" si="112"/>
        <v>100000</v>
      </c>
      <c r="M195" s="317"/>
      <c r="N195" s="372">
        <f t="shared" si="121"/>
        <v>0</v>
      </c>
      <c r="O195" s="336">
        <f t="shared" si="169"/>
        <v>110000.00000000001</v>
      </c>
      <c r="P195" s="336">
        <f t="shared" si="170"/>
        <v>121000.00000000003</v>
      </c>
      <c r="R195" s="317"/>
      <c r="U195" s="320"/>
    </row>
    <row r="196" spans="1:21" s="312" customFormat="1" outlineLevel="3">
      <c r="A196" s="313"/>
      <c r="B196" s="313"/>
      <c r="C196" s="346">
        <v>2210715</v>
      </c>
      <c r="D196" s="347" t="s">
        <v>40</v>
      </c>
      <c r="E196" s="389">
        <v>500000</v>
      </c>
      <c r="F196" s="348"/>
      <c r="G196" s="348"/>
      <c r="H196" s="348"/>
      <c r="I196" s="324">
        <f t="shared" si="114"/>
        <v>500000</v>
      </c>
      <c r="J196" s="335"/>
      <c r="K196" s="335"/>
      <c r="L196" s="317">
        <f t="shared" ref="L196:L259" si="178">I196+J196+K196</f>
        <v>500000</v>
      </c>
      <c r="M196" s="317"/>
      <c r="N196" s="372">
        <f t="shared" si="121"/>
        <v>0</v>
      </c>
      <c r="O196" s="336">
        <f t="shared" si="169"/>
        <v>550000</v>
      </c>
      <c r="P196" s="336">
        <f t="shared" si="170"/>
        <v>605000</v>
      </c>
      <c r="R196" s="317"/>
      <c r="U196" s="320"/>
    </row>
    <row r="197" spans="1:21" s="312" customFormat="1" outlineLevel="3">
      <c r="A197" s="313"/>
      <c r="B197" s="313"/>
      <c r="C197" s="346">
        <v>2210799</v>
      </c>
      <c r="D197" s="347" t="s">
        <v>96</v>
      </c>
      <c r="E197" s="389">
        <v>100000</v>
      </c>
      <c r="F197" s="348"/>
      <c r="G197" s="348"/>
      <c r="H197" s="348"/>
      <c r="I197" s="324">
        <f t="shared" ref="I197:I257" si="179">E197+F197+G197+H197</f>
        <v>100000</v>
      </c>
      <c r="J197" s="335"/>
      <c r="K197" s="335"/>
      <c r="L197" s="317">
        <f t="shared" si="178"/>
        <v>100000</v>
      </c>
      <c r="M197" s="317"/>
      <c r="N197" s="372">
        <f t="shared" si="121"/>
        <v>0</v>
      </c>
      <c r="O197" s="336">
        <f t="shared" si="169"/>
        <v>110000.00000000001</v>
      </c>
      <c r="P197" s="336">
        <f t="shared" si="170"/>
        <v>121000.00000000003</v>
      </c>
      <c r="R197" s="317"/>
      <c r="U197" s="320"/>
    </row>
    <row r="198" spans="1:21" s="312" customFormat="1" outlineLevel="3">
      <c r="A198" s="313"/>
      <c r="B198" s="313"/>
      <c r="C198" s="327">
        <v>2210800</v>
      </c>
      <c r="D198" s="400" t="s">
        <v>42</v>
      </c>
      <c r="E198" s="397">
        <f>E199+E200</f>
        <v>1500000</v>
      </c>
      <c r="F198" s="397">
        <f t="shared" ref="F198:K198" si="180">F199+F200</f>
        <v>0</v>
      </c>
      <c r="G198" s="397">
        <f t="shared" si="180"/>
        <v>0</v>
      </c>
      <c r="H198" s="397">
        <f t="shared" si="180"/>
        <v>0</v>
      </c>
      <c r="I198" s="397">
        <f t="shared" si="180"/>
        <v>1500000</v>
      </c>
      <c r="J198" s="397">
        <f t="shared" si="180"/>
        <v>0</v>
      </c>
      <c r="K198" s="397">
        <f t="shared" si="180"/>
        <v>200000</v>
      </c>
      <c r="L198" s="317">
        <f t="shared" si="178"/>
        <v>1700000</v>
      </c>
      <c r="M198" s="317"/>
      <c r="N198" s="372">
        <f t="shared" si="121"/>
        <v>-200000</v>
      </c>
      <c r="O198" s="397">
        <f t="shared" ref="O198:P198" si="181">O199+O200</f>
        <v>1870000</v>
      </c>
      <c r="P198" s="397">
        <f t="shared" si="181"/>
        <v>2057000.0000000002</v>
      </c>
      <c r="R198" s="317"/>
      <c r="U198" s="320"/>
    </row>
    <row r="199" spans="1:21" s="312" customFormat="1" outlineLevel="3">
      <c r="A199" s="313"/>
      <c r="B199" s="313"/>
      <c r="C199" s="346">
        <v>2210801</v>
      </c>
      <c r="D199" s="347" t="s">
        <v>2418</v>
      </c>
      <c r="E199" s="389">
        <v>1000000</v>
      </c>
      <c r="F199" s="348"/>
      <c r="G199" s="348"/>
      <c r="H199" s="348"/>
      <c r="I199" s="324">
        <f t="shared" si="179"/>
        <v>1000000</v>
      </c>
      <c r="J199" s="335"/>
      <c r="K199" s="335"/>
      <c r="L199" s="317">
        <f t="shared" si="178"/>
        <v>1000000</v>
      </c>
      <c r="M199" s="317"/>
      <c r="N199" s="372">
        <f t="shared" si="121"/>
        <v>0</v>
      </c>
      <c r="O199" s="336">
        <f t="shared" si="169"/>
        <v>1100000</v>
      </c>
      <c r="P199" s="336">
        <f t="shared" si="170"/>
        <v>1210000</v>
      </c>
      <c r="R199" s="317"/>
      <c r="U199" s="320"/>
    </row>
    <row r="200" spans="1:21" s="312" customFormat="1" outlineLevel="3">
      <c r="A200" s="313"/>
      <c r="B200" s="313"/>
      <c r="C200" s="346">
        <v>2210802</v>
      </c>
      <c r="D200" s="347" t="s">
        <v>97</v>
      </c>
      <c r="E200" s="389">
        <v>500000</v>
      </c>
      <c r="F200" s="348"/>
      <c r="G200" s="348"/>
      <c r="H200" s="348"/>
      <c r="I200" s="324">
        <f t="shared" si="179"/>
        <v>500000</v>
      </c>
      <c r="J200" s="335"/>
      <c r="K200" s="335">
        <v>200000</v>
      </c>
      <c r="L200" s="317">
        <f t="shared" si="178"/>
        <v>700000</v>
      </c>
      <c r="M200" s="317"/>
      <c r="N200" s="372">
        <f t="shared" ref="N200:N263" si="182">M200-K200</f>
        <v>-200000</v>
      </c>
      <c r="O200" s="336">
        <f t="shared" si="169"/>
        <v>770000.00000000012</v>
      </c>
      <c r="P200" s="336">
        <f t="shared" si="170"/>
        <v>847000.00000000023</v>
      </c>
      <c r="R200" s="317"/>
      <c r="U200" s="320"/>
    </row>
    <row r="201" spans="1:21" s="312" customFormat="1" outlineLevel="3">
      <c r="A201" s="313"/>
      <c r="B201" s="313"/>
      <c r="C201" s="327">
        <v>2211100</v>
      </c>
      <c r="D201" s="400" t="s">
        <v>51</v>
      </c>
      <c r="E201" s="397">
        <f>E202+E203+E204</f>
        <v>1600000</v>
      </c>
      <c r="F201" s="397">
        <f t="shared" ref="F201:K201" si="183">F202+F203+F204</f>
        <v>0</v>
      </c>
      <c r="G201" s="397">
        <f t="shared" si="183"/>
        <v>0</v>
      </c>
      <c r="H201" s="397">
        <f t="shared" si="183"/>
        <v>0</v>
      </c>
      <c r="I201" s="397">
        <f t="shared" si="183"/>
        <v>1600000</v>
      </c>
      <c r="J201" s="397">
        <f t="shared" si="183"/>
        <v>0</v>
      </c>
      <c r="K201" s="397">
        <f t="shared" si="183"/>
        <v>0</v>
      </c>
      <c r="L201" s="317">
        <f t="shared" si="178"/>
        <v>1600000</v>
      </c>
      <c r="M201" s="317"/>
      <c r="N201" s="372">
        <f t="shared" si="182"/>
        <v>0</v>
      </c>
      <c r="O201" s="397">
        <f t="shared" ref="O201:P201" si="184">O202+O203+O204</f>
        <v>1760000</v>
      </c>
      <c r="P201" s="397">
        <f t="shared" si="184"/>
        <v>1936000.0000000002</v>
      </c>
      <c r="R201" s="317"/>
      <c r="U201" s="320"/>
    </row>
    <row r="202" spans="1:21" s="312" customFormat="1" outlineLevel="3">
      <c r="A202" s="313"/>
      <c r="B202" s="313"/>
      <c r="C202" s="346">
        <v>2211101</v>
      </c>
      <c r="D202" s="347" t="s">
        <v>52</v>
      </c>
      <c r="E202" s="389">
        <v>500000</v>
      </c>
      <c r="F202" s="348"/>
      <c r="G202" s="348"/>
      <c r="H202" s="348"/>
      <c r="I202" s="324">
        <f t="shared" si="179"/>
        <v>500000</v>
      </c>
      <c r="J202" s="335"/>
      <c r="K202" s="335"/>
      <c r="L202" s="317">
        <f t="shared" si="178"/>
        <v>500000</v>
      </c>
      <c r="M202" s="317"/>
      <c r="N202" s="372">
        <f t="shared" si="182"/>
        <v>0</v>
      </c>
      <c r="O202" s="336">
        <f t="shared" si="169"/>
        <v>550000</v>
      </c>
      <c r="P202" s="336">
        <f t="shared" si="170"/>
        <v>605000</v>
      </c>
      <c r="R202" s="317"/>
      <c r="U202" s="320"/>
    </row>
    <row r="203" spans="1:21" s="312" customFormat="1" outlineLevel="3">
      <c r="A203" s="313"/>
      <c r="B203" s="313"/>
      <c r="C203" s="346">
        <v>2211102</v>
      </c>
      <c r="D203" s="347" t="s">
        <v>53</v>
      </c>
      <c r="E203" s="389">
        <v>800000</v>
      </c>
      <c r="F203" s="348"/>
      <c r="G203" s="348"/>
      <c r="H203" s="348"/>
      <c r="I203" s="324">
        <f t="shared" si="179"/>
        <v>800000</v>
      </c>
      <c r="J203" s="335"/>
      <c r="K203" s="335"/>
      <c r="L203" s="317">
        <f t="shared" si="178"/>
        <v>800000</v>
      </c>
      <c r="M203" s="317"/>
      <c r="N203" s="372">
        <f t="shared" si="182"/>
        <v>0</v>
      </c>
      <c r="O203" s="336">
        <f t="shared" si="169"/>
        <v>880000.00000000012</v>
      </c>
      <c r="P203" s="336">
        <f t="shared" si="170"/>
        <v>968000.00000000023</v>
      </c>
      <c r="R203" s="317"/>
      <c r="U203" s="320"/>
    </row>
    <row r="204" spans="1:21" s="312" customFormat="1" outlineLevel="3">
      <c r="A204" s="313"/>
      <c r="B204" s="313"/>
      <c r="C204" s="346">
        <v>2211103</v>
      </c>
      <c r="D204" s="347" t="s">
        <v>54</v>
      </c>
      <c r="E204" s="389">
        <v>300000</v>
      </c>
      <c r="F204" s="348"/>
      <c r="G204" s="348"/>
      <c r="H204" s="348"/>
      <c r="I204" s="324">
        <f t="shared" si="179"/>
        <v>300000</v>
      </c>
      <c r="J204" s="335"/>
      <c r="K204" s="335"/>
      <c r="L204" s="317">
        <f t="shared" si="178"/>
        <v>300000</v>
      </c>
      <c r="M204" s="317"/>
      <c r="N204" s="372">
        <f t="shared" si="182"/>
        <v>0</v>
      </c>
      <c r="O204" s="336">
        <f t="shared" si="169"/>
        <v>330000</v>
      </c>
      <c r="P204" s="336">
        <f t="shared" si="170"/>
        <v>363000.00000000006</v>
      </c>
      <c r="R204" s="317"/>
      <c r="U204" s="320"/>
    </row>
    <row r="205" spans="1:21" s="312" customFormat="1" outlineLevel="3">
      <c r="A205" s="313"/>
      <c r="B205" s="313"/>
      <c r="C205" s="327">
        <v>2211200</v>
      </c>
      <c r="D205" s="400" t="s">
        <v>55</v>
      </c>
      <c r="E205" s="397">
        <f>E206</f>
        <v>500000</v>
      </c>
      <c r="F205" s="397">
        <f t="shared" ref="F205:K205" si="185">F206</f>
        <v>0</v>
      </c>
      <c r="G205" s="397">
        <f t="shared" si="185"/>
        <v>0</v>
      </c>
      <c r="H205" s="397">
        <f t="shared" si="185"/>
        <v>0</v>
      </c>
      <c r="I205" s="397">
        <f t="shared" si="185"/>
        <v>500000</v>
      </c>
      <c r="J205" s="397">
        <f t="shared" si="185"/>
        <v>0</v>
      </c>
      <c r="K205" s="397">
        <f t="shared" si="185"/>
        <v>0</v>
      </c>
      <c r="L205" s="317">
        <f t="shared" si="178"/>
        <v>500000</v>
      </c>
      <c r="M205" s="317"/>
      <c r="N205" s="372">
        <f t="shared" si="182"/>
        <v>0</v>
      </c>
      <c r="O205" s="397">
        <f t="shared" ref="O205:P205" si="186">O206</f>
        <v>550000</v>
      </c>
      <c r="P205" s="397">
        <f t="shared" si="186"/>
        <v>605000</v>
      </c>
      <c r="R205" s="317"/>
      <c r="U205" s="320"/>
    </row>
    <row r="206" spans="1:21" s="312" customFormat="1" outlineLevel="3">
      <c r="A206" s="313"/>
      <c r="B206" s="313"/>
      <c r="C206" s="346">
        <v>2211201</v>
      </c>
      <c r="D206" s="347" t="s">
        <v>56</v>
      </c>
      <c r="E206" s="389">
        <v>500000</v>
      </c>
      <c r="F206" s="348"/>
      <c r="G206" s="348"/>
      <c r="H206" s="348"/>
      <c r="I206" s="324">
        <f t="shared" si="179"/>
        <v>500000</v>
      </c>
      <c r="J206" s="335"/>
      <c r="K206" s="335"/>
      <c r="L206" s="317">
        <f t="shared" si="178"/>
        <v>500000</v>
      </c>
      <c r="M206" s="317"/>
      <c r="N206" s="372">
        <f t="shared" si="182"/>
        <v>0</v>
      </c>
      <c r="O206" s="336">
        <f t="shared" si="169"/>
        <v>550000</v>
      </c>
      <c r="P206" s="336">
        <f t="shared" si="170"/>
        <v>605000</v>
      </c>
      <c r="R206" s="317"/>
      <c r="U206" s="320"/>
    </row>
    <row r="207" spans="1:21" s="312" customFormat="1" outlineLevel="3">
      <c r="A207" s="313"/>
      <c r="B207" s="313"/>
      <c r="C207" s="327">
        <v>2220100</v>
      </c>
      <c r="D207" s="400" t="s">
        <v>62</v>
      </c>
      <c r="E207" s="397">
        <f>E208+E209</f>
        <v>500000</v>
      </c>
      <c r="F207" s="397">
        <f t="shared" ref="F207:K207" si="187">F208+F209</f>
        <v>0</v>
      </c>
      <c r="G207" s="397">
        <f t="shared" si="187"/>
        <v>0</v>
      </c>
      <c r="H207" s="397">
        <f t="shared" si="187"/>
        <v>0</v>
      </c>
      <c r="I207" s="397">
        <f t="shared" si="187"/>
        <v>500000</v>
      </c>
      <c r="J207" s="397">
        <f t="shared" si="187"/>
        <v>0</v>
      </c>
      <c r="K207" s="397">
        <f t="shared" si="187"/>
        <v>-300000</v>
      </c>
      <c r="L207" s="317">
        <f t="shared" si="178"/>
        <v>200000</v>
      </c>
      <c r="M207" s="317"/>
      <c r="N207" s="372">
        <f t="shared" si="182"/>
        <v>300000</v>
      </c>
      <c r="O207" s="397">
        <f t="shared" ref="O207:P207" si="188">O208+O209</f>
        <v>220000.00000000003</v>
      </c>
      <c r="P207" s="397">
        <f t="shared" si="188"/>
        <v>242000.00000000006</v>
      </c>
      <c r="R207" s="317"/>
      <c r="U207" s="320"/>
    </row>
    <row r="208" spans="1:21" s="312" customFormat="1" outlineLevel="3">
      <c r="A208" s="313"/>
      <c r="B208" s="313"/>
      <c r="C208" s="346">
        <v>2220101</v>
      </c>
      <c r="D208" s="347" t="s">
        <v>250</v>
      </c>
      <c r="E208" s="389">
        <v>300000</v>
      </c>
      <c r="F208" s="348"/>
      <c r="G208" s="348"/>
      <c r="H208" s="348"/>
      <c r="I208" s="324">
        <f t="shared" si="179"/>
        <v>300000</v>
      </c>
      <c r="J208" s="335"/>
      <c r="K208" s="335">
        <v>-300000</v>
      </c>
      <c r="L208" s="317">
        <f t="shared" si="178"/>
        <v>0</v>
      </c>
      <c r="M208" s="317"/>
      <c r="N208" s="372">
        <f t="shared" si="182"/>
        <v>300000</v>
      </c>
      <c r="O208" s="336">
        <f t="shared" si="169"/>
        <v>0</v>
      </c>
      <c r="P208" s="336">
        <f t="shared" si="170"/>
        <v>0</v>
      </c>
      <c r="R208" s="317"/>
      <c r="U208" s="320"/>
    </row>
    <row r="209" spans="1:21" s="312" customFormat="1" outlineLevel="3">
      <c r="A209" s="313"/>
      <c r="B209" s="313"/>
      <c r="C209" s="401">
        <v>2220105</v>
      </c>
      <c r="D209" s="402" t="s">
        <v>404</v>
      </c>
      <c r="E209" s="389">
        <v>200000</v>
      </c>
      <c r="F209" s="333"/>
      <c r="G209" s="333"/>
      <c r="H209" s="333"/>
      <c r="I209" s="324">
        <f t="shared" si="179"/>
        <v>200000</v>
      </c>
      <c r="J209" s="335"/>
      <c r="K209" s="335"/>
      <c r="L209" s="317">
        <f t="shared" si="178"/>
        <v>200000</v>
      </c>
      <c r="M209" s="317"/>
      <c r="N209" s="372">
        <f t="shared" si="182"/>
        <v>0</v>
      </c>
      <c r="O209" s="336">
        <f t="shared" si="169"/>
        <v>220000.00000000003</v>
      </c>
      <c r="P209" s="336">
        <f t="shared" si="170"/>
        <v>242000.00000000006</v>
      </c>
      <c r="R209" s="317"/>
      <c r="U209" s="320"/>
    </row>
    <row r="210" spans="1:21" s="312" customFormat="1" outlineLevel="3">
      <c r="A210" s="313"/>
      <c r="B210" s="313"/>
      <c r="C210" s="403">
        <v>2220200</v>
      </c>
      <c r="D210" s="404" t="s">
        <v>405</v>
      </c>
      <c r="E210" s="397">
        <f>E211</f>
        <v>500000</v>
      </c>
      <c r="F210" s="397">
        <f t="shared" ref="F210:K210" si="189">F211</f>
        <v>0</v>
      </c>
      <c r="G210" s="397">
        <f t="shared" si="189"/>
        <v>0</v>
      </c>
      <c r="H210" s="397">
        <f t="shared" si="189"/>
        <v>0</v>
      </c>
      <c r="I210" s="397">
        <f t="shared" si="189"/>
        <v>500000</v>
      </c>
      <c r="J210" s="397">
        <f t="shared" si="189"/>
        <v>0</v>
      </c>
      <c r="K210" s="397">
        <f t="shared" si="189"/>
        <v>0</v>
      </c>
      <c r="L210" s="317">
        <f t="shared" si="178"/>
        <v>500000</v>
      </c>
      <c r="M210" s="317"/>
      <c r="N210" s="372">
        <f t="shared" si="182"/>
        <v>0</v>
      </c>
      <c r="O210" s="397">
        <f t="shared" ref="O210:P210" si="190">O211</f>
        <v>550000</v>
      </c>
      <c r="P210" s="397">
        <f t="shared" si="190"/>
        <v>605000</v>
      </c>
      <c r="R210" s="317"/>
      <c r="U210" s="320"/>
    </row>
    <row r="211" spans="1:21" s="312" customFormat="1" outlineLevel="3">
      <c r="A211" s="313"/>
      <c r="B211" s="313"/>
      <c r="C211" s="401">
        <v>2220205</v>
      </c>
      <c r="D211" s="402" t="s">
        <v>1543</v>
      </c>
      <c r="E211" s="389">
        <v>500000</v>
      </c>
      <c r="F211" s="333"/>
      <c r="G211" s="333"/>
      <c r="H211" s="333"/>
      <c r="I211" s="324">
        <f t="shared" si="179"/>
        <v>500000</v>
      </c>
      <c r="J211" s="335"/>
      <c r="K211" s="335">
        <v>0</v>
      </c>
      <c r="L211" s="317">
        <f t="shared" si="178"/>
        <v>500000</v>
      </c>
      <c r="M211" s="317"/>
      <c r="N211" s="372">
        <f t="shared" si="182"/>
        <v>0</v>
      </c>
      <c r="O211" s="336">
        <f t="shared" si="169"/>
        <v>550000</v>
      </c>
      <c r="P211" s="336">
        <f t="shared" si="170"/>
        <v>605000</v>
      </c>
      <c r="R211" s="317"/>
      <c r="U211" s="320"/>
    </row>
    <row r="212" spans="1:21" s="312" customFormat="1" outlineLevel="3">
      <c r="A212" s="313"/>
      <c r="B212" s="313"/>
      <c r="C212" s="327">
        <v>3111000</v>
      </c>
      <c r="D212" s="400" t="s">
        <v>69</v>
      </c>
      <c r="E212" s="397">
        <f>E213+E214</f>
        <v>1000000</v>
      </c>
      <c r="F212" s="397">
        <f t="shared" ref="F212:P212" si="191">F213+F214</f>
        <v>0</v>
      </c>
      <c r="G212" s="397">
        <f t="shared" si="191"/>
        <v>0</v>
      </c>
      <c r="H212" s="397">
        <f t="shared" si="191"/>
        <v>0</v>
      </c>
      <c r="I212" s="397">
        <f t="shared" si="191"/>
        <v>1000000</v>
      </c>
      <c r="J212" s="397">
        <f t="shared" si="191"/>
        <v>0</v>
      </c>
      <c r="K212" s="397">
        <f t="shared" si="191"/>
        <v>0</v>
      </c>
      <c r="L212" s="317">
        <f t="shared" si="178"/>
        <v>1000000</v>
      </c>
      <c r="M212" s="317"/>
      <c r="N212" s="372">
        <f t="shared" si="182"/>
        <v>0</v>
      </c>
      <c r="O212" s="397">
        <f t="shared" si="191"/>
        <v>1100000</v>
      </c>
      <c r="P212" s="397">
        <f t="shared" si="191"/>
        <v>1210000</v>
      </c>
      <c r="R212" s="317"/>
      <c r="U212" s="320"/>
    </row>
    <row r="213" spans="1:21" s="312" customFormat="1" outlineLevel="3">
      <c r="A213" s="313"/>
      <c r="B213" s="313"/>
      <c r="C213" s="346" t="s">
        <v>98</v>
      </c>
      <c r="D213" s="347" t="s">
        <v>70</v>
      </c>
      <c r="E213" s="389">
        <v>500000</v>
      </c>
      <c r="F213" s="348"/>
      <c r="G213" s="348"/>
      <c r="H213" s="348"/>
      <c r="I213" s="324">
        <f t="shared" si="179"/>
        <v>500000</v>
      </c>
      <c r="J213" s="335"/>
      <c r="K213" s="335"/>
      <c r="L213" s="317">
        <f t="shared" si="178"/>
        <v>500000</v>
      </c>
      <c r="M213" s="317"/>
      <c r="N213" s="372">
        <f t="shared" si="182"/>
        <v>0</v>
      </c>
      <c r="O213" s="336">
        <f t="shared" si="169"/>
        <v>550000</v>
      </c>
      <c r="P213" s="336">
        <f t="shared" si="170"/>
        <v>605000</v>
      </c>
      <c r="R213" s="317"/>
      <c r="U213" s="320"/>
    </row>
    <row r="214" spans="1:21" s="312" customFormat="1" outlineLevel="3">
      <c r="A214" s="313"/>
      <c r="B214" s="313"/>
      <c r="C214" s="346">
        <v>3111002</v>
      </c>
      <c r="D214" s="347" t="s">
        <v>71</v>
      </c>
      <c r="E214" s="389">
        <v>500000</v>
      </c>
      <c r="F214" s="348"/>
      <c r="G214" s="348"/>
      <c r="H214" s="348"/>
      <c r="I214" s="324">
        <f t="shared" si="179"/>
        <v>500000</v>
      </c>
      <c r="J214" s="335"/>
      <c r="K214" s="335"/>
      <c r="L214" s="317">
        <f t="shared" si="178"/>
        <v>500000</v>
      </c>
      <c r="M214" s="317"/>
      <c r="N214" s="372">
        <f t="shared" si="182"/>
        <v>0</v>
      </c>
      <c r="O214" s="336">
        <f t="shared" si="169"/>
        <v>550000</v>
      </c>
      <c r="P214" s="336">
        <f t="shared" si="170"/>
        <v>605000</v>
      </c>
      <c r="R214" s="317"/>
      <c r="U214" s="320"/>
    </row>
    <row r="215" spans="1:21" s="312" customFormat="1" outlineLevel="3">
      <c r="A215" s="313"/>
      <c r="B215" s="313"/>
      <c r="C215" s="339"/>
      <c r="D215" s="343"/>
      <c r="E215" s="386">
        <f>E216</f>
        <v>0</v>
      </c>
      <c r="F215" s="386">
        <f t="shared" ref="F215:P215" si="192">F216</f>
        <v>0</v>
      </c>
      <c r="G215" s="386">
        <f t="shared" si="192"/>
        <v>0</v>
      </c>
      <c r="H215" s="386">
        <f t="shared" si="192"/>
        <v>0</v>
      </c>
      <c r="I215" s="386">
        <f t="shared" si="192"/>
        <v>0</v>
      </c>
      <c r="J215" s="335"/>
      <c r="K215" s="335"/>
      <c r="L215" s="317">
        <f t="shared" si="178"/>
        <v>0</v>
      </c>
      <c r="M215" s="317"/>
      <c r="N215" s="372">
        <f t="shared" si="182"/>
        <v>0</v>
      </c>
      <c r="O215" s="386">
        <f t="shared" si="192"/>
        <v>0</v>
      </c>
      <c r="P215" s="386">
        <f t="shared" si="192"/>
        <v>0</v>
      </c>
      <c r="R215" s="317"/>
      <c r="U215" s="320"/>
    </row>
    <row r="216" spans="1:21" s="312" customFormat="1" outlineLevel="3">
      <c r="A216" s="313"/>
      <c r="B216" s="313"/>
      <c r="C216" s="331"/>
      <c r="D216" s="341"/>
      <c r="E216" s="334"/>
      <c r="F216" s="334"/>
      <c r="G216" s="334"/>
      <c r="H216" s="334"/>
      <c r="I216" s="334"/>
      <c r="J216" s="335"/>
      <c r="K216" s="335"/>
      <c r="L216" s="317">
        <f t="shared" si="178"/>
        <v>0</v>
      </c>
      <c r="M216" s="317"/>
      <c r="N216" s="372">
        <f t="shared" si="182"/>
        <v>0</v>
      </c>
      <c r="O216" s="334"/>
      <c r="P216" s="334"/>
      <c r="R216" s="317"/>
      <c r="U216" s="320"/>
    </row>
    <row r="217" spans="1:21" s="312" customFormat="1" outlineLevel="1">
      <c r="A217" s="313"/>
      <c r="B217" s="313"/>
      <c r="C217" s="400"/>
      <c r="D217" s="383" t="s">
        <v>99</v>
      </c>
      <c r="E217" s="397">
        <f>E215+E212+E210+E207+E205+E201+E198+E191+E193+E187+E184+E181</f>
        <v>8870000</v>
      </c>
      <c r="F217" s="397">
        <f t="shared" ref="F217:K217" si="193">F215+F212+F210+F207+F205+F201+F198+F191+F193+F187+F184+F181</f>
        <v>0</v>
      </c>
      <c r="G217" s="397">
        <f t="shared" si="193"/>
        <v>0</v>
      </c>
      <c r="H217" s="397">
        <f t="shared" si="193"/>
        <v>0</v>
      </c>
      <c r="I217" s="397">
        <f t="shared" si="193"/>
        <v>8870000</v>
      </c>
      <c r="J217" s="397">
        <f t="shared" si="193"/>
        <v>0</v>
      </c>
      <c r="K217" s="397">
        <f t="shared" si="193"/>
        <v>180000</v>
      </c>
      <c r="L217" s="317">
        <f t="shared" si="178"/>
        <v>9050000</v>
      </c>
      <c r="M217" s="317"/>
      <c r="N217" s="372">
        <f t="shared" si="182"/>
        <v>-180000</v>
      </c>
      <c r="O217" s="397">
        <f t="shared" ref="O217:P217" si="194">O215+O212+O210+O207+O205+O201+O198+O191+O193+O187+O184+O181</f>
        <v>9955000</v>
      </c>
      <c r="P217" s="397">
        <f t="shared" si="194"/>
        <v>10950500</v>
      </c>
      <c r="R217" s="317"/>
      <c r="U217" s="320"/>
    </row>
    <row r="218" spans="1:21" s="312" customFormat="1" outlineLevel="1">
      <c r="A218" s="313"/>
      <c r="B218" s="313"/>
      <c r="C218" s="400"/>
      <c r="D218" s="383" t="s">
        <v>84</v>
      </c>
      <c r="E218" s="397">
        <f>E217</f>
        <v>8870000</v>
      </c>
      <c r="F218" s="397">
        <f t="shared" ref="F218:P218" si="195">F217</f>
        <v>0</v>
      </c>
      <c r="G218" s="397">
        <f t="shared" si="195"/>
        <v>0</v>
      </c>
      <c r="H218" s="397">
        <f t="shared" si="195"/>
        <v>0</v>
      </c>
      <c r="I218" s="397">
        <f t="shared" si="195"/>
        <v>8870000</v>
      </c>
      <c r="J218" s="397">
        <f t="shared" si="195"/>
        <v>0</v>
      </c>
      <c r="K218" s="397">
        <f t="shared" si="195"/>
        <v>180000</v>
      </c>
      <c r="L218" s="317">
        <f t="shared" si="178"/>
        <v>9050000</v>
      </c>
      <c r="M218" s="317"/>
      <c r="N218" s="372">
        <f t="shared" si="182"/>
        <v>-180000</v>
      </c>
      <c r="O218" s="397">
        <f t="shared" si="195"/>
        <v>9955000</v>
      </c>
      <c r="P218" s="397">
        <f t="shared" si="195"/>
        <v>10950500</v>
      </c>
      <c r="R218" s="317"/>
      <c r="U218" s="320"/>
    </row>
    <row r="219" spans="1:21" s="312" customFormat="1" outlineLevel="1">
      <c r="A219" s="313"/>
      <c r="B219" s="313"/>
      <c r="C219" s="400"/>
      <c r="D219" s="383"/>
      <c r="E219" s="397"/>
      <c r="F219" s="316"/>
      <c r="G219" s="316"/>
      <c r="H219" s="316"/>
      <c r="I219" s="324">
        <f t="shared" si="179"/>
        <v>0</v>
      </c>
      <c r="J219" s="335"/>
      <c r="K219" s="335"/>
      <c r="L219" s="317">
        <f t="shared" si="178"/>
        <v>0</v>
      </c>
      <c r="M219" s="317"/>
      <c r="N219" s="372">
        <f t="shared" si="182"/>
        <v>0</v>
      </c>
      <c r="O219" s="440"/>
      <c r="P219" s="440"/>
      <c r="R219" s="317"/>
      <c r="U219" s="320"/>
    </row>
    <row r="220" spans="1:21" s="312" customFormat="1" outlineLevel="1">
      <c r="A220" s="313"/>
      <c r="B220" s="412" t="s">
        <v>146</v>
      </c>
      <c r="C220" s="441" t="s">
        <v>1556</v>
      </c>
      <c r="D220" s="441"/>
      <c r="E220" s="410"/>
      <c r="F220" s="442"/>
      <c r="G220" s="442"/>
      <c r="H220" s="442"/>
      <c r="I220" s="324">
        <f t="shared" si="179"/>
        <v>0</v>
      </c>
      <c r="J220" s="335"/>
      <c r="K220" s="335"/>
      <c r="L220" s="317">
        <f t="shared" si="178"/>
        <v>0</v>
      </c>
      <c r="M220" s="317"/>
      <c r="N220" s="372">
        <f t="shared" si="182"/>
        <v>0</v>
      </c>
      <c r="O220" s="440"/>
      <c r="P220" s="440"/>
      <c r="R220" s="317"/>
      <c r="U220" s="320"/>
    </row>
    <row r="221" spans="1:21" s="312" customFormat="1" outlineLevel="2">
      <c r="A221" s="313"/>
      <c r="B221" s="412"/>
      <c r="C221" s="396">
        <v>2210100</v>
      </c>
      <c r="D221" s="396" t="s">
        <v>16</v>
      </c>
      <c r="E221" s="413">
        <f>E222+E223</f>
        <v>1000000</v>
      </c>
      <c r="F221" s="413">
        <f t="shared" ref="F221:P221" si="196">F222+F223</f>
        <v>0</v>
      </c>
      <c r="G221" s="413">
        <f t="shared" si="196"/>
        <v>0</v>
      </c>
      <c r="H221" s="413">
        <f t="shared" si="196"/>
        <v>0</v>
      </c>
      <c r="I221" s="413">
        <f t="shared" si="196"/>
        <v>1000000</v>
      </c>
      <c r="J221" s="413">
        <f t="shared" si="196"/>
        <v>0</v>
      </c>
      <c r="K221" s="413">
        <f t="shared" si="196"/>
        <v>-800000</v>
      </c>
      <c r="L221" s="317">
        <f t="shared" si="178"/>
        <v>200000</v>
      </c>
      <c r="M221" s="317"/>
      <c r="N221" s="372">
        <f t="shared" si="182"/>
        <v>800000</v>
      </c>
      <c r="O221" s="413">
        <f t="shared" si="196"/>
        <v>220000.00000000003</v>
      </c>
      <c r="P221" s="413">
        <f t="shared" si="196"/>
        <v>242000.00000000006</v>
      </c>
      <c r="R221" s="317"/>
      <c r="U221" s="320"/>
    </row>
    <row r="222" spans="1:21" s="312" customFormat="1" outlineLevel="2">
      <c r="A222" s="313"/>
      <c r="B222" s="412"/>
      <c r="C222" s="398">
        <v>2210101</v>
      </c>
      <c r="D222" s="398" t="s">
        <v>17</v>
      </c>
      <c r="E222" s="410">
        <v>800000</v>
      </c>
      <c r="F222" s="399"/>
      <c r="G222" s="399"/>
      <c r="H222" s="399"/>
      <c r="I222" s="324">
        <f t="shared" si="179"/>
        <v>800000</v>
      </c>
      <c r="J222" s="335"/>
      <c r="K222" s="335">
        <v>-800000</v>
      </c>
      <c r="L222" s="317">
        <f t="shared" si="178"/>
        <v>0</v>
      </c>
      <c r="M222" s="317"/>
      <c r="N222" s="372">
        <f t="shared" si="182"/>
        <v>800000</v>
      </c>
      <c r="O222" s="336">
        <f t="shared" ref="O222:O257" si="197">L222*1.1</f>
        <v>0</v>
      </c>
      <c r="P222" s="336">
        <f t="shared" ref="P222:P257" si="198">O222*1.1</f>
        <v>0</v>
      </c>
      <c r="R222" s="317"/>
      <c r="U222" s="320"/>
    </row>
    <row r="223" spans="1:21" s="312" customFormat="1" outlineLevel="2">
      <c r="A223" s="313"/>
      <c r="B223" s="412"/>
      <c r="C223" s="398">
        <v>2210102</v>
      </c>
      <c r="D223" s="398" t="s">
        <v>18</v>
      </c>
      <c r="E223" s="410">
        <v>200000</v>
      </c>
      <c r="F223" s="399"/>
      <c r="G223" s="399"/>
      <c r="H223" s="399"/>
      <c r="I223" s="324">
        <f t="shared" si="179"/>
        <v>200000</v>
      </c>
      <c r="J223" s="335"/>
      <c r="K223" s="335"/>
      <c r="L223" s="317">
        <f t="shared" si="178"/>
        <v>200000</v>
      </c>
      <c r="M223" s="317"/>
      <c r="N223" s="372">
        <f t="shared" si="182"/>
        <v>0</v>
      </c>
      <c r="O223" s="336">
        <f t="shared" si="197"/>
        <v>220000.00000000003</v>
      </c>
      <c r="P223" s="336">
        <f t="shared" si="198"/>
        <v>242000.00000000006</v>
      </c>
      <c r="R223" s="317"/>
      <c r="U223" s="320"/>
    </row>
    <row r="224" spans="1:21" s="312" customFormat="1" outlineLevel="2">
      <c r="A224" s="313"/>
      <c r="B224" s="414"/>
      <c r="C224" s="415">
        <v>2210200</v>
      </c>
      <c r="D224" s="416" t="s">
        <v>20</v>
      </c>
      <c r="E224" s="413">
        <f>E225+E226</f>
        <v>220000</v>
      </c>
      <c r="F224" s="413">
        <f t="shared" ref="F224:P224" si="199">F225+F226</f>
        <v>0</v>
      </c>
      <c r="G224" s="413">
        <f t="shared" si="199"/>
        <v>0</v>
      </c>
      <c r="H224" s="413">
        <f t="shared" si="199"/>
        <v>0</v>
      </c>
      <c r="I224" s="413">
        <f t="shared" si="199"/>
        <v>220000</v>
      </c>
      <c r="J224" s="413">
        <f t="shared" si="199"/>
        <v>0</v>
      </c>
      <c r="K224" s="413">
        <f t="shared" si="199"/>
        <v>-100000</v>
      </c>
      <c r="L224" s="317">
        <f t="shared" si="178"/>
        <v>120000</v>
      </c>
      <c r="M224" s="317"/>
      <c r="N224" s="372">
        <f t="shared" si="182"/>
        <v>100000</v>
      </c>
      <c r="O224" s="413">
        <f t="shared" si="199"/>
        <v>132000</v>
      </c>
      <c r="P224" s="413">
        <f t="shared" si="199"/>
        <v>145200</v>
      </c>
      <c r="R224" s="317"/>
      <c r="U224" s="320"/>
    </row>
    <row r="225" spans="1:21" s="312" customFormat="1" outlineLevel="2">
      <c r="A225" s="313"/>
      <c r="B225" s="412"/>
      <c r="C225" s="417">
        <v>2210201</v>
      </c>
      <c r="D225" s="418" t="s">
        <v>21</v>
      </c>
      <c r="E225" s="410">
        <v>120000</v>
      </c>
      <c r="F225" s="419"/>
      <c r="G225" s="419"/>
      <c r="H225" s="419"/>
      <c r="I225" s="324">
        <f t="shared" si="179"/>
        <v>120000</v>
      </c>
      <c r="J225" s="335"/>
      <c r="K225" s="335"/>
      <c r="L225" s="317">
        <f t="shared" si="178"/>
        <v>120000</v>
      </c>
      <c r="M225" s="317"/>
      <c r="N225" s="372">
        <f t="shared" si="182"/>
        <v>0</v>
      </c>
      <c r="O225" s="336">
        <f t="shared" si="197"/>
        <v>132000</v>
      </c>
      <c r="P225" s="336">
        <f t="shared" si="198"/>
        <v>145200</v>
      </c>
      <c r="R225" s="317"/>
      <c r="U225" s="320"/>
    </row>
    <row r="226" spans="1:21" s="312" customFormat="1" outlineLevel="2">
      <c r="A226" s="313"/>
      <c r="B226" s="412"/>
      <c r="C226" s="417">
        <v>2210202</v>
      </c>
      <c r="D226" s="418" t="s">
        <v>22</v>
      </c>
      <c r="E226" s="410">
        <v>100000</v>
      </c>
      <c r="F226" s="419"/>
      <c r="G226" s="419"/>
      <c r="H226" s="419"/>
      <c r="I226" s="324">
        <f t="shared" si="179"/>
        <v>100000</v>
      </c>
      <c r="J226" s="335"/>
      <c r="K226" s="335">
        <v>-100000</v>
      </c>
      <c r="L226" s="317">
        <f t="shared" si="178"/>
        <v>0</v>
      </c>
      <c r="M226" s="317"/>
      <c r="N226" s="372">
        <f t="shared" si="182"/>
        <v>100000</v>
      </c>
      <c r="O226" s="336">
        <f t="shared" si="197"/>
        <v>0</v>
      </c>
      <c r="P226" s="336">
        <f t="shared" si="198"/>
        <v>0</v>
      </c>
      <c r="R226" s="317"/>
      <c r="U226" s="320"/>
    </row>
    <row r="227" spans="1:21" s="312" customFormat="1" outlineLevel="2">
      <c r="A227" s="313"/>
      <c r="B227" s="414"/>
      <c r="C227" s="415">
        <v>2210300</v>
      </c>
      <c r="D227" s="416" t="s">
        <v>24</v>
      </c>
      <c r="E227" s="413">
        <f>E228+E229+E230</f>
        <v>1500000</v>
      </c>
      <c r="F227" s="413">
        <f t="shared" ref="F227:K227" si="200">F228+F229+F230</f>
        <v>0</v>
      </c>
      <c r="G227" s="413">
        <f t="shared" si="200"/>
        <v>0</v>
      </c>
      <c r="H227" s="413">
        <f t="shared" si="200"/>
        <v>0</v>
      </c>
      <c r="I227" s="413">
        <f t="shared" si="200"/>
        <v>1500000</v>
      </c>
      <c r="J227" s="413">
        <f t="shared" si="200"/>
        <v>0</v>
      </c>
      <c r="K227" s="413">
        <f t="shared" si="200"/>
        <v>0</v>
      </c>
      <c r="L227" s="317">
        <f t="shared" si="178"/>
        <v>1500000</v>
      </c>
      <c r="M227" s="317"/>
      <c r="N227" s="372">
        <f t="shared" si="182"/>
        <v>0</v>
      </c>
      <c r="O227" s="413">
        <f t="shared" ref="O227:P227" si="201">O228+O229+O230</f>
        <v>1650000</v>
      </c>
      <c r="P227" s="413">
        <f t="shared" si="201"/>
        <v>1815000</v>
      </c>
      <c r="R227" s="317"/>
      <c r="U227" s="320"/>
    </row>
    <row r="228" spans="1:21" s="312" customFormat="1" outlineLevel="2">
      <c r="A228" s="313"/>
      <c r="B228" s="412"/>
      <c r="C228" s="417">
        <v>2210301</v>
      </c>
      <c r="D228" s="418" t="s">
        <v>25</v>
      </c>
      <c r="E228" s="410">
        <v>500000</v>
      </c>
      <c r="F228" s="419"/>
      <c r="G228" s="419"/>
      <c r="H228" s="419"/>
      <c r="I228" s="324">
        <f t="shared" si="179"/>
        <v>500000</v>
      </c>
      <c r="J228" s="335"/>
      <c r="K228" s="335"/>
      <c r="L228" s="317">
        <f t="shared" si="178"/>
        <v>500000</v>
      </c>
      <c r="M228" s="317"/>
      <c r="N228" s="372">
        <f t="shared" si="182"/>
        <v>0</v>
      </c>
      <c r="O228" s="336">
        <f t="shared" si="197"/>
        <v>550000</v>
      </c>
      <c r="P228" s="336">
        <f t="shared" si="198"/>
        <v>605000</v>
      </c>
      <c r="R228" s="317"/>
      <c r="U228" s="320"/>
    </row>
    <row r="229" spans="1:21" s="312" customFormat="1" outlineLevel="2">
      <c r="A229" s="313"/>
      <c r="B229" s="412"/>
      <c r="C229" s="417">
        <v>2210302</v>
      </c>
      <c r="D229" s="418" t="s">
        <v>26</v>
      </c>
      <c r="E229" s="410">
        <v>500000</v>
      </c>
      <c r="F229" s="419"/>
      <c r="G229" s="419"/>
      <c r="H229" s="419"/>
      <c r="I229" s="324">
        <f t="shared" si="179"/>
        <v>500000</v>
      </c>
      <c r="J229" s="335"/>
      <c r="K229" s="335"/>
      <c r="L229" s="317">
        <f t="shared" si="178"/>
        <v>500000</v>
      </c>
      <c r="M229" s="317"/>
      <c r="N229" s="372">
        <f t="shared" si="182"/>
        <v>0</v>
      </c>
      <c r="O229" s="336">
        <f t="shared" si="197"/>
        <v>550000</v>
      </c>
      <c r="P229" s="336">
        <f t="shared" si="198"/>
        <v>605000</v>
      </c>
      <c r="R229" s="317"/>
      <c r="U229" s="320"/>
    </row>
    <row r="230" spans="1:21" s="312" customFormat="1" outlineLevel="2">
      <c r="A230" s="313"/>
      <c r="B230" s="412"/>
      <c r="C230" s="417">
        <v>2210303</v>
      </c>
      <c r="D230" s="418" t="s">
        <v>27</v>
      </c>
      <c r="E230" s="410">
        <v>500000</v>
      </c>
      <c r="F230" s="419"/>
      <c r="G230" s="419"/>
      <c r="H230" s="419"/>
      <c r="I230" s="324">
        <f t="shared" si="179"/>
        <v>500000</v>
      </c>
      <c r="J230" s="335"/>
      <c r="K230" s="335"/>
      <c r="L230" s="317">
        <f t="shared" si="178"/>
        <v>500000</v>
      </c>
      <c r="M230" s="317"/>
      <c r="N230" s="372">
        <f t="shared" si="182"/>
        <v>0</v>
      </c>
      <c r="O230" s="336">
        <f t="shared" si="197"/>
        <v>550000</v>
      </c>
      <c r="P230" s="336">
        <f t="shared" si="198"/>
        <v>605000</v>
      </c>
      <c r="R230" s="317"/>
      <c r="U230" s="320"/>
    </row>
    <row r="231" spans="1:21" s="312" customFormat="1" outlineLevel="2">
      <c r="A231" s="313"/>
      <c r="B231" s="414"/>
      <c r="C231" s="415">
        <v>2210500</v>
      </c>
      <c r="D231" s="416" t="s">
        <v>31</v>
      </c>
      <c r="E231" s="413">
        <f>E232</f>
        <v>200000</v>
      </c>
      <c r="F231" s="413">
        <f t="shared" ref="F231:K231" si="202">F232</f>
        <v>0</v>
      </c>
      <c r="G231" s="413">
        <f t="shared" si="202"/>
        <v>0</v>
      </c>
      <c r="H231" s="413">
        <f t="shared" si="202"/>
        <v>0</v>
      </c>
      <c r="I231" s="413">
        <f t="shared" si="202"/>
        <v>200000</v>
      </c>
      <c r="J231" s="413">
        <f t="shared" si="202"/>
        <v>0</v>
      </c>
      <c r="K231" s="413">
        <f t="shared" si="202"/>
        <v>0</v>
      </c>
      <c r="L231" s="317">
        <f t="shared" si="178"/>
        <v>200000</v>
      </c>
      <c r="M231" s="317"/>
      <c r="N231" s="372">
        <f t="shared" si="182"/>
        <v>0</v>
      </c>
      <c r="O231" s="413">
        <f t="shared" ref="O231:P231" si="203">O232</f>
        <v>220000.00000000003</v>
      </c>
      <c r="P231" s="413">
        <f t="shared" si="203"/>
        <v>242000.00000000006</v>
      </c>
      <c r="R231" s="317"/>
      <c r="U231" s="320"/>
    </row>
    <row r="232" spans="1:21" s="312" customFormat="1" outlineLevel="2">
      <c r="A232" s="313"/>
      <c r="B232" s="412"/>
      <c r="C232" s="417">
        <v>2210503</v>
      </c>
      <c r="D232" s="418" t="s">
        <v>32</v>
      </c>
      <c r="E232" s="410">
        <v>200000</v>
      </c>
      <c r="F232" s="419"/>
      <c r="G232" s="419"/>
      <c r="H232" s="419"/>
      <c r="I232" s="324">
        <f t="shared" si="179"/>
        <v>200000</v>
      </c>
      <c r="J232" s="335"/>
      <c r="K232" s="335"/>
      <c r="L232" s="317">
        <f t="shared" si="178"/>
        <v>200000</v>
      </c>
      <c r="M232" s="317"/>
      <c r="N232" s="372">
        <f t="shared" si="182"/>
        <v>0</v>
      </c>
      <c r="O232" s="336">
        <f t="shared" si="197"/>
        <v>220000.00000000003</v>
      </c>
      <c r="P232" s="336">
        <f t="shared" si="198"/>
        <v>242000.00000000006</v>
      </c>
      <c r="R232" s="317"/>
      <c r="U232" s="320"/>
    </row>
    <row r="233" spans="1:21" s="312" customFormat="1" outlineLevel="2">
      <c r="A233" s="313"/>
      <c r="B233" s="414"/>
      <c r="C233" s="415">
        <v>2210700</v>
      </c>
      <c r="D233" s="416" t="s">
        <v>35</v>
      </c>
      <c r="E233" s="413">
        <f>E234+E235+E236+E237+E238+E239</f>
        <v>800000</v>
      </c>
      <c r="F233" s="413">
        <f t="shared" ref="F233:K233" si="204">F234+F235+F236+F237+F238+F239</f>
        <v>0</v>
      </c>
      <c r="G233" s="413">
        <f t="shared" si="204"/>
        <v>0</v>
      </c>
      <c r="H233" s="413">
        <f t="shared" si="204"/>
        <v>0</v>
      </c>
      <c r="I233" s="413">
        <f t="shared" si="204"/>
        <v>800000</v>
      </c>
      <c r="J233" s="413">
        <f t="shared" si="204"/>
        <v>0</v>
      </c>
      <c r="K233" s="413">
        <f t="shared" si="204"/>
        <v>0</v>
      </c>
      <c r="L233" s="317">
        <f t="shared" si="178"/>
        <v>800000</v>
      </c>
      <c r="M233" s="317"/>
      <c r="N233" s="372">
        <f t="shared" si="182"/>
        <v>0</v>
      </c>
      <c r="O233" s="413">
        <f t="shared" ref="O233:P233" si="205">O234+O235+O236+O237+O238+O239</f>
        <v>880000.00000000012</v>
      </c>
      <c r="P233" s="413">
        <f t="shared" si="205"/>
        <v>968000.00000000023</v>
      </c>
      <c r="R233" s="317"/>
      <c r="U233" s="320"/>
    </row>
    <row r="234" spans="1:21" s="312" customFormat="1" outlineLevel="2">
      <c r="A234" s="313"/>
      <c r="B234" s="412"/>
      <c r="C234" s="417">
        <v>2210701</v>
      </c>
      <c r="D234" s="418" t="s">
        <v>36</v>
      </c>
      <c r="E234" s="410">
        <v>100000</v>
      </c>
      <c r="F234" s="419"/>
      <c r="G234" s="419"/>
      <c r="H234" s="419"/>
      <c r="I234" s="324">
        <f t="shared" si="179"/>
        <v>100000</v>
      </c>
      <c r="J234" s="335"/>
      <c r="K234" s="335"/>
      <c r="L234" s="317">
        <f t="shared" si="178"/>
        <v>100000</v>
      </c>
      <c r="M234" s="317"/>
      <c r="N234" s="372">
        <f t="shared" si="182"/>
        <v>0</v>
      </c>
      <c r="O234" s="336">
        <f t="shared" si="197"/>
        <v>110000.00000000001</v>
      </c>
      <c r="P234" s="336">
        <f t="shared" si="198"/>
        <v>121000.00000000003</v>
      </c>
      <c r="R234" s="317"/>
      <c r="U234" s="320"/>
    </row>
    <row r="235" spans="1:21" s="312" customFormat="1" outlineLevel="2">
      <c r="A235" s="313"/>
      <c r="B235" s="412"/>
      <c r="C235" s="417">
        <v>2210702</v>
      </c>
      <c r="D235" s="418" t="s">
        <v>95</v>
      </c>
      <c r="E235" s="410">
        <v>100000</v>
      </c>
      <c r="F235" s="419"/>
      <c r="G235" s="419"/>
      <c r="H235" s="419"/>
      <c r="I235" s="324">
        <f t="shared" si="179"/>
        <v>100000</v>
      </c>
      <c r="J235" s="335"/>
      <c r="K235" s="335"/>
      <c r="L235" s="317">
        <f t="shared" si="178"/>
        <v>100000</v>
      </c>
      <c r="M235" s="317"/>
      <c r="N235" s="372">
        <f t="shared" si="182"/>
        <v>0</v>
      </c>
      <c r="O235" s="336">
        <f t="shared" si="197"/>
        <v>110000.00000000001</v>
      </c>
      <c r="P235" s="336">
        <f t="shared" si="198"/>
        <v>121000.00000000003</v>
      </c>
      <c r="R235" s="317"/>
      <c r="U235" s="320"/>
    </row>
    <row r="236" spans="1:21" s="312" customFormat="1" outlineLevel="2">
      <c r="A236" s="313"/>
      <c r="B236" s="412"/>
      <c r="C236" s="417">
        <v>2210704</v>
      </c>
      <c r="D236" s="418" t="s">
        <v>38</v>
      </c>
      <c r="E236" s="410">
        <v>100000</v>
      </c>
      <c r="F236" s="419"/>
      <c r="G236" s="419"/>
      <c r="H236" s="419"/>
      <c r="I236" s="324">
        <f t="shared" si="179"/>
        <v>100000</v>
      </c>
      <c r="J236" s="335"/>
      <c r="K236" s="335"/>
      <c r="L236" s="317">
        <f t="shared" si="178"/>
        <v>100000</v>
      </c>
      <c r="M236" s="317"/>
      <c r="N236" s="372">
        <f t="shared" si="182"/>
        <v>0</v>
      </c>
      <c r="O236" s="336">
        <f t="shared" si="197"/>
        <v>110000.00000000001</v>
      </c>
      <c r="P236" s="336">
        <f t="shared" si="198"/>
        <v>121000.00000000003</v>
      </c>
      <c r="R236" s="317"/>
      <c r="U236" s="320"/>
    </row>
    <row r="237" spans="1:21" s="312" customFormat="1" outlineLevel="2">
      <c r="A237" s="313"/>
      <c r="B237" s="412"/>
      <c r="C237" s="417">
        <v>2210710</v>
      </c>
      <c r="D237" s="418" t="s">
        <v>39</v>
      </c>
      <c r="E237" s="410">
        <v>100000</v>
      </c>
      <c r="F237" s="419"/>
      <c r="G237" s="419"/>
      <c r="H237" s="419"/>
      <c r="I237" s="324">
        <f t="shared" si="179"/>
        <v>100000</v>
      </c>
      <c r="J237" s="335"/>
      <c r="K237" s="335"/>
      <c r="L237" s="317">
        <f t="shared" si="178"/>
        <v>100000</v>
      </c>
      <c r="M237" s="317"/>
      <c r="N237" s="372">
        <f t="shared" si="182"/>
        <v>0</v>
      </c>
      <c r="O237" s="336">
        <f t="shared" si="197"/>
        <v>110000.00000000001</v>
      </c>
      <c r="P237" s="336">
        <f t="shared" si="198"/>
        <v>121000.00000000003</v>
      </c>
      <c r="R237" s="317"/>
      <c r="U237" s="320"/>
    </row>
    <row r="238" spans="1:21" s="312" customFormat="1" outlineLevel="2">
      <c r="A238" s="313"/>
      <c r="B238" s="412"/>
      <c r="C238" s="417">
        <v>2210715</v>
      </c>
      <c r="D238" s="418" t="s">
        <v>40</v>
      </c>
      <c r="E238" s="410">
        <v>200000</v>
      </c>
      <c r="F238" s="419"/>
      <c r="G238" s="419"/>
      <c r="H238" s="419"/>
      <c r="I238" s="324">
        <f t="shared" si="179"/>
        <v>200000</v>
      </c>
      <c r="J238" s="335"/>
      <c r="K238" s="335"/>
      <c r="L238" s="317">
        <f t="shared" si="178"/>
        <v>200000</v>
      </c>
      <c r="M238" s="317"/>
      <c r="N238" s="372">
        <f t="shared" si="182"/>
        <v>0</v>
      </c>
      <c r="O238" s="336">
        <f t="shared" si="197"/>
        <v>220000.00000000003</v>
      </c>
      <c r="P238" s="336">
        <f t="shared" si="198"/>
        <v>242000.00000000006</v>
      </c>
      <c r="R238" s="317"/>
      <c r="U238" s="320"/>
    </row>
    <row r="239" spans="1:21" s="312" customFormat="1" outlineLevel="2">
      <c r="A239" s="313"/>
      <c r="B239" s="412"/>
      <c r="C239" s="417">
        <v>2210799</v>
      </c>
      <c r="D239" s="418" t="s">
        <v>129</v>
      </c>
      <c r="E239" s="410">
        <v>200000</v>
      </c>
      <c r="F239" s="419"/>
      <c r="G239" s="419"/>
      <c r="H239" s="419"/>
      <c r="I239" s="324">
        <f t="shared" si="179"/>
        <v>200000</v>
      </c>
      <c r="J239" s="335"/>
      <c r="K239" s="335"/>
      <c r="L239" s="317">
        <f t="shared" si="178"/>
        <v>200000</v>
      </c>
      <c r="M239" s="317"/>
      <c r="N239" s="372">
        <f t="shared" si="182"/>
        <v>0</v>
      </c>
      <c r="O239" s="336">
        <f t="shared" si="197"/>
        <v>220000.00000000003</v>
      </c>
      <c r="P239" s="336">
        <f t="shared" si="198"/>
        <v>242000.00000000006</v>
      </c>
      <c r="R239" s="317"/>
      <c r="U239" s="320"/>
    </row>
    <row r="240" spans="1:21" s="312" customFormat="1" outlineLevel="2">
      <c r="A240" s="313"/>
      <c r="B240" s="414"/>
      <c r="C240" s="415">
        <v>2210800</v>
      </c>
      <c r="D240" s="416" t="s">
        <v>42</v>
      </c>
      <c r="E240" s="413">
        <f>E241+E242</f>
        <v>1400000</v>
      </c>
      <c r="F240" s="413">
        <f t="shared" ref="F240:K240" si="206">F241+F242</f>
        <v>0</v>
      </c>
      <c r="G240" s="413">
        <f t="shared" si="206"/>
        <v>0</v>
      </c>
      <c r="H240" s="413">
        <f t="shared" si="206"/>
        <v>0</v>
      </c>
      <c r="I240" s="413">
        <f t="shared" si="206"/>
        <v>1400000</v>
      </c>
      <c r="J240" s="413">
        <f t="shared" si="206"/>
        <v>0</v>
      </c>
      <c r="K240" s="413">
        <f t="shared" si="206"/>
        <v>600000</v>
      </c>
      <c r="L240" s="317">
        <f t="shared" si="178"/>
        <v>2000000</v>
      </c>
      <c r="M240" s="317"/>
      <c r="N240" s="372">
        <f t="shared" si="182"/>
        <v>-600000</v>
      </c>
      <c r="O240" s="413">
        <f t="shared" ref="O240:P240" si="207">O241+O242</f>
        <v>2200000</v>
      </c>
      <c r="P240" s="413">
        <f t="shared" si="207"/>
        <v>2420000.0000000005</v>
      </c>
      <c r="R240" s="317"/>
      <c r="U240" s="320"/>
    </row>
    <row r="241" spans="1:21" s="312" customFormat="1" outlineLevel="2">
      <c r="A241" s="313"/>
      <c r="B241" s="412"/>
      <c r="C241" s="417">
        <v>2210801</v>
      </c>
      <c r="D241" s="418" t="s">
        <v>2418</v>
      </c>
      <c r="E241" s="410">
        <v>1200000</v>
      </c>
      <c r="F241" s="419"/>
      <c r="G241" s="419"/>
      <c r="H241" s="419"/>
      <c r="I241" s="324">
        <f t="shared" si="179"/>
        <v>1200000</v>
      </c>
      <c r="J241" s="335"/>
      <c r="K241" s="335"/>
      <c r="L241" s="317">
        <f t="shared" si="178"/>
        <v>1200000</v>
      </c>
      <c r="M241" s="317"/>
      <c r="N241" s="372">
        <f t="shared" si="182"/>
        <v>0</v>
      </c>
      <c r="O241" s="336">
        <f t="shared" si="197"/>
        <v>1320000</v>
      </c>
      <c r="P241" s="336">
        <f t="shared" si="198"/>
        <v>1452000.0000000002</v>
      </c>
      <c r="R241" s="317"/>
      <c r="U241" s="320"/>
    </row>
    <row r="242" spans="1:21" s="312" customFormat="1" outlineLevel="2">
      <c r="A242" s="313"/>
      <c r="B242" s="412"/>
      <c r="C242" s="417">
        <v>2210802</v>
      </c>
      <c r="D242" s="418" t="s">
        <v>97</v>
      </c>
      <c r="E242" s="410">
        <v>200000</v>
      </c>
      <c r="F242" s="419"/>
      <c r="G242" s="419"/>
      <c r="H242" s="419"/>
      <c r="I242" s="324">
        <f t="shared" si="179"/>
        <v>200000</v>
      </c>
      <c r="J242" s="335"/>
      <c r="K242" s="335">
        <v>600000</v>
      </c>
      <c r="L242" s="317">
        <f t="shared" si="178"/>
        <v>800000</v>
      </c>
      <c r="M242" s="317"/>
      <c r="N242" s="372">
        <f t="shared" si="182"/>
        <v>-600000</v>
      </c>
      <c r="O242" s="336">
        <f t="shared" si="197"/>
        <v>880000.00000000012</v>
      </c>
      <c r="P242" s="336">
        <f t="shared" si="198"/>
        <v>968000.00000000023</v>
      </c>
      <c r="R242" s="317"/>
      <c r="U242" s="320"/>
    </row>
    <row r="243" spans="1:21" s="312" customFormat="1" outlineLevel="2">
      <c r="A243" s="313"/>
      <c r="B243" s="414"/>
      <c r="C243" s="415">
        <v>2211100</v>
      </c>
      <c r="D243" s="416" t="s">
        <v>51</v>
      </c>
      <c r="E243" s="413">
        <f>E244+E245+E246</f>
        <v>2000000</v>
      </c>
      <c r="F243" s="413">
        <f t="shared" ref="F243:P243" si="208">F244+F245+F246</f>
        <v>0</v>
      </c>
      <c r="G243" s="413">
        <f t="shared" si="208"/>
        <v>0</v>
      </c>
      <c r="H243" s="413">
        <f t="shared" si="208"/>
        <v>0</v>
      </c>
      <c r="I243" s="413">
        <f t="shared" si="208"/>
        <v>2000000</v>
      </c>
      <c r="J243" s="413">
        <f t="shared" si="208"/>
        <v>0</v>
      </c>
      <c r="K243" s="413">
        <f t="shared" si="208"/>
        <v>0</v>
      </c>
      <c r="L243" s="317">
        <f t="shared" si="178"/>
        <v>2000000</v>
      </c>
      <c r="M243" s="317"/>
      <c r="N243" s="372">
        <f t="shared" si="182"/>
        <v>0</v>
      </c>
      <c r="O243" s="413">
        <f t="shared" si="208"/>
        <v>2200000</v>
      </c>
      <c r="P243" s="413">
        <f t="shared" si="208"/>
        <v>2420000.0000000005</v>
      </c>
      <c r="R243" s="317"/>
      <c r="U243" s="320"/>
    </row>
    <row r="244" spans="1:21" s="312" customFormat="1" outlineLevel="2">
      <c r="A244" s="313"/>
      <c r="B244" s="412"/>
      <c r="C244" s="417">
        <v>2211101</v>
      </c>
      <c r="D244" s="418" t="s">
        <v>52</v>
      </c>
      <c r="E244" s="410">
        <v>750000</v>
      </c>
      <c r="F244" s="419"/>
      <c r="G244" s="419"/>
      <c r="H244" s="419"/>
      <c r="I244" s="324">
        <f t="shared" si="179"/>
        <v>750000</v>
      </c>
      <c r="J244" s="335"/>
      <c r="K244" s="335"/>
      <c r="L244" s="317">
        <f t="shared" si="178"/>
        <v>750000</v>
      </c>
      <c r="M244" s="317"/>
      <c r="N244" s="372">
        <f t="shared" si="182"/>
        <v>0</v>
      </c>
      <c r="O244" s="336">
        <f t="shared" si="197"/>
        <v>825000.00000000012</v>
      </c>
      <c r="P244" s="336">
        <f t="shared" si="198"/>
        <v>907500.00000000023</v>
      </c>
      <c r="R244" s="317"/>
      <c r="U244" s="320"/>
    </row>
    <row r="245" spans="1:21" s="312" customFormat="1" outlineLevel="2">
      <c r="A245" s="313"/>
      <c r="B245" s="412"/>
      <c r="C245" s="417">
        <v>2211102</v>
      </c>
      <c r="D245" s="418" t="s">
        <v>53</v>
      </c>
      <c r="E245" s="410">
        <v>750000</v>
      </c>
      <c r="F245" s="419"/>
      <c r="G245" s="419"/>
      <c r="H245" s="419"/>
      <c r="I245" s="324">
        <f t="shared" si="179"/>
        <v>750000</v>
      </c>
      <c r="J245" s="335"/>
      <c r="K245" s="335"/>
      <c r="L245" s="317">
        <f t="shared" si="178"/>
        <v>750000</v>
      </c>
      <c r="M245" s="317"/>
      <c r="N245" s="372">
        <f t="shared" si="182"/>
        <v>0</v>
      </c>
      <c r="O245" s="336">
        <f t="shared" si="197"/>
        <v>825000.00000000012</v>
      </c>
      <c r="P245" s="336">
        <f t="shared" si="198"/>
        <v>907500.00000000023</v>
      </c>
      <c r="R245" s="317"/>
      <c r="U245" s="320"/>
    </row>
    <row r="246" spans="1:21" s="312" customFormat="1" outlineLevel="2">
      <c r="A246" s="313"/>
      <c r="B246" s="412"/>
      <c r="C246" s="417">
        <v>2211103</v>
      </c>
      <c r="D246" s="418" t="s">
        <v>54</v>
      </c>
      <c r="E246" s="410">
        <v>500000</v>
      </c>
      <c r="F246" s="419"/>
      <c r="G246" s="419"/>
      <c r="H246" s="419"/>
      <c r="I246" s="324">
        <f t="shared" si="179"/>
        <v>500000</v>
      </c>
      <c r="J246" s="335"/>
      <c r="K246" s="335"/>
      <c r="L246" s="317">
        <f t="shared" si="178"/>
        <v>500000</v>
      </c>
      <c r="M246" s="317"/>
      <c r="N246" s="372">
        <f t="shared" si="182"/>
        <v>0</v>
      </c>
      <c r="O246" s="336">
        <f t="shared" si="197"/>
        <v>550000</v>
      </c>
      <c r="P246" s="336">
        <f t="shared" si="198"/>
        <v>605000</v>
      </c>
      <c r="R246" s="317"/>
      <c r="U246" s="320"/>
    </row>
    <row r="247" spans="1:21" s="312" customFormat="1" outlineLevel="2">
      <c r="A247" s="313"/>
      <c r="B247" s="414"/>
      <c r="C247" s="415">
        <v>2211200</v>
      </c>
      <c r="D247" s="416" t="s">
        <v>55</v>
      </c>
      <c r="E247" s="413">
        <f>E248</f>
        <v>1500000</v>
      </c>
      <c r="F247" s="413">
        <f t="shared" ref="F247:K247" si="209">F248</f>
        <v>0</v>
      </c>
      <c r="G247" s="413">
        <f t="shared" si="209"/>
        <v>0</v>
      </c>
      <c r="H247" s="413">
        <f t="shared" si="209"/>
        <v>0</v>
      </c>
      <c r="I247" s="413">
        <f t="shared" si="209"/>
        <v>1500000</v>
      </c>
      <c r="J247" s="413">
        <f t="shared" si="209"/>
        <v>0</v>
      </c>
      <c r="K247" s="413">
        <f t="shared" si="209"/>
        <v>0</v>
      </c>
      <c r="L247" s="317">
        <f t="shared" si="178"/>
        <v>1500000</v>
      </c>
      <c r="M247" s="317"/>
      <c r="N247" s="372">
        <f t="shared" si="182"/>
        <v>0</v>
      </c>
      <c r="O247" s="413">
        <f t="shared" ref="O247:P247" si="210">O248</f>
        <v>1650000.0000000002</v>
      </c>
      <c r="P247" s="413">
        <f t="shared" si="210"/>
        <v>1815000.0000000005</v>
      </c>
      <c r="R247" s="317"/>
      <c r="U247" s="320"/>
    </row>
    <row r="248" spans="1:21" s="312" customFormat="1" outlineLevel="2">
      <c r="A248" s="313"/>
      <c r="B248" s="412"/>
      <c r="C248" s="417">
        <v>2211201</v>
      </c>
      <c r="D248" s="418" t="s">
        <v>56</v>
      </c>
      <c r="E248" s="410">
        <v>1500000</v>
      </c>
      <c r="F248" s="419"/>
      <c r="G248" s="419"/>
      <c r="H248" s="419"/>
      <c r="I248" s="324">
        <f t="shared" si="179"/>
        <v>1500000</v>
      </c>
      <c r="J248" s="335"/>
      <c r="K248" s="335"/>
      <c r="L248" s="317">
        <f t="shared" si="178"/>
        <v>1500000</v>
      </c>
      <c r="M248" s="317"/>
      <c r="N248" s="372">
        <f t="shared" si="182"/>
        <v>0</v>
      </c>
      <c r="O248" s="336">
        <f t="shared" si="197"/>
        <v>1650000.0000000002</v>
      </c>
      <c r="P248" s="336">
        <f t="shared" si="198"/>
        <v>1815000.0000000005</v>
      </c>
      <c r="R248" s="317"/>
      <c r="U248" s="320"/>
    </row>
    <row r="249" spans="1:21" s="312" customFormat="1" outlineLevel="2">
      <c r="A249" s="313"/>
      <c r="B249" s="414"/>
      <c r="C249" s="415">
        <v>2220100</v>
      </c>
      <c r="D249" s="416" t="s">
        <v>62</v>
      </c>
      <c r="E249" s="413">
        <f>E250+E251</f>
        <v>1200000</v>
      </c>
      <c r="F249" s="413">
        <f t="shared" ref="F249:K249" si="211">F250+F251</f>
        <v>0</v>
      </c>
      <c r="G249" s="413">
        <f t="shared" si="211"/>
        <v>0</v>
      </c>
      <c r="H249" s="413">
        <f t="shared" si="211"/>
        <v>0</v>
      </c>
      <c r="I249" s="413">
        <f t="shared" si="211"/>
        <v>1200000</v>
      </c>
      <c r="J249" s="413">
        <f t="shared" si="211"/>
        <v>0</v>
      </c>
      <c r="K249" s="413">
        <f t="shared" si="211"/>
        <v>-1100367</v>
      </c>
      <c r="L249" s="317">
        <f t="shared" si="178"/>
        <v>99633</v>
      </c>
      <c r="M249" s="317"/>
      <c r="N249" s="372">
        <f t="shared" si="182"/>
        <v>1100367</v>
      </c>
      <c r="O249" s="413">
        <f t="shared" ref="O249:P249" si="212">O250+O251</f>
        <v>109596.3</v>
      </c>
      <c r="P249" s="413">
        <f t="shared" si="212"/>
        <v>120555.93000000001</v>
      </c>
      <c r="R249" s="317"/>
      <c r="U249" s="320"/>
    </row>
    <row r="250" spans="1:21" s="312" customFormat="1" outlineLevel="2">
      <c r="A250" s="313"/>
      <c r="B250" s="412"/>
      <c r="C250" s="417">
        <v>2220101</v>
      </c>
      <c r="D250" s="418" t="s">
        <v>250</v>
      </c>
      <c r="E250" s="410">
        <v>600000</v>
      </c>
      <c r="F250" s="419"/>
      <c r="G250" s="419"/>
      <c r="H250" s="419"/>
      <c r="I250" s="324">
        <f t="shared" si="179"/>
        <v>600000</v>
      </c>
      <c r="J250" s="335"/>
      <c r="K250" s="335">
        <v>-500367</v>
      </c>
      <c r="L250" s="317">
        <f t="shared" si="178"/>
        <v>99633</v>
      </c>
      <c r="M250" s="317"/>
      <c r="N250" s="372">
        <f t="shared" si="182"/>
        <v>500367</v>
      </c>
      <c r="O250" s="336">
        <f t="shared" si="197"/>
        <v>109596.3</v>
      </c>
      <c r="P250" s="336">
        <f t="shared" si="198"/>
        <v>120555.93000000001</v>
      </c>
      <c r="R250" s="317"/>
      <c r="U250" s="320"/>
    </row>
    <row r="251" spans="1:21" s="312" customFormat="1" outlineLevel="2">
      <c r="A251" s="313"/>
      <c r="B251" s="412"/>
      <c r="C251" s="401">
        <v>2220105</v>
      </c>
      <c r="D251" s="402" t="s">
        <v>404</v>
      </c>
      <c r="E251" s="410">
        <v>600000</v>
      </c>
      <c r="F251" s="333"/>
      <c r="G251" s="333"/>
      <c r="H251" s="333"/>
      <c r="I251" s="324">
        <f t="shared" si="179"/>
        <v>600000</v>
      </c>
      <c r="J251" s="335"/>
      <c r="K251" s="335">
        <v>-600000</v>
      </c>
      <c r="L251" s="317">
        <f t="shared" si="178"/>
        <v>0</v>
      </c>
      <c r="M251" s="317"/>
      <c r="N251" s="372">
        <f t="shared" si="182"/>
        <v>600000</v>
      </c>
      <c r="O251" s="336">
        <f t="shared" si="197"/>
        <v>0</v>
      </c>
      <c r="P251" s="336">
        <f t="shared" si="198"/>
        <v>0</v>
      </c>
      <c r="R251" s="317"/>
      <c r="U251" s="320"/>
    </row>
    <row r="252" spans="1:21" s="312" customFormat="1" outlineLevel="2">
      <c r="A252" s="313"/>
      <c r="B252" s="414"/>
      <c r="C252" s="403">
        <v>2220200</v>
      </c>
      <c r="D252" s="404" t="s">
        <v>405</v>
      </c>
      <c r="E252" s="413">
        <f>E253</f>
        <v>500000</v>
      </c>
      <c r="F252" s="413">
        <f t="shared" ref="F252:K252" si="213">F253</f>
        <v>0</v>
      </c>
      <c r="G252" s="413">
        <f t="shared" si="213"/>
        <v>0</v>
      </c>
      <c r="H252" s="413">
        <f t="shared" si="213"/>
        <v>0</v>
      </c>
      <c r="I252" s="413">
        <f t="shared" si="213"/>
        <v>500000</v>
      </c>
      <c r="J252" s="413">
        <f t="shared" si="213"/>
        <v>0</v>
      </c>
      <c r="K252" s="413">
        <f t="shared" si="213"/>
        <v>0</v>
      </c>
      <c r="L252" s="317">
        <f t="shared" si="178"/>
        <v>500000</v>
      </c>
      <c r="M252" s="317"/>
      <c r="N252" s="372">
        <f t="shared" si="182"/>
        <v>0</v>
      </c>
      <c r="O252" s="413">
        <f t="shared" ref="O252:P252" si="214">O253</f>
        <v>550000</v>
      </c>
      <c r="P252" s="413">
        <f t="shared" si="214"/>
        <v>605000</v>
      </c>
      <c r="R252" s="317"/>
      <c r="U252" s="320"/>
    </row>
    <row r="253" spans="1:21" s="312" customFormat="1" outlineLevel="2">
      <c r="A253" s="313"/>
      <c r="B253" s="412"/>
      <c r="C253" s="401">
        <v>2220205</v>
      </c>
      <c r="D253" s="402" t="s">
        <v>1543</v>
      </c>
      <c r="E253" s="410">
        <v>500000</v>
      </c>
      <c r="F253" s="333"/>
      <c r="G253" s="333"/>
      <c r="H253" s="333"/>
      <c r="I253" s="324">
        <f t="shared" si="179"/>
        <v>500000</v>
      </c>
      <c r="J253" s="335"/>
      <c r="K253" s="335"/>
      <c r="L253" s="317">
        <f t="shared" si="178"/>
        <v>500000</v>
      </c>
      <c r="M253" s="317"/>
      <c r="N253" s="372">
        <f t="shared" si="182"/>
        <v>0</v>
      </c>
      <c r="O253" s="336">
        <f t="shared" si="197"/>
        <v>550000</v>
      </c>
      <c r="P253" s="336">
        <f t="shared" si="198"/>
        <v>605000</v>
      </c>
      <c r="R253" s="317"/>
      <c r="U253" s="320"/>
    </row>
    <row r="254" spans="1:21" s="312" customFormat="1" outlineLevel="2">
      <c r="A254" s="313"/>
      <c r="B254" s="414"/>
      <c r="C254" s="415">
        <v>3111000</v>
      </c>
      <c r="D254" s="416" t="s">
        <v>69</v>
      </c>
      <c r="E254" s="413">
        <f>E255+E256+E257</f>
        <v>1800000</v>
      </c>
      <c r="F254" s="413">
        <f t="shared" ref="F254:K254" si="215">F255+F256+F257</f>
        <v>0</v>
      </c>
      <c r="G254" s="413">
        <f t="shared" si="215"/>
        <v>0</v>
      </c>
      <c r="H254" s="413">
        <f t="shared" si="215"/>
        <v>0</v>
      </c>
      <c r="I254" s="413">
        <f t="shared" si="215"/>
        <v>1800000</v>
      </c>
      <c r="J254" s="413">
        <f t="shared" si="215"/>
        <v>0</v>
      </c>
      <c r="K254" s="413">
        <f t="shared" si="215"/>
        <v>-600088</v>
      </c>
      <c r="L254" s="317">
        <f t="shared" si="178"/>
        <v>1199912</v>
      </c>
      <c r="M254" s="317"/>
      <c r="N254" s="372">
        <f t="shared" si="182"/>
        <v>600088</v>
      </c>
      <c r="O254" s="413">
        <f t="shared" ref="O254:P254" si="216">O255+O256+O257</f>
        <v>1319903.2000000002</v>
      </c>
      <c r="P254" s="413">
        <f t="shared" si="216"/>
        <v>1451893.5200000003</v>
      </c>
      <c r="R254" s="317"/>
      <c r="U254" s="320"/>
    </row>
    <row r="255" spans="1:21" s="312" customFormat="1" outlineLevel="2">
      <c r="A255" s="313"/>
      <c r="B255" s="412"/>
      <c r="C255" s="417" t="s">
        <v>98</v>
      </c>
      <c r="D255" s="418" t="s">
        <v>70</v>
      </c>
      <c r="E255" s="410">
        <v>400000</v>
      </c>
      <c r="F255" s="419"/>
      <c r="G255" s="419"/>
      <c r="H255" s="419"/>
      <c r="I255" s="324">
        <f t="shared" si="179"/>
        <v>400000</v>
      </c>
      <c r="J255" s="335"/>
      <c r="K255" s="335">
        <v>0</v>
      </c>
      <c r="L255" s="317">
        <f t="shared" si="178"/>
        <v>400000</v>
      </c>
      <c r="M255" s="317"/>
      <c r="N255" s="372">
        <f t="shared" si="182"/>
        <v>0</v>
      </c>
      <c r="O255" s="336">
        <f t="shared" si="197"/>
        <v>440000.00000000006</v>
      </c>
      <c r="P255" s="336">
        <f t="shared" si="198"/>
        <v>484000.00000000012</v>
      </c>
      <c r="R255" s="317"/>
      <c r="U255" s="320"/>
    </row>
    <row r="256" spans="1:21" s="312" customFormat="1" outlineLevel="2">
      <c r="A256" s="313"/>
      <c r="B256" s="412"/>
      <c r="C256" s="417">
        <v>3111002</v>
      </c>
      <c r="D256" s="418" t="s">
        <v>71</v>
      </c>
      <c r="E256" s="410">
        <v>400000</v>
      </c>
      <c r="F256" s="419"/>
      <c r="G256" s="419"/>
      <c r="H256" s="419"/>
      <c r="I256" s="324">
        <f t="shared" si="179"/>
        <v>400000</v>
      </c>
      <c r="J256" s="335"/>
      <c r="K256" s="335">
        <v>399912</v>
      </c>
      <c r="L256" s="317">
        <f t="shared" si="178"/>
        <v>799912</v>
      </c>
      <c r="M256" s="317"/>
      <c r="N256" s="372">
        <f t="shared" si="182"/>
        <v>-399912</v>
      </c>
      <c r="O256" s="336">
        <f t="shared" si="197"/>
        <v>879903.20000000007</v>
      </c>
      <c r="P256" s="336">
        <f t="shared" si="198"/>
        <v>967893.52000000014</v>
      </c>
      <c r="R256" s="317"/>
      <c r="U256" s="320"/>
    </row>
    <row r="257" spans="1:21" s="312" customFormat="1" outlineLevel="2">
      <c r="A257" s="313"/>
      <c r="B257" s="412"/>
      <c r="C257" s="417" t="s">
        <v>1557</v>
      </c>
      <c r="D257" s="426" t="s">
        <v>1558</v>
      </c>
      <c r="E257" s="410">
        <f>1500000-500000</f>
        <v>1000000</v>
      </c>
      <c r="F257" s="427"/>
      <c r="G257" s="427"/>
      <c r="H257" s="427"/>
      <c r="I257" s="324">
        <f t="shared" si="179"/>
        <v>1000000</v>
      </c>
      <c r="J257" s="335"/>
      <c r="K257" s="335">
        <v>-1000000</v>
      </c>
      <c r="L257" s="317">
        <f t="shared" si="178"/>
        <v>0</v>
      </c>
      <c r="M257" s="317"/>
      <c r="N257" s="372">
        <f t="shared" si="182"/>
        <v>1000000</v>
      </c>
      <c r="O257" s="336">
        <f t="shared" si="197"/>
        <v>0</v>
      </c>
      <c r="P257" s="336">
        <f t="shared" si="198"/>
        <v>0</v>
      </c>
      <c r="R257" s="317"/>
      <c r="U257" s="320"/>
    </row>
    <row r="258" spans="1:21" s="312" customFormat="1" outlineLevel="2">
      <c r="A258" s="313"/>
      <c r="B258" s="412"/>
      <c r="C258" s="428"/>
      <c r="D258" s="429"/>
      <c r="E258" s="430">
        <f>E259</f>
        <v>0</v>
      </c>
      <c r="F258" s="430">
        <f t="shared" ref="F258:P258" si="217">F259</f>
        <v>0</v>
      </c>
      <c r="G258" s="430">
        <f t="shared" si="217"/>
        <v>0</v>
      </c>
      <c r="H258" s="430">
        <f t="shared" si="217"/>
        <v>0</v>
      </c>
      <c r="I258" s="430">
        <f t="shared" si="217"/>
        <v>0</v>
      </c>
      <c r="J258" s="335"/>
      <c r="K258" s="335"/>
      <c r="L258" s="317">
        <f t="shared" si="178"/>
        <v>0</v>
      </c>
      <c r="M258" s="317"/>
      <c r="N258" s="372">
        <f t="shared" si="182"/>
        <v>0</v>
      </c>
      <c r="O258" s="430">
        <f t="shared" si="217"/>
        <v>0</v>
      </c>
      <c r="P258" s="430">
        <f t="shared" si="217"/>
        <v>0</v>
      </c>
      <c r="R258" s="317"/>
      <c r="U258" s="320"/>
    </row>
    <row r="259" spans="1:21" s="312" customFormat="1" outlineLevel="2">
      <c r="A259" s="313"/>
      <c r="B259" s="412"/>
      <c r="C259" s="420"/>
      <c r="D259" s="432"/>
      <c r="E259" s="433"/>
      <c r="F259" s="433"/>
      <c r="G259" s="433"/>
      <c r="H259" s="433"/>
      <c r="I259" s="433"/>
      <c r="J259" s="335"/>
      <c r="K259" s="335"/>
      <c r="L259" s="317">
        <f t="shared" si="178"/>
        <v>0</v>
      </c>
      <c r="M259" s="317"/>
      <c r="N259" s="372">
        <f t="shared" si="182"/>
        <v>0</v>
      </c>
      <c r="O259" s="433"/>
      <c r="P259" s="433"/>
      <c r="R259" s="317"/>
      <c r="U259" s="320"/>
    </row>
    <row r="260" spans="1:21" s="312" customFormat="1" outlineLevel="1">
      <c r="A260" s="313"/>
      <c r="B260" s="414"/>
      <c r="C260" s="416"/>
      <c r="D260" s="443" t="s">
        <v>99</v>
      </c>
      <c r="E260" s="413">
        <f>E258+E254+E252+E249+E247+E243+E240+E233+E231+E227+E224+E221</f>
        <v>12120000</v>
      </c>
      <c r="F260" s="413">
        <f t="shared" ref="F260:K260" si="218">F258+F254+F252+F249+F247+F243+F240+F233+F231+F227+F224+F221</f>
        <v>0</v>
      </c>
      <c r="G260" s="413">
        <f t="shared" si="218"/>
        <v>0</v>
      </c>
      <c r="H260" s="413">
        <f t="shared" si="218"/>
        <v>0</v>
      </c>
      <c r="I260" s="413">
        <f t="shared" si="218"/>
        <v>12120000</v>
      </c>
      <c r="J260" s="413">
        <f t="shared" si="218"/>
        <v>0</v>
      </c>
      <c r="K260" s="413">
        <f t="shared" si="218"/>
        <v>-2000455</v>
      </c>
      <c r="L260" s="317">
        <f t="shared" ref="L260:L323" si="219">I260+J260+K260</f>
        <v>10119545</v>
      </c>
      <c r="M260" s="317"/>
      <c r="N260" s="372">
        <f t="shared" si="182"/>
        <v>2000455</v>
      </c>
      <c r="O260" s="413">
        <f t="shared" ref="O260:P260" si="220">O258+O254+O252+O249+O247+O243+O240+O233+O231+O227+O224+O221</f>
        <v>11131499.5</v>
      </c>
      <c r="P260" s="413">
        <f t="shared" si="220"/>
        <v>12244649.450000001</v>
      </c>
      <c r="R260" s="317"/>
      <c r="U260" s="320"/>
    </row>
    <row r="261" spans="1:21" s="312" customFormat="1" outlineLevel="1">
      <c r="A261" s="313"/>
      <c r="B261" s="414"/>
      <c r="C261" s="416"/>
      <c r="D261" s="443" t="s">
        <v>84</v>
      </c>
      <c r="E261" s="413">
        <f>E260</f>
        <v>12120000</v>
      </c>
      <c r="F261" s="413">
        <f t="shared" ref="F261:K261" si="221">F260</f>
        <v>0</v>
      </c>
      <c r="G261" s="413">
        <f t="shared" si="221"/>
        <v>0</v>
      </c>
      <c r="H261" s="413">
        <f t="shared" si="221"/>
        <v>0</v>
      </c>
      <c r="I261" s="413">
        <f t="shared" si="221"/>
        <v>12120000</v>
      </c>
      <c r="J261" s="413">
        <f t="shared" si="221"/>
        <v>0</v>
      </c>
      <c r="K261" s="413">
        <f t="shared" si="221"/>
        <v>-2000455</v>
      </c>
      <c r="L261" s="317">
        <f t="shared" si="219"/>
        <v>10119545</v>
      </c>
      <c r="M261" s="317"/>
      <c r="N261" s="372">
        <f t="shared" si="182"/>
        <v>2000455</v>
      </c>
      <c r="O261" s="413">
        <f t="shared" ref="O261:P261" si="222">O260</f>
        <v>11131499.5</v>
      </c>
      <c r="P261" s="413">
        <f t="shared" si="222"/>
        <v>12244649.450000001</v>
      </c>
      <c r="R261" s="317"/>
      <c r="U261" s="320"/>
    </row>
    <row r="262" spans="1:21" s="312" customFormat="1" outlineLevel="1">
      <c r="A262" s="313"/>
      <c r="B262" s="313"/>
      <c r="C262" s="400"/>
      <c r="D262" s="383"/>
      <c r="E262" s="397"/>
      <c r="F262" s="316"/>
      <c r="G262" s="316"/>
      <c r="H262" s="316"/>
      <c r="I262" s="324">
        <f t="shared" ref="I262:I324" si="223">E262+F262+G262+H262</f>
        <v>0</v>
      </c>
      <c r="J262" s="335"/>
      <c r="K262" s="335"/>
      <c r="L262" s="317">
        <f t="shared" si="219"/>
        <v>0</v>
      </c>
      <c r="M262" s="317"/>
      <c r="N262" s="372">
        <f t="shared" si="182"/>
        <v>0</v>
      </c>
      <c r="O262" s="440"/>
      <c r="P262" s="440"/>
      <c r="R262" s="317"/>
      <c r="U262" s="320"/>
    </row>
    <row r="263" spans="1:21" s="312" customFormat="1" outlineLevel="1">
      <c r="A263" s="313"/>
      <c r="B263" s="412" t="s">
        <v>146</v>
      </c>
      <c r="C263" s="409" t="s">
        <v>1551</v>
      </c>
      <c r="D263" s="409"/>
      <c r="E263" s="384"/>
      <c r="F263" s="411"/>
      <c r="G263" s="411"/>
      <c r="H263" s="411"/>
      <c r="I263" s="324">
        <f t="shared" si="223"/>
        <v>0</v>
      </c>
      <c r="J263" s="335"/>
      <c r="K263" s="335"/>
      <c r="L263" s="317">
        <f t="shared" si="219"/>
        <v>0</v>
      </c>
      <c r="M263" s="317"/>
      <c r="N263" s="372">
        <f t="shared" si="182"/>
        <v>0</v>
      </c>
      <c r="O263" s="395"/>
      <c r="P263" s="395"/>
      <c r="R263" s="317"/>
      <c r="U263" s="320"/>
    </row>
    <row r="264" spans="1:21" s="312" customFormat="1" outlineLevel="3">
      <c r="A264" s="313"/>
      <c r="B264" s="313"/>
      <c r="C264" s="415">
        <v>2210200</v>
      </c>
      <c r="D264" s="416" t="s">
        <v>20</v>
      </c>
      <c r="E264" s="413">
        <f>E265+E266</f>
        <v>150000</v>
      </c>
      <c r="F264" s="413">
        <f t="shared" ref="F264:K264" si="224">F265+F266</f>
        <v>0</v>
      </c>
      <c r="G264" s="413">
        <f t="shared" si="224"/>
        <v>0</v>
      </c>
      <c r="H264" s="413">
        <f t="shared" si="224"/>
        <v>0</v>
      </c>
      <c r="I264" s="413">
        <f t="shared" si="224"/>
        <v>150000</v>
      </c>
      <c r="J264" s="413">
        <f t="shared" si="224"/>
        <v>0</v>
      </c>
      <c r="K264" s="413">
        <f t="shared" si="224"/>
        <v>-100000</v>
      </c>
      <c r="L264" s="317">
        <f t="shared" si="219"/>
        <v>50000</v>
      </c>
      <c r="M264" s="317"/>
      <c r="N264" s="372">
        <f t="shared" ref="N264:N327" si="225">M264-K264</f>
        <v>100000</v>
      </c>
      <c r="O264" s="413">
        <f t="shared" ref="O264:P264" si="226">O265+O266</f>
        <v>55000.000000000007</v>
      </c>
      <c r="P264" s="413">
        <f t="shared" si="226"/>
        <v>60500.000000000015</v>
      </c>
      <c r="R264" s="317"/>
      <c r="U264" s="320"/>
    </row>
    <row r="265" spans="1:21" s="312" customFormat="1" outlineLevel="3">
      <c r="A265" s="313"/>
      <c r="B265" s="313"/>
      <c r="C265" s="417">
        <v>2210201</v>
      </c>
      <c r="D265" s="418" t="s">
        <v>21</v>
      </c>
      <c r="E265" s="410">
        <v>50000</v>
      </c>
      <c r="F265" s="419"/>
      <c r="G265" s="419"/>
      <c r="H265" s="419"/>
      <c r="I265" s="324">
        <f t="shared" si="223"/>
        <v>50000</v>
      </c>
      <c r="J265" s="335"/>
      <c r="K265" s="335"/>
      <c r="L265" s="317">
        <f t="shared" si="219"/>
        <v>50000</v>
      </c>
      <c r="M265" s="317"/>
      <c r="N265" s="372">
        <f t="shared" si="225"/>
        <v>0</v>
      </c>
      <c r="O265" s="336">
        <f t="shared" ref="O265:O298" si="227">L265*1.1</f>
        <v>55000.000000000007</v>
      </c>
      <c r="P265" s="336">
        <f t="shared" ref="P265:P298" si="228">O265*1.1</f>
        <v>60500.000000000015</v>
      </c>
      <c r="R265" s="317"/>
      <c r="U265" s="320"/>
    </row>
    <row r="266" spans="1:21" s="312" customFormat="1" outlineLevel="3">
      <c r="A266" s="313"/>
      <c r="B266" s="313"/>
      <c r="C266" s="417">
        <v>2210202</v>
      </c>
      <c r="D266" s="418" t="s">
        <v>22</v>
      </c>
      <c r="E266" s="410">
        <v>100000</v>
      </c>
      <c r="F266" s="419"/>
      <c r="G266" s="419"/>
      <c r="H266" s="419"/>
      <c r="I266" s="324">
        <f t="shared" si="223"/>
        <v>100000</v>
      </c>
      <c r="J266" s="335"/>
      <c r="K266" s="335">
        <v>-100000</v>
      </c>
      <c r="L266" s="317">
        <f t="shared" si="219"/>
        <v>0</v>
      </c>
      <c r="M266" s="317"/>
      <c r="N266" s="372">
        <f t="shared" si="225"/>
        <v>100000</v>
      </c>
      <c r="O266" s="336">
        <f t="shared" si="227"/>
        <v>0</v>
      </c>
      <c r="P266" s="336">
        <f t="shared" si="228"/>
        <v>0</v>
      </c>
      <c r="R266" s="317"/>
      <c r="U266" s="320"/>
    </row>
    <row r="267" spans="1:21" s="312" customFormat="1" outlineLevel="3">
      <c r="A267" s="313"/>
      <c r="B267" s="313"/>
      <c r="C267" s="415">
        <v>2210300</v>
      </c>
      <c r="D267" s="416" t="s">
        <v>24</v>
      </c>
      <c r="E267" s="413">
        <f>E268+E269+E270</f>
        <v>1300000</v>
      </c>
      <c r="F267" s="413">
        <f t="shared" ref="F267:K267" si="229">F268+F269+F270</f>
        <v>0</v>
      </c>
      <c r="G267" s="413">
        <f t="shared" si="229"/>
        <v>0</v>
      </c>
      <c r="H267" s="413">
        <f t="shared" si="229"/>
        <v>0</v>
      </c>
      <c r="I267" s="413">
        <f t="shared" si="229"/>
        <v>1300000</v>
      </c>
      <c r="J267" s="413">
        <f t="shared" si="229"/>
        <v>0</v>
      </c>
      <c r="K267" s="413">
        <f t="shared" si="229"/>
        <v>0</v>
      </c>
      <c r="L267" s="317">
        <f t="shared" si="219"/>
        <v>1300000</v>
      </c>
      <c r="M267" s="317"/>
      <c r="N267" s="372">
        <f t="shared" si="225"/>
        <v>0</v>
      </c>
      <c r="O267" s="413">
        <f t="shared" ref="O267:P267" si="230">O268+O269+O270</f>
        <v>1430000</v>
      </c>
      <c r="P267" s="413">
        <f t="shared" si="230"/>
        <v>1573000</v>
      </c>
      <c r="R267" s="317"/>
      <c r="U267" s="320"/>
    </row>
    <row r="268" spans="1:21" s="312" customFormat="1" outlineLevel="3">
      <c r="A268" s="313"/>
      <c r="B268" s="313"/>
      <c r="C268" s="417">
        <v>2210301</v>
      </c>
      <c r="D268" s="418" t="s">
        <v>25</v>
      </c>
      <c r="E268" s="410">
        <v>300000</v>
      </c>
      <c r="F268" s="419"/>
      <c r="G268" s="419"/>
      <c r="H268" s="419"/>
      <c r="I268" s="324">
        <f t="shared" si="223"/>
        <v>300000</v>
      </c>
      <c r="J268" s="335"/>
      <c r="K268" s="335">
        <v>0</v>
      </c>
      <c r="L268" s="317">
        <f t="shared" si="219"/>
        <v>300000</v>
      </c>
      <c r="M268" s="317"/>
      <c r="N268" s="372">
        <f t="shared" si="225"/>
        <v>0</v>
      </c>
      <c r="O268" s="336">
        <f t="shared" si="227"/>
        <v>330000</v>
      </c>
      <c r="P268" s="336">
        <f t="shared" si="228"/>
        <v>363000.00000000006</v>
      </c>
      <c r="R268" s="317"/>
      <c r="U268" s="320"/>
    </row>
    <row r="269" spans="1:21" s="312" customFormat="1" outlineLevel="3">
      <c r="A269" s="313"/>
      <c r="B269" s="313"/>
      <c r="C269" s="417">
        <v>2210302</v>
      </c>
      <c r="D269" s="418" t="s">
        <v>26</v>
      </c>
      <c r="E269" s="410">
        <v>500000</v>
      </c>
      <c r="F269" s="419"/>
      <c r="G269" s="419"/>
      <c r="H269" s="419"/>
      <c r="I269" s="324">
        <f t="shared" si="223"/>
        <v>500000</v>
      </c>
      <c r="J269" s="335"/>
      <c r="K269" s="335"/>
      <c r="L269" s="317">
        <f t="shared" si="219"/>
        <v>500000</v>
      </c>
      <c r="M269" s="317"/>
      <c r="N269" s="372">
        <f t="shared" si="225"/>
        <v>0</v>
      </c>
      <c r="O269" s="336">
        <f t="shared" si="227"/>
        <v>550000</v>
      </c>
      <c r="P269" s="336">
        <f t="shared" si="228"/>
        <v>605000</v>
      </c>
      <c r="R269" s="317"/>
      <c r="U269" s="320"/>
    </row>
    <row r="270" spans="1:21" s="312" customFormat="1" outlineLevel="3">
      <c r="A270" s="313"/>
      <c r="B270" s="313"/>
      <c r="C270" s="417">
        <v>2210303</v>
      </c>
      <c r="D270" s="418" t="s">
        <v>27</v>
      </c>
      <c r="E270" s="410">
        <v>500000</v>
      </c>
      <c r="F270" s="419"/>
      <c r="G270" s="419"/>
      <c r="H270" s="419"/>
      <c r="I270" s="324">
        <f t="shared" si="223"/>
        <v>500000</v>
      </c>
      <c r="J270" s="335"/>
      <c r="K270" s="335"/>
      <c r="L270" s="317">
        <f t="shared" si="219"/>
        <v>500000</v>
      </c>
      <c r="M270" s="317"/>
      <c r="N270" s="372">
        <f t="shared" si="225"/>
        <v>0</v>
      </c>
      <c r="O270" s="336">
        <f t="shared" si="227"/>
        <v>550000</v>
      </c>
      <c r="P270" s="336">
        <f t="shared" si="228"/>
        <v>605000</v>
      </c>
      <c r="R270" s="317"/>
      <c r="U270" s="320"/>
    </row>
    <row r="271" spans="1:21" s="312" customFormat="1" outlineLevel="3">
      <c r="A271" s="313"/>
      <c r="B271" s="313"/>
      <c r="C271" s="415">
        <v>2210500</v>
      </c>
      <c r="D271" s="416" t="s">
        <v>31</v>
      </c>
      <c r="E271" s="413">
        <f>E272</f>
        <v>100000</v>
      </c>
      <c r="F271" s="413">
        <f t="shared" ref="F271:K271" si="231">F272</f>
        <v>0</v>
      </c>
      <c r="G271" s="413">
        <f t="shared" si="231"/>
        <v>0</v>
      </c>
      <c r="H271" s="413">
        <f t="shared" si="231"/>
        <v>0</v>
      </c>
      <c r="I271" s="413">
        <f t="shared" si="231"/>
        <v>100000</v>
      </c>
      <c r="J271" s="413">
        <f t="shared" si="231"/>
        <v>0</v>
      </c>
      <c r="K271" s="413">
        <f t="shared" si="231"/>
        <v>0</v>
      </c>
      <c r="L271" s="317">
        <f t="shared" si="219"/>
        <v>100000</v>
      </c>
      <c r="M271" s="317"/>
      <c r="N271" s="372">
        <f t="shared" si="225"/>
        <v>0</v>
      </c>
      <c r="O271" s="413">
        <f t="shared" ref="O271:P271" si="232">O272</f>
        <v>110000.00000000001</v>
      </c>
      <c r="P271" s="413">
        <f t="shared" si="232"/>
        <v>121000.00000000003</v>
      </c>
      <c r="R271" s="317"/>
      <c r="U271" s="320"/>
    </row>
    <row r="272" spans="1:21" s="312" customFormat="1" outlineLevel="3">
      <c r="A272" s="313"/>
      <c r="B272" s="313"/>
      <c r="C272" s="417">
        <v>2210503</v>
      </c>
      <c r="D272" s="418" t="s">
        <v>32</v>
      </c>
      <c r="E272" s="410">
        <v>100000</v>
      </c>
      <c r="F272" s="419"/>
      <c r="G272" s="419"/>
      <c r="H272" s="419"/>
      <c r="I272" s="324">
        <f t="shared" si="223"/>
        <v>100000</v>
      </c>
      <c r="J272" s="335"/>
      <c r="K272" s="335"/>
      <c r="L272" s="317">
        <f t="shared" si="219"/>
        <v>100000</v>
      </c>
      <c r="M272" s="317"/>
      <c r="N272" s="372">
        <f t="shared" si="225"/>
        <v>0</v>
      </c>
      <c r="O272" s="336">
        <f t="shared" si="227"/>
        <v>110000.00000000001</v>
      </c>
      <c r="P272" s="336">
        <f t="shared" si="228"/>
        <v>121000.00000000003</v>
      </c>
      <c r="R272" s="317"/>
      <c r="U272" s="320"/>
    </row>
    <row r="273" spans="1:21" s="312" customFormat="1" outlineLevel="3">
      <c r="A273" s="313"/>
      <c r="B273" s="313"/>
      <c r="C273" s="415">
        <v>2210700</v>
      </c>
      <c r="D273" s="416" t="s">
        <v>35</v>
      </c>
      <c r="E273" s="413">
        <f>E274+E275+E276+E277+E278+E279</f>
        <v>650000</v>
      </c>
      <c r="F273" s="413">
        <f t="shared" ref="F273:K273" si="233">F274+F275+F276+F277+F278+F279</f>
        <v>0</v>
      </c>
      <c r="G273" s="413">
        <f t="shared" si="233"/>
        <v>0</v>
      </c>
      <c r="H273" s="413">
        <f t="shared" si="233"/>
        <v>0</v>
      </c>
      <c r="I273" s="413">
        <f t="shared" si="233"/>
        <v>650000</v>
      </c>
      <c r="J273" s="413">
        <f t="shared" si="233"/>
        <v>0</v>
      </c>
      <c r="K273" s="413">
        <f t="shared" si="233"/>
        <v>750000</v>
      </c>
      <c r="L273" s="317">
        <f t="shared" si="219"/>
        <v>1400000</v>
      </c>
      <c r="M273" s="317"/>
      <c r="N273" s="372">
        <f t="shared" si="225"/>
        <v>-750000</v>
      </c>
      <c r="O273" s="413">
        <f t="shared" ref="O273:P273" si="234">O274+O275+O276+O277+O278+O279</f>
        <v>1540000.0000000002</v>
      </c>
      <c r="P273" s="413">
        <f t="shared" si="234"/>
        <v>1694000.0000000002</v>
      </c>
      <c r="R273" s="317"/>
      <c r="U273" s="320"/>
    </row>
    <row r="274" spans="1:21" s="312" customFormat="1" outlineLevel="3">
      <c r="A274" s="313"/>
      <c r="B274" s="313"/>
      <c r="C274" s="417">
        <v>2210701</v>
      </c>
      <c r="D274" s="418" t="s">
        <v>36</v>
      </c>
      <c r="E274" s="410">
        <v>100000</v>
      </c>
      <c r="F274" s="419"/>
      <c r="G274" s="419"/>
      <c r="H274" s="419"/>
      <c r="I274" s="324">
        <f t="shared" si="223"/>
        <v>100000</v>
      </c>
      <c r="J274" s="335"/>
      <c r="K274" s="335"/>
      <c r="L274" s="317">
        <f t="shared" si="219"/>
        <v>100000</v>
      </c>
      <c r="M274" s="317"/>
      <c r="N274" s="372">
        <f t="shared" si="225"/>
        <v>0</v>
      </c>
      <c r="O274" s="336">
        <f t="shared" si="227"/>
        <v>110000.00000000001</v>
      </c>
      <c r="P274" s="336">
        <f t="shared" si="228"/>
        <v>121000.00000000003</v>
      </c>
      <c r="R274" s="317"/>
      <c r="U274" s="320"/>
    </row>
    <row r="275" spans="1:21" s="312" customFormat="1" outlineLevel="3">
      <c r="A275" s="313"/>
      <c r="B275" s="313"/>
      <c r="C275" s="417">
        <v>2210702</v>
      </c>
      <c r="D275" s="418" t="s">
        <v>95</v>
      </c>
      <c r="E275" s="410">
        <v>50000</v>
      </c>
      <c r="F275" s="419"/>
      <c r="G275" s="419"/>
      <c r="H275" s="419"/>
      <c r="I275" s="324">
        <f t="shared" si="223"/>
        <v>50000</v>
      </c>
      <c r="J275" s="335"/>
      <c r="K275" s="335">
        <v>-50000</v>
      </c>
      <c r="L275" s="317">
        <f t="shared" si="219"/>
        <v>0</v>
      </c>
      <c r="M275" s="317"/>
      <c r="N275" s="372">
        <f t="shared" si="225"/>
        <v>50000</v>
      </c>
      <c r="O275" s="336">
        <f t="shared" si="227"/>
        <v>0</v>
      </c>
      <c r="P275" s="336">
        <f t="shared" si="228"/>
        <v>0</v>
      </c>
      <c r="R275" s="317"/>
      <c r="U275" s="320"/>
    </row>
    <row r="276" spans="1:21" s="312" customFormat="1" outlineLevel="3">
      <c r="A276" s="313"/>
      <c r="B276" s="313"/>
      <c r="C276" s="417">
        <v>2210704</v>
      </c>
      <c r="D276" s="418" t="s">
        <v>38</v>
      </c>
      <c r="E276" s="410">
        <v>50000</v>
      </c>
      <c r="F276" s="419"/>
      <c r="G276" s="419"/>
      <c r="H276" s="419"/>
      <c r="I276" s="324">
        <f t="shared" si="223"/>
        <v>50000</v>
      </c>
      <c r="J276" s="335"/>
      <c r="K276" s="335"/>
      <c r="L276" s="317">
        <f t="shared" si="219"/>
        <v>50000</v>
      </c>
      <c r="M276" s="317"/>
      <c r="N276" s="372">
        <f t="shared" si="225"/>
        <v>0</v>
      </c>
      <c r="O276" s="336">
        <f t="shared" si="227"/>
        <v>55000.000000000007</v>
      </c>
      <c r="P276" s="336">
        <f t="shared" si="228"/>
        <v>60500.000000000015</v>
      </c>
      <c r="R276" s="317"/>
      <c r="U276" s="320"/>
    </row>
    <row r="277" spans="1:21" s="312" customFormat="1" outlineLevel="3">
      <c r="A277" s="313"/>
      <c r="B277" s="313"/>
      <c r="C277" s="417">
        <v>2210710</v>
      </c>
      <c r="D277" s="418" t="s">
        <v>39</v>
      </c>
      <c r="E277" s="410">
        <v>100000</v>
      </c>
      <c r="F277" s="419"/>
      <c r="G277" s="419"/>
      <c r="H277" s="419"/>
      <c r="I277" s="324">
        <f t="shared" si="223"/>
        <v>100000</v>
      </c>
      <c r="J277" s="335"/>
      <c r="K277" s="335">
        <v>800000</v>
      </c>
      <c r="L277" s="317">
        <f t="shared" si="219"/>
        <v>900000</v>
      </c>
      <c r="M277" s="317"/>
      <c r="N277" s="372">
        <f t="shared" si="225"/>
        <v>-800000</v>
      </c>
      <c r="O277" s="336">
        <f t="shared" si="227"/>
        <v>990000.00000000012</v>
      </c>
      <c r="P277" s="336">
        <f t="shared" si="228"/>
        <v>1089000.0000000002</v>
      </c>
      <c r="R277" s="317"/>
      <c r="U277" s="320"/>
    </row>
    <row r="278" spans="1:21" s="312" customFormat="1" outlineLevel="3">
      <c r="A278" s="313"/>
      <c r="B278" s="313"/>
      <c r="C278" s="417">
        <v>2210715</v>
      </c>
      <c r="D278" s="418" t="s">
        <v>40</v>
      </c>
      <c r="E278" s="410">
        <v>300000</v>
      </c>
      <c r="F278" s="419"/>
      <c r="G278" s="419"/>
      <c r="H278" s="419"/>
      <c r="I278" s="324">
        <f t="shared" si="223"/>
        <v>300000</v>
      </c>
      <c r="J278" s="335"/>
      <c r="K278" s="335"/>
      <c r="L278" s="317">
        <f t="shared" si="219"/>
        <v>300000</v>
      </c>
      <c r="M278" s="317"/>
      <c r="N278" s="372">
        <f t="shared" si="225"/>
        <v>0</v>
      </c>
      <c r="O278" s="336">
        <f t="shared" si="227"/>
        <v>330000</v>
      </c>
      <c r="P278" s="336">
        <f t="shared" si="228"/>
        <v>363000.00000000006</v>
      </c>
      <c r="R278" s="317"/>
      <c r="U278" s="320"/>
    </row>
    <row r="279" spans="1:21" s="312" customFormat="1" outlineLevel="3">
      <c r="A279" s="313"/>
      <c r="B279" s="313"/>
      <c r="C279" s="417">
        <v>2210799</v>
      </c>
      <c r="D279" s="418" t="s">
        <v>129</v>
      </c>
      <c r="E279" s="410">
        <v>50000</v>
      </c>
      <c r="F279" s="419"/>
      <c r="G279" s="419"/>
      <c r="H279" s="419"/>
      <c r="I279" s="324">
        <f t="shared" si="223"/>
        <v>50000</v>
      </c>
      <c r="J279" s="335"/>
      <c r="K279" s="335"/>
      <c r="L279" s="317">
        <f t="shared" si="219"/>
        <v>50000</v>
      </c>
      <c r="M279" s="317"/>
      <c r="N279" s="372">
        <f t="shared" si="225"/>
        <v>0</v>
      </c>
      <c r="O279" s="336">
        <f t="shared" si="227"/>
        <v>55000.000000000007</v>
      </c>
      <c r="P279" s="336">
        <f t="shared" si="228"/>
        <v>60500.000000000015</v>
      </c>
      <c r="R279" s="317"/>
      <c r="U279" s="320"/>
    </row>
    <row r="280" spans="1:21" s="312" customFormat="1" outlineLevel="3">
      <c r="A280" s="313"/>
      <c r="B280" s="313"/>
      <c r="C280" s="415">
        <v>2210800</v>
      </c>
      <c r="D280" s="416" t="s">
        <v>42</v>
      </c>
      <c r="E280" s="413">
        <f>E281+E282</f>
        <v>1200000</v>
      </c>
      <c r="F280" s="413">
        <f t="shared" ref="F280:K280" si="235">F281+F282</f>
        <v>0</v>
      </c>
      <c r="G280" s="413">
        <f t="shared" si="235"/>
        <v>0</v>
      </c>
      <c r="H280" s="413">
        <f t="shared" si="235"/>
        <v>0</v>
      </c>
      <c r="I280" s="413">
        <f t="shared" si="235"/>
        <v>1200000</v>
      </c>
      <c r="J280" s="413">
        <f t="shared" si="235"/>
        <v>0</v>
      </c>
      <c r="K280" s="413">
        <f t="shared" si="235"/>
        <v>0</v>
      </c>
      <c r="L280" s="317">
        <f t="shared" si="219"/>
        <v>1200000</v>
      </c>
      <c r="M280" s="317"/>
      <c r="N280" s="372">
        <f t="shared" si="225"/>
        <v>0</v>
      </c>
      <c r="O280" s="413">
        <f t="shared" ref="O280:P280" si="236">O281+O282</f>
        <v>1320000</v>
      </c>
      <c r="P280" s="413">
        <f t="shared" si="236"/>
        <v>1452000</v>
      </c>
      <c r="R280" s="317"/>
      <c r="U280" s="320"/>
    </row>
    <row r="281" spans="1:21" s="312" customFormat="1" outlineLevel="3">
      <c r="A281" s="313"/>
      <c r="B281" s="313"/>
      <c r="C281" s="417">
        <v>2210801</v>
      </c>
      <c r="D281" s="418" t="s">
        <v>2418</v>
      </c>
      <c r="E281" s="410">
        <v>1100000</v>
      </c>
      <c r="F281" s="419"/>
      <c r="G281" s="419"/>
      <c r="H281" s="419"/>
      <c r="I281" s="324">
        <f t="shared" si="223"/>
        <v>1100000</v>
      </c>
      <c r="J281" s="335"/>
      <c r="K281" s="335"/>
      <c r="L281" s="317">
        <f t="shared" si="219"/>
        <v>1100000</v>
      </c>
      <c r="M281" s="317"/>
      <c r="N281" s="372">
        <f t="shared" si="225"/>
        <v>0</v>
      </c>
      <c r="O281" s="336">
        <f t="shared" si="227"/>
        <v>1210000</v>
      </c>
      <c r="P281" s="336">
        <f t="shared" si="228"/>
        <v>1331000</v>
      </c>
      <c r="R281" s="317"/>
      <c r="U281" s="320"/>
    </row>
    <row r="282" spans="1:21" s="312" customFormat="1" outlineLevel="3">
      <c r="A282" s="313"/>
      <c r="B282" s="313"/>
      <c r="C282" s="417">
        <v>2210802</v>
      </c>
      <c r="D282" s="418" t="s">
        <v>97</v>
      </c>
      <c r="E282" s="410">
        <v>100000</v>
      </c>
      <c r="F282" s="419"/>
      <c r="G282" s="419"/>
      <c r="H282" s="419"/>
      <c r="I282" s="324">
        <f t="shared" si="223"/>
        <v>100000</v>
      </c>
      <c r="J282" s="335"/>
      <c r="K282" s="335"/>
      <c r="L282" s="317">
        <f t="shared" si="219"/>
        <v>100000</v>
      </c>
      <c r="M282" s="317"/>
      <c r="N282" s="372">
        <f t="shared" si="225"/>
        <v>0</v>
      </c>
      <c r="O282" s="336">
        <f t="shared" si="227"/>
        <v>110000.00000000001</v>
      </c>
      <c r="P282" s="336">
        <f t="shared" si="228"/>
        <v>121000.00000000003</v>
      </c>
      <c r="R282" s="317"/>
      <c r="U282" s="320"/>
    </row>
    <row r="283" spans="1:21" s="312" customFormat="1" outlineLevel="3">
      <c r="A283" s="313"/>
      <c r="B283" s="313"/>
      <c r="C283" s="415">
        <v>2211100</v>
      </c>
      <c r="D283" s="416" t="s">
        <v>51</v>
      </c>
      <c r="E283" s="413">
        <f>E284+E285+E286</f>
        <v>1100000</v>
      </c>
      <c r="F283" s="413">
        <f t="shared" ref="F283:K283" si="237">F284+F285+F286</f>
        <v>0</v>
      </c>
      <c r="G283" s="413">
        <f t="shared" si="237"/>
        <v>0</v>
      </c>
      <c r="H283" s="413">
        <f t="shared" si="237"/>
        <v>0</v>
      </c>
      <c r="I283" s="413">
        <f t="shared" si="237"/>
        <v>1100000</v>
      </c>
      <c r="J283" s="413">
        <f t="shared" si="237"/>
        <v>0</v>
      </c>
      <c r="K283" s="413">
        <f t="shared" si="237"/>
        <v>1000000</v>
      </c>
      <c r="L283" s="317">
        <f t="shared" si="219"/>
        <v>2100000</v>
      </c>
      <c r="M283" s="317"/>
      <c r="N283" s="372">
        <f t="shared" si="225"/>
        <v>-1000000</v>
      </c>
      <c r="O283" s="413">
        <f t="shared" ref="O283:P283" si="238">O284+O285+O286</f>
        <v>2310000</v>
      </c>
      <c r="P283" s="413">
        <f t="shared" si="238"/>
        <v>2541000.0000000005</v>
      </c>
      <c r="R283" s="317"/>
      <c r="U283" s="320"/>
    </row>
    <row r="284" spans="1:21" s="312" customFormat="1" outlineLevel="3">
      <c r="A284" s="313"/>
      <c r="B284" s="313"/>
      <c r="C284" s="417">
        <v>2211101</v>
      </c>
      <c r="D284" s="418" t="s">
        <v>52</v>
      </c>
      <c r="E284" s="410">
        <v>500000</v>
      </c>
      <c r="F284" s="419"/>
      <c r="G284" s="419"/>
      <c r="H284" s="419"/>
      <c r="I284" s="324">
        <f t="shared" si="223"/>
        <v>500000</v>
      </c>
      <c r="J284" s="335"/>
      <c r="K284" s="335"/>
      <c r="L284" s="317">
        <f t="shared" si="219"/>
        <v>500000</v>
      </c>
      <c r="M284" s="317"/>
      <c r="N284" s="372">
        <f t="shared" si="225"/>
        <v>0</v>
      </c>
      <c r="O284" s="336">
        <f t="shared" si="227"/>
        <v>550000</v>
      </c>
      <c r="P284" s="336">
        <f t="shared" si="228"/>
        <v>605000</v>
      </c>
      <c r="R284" s="317"/>
      <c r="U284" s="320"/>
    </row>
    <row r="285" spans="1:21" s="312" customFormat="1" outlineLevel="3">
      <c r="A285" s="313"/>
      <c r="B285" s="313"/>
      <c r="C285" s="417">
        <v>2211102</v>
      </c>
      <c r="D285" s="418" t="s">
        <v>53</v>
      </c>
      <c r="E285" s="410">
        <v>500000</v>
      </c>
      <c r="F285" s="419"/>
      <c r="G285" s="419"/>
      <c r="H285" s="419"/>
      <c r="I285" s="324">
        <f t="shared" si="223"/>
        <v>500000</v>
      </c>
      <c r="J285" s="335"/>
      <c r="K285" s="335">
        <v>1000000</v>
      </c>
      <c r="L285" s="317">
        <f t="shared" si="219"/>
        <v>1500000</v>
      </c>
      <c r="M285" s="317"/>
      <c r="N285" s="372">
        <f t="shared" si="225"/>
        <v>-1000000</v>
      </c>
      <c r="O285" s="336">
        <f t="shared" si="227"/>
        <v>1650000.0000000002</v>
      </c>
      <c r="P285" s="336">
        <f t="shared" si="228"/>
        <v>1815000.0000000005</v>
      </c>
      <c r="R285" s="317"/>
      <c r="U285" s="320"/>
    </row>
    <row r="286" spans="1:21" s="312" customFormat="1" outlineLevel="3">
      <c r="A286" s="313"/>
      <c r="B286" s="313"/>
      <c r="C286" s="417">
        <v>2211103</v>
      </c>
      <c r="D286" s="418" t="s">
        <v>54</v>
      </c>
      <c r="E286" s="410">
        <v>100000</v>
      </c>
      <c r="F286" s="419"/>
      <c r="G286" s="419"/>
      <c r="H286" s="419"/>
      <c r="I286" s="324">
        <f t="shared" si="223"/>
        <v>100000</v>
      </c>
      <c r="J286" s="335"/>
      <c r="K286" s="335"/>
      <c r="L286" s="317">
        <f t="shared" si="219"/>
        <v>100000</v>
      </c>
      <c r="M286" s="317"/>
      <c r="N286" s="372">
        <f t="shared" si="225"/>
        <v>0</v>
      </c>
      <c r="O286" s="336">
        <f t="shared" si="227"/>
        <v>110000.00000000001</v>
      </c>
      <c r="P286" s="336">
        <f t="shared" si="228"/>
        <v>121000.00000000003</v>
      </c>
      <c r="R286" s="317"/>
      <c r="U286" s="320"/>
    </row>
    <row r="287" spans="1:21" s="312" customFormat="1" outlineLevel="3">
      <c r="A287" s="313"/>
      <c r="B287" s="313"/>
      <c r="C287" s="415">
        <v>2211200</v>
      </c>
      <c r="D287" s="416" t="s">
        <v>55</v>
      </c>
      <c r="E287" s="413">
        <f>E288</f>
        <v>200000</v>
      </c>
      <c r="F287" s="413">
        <f t="shared" ref="F287:K287" si="239">F288</f>
        <v>0</v>
      </c>
      <c r="G287" s="413">
        <f t="shared" si="239"/>
        <v>0</v>
      </c>
      <c r="H287" s="413">
        <f t="shared" si="239"/>
        <v>0</v>
      </c>
      <c r="I287" s="413">
        <f t="shared" si="239"/>
        <v>200000</v>
      </c>
      <c r="J287" s="413">
        <f t="shared" si="239"/>
        <v>0</v>
      </c>
      <c r="K287" s="413">
        <f t="shared" si="239"/>
        <v>0</v>
      </c>
      <c r="L287" s="317">
        <f t="shared" si="219"/>
        <v>200000</v>
      </c>
      <c r="M287" s="317"/>
      <c r="N287" s="372">
        <f t="shared" si="225"/>
        <v>0</v>
      </c>
      <c r="O287" s="413">
        <f t="shared" ref="O287:P287" si="240">O288</f>
        <v>220000.00000000003</v>
      </c>
      <c r="P287" s="413">
        <f t="shared" si="240"/>
        <v>242000.00000000006</v>
      </c>
      <c r="R287" s="317"/>
      <c r="U287" s="320"/>
    </row>
    <row r="288" spans="1:21" s="312" customFormat="1" outlineLevel="3">
      <c r="A288" s="313"/>
      <c r="B288" s="313"/>
      <c r="C288" s="417">
        <v>2211201</v>
      </c>
      <c r="D288" s="418" t="s">
        <v>56</v>
      </c>
      <c r="E288" s="410">
        <v>200000</v>
      </c>
      <c r="F288" s="419"/>
      <c r="G288" s="419"/>
      <c r="H288" s="419"/>
      <c r="I288" s="324">
        <f t="shared" si="223"/>
        <v>200000</v>
      </c>
      <c r="J288" s="335"/>
      <c r="K288" s="335"/>
      <c r="L288" s="317">
        <f t="shared" si="219"/>
        <v>200000</v>
      </c>
      <c r="M288" s="317"/>
      <c r="N288" s="372">
        <f t="shared" si="225"/>
        <v>0</v>
      </c>
      <c r="O288" s="336">
        <f t="shared" si="227"/>
        <v>220000.00000000003</v>
      </c>
      <c r="P288" s="336">
        <f t="shared" si="228"/>
        <v>242000.00000000006</v>
      </c>
      <c r="R288" s="317"/>
      <c r="U288" s="320"/>
    </row>
    <row r="289" spans="1:21" s="312" customFormat="1" outlineLevel="3">
      <c r="A289" s="313"/>
      <c r="B289" s="313"/>
      <c r="C289" s="415">
        <v>2220100</v>
      </c>
      <c r="D289" s="416" t="s">
        <v>62</v>
      </c>
      <c r="E289" s="413">
        <f>E290+E291</f>
        <v>200000</v>
      </c>
      <c r="F289" s="413">
        <f t="shared" ref="F289:K289" si="241">F290+F291</f>
        <v>0</v>
      </c>
      <c r="G289" s="413">
        <f t="shared" si="241"/>
        <v>0</v>
      </c>
      <c r="H289" s="413">
        <f t="shared" si="241"/>
        <v>0</v>
      </c>
      <c r="I289" s="413">
        <f t="shared" si="241"/>
        <v>200000</v>
      </c>
      <c r="J289" s="413">
        <f t="shared" si="241"/>
        <v>0</v>
      </c>
      <c r="K289" s="413">
        <f t="shared" si="241"/>
        <v>0</v>
      </c>
      <c r="L289" s="317">
        <f t="shared" si="219"/>
        <v>200000</v>
      </c>
      <c r="M289" s="317"/>
      <c r="N289" s="372">
        <f t="shared" si="225"/>
        <v>0</v>
      </c>
      <c r="O289" s="413">
        <f t="shared" ref="O289:P289" si="242">O290+O291</f>
        <v>220000.00000000003</v>
      </c>
      <c r="P289" s="413">
        <f t="shared" si="242"/>
        <v>242000.00000000006</v>
      </c>
      <c r="R289" s="317"/>
      <c r="U289" s="320"/>
    </row>
    <row r="290" spans="1:21" s="312" customFormat="1" outlineLevel="3">
      <c r="A290" s="313"/>
      <c r="B290" s="313"/>
      <c r="C290" s="417">
        <v>2220101</v>
      </c>
      <c r="D290" s="418" t="s">
        <v>250</v>
      </c>
      <c r="E290" s="410">
        <v>100000</v>
      </c>
      <c r="F290" s="419"/>
      <c r="G290" s="419"/>
      <c r="H290" s="419"/>
      <c r="I290" s="324">
        <f t="shared" si="223"/>
        <v>100000</v>
      </c>
      <c r="J290" s="335"/>
      <c r="K290" s="335"/>
      <c r="L290" s="317">
        <f t="shared" si="219"/>
        <v>100000</v>
      </c>
      <c r="M290" s="317"/>
      <c r="N290" s="372">
        <f t="shared" si="225"/>
        <v>0</v>
      </c>
      <c r="O290" s="336">
        <f t="shared" si="227"/>
        <v>110000.00000000001</v>
      </c>
      <c r="P290" s="336">
        <f t="shared" si="228"/>
        <v>121000.00000000003</v>
      </c>
      <c r="R290" s="317"/>
      <c r="U290" s="320"/>
    </row>
    <row r="291" spans="1:21" s="312" customFormat="1" outlineLevel="3">
      <c r="A291" s="313"/>
      <c r="B291" s="313"/>
      <c r="C291" s="401">
        <v>2220105</v>
      </c>
      <c r="D291" s="402" t="s">
        <v>404</v>
      </c>
      <c r="E291" s="410">
        <v>100000</v>
      </c>
      <c r="F291" s="333"/>
      <c r="G291" s="333"/>
      <c r="H291" s="333"/>
      <c r="I291" s="324">
        <f t="shared" si="223"/>
        <v>100000</v>
      </c>
      <c r="J291" s="335"/>
      <c r="K291" s="335"/>
      <c r="L291" s="317">
        <f t="shared" si="219"/>
        <v>100000</v>
      </c>
      <c r="M291" s="317"/>
      <c r="N291" s="372">
        <f t="shared" si="225"/>
        <v>0</v>
      </c>
      <c r="O291" s="336">
        <f t="shared" si="227"/>
        <v>110000.00000000001</v>
      </c>
      <c r="P291" s="336">
        <f t="shared" si="228"/>
        <v>121000.00000000003</v>
      </c>
      <c r="R291" s="317"/>
      <c r="U291" s="320"/>
    </row>
    <row r="292" spans="1:21" s="312" customFormat="1" outlineLevel="3">
      <c r="A292" s="313"/>
      <c r="B292" s="313"/>
      <c r="C292" s="415">
        <v>3111000</v>
      </c>
      <c r="D292" s="416" t="s">
        <v>69</v>
      </c>
      <c r="E292" s="413">
        <f>E293+E294</f>
        <v>200000</v>
      </c>
      <c r="F292" s="413">
        <f t="shared" ref="F292:K292" si="243">F293+F294</f>
        <v>0</v>
      </c>
      <c r="G292" s="413">
        <f t="shared" si="243"/>
        <v>0</v>
      </c>
      <c r="H292" s="413">
        <f t="shared" si="243"/>
        <v>0</v>
      </c>
      <c r="I292" s="413">
        <f t="shared" si="243"/>
        <v>200000</v>
      </c>
      <c r="J292" s="413">
        <f t="shared" si="243"/>
        <v>0</v>
      </c>
      <c r="K292" s="413">
        <f t="shared" si="243"/>
        <v>0</v>
      </c>
      <c r="L292" s="317">
        <f t="shared" si="219"/>
        <v>200000</v>
      </c>
      <c r="M292" s="317"/>
      <c r="N292" s="372">
        <f t="shared" si="225"/>
        <v>0</v>
      </c>
      <c r="O292" s="413">
        <f t="shared" ref="O292:P292" si="244">O293+O294</f>
        <v>220000.00000000003</v>
      </c>
      <c r="P292" s="413">
        <f t="shared" si="244"/>
        <v>242000.00000000006</v>
      </c>
      <c r="R292" s="317"/>
      <c r="U292" s="320"/>
    </row>
    <row r="293" spans="1:21" s="312" customFormat="1" outlineLevel="3">
      <c r="A293" s="313"/>
      <c r="B293" s="313"/>
      <c r="C293" s="417" t="s">
        <v>98</v>
      </c>
      <c r="D293" s="418" t="s">
        <v>70</v>
      </c>
      <c r="E293" s="410">
        <v>100000</v>
      </c>
      <c r="F293" s="419"/>
      <c r="G293" s="419"/>
      <c r="H293" s="419"/>
      <c r="I293" s="324">
        <f t="shared" si="223"/>
        <v>100000</v>
      </c>
      <c r="J293" s="335"/>
      <c r="K293" s="335"/>
      <c r="L293" s="317">
        <f t="shared" si="219"/>
        <v>100000</v>
      </c>
      <c r="M293" s="317"/>
      <c r="N293" s="372">
        <f t="shared" si="225"/>
        <v>0</v>
      </c>
      <c r="O293" s="336">
        <f t="shared" si="227"/>
        <v>110000.00000000001</v>
      </c>
      <c r="P293" s="336">
        <f t="shared" si="228"/>
        <v>121000.00000000003</v>
      </c>
      <c r="R293" s="317"/>
      <c r="U293" s="320"/>
    </row>
    <row r="294" spans="1:21" s="312" customFormat="1" outlineLevel="3">
      <c r="A294" s="313"/>
      <c r="B294" s="313"/>
      <c r="C294" s="417">
        <v>3111002</v>
      </c>
      <c r="D294" s="418" t="s">
        <v>71</v>
      </c>
      <c r="E294" s="410">
        <v>100000</v>
      </c>
      <c r="F294" s="419"/>
      <c r="G294" s="419"/>
      <c r="H294" s="419"/>
      <c r="I294" s="324">
        <f t="shared" si="223"/>
        <v>100000</v>
      </c>
      <c r="J294" s="335"/>
      <c r="K294" s="335"/>
      <c r="L294" s="317">
        <f t="shared" si="219"/>
        <v>100000</v>
      </c>
      <c r="M294" s="317"/>
      <c r="N294" s="372">
        <f t="shared" si="225"/>
        <v>0</v>
      </c>
      <c r="O294" s="336">
        <f t="shared" si="227"/>
        <v>110000.00000000001</v>
      </c>
      <c r="P294" s="336">
        <f t="shared" si="228"/>
        <v>121000.00000000003</v>
      </c>
      <c r="R294" s="317"/>
      <c r="U294" s="320"/>
    </row>
    <row r="295" spans="1:21" s="312" customFormat="1" outlineLevel="3">
      <c r="A295" s="313"/>
      <c r="B295" s="313"/>
      <c r="C295" s="423">
        <v>3111400</v>
      </c>
      <c r="D295" s="424" t="s">
        <v>531</v>
      </c>
      <c r="E295" s="413">
        <f>E296</f>
        <v>500000</v>
      </c>
      <c r="F295" s="413">
        <f t="shared" ref="F295:K295" si="245">F296</f>
        <v>0</v>
      </c>
      <c r="G295" s="413">
        <f t="shared" si="245"/>
        <v>0</v>
      </c>
      <c r="H295" s="413">
        <f t="shared" si="245"/>
        <v>0</v>
      </c>
      <c r="I295" s="413">
        <f t="shared" si="245"/>
        <v>500000</v>
      </c>
      <c r="J295" s="413">
        <f t="shared" si="245"/>
        <v>0</v>
      </c>
      <c r="K295" s="413">
        <f t="shared" si="245"/>
        <v>0</v>
      </c>
      <c r="L295" s="317">
        <f t="shared" si="219"/>
        <v>500000</v>
      </c>
      <c r="M295" s="317"/>
      <c r="N295" s="372">
        <f t="shared" si="225"/>
        <v>0</v>
      </c>
      <c r="O295" s="413">
        <f t="shared" ref="O295:P295" si="246">O296</f>
        <v>550000</v>
      </c>
      <c r="P295" s="413">
        <f t="shared" si="246"/>
        <v>605000</v>
      </c>
      <c r="R295" s="317"/>
      <c r="U295" s="320"/>
    </row>
    <row r="296" spans="1:21" s="312" customFormat="1" outlineLevel="3">
      <c r="A296" s="313"/>
      <c r="B296" s="313"/>
      <c r="C296" s="425">
        <v>3111403</v>
      </c>
      <c r="D296" s="426" t="s">
        <v>1552</v>
      </c>
      <c r="E296" s="410">
        <f>1500000-1000000</f>
        <v>500000</v>
      </c>
      <c r="F296" s="427"/>
      <c r="G296" s="427"/>
      <c r="H296" s="427"/>
      <c r="I296" s="324">
        <f t="shared" si="223"/>
        <v>500000</v>
      </c>
      <c r="J296" s="335"/>
      <c r="K296" s="335"/>
      <c r="L296" s="317">
        <f t="shared" si="219"/>
        <v>500000</v>
      </c>
      <c r="M296" s="317"/>
      <c r="N296" s="372">
        <f t="shared" si="225"/>
        <v>0</v>
      </c>
      <c r="O296" s="336">
        <f t="shared" si="227"/>
        <v>550000</v>
      </c>
      <c r="P296" s="336">
        <f t="shared" si="228"/>
        <v>605000</v>
      </c>
      <c r="R296" s="317"/>
      <c r="U296" s="320"/>
    </row>
    <row r="297" spans="1:21" s="312" customFormat="1" outlineLevel="3">
      <c r="A297" s="313"/>
      <c r="B297" s="313"/>
      <c r="C297" s="428"/>
      <c r="D297" s="429"/>
      <c r="E297" s="430">
        <f>E298</f>
        <v>0</v>
      </c>
      <c r="F297" s="430"/>
      <c r="G297" s="430"/>
      <c r="H297" s="430"/>
      <c r="I297" s="324">
        <f t="shared" si="223"/>
        <v>0</v>
      </c>
      <c r="J297" s="335"/>
      <c r="K297" s="335"/>
      <c r="L297" s="317">
        <f t="shared" si="219"/>
        <v>0</v>
      </c>
      <c r="M297" s="317"/>
      <c r="N297" s="372">
        <f t="shared" si="225"/>
        <v>0</v>
      </c>
      <c r="O297" s="431">
        <f t="shared" ref="O297:P297" si="247">O298</f>
        <v>0</v>
      </c>
      <c r="P297" s="431">
        <f t="shared" si="247"/>
        <v>0</v>
      </c>
      <c r="R297" s="317"/>
      <c r="U297" s="320"/>
    </row>
    <row r="298" spans="1:21" s="312" customFormat="1" outlineLevel="3">
      <c r="A298" s="313"/>
      <c r="B298" s="313"/>
      <c r="C298" s="420"/>
      <c r="D298" s="432"/>
      <c r="E298" s="433"/>
      <c r="F298" s="433"/>
      <c r="G298" s="433"/>
      <c r="H298" s="433"/>
      <c r="I298" s="324">
        <f t="shared" si="223"/>
        <v>0</v>
      </c>
      <c r="J298" s="335"/>
      <c r="K298" s="335"/>
      <c r="L298" s="317">
        <f t="shared" si="219"/>
        <v>0</v>
      </c>
      <c r="M298" s="317"/>
      <c r="N298" s="372">
        <f t="shared" si="225"/>
        <v>0</v>
      </c>
      <c r="O298" s="336">
        <f t="shared" si="227"/>
        <v>0</v>
      </c>
      <c r="P298" s="336">
        <f t="shared" si="228"/>
        <v>0</v>
      </c>
      <c r="R298" s="317"/>
      <c r="U298" s="320"/>
    </row>
    <row r="299" spans="1:21" s="312" customFormat="1" outlineLevel="1">
      <c r="A299" s="313"/>
      <c r="B299" s="313"/>
      <c r="C299" s="416"/>
      <c r="D299" s="443" t="s">
        <v>99</v>
      </c>
      <c r="E299" s="413">
        <f>E297+E295+E292+E289+E287+E283+E280+E273+E271+E267+E264</f>
        <v>5600000</v>
      </c>
      <c r="F299" s="413">
        <f t="shared" ref="F299:K299" si="248">F297+F295+F292+F289+F287+F283+F280+F273+F271+F267+F264</f>
        <v>0</v>
      </c>
      <c r="G299" s="413">
        <f t="shared" si="248"/>
        <v>0</v>
      </c>
      <c r="H299" s="413">
        <f t="shared" si="248"/>
        <v>0</v>
      </c>
      <c r="I299" s="413">
        <f t="shared" si="248"/>
        <v>5600000</v>
      </c>
      <c r="J299" s="413">
        <f t="shared" si="248"/>
        <v>0</v>
      </c>
      <c r="K299" s="413">
        <f t="shared" si="248"/>
        <v>1650000</v>
      </c>
      <c r="L299" s="317">
        <f t="shared" si="219"/>
        <v>7250000</v>
      </c>
      <c r="M299" s="317"/>
      <c r="N299" s="372">
        <f t="shared" si="225"/>
        <v>-1650000</v>
      </c>
      <c r="O299" s="413">
        <f t="shared" ref="O299:P299" si="249">O297+O295+O292+O289+O287+O283+O280+O273+O271+O267+O264</f>
        <v>7975000</v>
      </c>
      <c r="P299" s="413">
        <f t="shared" si="249"/>
        <v>8772500</v>
      </c>
      <c r="R299" s="317"/>
      <c r="U299" s="320"/>
    </row>
    <row r="300" spans="1:21" s="312" customFormat="1" outlineLevel="1">
      <c r="A300" s="313"/>
      <c r="B300" s="313"/>
      <c r="C300" s="416"/>
      <c r="D300" s="443" t="s">
        <v>84</v>
      </c>
      <c r="E300" s="413">
        <f>E299</f>
        <v>5600000</v>
      </c>
      <c r="F300" s="413">
        <f t="shared" ref="F300:K300" si="250">F299</f>
        <v>0</v>
      </c>
      <c r="G300" s="413">
        <f t="shared" si="250"/>
        <v>0</v>
      </c>
      <c r="H300" s="413">
        <f t="shared" si="250"/>
        <v>0</v>
      </c>
      <c r="I300" s="413">
        <f t="shared" si="250"/>
        <v>5600000</v>
      </c>
      <c r="J300" s="413">
        <f t="shared" si="250"/>
        <v>0</v>
      </c>
      <c r="K300" s="413">
        <f t="shared" si="250"/>
        <v>1650000</v>
      </c>
      <c r="L300" s="317">
        <f t="shared" si="219"/>
        <v>7250000</v>
      </c>
      <c r="M300" s="317"/>
      <c r="N300" s="372">
        <f t="shared" si="225"/>
        <v>-1650000</v>
      </c>
      <c r="O300" s="413">
        <f t="shared" ref="O300:P300" si="251">O299</f>
        <v>7975000</v>
      </c>
      <c r="P300" s="413">
        <f t="shared" si="251"/>
        <v>8772500</v>
      </c>
      <c r="R300" s="317"/>
      <c r="U300" s="320"/>
    </row>
    <row r="301" spans="1:21" s="312" customFormat="1" outlineLevel="1">
      <c r="A301" s="313"/>
      <c r="B301" s="313"/>
      <c r="C301" s="444"/>
      <c r="D301" s="445" t="s">
        <v>1553</v>
      </c>
      <c r="E301" s="430">
        <f>E299+E217+E177+E134+E72+E260</f>
        <v>894658023</v>
      </c>
      <c r="F301" s="430">
        <f t="shared" ref="F301:K301" si="252">F299+F217+F177+F134+F72+F260</f>
        <v>0</v>
      </c>
      <c r="G301" s="430">
        <f t="shared" si="252"/>
        <v>104650365</v>
      </c>
      <c r="H301" s="430">
        <f t="shared" si="252"/>
        <v>1000000</v>
      </c>
      <c r="I301" s="430">
        <f t="shared" si="252"/>
        <v>1000308388</v>
      </c>
      <c r="J301" s="430">
        <f t="shared" si="252"/>
        <v>-7000000</v>
      </c>
      <c r="K301" s="430">
        <f t="shared" si="252"/>
        <v>-5263429</v>
      </c>
      <c r="L301" s="317">
        <f t="shared" si="219"/>
        <v>988044959</v>
      </c>
      <c r="M301" s="317"/>
      <c r="N301" s="372">
        <f t="shared" si="225"/>
        <v>5263429</v>
      </c>
      <c r="O301" s="430">
        <f t="shared" ref="O301:P301" si="253">O299+O217+O177+O134+O72+O260</f>
        <v>1086443454.9000001</v>
      </c>
      <c r="P301" s="430">
        <f t="shared" si="253"/>
        <v>1194681800.3900003</v>
      </c>
      <c r="R301" s="317"/>
      <c r="U301" s="320"/>
    </row>
    <row r="302" spans="1:21" s="312" customFormat="1" outlineLevel="1">
      <c r="A302" s="313"/>
      <c r="B302" s="313"/>
      <c r="C302" s="444"/>
      <c r="D302" s="445" t="s">
        <v>1554</v>
      </c>
      <c r="E302" s="430">
        <f>E86</f>
        <v>798774535</v>
      </c>
      <c r="F302" s="430">
        <f t="shared" ref="F302:P302" si="254">F86</f>
        <v>156798932.5</v>
      </c>
      <c r="G302" s="430">
        <f t="shared" si="254"/>
        <v>0</v>
      </c>
      <c r="H302" s="430">
        <f t="shared" si="254"/>
        <v>0</v>
      </c>
      <c r="I302" s="430">
        <f t="shared" si="254"/>
        <v>955573467.5</v>
      </c>
      <c r="J302" s="430">
        <f t="shared" si="254"/>
        <v>0</v>
      </c>
      <c r="K302" s="430">
        <f t="shared" si="254"/>
        <v>0</v>
      </c>
      <c r="L302" s="317">
        <f t="shared" si="219"/>
        <v>955573467.5</v>
      </c>
      <c r="M302" s="317"/>
      <c r="N302" s="372">
        <f t="shared" si="225"/>
        <v>0</v>
      </c>
      <c r="O302" s="430">
        <f t="shared" si="254"/>
        <v>1049343314.25</v>
      </c>
      <c r="P302" s="430">
        <f t="shared" si="254"/>
        <v>1154277645.675</v>
      </c>
      <c r="R302" s="317"/>
      <c r="U302" s="320"/>
    </row>
    <row r="303" spans="1:21" s="446" customFormat="1" outlineLevel="1">
      <c r="A303" s="447"/>
      <c r="B303" s="447"/>
      <c r="C303" s="383"/>
      <c r="D303" s="443" t="s">
        <v>1555</v>
      </c>
      <c r="E303" s="384">
        <f>E301+E302</f>
        <v>1693432558</v>
      </c>
      <c r="F303" s="384">
        <f t="shared" ref="F303:P303" si="255">F301+F302</f>
        <v>156798932.5</v>
      </c>
      <c r="G303" s="384">
        <f t="shared" si="255"/>
        <v>104650365</v>
      </c>
      <c r="H303" s="384">
        <f t="shared" si="255"/>
        <v>1000000</v>
      </c>
      <c r="I303" s="384">
        <f t="shared" si="255"/>
        <v>1955881855.5</v>
      </c>
      <c r="J303" s="384">
        <f t="shared" si="255"/>
        <v>-7000000</v>
      </c>
      <c r="K303" s="384">
        <f t="shared" si="255"/>
        <v>-5263429</v>
      </c>
      <c r="L303" s="317">
        <f t="shared" si="219"/>
        <v>1943618426.5</v>
      </c>
      <c r="M303" s="317"/>
      <c r="N303" s="372">
        <f t="shared" si="225"/>
        <v>5263429</v>
      </c>
      <c r="O303" s="384">
        <f t="shared" si="255"/>
        <v>2135786769.1500001</v>
      </c>
      <c r="P303" s="384">
        <f t="shared" si="255"/>
        <v>2348959446.0650005</v>
      </c>
      <c r="R303" s="317"/>
      <c r="U303" s="320" t="s">
        <v>1803</v>
      </c>
    </row>
    <row r="304" spans="1:21" s="446" customFormat="1" outlineLevel="1">
      <c r="A304" s="447"/>
      <c r="B304" s="447"/>
      <c r="C304" s="383"/>
      <c r="D304" s="443"/>
      <c r="E304" s="384"/>
      <c r="F304" s="448"/>
      <c r="G304" s="448"/>
      <c r="H304" s="448"/>
      <c r="I304" s="324">
        <f t="shared" si="223"/>
        <v>0</v>
      </c>
      <c r="J304" s="335"/>
      <c r="K304" s="335"/>
      <c r="L304" s="317">
        <f t="shared" si="219"/>
        <v>0</v>
      </c>
      <c r="M304" s="317"/>
      <c r="N304" s="372">
        <f t="shared" si="225"/>
        <v>0</v>
      </c>
      <c r="O304" s="395"/>
      <c r="P304" s="395"/>
      <c r="R304" s="317"/>
      <c r="U304" s="320"/>
    </row>
    <row r="305" spans="1:21" s="446" customFormat="1" outlineLevel="1">
      <c r="A305" s="447"/>
      <c r="B305" s="447"/>
      <c r="C305" s="383" t="s">
        <v>1559</v>
      </c>
      <c r="D305" s="383"/>
      <c r="E305" s="333"/>
      <c r="F305" s="316"/>
      <c r="G305" s="316"/>
      <c r="H305" s="316"/>
      <c r="I305" s="324">
        <f t="shared" si="223"/>
        <v>0</v>
      </c>
      <c r="J305" s="335"/>
      <c r="K305" s="335"/>
      <c r="L305" s="317">
        <f t="shared" si="219"/>
        <v>0</v>
      </c>
      <c r="M305" s="317"/>
      <c r="N305" s="372">
        <f t="shared" si="225"/>
        <v>0</v>
      </c>
      <c r="O305" s="395"/>
      <c r="P305" s="395"/>
      <c r="R305" s="317"/>
      <c r="U305" s="320"/>
    </row>
    <row r="306" spans="1:21" s="446" customFormat="1" outlineLevel="1">
      <c r="A306" s="447"/>
      <c r="B306" s="447"/>
      <c r="C306" s="383" t="s">
        <v>1560</v>
      </c>
      <c r="D306" s="383"/>
      <c r="E306" s="329"/>
      <c r="F306" s="316"/>
      <c r="G306" s="316"/>
      <c r="H306" s="316"/>
      <c r="I306" s="324">
        <f t="shared" si="223"/>
        <v>0</v>
      </c>
      <c r="J306" s="335"/>
      <c r="K306" s="335"/>
      <c r="L306" s="317">
        <f t="shared" si="219"/>
        <v>0</v>
      </c>
      <c r="M306" s="317"/>
      <c r="N306" s="372">
        <f t="shared" si="225"/>
        <v>0</v>
      </c>
      <c r="O306" s="395"/>
      <c r="P306" s="395"/>
      <c r="R306" s="317"/>
      <c r="U306" s="320"/>
    </row>
    <row r="307" spans="1:21" s="446" customFormat="1" outlineLevel="1">
      <c r="A307" s="447"/>
      <c r="B307" s="447"/>
      <c r="C307" s="339">
        <v>2210200</v>
      </c>
      <c r="D307" s="343" t="s">
        <v>20</v>
      </c>
      <c r="E307" s="329">
        <f>E308+E309</f>
        <v>360000</v>
      </c>
      <c r="F307" s="329">
        <f t="shared" ref="F307:P307" si="256">F308+F309</f>
        <v>0</v>
      </c>
      <c r="G307" s="329">
        <f t="shared" si="256"/>
        <v>0</v>
      </c>
      <c r="H307" s="329">
        <f t="shared" si="256"/>
        <v>0</v>
      </c>
      <c r="I307" s="329">
        <f t="shared" si="256"/>
        <v>360000</v>
      </c>
      <c r="J307" s="329">
        <f t="shared" si="256"/>
        <v>0</v>
      </c>
      <c r="K307" s="329">
        <f t="shared" si="256"/>
        <v>0</v>
      </c>
      <c r="L307" s="317">
        <f t="shared" si="219"/>
        <v>360000</v>
      </c>
      <c r="M307" s="317"/>
      <c r="N307" s="372">
        <f t="shared" si="225"/>
        <v>0</v>
      </c>
      <c r="O307" s="329">
        <f t="shared" si="256"/>
        <v>396000</v>
      </c>
      <c r="P307" s="329">
        <f t="shared" si="256"/>
        <v>435600</v>
      </c>
      <c r="R307" s="317"/>
      <c r="U307" s="320"/>
    </row>
    <row r="308" spans="1:21" s="446" customFormat="1" outlineLevel="1">
      <c r="A308" s="447"/>
      <c r="B308" s="447"/>
      <c r="C308" s="331">
        <v>2210201</v>
      </c>
      <c r="D308" s="341" t="s">
        <v>21</v>
      </c>
      <c r="E308" s="334">
        <f>30000*12-100000</f>
        <v>260000</v>
      </c>
      <c r="F308" s="334"/>
      <c r="G308" s="334"/>
      <c r="H308" s="334"/>
      <c r="I308" s="324">
        <f t="shared" si="223"/>
        <v>260000</v>
      </c>
      <c r="J308" s="335"/>
      <c r="K308" s="335"/>
      <c r="L308" s="317">
        <f t="shared" si="219"/>
        <v>260000</v>
      </c>
      <c r="M308" s="317"/>
      <c r="N308" s="372">
        <f t="shared" si="225"/>
        <v>0</v>
      </c>
      <c r="O308" s="336">
        <f t="shared" ref="O308:O309" si="257">L308*1.1</f>
        <v>286000</v>
      </c>
      <c r="P308" s="336">
        <f t="shared" ref="P308:P309" si="258">O308*1.1</f>
        <v>314600</v>
      </c>
      <c r="R308" s="317"/>
      <c r="U308" s="320"/>
    </row>
    <row r="309" spans="1:21" s="446" customFormat="1" outlineLevel="1">
      <c r="A309" s="447"/>
      <c r="B309" s="447"/>
      <c r="C309" s="331">
        <v>2210202</v>
      </c>
      <c r="D309" s="341" t="s">
        <v>22</v>
      </c>
      <c r="E309" s="334">
        <v>100000</v>
      </c>
      <c r="F309" s="334"/>
      <c r="G309" s="334"/>
      <c r="H309" s="334"/>
      <c r="I309" s="324">
        <f t="shared" si="223"/>
        <v>100000</v>
      </c>
      <c r="J309" s="335"/>
      <c r="K309" s="335"/>
      <c r="L309" s="317">
        <f t="shared" si="219"/>
        <v>100000</v>
      </c>
      <c r="M309" s="317"/>
      <c r="N309" s="372">
        <f t="shared" si="225"/>
        <v>0</v>
      </c>
      <c r="O309" s="336">
        <f t="shared" si="257"/>
        <v>110000.00000000001</v>
      </c>
      <c r="P309" s="336">
        <f t="shared" si="258"/>
        <v>121000.00000000003</v>
      </c>
      <c r="R309" s="317"/>
      <c r="U309" s="320"/>
    </row>
    <row r="310" spans="1:21" s="446" customFormat="1" outlineLevel="1">
      <c r="A310" s="447"/>
      <c r="B310" s="447"/>
      <c r="C310" s="339">
        <v>2210300</v>
      </c>
      <c r="D310" s="343" t="s">
        <v>24</v>
      </c>
      <c r="E310" s="329">
        <f>E311+E312+E313</f>
        <v>2616000</v>
      </c>
      <c r="F310" s="329">
        <f t="shared" ref="F310:K310" si="259">F311+F312+F313</f>
        <v>0</v>
      </c>
      <c r="G310" s="329">
        <f t="shared" si="259"/>
        <v>0</v>
      </c>
      <c r="H310" s="329">
        <f t="shared" si="259"/>
        <v>0</v>
      </c>
      <c r="I310" s="329">
        <f t="shared" si="259"/>
        <v>2616000</v>
      </c>
      <c r="J310" s="329">
        <f t="shared" si="259"/>
        <v>0</v>
      </c>
      <c r="K310" s="329">
        <f t="shared" si="259"/>
        <v>0</v>
      </c>
      <c r="L310" s="317">
        <f t="shared" si="219"/>
        <v>2616000</v>
      </c>
      <c r="M310" s="317"/>
      <c r="N310" s="372">
        <f t="shared" si="225"/>
        <v>0</v>
      </c>
      <c r="O310" s="329">
        <f t="shared" ref="O310:P310" si="260">O311+O312+O313</f>
        <v>2877600</v>
      </c>
      <c r="P310" s="329">
        <f t="shared" si="260"/>
        <v>3165360.0000000009</v>
      </c>
      <c r="R310" s="317"/>
      <c r="U310" s="320"/>
    </row>
    <row r="311" spans="1:21" s="446" customFormat="1" outlineLevel="1">
      <c r="A311" s="447"/>
      <c r="B311" s="447"/>
      <c r="C311" s="331">
        <v>2210301</v>
      </c>
      <c r="D311" s="341" t="s">
        <v>25</v>
      </c>
      <c r="E311" s="334">
        <v>800000</v>
      </c>
      <c r="F311" s="334"/>
      <c r="G311" s="334"/>
      <c r="H311" s="334"/>
      <c r="I311" s="324">
        <f t="shared" si="223"/>
        <v>800000</v>
      </c>
      <c r="J311" s="335"/>
      <c r="K311" s="335"/>
      <c r="L311" s="317">
        <f t="shared" si="219"/>
        <v>800000</v>
      </c>
      <c r="M311" s="317"/>
      <c r="N311" s="372">
        <f t="shared" si="225"/>
        <v>0</v>
      </c>
      <c r="O311" s="336">
        <f t="shared" ref="O311:O313" si="261">L311*1.1</f>
        <v>880000.00000000012</v>
      </c>
      <c r="P311" s="336">
        <f t="shared" ref="P311:P313" si="262">O311*1.1</f>
        <v>968000.00000000023</v>
      </c>
      <c r="R311" s="317"/>
      <c r="U311" s="320"/>
    </row>
    <row r="312" spans="1:21" s="446" customFormat="1" outlineLevel="1">
      <c r="A312" s="447"/>
      <c r="B312" s="447"/>
      <c r="C312" s="331">
        <v>2210302</v>
      </c>
      <c r="D312" s="341" t="s">
        <v>26</v>
      </c>
      <c r="E312" s="334">
        <f>406000+1000000-800000</f>
        <v>606000</v>
      </c>
      <c r="F312" s="334"/>
      <c r="G312" s="334"/>
      <c r="H312" s="334"/>
      <c r="I312" s="324">
        <f t="shared" si="223"/>
        <v>606000</v>
      </c>
      <c r="J312" s="335"/>
      <c r="K312" s="335"/>
      <c r="L312" s="317">
        <f t="shared" si="219"/>
        <v>606000</v>
      </c>
      <c r="M312" s="317"/>
      <c r="N312" s="372">
        <f t="shared" si="225"/>
        <v>0</v>
      </c>
      <c r="O312" s="336">
        <f t="shared" si="261"/>
        <v>666600</v>
      </c>
      <c r="P312" s="336">
        <f t="shared" si="262"/>
        <v>733260.00000000012</v>
      </c>
      <c r="R312" s="317"/>
      <c r="U312" s="320"/>
    </row>
    <row r="313" spans="1:21" s="446" customFormat="1" outlineLevel="1">
      <c r="A313" s="447"/>
      <c r="B313" s="447"/>
      <c r="C313" s="331">
        <v>2210303</v>
      </c>
      <c r="D313" s="341" t="s">
        <v>27</v>
      </c>
      <c r="E313" s="334">
        <f>348000+372000+490000</f>
        <v>1210000</v>
      </c>
      <c r="F313" s="334"/>
      <c r="G313" s="334"/>
      <c r="H313" s="334"/>
      <c r="I313" s="324">
        <f t="shared" si="223"/>
        <v>1210000</v>
      </c>
      <c r="J313" s="335"/>
      <c r="K313" s="335"/>
      <c r="L313" s="317">
        <f t="shared" si="219"/>
        <v>1210000</v>
      </c>
      <c r="M313" s="317"/>
      <c r="N313" s="372">
        <f t="shared" si="225"/>
        <v>0</v>
      </c>
      <c r="O313" s="336">
        <f t="shared" si="261"/>
        <v>1331000</v>
      </c>
      <c r="P313" s="336">
        <f t="shared" si="262"/>
        <v>1464100.0000000002</v>
      </c>
      <c r="R313" s="317"/>
      <c r="U313" s="320"/>
    </row>
    <row r="314" spans="1:21" s="446" customFormat="1" outlineLevel="1">
      <c r="A314" s="447"/>
      <c r="B314" s="447"/>
      <c r="C314" s="339">
        <v>2210400</v>
      </c>
      <c r="D314" s="343" t="s">
        <v>29</v>
      </c>
      <c r="E314" s="329">
        <f>E315+E316+E317</f>
        <v>740000</v>
      </c>
      <c r="F314" s="329">
        <f t="shared" ref="F314:K314" si="263">F315+F316+F317</f>
        <v>0</v>
      </c>
      <c r="G314" s="329">
        <f t="shared" si="263"/>
        <v>0</v>
      </c>
      <c r="H314" s="329">
        <f t="shared" si="263"/>
        <v>0</v>
      </c>
      <c r="I314" s="329">
        <f t="shared" si="263"/>
        <v>740000</v>
      </c>
      <c r="J314" s="329">
        <f t="shared" si="263"/>
        <v>0</v>
      </c>
      <c r="K314" s="329">
        <f t="shared" si="263"/>
        <v>-740000</v>
      </c>
      <c r="L314" s="317">
        <f t="shared" si="219"/>
        <v>0</v>
      </c>
      <c r="M314" s="317"/>
      <c r="N314" s="372">
        <f t="shared" si="225"/>
        <v>740000</v>
      </c>
      <c r="O314" s="329">
        <f t="shared" ref="O314:P314" si="264">O315+O316+O317</f>
        <v>0</v>
      </c>
      <c r="P314" s="329">
        <f t="shared" si="264"/>
        <v>0</v>
      </c>
      <c r="R314" s="317"/>
      <c r="U314" s="320"/>
    </row>
    <row r="315" spans="1:21" s="446" customFormat="1" outlineLevel="1">
      <c r="A315" s="447"/>
      <c r="B315" s="447"/>
      <c r="C315" s="331">
        <v>2210401</v>
      </c>
      <c r="D315" s="341" t="s">
        <v>25</v>
      </c>
      <c r="E315" s="334">
        <f>580000-300000</f>
        <v>280000</v>
      </c>
      <c r="F315" s="334"/>
      <c r="G315" s="334"/>
      <c r="H315" s="334"/>
      <c r="I315" s="324">
        <f t="shared" si="223"/>
        <v>280000</v>
      </c>
      <c r="J315" s="335"/>
      <c r="K315" s="335">
        <v>-280000</v>
      </c>
      <c r="L315" s="317">
        <f t="shared" si="219"/>
        <v>0</v>
      </c>
      <c r="M315" s="317"/>
      <c r="N315" s="372">
        <f t="shared" si="225"/>
        <v>280000</v>
      </c>
      <c r="O315" s="336">
        <f t="shared" ref="O315:O317" si="265">L315*1.1</f>
        <v>0</v>
      </c>
      <c r="P315" s="336">
        <f t="shared" ref="P315:P317" si="266">O315*1.1</f>
        <v>0</v>
      </c>
      <c r="R315" s="317"/>
      <c r="U315" s="320"/>
    </row>
    <row r="316" spans="1:21" s="446" customFormat="1" outlineLevel="1">
      <c r="A316" s="447"/>
      <c r="B316" s="447"/>
      <c r="C316" s="331">
        <v>2210402</v>
      </c>
      <c r="D316" s="341" t="s">
        <v>30</v>
      </c>
      <c r="E316" s="334">
        <f>870000-500000</f>
        <v>370000</v>
      </c>
      <c r="F316" s="334"/>
      <c r="G316" s="334"/>
      <c r="H316" s="334"/>
      <c r="I316" s="324">
        <f t="shared" si="223"/>
        <v>370000</v>
      </c>
      <c r="J316" s="335"/>
      <c r="K316" s="335">
        <v>-370000</v>
      </c>
      <c r="L316" s="317">
        <f t="shared" si="219"/>
        <v>0</v>
      </c>
      <c r="M316" s="317"/>
      <c r="N316" s="372">
        <f t="shared" si="225"/>
        <v>370000</v>
      </c>
      <c r="O316" s="336">
        <f t="shared" si="265"/>
        <v>0</v>
      </c>
      <c r="P316" s="336">
        <f t="shared" si="266"/>
        <v>0</v>
      </c>
      <c r="R316" s="317"/>
      <c r="U316" s="320"/>
    </row>
    <row r="317" spans="1:21" s="446" customFormat="1" outlineLevel="1">
      <c r="A317" s="447"/>
      <c r="B317" s="447"/>
      <c r="C317" s="331">
        <v>2210404</v>
      </c>
      <c r="D317" s="341" t="s">
        <v>28</v>
      </c>
      <c r="E317" s="334">
        <f>290000-200000</f>
        <v>90000</v>
      </c>
      <c r="F317" s="334"/>
      <c r="G317" s="334"/>
      <c r="H317" s="334"/>
      <c r="I317" s="324">
        <f t="shared" si="223"/>
        <v>90000</v>
      </c>
      <c r="J317" s="335"/>
      <c r="K317" s="335">
        <v>-90000</v>
      </c>
      <c r="L317" s="317">
        <f t="shared" si="219"/>
        <v>0</v>
      </c>
      <c r="M317" s="317"/>
      <c r="N317" s="372">
        <f t="shared" si="225"/>
        <v>90000</v>
      </c>
      <c r="O317" s="336">
        <f t="shared" si="265"/>
        <v>0</v>
      </c>
      <c r="P317" s="336">
        <f t="shared" si="266"/>
        <v>0</v>
      </c>
      <c r="R317" s="317"/>
      <c r="U317" s="320"/>
    </row>
    <row r="318" spans="1:21" s="446" customFormat="1" outlineLevel="1">
      <c r="A318" s="447"/>
      <c r="B318" s="447"/>
      <c r="C318" s="339">
        <v>2210700</v>
      </c>
      <c r="D318" s="343" t="s">
        <v>35</v>
      </c>
      <c r="E318" s="329">
        <f>SUM(E319:E324)</f>
        <v>1524000</v>
      </c>
      <c r="F318" s="329">
        <f t="shared" ref="F318:K318" si="267">SUM(F319:F324)</f>
        <v>0</v>
      </c>
      <c r="G318" s="329">
        <f t="shared" si="267"/>
        <v>0</v>
      </c>
      <c r="H318" s="329">
        <f t="shared" si="267"/>
        <v>0</v>
      </c>
      <c r="I318" s="329">
        <f t="shared" si="267"/>
        <v>1524000</v>
      </c>
      <c r="J318" s="329">
        <f t="shared" si="267"/>
        <v>0</v>
      </c>
      <c r="K318" s="329">
        <f t="shared" si="267"/>
        <v>500000</v>
      </c>
      <c r="L318" s="317">
        <f t="shared" si="219"/>
        <v>2024000</v>
      </c>
      <c r="M318" s="317"/>
      <c r="N318" s="372">
        <f t="shared" si="225"/>
        <v>-500000</v>
      </c>
      <c r="O318" s="329">
        <f t="shared" ref="O318:P318" si="268">SUM(O319:O324)</f>
        <v>2226400.0000000005</v>
      </c>
      <c r="P318" s="329">
        <f t="shared" si="268"/>
        <v>2449040.0000000005</v>
      </c>
      <c r="R318" s="317"/>
      <c r="U318" s="320"/>
    </row>
    <row r="319" spans="1:21" s="446" customFormat="1" outlineLevel="1">
      <c r="A319" s="447"/>
      <c r="B319" s="447"/>
      <c r="C319" s="331">
        <v>2210701</v>
      </c>
      <c r="D319" s="341" t="s">
        <v>36</v>
      </c>
      <c r="E319" s="333">
        <v>300000</v>
      </c>
      <c r="F319" s="334"/>
      <c r="G319" s="334"/>
      <c r="H319" s="334"/>
      <c r="I319" s="324">
        <f t="shared" si="223"/>
        <v>300000</v>
      </c>
      <c r="J319" s="335"/>
      <c r="K319" s="335">
        <v>500000</v>
      </c>
      <c r="L319" s="317">
        <f t="shared" si="219"/>
        <v>800000</v>
      </c>
      <c r="M319" s="317"/>
      <c r="N319" s="372">
        <f t="shared" si="225"/>
        <v>-500000</v>
      </c>
      <c r="O319" s="336">
        <f t="shared" ref="O319:O324" si="269">L319*1.1</f>
        <v>880000.00000000012</v>
      </c>
      <c r="P319" s="336">
        <f t="shared" ref="P319:P324" si="270">O319*1.1</f>
        <v>968000.00000000023</v>
      </c>
      <c r="R319" s="317"/>
      <c r="U319" s="320"/>
    </row>
    <row r="320" spans="1:21" s="446" customFormat="1" outlineLevel="1">
      <c r="A320" s="447"/>
      <c r="B320" s="447"/>
      <c r="C320" s="331">
        <v>2210702</v>
      </c>
      <c r="D320" s="341" t="s">
        <v>95</v>
      </c>
      <c r="E320" s="333">
        <v>200000</v>
      </c>
      <c r="F320" s="334"/>
      <c r="G320" s="334"/>
      <c r="H320" s="334"/>
      <c r="I320" s="324">
        <f t="shared" si="223"/>
        <v>200000</v>
      </c>
      <c r="J320" s="335"/>
      <c r="K320" s="335"/>
      <c r="L320" s="317">
        <f t="shared" si="219"/>
        <v>200000</v>
      </c>
      <c r="M320" s="317"/>
      <c r="N320" s="372">
        <f t="shared" si="225"/>
        <v>0</v>
      </c>
      <c r="O320" s="336">
        <f t="shared" si="269"/>
        <v>220000.00000000003</v>
      </c>
      <c r="P320" s="336">
        <f t="shared" si="270"/>
        <v>242000.00000000006</v>
      </c>
      <c r="R320" s="317"/>
      <c r="U320" s="320"/>
    </row>
    <row r="321" spans="1:21" s="446" customFormat="1" outlineLevel="1">
      <c r="A321" s="447"/>
      <c r="B321" s="447"/>
      <c r="C321" s="331">
        <v>2210704</v>
      </c>
      <c r="D321" s="341" t="s">
        <v>38</v>
      </c>
      <c r="E321" s="333">
        <v>300000</v>
      </c>
      <c r="F321" s="334"/>
      <c r="G321" s="334"/>
      <c r="H321" s="334"/>
      <c r="I321" s="324">
        <f t="shared" si="223"/>
        <v>300000</v>
      </c>
      <c r="J321" s="335"/>
      <c r="K321" s="335"/>
      <c r="L321" s="317">
        <f t="shared" si="219"/>
        <v>300000</v>
      </c>
      <c r="M321" s="317"/>
      <c r="N321" s="372">
        <f t="shared" si="225"/>
        <v>0</v>
      </c>
      <c r="O321" s="336">
        <f t="shared" si="269"/>
        <v>330000</v>
      </c>
      <c r="P321" s="336">
        <f t="shared" si="270"/>
        <v>363000.00000000006</v>
      </c>
      <c r="R321" s="317"/>
      <c r="U321" s="320"/>
    </row>
    <row r="322" spans="1:21" s="446" customFormat="1" outlineLevel="1">
      <c r="A322" s="447"/>
      <c r="B322" s="447"/>
      <c r="C322" s="331">
        <v>2210710</v>
      </c>
      <c r="D322" s="341" t="s">
        <v>39</v>
      </c>
      <c r="E322" s="333">
        <v>200000</v>
      </c>
      <c r="F322" s="334"/>
      <c r="G322" s="334"/>
      <c r="H322" s="334"/>
      <c r="I322" s="324">
        <f t="shared" si="223"/>
        <v>200000</v>
      </c>
      <c r="J322" s="335"/>
      <c r="K322" s="335"/>
      <c r="L322" s="317">
        <f t="shared" si="219"/>
        <v>200000</v>
      </c>
      <c r="M322" s="317"/>
      <c r="N322" s="372">
        <f t="shared" si="225"/>
        <v>0</v>
      </c>
      <c r="O322" s="336">
        <f t="shared" si="269"/>
        <v>220000.00000000003</v>
      </c>
      <c r="P322" s="336">
        <f t="shared" si="270"/>
        <v>242000.00000000006</v>
      </c>
      <c r="R322" s="317"/>
      <c r="U322" s="320"/>
    </row>
    <row r="323" spans="1:21" s="446" customFormat="1" outlineLevel="1">
      <c r="A323" s="447"/>
      <c r="B323" s="447"/>
      <c r="C323" s="331">
        <v>2210715</v>
      </c>
      <c r="D323" s="341" t="s">
        <v>40</v>
      </c>
      <c r="E323" s="333">
        <f>524000-100000</f>
        <v>424000</v>
      </c>
      <c r="F323" s="334"/>
      <c r="G323" s="334"/>
      <c r="H323" s="334"/>
      <c r="I323" s="324">
        <f t="shared" si="223"/>
        <v>424000</v>
      </c>
      <c r="J323" s="335"/>
      <c r="K323" s="335"/>
      <c r="L323" s="317">
        <f t="shared" si="219"/>
        <v>424000</v>
      </c>
      <c r="M323" s="317"/>
      <c r="N323" s="372">
        <f t="shared" si="225"/>
        <v>0</v>
      </c>
      <c r="O323" s="336">
        <f t="shared" si="269"/>
        <v>466400.00000000006</v>
      </c>
      <c r="P323" s="336">
        <f t="shared" si="270"/>
        <v>513040.00000000012</v>
      </c>
      <c r="R323" s="317"/>
      <c r="U323" s="320"/>
    </row>
    <row r="324" spans="1:21" s="446" customFormat="1" outlineLevel="1">
      <c r="A324" s="447"/>
      <c r="B324" s="447"/>
      <c r="C324" s="331">
        <v>2210799</v>
      </c>
      <c r="D324" s="341" t="s">
        <v>129</v>
      </c>
      <c r="E324" s="334">
        <v>100000</v>
      </c>
      <c r="F324" s="334"/>
      <c r="G324" s="334"/>
      <c r="H324" s="334"/>
      <c r="I324" s="324">
        <f t="shared" si="223"/>
        <v>100000</v>
      </c>
      <c r="J324" s="335"/>
      <c r="K324" s="335"/>
      <c r="L324" s="317">
        <f t="shared" ref="L324:L387" si="271">I324+J324+K324</f>
        <v>100000</v>
      </c>
      <c r="M324" s="317"/>
      <c r="N324" s="372">
        <f t="shared" si="225"/>
        <v>0</v>
      </c>
      <c r="O324" s="336">
        <f t="shared" si="269"/>
        <v>110000.00000000001</v>
      </c>
      <c r="P324" s="336">
        <f t="shared" si="270"/>
        <v>121000.00000000003</v>
      </c>
      <c r="R324" s="317"/>
      <c r="U324" s="320"/>
    </row>
    <row r="325" spans="1:21" s="446" customFormat="1" outlineLevel="1">
      <c r="A325" s="447"/>
      <c r="B325" s="447"/>
      <c r="C325" s="339">
        <v>2210800</v>
      </c>
      <c r="D325" s="343" t="s">
        <v>42</v>
      </c>
      <c r="E325" s="329">
        <f>E326+E327</f>
        <v>4877500</v>
      </c>
      <c r="F325" s="329">
        <f t="shared" ref="F325:K325" si="272">F326+F327</f>
        <v>0</v>
      </c>
      <c r="G325" s="329">
        <f t="shared" si="272"/>
        <v>0</v>
      </c>
      <c r="H325" s="329">
        <f t="shared" si="272"/>
        <v>0</v>
      </c>
      <c r="I325" s="329">
        <f t="shared" si="272"/>
        <v>4877500</v>
      </c>
      <c r="J325" s="329">
        <f t="shared" si="272"/>
        <v>0</v>
      </c>
      <c r="K325" s="329">
        <f t="shared" si="272"/>
        <v>2500000</v>
      </c>
      <c r="L325" s="317">
        <f t="shared" si="271"/>
        <v>7377500</v>
      </c>
      <c r="M325" s="317"/>
      <c r="N325" s="372">
        <f t="shared" si="225"/>
        <v>-2500000</v>
      </c>
      <c r="O325" s="329">
        <f t="shared" ref="O325:P325" si="273">O326+O327</f>
        <v>8115250.0000000009</v>
      </c>
      <c r="P325" s="329">
        <f t="shared" si="273"/>
        <v>8926775.0000000019</v>
      </c>
      <c r="R325" s="317"/>
      <c r="U325" s="320"/>
    </row>
    <row r="326" spans="1:21" s="446" customFormat="1" outlineLevel="1">
      <c r="A326" s="447"/>
      <c r="B326" s="447"/>
      <c r="C326" s="331">
        <v>2210801</v>
      </c>
      <c r="D326" s="341" t="s">
        <v>2418</v>
      </c>
      <c r="E326" s="334">
        <f>2831500+1040000</f>
        <v>3871500</v>
      </c>
      <c r="F326" s="334"/>
      <c r="G326" s="334"/>
      <c r="H326" s="334"/>
      <c r="I326" s="324">
        <f t="shared" ref="I326:I388" si="274">E326+F326+G326+H326</f>
        <v>3871500</v>
      </c>
      <c r="J326" s="335"/>
      <c r="K326" s="335">
        <v>1500000</v>
      </c>
      <c r="L326" s="317">
        <f t="shared" si="271"/>
        <v>5371500</v>
      </c>
      <c r="M326" s="317"/>
      <c r="N326" s="372">
        <f t="shared" si="225"/>
        <v>-1500000</v>
      </c>
      <c r="O326" s="336">
        <f t="shared" ref="O326:O327" si="275">L326*1.1</f>
        <v>5908650.0000000009</v>
      </c>
      <c r="P326" s="336">
        <f t="shared" ref="P326:P327" si="276">O326*1.1</f>
        <v>6499515.0000000019</v>
      </c>
      <c r="R326" s="317"/>
      <c r="U326" s="320"/>
    </row>
    <row r="327" spans="1:21" s="446" customFormat="1" outlineLevel="1">
      <c r="A327" s="447"/>
      <c r="B327" s="447"/>
      <c r="C327" s="331">
        <v>2210802</v>
      </c>
      <c r="D327" s="341" t="s">
        <v>97</v>
      </c>
      <c r="E327" s="334">
        <f>406000+1000000-400000</f>
        <v>1006000</v>
      </c>
      <c r="F327" s="334"/>
      <c r="G327" s="334"/>
      <c r="H327" s="334"/>
      <c r="I327" s="324">
        <f t="shared" si="274"/>
        <v>1006000</v>
      </c>
      <c r="J327" s="335"/>
      <c r="K327" s="335">
        <v>1000000</v>
      </c>
      <c r="L327" s="317">
        <f t="shared" si="271"/>
        <v>2006000</v>
      </c>
      <c r="M327" s="317"/>
      <c r="N327" s="372">
        <f t="shared" si="225"/>
        <v>-1000000</v>
      </c>
      <c r="O327" s="336">
        <f t="shared" si="275"/>
        <v>2206600</v>
      </c>
      <c r="P327" s="336">
        <f t="shared" si="276"/>
        <v>2427260</v>
      </c>
      <c r="R327" s="317"/>
      <c r="U327" s="320"/>
    </row>
    <row r="328" spans="1:21" s="446" customFormat="1" outlineLevel="1">
      <c r="A328" s="447"/>
      <c r="B328" s="447"/>
      <c r="C328" s="339">
        <v>2211000</v>
      </c>
      <c r="D328" s="343" t="s">
        <v>49</v>
      </c>
      <c r="E328" s="329">
        <f>E329</f>
        <v>800000</v>
      </c>
      <c r="F328" s="329">
        <f t="shared" ref="F328:K328" si="277">F329</f>
        <v>0</v>
      </c>
      <c r="G328" s="329">
        <f t="shared" si="277"/>
        <v>0</v>
      </c>
      <c r="H328" s="329">
        <f t="shared" si="277"/>
        <v>0</v>
      </c>
      <c r="I328" s="329">
        <f t="shared" si="277"/>
        <v>800000</v>
      </c>
      <c r="J328" s="329">
        <f t="shared" si="277"/>
        <v>0</v>
      </c>
      <c r="K328" s="329">
        <f t="shared" si="277"/>
        <v>0</v>
      </c>
      <c r="L328" s="317">
        <f t="shared" si="271"/>
        <v>800000</v>
      </c>
      <c r="M328" s="317"/>
      <c r="N328" s="372">
        <f t="shared" ref="N328:N391" si="278">M328-K328</f>
        <v>0</v>
      </c>
      <c r="O328" s="329">
        <f t="shared" ref="O328:P328" si="279">O329</f>
        <v>880000.00000000012</v>
      </c>
      <c r="P328" s="329">
        <f t="shared" si="279"/>
        <v>968000.00000000023</v>
      </c>
      <c r="R328" s="317"/>
      <c r="U328" s="320"/>
    </row>
    <row r="329" spans="1:21" s="446" customFormat="1" outlineLevel="1">
      <c r="A329" s="447"/>
      <c r="B329" s="447"/>
      <c r="C329" s="331">
        <v>2211016</v>
      </c>
      <c r="D329" s="341" t="s">
        <v>50</v>
      </c>
      <c r="E329" s="334">
        <f>1000000-200000</f>
        <v>800000</v>
      </c>
      <c r="F329" s="334"/>
      <c r="G329" s="334"/>
      <c r="H329" s="334"/>
      <c r="I329" s="324">
        <f t="shared" si="274"/>
        <v>800000</v>
      </c>
      <c r="J329" s="335"/>
      <c r="K329" s="335"/>
      <c r="L329" s="317">
        <f t="shared" si="271"/>
        <v>800000</v>
      </c>
      <c r="M329" s="317"/>
      <c r="N329" s="372">
        <f t="shared" si="278"/>
        <v>0</v>
      </c>
      <c r="O329" s="336">
        <f t="shared" ref="O329" si="280">L329*1.1</f>
        <v>880000.00000000012</v>
      </c>
      <c r="P329" s="336">
        <f t="shared" ref="P329" si="281">O329*1.1</f>
        <v>968000.00000000023</v>
      </c>
      <c r="R329" s="317"/>
      <c r="U329" s="320"/>
    </row>
    <row r="330" spans="1:21" s="446" customFormat="1" outlineLevel="1">
      <c r="A330" s="447"/>
      <c r="B330" s="447"/>
      <c r="C330" s="339">
        <v>2211100</v>
      </c>
      <c r="D330" s="343" t="s">
        <v>51</v>
      </c>
      <c r="E330" s="329">
        <f>E331+E332+E333</f>
        <v>3151500</v>
      </c>
      <c r="F330" s="329">
        <f t="shared" ref="F330:K330" si="282">F331+F332+F333</f>
        <v>0</v>
      </c>
      <c r="G330" s="329">
        <f t="shared" si="282"/>
        <v>0</v>
      </c>
      <c r="H330" s="329">
        <f t="shared" si="282"/>
        <v>0</v>
      </c>
      <c r="I330" s="329">
        <f t="shared" si="282"/>
        <v>3151500</v>
      </c>
      <c r="J330" s="329">
        <f t="shared" si="282"/>
        <v>0</v>
      </c>
      <c r="K330" s="329">
        <f t="shared" si="282"/>
        <v>2000000</v>
      </c>
      <c r="L330" s="317">
        <f t="shared" si="271"/>
        <v>5151500</v>
      </c>
      <c r="M330" s="317"/>
      <c r="N330" s="372">
        <f t="shared" si="278"/>
        <v>-2000000</v>
      </c>
      <c r="O330" s="329">
        <f t="shared" ref="O330:P330" si="283">O331+O332+O333</f>
        <v>5666650</v>
      </c>
      <c r="P330" s="329">
        <f t="shared" si="283"/>
        <v>6233315</v>
      </c>
      <c r="R330" s="317"/>
      <c r="U330" s="320"/>
    </row>
    <row r="331" spans="1:21" s="446" customFormat="1" outlineLevel="1">
      <c r="A331" s="447"/>
      <c r="B331" s="447"/>
      <c r="C331" s="331">
        <v>2211101</v>
      </c>
      <c r="D331" s="341" t="s">
        <v>52</v>
      </c>
      <c r="E331" s="334">
        <f>2831500-1000000</f>
        <v>1831500</v>
      </c>
      <c r="F331" s="334"/>
      <c r="G331" s="334"/>
      <c r="H331" s="334"/>
      <c r="I331" s="324">
        <f t="shared" si="274"/>
        <v>1831500</v>
      </c>
      <c r="J331" s="335"/>
      <c r="K331" s="335">
        <v>500000</v>
      </c>
      <c r="L331" s="317">
        <f t="shared" si="271"/>
        <v>2331500</v>
      </c>
      <c r="M331" s="317"/>
      <c r="N331" s="372">
        <f t="shared" si="278"/>
        <v>-500000</v>
      </c>
      <c r="O331" s="336">
        <f t="shared" ref="O331:O333" si="284">L331*1.1</f>
        <v>2564650</v>
      </c>
      <c r="P331" s="336">
        <f t="shared" ref="P331:P333" si="285">O331*1.1</f>
        <v>2821115</v>
      </c>
      <c r="R331" s="317"/>
      <c r="U331" s="320"/>
    </row>
    <row r="332" spans="1:21" s="446" customFormat="1" outlineLevel="1">
      <c r="A332" s="447"/>
      <c r="B332" s="447"/>
      <c r="C332" s="331">
        <v>2211102</v>
      </c>
      <c r="D332" s="341" t="s">
        <v>53</v>
      </c>
      <c r="E332" s="334">
        <f>1740000-500000-500000</f>
        <v>740000</v>
      </c>
      <c r="F332" s="334"/>
      <c r="G332" s="334"/>
      <c r="H332" s="334"/>
      <c r="I332" s="324">
        <f t="shared" si="274"/>
        <v>740000</v>
      </c>
      <c r="J332" s="335"/>
      <c r="K332" s="335">
        <v>1500000</v>
      </c>
      <c r="L332" s="317">
        <f t="shared" si="271"/>
        <v>2240000</v>
      </c>
      <c r="M332" s="317"/>
      <c r="N332" s="372">
        <f t="shared" si="278"/>
        <v>-1500000</v>
      </c>
      <c r="O332" s="336">
        <f t="shared" si="284"/>
        <v>2464000</v>
      </c>
      <c r="P332" s="336">
        <f t="shared" si="285"/>
        <v>2710400</v>
      </c>
      <c r="R332" s="317"/>
      <c r="U332" s="320"/>
    </row>
    <row r="333" spans="1:21" s="446" customFormat="1" outlineLevel="1">
      <c r="A333" s="447"/>
      <c r="B333" s="447"/>
      <c r="C333" s="331">
        <v>2211103</v>
      </c>
      <c r="D333" s="341" t="s">
        <v>54</v>
      </c>
      <c r="E333" s="334">
        <f>580000</f>
        <v>580000</v>
      </c>
      <c r="F333" s="334"/>
      <c r="G333" s="334"/>
      <c r="H333" s="334"/>
      <c r="I333" s="324">
        <f t="shared" si="274"/>
        <v>580000</v>
      </c>
      <c r="J333" s="335"/>
      <c r="K333" s="335"/>
      <c r="L333" s="317">
        <f t="shared" si="271"/>
        <v>580000</v>
      </c>
      <c r="M333" s="317"/>
      <c r="N333" s="372">
        <f t="shared" si="278"/>
        <v>0</v>
      </c>
      <c r="O333" s="336">
        <f t="shared" si="284"/>
        <v>638000</v>
      </c>
      <c r="P333" s="336">
        <f t="shared" si="285"/>
        <v>701800</v>
      </c>
      <c r="R333" s="317"/>
      <c r="U333" s="320"/>
    </row>
    <row r="334" spans="1:21" s="446" customFormat="1" outlineLevel="1">
      <c r="A334" s="447"/>
      <c r="B334" s="447"/>
      <c r="C334" s="339">
        <v>2211200</v>
      </c>
      <c r="D334" s="343" t="s">
        <v>55</v>
      </c>
      <c r="E334" s="329">
        <f>SUM(E335)</f>
        <v>1406000</v>
      </c>
      <c r="F334" s="329">
        <f t="shared" ref="F334:K334" si="286">SUM(F335)</f>
        <v>0</v>
      </c>
      <c r="G334" s="329">
        <f t="shared" si="286"/>
        <v>0</v>
      </c>
      <c r="H334" s="329">
        <f t="shared" si="286"/>
        <v>0</v>
      </c>
      <c r="I334" s="329">
        <f t="shared" si="286"/>
        <v>1406000</v>
      </c>
      <c r="J334" s="329">
        <f t="shared" si="286"/>
        <v>0</v>
      </c>
      <c r="K334" s="329">
        <f t="shared" si="286"/>
        <v>0</v>
      </c>
      <c r="L334" s="317">
        <f t="shared" si="271"/>
        <v>1406000</v>
      </c>
      <c r="M334" s="317"/>
      <c r="N334" s="372">
        <f t="shared" si="278"/>
        <v>0</v>
      </c>
      <c r="O334" s="329">
        <f t="shared" ref="O334:P334" si="287">SUM(O335)</f>
        <v>1546600.0000000002</v>
      </c>
      <c r="P334" s="329">
        <f t="shared" si="287"/>
        <v>1701260.0000000005</v>
      </c>
      <c r="R334" s="317"/>
      <c r="U334" s="320"/>
    </row>
    <row r="335" spans="1:21" s="446" customFormat="1" outlineLevel="1">
      <c r="A335" s="447"/>
      <c r="B335" s="447"/>
      <c r="C335" s="331">
        <v>2211201</v>
      </c>
      <c r="D335" s="341" t="s">
        <v>55</v>
      </c>
      <c r="E335" s="334">
        <f>406000+1000000</f>
        <v>1406000</v>
      </c>
      <c r="F335" s="334"/>
      <c r="G335" s="334"/>
      <c r="H335" s="334"/>
      <c r="I335" s="324">
        <f t="shared" si="274"/>
        <v>1406000</v>
      </c>
      <c r="J335" s="335"/>
      <c r="K335" s="335"/>
      <c r="L335" s="317">
        <f t="shared" si="271"/>
        <v>1406000</v>
      </c>
      <c r="M335" s="317"/>
      <c r="N335" s="372">
        <f t="shared" si="278"/>
        <v>0</v>
      </c>
      <c r="O335" s="336">
        <f t="shared" ref="O335" si="288">L335*1.1</f>
        <v>1546600.0000000002</v>
      </c>
      <c r="P335" s="336">
        <f t="shared" ref="P335" si="289">O335*1.1</f>
        <v>1701260.0000000005</v>
      </c>
      <c r="R335" s="317"/>
      <c r="U335" s="320"/>
    </row>
    <row r="336" spans="1:21" s="446" customFormat="1" outlineLevel="1">
      <c r="A336" s="447"/>
      <c r="B336" s="447"/>
      <c r="C336" s="339">
        <v>2220100</v>
      </c>
      <c r="D336" s="343" t="s">
        <v>62</v>
      </c>
      <c r="E336" s="329">
        <f>SUM(E337)</f>
        <v>1464000</v>
      </c>
      <c r="F336" s="329">
        <f t="shared" ref="F336:K336" si="290">SUM(F337)</f>
        <v>0</v>
      </c>
      <c r="G336" s="329">
        <f t="shared" si="290"/>
        <v>0</v>
      </c>
      <c r="H336" s="329">
        <f t="shared" si="290"/>
        <v>0</v>
      </c>
      <c r="I336" s="329">
        <f t="shared" si="290"/>
        <v>1464000</v>
      </c>
      <c r="J336" s="329">
        <f t="shared" si="290"/>
        <v>0</v>
      </c>
      <c r="K336" s="329">
        <f t="shared" si="290"/>
        <v>-973500</v>
      </c>
      <c r="L336" s="317">
        <f t="shared" si="271"/>
        <v>490500</v>
      </c>
      <c r="M336" s="317"/>
      <c r="N336" s="372">
        <f t="shared" si="278"/>
        <v>973500</v>
      </c>
      <c r="O336" s="329">
        <f t="shared" ref="O336:P336" si="291">SUM(O337)</f>
        <v>539550</v>
      </c>
      <c r="P336" s="329">
        <f t="shared" si="291"/>
        <v>593505</v>
      </c>
      <c r="R336" s="317"/>
      <c r="U336" s="320"/>
    </row>
    <row r="337" spans="1:21" s="446" customFormat="1" outlineLevel="1">
      <c r="A337" s="447"/>
      <c r="B337" s="447"/>
      <c r="C337" s="331">
        <v>2220101</v>
      </c>
      <c r="D337" s="341" t="s">
        <v>85</v>
      </c>
      <c r="E337" s="334">
        <f>464000+1000000</f>
        <v>1464000</v>
      </c>
      <c r="F337" s="334"/>
      <c r="G337" s="334"/>
      <c r="H337" s="334"/>
      <c r="I337" s="324">
        <f t="shared" si="274"/>
        <v>1464000</v>
      </c>
      <c r="J337" s="335"/>
      <c r="K337" s="335">
        <v>-973500</v>
      </c>
      <c r="L337" s="317">
        <f t="shared" si="271"/>
        <v>490500</v>
      </c>
      <c r="M337" s="317"/>
      <c r="N337" s="372">
        <f t="shared" si="278"/>
        <v>973500</v>
      </c>
      <c r="O337" s="336">
        <f t="shared" ref="O337" si="292">L337*1.1</f>
        <v>539550</v>
      </c>
      <c r="P337" s="336">
        <f t="shared" ref="P337" si="293">O337*1.1</f>
        <v>593505</v>
      </c>
      <c r="R337" s="317"/>
      <c r="U337" s="320"/>
    </row>
    <row r="338" spans="1:21" s="446" customFormat="1" outlineLevel="1">
      <c r="A338" s="447"/>
      <c r="B338" s="447"/>
      <c r="C338" s="339">
        <v>2220200</v>
      </c>
      <c r="D338" s="343" t="s">
        <v>86</v>
      </c>
      <c r="E338" s="329">
        <f>SUM(E339:E339)</f>
        <v>1000000</v>
      </c>
      <c r="F338" s="329">
        <f t="shared" ref="F338:K338" si="294">SUM(F339:F339)</f>
        <v>0</v>
      </c>
      <c r="G338" s="329">
        <f t="shared" si="294"/>
        <v>0</v>
      </c>
      <c r="H338" s="329">
        <f t="shared" si="294"/>
        <v>0</v>
      </c>
      <c r="I338" s="329">
        <f t="shared" si="294"/>
        <v>1000000</v>
      </c>
      <c r="J338" s="329">
        <f t="shared" si="294"/>
        <v>0</v>
      </c>
      <c r="K338" s="329">
        <f t="shared" si="294"/>
        <v>0</v>
      </c>
      <c r="L338" s="317">
        <f t="shared" si="271"/>
        <v>1000000</v>
      </c>
      <c r="M338" s="317"/>
      <c r="N338" s="372">
        <f t="shared" si="278"/>
        <v>0</v>
      </c>
      <c r="O338" s="329">
        <f t="shared" ref="O338:P338" si="295">SUM(O339:O339)</f>
        <v>1100000</v>
      </c>
      <c r="P338" s="329">
        <f t="shared" si="295"/>
        <v>1210000</v>
      </c>
      <c r="R338" s="317"/>
      <c r="U338" s="320"/>
    </row>
    <row r="339" spans="1:21" s="446" customFormat="1" outlineLevel="1">
      <c r="A339" s="447"/>
      <c r="B339" s="447"/>
      <c r="C339" s="331">
        <v>2220202</v>
      </c>
      <c r="D339" s="341" t="s">
        <v>130</v>
      </c>
      <c r="E339" s="334">
        <v>1000000</v>
      </c>
      <c r="F339" s="334"/>
      <c r="G339" s="334"/>
      <c r="H339" s="334"/>
      <c r="I339" s="324">
        <f t="shared" si="274"/>
        <v>1000000</v>
      </c>
      <c r="J339" s="335"/>
      <c r="K339" s="335"/>
      <c r="L339" s="317">
        <f t="shared" si="271"/>
        <v>1000000</v>
      </c>
      <c r="M339" s="317"/>
      <c r="N339" s="372">
        <f t="shared" si="278"/>
        <v>0</v>
      </c>
      <c r="O339" s="336">
        <f t="shared" ref="O339" si="296">L339*1.1</f>
        <v>1100000</v>
      </c>
      <c r="P339" s="336">
        <f t="shared" ref="P339" si="297">O339*1.1</f>
        <v>1210000</v>
      </c>
      <c r="R339" s="317"/>
      <c r="U339" s="320"/>
    </row>
    <row r="340" spans="1:21" s="446" customFormat="1" outlineLevel="1">
      <c r="A340" s="447"/>
      <c r="B340" s="447"/>
      <c r="C340" s="339">
        <v>3111400</v>
      </c>
      <c r="D340" s="449" t="s">
        <v>90</v>
      </c>
      <c r="E340" s="329">
        <f>SUM(E341:E341)</f>
        <v>0</v>
      </c>
      <c r="F340" s="450"/>
      <c r="G340" s="450"/>
      <c r="H340" s="450"/>
      <c r="I340" s="324">
        <f t="shared" si="274"/>
        <v>0</v>
      </c>
      <c r="J340" s="335"/>
      <c r="K340" s="335"/>
      <c r="L340" s="317">
        <f t="shared" si="271"/>
        <v>0</v>
      </c>
      <c r="M340" s="317"/>
      <c r="N340" s="372">
        <f t="shared" si="278"/>
        <v>0</v>
      </c>
      <c r="O340" s="451">
        <f t="shared" ref="O340:P340" si="298">SUM(O341:O341)</f>
        <v>0</v>
      </c>
      <c r="P340" s="451">
        <f t="shared" si="298"/>
        <v>0</v>
      </c>
      <c r="R340" s="317"/>
      <c r="U340" s="320"/>
    </row>
    <row r="341" spans="1:21" s="446" customFormat="1" outlineLevel="1">
      <c r="A341" s="447"/>
      <c r="B341" s="447"/>
      <c r="C341" s="331">
        <v>3111401</v>
      </c>
      <c r="D341" s="452" t="s">
        <v>131</v>
      </c>
      <c r="E341" s="334">
        <v>0</v>
      </c>
      <c r="F341" s="364"/>
      <c r="G341" s="364"/>
      <c r="H341" s="364"/>
      <c r="I341" s="324">
        <f t="shared" si="274"/>
        <v>0</v>
      </c>
      <c r="J341" s="335"/>
      <c r="K341" s="335"/>
      <c r="L341" s="317">
        <f t="shared" si="271"/>
        <v>0</v>
      </c>
      <c r="M341" s="317"/>
      <c r="N341" s="372">
        <f t="shared" si="278"/>
        <v>0</v>
      </c>
      <c r="O341" s="336">
        <f t="shared" ref="O341" si="299">L341*1.1</f>
        <v>0</v>
      </c>
      <c r="P341" s="336">
        <f t="shared" ref="P341" si="300">O341*1.1</f>
        <v>0</v>
      </c>
      <c r="R341" s="317"/>
      <c r="U341" s="320"/>
    </row>
    <row r="342" spans="1:21" s="446" customFormat="1" outlineLevel="1">
      <c r="A342" s="447"/>
      <c r="B342" s="447"/>
      <c r="C342" s="339">
        <v>3111000</v>
      </c>
      <c r="D342" s="343" t="s">
        <v>69</v>
      </c>
      <c r="E342" s="329">
        <f>SUM(E343:E344)</f>
        <v>1500000</v>
      </c>
      <c r="F342" s="329">
        <f t="shared" ref="F342:K342" si="301">SUM(F343:F344)</f>
        <v>0</v>
      </c>
      <c r="G342" s="329">
        <f t="shared" si="301"/>
        <v>0</v>
      </c>
      <c r="H342" s="329">
        <f t="shared" si="301"/>
        <v>0</v>
      </c>
      <c r="I342" s="329">
        <f t="shared" si="301"/>
        <v>1500000</v>
      </c>
      <c r="J342" s="329">
        <f t="shared" si="301"/>
        <v>0</v>
      </c>
      <c r="K342" s="329">
        <f t="shared" si="301"/>
        <v>0</v>
      </c>
      <c r="L342" s="317">
        <f t="shared" si="271"/>
        <v>1500000</v>
      </c>
      <c r="M342" s="317"/>
      <c r="N342" s="372">
        <f t="shared" si="278"/>
        <v>0</v>
      </c>
      <c r="O342" s="329">
        <f t="shared" ref="O342:P342" si="302">SUM(O343:O344)</f>
        <v>1650000</v>
      </c>
      <c r="P342" s="329">
        <f t="shared" si="302"/>
        <v>1815000</v>
      </c>
      <c r="R342" s="317"/>
      <c r="U342" s="320"/>
    </row>
    <row r="343" spans="1:21" s="446" customFormat="1" outlineLevel="1">
      <c r="A343" s="447"/>
      <c r="B343" s="447"/>
      <c r="C343" s="331">
        <v>3111001</v>
      </c>
      <c r="D343" s="341" t="s">
        <v>70</v>
      </c>
      <c r="E343" s="334">
        <f>1500000-500000</f>
        <v>1000000</v>
      </c>
      <c r="F343" s="334"/>
      <c r="G343" s="334"/>
      <c r="H343" s="334"/>
      <c r="I343" s="324">
        <f t="shared" si="274"/>
        <v>1000000</v>
      </c>
      <c r="J343" s="335"/>
      <c r="K343" s="335"/>
      <c r="L343" s="317">
        <f t="shared" si="271"/>
        <v>1000000</v>
      </c>
      <c r="M343" s="317"/>
      <c r="N343" s="372">
        <f t="shared" si="278"/>
        <v>0</v>
      </c>
      <c r="O343" s="336">
        <f t="shared" ref="O343:O344" si="303">L343*1.1</f>
        <v>1100000</v>
      </c>
      <c r="P343" s="336">
        <f t="shared" ref="P343:P344" si="304">O343*1.1</f>
        <v>1210000</v>
      </c>
      <c r="R343" s="317"/>
      <c r="U343" s="320"/>
    </row>
    <row r="344" spans="1:21" s="446" customFormat="1" outlineLevel="1">
      <c r="A344" s="447"/>
      <c r="B344" s="447"/>
      <c r="C344" s="331">
        <v>3111002</v>
      </c>
      <c r="D344" s="341" t="s">
        <v>71</v>
      </c>
      <c r="E344" s="334">
        <v>500000</v>
      </c>
      <c r="F344" s="334"/>
      <c r="G344" s="334"/>
      <c r="H344" s="334"/>
      <c r="I344" s="324">
        <f t="shared" si="274"/>
        <v>500000</v>
      </c>
      <c r="J344" s="335"/>
      <c r="K344" s="335"/>
      <c r="L344" s="317">
        <f t="shared" si="271"/>
        <v>500000</v>
      </c>
      <c r="M344" s="317"/>
      <c r="N344" s="372">
        <f t="shared" si="278"/>
        <v>0</v>
      </c>
      <c r="O344" s="336">
        <f t="shared" si="303"/>
        <v>550000</v>
      </c>
      <c r="P344" s="336">
        <f t="shared" si="304"/>
        <v>605000</v>
      </c>
      <c r="R344" s="317"/>
      <c r="U344" s="320"/>
    </row>
    <row r="345" spans="1:21" s="446" customFormat="1" outlineLevel="1">
      <c r="A345" s="447"/>
      <c r="B345" s="447"/>
      <c r="C345" s="339"/>
      <c r="D345" s="343"/>
      <c r="E345" s="386">
        <f>SUM(E346:E346)</f>
        <v>0</v>
      </c>
      <c r="F345" s="386"/>
      <c r="G345" s="386"/>
      <c r="H345" s="386"/>
      <c r="I345" s="324">
        <f t="shared" si="274"/>
        <v>0</v>
      </c>
      <c r="J345" s="335"/>
      <c r="K345" s="335"/>
      <c r="L345" s="317">
        <f t="shared" si="271"/>
        <v>0</v>
      </c>
      <c r="M345" s="317"/>
      <c r="N345" s="372">
        <f t="shared" si="278"/>
        <v>0</v>
      </c>
      <c r="O345" s="381">
        <f t="shared" ref="O345:P345" si="305">SUM(O346:O346)</f>
        <v>0</v>
      </c>
      <c r="P345" s="381">
        <f t="shared" si="305"/>
        <v>0</v>
      </c>
      <c r="R345" s="317"/>
      <c r="U345" s="320"/>
    </row>
    <row r="346" spans="1:21" s="446" customFormat="1" outlineLevel="1">
      <c r="A346" s="447"/>
      <c r="B346" s="447"/>
      <c r="C346" s="331"/>
      <c r="D346" s="341"/>
      <c r="E346" s="334"/>
      <c r="F346" s="334"/>
      <c r="G346" s="334"/>
      <c r="H346" s="334"/>
      <c r="I346" s="324">
        <f t="shared" si="274"/>
        <v>0</v>
      </c>
      <c r="J346" s="335"/>
      <c r="K346" s="335"/>
      <c r="L346" s="317">
        <f t="shared" si="271"/>
        <v>0</v>
      </c>
      <c r="M346" s="317"/>
      <c r="N346" s="372">
        <f t="shared" si="278"/>
        <v>0</v>
      </c>
      <c r="O346" s="336">
        <f t="shared" ref="O346" si="306">L346*1.1</f>
        <v>0</v>
      </c>
      <c r="P346" s="336">
        <f t="shared" ref="P346" si="307">O346*1.1</f>
        <v>0</v>
      </c>
      <c r="R346" s="317"/>
      <c r="U346" s="320"/>
    </row>
    <row r="347" spans="1:21" s="446" customFormat="1" outlineLevel="1">
      <c r="A347" s="447"/>
      <c r="B347" s="447"/>
      <c r="C347" s="407"/>
      <c r="D347" s="437" t="s">
        <v>99</v>
      </c>
      <c r="E347" s="329">
        <f>E345+E342+E340+E338+E336+E334+E330+E328+E325+E318+E314+E310+E307</f>
        <v>19439000</v>
      </c>
      <c r="F347" s="329">
        <f t="shared" ref="F347:K347" si="308">F345+F342+F340+F338+F336+F334+F330+F328+F325+F318+F314+F310+F307</f>
        <v>0</v>
      </c>
      <c r="G347" s="329">
        <f t="shared" si="308"/>
        <v>0</v>
      </c>
      <c r="H347" s="329">
        <f t="shared" si="308"/>
        <v>0</v>
      </c>
      <c r="I347" s="329">
        <f t="shared" si="308"/>
        <v>19439000</v>
      </c>
      <c r="J347" s="329">
        <f t="shared" si="308"/>
        <v>0</v>
      </c>
      <c r="K347" s="329">
        <f t="shared" si="308"/>
        <v>3286500</v>
      </c>
      <c r="L347" s="317">
        <f t="shared" si="271"/>
        <v>22725500</v>
      </c>
      <c r="M347" s="317"/>
      <c r="N347" s="372">
        <f t="shared" si="278"/>
        <v>-3286500</v>
      </c>
      <c r="O347" s="329">
        <f t="shared" ref="O347:P347" si="309">O345+O342+O340+O338+O336+O334+O330+O328+O325+O318+O314+O310+O307</f>
        <v>24998050</v>
      </c>
      <c r="P347" s="329">
        <f t="shared" si="309"/>
        <v>27497855</v>
      </c>
      <c r="R347" s="317"/>
      <c r="U347" s="320"/>
    </row>
    <row r="348" spans="1:21" s="446" customFormat="1" outlineLevel="1">
      <c r="A348" s="447"/>
      <c r="B348" s="447"/>
      <c r="C348" s="383"/>
      <c r="D348" s="437" t="s">
        <v>84</v>
      </c>
      <c r="E348" s="329">
        <f>E347</f>
        <v>19439000</v>
      </c>
      <c r="F348" s="329">
        <f t="shared" ref="F348:P348" si="310">F347</f>
        <v>0</v>
      </c>
      <c r="G348" s="329">
        <f t="shared" si="310"/>
        <v>0</v>
      </c>
      <c r="H348" s="329">
        <f t="shared" si="310"/>
        <v>0</v>
      </c>
      <c r="I348" s="329">
        <f t="shared" si="310"/>
        <v>19439000</v>
      </c>
      <c r="J348" s="329">
        <f t="shared" si="310"/>
        <v>0</v>
      </c>
      <c r="K348" s="329">
        <f t="shared" si="310"/>
        <v>3286500</v>
      </c>
      <c r="L348" s="317">
        <f t="shared" si="271"/>
        <v>22725500</v>
      </c>
      <c r="M348" s="317"/>
      <c r="N348" s="372">
        <f t="shared" si="278"/>
        <v>-3286500</v>
      </c>
      <c r="O348" s="329">
        <f t="shared" si="310"/>
        <v>24998050</v>
      </c>
      <c r="P348" s="329">
        <f t="shared" si="310"/>
        <v>27497855</v>
      </c>
      <c r="R348" s="317"/>
      <c r="U348" s="320"/>
    </row>
    <row r="349" spans="1:21" s="446" customFormat="1" outlineLevel="1">
      <c r="A349" s="447"/>
      <c r="B349" s="447"/>
      <c r="C349" s="383"/>
      <c r="D349" s="443"/>
      <c r="E349" s="384"/>
      <c r="F349" s="448"/>
      <c r="G349" s="448"/>
      <c r="H349" s="448"/>
      <c r="I349" s="324">
        <f t="shared" si="274"/>
        <v>0</v>
      </c>
      <c r="J349" s="335"/>
      <c r="K349" s="335"/>
      <c r="L349" s="317">
        <f t="shared" si="271"/>
        <v>0</v>
      </c>
      <c r="M349" s="317"/>
      <c r="N349" s="372">
        <f t="shared" si="278"/>
        <v>0</v>
      </c>
      <c r="O349" s="395"/>
      <c r="P349" s="395"/>
      <c r="R349" s="317"/>
      <c r="U349" s="320"/>
    </row>
    <row r="350" spans="1:21" s="446" customFormat="1" outlineLevel="1">
      <c r="A350" s="447"/>
      <c r="B350" s="447"/>
      <c r="C350" s="383"/>
      <c r="D350" s="383" t="s">
        <v>1561</v>
      </c>
      <c r="E350" s="386"/>
      <c r="F350" s="316"/>
      <c r="G350" s="316"/>
      <c r="H350" s="316"/>
      <c r="I350" s="324">
        <f t="shared" si="274"/>
        <v>0</v>
      </c>
      <c r="J350" s="335"/>
      <c r="K350" s="335"/>
      <c r="L350" s="317">
        <f t="shared" si="271"/>
        <v>0</v>
      </c>
      <c r="M350" s="317"/>
      <c r="N350" s="372">
        <f t="shared" si="278"/>
        <v>0</v>
      </c>
      <c r="O350" s="395"/>
      <c r="P350" s="395"/>
      <c r="R350" s="317"/>
      <c r="U350" s="320"/>
    </row>
    <row r="351" spans="1:21" s="446" customFormat="1" outlineLevel="1">
      <c r="A351" s="447"/>
      <c r="B351" s="447"/>
      <c r="C351" s="383"/>
      <c r="D351" s="383" t="s">
        <v>1562</v>
      </c>
      <c r="E351" s="386"/>
      <c r="F351" s="316"/>
      <c r="G351" s="316"/>
      <c r="H351" s="316"/>
      <c r="I351" s="324">
        <f t="shared" si="274"/>
        <v>0</v>
      </c>
      <c r="J351" s="335"/>
      <c r="K351" s="335"/>
      <c r="L351" s="317">
        <f t="shared" si="271"/>
        <v>0</v>
      </c>
      <c r="M351" s="317"/>
      <c r="N351" s="372">
        <f t="shared" si="278"/>
        <v>0</v>
      </c>
      <c r="O351" s="395"/>
      <c r="P351" s="395"/>
      <c r="R351" s="317"/>
      <c r="U351" s="320"/>
    </row>
    <row r="352" spans="1:21" s="446" customFormat="1" outlineLevel="1">
      <c r="A352" s="447"/>
      <c r="B352" s="447"/>
      <c r="C352" s="453">
        <v>2210200</v>
      </c>
      <c r="D352" s="454" t="s">
        <v>20</v>
      </c>
      <c r="E352" s="329">
        <f>E354+E353</f>
        <v>500000</v>
      </c>
      <c r="F352" s="329">
        <f t="shared" ref="F352:K352" si="311">F354+F353</f>
        <v>0</v>
      </c>
      <c r="G352" s="329">
        <f t="shared" si="311"/>
        <v>0</v>
      </c>
      <c r="H352" s="329">
        <f t="shared" si="311"/>
        <v>0</v>
      </c>
      <c r="I352" s="329">
        <f t="shared" si="311"/>
        <v>500000</v>
      </c>
      <c r="J352" s="329">
        <f t="shared" si="311"/>
        <v>0</v>
      </c>
      <c r="K352" s="329">
        <f t="shared" si="311"/>
        <v>-200000</v>
      </c>
      <c r="L352" s="317">
        <f t="shared" si="271"/>
        <v>300000</v>
      </c>
      <c r="M352" s="317"/>
      <c r="N352" s="372">
        <f t="shared" si="278"/>
        <v>200000</v>
      </c>
      <c r="O352" s="329">
        <f t="shared" ref="O352:P352" si="312">O354+O353</f>
        <v>330000</v>
      </c>
      <c r="P352" s="329">
        <f t="shared" si="312"/>
        <v>363000.00000000006</v>
      </c>
      <c r="R352" s="317"/>
      <c r="U352" s="320"/>
    </row>
    <row r="353" spans="1:21" s="446" customFormat="1" outlineLevel="1">
      <c r="A353" s="447"/>
      <c r="B353" s="447"/>
      <c r="C353" s="455">
        <v>2210201</v>
      </c>
      <c r="D353" s="456" t="s">
        <v>21</v>
      </c>
      <c r="E353" s="457">
        <v>300000</v>
      </c>
      <c r="F353" s="457"/>
      <c r="G353" s="457"/>
      <c r="H353" s="457"/>
      <c r="I353" s="324">
        <f t="shared" si="274"/>
        <v>300000</v>
      </c>
      <c r="J353" s="335"/>
      <c r="K353" s="335"/>
      <c r="L353" s="317">
        <f t="shared" si="271"/>
        <v>300000</v>
      </c>
      <c r="M353" s="317"/>
      <c r="N353" s="372">
        <f t="shared" si="278"/>
        <v>0</v>
      </c>
      <c r="O353" s="336">
        <f t="shared" ref="O353:O380" si="313">L353*1.1</f>
        <v>330000</v>
      </c>
      <c r="P353" s="336">
        <f t="shared" ref="P353:P380" si="314">O353*1.1</f>
        <v>363000.00000000006</v>
      </c>
      <c r="R353" s="317"/>
      <c r="U353" s="320"/>
    </row>
    <row r="354" spans="1:21" s="446" customFormat="1" outlineLevel="1">
      <c r="A354" s="447"/>
      <c r="B354" s="447"/>
      <c r="C354" s="455">
        <v>2210202</v>
      </c>
      <c r="D354" s="456" t="s">
        <v>22</v>
      </c>
      <c r="E354" s="457">
        <v>200000</v>
      </c>
      <c r="F354" s="457"/>
      <c r="G354" s="457"/>
      <c r="H354" s="457"/>
      <c r="I354" s="324">
        <f t="shared" si="274"/>
        <v>200000</v>
      </c>
      <c r="J354" s="335"/>
      <c r="K354" s="335">
        <v>-200000</v>
      </c>
      <c r="L354" s="317">
        <f t="shared" si="271"/>
        <v>0</v>
      </c>
      <c r="M354" s="317"/>
      <c r="N354" s="372">
        <f t="shared" si="278"/>
        <v>200000</v>
      </c>
      <c r="O354" s="336">
        <f t="shared" si="313"/>
        <v>0</v>
      </c>
      <c r="P354" s="336">
        <f t="shared" si="314"/>
        <v>0</v>
      </c>
      <c r="R354" s="317"/>
      <c r="U354" s="320"/>
    </row>
    <row r="355" spans="1:21" s="446" customFormat="1" outlineLevel="1">
      <c r="A355" s="447"/>
      <c r="B355" s="447"/>
      <c r="C355" s="453">
        <v>2210300</v>
      </c>
      <c r="D355" s="454" t="s">
        <v>24</v>
      </c>
      <c r="E355" s="329">
        <f>+E356+E357+E358+E359</f>
        <v>2748899</v>
      </c>
      <c r="F355" s="329">
        <f t="shared" ref="F355:K355" si="315">+F356+F357+F358+F359</f>
        <v>0</v>
      </c>
      <c r="G355" s="329">
        <f t="shared" si="315"/>
        <v>0</v>
      </c>
      <c r="H355" s="329">
        <f t="shared" si="315"/>
        <v>0</v>
      </c>
      <c r="I355" s="329">
        <f t="shared" si="315"/>
        <v>2748899</v>
      </c>
      <c r="J355" s="329">
        <f t="shared" si="315"/>
        <v>0</v>
      </c>
      <c r="K355" s="329">
        <f t="shared" si="315"/>
        <v>2083889</v>
      </c>
      <c r="L355" s="317">
        <f t="shared" si="271"/>
        <v>4832788</v>
      </c>
      <c r="M355" s="317"/>
      <c r="N355" s="372">
        <f t="shared" si="278"/>
        <v>-2083889</v>
      </c>
      <c r="O355" s="329">
        <f t="shared" ref="O355:P355" si="316">+O356+O357+O358</f>
        <v>4216066.8000000007</v>
      </c>
      <c r="P355" s="329">
        <f t="shared" si="316"/>
        <v>4637673.4800000004</v>
      </c>
      <c r="R355" s="317"/>
      <c r="U355" s="320"/>
    </row>
    <row r="356" spans="1:21" s="446" customFormat="1" outlineLevel="1">
      <c r="A356" s="447"/>
      <c r="B356" s="447"/>
      <c r="C356" s="455">
        <v>2210301</v>
      </c>
      <c r="D356" s="456" t="s">
        <v>25</v>
      </c>
      <c r="E356" s="457">
        <v>500000</v>
      </c>
      <c r="F356" s="457"/>
      <c r="G356" s="457"/>
      <c r="H356" s="457"/>
      <c r="I356" s="324">
        <f t="shared" si="274"/>
        <v>500000</v>
      </c>
      <c r="J356" s="335"/>
      <c r="K356" s="335">
        <f>1113889-530000</f>
        <v>583889</v>
      </c>
      <c r="L356" s="317">
        <f t="shared" si="271"/>
        <v>1083889</v>
      </c>
      <c r="M356" s="317"/>
      <c r="N356" s="372">
        <f t="shared" si="278"/>
        <v>-583889</v>
      </c>
      <c r="O356" s="336">
        <f t="shared" si="313"/>
        <v>1192277.9000000001</v>
      </c>
      <c r="P356" s="336">
        <f t="shared" si="314"/>
        <v>1311505.6900000002</v>
      </c>
      <c r="R356" s="317"/>
      <c r="U356" s="320"/>
    </row>
    <row r="357" spans="1:21" s="446" customFormat="1" outlineLevel="1">
      <c r="A357" s="447"/>
      <c r="B357" s="447"/>
      <c r="C357" s="455">
        <v>2210302</v>
      </c>
      <c r="D357" s="456" t="s">
        <v>26</v>
      </c>
      <c r="E357" s="457">
        <v>998899</v>
      </c>
      <c r="F357" s="457"/>
      <c r="G357" s="457"/>
      <c r="H357" s="457"/>
      <c r="I357" s="324">
        <f t="shared" si="274"/>
        <v>998899</v>
      </c>
      <c r="J357" s="335"/>
      <c r="K357" s="335">
        <v>500000</v>
      </c>
      <c r="L357" s="317">
        <f t="shared" si="271"/>
        <v>1498899</v>
      </c>
      <c r="M357" s="317"/>
      <c r="N357" s="372">
        <f t="shared" si="278"/>
        <v>-500000</v>
      </c>
      <c r="O357" s="336">
        <f t="shared" si="313"/>
        <v>1648788.9000000001</v>
      </c>
      <c r="P357" s="336">
        <f t="shared" si="314"/>
        <v>1813667.7900000003</v>
      </c>
      <c r="R357" s="317"/>
      <c r="U357" s="320"/>
    </row>
    <row r="358" spans="1:21" s="446" customFormat="1" outlineLevel="1">
      <c r="A358" s="447"/>
      <c r="B358" s="447"/>
      <c r="C358" s="455">
        <v>2210303</v>
      </c>
      <c r="D358" s="456" t="s">
        <v>27</v>
      </c>
      <c r="E358" s="457">
        <v>1250000</v>
      </c>
      <c r="F358" s="457"/>
      <c r="G358" s="457"/>
      <c r="H358" s="457"/>
      <c r="I358" s="324">
        <f t="shared" si="274"/>
        <v>1250000</v>
      </c>
      <c r="J358" s="335"/>
      <c r="K358" s="335"/>
      <c r="L358" s="317">
        <f t="shared" si="271"/>
        <v>1250000</v>
      </c>
      <c r="M358" s="317"/>
      <c r="N358" s="372">
        <f t="shared" si="278"/>
        <v>0</v>
      </c>
      <c r="O358" s="336">
        <f t="shared" si="313"/>
        <v>1375000</v>
      </c>
      <c r="P358" s="336">
        <f t="shared" si="314"/>
        <v>1512500.0000000002</v>
      </c>
      <c r="R358" s="317"/>
      <c r="U358" s="320"/>
    </row>
    <row r="359" spans="1:21" s="446" customFormat="1" outlineLevel="1">
      <c r="A359" s="447"/>
      <c r="B359" s="447"/>
      <c r="C359" s="455" t="s">
        <v>2560</v>
      </c>
      <c r="D359" s="456" t="s">
        <v>28</v>
      </c>
      <c r="E359" s="457"/>
      <c r="F359" s="457"/>
      <c r="G359" s="457"/>
      <c r="H359" s="457"/>
      <c r="I359" s="324">
        <f t="shared" si="274"/>
        <v>0</v>
      </c>
      <c r="J359" s="335"/>
      <c r="K359" s="335">
        <v>1000000</v>
      </c>
      <c r="L359" s="317">
        <f t="shared" si="271"/>
        <v>1000000</v>
      </c>
      <c r="M359" s="317"/>
      <c r="N359" s="372">
        <f t="shared" si="278"/>
        <v>-1000000</v>
      </c>
      <c r="O359" s="336"/>
      <c r="P359" s="336"/>
      <c r="R359" s="317"/>
      <c r="U359" s="320"/>
    </row>
    <row r="360" spans="1:21" s="446" customFormat="1" outlineLevel="1">
      <c r="A360" s="447"/>
      <c r="B360" s="447"/>
      <c r="C360" s="453">
        <v>2210700</v>
      </c>
      <c r="D360" s="454" t="s">
        <v>35</v>
      </c>
      <c r="E360" s="329">
        <f>E361+E362+E363</f>
        <v>986000</v>
      </c>
      <c r="F360" s="329">
        <f t="shared" ref="F360:K360" si="317">F361+F362+F363</f>
        <v>0</v>
      </c>
      <c r="G360" s="329">
        <f t="shared" si="317"/>
        <v>0</v>
      </c>
      <c r="H360" s="329">
        <f t="shared" si="317"/>
        <v>0</v>
      </c>
      <c r="I360" s="329">
        <f t="shared" si="317"/>
        <v>986000</v>
      </c>
      <c r="J360" s="329">
        <f t="shared" si="317"/>
        <v>0</v>
      </c>
      <c r="K360" s="329">
        <f t="shared" si="317"/>
        <v>0</v>
      </c>
      <c r="L360" s="317">
        <f t="shared" si="271"/>
        <v>986000</v>
      </c>
      <c r="M360" s="317"/>
      <c r="N360" s="372">
        <f t="shared" si="278"/>
        <v>0</v>
      </c>
      <c r="O360" s="329">
        <f t="shared" ref="O360:P360" si="318">O361+O362+O363</f>
        <v>1084600</v>
      </c>
      <c r="P360" s="329">
        <f t="shared" si="318"/>
        <v>1193060</v>
      </c>
      <c r="R360" s="317"/>
      <c r="U360" s="320"/>
    </row>
    <row r="361" spans="1:21" s="446" customFormat="1" outlineLevel="1">
      <c r="A361" s="447"/>
      <c r="B361" s="447"/>
      <c r="C361" s="455">
        <v>2210701</v>
      </c>
      <c r="D361" s="456" t="s">
        <v>36</v>
      </c>
      <c r="E361" s="458">
        <v>580000</v>
      </c>
      <c r="F361" s="457"/>
      <c r="G361" s="457"/>
      <c r="H361" s="457"/>
      <c r="I361" s="324">
        <f t="shared" si="274"/>
        <v>580000</v>
      </c>
      <c r="J361" s="335"/>
      <c r="K361" s="335"/>
      <c r="L361" s="317">
        <f t="shared" si="271"/>
        <v>580000</v>
      </c>
      <c r="M361" s="317"/>
      <c r="N361" s="372">
        <f t="shared" si="278"/>
        <v>0</v>
      </c>
      <c r="O361" s="336">
        <f t="shared" si="313"/>
        <v>638000</v>
      </c>
      <c r="P361" s="336">
        <f t="shared" si="314"/>
        <v>701800</v>
      </c>
      <c r="R361" s="317"/>
      <c r="U361" s="320"/>
    </row>
    <row r="362" spans="1:21" s="446" customFormat="1" outlineLevel="1">
      <c r="A362" s="447"/>
      <c r="B362" s="447"/>
      <c r="C362" s="455">
        <v>2210704</v>
      </c>
      <c r="D362" s="456" t="s">
        <v>38</v>
      </c>
      <c r="E362" s="458">
        <v>116000</v>
      </c>
      <c r="F362" s="457"/>
      <c r="G362" s="457"/>
      <c r="H362" s="457"/>
      <c r="I362" s="324">
        <f t="shared" si="274"/>
        <v>116000</v>
      </c>
      <c r="J362" s="335"/>
      <c r="K362" s="335"/>
      <c r="L362" s="317">
        <f t="shared" si="271"/>
        <v>116000</v>
      </c>
      <c r="M362" s="317"/>
      <c r="N362" s="372">
        <f t="shared" si="278"/>
        <v>0</v>
      </c>
      <c r="O362" s="336">
        <f t="shared" si="313"/>
        <v>127600.00000000001</v>
      </c>
      <c r="P362" s="336">
        <f t="shared" si="314"/>
        <v>140360.00000000003</v>
      </c>
      <c r="R362" s="317"/>
      <c r="U362" s="320"/>
    </row>
    <row r="363" spans="1:21" s="446" customFormat="1" outlineLevel="1">
      <c r="A363" s="447"/>
      <c r="B363" s="447"/>
      <c r="C363" s="455">
        <v>2210710</v>
      </c>
      <c r="D363" s="456" t="s">
        <v>39</v>
      </c>
      <c r="E363" s="458">
        <v>290000</v>
      </c>
      <c r="F363" s="457"/>
      <c r="G363" s="457"/>
      <c r="H363" s="457"/>
      <c r="I363" s="324">
        <f t="shared" si="274"/>
        <v>290000</v>
      </c>
      <c r="J363" s="335"/>
      <c r="K363" s="335">
        <v>0</v>
      </c>
      <c r="L363" s="317">
        <f t="shared" si="271"/>
        <v>290000</v>
      </c>
      <c r="M363" s="317"/>
      <c r="N363" s="372">
        <f t="shared" si="278"/>
        <v>0</v>
      </c>
      <c r="O363" s="336">
        <f t="shared" si="313"/>
        <v>319000</v>
      </c>
      <c r="P363" s="336">
        <f t="shared" si="314"/>
        <v>350900</v>
      </c>
      <c r="R363" s="317"/>
      <c r="U363" s="320"/>
    </row>
    <row r="364" spans="1:21" s="446" customFormat="1" outlineLevel="1">
      <c r="A364" s="447"/>
      <c r="B364" s="447"/>
      <c r="C364" s="453">
        <v>2210800</v>
      </c>
      <c r="D364" s="454" t="s">
        <v>42</v>
      </c>
      <c r="E364" s="329">
        <f>E365</f>
        <v>4748500</v>
      </c>
      <c r="F364" s="329">
        <f t="shared" ref="F364:K364" si="319">F365</f>
        <v>0</v>
      </c>
      <c r="G364" s="329">
        <f t="shared" si="319"/>
        <v>0</v>
      </c>
      <c r="H364" s="329">
        <f t="shared" si="319"/>
        <v>0</v>
      </c>
      <c r="I364" s="329">
        <f t="shared" si="319"/>
        <v>4748500</v>
      </c>
      <c r="J364" s="329">
        <f t="shared" si="319"/>
        <v>0</v>
      </c>
      <c r="K364" s="329">
        <f t="shared" si="319"/>
        <v>0</v>
      </c>
      <c r="L364" s="317">
        <f t="shared" si="271"/>
        <v>4748500</v>
      </c>
      <c r="M364" s="317"/>
      <c r="N364" s="372">
        <f t="shared" si="278"/>
        <v>0</v>
      </c>
      <c r="O364" s="329">
        <f t="shared" ref="O364:P364" si="320">O365</f>
        <v>5223350</v>
      </c>
      <c r="P364" s="329">
        <f t="shared" si="320"/>
        <v>5745685</v>
      </c>
      <c r="R364" s="317"/>
      <c r="U364" s="320"/>
    </row>
    <row r="365" spans="1:21" s="446" customFormat="1" outlineLevel="1">
      <c r="A365" s="447"/>
      <c r="B365" s="447"/>
      <c r="C365" s="455">
        <v>2210801</v>
      </c>
      <c r="D365" s="456" t="s">
        <v>1563</v>
      </c>
      <c r="E365" s="457">
        <v>4748500</v>
      </c>
      <c r="F365" s="457"/>
      <c r="G365" s="457"/>
      <c r="H365" s="457"/>
      <c r="I365" s="324">
        <f t="shared" si="274"/>
        <v>4748500</v>
      </c>
      <c r="J365" s="335"/>
      <c r="K365" s="335"/>
      <c r="L365" s="317">
        <f t="shared" si="271"/>
        <v>4748500</v>
      </c>
      <c r="M365" s="317"/>
      <c r="N365" s="372">
        <f t="shared" si="278"/>
        <v>0</v>
      </c>
      <c r="O365" s="336">
        <f t="shared" si="313"/>
        <v>5223350</v>
      </c>
      <c r="P365" s="336">
        <f t="shared" si="314"/>
        <v>5745685</v>
      </c>
      <c r="R365" s="317"/>
      <c r="U365" s="320"/>
    </row>
    <row r="366" spans="1:21" s="446" customFormat="1" outlineLevel="1">
      <c r="A366" s="447"/>
      <c r="B366" s="447"/>
      <c r="C366" s="453">
        <v>2211100</v>
      </c>
      <c r="D366" s="454" t="s">
        <v>51</v>
      </c>
      <c r="E366" s="329">
        <f>E367+E368+E369</f>
        <v>2000000</v>
      </c>
      <c r="F366" s="329">
        <f t="shared" ref="F366:K366" si="321">F367+F368+F369</f>
        <v>0</v>
      </c>
      <c r="G366" s="329">
        <f t="shared" si="321"/>
        <v>0</v>
      </c>
      <c r="H366" s="329">
        <f t="shared" si="321"/>
        <v>0</v>
      </c>
      <c r="I366" s="329">
        <f t="shared" si="321"/>
        <v>2000000</v>
      </c>
      <c r="J366" s="329">
        <f t="shared" si="321"/>
        <v>0</v>
      </c>
      <c r="K366" s="329">
        <f t="shared" si="321"/>
        <v>0</v>
      </c>
      <c r="L366" s="317">
        <f t="shared" si="271"/>
        <v>2000000</v>
      </c>
      <c r="M366" s="317"/>
      <c r="N366" s="372">
        <f t="shared" si="278"/>
        <v>0</v>
      </c>
      <c r="O366" s="329">
        <f t="shared" ref="O366:P366" si="322">O367+O368+O369</f>
        <v>2200000</v>
      </c>
      <c r="P366" s="329">
        <f t="shared" si="322"/>
        <v>2420000.0000000005</v>
      </c>
      <c r="R366" s="317"/>
      <c r="U366" s="320"/>
    </row>
    <row r="367" spans="1:21" s="446" customFormat="1" outlineLevel="1">
      <c r="A367" s="447"/>
      <c r="B367" s="447"/>
      <c r="C367" s="455">
        <v>2211101</v>
      </c>
      <c r="D367" s="456" t="s">
        <v>52</v>
      </c>
      <c r="E367" s="457">
        <v>500000</v>
      </c>
      <c r="F367" s="457"/>
      <c r="G367" s="457"/>
      <c r="H367" s="457"/>
      <c r="I367" s="324">
        <f t="shared" si="274"/>
        <v>500000</v>
      </c>
      <c r="J367" s="335"/>
      <c r="K367" s="335"/>
      <c r="L367" s="317">
        <f t="shared" si="271"/>
        <v>500000</v>
      </c>
      <c r="M367" s="317"/>
      <c r="N367" s="372">
        <f t="shared" si="278"/>
        <v>0</v>
      </c>
      <c r="O367" s="336">
        <f t="shared" si="313"/>
        <v>550000</v>
      </c>
      <c r="P367" s="336">
        <f t="shared" si="314"/>
        <v>605000</v>
      </c>
      <c r="R367" s="317"/>
      <c r="U367" s="320"/>
    </row>
    <row r="368" spans="1:21" s="446" customFormat="1" outlineLevel="1">
      <c r="A368" s="447"/>
      <c r="B368" s="447"/>
      <c r="C368" s="455">
        <v>2211102</v>
      </c>
      <c r="D368" s="456" t="s">
        <v>53</v>
      </c>
      <c r="E368" s="457">
        <v>800000</v>
      </c>
      <c r="F368" s="457"/>
      <c r="G368" s="457"/>
      <c r="H368" s="457"/>
      <c r="I368" s="324">
        <f t="shared" si="274"/>
        <v>800000</v>
      </c>
      <c r="J368" s="335"/>
      <c r="K368" s="335"/>
      <c r="L368" s="317">
        <f t="shared" si="271"/>
        <v>800000</v>
      </c>
      <c r="M368" s="317"/>
      <c r="N368" s="372">
        <f t="shared" si="278"/>
        <v>0</v>
      </c>
      <c r="O368" s="336">
        <f t="shared" si="313"/>
        <v>880000.00000000012</v>
      </c>
      <c r="P368" s="336">
        <f t="shared" si="314"/>
        <v>968000.00000000023</v>
      </c>
      <c r="R368" s="317"/>
      <c r="U368" s="320"/>
    </row>
    <row r="369" spans="1:21" s="446" customFormat="1" outlineLevel="1">
      <c r="A369" s="447"/>
      <c r="B369" s="447"/>
      <c r="C369" s="455">
        <v>2211103</v>
      </c>
      <c r="D369" s="456" t="s">
        <v>54</v>
      </c>
      <c r="E369" s="457">
        <v>700000</v>
      </c>
      <c r="F369" s="457"/>
      <c r="G369" s="457"/>
      <c r="H369" s="457"/>
      <c r="I369" s="324">
        <f t="shared" si="274"/>
        <v>700000</v>
      </c>
      <c r="J369" s="335"/>
      <c r="K369" s="335"/>
      <c r="L369" s="317">
        <f t="shared" si="271"/>
        <v>700000</v>
      </c>
      <c r="M369" s="317"/>
      <c r="N369" s="372">
        <f t="shared" si="278"/>
        <v>0</v>
      </c>
      <c r="O369" s="336">
        <f t="shared" si="313"/>
        <v>770000.00000000012</v>
      </c>
      <c r="P369" s="336">
        <f t="shared" si="314"/>
        <v>847000.00000000023</v>
      </c>
      <c r="R369" s="317"/>
      <c r="U369" s="320"/>
    </row>
    <row r="370" spans="1:21" s="446" customFormat="1" outlineLevel="1">
      <c r="A370" s="447"/>
      <c r="B370" s="447"/>
      <c r="C370" s="453">
        <v>2211200</v>
      </c>
      <c r="D370" s="454" t="s">
        <v>55</v>
      </c>
      <c r="E370" s="329">
        <f>E371</f>
        <v>1500000</v>
      </c>
      <c r="F370" s="329">
        <f t="shared" ref="F370:K370" si="323">F371</f>
        <v>0</v>
      </c>
      <c r="G370" s="329">
        <f t="shared" si="323"/>
        <v>0</v>
      </c>
      <c r="H370" s="329">
        <f t="shared" si="323"/>
        <v>0</v>
      </c>
      <c r="I370" s="329">
        <f t="shared" si="323"/>
        <v>1500000</v>
      </c>
      <c r="J370" s="329">
        <f t="shared" si="323"/>
        <v>0</v>
      </c>
      <c r="K370" s="329">
        <f t="shared" si="323"/>
        <v>0</v>
      </c>
      <c r="L370" s="317">
        <f t="shared" si="271"/>
        <v>1500000</v>
      </c>
      <c r="M370" s="317"/>
      <c r="N370" s="372">
        <f t="shared" si="278"/>
        <v>0</v>
      </c>
      <c r="O370" s="329">
        <f t="shared" ref="O370:P370" si="324">O371</f>
        <v>1650000.0000000002</v>
      </c>
      <c r="P370" s="329">
        <f t="shared" si="324"/>
        <v>1815000.0000000005</v>
      </c>
      <c r="R370" s="317"/>
      <c r="U370" s="320"/>
    </row>
    <row r="371" spans="1:21" s="446" customFormat="1" outlineLevel="1">
      <c r="A371" s="447"/>
      <c r="B371" s="447"/>
      <c r="C371" s="455">
        <v>2211201</v>
      </c>
      <c r="D371" s="456" t="s">
        <v>55</v>
      </c>
      <c r="E371" s="457">
        <v>1500000</v>
      </c>
      <c r="F371" s="457"/>
      <c r="G371" s="457"/>
      <c r="H371" s="457"/>
      <c r="I371" s="324">
        <f t="shared" si="274"/>
        <v>1500000</v>
      </c>
      <c r="J371" s="335"/>
      <c r="K371" s="335"/>
      <c r="L371" s="317">
        <f t="shared" si="271"/>
        <v>1500000</v>
      </c>
      <c r="M371" s="317"/>
      <c r="N371" s="372">
        <f t="shared" si="278"/>
        <v>0</v>
      </c>
      <c r="O371" s="336">
        <f t="shared" si="313"/>
        <v>1650000.0000000002</v>
      </c>
      <c r="P371" s="336">
        <f t="shared" si="314"/>
        <v>1815000.0000000005</v>
      </c>
      <c r="R371" s="317"/>
      <c r="U371" s="320"/>
    </row>
    <row r="372" spans="1:21" s="446" customFormat="1" outlineLevel="1">
      <c r="A372" s="447"/>
      <c r="B372" s="447"/>
      <c r="C372" s="453">
        <v>2220100</v>
      </c>
      <c r="D372" s="454" t="s">
        <v>62</v>
      </c>
      <c r="E372" s="329">
        <f>E373</f>
        <v>1240000</v>
      </c>
      <c r="F372" s="329">
        <f t="shared" ref="F372:P372" si="325">F373</f>
        <v>0</v>
      </c>
      <c r="G372" s="329">
        <f t="shared" si="325"/>
        <v>0</v>
      </c>
      <c r="H372" s="329">
        <f t="shared" si="325"/>
        <v>0</v>
      </c>
      <c r="I372" s="329">
        <f t="shared" si="325"/>
        <v>1240000</v>
      </c>
      <c r="J372" s="329">
        <f t="shared" si="325"/>
        <v>0</v>
      </c>
      <c r="K372" s="329">
        <f t="shared" si="325"/>
        <v>-591000</v>
      </c>
      <c r="L372" s="317">
        <f t="shared" si="271"/>
        <v>649000</v>
      </c>
      <c r="M372" s="317"/>
      <c r="N372" s="372">
        <f t="shared" si="278"/>
        <v>591000</v>
      </c>
      <c r="O372" s="329">
        <f t="shared" si="325"/>
        <v>713900</v>
      </c>
      <c r="P372" s="329">
        <f t="shared" si="325"/>
        <v>785290.00000000012</v>
      </c>
      <c r="R372" s="317"/>
      <c r="U372" s="320"/>
    </row>
    <row r="373" spans="1:21" s="446" customFormat="1" outlineLevel="1">
      <c r="A373" s="447"/>
      <c r="B373" s="447"/>
      <c r="C373" s="455">
        <v>2220101</v>
      </c>
      <c r="D373" s="456" t="s">
        <v>85</v>
      </c>
      <c r="E373" s="457">
        <f>400000+340000+500000</f>
        <v>1240000</v>
      </c>
      <c r="F373" s="457"/>
      <c r="G373" s="457"/>
      <c r="H373" s="457"/>
      <c r="I373" s="324">
        <f t="shared" si="274"/>
        <v>1240000</v>
      </c>
      <c r="J373" s="335"/>
      <c r="K373" s="335">
        <v>-591000</v>
      </c>
      <c r="L373" s="317">
        <f t="shared" si="271"/>
        <v>649000</v>
      </c>
      <c r="M373" s="317"/>
      <c r="N373" s="372">
        <f t="shared" si="278"/>
        <v>591000</v>
      </c>
      <c r="O373" s="336">
        <f t="shared" si="313"/>
        <v>713900</v>
      </c>
      <c r="P373" s="336">
        <f t="shared" si="314"/>
        <v>785290.00000000012</v>
      </c>
      <c r="R373" s="317"/>
      <c r="U373" s="320"/>
    </row>
    <row r="374" spans="1:21" s="446" customFormat="1" outlineLevel="1">
      <c r="A374" s="447"/>
      <c r="B374" s="447"/>
      <c r="C374" s="453">
        <v>2220200</v>
      </c>
      <c r="D374" s="454" t="s">
        <v>86</v>
      </c>
      <c r="E374" s="329">
        <f>E375</f>
        <v>600000</v>
      </c>
      <c r="F374" s="329">
        <f t="shared" ref="F374:P374" si="326">F375</f>
        <v>0</v>
      </c>
      <c r="G374" s="329">
        <f t="shared" si="326"/>
        <v>0</v>
      </c>
      <c r="H374" s="329">
        <f t="shared" si="326"/>
        <v>0</v>
      </c>
      <c r="I374" s="329">
        <f t="shared" si="326"/>
        <v>600000</v>
      </c>
      <c r="J374" s="329">
        <f t="shared" si="326"/>
        <v>0</v>
      </c>
      <c r="K374" s="329">
        <f t="shared" si="326"/>
        <v>0</v>
      </c>
      <c r="L374" s="317">
        <f t="shared" si="271"/>
        <v>600000</v>
      </c>
      <c r="M374" s="317"/>
      <c r="N374" s="372">
        <f t="shared" si="278"/>
        <v>0</v>
      </c>
      <c r="O374" s="329">
        <f t="shared" si="326"/>
        <v>660000</v>
      </c>
      <c r="P374" s="329">
        <f t="shared" si="326"/>
        <v>726000.00000000012</v>
      </c>
      <c r="R374" s="317"/>
      <c r="U374" s="320"/>
    </row>
    <row r="375" spans="1:21" s="446" customFormat="1" outlineLevel="1">
      <c r="A375" s="447"/>
      <c r="B375" s="447"/>
      <c r="C375" s="455">
        <v>2220202</v>
      </c>
      <c r="D375" s="456" t="s">
        <v>130</v>
      </c>
      <c r="E375" s="457">
        <f>500000-200000+300000</f>
        <v>600000</v>
      </c>
      <c r="F375" s="457"/>
      <c r="G375" s="457"/>
      <c r="H375" s="457"/>
      <c r="I375" s="324">
        <f t="shared" si="274"/>
        <v>600000</v>
      </c>
      <c r="J375" s="335"/>
      <c r="K375" s="335"/>
      <c r="L375" s="317">
        <f t="shared" si="271"/>
        <v>600000</v>
      </c>
      <c r="M375" s="317"/>
      <c r="N375" s="372">
        <f t="shared" si="278"/>
        <v>0</v>
      </c>
      <c r="O375" s="336">
        <f t="shared" si="313"/>
        <v>660000</v>
      </c>
      <c r="P375" s="336">
        <f t="shared" si="314"/>
        <v>726000.00000000012</v>
      </c>
      <c r="R375" s="317"/>
      <c r="U375" s="320"/>
    </row>
    <row r="376" spans="1:21" s="446" customFormat="1" outlineLevel="1">
      <c r="A376" s="447"/>
      <c r="B376" s="447"/>
      <c r="C376" s="453">
        <v>3111000</v>
      </c>
      <c r="D376" s="454" t="s">
        <v>69</v>
      </c>
      <c r="E376" s="329">
        <f>E377+E378</f>
        <v>700000</v>
      </c>
      <c r="F376" s="329">
        <f t="shared" ref="F376:P376" si="327">F377+F378</f>
        <v>0</v>
      </c>
      <c r="G376" s="329">
        <f t="shared" si="327"/>
        <v>0</v>
      </c>
      <c r="H376" s="329">
        <f t="shared" si="327"/>
        <v>0</v>
      </c>
      <c r="I376" s="329">
        <f t="shared" si="327"/>
        <v>700000</v>
      </c>
      <c r="J376" s="329">
        <f t="shared" si="327"/>
        <v>0</v>
      </c>
      <c r="K376" s="329">
        <f t="shared" si="327"/>
        <v>-300000</v>
      </c>
      <c r="L376" s="317">
        <f t="shared" si="271"/>
        <v>400000</v>
      </c>
      <c r="M376" s="317"/>
      <c r="N376" s="372">
        <f t="shared" si="278"/>
        <v>300000</v>
      </c>
      <c r="O376" s="329">
        <f t="shared" si="327"/>
        <v>440000.00000000006</v>
      </c>
      <c r="P376" s="329">
        <f t="shared" si="327"/>
        <v>484000.00000000012</v>
      </c>
      <c r="R376" s="317"/>
      <c r="U376" s="320"/>
    </row>
    <row r="377" spans="1:21" s="446" customFormat="1" outlineLevel="1">
      <c r="A377" s="447"/>
      <c r="B377" s="447"/>
      <c r="C377" s="455">
        <v>3111001</v>
      </c>
      <c r="D377" s="456" t="s">
        <v>70</v>
      </c>
      <c r="E377" s="457">
        <v>300000</v>
      </c>
      <c r="F377" s="457"/>
      <c r="G377" s="457"/>
      <c r="H377" s="457"/>
      <c r="I377" s="324">
        <f t="shared" si="274"/>
        <v>300000</v>
      </c>
      <c r="J377" s="335"/>
      <c r="K377" s="335">
        <v>-300000</v>
      </c>
      <c r="L377" s="317">
        <f t="shared" si="271"/>
        <v>0</v>
      </c>
      <c r="M377" s="317"/>
      <c r="N377" s="372">
        <f t="shared" si="278"/>
        <v>300000</v>
      </c>
      <c r="O377" s="336">
        <f t="shared" si="313"/>
        <v>0</v>
      </c>
      <c r="P377" s="336">
        <f t="shared" si="314"/>
        <v>0</v>
      </c>
      <c r="R377" s="317"/>
      <c r="U377" s="320"/>
    </row>
    <row r="378" spans="1:21" s="446" customFormat="1" outlineLevel="1">
      <c r="A378" s="447"/>
      <c r="B378" s="447"/>
      <c r="C378" s="455">
        <v>3111002</v>
      </c>
      <c r="D378" s="456" t="s">
        <v>71</v>
      </c>
      <c r="E378" s="457">
        <v>400000</v>
      </c>
      <c r="F378" s="457"/>
      <c r="G378" s="457"/>
      <c r="H378" s="457"/>
      <c r="I378" s="324">
        <f t="shared" si="274"/>
        <v>400000</v>
      </c>
      <c r="J378" s="335"/>
      <c r="K378" s="335"/>
      <c r="L378" s="317">
        <f t="shared" si="271"/>
        <v>400000</v>
      </c>
      <c r="M378" s="317"/>
      <c r="N378" s="372">
        <f t="shared" si="278"/>
        <v>0</v>
      </c>
      <c r="O378" s="336">
        <f t="shared" si="313"/>
        <v>440000.00000000006</v>
      </c>
      <c r="P378" s="336">
        <f t="shared" si="314"/>
        <v>484000.00000000012</v>
      </c>
      <c r="R378" s="317"/>
      <c r="U378" s="320"/>
    </row>
    <row r="379" spans="1:21" s="446" customFormat="1" outlineLevel="1">
      <c r="A379" s="447"/>
      <c r="B379" s="447"/>
      <c r="C379" s="339"/>
      <c r="D379" s="343"/>
      <c r="E379" s="386">
        <f>E380</f>
        <v>0</v>
      </c>
      <c r="F379" s="386"/>
      <c r="G379" s="386"/>
      <c r="H379" s="386"/>
      <c r="I379" s="324">
        <f t="shared" si="274"/>
        <v>0</v>
      </c>
      <c r="J379" s="335"/>
      <c r="K379" s="335"/>
      <c r="L379" s="317">
        <f t="shared" si="271"/>
        <v>0</v>
      </c>
      <c r="M379" s="317"/>
      <c r="N379" s="372">
        <f t="shared" si="278"/>
        <v>0</v>
      </c>
      <c r="O379" s="381">
        <f t="shared" ref="O379:P379" si="328">O380</f>
        <v>0</v>
      </c>
      <c r="P379" s="381">
        <f t="shared" si="328"/>
        <v>0</v>
      </c>
      <c r="R379" s="317"/>
      <c r="U379" s="320"/>
    </row>
    <row r="380" spans="1:21" s="446" customFormat="1" outlineLevel="1">
      <c r="A380" s="447"/>
      <c r="B380" s="447"/>
      <c r="C380" s="331"/>
      <c r="D380" s="341"/>
      <c r="E380" s="334"/>
      <c r="F380" s="334"/>
      <c r="G380" s="334"/>
      <c r="H380" s="334"/>
      <c r="I380" s="324">
        <f t="shared" si="274"/>
        <v>0</v>
      </c>
      <c r="J380" s="335"/>
      <c r="K380" s="335"/>
      <c r="L380" s="317">
        <f t="shared" si="271"/>
        <v>0</v>
      </c>
      <c r="M380" s="317"/>
      <c r="N380" s="372">
        <f t="shared" si="278"/>
        <v>0</v>
      </c>
      <c r="O380" s="336">
        <f t="shared" si="313"/>
        <v>0</v>
      </c>
      <c r="P380" s="336">
        <f t="shared" si="314"/>
        <v>0</v>
      </c>
      <c r="R380" s="317"/>
      <c r="U380" s="320"/>
    </row>
    <row r="381" spans="1:21" s="446" customFormat="1" outlineLevel="1">
      <c r="A381" s="447"/>
      <c r="B381" s="447"/>
      <c r="C381" s="383"/>
      <c r="D381" s="383" t="s">
        <v>99</v>
      </c>
      <c r="E381" s="329">
        <f>E379+E376+E374+E372+E370+E366+E364+E360+E355+E352</f>
        <v>15023399</v>
      </c>
      <c r="F381" s="329">
        <f t="shared" ref="F381:K381" si="329">F379+F376+F374+F372+F370+F366+F364+F360+F355+F352</f>
        <v>0</v>
      </c>
      <c r="G381" s="329">
        <f t="shared" si="329"/>
        <v>0</v>
      </c>
      <c r="H381" s="329">
        <f t="shared" si="329"/>
        <v>0</v>
      </c>
      <c r="I381" s="329">
        <f t="shared" si="329"/>
        <v>15023399</v>
      </c>
      <c r="J381" s="329">
        <f t="shared" si="329"/>
        <v>0</v>
      </c>
      <c r="K381" s="329">
        <f t="shared" si="329"/>
        <v>992889</v>
      </c>
      <c r="L381" s="317">
        <f t="shared" si="271"/>
        <v>16016288</v>
      </c>
      <c r="M381" s="317"/>
      <c r="N381" s="372">
        <f t="shared" si="278"/>
        <v>-992889</v>
      </c>
      <c r="O381" s="329">
        <f t="shared" ref="O381:P381" si="330">O379+O376+O374+O372+O370+O366+O364+O360+O355+O352</f>
        <v>16517916.800000001</v>
      </c>
      <c r="P381" s="329">
        <f t="shared" si="330"/>
        <v>18169708.480000004</v>
      </c>
      <c r="R381" s="317"/>
      <c r="U381" s="320"/>
    </row>
    <row r="382" spans="1:21" s="446" customFormat="1" outlineLevel="1">
      <c r="A382" s="447"/>
      <c r="B382" s="447"/>
      <c r="C382" s="383"/>
      <c r="D382" s="383" t="s">
        <v>84</v>
      </c>
      <c r="E382" s="329">
        <f>E381</f>
        <v>15023399</v>
      </c>
      <c r="F382" s="329">
        <f t="shared" ref="F382:K382" si="331">F381</f>
        <v>0</v>
      </c>
      <c r="G382" s="329">
        <f t="shared" si="331"/>
        <v>0</v>
      </c>
      <c r="H382" s="329">
        <f t="shared" si="331"/>
        <v>0</v>
      </c>
      <c r="I382" s="329">
        <f t="shared" si="331"/>
        <v>15023399</v>
      </c>
      <c r="J382" s="329">
        <f t="shared" si="331"/>
        <v>0</v>
      </c>
      <c r="K382" s="329">
        <f t="shared" si="331"/>
        <v>992889</v>
      </c>
      <c r="L382" s="317">
        <f t="shared" si="271"/>
        <v>16016288</v>
      </c>
      <c r="M382" s="317"/>
      <c r="N382" s="372">
        <f t="shared" si="278"/>
        <v>-992889</v>
      </c>
      <c r="O382" s="329">
        <f t="shared" ref="O382:P382" si="332">O381</f>
        <v>16517916.800000001</v>
      </c>
      <c r="P382" s="329">
        <f t="shared" si="332"/>
        <v>18169708.480000004</v>
      </c>
      <c r="R382" s="317"/>
      <c r="U382" s="320"/>
    </row>
    <row r="383" spans="1:21" s="446" customFormat="1" outlineLevel="1">
      <c r="A383" s="447"/>
      <c r="B383" s="447"/>
      <c r="C383" s="314"/>
      <c r="D383" s="383" t="s">
        <v>1564</v>
      </c>
      <c r="E383" s="386">
        <f>E382+E348</f>
        <v>34462399</v>
      </c>
      <c r="F383" s="386">
        <f t="shared" ref="F383:K383" si="333">F382+F348</f>
        <v>0</v>
      </c>
      <c r="G383" s="386">
        <f t="shared" si="333"/>
        <v>0</v>
      </c>
      <c r="H383" s="386">
        <f t="shared" si="333"/>
        <v>0</v>
      </c>
      <c r="I383" s="386">
        <f t="shared" si="333"/>
        <v>34462399</v>
      </c>
      <c r="J383" s="386">
        <f t="shared" si="333"/>
        <v>0</v>
      </c>
      <c r="K383" s="386">
        <f t="shared" si="333"/>
        <v>4279389</v>
      </c>
      <c r="L383" s="317">
        <f t="shared" si="271"/>
        <v>38741788</v>
      </c>
      <c r="M383" s="317"/>
      <c r="N383" s="372">
        <f t="shared" si="278"/>
        <v>-4279389</v>
      </c>
      <c r="O383" s="386">
        <f>O382+O348</f>
        <v>41515966.799999997</v>
      </c>
      <c r="P383" s="386">
        <f>P382+P348</f>
        <v>45667563.480000004</v>
      </c>
      <c r="R383" s="317"/>
      <c r="U383" s="320"/>
    </row>
    <row r="384" spans="1:21" s="446" customFormat="1" outlineLevel="1">
      <c r="A384" s="447"/>
      <c r="B384" s="447"/>
      <c r="C384" s="314"/>
      <c r="D384" s="383"/>
      <c r="E384" s="386"/>
      <c r="F384" s="386"/>
      <c r="G384" s="386"/>
      <c r="H384" s="386"/>
      <c r="I384" s="386"/>
      <c r="J384" s="386"/>
      <c r="K384" s="386"/>
      <c r="L384" s="317">
        <f t="shared" si="271"/>
        <v>0</v>
      </c>
      <c r="M384" s="317"/>
      <c r="N384" s="372">
        <f t="shared" si="278"/>
        <v>0</v>
      </c>
      <c r="O384" s="386"/>
      <c r="P384" s="386"/>
      <c r="R384" s="317"/>
      <c r="U384" s="320"/>
    </row>
    <row r="385" spans="1:21" s="446" customFormat="1" outlineLevel="1">
      <c r="A385" s="447"/>
      <c r="B385" s="447"/>
      <c r="C385" s="314"/>
      <c r="D385" s="314" t="s">
        <v>1565</v>
      </c>
      <c r="E385" s="386">
        <f>E383+E301</f>
        <v>929120422</v>
      </c>
      <c r="F385" s="386">
        <f t="shared" ref="F385:K385" si="334">F383+F301</f>
        <v>0</v>
      </c>
      <c r="G385" s="386">
        <f t="shared" si="334"/>
        <v>104650365</v>
      </c>
      <c r="H385" s="386">
        <f t="shared" si="334"/>
        <v>1000000</v>
      </c>
      <c r="I385" s="386">
        <f t="shared" si="334"/>
        <v>1034770787</v>
      </c>
      <c r="J385" s="386">
        <f t="shared" si="334"/>
        <v>-7000000</v>
      </c>
      <c r="K385" s="386">
        <f t="shared" si="334"/>
        <v>-984040</v>
      </c>
      <c r="L385" s="317">
        <f t="shared" si="271"/>
        <v>1026786747</v>
      </c>
      <c r="M385" s="317"/>
      <c r="N385" s="372">
        <f t="shared" si="278"/>
        <v>984040</v>
      </c>
      <c r="O385" s="386">
        <f t="shared" ref="O385:P385" si="335">O383+O301</f>
        <v>1127959421.7</v>
      </c>
      <c r="P385" s="386">
        <f t="shared" si="335"/>
        <v>1240349363.8700004</v>
      </c>
      <c r="R385" s="317"/>
      <c r="U385" s="320"/>
    </row>
    <row r="386" spans="1:21" s="446" customFormat="1" outlineLevel="1">
      <c r="A386" s="447"/>
      <c r="B386" s="447"/>
      <c r="C386" s="332"/>
      <c r="D386" s="314" t="s">
        <v>1566</v>
      </c>
      <c r="E386" s="386">
        <f>E302</f>
        <v>798774535</v>
      </c>
      <c r="F386" s="386">
        <f t="shared" ref="F386:P386" si="336">F302</f>
        <v>156798932.5</v>
      </c>
      <c r="G386" s="386">
        <f t="shared" si="336"/>
        <v>0</v>
      </c>
      <c r="H386" s="386">
        <f t="shared" si="336"/>
        <v>0</v>
      </c>
      <c r="I386" s="386">
        <f t="shared" si="336"/>
        <v>955573467.5</v>
      </c>
      <c r="J386" s="386">
        <f t="shared" si="336"/>
        <v>0</v>
      </c>
      <c r="K386" s="386">
        <f t="shared" si="336"/>
        <v>0</v>
      </c>
      <c r="L386" s="317">
        <f t="shared" si="271"/>
        <v>955573467.5</v>
      </c>
      <c r="M386" s="317"/>
      <c r="N386" s="372">
        <f t="shared" si="278"/>
        <v>0</v>
      </c>
      <c r="O386" s="386">
        <f t="shared" si="336"/>
        <v>1049343314.25</v>
      </c>
      <c r="P386" s="386">
        <f t="shared" si="336"/>
        <v>1154277645.675</v>
      </c>
      <c r="R386" s="317"/>
      <c r="U386" s="320"/>
    </row>
    <row r="387" spans="1:21" s="446" customFormat="1" outlineLevel="1">
      <c r="A387" s="447"/>
      <c r="B387" s="447"/>
      <c r="C387" s="332"/>
      <c r="D387" s="383" t="s">
        <v>1567</v>
      </c>
      <c r="E387" s="386">
        <f>E385+E386</f>
        <v>1727894957</v>
      </c>
      <c r="F387" s="386">
        <f t="shared" ref="F387:K387" si="337">F385+F386</f>
        <v>156798932.5</v>
      </c>
      <c r="G387" s="386">
        <f t="shared" si="337"/>
        <v>104650365</v>
      </c>
      <c r="H387" s="386">
        <f t="shared" si="337"/>
        <v>1000000</v>
      </c>
      <c r="I387" s="386">
        <f t="shared" si="337"/>
        <v>1990344254.5</v>
      </c>
      <c r="J387" s="386">
        <f t="shared" si="337"/>
        <v>-7000000</v>
      </c>
      <c r="K387" s="386">
        <f t="shared" si="337"/>
        <v>-984040</v>
      </c>
      <c r="L387" s="317">
        <f t="shared" si="271"/>
        <v>1982360214.5</v>
      </c>
      <c r="M387" s="317"/>
      <c r="N387" s="372">
        <f t="shared" si="278"/>
        <v>984040</v>
      </c>
      <c r="O387" s="386">
        <f t="shared" ref="O387:P387" si="338">O385+O386</f>
        <v>2177302735.9499998</v>
      </c>
      <c r="P387" s="386">
        <f t="shared" si="338"/>
        <v>2394627009.5450001</v>
      </c>
      <c r="R387" s="317"/>
      <c r="U387" s="320" t="s">
        <v>1803</v>
      </c>
    </row>
    <row r="388" spans="1:21" s="446" customFormat="1" outlineLevel="1">
      <c r="A388" s="447"/>
      <c r="B388" s="447"/>
      <c r="C388" s="383"/>
      <c r="D388" s="443"/>
      <c r="E388" s="384"/>
      <c r="F388" s="448"/>
      <c r="G388" s="448"/>
      <c r="H388" s="448"/>
      <c r="I388" s="324">
        <f t="shared" si="274"/>
        <v>0</v>
      </c>
      <c r="J388" s="448"/>
      <c r="K388" s="448"/>
      <c r="L388" s="317">
        <f t="shared" ref="L388:L451" si="339">I388+J388+K388</f>
        <v>0</v>
      </c>
      <c r="M388" s="317"/>
      <c r="N388" s="372">
        <f t="shared" si="278"/>
        <v>0</v>
      </c>
      <c r="O388" s="395"/>
      <c r="P388" s="395"/>
      <c r="R388" s="317"/>
      <c r="U388" s="320"/>
    </row>
    <row r="389" spans="1:21" outlineLevel="1">
      <c r="A389" s="447"/>
      <c r="B389" s="447" t="s">
        <v>100</v>
      </c>
      <c r="C389" s="383" t="s">
        <v>101</v>
      </c>
      <c r="D389" s="383"/>
      <c r="E389" s="384"/>
      <c r="F389" s="384"/>
      <c r="G389" s="384"/>
      <c r="H389" s="384"/>
      <c r="I389" s="384"/>
      <c r="J389" s="384"/>
      <c r="K389" s="384"/>
      <c r="L389" s="317">
        <f t="shared" si="339"/>
        <v>0</v>
      </c>
      <c r="M389" s="317"/>
      <c r="N389" s="372">
        <f t="shared" si="278"/>
        <v>0</v>
      </c>
      <c r="O389" s="384"/>
      <c r="P389" s="384"/>
      <c r="R389" s="317"/>
      <c r="U389" s="320"/>
    </row>
    <row r="390" spans="1:21" s="344" customFormat="1" outlineLevel="1">
      <c r="A390" s="326"/>
      <c r="B390" s="326" t="s">
        <v>100</v>
      </c>
      <c r="C390" s="400" t="s">
        <v>101</v>
      </c>
      <c r="D390" s="400"/>
      <c r="E390" s="384"/>
      <c r="F390" s="459"/>
      <c r="G390" s="459"/>
      <c r="H390" s="459"/>
      <c r="I390" s="324">
        <f t="shared" ref="I390:I453" si="340">E390+F390+G390+H390</f>
        <v>0</v>
      </c>
      <c r="J390" s="459"/>
      <c r="K390" s="459"/>
      <c r="L390" s="317">
        <f t="shared" si="339"/>
        <v>0</v>
      </c>
      <c r="M390" s="317"/>
      <c r="N390" s="372">
        <f t="shared" si="278"/>
        <v>0</v>
      </c>
      <c r="O390" s="336">
        <f>L390*1.1</f>
        <v>0</v>
      </c>
      <c r="P390" s="336">
        <f t="shared" ref="P390:P404" si="341">O390*1.1</f>
        <v>0</v>
      </c>
      <c r="R390" s="317"/>
      <c r="U390" s="320"/>
    </row>
    <row r="391" spans="1:21" s="344" customFormat="1" outlineLevel="2">
      <c r="A391" s="345"/>
      <c r="B391" s="345"/>
      <c r="C391" s="400" t="s">
        <v>1266</v>
      </c>
      <c r="D391" s="460"/>
      <c r="E391" s="333"/>
      <c r="F391" s="461"/>
      <c r="G391" s="461"/>
      <c r="H391" s="461"/>
      <c r="I391" s="324">
        <f t="shared" si="340"/>
        <v>0</v>
      </c>
      <c r="J391" s="461"/>
      <c r="K391" s="461"/>
      <c r="L391" s="317">
        <f t="shared" si="339"/>
        <v>0</v>
      </c>
      <c r="M391" s="317"/>
      <c r="N391" s="372">
        <f t="shared" si="278"/>
        <v>0</v>
      </c>
      <c r="O391" s="451"/>
      <c r="P391" s="451"/>
      <c r="R391" s="317"/>
      <c r="U391" s="320"/>
    </row>
    <row r="392" spans="1:21" s="344" customFormat="1" outlineLevel="2">
      <c r="A392" s="345"/>
      <c r="B392" s="345"/>
      <c r="C392" s="400" t="s">
        <v>1675</v>
      </c>
      <c r="D392" s="460"/>
      <c r="E392" s="329"/>
      <c r="F392" s="461"/>
      <c r="G392" s="461"/>
      <c r="H392" s="461"/>
      <c r="I392" s="324">
        <f t="shared" si="340"/>
        <v>0</v>
      </c>
      <c r="J392" s="461"/>
      <c r="K392" s="461"/>
      <c r="L392" s="317">
        <f t="shared" si="339"/>
        <v>0</v>
      </c>
      <c r="M392" s="317"/>
      <c r="N392" s="372">
        <f t="shared" ref="N392:N455" si="342">M392-K392</f>
        <v>0</v>
      </c>
      <c r="O392" s="336">
        <f>L392*1.1</f>
        <v>0</v>
      </c>
      <c r="P392" s="336">
        <f t="shared" si="341"/>
        <v>0</v>
      </c>
      <c r="R392" s="317"/>
      <c r="U392" s="320"/>
    </row>
    <row r="393" spans="1:21" s="344" customFormat="1" outlineLevel="2">
      <c r="A393" s="345"/>
      <c r="B393" s="345"/>
      <c r="C393" s="328">
        <v>2210100</v>
      </c>
      <c r="D393" s="326" t="s">
        <v>16</v>
      </c>
      <c r="E393" s="462">
        <f>E394+E395</f>
        <v>6000</v>
      </c>
      <c r="F393" s="462">
        <f t="shared" ref="F393:K393" si="343">F394+F395</f>
        <v>0</v>
      </c>
      <c r="G393" s="462">
        <f t="shared" si="343"/>
        <v>0</v>
      </c>
      <c r="H393" s="462">
        <f t="shared" si="343"/>
        <v>0</v>
      </c>
      <c r="I393" s="462">
        <f t="shared" si="343"/>
        <v>6000</v>
      </c>
      <c r="J393" s="462">
        <f t="shared" si="343"/>
        <v>0</v>
      </c>
      <c r="K393" s="462">
        <f t="shared" si="343"/>
        <v>-6000</v>
      </c>
      <c r="L393" s="317">
        <f t="shared" si="339"/>
        <v>0</v>
      </c>
      <c r="M393" s="317"/>
      <c r="N393" s="372">
        <f t="shared" si="342"/>
        <v>6000</v>
      </c>
      <c r="O393" s="462">
        <f t="shared" ref="O393:P393" si="344">O394+O395</f>
        <v>0</v>
      </c>
      <c r="P393" s="462">
        <f t="shared" si="344"/>
        <v>0</v>
      </c>
      <c r="R393" s="317"/>
      <c r="U393" s="320"/>
    </row>
    <row r="394" spans="1:21" s="344" customFormat="1" outlineLevel="2">
      <c r="A394" s="345"/>
      <c r="B394" s="345"/>
      <c r="C394" s="405">
        <v>2210101</v>
      </c>
      <c r="D394" s="345" t="s">
        <v>17</v>
      </c>
      <c r="E394" s="406">
        <v>3400</v>
      </c>
      <c r="F394" s="406"/>
      <c r="G394" s="406"/>
      <c r="H394" s="406"/>
      <c r="I394" s="324">
        <f t="shared" si="340"/>
        <v>3400</v>
      </c>
      <c r="J394" s="406"/>
      <c r="K394" s="463">
        <v>-3400</v>
      </c>
      <c r="L394" s="317">
        <f t="shared" si="339"/>
        <v>0</v>
      </c>
      <c r="M394" s="317"/>
      <c r="N394" s="372">
        <f t="shared" si="342"/>
        <v>3400</v>
      </c>
      <c r="O394" s="464">
        <f>L394*1.1</f>
        <v>0</v>
      </c>
      <c r="P394" s="464">
        <f>O394*1.1</f>
        <v>0</v>
      </c>
      <c r="R394" s="317"/>
      <c r="U394" s="320"/>
    </row>
    <row r="395" spans="1:21" outlineLevel="2">
      <c r="A395" s="345"/>
      <c r="B395" s="345"/>
      <c r="C395" s="405">
        <v>2210102</v>
      </c>
      <c r="D395" s="345" t="s">
        <v>18</v>
      </c>
      <c r="E395" s="406">
        <v>2600</v>
      </c>
      <c r="F395" s="406"/>
      <c r="G395" s="406"/>
      <c r="H395" s="406"/>
      <c r="I395" s="324">
        <f t="shared" si="340"/>
        <v>2600</v>
      </c>
      <c r="J395" s="406"/>
      <c r="K395" s="463">
        <v>-2600</v>
      </c>
      <c r="L395" s="317">
        <f t="shared" si="339"/>
        <v>0</v>
      </c>
      <c r="M395" s="317"/>
      <c r="N395" s="372">
        <f t="shared" si="342"/>
        <v>2600</v>
      </c>
      <c r="O395" s="336">
        <f>L395*1.1</f>
        <v>0</v>
      </c>
      <c r="P395" s="336">
        <f t="shared" si="341"/>
        <v>0</v>
      </c>
      <c r="R395" s="317"/>
      <c r="U395" s="320"/>
    </row>
    <row r="396" spans="1:21" outlineLevel="2">
      <c r="A396" s="326"/>
      <c r="B396" s="326"/>
      <c r="C396" s="327">
        <v>2210200</v>
      </c>
      <c r="D396" s="460" t="s">
        <v>20</v>
      </c>
      <c r="E396" s="462">
        <f>SUM(E397:E398)</f>
        <v>301200</v>
      </c>
      <c r="F396" s="462">
        <f t="shared" ref="F396:K396" si="345">SUM(F397:F398)</f>
        <v>0</v>
      </c>
      <c r="G396" s="462">
        <f t="shared" si="345"/>
        <v>0</v>
      </c>
      <c r="H396" s="462">
        <f t="shared" si="345"/>
        <v>0</v>
      </c>
      <c r="I396" s="462">
        <f t="shared" si="345"/>
        <v>301200</v>
      </c>
      <c r="J396" s="462">
        <f t="shared" si="345"/>
        <v>0</v>
      </c>
      <c r="K396" s="462">
        <f t="shared" si="345"/>
        <v>-1200</v>
      </c>
      <c r="L396" s="317">
        <f t="shared" si="339"/>
        <v>300000</v>
      </c>
      <c r="M396" s="317"/>
      <c r="N396" s="372">
        <f t="shared" si="342"/>
        <v>1200</v>
      </c>
      <c r="O396" s="462">
        <f t="shared" ref="O396:P396" si="346">SUM(O397:O398)</f>
        <v>330000</v>
      </c>
      <c r="P396" s="462">
        <f t="shared" si="346"/>
        <v>363000.00000000006</v>
      </c>
      <c r="R396" s="317"/>
      <c r="U396" s="320"/>
    </row>
    <row r="397" spans="1:21" s="344" customFormat="1" outlineLevel="2">
      <c r="A397" s="345"/>
      <c r="B397" s="345"/>
      <c r="C397" s="346">
        <v>2210201</v>
      </c>
      <c r="D397" s="465" t="s">
        <v>21</v>
      </c>
      <c r="E397" s="406">
        <v>300000</v>
      </c>
      <c r="F397" s="406"/>
      <c r="G397" s="406"/>
      <c r="H397" s="406"/>
      <c r="I397" s="324">
        <f t="shared" si="340"/>
        <v>300000</v>
      </c>
      <c r="J397" s="406"/>
      <c r="K397" s="463"/>
      <c r="L397" s="317">
        <f t="shared" si="339"/>
        <v>300000</v>
      </c>
      <c r="M397" s="317"/>
      <c r="N397" s="372">
        <f t="shared" si="342"/>
        <v>0</v>
      </c>
      <c r="O397" s="464">
        <f>L397*1.1</f>
        <v>330000</v>
      </c>
      <c r="P397" s="464">
        <f>O397*1.1</f>
        <v>363000.00000000006</v>
      </c>
      <c r="R397" s="317"/>
      <c r="U397" s="320"/>
    </row>
    <row r="398" spans="1:21" outlineLevel="2">
      <c r="A398" s="345"/>
      <c r="B398" s="345"/>
      <c r="C398" s="346">
        <v>2210202</v>
      </c>
      <c r="D398" s="465" t="s">
        <v>22</v>
      </c>
      <c r="E398" s="406">
        <v>1200</v>
      </c>
      <c r="F398" s="406"/>
      <c r="G398" s="406"/>
      <c r="H398" s="406"/>
      <c r="I398" s="324">
        <f t="shared" si="340"/>
        <v>1200</v>
      </c>
      <c r="J398" s="406"/>
      <c r="K398" s="463">
        <v>-1200</v>
      </c>
      <c r="L398" s="317">
        <f t="shared" si="339"/>
        <v>0</v>
      </c>
      <c r="M398" s="317"/>
      <c r="N398" s="372">
        <f t="shared" si="342"/>
        <v>1200</v>
      </c>
      <c r="O398" s="336">
        <f>L398*1.1</f>
        <v>0</v>
      </c>
      <c r="P398" s="336">
        <f t="shared" si="341"/>
        <v>0</v>
      </c>
      <c r="R398" s="317"/>
      <c r="U398" s="320"/>
    </row>
    <row r="399" spans="1:21" s="344" customFormat="1" outlineLevel="2">
      <c r="A399" s="326"/>
      <c r="B399" s="326"/>
      <c r="C399" s="327" t="s">
        <v>102</v>
      </c>
      <c r="D399" s="460" t="s">
        <v>24</v>
      </c>
      <c r="E399" s="462">
        <f>SUM(E400:E402)</f>
        <v>1249150</v>
      </c>
      <c r="F399" s="462">
        <f t="shared" ref="F399:P399" si="347">SUM(F400:F402)</f>
        <v>0</v>
      </c>
      <c r="G399" s="462">
        <f t="shared" si="347"/>
        <v>0</v>
      </c>
      <c r="H399" s="462">
        <f t="shared" si="347"/>
        <v>0</v>
      </c>
      <c r="I399" s="462">
        <f t="shared" si="347"/>
        <v>1249150</v>
      </c>
      <c r="J399" s="462">
        <f t="shared" si="347"/>
        <v>0</v>
      </c>
      <c r="K399" s="462">
        <f t="shared" si="347"/>
        <v>400000</v>
      </c>
      <c r="L399" s="317">
        <f t="shared" si="339"/>
        <v>1649150</v>
      </c>
      <c r="M399" s="317"/>
      <c r="N399" s="372">
        <f t="shared" si="342"/>
        <v>-400000</v>
      </c>
      <c r="O399" s="462">
        <f t="shared" si="347"/>
        <v>1814065</v>
      </c>
      <c r="P399" s="462">
        <f t="shared" si="347"/>
        <v>1995471.5000000002</v>
      </c>
      <c r="R399" s="317"/>
      <c r="U399" s="320"/>
    </row>
    <row r="400" spans="1:21" s="344" customFormat="1" outlineLevel="2">
      <c r="A400" s="345"/>
      <c r="B400" s="345"/>
      <c r="C400" s="346">
        <v>2210301</v>
      </c>
      <c r="D400" s="465" t="s">
        <v>25</v>
      </c>
      <c r="E400" s="406">
        <v>345000</v>
      </c>
      <c r="F400" s="406"/>
      <c r="G400" s="406"/>
      <c r="H400" s="406"/>
      <c r="I400" s="324">
        <f t="shared" si="340"/>
        <v>345000</v>
      </c>
      <c r="J400" s="406"/>
      <c r="K400" s="463"/>
      <c r="L400" s="317">
        <f t="shared" si="339"/>
        <v>345000</v>
      </c>
      <c r="M400" s="317"/>
      <c r="N400" s="372">
        <f t="shared" si="342"/>
        <v>0</v>
      </c>
      <c r="O400" s="336">
        <f>L400*1.1</f>
        <v>379500.00000000006</v>
      </c>
      <c r="P400" s="336">
        <f t="shared" si="341"/>
        <v>417450.00000000012</v>
      </c>
      <c r="R400" s="317"/>
      <c r="U400" s="320"/>
    </row>
    <row r="401" spans="1:21" s="344" customFormat="1" outlineLevel="2">
      <c r="A401" s="345"/>
      <c r="B401" s="345"/>
      <c r="C401" s="346">
        <v>2210302</v>
      </c>
      <c r="D401" s="465" t="s">
        <v>26</v>
      </c>
      <c r="E401" s="406">
        <v>342000</v>
      </c>
      <c r="F401" s="406"/>
      <c r="G401" s="406"/>
      <c r="H401" s="406"/>
      <c r="I401" s="324">
        <f t="shared" si="340"/>
        <v>342000</v>
      </c>
      <c r="J401" s="406"/>
      <c r="K401" s="463"/>
      <c r="L401" s="317">
        <f t="shared" si="339"/>
        <v>342000</v>
      </c>
      <c r="M401" s="317"/>
      <c r="N401" s="372">
        <f t="shared" si="342"/>
        <v>0</v>
      </c>
      <c r="O401" s="464">
        <f>L401*1.1</f>
        <v>376200.00000000006</v>
      </c>
      <c r="P401" s="464">
        <f>O401*1.1</f>
        <v>413820.00000000012</v>
      </c>
      <c r="R401" s="317"/>
      <c r="U401" s="320"/>
    </row>
    <row r="402" spans="1:21" s="344" customFormat="1" outlineLevel="2">
      <c r="A402" s="345"/>
      <c r="B402" s="345"/>
      <c r="C402" s="346">
        <v>2210303</v>
      </c>
      <c r="D402" s="465" t="s">
        <v>27</v>
      </c>
      <c r="E402" s="406">
        <v>562150</v>
      </c>
      <c r="F402" s="406"/>
      <c r="G402" s="406"/>
      <c r="H402" s="406"/>
      <c r="I402" s="324">
        <f t="shared" si="340"/>
        <v>562150</v>
      </c>
      <c r="J402" s="406"/>
      <c r="K402" s="463">
        <v>400000</v>
      </c>
      <c r="L402" s="317">
        <f t="shared" si="339"/>
        <v>962150</v>
      </c>
      <c r="M402" s="317"/>
      <c r="N402" s="372">
        <f t="shared" si="342"/>
        <v>-400000</v>
      </c>
      <c r="O402" s="336">
        <f>L402*1.1</f>
        <v>1058365</v>
      </c>
      <c r="P402" s="336">
        <f t="shared" si="341"/>
        <v>1164201.5</v>
      </c>
      <c r="R402" s="317"/>
      <c r="U402" s="320"/>
    </row>
    <row r="403" spans="1:21" s="344" customFormat="1" outlineLevel="2">
      <c r="A403" s="327"/>
      <c r="B403" s="327"/>
      <c r="C403" s="466">
        <v>2211000</v>
      </c>
      <c r="D403" s="467" t="s">
        <v>103</v>
      </c>
      <c r="E403" s="462">
        <f>E404</f>
        <v>400000</v>
      </c>
      <c r="F403" s="462">
        <f t="shared" ref="F403:K403" si="348">F404</f>
        <v>0</v>
      </c>
      <c r="G403" s="462">
        <f t="shared" si="348"/>
        <v>0</v>
      </c>
      <c r="H403" s="462">
        <f t="shared" si="348"/>
        <v>0</v>
      </c>
      <c r="I403" s="462">
        <f t="shared" si="348"/>
        <v>400000</v>
      </c>
      <c r="J403" s="462">
        <f t="shared" si="348"/>
        <v>0</v>
      </c>
      <c r="K403" s="462">
        <f t="shared" si="348"/>
        <v>0</v>
      </c>
      <c r="L403" s="317">
        <f t="shared" si="339"/>
        <v>400000</v>
      </c>
      <c r="M403" s="317"/>
      <c r="N403" s="372">
        <f t="shared" si="342"/>
        <v>0</v>
      </c>
      <c r="O403" s="462">
        <f t="shared" ref="O403:P403" si="349">O404</f>
        <v>440000.00000000006</v>
      </c>
      <c r="P403" s="462">
        <f t="shared" si="349"/>
        <v>484000.00000000012</v>
      </c>
      <c r="R403" s="317"/>
      <c r="U403" s="320"/>
    </row>
    <row r="404" spans="1:21" s="344" customFormat="1" outlineLevel="2">
      <c r="A404" s="327"/>
      <c r="B404" s="327"/>
      <c r="C404" s="468">
        <v>2211016</v>
      </c>
      <c r="D404" s="469" t="s">
        <v>104</v>
      </c>
      <c r="E404" s="406">
        <v>400000</v>
      </c>
      <c r="F404" s="348"/>
      <c r="G404" s="348"/>
      <c r="H404" s="348"/>
      <c r="I404" s="324">
        <f t="shared" si="340"/>
        <v>400000</v>
      </c>
      <c r="J404" s="348"/>
      <c r="K404" s="463"/>
      <c r="L404" s="317">
        <f t="shared" si="339"/>
        <v>400000</v>
      </c>
      <c r="M404" s="317"/>
      <c r="N404" s="372">
        <f t="shared" si="342"/>
        <v>0</v>
      </c>
      <c r="O404" s="336">
        <f>L404*1.1</f>
        <v>440000.00000000006</v>
      </c>
      <c r="P404" s="336">
        <f t="shared" si="341"/>
        <v>484000.00000000012</v>
      </c>
      <c r="R404" s="317"/>
      <c r="U404" s="320"/>
    </row>
    <row r="405" spans="1:21" s="344" customFormat="1" outlineLevel="2">
      <c r="A405" s="326"/>
      <c r="B405" s="326"/>
      <c r="C405" s="327">
        <v>2210400</v>
      </c>
      <c r="D405" s="460" t="s">
        <v>29</v>
      </c>
      <c r="E405" s="462">
        <f>E406+E407+E408</f>
        <v>613000</v>
      </c>
      <c r="F405" s="462">
        <f t="shared" ref="F405:K405" si="350">F406+F407+F408</f>
        <v>0</v>
      </c>
      <c r="G405" s="462">
        <f t="shared" si="350"/>
        <v>0</v>
      </c>
      <c r="H405" s="462">
        <f t="shared" si="350"/>
        <v>0</v>
      </c>
      <c r="I405" s="462">
        <f t="shared" si="350"/>
        <v>613000</v>
      </c>
      <c r="J405" s="462">
        <f t="shared" si="350"/>
        <v>0</v>
      </c>
      <c r="K405" s="462">
        <f t="shared" si="350"/>
        <v>-500720</v>
      </c>
      <c r="L405" s="317">
        <f t="shared" si="339"/>
        <v>112280</v>
      </c>
      <c r="M405" s="317"/>
      <c r="N405" s="372">
        <f t="shared" si="342"/>
        <v>500720</v>
      </c>
      <c r="O405" s="462">
        <f t="shared" ref="O405:P405" si="351">O406+O407+O408</f>
        <v>123508.00000000001</v>
      </c>
      <c r="P405" s="462">
        <f t="shared" si="351"/>
        <v>135858.80000000005</v>
      </c>
      <c r="R405" s="317"/>
      <c r="U405" s="320"/>
    </row>
    <row r="406" spans="1:21" s="344" customFormat="1" outlineLevel="2">
      <c r="A406" s="345"/>
      <c r="B406" s="345"/>
      <c r="C406" s="346">
        <v>2210401</v>
      </c>
      <c r="D406" s="465" t="s">
        <v>25</v>
      </c>
      <c r="E406" s="406">
        <v>213000</v>
      </c>
      <c r="F406" s="406"/>
      <c r="G406" s="406"/>
      <c r="H406" s="406"/>
      <c r="I406" s="324">
        <f t="shared" si="340"/>
        <v>213000</v>
      </c>
      <c r="J406" s="406"/>
      <c r="K406" s="463">
        <v>-158720</v>
      </c>
      <c r="L406" s="317">
        <f t="shared" si="339"/>
        <v>54280</v>
      </c>
      <c r="M406" s="317"/>
      <c r="N406" s="372">
        <f t="shared" si="342"/>
        <v>158720</v>
      </c>
      <c r="O406" s="336">
        <f t="shared" ref="O406:O430" si="352">L406*1.1</f>
        <v>59708.000000000007</v>
      </c>
      <c r="P406" s="336">
        <f t="shared" ref="P406:P430" si="353">O406*1.1</f>
        <v>65678.800000000017</v>
      </c>
      <c r="R406" s="317"/>
      <c r="U406" s="320"/>
    </row>
    <row r="407" spans="1:21" s="344" customFormat="1" outlineLevel="2">
      <c r="A407" s="345"/>
      <c r="B407" s="345"/>
      <c r="C407" s="346">
        <v>2210402</v>
      </c>
      <c r="D407" s="465" t="s">
        <v>30</v>
      </c>
      <c r="E407" s="406">
        <v>342000</v>
      </c>
      <c r="F407" s="406"/>
      <c r="G407" s="406"/>
      <c r="H407" s="406"/>
      <c r="I407" s="324">
        <f t="shared" si="340"/>
        <v>342000</v>
      </c>
      <c r="J407" s="406"/>
      <c r="K407" s="463">
        <v>-342000</v>
      </c>
      <c r="L407" s="317">
        <f t="shared" si="339"/>
        <v>0</v>
      </c>
      <c r="M407" s="317"/>
      <c r="N407" s="372">
        <f t="shared" si="342"/>
        <v>342000</v>
      </c>
      <c r="O407" s="336">
        <f t="shared" ref="O407" si="354">L407*1.1</f>
        <v>0</v>
      </c>
      <c r="P407" s="336">
        <f t="shared" ref="P407" si="355">O407*1.1</f>
        <v>0</v>
      </c>
      <c r="R407" s="317"/>
      <c r="U407" s="320"/>
    </row>
    <row r="408" spans="1:21" s="344" customFormat="1" outlineLevel="2">
      <c r="A408" s="345"/>
      <c r="B408" s="345"/>
      <c r="C408" s="346">
        <v>2210404</v>
      </c>
      <c r="D408" s="465" t="s">
        <v>28</v>
      </c>
      <c r="E408" s="406">
        <v>58000</v>
      </c>
      <c r="F408" s="406"/>
      <c r="G408" s="406"/>
      <c r="H408" s="406"/>
      <c r="I408" s="324">
        <f t="shared" si="340"/>
        <v>58000</v>
      </c>
      <c r="J408" s="406"/>
      <c r="K408" s="463"/>
      <c r="L408" s="317">
        <f t="shared" si="339"/>
        <v>58000</v>
      </c>
      <c r="M408" s="317"/>
      <c r="N408" s="372">
        <f t="shared" si="342"/>
        <v>0</v>
      </c>
      <c r="O408" s="336">
        <f t="shared" si="352"/>
        <v>63800.000000000007</v>
      </c>
      <c r="P408" s="336">
        <f t="shared" si="353"/>
        <v>70180.000000000015</v>
      </c>
      <c r="R408" s="317"/>
      <c r="U408" s="320"/>
    </row>
    <row r="409" spans="1:21" s="344" customFormat="1" outlineLevel="2">
      <c r="A409" s="326"/>
      <c r="B409" s="326"/>
      <c r="C409" s="327">
        <v>2210500</v>
      </c>
      <c r="D409" s="460" t="s">
        <v>31</v>
      </c>
      <c r="E409" s="462">
        <f>E410+E411+E412</f>
        <v>1546999.674643755</v>
      </c>
      <c r="F409" s="462">
        <f t="shared" ref="F409:K409" si="356">F410+F411+F412</f>
        <v>0</v>
      </c>
      <c r="G409" s="462">
        <f t="shared" si="356"/>
        <v>0</v>
      </c>
      <c r="H409" s="462">
        <f t="shared" si="356"/>
        <v>0</v>
      </c>
      <c r="I409" s="462">
        <f t="shared" si="356"/>
        <v>1546999.674643755</v>
      </c>
      <c r="J409" s="462">
        <f t="shared" si="356"/>
        <v>0</v>
      </c>
      <c r="K409" s="462">
        <f t="shared" si="356"/>
        <v>0</v>
      </c>
      <c r="L409" s="317">
        <f t="shared" si="339"/>
        <v>1546999.674643755</v>
      </c>
      <c r="M409" s="317"/>
      <c r="N409" s="372">
        <f t="shared" si="342"/>
        <v>0</v>
      </c>
      <c r="O409" s="462">
        <f t="shared" ref="O409:P409" si="357">O410+O411+O412</f>
        <v>1701699.6421081307</v>
      </c>
      <c r="P409" s="462">
        <f t="shared" si="357"/>
        <v>1871869.6063189439</v>
      </c>
      <c r="R409" s="317"/>
      <c r="U409" s="320"/>
    </row>
    <row r="410" spans="1:21" s="344" customFormat="1" outlineLevel="2">
      <c r="A410" s="345"/>
      <c r="B410" s="345"/>
      <c r="C410" s="405">
        <v>2210502</v>
      </c>
      <c r="D410" s="345" t="s">
        <v>105</v>
      </c>
      <c r="E410" s="406">
        <f>1250000-500000</f>
        <v>750000</v>
      </c>
      <c r="F410" s="406"/>
      <c r="G410" s="406"/>
      <c r="H410" s="406"/>
      <c r="I410" s="324">
        <f t="shared" si="340"/>
        <v>750000</v>
      </c>
      <c r="J410" s="406"/>
      <c r="K410" s="470"/>
      <c r="L410" s="317">
        <f t="shared" si="339"/>
        <v>750000</v>
      </c>
      <c r="M410" s="317"/>
      <c r="N410" s="372">
        <f t="shared" si="342"/>
        <v>0</v>
      </c>
      <c r="O410" s="336">
        <f t="shared" si="352"/>
        <v>825000.00000000012</v>
      </c>
      <c r="P410" s="336">
        <f t="shared" si="353"/>
        <v>907500.00000000023</v>
      </c>
      <c r="R410" s="317"/>
      <c r="U410" s="320"/>
    </row>
    <row r="411" spans="1:21" s="344" customFormat="1" outlineLevel="2">
      <c r="A411" s="345"/>
      <c r="B411" s="345"/>
      <c r="C411" s="346">
        <v>2210503</v>
      </c>
      <c r="D411" s="465" t="s">
        <v>32</v>
      </c>
      <c r="E411" s="406">
        <v>30000</v>
      </c>
      <c r="F411" s="406"/>
      <c r="G411" s="406"/>
      <c r="H411" s="406"/>
      <c r="I411" s="324">
        <f t="shared" si="340"/>
        <v>30000</v>
      </c>
      <c r="J411" s="406"/>
      <c r="K411" s="463"/>
      <c r="L411" s="317">
        <f t="shared" si="339"/>
        <v>30000</v>
      </c>
      <c r="M411" s="317"/>
      <c r="N411" s="372">
        <f t="shared" si="342"/>
        <v>0</v>
      </c>
      <c r="O411" s="464">
        <f>L411*1.1</f>
        <v>33000</v>
      </c>
      <c r="P411" s="464">
        <f>O411*1.1</f>
        <v>36300</v>
      </c>
      <c r="R411" s="317"/>
      <c r="U411" s="320"/>
    </row>
    <row r="412" spans="1:21" s="344" customFormat="1" outlineLevel="2">
      <c r="A412" s="345"/>
      <c r="B412" s="345"/>
      <c r="C412" s="405">
        <v>2210504</v>
      </c>
      <c r="D412" s="345" t="s">
        <v>106</v>
      </c>
      <c r="E412" s="406">
        <v>766999.67464375496</v>
      </c>
      <c r="F412" s="406"/>
      <c r="G412" s="406"/>
      <c r="H412" s="406"/>
      <c r="I412" s="324">
        <f t="shared" si="340"/>
        <v>766999.67464375496</v>
      </c>
      <c r="J412" s="462"/>
      <c r="K412" s="463"/>
      <c r="L412" s="317">
        <f t="shared" si="339"/>
        <v>766999.67464375496</v>
      </c>
      <c r="M412" s="317"/>
      <c r="N412" s="372">
        <f t="shared" si="342"/>
        <v>0</v>
      </c>
      <c r="O412" s="336">
        <f t="shared" si="352"/>
        <v>843699.6421081305</v>
      </c>
      <c r="P412" s="336">
        <f t="shared" si="353"/>
        <v>928069.60631894367</v>
      </c>
      <c r="R412" s="317"/>
      <c r="U412" s="320"/>
    </row>
    <row r="413" spans="1:21" s="344" customFormat="1" outlineLevel="2">
      <c r="A413" s="345"/>
      <c r="B413" s="345"/>
      <c r="C413" s="327">
        <v>2210700</v>
      </c>
      <c r="D413" s="460" t="s">
        <v>35</v>
      </c>
      <c r="E413" s="462">
        <f>SUM(E414:E419)</f>
        <v>580000</v>
      </c>
      <c r="F413" s="462">
        <f t="shared" ref="F413:P413" si="358">SUM(F414:F419)</f>
        <v>0</v>
      </c>
      <c r="G413" s="462">
        <f t="shared" si="358"/>
        <v>0</v>
      </c>
      <c r="H413" s="462">
        <f t="shared" si="358"/>
        <v>0</v>
      </c>
      <c r="I413" s="462">
        <f t="shared" si="358"/>
        <v>580000</v>
      </c>
      <c r="J413" s="462">
        <f t="shared" si="358"/>
        <v>0</v>
      </c>
      <c r="K413" s="462">
        <f t="shared" si="358"/>
        <v>400000</v>
      </c>
      <c r="L413" s="317">
        <f t="shared" si="339"/>
        <v>980000</v>
      </c>
      <c r="M413" s="317"/>
      <c r="N413" s="372">
        <f t="shared" si="342"/>
        <v>-400000</v>
      </c>
      <c r="O413" s="462">
        <f t="shared" si="358"/>
        <v>1078000</v>
      </c>
      <c r="P413" s="462">
        <f t="shared" si="358"/>
        <v>1185800</v>
      </c>
      <c r="R413" s="317"/>
      <c r="U413" s="320"/>
    </row>
    <row r="414" spans="1:21" s="344" customFormat="1" outlineLevel="2">
      <c r="A414" s="345"/>
      <c r="B414" s="345"/>
      <c r="C414" s="346">
        <v>2210701</v>
      </c>
      <c r="D414" s="465" t="s">
        <v>36</v>
      </c>
      <c r="E414" s="406">
        <v>123000</v>
      </c>
      <c r="F414" s="406"/>
      <c r="G414" s="406"/>
      <c r="H414" s="406"/>
      <c r="I414" s="324">
        <f t="shared" si="340"/>
        <v>123000</v>
      </c>
      <c r="J414" s="406"/>
      <c r="K414" s="463">
        <v>400000</v>
      </c>
      <c r="L414" s="317">
        <f t="shared" si="339"/>
        <v>523000</v>
      </c>
      <c r="M414" s="317"/>
      <c r="N414" s="372">
        <f t="shared" si="342"/>
        <v>-400000</v>
      </c>
      <c r="O414" s="336">
        <f t="shared" si="352"/>
        <v>575300</v>
      </c>
      <c r="P414" s="336">
        <f t="shared" si="353"/>
        <v>632830</v>
      </c>
      <c r="R414" s="317"/>
      <c r="U414" s="320"/>
    </row>
    <row r="415" spans="1:21" s="344" customFormat="1" outlineLevel="2">
      <c r="A415" s="345"/>
      <c r="B415" s="345"/>
      <c r="C415" s="346">
        <v>2210702</v>
      </c>
      <c r="D415" s="465" t="s">
        <v>95</v>
      </c>
      <c r="E415" s="406">
        <v>235000</v>
      </c>
      <c r="F415" s="406"/>
      <c r="G415" s="406"/>
      <c r="H415" s="406"/>
      <c r="I415" s="324">
        <f t="shared" si="340"/>
        <v>235000</v>
      </c>
      <c r="J415" s="406"/>
      <c r="K415" s="463"/>
      <c r="L415" s="317">
        <f t="shared" si="339"/>
        <v>235000</v>
      </c>
      <c r="M415" s="317"/>
      <c r="N415" s="372">
        <f t="shared" si="342"/>
        <v>0</v>
      </c>
      <c r="O415" s="336">
        <f t="shared" si="352"/>
        <v>258500.00000000003</v>
      </c>
      <c r="P415" s="336">
        <f t="shared" si="353"/>
        <v>284350.00000000006</v>
      </c>
      <c r="R415" s="317"/>
      <c r="U415" s="320"/>
    </row>
    <row r="416" spans="1:21" s="344" customFormat="1" outlineLevel="2">
      <c r="A416" s="345"/>
      <c r="B416" s="345"/>
      <c r="C416" s="346">
        <v>2210703</v>
      </c>
      <c r="D416" s="465" t="s">
        <v>107</v>
      </c>
      <c r="E416" s="406">
        <v>116000</v>
      </c>
      <c r="F416" s="406"/>
      <c r="G416" s="406"/>
      <c r="H416" s="406"/>
      <c r="I416" s="324">
        <f t="shared" si="340"/>
        <v>116000</v>
      </c>
      <c r="J416" s="406"/>
      <c r="K416" s="463"/>
      <c r="L416" s="317">
        <f t="shared" si="339"/>
        <v>116000</v>
      </c>
      <c r="M416" s="317"/>
      <c r="N416" s="372">
        <f t="shared" si="342"/>
        <v>0</v>
      </c>
      <c r="O416" s="336">
        <f t="shared" si="352"/>
        <v>127600.00000000001</v>
      </c>
      <c r="P416" s="336">
        <f t="shared" si="353"/>
        <v>140360.00000000003</v>
      </c>
      <c r="R416" s="317"/>
      <c r="U416" s="320"/>
    </row>
    <row r="417" spans="1:21" s="344" customFormat="1" outlineLevel="2">
      <c r="A417" s="345"/>
      <c r="B417" s="345"/>
      <c r="C417" s="346">
        <v>2210704</v>
      </c>
      <c r="D417" s="465" t="s">
        <v>38</v>
      </c>
      <c r="E417" s="406">
        <v>23000</v>
      </c>
      <c r="F417" s="406"/>
      <c r="G417" s="406"/>
      <c r="H417" s="406"/>
      <c r="I417" s="324">
        <f t="shared" si="340"/>
        <v>23000</v>
      </c>
      <c r="J417" s="406"/>
      <c r="K417" s="463"/>
      <c r="L417" s="317">
        <f t="shared" si="339"/>
        <v>23000</v>
      </c>
      <c r="M417" s="317"/>
      <c r="N417" s="372">
        <f t="shared" si="342"/>
        <v>0</v>
      </c>
      <c r="O417" s="336">
        <f t="shared" si="352"/>
        <v>25300.000000000004</v>
      </c>
      <c r="P417" s="336">
        <f t="shared" si="353"/>
        <v>27830.000000000007</v>
      </c>
      <c r="R417" s="317"/>
      <c r="U417" s="320"/>
    </row>
    <row r="418" spans="1:21" s="344" customFormat="1" outlineLevel="2">
      <c r="A418" s="345"/>
      <c r="B418" s="345"/>
      <c r="C418" s="346">
        <v>2210710</v>
      </c>
      <c r="D418" s="465" t="s">
        <v>39</v>
      </c>
      <c r="E418" s="406">
        <v>23000</v>
      </c>
      <c r="F418" s="406"/>
      <c r="G418" s="406"/>
      <c r="H418" s="406"/>
      <c r="I418" s="324">
        <f t="shared" si="340"/>
        <v>23000</v>
      </c>
      <c r="J418" s="406"/>
      <c r="K418" s="463"/>
      <c r="L418" s="317">
        <f t="shared" si="339"/>
        <v>23000</v>
      </c>
      <c r="M418" s="317"/>
      <c r="N418" s="372">
        <f t="shared" si="342"/>
        <v>0</v>
      </c>
      <c r="O418" s="464">
        <f>L418*1.1</f>
        <v>25300.000000000004</v>
      </c>
      <c r="P418" s="464">
        <f>O418*1.1</f>
        <v>27830.000000000007</v>
      </c>
      <c r="R418" s="317"/>
      <c r="U418" s="320"/>
    </row>
    <row r="419" spans="1:21" s="344" customFormat="1" outlineLevel="2">
      <c r="A419" s="345"/>
      <c r="B419" s="345"/>
      <c r="C419" s="346">
        <v>2210715</v>
      </c>
      <c r="D419" s="465" t="s">
        <v>40</v>
      </c>
      <c r="E419" s="406">
        <v>60000</v>
      </c>
      <c r="F419" s="406"/>
      <c r="G419" s="406"/>
      <c r="H419" s="406"/>
      <c r="I419" s="324">
        <f t="shared" si="340"/>
        <v>60000</v>
      </c>
      <c r="J419" s="462"/>
      <c r="K419" s="463"/>
      <c r="L419" s="317">
        <f t="shared" si="339"/>
        <v>60000</v>
      </c>
      <c r="M419" s="317"/>
      <c r="N419" s="372">
        <f t="shared" si="342"/>
        <v>0</v>
      </c>
      <c r="O419" s="336">
        <f t="shared" si="352"/>
        <v>66000</v>
      </c>
      <c r="P419" s="336">
        <f t="shared" si="353"/>
        <v>72600</v>
      </c>
      <c r="R419" s="317"/>
      <c r="U419" s="320"/>
    </row>
    <row r="420" spans="1:21" s="344" customFormat="1" outlineLevel="2">
      <c r="A420" s="326"/>
      <c r="B420" s="326"/>
      <c r="C420" s="327">
        <v>2210800</v>
      </c>
      <c r="D420" s="460" t="s">
        <v>42</v>
      </c>
      <c r="E420" s="462">
        <f>SUM(E421:E422)</f>
        <v>783000</v>
      </c>
      <c r="F420" s="462">
        <f t="shared" ref="F420:K420" si="359">SUM(F421:F422)</f>
        <v>0</v>
      </c>
      <c r="G420" s="462">
        <f t="shared" si="359"/>
        <v>0</v>
      </c>
      <c r="H420" s="462">
        <f t="shared" si="359"/>
        <v>0</v>
      </c>
      <c r="I420" s="462">
        <f t="shared" si="359"/>
        <v>783000</v>
      </c>
      <c r="J420" s="462">
        <f t="shared" si="359"/>
        <v>0</v>
      </c>
      <c r="K420" s="462">
        <f t="shared" si="359"/>
        <v>0</v>
      </c>
      <c r="L420" s="317">
        <f t="shared" si="339"/>
        <v>783000</v>
      </c>
      <c r="M420" s="317"/>
      <c r="N420" s="372">
        <f t="shared" si="342"/>
        <v>0</v>
      </c>
      <c r="O420" s="462">
        <f t="shared" ref="O420:P420" si="360">SUM(O421:O422)</f>
        <v>861300</v>
      </c>
      <c r="P420" s="462">
        <f t="shared" si="360"/>
        <v>947430</v>
      </c>
      <c r="R420" s="317"/>
      <c r="U420" s="320"/>
    </row>
    <row r="421" spans="1:21" s="344" customFormat="1" outlineLevel="2">
      <c r="A421" s="345"/>
      <c r="B421" s="345"/>
      <c r="C421" s="346">
        <v>2210801</v>
      </c>
      <c r="D421" s="465" t="s">
        <v>2418</v>
      </c>
      <c r="E421" s="406">
        <v>543000</v>
      </c>
      <c r="F421" s="406"/>
      <c r="G421" s="406"/>
      <c r="H421" s="406"/>
      <c r="I421" s="324">
        <f t="shared" si="340"/>
        <v>543000</v>
      </c>
      <c r="J421" s="406"/>
      <c r="K421" s="463"/>
      <c r="L421" s="317">
        <f t="shared" si="339"/>
        <v>543000</v>
      </c>
      <c r="M421" s="317"/>
      <c r="N421" s="372">
        <f t="shared" si="342"/>
        <v>0</v>
      </c>
      <c r="O421" s="464">
        <f>L421*1.1</f>
        <v>597300</v>
      </c>
      <c r="P421" s="464">
        <f>O421*1.1</f>
        <v>657030</v>
      </c>
      <c r="R421" s="317"/>
      <c r="U421" s="320"/>
    </row>
    <row r="422" spans="1:21" s="344" customFormat="1" outlineLevel="2">
      <c r="A422" s="345"/>
      <c r="B422" s="345"/>
      <c r="C422" s="346">
        <v>2210802</v>
      </c>
      <c r="D422" s="465" t="s">
        <v>97</v>
      </c>
      <c r="E422" s="406">
        <v>240000</v>
      </c>
      <c r="F422" s="406"/>
      <c r="G422" s="406"/>
      <c r="H422" s="406"/>
      <c r="I422" s="324">
        <f t="shared" si="340"/>
        <v>240000</v>
      </c>
      <c r="J422" s="462"/>
      <c r="K422" s="463"/>
      <c r="L422" s="317">
        <f t="shared" si="339"/>
        <v>240000</v>
      </c>
      <c r="M422" s="317"/>
      <c r="N422" s="372">
        <f t="shared" si="342"/>
        <v>0</v>
      </c>
      <c r="O422" s="336">
        <f t="shared" si="352"/>
        <v>264000</v>
      </c>
      <c r="P422" s="336">
        <f t="shared" si="353"/>
        <v>290400</v>
      </c>
      <c r="R422" s="317"/>
      <c r="U422" s="320"/>
    </row>
    <row r="423" spans="1:21" s="344" customFormat="1" outlineLevel="2">
      <c r="A423" s="326"/>
      <c r="B423" s="326"/>
      <c r="C423" s="327">
        <v>2211100</v>
      </c>
      <c r="D423" s="460" t="s">
        <v>51</v>
      </c>
      <c r="E423" s="462">
        <f>SUM(E424:E426)</f>
        <v>402000</v>
      </c>
      <c r="F423" s="462">
        <f t="shared" ref="F423:K423" si="361">SUM(F424:F426)</f>
        <v>0</v>
      </c>
      <c r="G423" s="462">
        <f t="shared" si="361"/>
        <v>0</v>
      </c>
      <c r="H423" s="462">
        <f t="shared" si="361"/>
        <v>0</v>
      </c>
      <c r="I423" s="462">
        <f t="shared" si="361"/>
        <v>402000</v>
      </c>
      <c r="J423" s="462">
        <f t="shared" si="361"/>
        <v>0</v>
      </c>
      <c r="K423" s="462">
        <f t="shared" si="361"/>
        <v>0</v>
      </c>
      <c r="L423" s="317">
        <f t="shared" si="339"/>
        <v>402000</v>
      </c>
      <c r="M423" s="317"/>
      <c r="N423" s="372">
        <f t="shared" si="342"/>
        <v>0</v>
      </c>
      <c r="O423" s="462">
        <f t="shared" ref="O423:P423" si="362">SUM(O424:O426)</f>
        <v>442200.00000000006</v>
      </c>
      <c r="P423" s="462">
        <f t="shared" si="362"/>
        <v>486420.00000000012</v>
      </c>
      <c r="R423" s="317"/>
      <c r="U423" s="320"/>
    </row>
    <row r="424" spans="1:21" s="344" customFormat="1" outlineLevel="2">
      <c r="A424" s="345"/>
      <c r="B424" s="345"/>
      <c r="C424" s="346">
        <v>2211101</v>
      </c>
      <c r="D424" s="465" t="s">
        <v>52</v>
      </c>
      <c r="E424" s="406">
        <v>54000</v>
      </c>
      <c r="F424" s="406"/>
      <c r="G424" s="406"/>
      <c r="H424" s="406"/>
      <c r="I424" s="324">
        <f t="shared" si="340"/>
        <v>54000</v>
      </c>
      <c r="J424" s="406"/>
      <c r="K424" s="463"/>
      <c r="L424" s="317">
        <f t="shared" si="339"/>
        <v>54000</v>
      </c>
      <c r="M424" s="317"/>
      <c r="N424" s="372">
        <f t="shared" si="342"/>
        <v>0</v>
      </c>
      <c r="O424" s="336">
        <f t="shared" si="352"/>
        <v>59400.000000000007</v>
      </c>
      <c r="P424" s="336">
        <f t="shared" si="353"/>
        <v>65340.000000000015</v>
      </c>
      <c r="R424" s="317"/>
      <c r="U424" s="320"/>
    </row>
    <row r="425" spans="1:21" s="344" customFormat="1" outlineLevel="2">
      <c r="A425" s="345"/>
      <c r="B425" s="345"/>
      <c r="C425" s="346">
        <v>2211102</v>
      </c>
      <c r="D425" s="465" t="s">
        <v>108</v>
      </c>
      <c r="E425" s="406">
        <v>0</v>
      </c>
      <c r="F425" s="406"/>
      <c r="G425" s="406"/>
      <c r="H425" s="406"/>
      <c r="I425" s="324">
        <f t="shared" si="340"/>
        <v>0</v>
      </c>
      <c r="J425" s="406"/>
      <c r="K425" s="463"/>
      <c r="L425" s="317">
        <f t="shared" si="339"/>
        <v>0</v>
      </c>
      <c r="M425" s="317"/>
      <c r="N425" s="372">
        <f t="shared" si="342"/>
        <v>0</v>
      </c>
      <c r="O425" s="471">
        <v>0</v>
      </c>
      <c r="P425" s="471">
        <v>0</v>
      </c>
      <c r="R425" s="317"/>
      <c r="U425" s="320"/>
    </row>
    <row r="426" spans="1:21" s="344" customFormat="1" outlineLevel="2">
      <c r="A426" s="345"/>
      <c r="B426" s="345"/>
      <c r="C426" s="346">
        <v>2211103</v>
      </c>
      <c r="D426" s="465" t="s">
        <v>54</v>
      </c>
      <c r="E426" s="406">
        <v>348000</v>
      </c>
      <c r="F426" s="406"/>
      <c r="G426" s="406"/>
      <c r="H426" s="406"/>
      <c r="I426" s="324">
        <f t="shared" si="340"/>
        <v>348000</v>
      </c>
      <c r="J426" s="462"/>
      <c r="K426" s="463"/>
      <c r="L426" s="317">
        <f t="shared" si="339"/>
        <v>348000</v>
      </c>
      <c r="M426" s="317"/>
      <c r="N426" s="372">
        <f t="shared" si="342"/>
        <v>0</v>
      </c>
      <c r="O426" s="336">
        <f t="shared" si="352"/>
        <v>382800.00000000006</v>
      </c>
      <c r="P426" s="336">
        <f t="shared" si="353"/>
        <v>421080.00000000012</v>
      </c>
      <c r="R426" s="317"/>
      <c r="U426" s="320"/>
    </row>
    <row r="427" spans="1:21" s="344" customFormat="1" outlineLevel="2">
      <c r="A427" s="326"/>
      <c r="B427" s="326"/>
      <c r="C427" s="327">
        <v>2211200</v>
      </c>
      <c r="D427" s="460" t="s">
        <v>55</v>
      </c>
      <c r="E427" s="462">
        <f>E428</f>
        <v>432000</v>
      </c>
      <c r="F427" s="462">
        <f t="shared" ref="F427:P427" si="363">F428</f>
        <v>0</v>
      </c>
      <c r="G427" s="462">
        <f t="shared" si="363"/>
        <v>0</v>
      </c>
      <c r="H427" s="462">
        <f t="shared" si="363"/>
        <v>0</v>
      </c>
      <c r="I427" s="462">
        <f t="shared" si="363"/>
        <v>432000</v>
      </c>
      <c r="J427" s="462">
        <f t="shared" si="363"/>
        <v>0</v>
      </c>
      <c r="K427" s="462">
        <f t="shared" si="363"/>
        <v>0</v>
      </c>
      <c r="L427" s="317">
        <f t="shared" si="339"/>
        <v>432000</v>
      </c>
      <c r="M427" s="317"/>
      <c r="N427" s="372">
        <f t="shared" si="342"/>
        <v>0</v>
      </c>
      <c r="O427" s="462">
        <f t="shared" si="363"/>
        <v>475200.00000000006</v>
      </c>
      <c r="P427" s="462">
        <f t="shared" si="363"/>
        <v>522720.00000000012</v>
      </c>
      <c r="R427" s="317"/>
      <c r="U427" s="320"/>
    </row>
    <row r="428" spans="1:21" s="344" customFormat="1" outlineLevel="2">
      <c r="A428" s="345"/>
      <c r="B428" s="345"/>
      <c r="C428" s="346">
        <v>2211201</v>
      </c>
      <c r="D428" s="465" t="s">
        <v>56</v>
      </c>
      <c r="E428" s="406">
        <v>432000</v>
      </c>
      <c r="F428" s="406"/>
      <c r="G428" s="406"/>
      <c r="H428" s="406"/>
      <c r="I428" s="324">
        <f t="shared" si="340"/>
        <v>432000</v>
      </c>
      <c r="J428" s="472"/>
      <c r="K428" s="463"/>
      <c r="L428" s="317">
        <f t="shared" si="339"/>
        <v>432000</v>
      </c>
      <c r="M428" s="317"/>
      <c r="N428" s="372">
        <f t="shared" si="342"/>
        <v>0</v>
      </c>
      <c r="O428" s="336">
        <f t="shared" si="352"/>
        <v>475200.00000000006</v>
      </c>
      <c r="P428" s="336">
        <f t="shared" si="353"/>
        <v>522720.00000000012</v>
      </c>
      <c r="R428" s="317"/>
      <c r="U428" s="320"/>
    </row>
    <row r="429" spans="1:21" s="344" customFormat="1" outlineLevel="2">
      <c r="A429" s="326"/>
      <c r="B429" s="326"/>
      <c r="C429" s="327" t="s">
        <v>162</v>
      </c>
      <c r="D429" s="460" t="s">
        <v>57</v>
      </c>
      <c r="E429" s="472">
        <f>E430</f>
        <v>200000</v>
      </c>
      <c r="F429" s="472">
        <f t="shared" ref="F429:K429" si="364">F430</f>
        <v>0</v>
      </c>
      <c r="G429" s="472">
        <f t="shared" si="364"/>
        <v>0</v>
      </c>
      <c r="H429" s="472">
        <f t="shared" si="364"/>
        <v>0</v>
      </c>
      <c r="I429" s="472">
        <f t="shared" si="364"/>
        <v>200000</v>
      </c>
      <c r="J429" s="472">
        <f t="shared" si="364"/>
        <v>0</v>
      </c>
      <c r="K429" s="472">
        <f t="shared" si="364"/>
        <v>0</v>
      </c>
      <c r="L429" s="317">
        <f t="shared" si="339"/>
        <v>200000</v>
      </c>
      <c r="M429" s="317"/>
      <c r="N429" s="372">
        <f t="shared" si="342"/>
        <v>0</v>
      </c>
      <c r="O429" s="472">
        <f t="shared" ref="O429:P429" si="365">O430</f>
        <v>220000.00000000003</v>
      </c>
      <c r="P429" s="472">
        <f t="shared" si="365"/>
        <v>242000.00000000006</v>
      </c>
      <c r="R429" s="317"/>
      <c r="U429" s="320"/>
    </row>
    <row r="430" spans="1:21" s="344" customFormat="1" outlineLevel="2">
      <c r="A430" s="345"/>
      <c r="B430" s="345"/>
      <c r="C430" s="346">
        <v>2211399</v>
      </c>
      <c r="D430" s="473" t="s">
        <v>1571</v>
      </c>
      <c r="E430" s="406">
        <v>200000</v>
      </c>
      <c r="F430" s="406"/>
      <c r="G430" s="406"/>
      <c r="H430" s="406"/>
      <c r="I430" s="324">
        <f t="shared" si="340"/>
        <v>200000</v>
      </c>
      <c r="J430" s="462"/>
      <c r="K430" s="463"/>
      <c r="L430" s="317">
        <f t="shared" si="339"/>
        <v>200000</v>
      </c>
      <c r="M430" s="317"/>
      <c r="N430" s="372">
        <f t="shared" si="342"/>
        <v>0</v>
      </c>
      <c r="O430" s="336">
        <f t="shared" si="352"/>
        <v>220000.00000000003</v>
      </c>
      <c r="P430" s="336">
        <f t="shared" si="353"/>
        <v>242000.00000000006</v>
      </c>
      <c r="R430" s="317"/>
      <c r="U430" s="320"/>
    </row>
    <row r="431" spans="1:21" s="344" customFormat="1" outlineLevel="2">
      <c r="A431" s="326"/>
      <c r="B431" s="326"/>
      <c r="C431" s="327">
        <v>2220100</v>
      </c>
      <c r="D431" s="460" t="s">
        <v>62</v>
      </c>
      <c r="E431" s="462">
        <f>SUM(E432)</f>
        <v>143000</v>
      </c>
      <c r="F431" s="462">
        <f t="shared" ref="F431:K431" si="366">SUM(F432)</f>
        <v>0</v>
      </c>
      <c r="G431" s="462">
        <f t="shared" si="366"/>
        <v>0</v>
      </c>
      <c r="H431" s="462">
        <f t="shared" si="366"/>
        <v>0</v>
      </c>
      <c r="I431" s="462">
        <f t="shared" si="366"/>
        <v>143000</v>
      </c>
      <c r="J431" s="462">
        <f t="shared" si="366"/>
        <v>0</v>
      </c>
      <c r="K431" s="462">
        <f t="shared" si="366"/>
        <v>0</v>
      </c>
      <c r="L431" s="317">
        <f t="shared" si="339"/>
        <v>143000</v>
      </c>
      <c r="M431" s="317"/>
      <c r="N431" s="372">
        <f t="shared" si="342"/>
        <v>0</v>
      </c>
      <c r="O431" s="462">
        <f t="shared" ref="O431:P431" si="367">SUM(O432)</f>
        <v>157300</v>
      </c>
      <c r="P431" s="462">
        <f t="shared" si="367"/>
        <v>173030</v>
      </c>
      <c r="R431" s="317"/>
      <c r="U431" s="320"/>
    </row>
    <row r="432" spans="1:21" s="344" customFormat="1" outlineLevel="2">
      <c r="A432" s="345"/>
      <c r="B432" s="345"/>
      <c r="C432" s="346">
        <v>2220101</v>
      </c>
      <c r="D432" s="465" t="s">
        <v>85</v>
      </c>
      <c r="E432" s="406">
        <v>143000</v>
      </c>
      <c r="F432" s="406"/>
      <c r="G432" s="406"/>
      <c r="H432" s="406"/>
      <c r="I432" s="324">
        <f t="shared" si="340"/>
        <v>143000</v>
      </c>
      <c r="J432" s="472"/>
      <c r="K432" s="463"/>
      <c r="L432" s="317">
        <f t="shared" si="339"/>
        <v>143000</v>
      </c>
      <c r="M432" s="317"/>
      <c r="N432" s="372">
        <f t="shared" si="342"/>
        <v>0</v>
      </c>
      <c r="O432" s="336">
        <f>L432*1.1</f>
        <v>157300</v>
      </c>
      <c r="P432" s="336">
        <f t="shared" ref="P432:P437" si="368">O432*1.1</f>
        <v>173030</v>
      </c>
      <c r="R432" s="317"/>
      <c r="U432" s="320"/>
    </row>
    <row r="433" spans="1:21" s="344" customFormat="1" outlineLevel="2">
      <c r="A433" s="326"/>
      <c r="B433" s="326"/>
      <c r="C433" s="328">
        <v>2220200</v>
      </c>
      <c r="D433" s="326" t="s">
        <v>124</v>
      </c>
      <c r="E433" s="472">
        <f>E434+E435</f>
        <v>96000</v>
      </c>
      <c r="F433" s="472">
        <f t="shared" ref="F433:K433" si="369">F434+F435</f>
        <v>0</v>
      </c>
      <c r="G433" s="472">
        <f t="shared" si="369"/>
        <v>0</v>
      </c>
      <c r="H433" s="472">
        <f t="shared" si="369"/>
        <v>0</v>
      </c>
      <c r="I433" s="472">
        <f t="shared" si="369"/>
        <v>96000</v>
      </c>
      <c r="J433" s="472">
        <f t="shared" si="369"/>
        <v>0</v>
      </c>
      <c r="K433" s="472">
        <f t="shared" si="369"/>
        <v>-96000</v>
      </c>
      <c r="L433" s="317">
        <f t="shared" si="339"/>
        <v>0</v>
      </c>
      <c r="M433" s="317"/>
      <c r="N433" s="372">
        <f t="shared" si="342"/>
        <v>96000</v>
      </c>
      <c r="O433" s="472">
        <f t="shared" ref="O433:P433" si="370">O434+O435</f>
        <v>0</v>
      </c>
      <c r="P433" s="472">
        <f t="shared" si="370"/>
        <v>0</v>
      </c>
      <c r="R433" s="317"/>
      <c r="U433" s="320"/>
    </row>
    <row r="434" spans="1:21" s="344" customFormat="1" outlineLevel="2">
      <c r="A434" s="345"/>
      <c r="B434" s="345"/>
      <c r="C434" s="405">
        <v>2220202</v>
      </c>
      <c r="D434" s="345" t="s">
        <v>87</v>
      </c>
      <c r="E434" s="406">
        <v>58000</v>
      </c>
      <c r="F434" s="406"/>
      <c r="G434" s="406"/>
      <c r="H434" s="406"/>
      <c r="I434" s="324">
        <f t="shared" si="340"/>
        <v>58000</v>
      </c>
      <c r="J434" s="406"/>
      <c r="K434" s="463">
        <v>-58000</v>
      </c>
      <c r="L434" s="317">
        <f t="shared" si="339"/>
        <v>0</v>
      </c>
      <c r="M434" s="317"/>
      <c r="N434" s="372">
        <f t="shared" si="342"/>
        <v>58000</v>
      </c>
      <c r="O434" s="464">
        <f>L434*1.1</f>
        <v>0</v>
      </c>
      <c r="P434" s="464">
        <f>O434*1.1</f>
        <v>0</v>
      </c>
      <c r="R434" s="317"/>
      <c r="U434" s="320"/>
    </row>
    <row r="435" spans="1:21" s="344" customFormat="1" outlineLevel="2">
      <c r="A435" s="345"/>
      <c r="B435" s="345"/>
      <c r="C435" s="405">
        <v>2220205</v>
      </c>
      <c r="D435" s="345" t="s">
        <v>125</v>
      </c>
      <c r="E435" s="406">
        <v>38000</v>
      </c>
      <c r="F435" s="406"/>
      <c r="G435" s="406"/>
      <c r="H435" s="406"/>
      <c r="I435" s="324">
        <f t="shared" si="340"/>
        <v>38000</v>
      </c>
      <c r="J435" s="462"/>
      <c r="K435" s="463">
        <v>-38000</v>
      </c>
      <c r="L435" s="317">
        <f t="shared" si="339"/>
        <v>0</v>
      </c>
      <c r="M435" s="317"/>
      <c r="N435" s="372">
        <f t="shared" si="342"/>
        <v>38000</v>
      </c>
      <c r="O435" s="336">
        <f>L435*1.1</f>
        <v>0</v>
      </c>
      <c r="P435" s="336">
        <f t="shared" si="368"/>
        <v>0</v>
      </c>
      <c r="R435" s="317"/>
      <c r="U435" s="320"/>
    </row>
    <row r="436" spans="1:21" s="344" customFormat="1" outlineLevel="2">
      <c r="A436" s="326"/>
      <c r="B436" s="326"/>
      <c r="C436" s="327">
        <v>3111000</v>
      </c>
      <c r="D436" s="460" t="s">
        <v>69</v>
      </c>
      <c r="E436" s="462">
        <f>SUM(E437:E439)</f>
        <v>268000</v>
      </c>
      <c r="F436" s="462">
        <f t="shared" ref="F436:K436" si="371">SUM(F437:F439)</f>
        <v>0</v>
      </c>
      <c r="G436" s="462">
        <f t="shared" si="371"/>
        <v>0</v>
      </c>
      <c r="H436" s="462">
        <f t="shared" si="371"/>
        <v>0</v>
      </c>
      <c r="I436" s="462">
        <f t="shared" si="371"/>
        <v>268000</v>
      </c>
      <c r="J436" s="462">
        <f t="shared" si="371"/>
        <v>0</v>
      </c>
      <c r="K436" s="462">
        <f t="shared" si="371"/>
        <v>0</v>
      </c>
      <c r="L436" s="317">
        <f t="shared" si="339"/>
        <v>268000</v>
      </c>
      <c r="M436" s="317"/>
      <c r="N436" s="372">
        <f t="shared" si="342"/>
        <v>0</v>
      </c>
      <c r="O436" s="462">
        <f t="shared" ref="O436:P436" si="372">SUM(O437:O439)</f>
        <v>135300</v>
      </c>
      <c r="P436" s="462">
        <f t="shared" si="372"/>
        <v>148830</v>
      </c>
      <c r="R436" s="317"/>
      <c r="U436" s="320"/>
    </row>
    <row r="437" spans="1:21" s="344" customFormat="1" outlineLevel="2">
      <c r="A437" s="345"/>
      <c r="B437" s="345"/>
      <c r="C437" s="346" t="s">
        <v>98</v>
      </c>
      <c r="D437" s="465" t="s">
        <v>70</v>
      </c>
      <c r="E437" s="406">
        <v>123000</v>
      </c>
      <c r="F437" s="406"/>
      <c r="G437" s="406"/>
      <c r="H437" s="406"/>
      <c r="I437" s="324">
        <f t="shared" si="340"/>
        <v>123000</v>
      </c>
      <c r="J437" s="348"/>
      <c r="K437" s="463"/>
      <c r="L437" s="317">
        <f t="shared" si="339"/>
        <v>123000</v>
      </c>
      <c r="M437" s="317"/>
      <c r="N437" s="372">
        <f t="shared" si="342"/>
        <v>0</v>
      </c>
      <c r="O437" s="336">
        <f>L437*1.1</f>
        <v>135300</v>
      </c>
      <c r="P437" s="336">
        <f t="shared" si="368"/>
        <v>148830</v>
      </c>
      <c r="R437" s="317"/>
      <c r="U437" s="320"/>
    </row>
    <row r="438" spans="1:21" s="344" customFormat="1" outlineLevel="2">
      <c r="A438" s="345"/>
      <c r="B438" s="345"/>
      <c r="C438" s="346">
        <v>3111002</v>
      </c>
      <c r="D438" s="347" t="s">
        <v>71</v>
      </c>
      <c r="E438" s="406">
        <v>145000</v>
      </c>
      <c r="F438" s="348"/>
      <c r="G438" s="348"/>
      <c r="H438" s="348"/>
      <c r="I438" s="324">
        <f t="shared" si="340"/>
        <v>145000</v>
      </c>
      <c r="J438" s="348"/>
      <c r="K438" s="463"/>
      <c r="L438" s="317">
        <f t="shared" si="339"/>
        <v>145000</v>
      </c>
      <c r="M438" s="317"/>
      <c r="N438" s="372">
        <f t="shared" si="342"/>
        <v>0</v>
      </c>
      <c r="O438" s="474">
        <f t="shared" ref="O438:P438" si="373">O439</f>
        <v>0</v>
      </c>
      <c r="P438" s="474">
        <f t="shared" si="373"/>
        <v>0</v>
      </c>
      <c r="R438" s="317"/>
      <c r="U438" s="320"/>
    </row>
    <row r="439" spans="1:21" s="344" customFormat="1" outlineLevel="2">
      <c r="A439" s="345"/>
      <c r="B439" s="345"/>
      <c r="C439" s="346" t="s">
        <v>1572</v>
      </c>
      <c r="D439" s="347" t="s">
        <v>1573</v>
      </c>
      <c r="E439" s="406">
        <v>0</v>
      </c>
      <c r="F439" s="348"/>
      <c r="G439" s="348"/>
      <c r="H439" s="348"/>
      <c r="I439" s="324">
        <f t="shared" si="340"/>
        <v>0</v>
      </c>
      <c r="J439" s="459"/>
      <c r="K439" s="463"/>
      <c r="L439" s="317">
        <f t="shared" si="339"/>
        <v>0</v>
      </c>
      <c r="M439" s="317"/>
      <c r="N439" s="372">
        <f t="shared" si="342"/>
        <v>0</v>
      </c>
      <c r="O439" s="336">
        <f>L439*1.1</f>
        <v>0</v>
      </c>
      <c r="P439" s="336">
        <f t="shared" ref="P439:P449" si="374">O439*1.1</f>
        <v>0</v>
      </c>
      <c r="R439" s="317"/>
      <c r="U439" s="320"/>
    </row>
    <row r="440" spans="1:21" s="344" customFormat="1" outlineLevel="2">
      <c r="A440" s="326"/>
      <c r="B440" s="326"/>
      <c r="C440" s="475"/>
      <c r="D440" s="400"/>
      <c r="E440" s="461">
        <f>E441</f>
        <v>0</v>
      </c>
      <c r="F440" s="459"/>
      <c r="G440" s="459"/>
      <c r="H440" s="459"/>
      <c r="I440" s="324">
        <f t="shared" si="340"/>
        <v>0</v>
      </c>
      <c r="J440" s="348"/>
      <c r="K440" s="463"/>
      <c r="L440" s="317">
        <f t="shared" si="339"/>
        <v>0</v>
      </c>
      <c r="M440" s="317"/>
      <c r="N440" s="372">
        <f t="shared" si="342"/>
        <v>0</v>
      </c>
      <c r="O440" s="476">
        <f t="shared" ref="O440:P440" si="375">O441</f>
        <v>0</v>
      </c>
      <c r="P440" s="476">
        <f t="shared" si="375"/>
        <v>0</v>
      </c>
      <c r="R440" s="317"/>
      <c r="U440" s="320"/>
    </row>
    <row r="441" spans="1:21" s="344" customFormat="1" outlineLevel="2">
      <c r="A441" s="345"/>
      <c r="B441" s="345"/>
      <c r="C441" s="473"/>
      <c r="D441" s="347"/>
      <c r="E441" s="406">
        <v>0</v>
      </c>
      <c r="F441" s="348"/>
      <c r="G441" s="348"/>
      <c r="H441" s="348"/>
      <c r="I441" s="324">
        <f t="shared" si="340"/>
        <v>0</v>
      </c>
      <c r="J441" s="462"/>
      <c r="K441" s="463"/>
      <c r="L441" s="317">
        <f t="shared" si="339"/>
        <v>0</v>
      </c>
      <c r="M441" s="317"/>
      <c r="N441" s="372">
        <f t="shared" si="342"/>
        <v>0</v>
      </c>
      <c r="O441" s="451">
        <f>L441*1.1</f>
        <v>0</v>
      </c>
      <c r="P441" s="451">
        <f>O441*1.1</f>
        <v>0</v>
      </c>
      <c r="R441" s="317"/>
      <c r="U441" s="320"/>
    </row>
    <row r="442" spans="1:21" s="344" customFormat="1" outlineLevel="2">
      <c r="A442" s="345"/>
      <c r="B442" s="345"/>
      <c r="C442" s="347"/>
      <c r="D442" s="460" t="s">
        <v>99</v>
      </c>
      <c r="E442" s="462">
        <f>E396+E399+E409+E413+E420+E423+E427+E431+E436+E405+E403+E429+E433+E440+E393</f>
        <v>7020349.674643755</v>
      </c>
      <c r="F442" s="462">
        <f t="shared" ref="F442:K442" si="376">F396+F399+F409+F413+F420+F423+F427+F431+F436+F405+F403+F429+F433+F440+F393</f>
        <v>0</v>
      </c>
      <c r="G442" s="462">
        <f t="shared" si="376"/>
        <v>0</v>
      </c>
      <c r="H442" s="462">
        <f t="shared" si="376"/>
        <v>0</v>
      </c>
      <c r="I442" s="462">
        <f t="shared" si="376"/>
        <v>7020349.674643755</v>
      </c>
      <c r="J442" s="462">
        <f t="shared" si="376"/>
        <v>0</v>
      </c>
      <c r="K442" s="462">
        <f t="shared" si="376"/>
        <v>196080</v>
      </c>
      <c r="L442" s="317">
        <f t="shared" si="339"/>
        <v>7216429.674643755</v>
      </c>
      <c r="M442" s="317"/>
      <c r="N442" s="372">
        <f t="shared" si="342"/>
        <v>-196080</v>
      </c>
      <c r="O442" s="462">
        <f t="shared" ref="O442:P442" si="377">O396+O399+O409+O413+O420+O423+O427+O431+O436+O405+O403+O429+O433+O440+O393</f>
        <v>7778572.6421081312</v>
      </c>
      <c r="P442" s="462">
        <f t="shared" si="377"/>
        <v>8556429.9063189439</v>
      </c>
      <c r="R442" s="317"/>
      <c r="U442" s="320"/>
    </row>
    <row r="443" spans="1:21" s="344" customFormat="1" outlineLevel="1">
      <c r="A443" s="345"/>
      <c r="B443" s="345"/>
      <c r="C443" s="347"/>
      <c r="D443" s="400" t="s">
        <v>84</v>
      </c>
      <c r="E443" s="462">
        <f>E442</f>
        <v>7020349.674643755</v>
      </c>
      <c r="F443" s="462">
        <f t="shared" ref="F443:K443" si="378">F442</f>
        <v>0</v>
      </c>
      <c r="G443" s="462">
        <f t="shared" si="378"/>
        <v>0</v>
      </c>
      <c r="H443" s="462">
        <f t="shared" si="378"/>
        <v>0</v>
      </c>
      <c r="I443" s="462">
        <f t="shared" si="378"/>
        <v>7020349.674643755</v>
      </c>
      <c r="J443" s="462">
        <f t="shared" si="378"/>
        <v>0</v>
      </c>
      <c r="K443" s="462">
        <f t="shared" si="378"/>
        <v>196080</v>
      </c>
      <c r="L443" s="317">
        <f t="shared" si="339"/>
        <v>7216429.674643755</v>
      </c>
      <c r="M443" s="317"/>
      <c r="N443" s="372">
        <f t="shared" si="342"/>
        <v>-196080</v>
      </c>
      <c r="O443" s="462">
        <f t="shared" ref="O443:P443" si="379">O442</f>
        <v>7778572.6421081312</v>
      </c>
      <c r="P443" s="462">
        <f t="shared" si="379"/>
        <v>8556429.9063189439</v>
      </c>
      <c r="R443" s="317"/>
      <c r="U443" s="320"/>
    </row>
    <row r="444" spans="1:21" s="344" customFormat="1" outlineLevel="1">
      <c r="A444" s="345"/>
      <c r="B444" s="345"/>
      <c r="C444" s="347"/>
      <c r="D444" s="400"/>
      <c r="E444" s="462"/>
      <c r="F444" s="459"/>
      <c r="G444" s="459"/>
      <c r="H444" s="459"/>
      <c r="I444" s="324">
        <f t="shared" si="340"/>
        <v>0</v>
      </c>
      <c r="J444" s="461"/>
      <c r="K444" s="463"/>
      <c r="L444" s="317">
        <f t="shared" si="339"/>
        <v>0</v>
      </c>
      <c r="M444" s="317"/>
      <c r="N444" s="372">
        <f t="shared" si="342"/>
        <v>0</v>
      </c>
      <c r="O444" s="336">
        <f>L444*1.1</f>
        <v>0</v>
      </c>
      <c r="P444" s="336">
        <f t="shared" si="374"/>
        <v>0</v>
      </c>
      <c r="R444" s="317"/>
      <c r="U444" s="320"/>
    </row>
    <row r="445" spans="1:21" s="344" customFormat="1" outlineLevel="2">
      <c r="A445" s="345"/>
      <c r="B445" s="345"/>
      <c r="C445" s="400" t="s">
        <v>109</v>
      </c>
      <c r="D445" s="460"/>
      <c r="E445" s="477"/>
      <c r="F445" s="461"/>
      <c r="G445" s="461"/>
      <c r="H445" s="461"/>
      <c r="I445" s="324">
        <f t="shared" si="340"/>
        <v>0</v>
      </c>
      <c r="J445" s="461"/>
      <c r="K445" s="463"/>
      <c r="L445" s="317">
        <f t="shared" si="339"/>
        <v>0</v>
      </c>
      <c r="M445" s="317"/>
      <c r="N445" s="372">
        <f t="shared" si="342"/>
        <v>0</v>
      </c>
      <c r="O445" s="451"/>
      <c r="P445" s="451"/>
      <c r="R445" s="317"/>
      <c r="U445" s="320"/>
    </row>
    <row r="446" spans="1:21" s="344" customFormat="1" outlineLevel="2">
      <c r="A446" s="345"/>
      <c r="B446" s="345"/>
      <c r="C446" s="400" t="s">
        <v>109</v>
      </c>
      <c r="D446" s="460"/>
      <c r="E446" s="462"/>
      <c r="F446" s="461"/>
      <c r="G446" s="461"/>
      <c r="H446" s="461"/>
      <c r="I446" s="324">
        <f t="shared" si="340"/>
        <v>0</v>
      </c>
      <c r="J446" s="462"/>
      <c r="K446" s="463"/>
      <c r="L446" s="317">
        <f t="shared" si="339"/>
        <v>0</v>
      </c>
      <c r="M446" s="317"/>
      <c r="N446" s="372">
        <f t="shared" si="342"/>
        <v>0</v>
      </c>
      <c r="O446" s="336">
        <f>L446*1.1</f>
        <v>0</v>
      </c>
      <c r="P446" s="336">
        <f t="shared" si="374"/>
        <v>0</v>
      </c>
      <c r="R446" s="317"/>
      <c r="U446" s="320"/>
    </row>
    <row r="447" spans="1:21" s="344" customFormat="1" outlineLevel="2">
      <c r="A447" s="326"/>
      <c r="B447" s="326"/>
      <c r="C447" s="327">
        <v>2210200</v>
      </c>
      <c r="D447" s="460" t="s">
        <v>20</v>
      </c>
      <c r="E447" s="462">
        <f>SUM(E448:E449)</f>
        <v>194000</v>
      </c>
      <c r="F447" s="462">
        <f t="shared" ref="F447:K447" si="380">SUM(F448:F449)</f>
        <v>0</v>
      </c>
      <c r="G447" s="462">
        <f t="shared" si="380"/>
        <v>0</v>
      </c>
      <c r="H447" s="462">
        <f t="shared" si="380"/>
        <v>0</v>
      </c>
      <c r="I447" s="462">
        <f t="shared" si="380"/>
        <v>194000</v>
      </c>
      <c r="J447" s="462">
        <f t="shared" si="380"/>
        <v>0</v>
      </c>
      <c r="K447" s="462">
        <f t="shared" si="380"/>
        <v>-18000</v>
      </c>
      <c r="L447" s="317">
        <f t="shared" si="339"/>
        <v>176000</v>
      </c>
      <c r="M447" s="317"/>
      <c r="N447" s="372">
        <f t="shared" si="342"/>
        <v>18000</v>
      </c>
      <c r="O447" s="462">
        <f t="shared" ref="O447:P447" si="381">SUM(O448:O449)</f>
        <v>193600.00000000003</v>
      </c>
      <c r="P447" s="462">
        <f t="shared" si="381"/>
        <v>212960.00000000006</v>
      </c>
      <c r="R447" s="317"/>
      <c r="U447" s="320"/>
    </row>
    <row r="448" spans="1:21" s="344" customFormat="1" outlineLevel="2">
      <c r="A448" s="345"/>
      <c r="B448" s="345"/>
      <c r="C448" s="346">
        <v>2210201</v>
      </c>
      <c r="D448" s="465" t="s">
        <v>21</v>
      </c>
      <c r="E448" s="406">
        <v>174000</v>
      </c>
      <c r="F448" s="406"/>
      <c r="G448" s="406"/>
      <c r="H448" s="406"/>
      <c r="I448" s="324">
        <f t="shared" si="340"/>
        <v>174000</v>
      </c>
      <c r="J448" s="406"/>
      <c r="K448" s="463">
        <v>0</v>
      </c>
      <c r="L448" s="317">
        <f t="shared" si="339"/>
        <v>174000</v>
      </c>
      <c r="M448" s="317"/>
      <c r="N448" s="372">
        <f t="shared" si="342"/>
        <v>0</v>
      </c>
      <c r="O448" s="464">
        <f>L448*1.1</f>
        <v>191400.00000000003</v>
      </c>
      <c r="P448" s="464">
        <f>O448*1.1</f>
        <v>210540.00000000006</v>
      </c>
      <c r="R448" s="317"/>
      <c r="U448" s="320"/>
    </row>
    <row r="449" spans="1:21" s="344" customFormat="1" outlineLevel="2">
      <c r="A449" s="345"/>
      <c r="B449" s="345"/>
      <c r="C449" s="346">
        <v>2210202</v>
      </c>
      <c r="D449" s="465" t="s">
        <v>22</v>
      </c>
      <c r="E449" s="406">
        <v>20000</v>
      </c>
      <c r="F449" s="406"/>
      <c r="G449" s="406"/>
      <c r="H449" s="406"/>
      <c r="I449" s="324">
        <f t="shared" si="340"/>
        <v>20000</v>
      </c>
      <c r="J449" s="462"/>
      <c r="K449" s="463">
        <v>-18000</v>
      </c>
      <c r="L449" s="317">
        <f t="shared" si="339"/>
        <v>2000</v>
      </c>
      <c r="M449" s="317"/>
      <c r="N449" s="372">
        <f t="shared" si="342"/>
        <v>18000</v>
      </c>
      <c r="O449" s="336">
        <f>L449*1.1</f>
        <v>2200</v>
      </c>
      <c r="P449" s="336">
        <f t="shared" si="374"/>
        <v>2420</v>
      </c>
      <c r="R449" s="317"/>
      <c r="U449" s="320"/>
    </row>
    <row r="450" spans="1:21" s="344" customFormat="1" outlineLevel="2">
      <c r="A450" s="326"/>
      <c r="B450" s="326"/>
      <c r="C450" s="327" t="s">
        <v>102</v>
      </c>
      <c r="D450" s="460" t="s">
        <v>24</v>
      </c>
      <c r="E450" s="462">
        <f>SUM(E451:E453)</f>
        <v>274000</v>
      </c>
      <c r="F450" s="462">
        <f t="shared" ref="F450:K450" si="382">SUM(F451:F453)</f>
        <v>0</v>
      </c>
      <c r="G450" s="462">
        <f t="shared" si="382"/>
        <v>0</v>
      </c>
      <c r="H450" s="462">
        <f t="shared" si="382"/>
        <v>0</v>
      </c>
      <c r="I450" s="462">
        <f t="shared" si="382"/>
        <v>274000</v>
      </c>
      <c r="J450" s="462">
        <f t="shared" si="382"/>
        <v>0</v>
      </c>
      <c r="K450" s="462">
        <f t="shared" si="382"/>
        <v>500000</v>
      </c>
      <c r="L450" s="317">
        <f t="shared" si="339"/>
        <v>774000</v>
      </c>
      <c r="M450" s="317"/>
      <c r="N450" s="372">
        <f t="shared" si="342"/>
        <v>-500000</v>
      </c>
      <c r="O450" s="462">
        <f t="shared" ref="O450:P450" si="383">SUM(O451:O453)</f>
        <v>851400</v>
      </c>
      <c r="P450" s="462">
        <f t="shared" si="383"/>
        <v>936540.00000000012</v>
      </c>
      <c r="R450" s="317"/>
      <c r="U450" s="320"/>
    </row>
    <row r="451" spans="1:21" s="344" customFormat="1" outlineLevel="2">
      <c r="A451" s="345"/>
      <c r="B451" s="345"/>
      <c r="C451" s="346">
        <v>2210301</v>
      </c>
      <c r="D451" s="465" t="s">
        <v>25</v>
      </c>
      <c r="E451" s="406">
        <v>142000</v>
      </c>
      <c r="F451" s="406"/>
      <c r="G451" s="406"/>
      <c r="H451" s="406"/>
      <c r="I451" s="324">
        <f t="shared" si="340"/>
        <v>142000</v>
      </c>
      <c r="J451" s="406"/>
      <c r="K451" s="463">
        <v>500000</v>
      </c>
      <c r="L451" s="317">
        <f t="shared" si="339"/>
        <v>642000</v>
      </c>
      <c r="M451" s="317"/>
      <c r="N451" s="372">
        <f t="shared" si="342"/>
        <v>-500000</v>
      </c>
      <c r="O451" s="336">
        <f>L451*1.1</f>
        <v>706200</v>
      </c>
      <c r="P451" s="336">
        <f t="shared" ref="P451:P470" si="384">O451*1.1</f>
        <v>776820.00000000012</v>
      </c>
      <c r="R451" s="317"/>
      <c r="U451" s="320"/>
    </row>
    <row r="452" spans="1:21" s="344" customFormat="1" outlineLevel="2">
      <c r="A452" s="345"/>
      <c r="B452" s="345"/>
      <c r="C452" s="346">
        <v>2210302</v>
      </c>
      <c r="D452" s="465" t="s">
        <v>26</v>
      </c>
      <c r="E452" s="406">
        <v>32000</v>
      </c>
      <c r="F452" s="406"/>
      <c r="G452" s="406"/>
      <c r="H452" s="406"/>
      <c r="I452" s="324">
        <f t="shared" si="340"/>
        <v>32000</v>
      </c>
      <c r="J452" s="406"/>
      <c r="K452" s="463"/>
      <c r="L452" s="317">
        <f t="shared" ref="L452:L515" si="385">I452+J452+K452</f>
        <v>32000</v>
      </c>
      <c r="M452" s="317"/>
      <c r="N452" s="372">
        <f t="shared" si="342"/>
        <v>0</v>
      </c>
      <c r="O452" s="464">
        <f>L452*1.1</f>
        <v>35200</v>
      </c>
      <c r="P452" s="464">
        <f>O452*1.1</f>
        <v>38720</v>
      </c>
      <c r="R452" s="317"/>
      <c r="U452" s="320"/>
    </row>
    <row r="453" spans="1:21" s="344" customFormat="1" outlineLevel="2">
      <c r="A453" s="345"/>
      <c r="B453" s="345"/>
      <c r="C453" s="346">
        <v>2210303</v>
      </c>
      <c r="D453" s="465" t="s">
        <v>27</v>
      </c>
      <c r="E453" s="406">
        <f>234000-134000</f>
        <v>100000</v>
      </c>
      <c r="F453" s="406"/>
      <c r="G453" s="406"/>
      <c r="H453" s="406"/>
      <c r="I453" s="324">
        <f t="shared" si="340"/>
        <v>100000</v>
      </c>
      <c r="J453" s="462"/>
      <c r="K453" s="463"/>
      <c r="L453" s="317">
        <f t="shared" si="385"/>
        <v>100000</v>
      </c>
      <c r="M453" s="317"/>
      <c r="N453" s="372">
        <f t="shared" si="342"/>
        <v>0</v>
      </c>
      <c r="O453" s="336">
        <f>L453*1.1</f>
        <v>110000.00000000001</v>
      </c>
      <c r="P453" s="336">
        <f t="shared" si="384"/>
        <v>121000.00000000003</v>
      </c>
      <c r="R453" s="317"/>
      <c r="U453" s="320"/>
    </row>
    <row r="454" spans="1:21" s="344" customFormat="1" outlineLevel="2">
      <c r="A454" s="327"/>
      <c r="B454" s="327"/>
      <c r="C454" s="466">
        <v>2211000</v>
      </c>
      <c r="D454" s="467" t="s">
        <v>103</v>
      </c>
      <c r="E454" s="462">
        <f>E455</f>
        <v>12000</v>
      </c>
      <c r="F454" s="462">
        <f t="shared" ref="F454:K454" si="386">F455</f>
        <v>0</v>
      </c>
      <c r="G454" s="462">
        <f t="shared" si="386"/>
        <v>0</v>
      </c>
      <c r="H454" s="462">
        <f t="shared" si="386"/>
        <v>2000000</v>
      </c>
      <c r="I454" s="462">
        <f t="shared" si="386"/>
        <v>2012000</v>
      </c>
      <c r="J454" s="462">
        <f t="shared" si="386"/>
        <v>0</v>
      </c>
      <c r="K454" s="462">
        <f t="shared" si="386"/>
        <v>0</v>
      </c>
      <c r="L454" s="317">
        <f t="shared" si="385"/>
        <v>2012000</v>
      </c>
      <c r="M454" s="317"/>
      <c r="N454" s="372">
        <f t="shared" si="342"/>
        <v>0</v>
      </c>
      <c r="O454" s="462">
        <f t="shared" ref="O454:P454" si="387">O455</f>
        <v>2213200</v>
      </c>
      <c r="P454" s="462">
        <f t="shared" si="387"/>
        <v>2434520</v>
      </c>
      <c r="R454" s="317"/>
      <c r="U454" s="320"/>
    </row>
    <row r="455" spans="1:21" s="344" customFormat="1" outlineLevel="2">
      <c r="A455" s="327"/>
      <c r="B455" s="327"/>
      <c r="C455" s="468">
        <v>2211016</v>
      </c>
      <c r="D455" s="469" t="s">
        <v>104</v>
      </c>
      <c r="E455" s="406">
        <v>12000</v>
      </c>
      <c r="F455" s="348"/>
      <c r="G455" s="348"/>
      <c r="H455" s="406">
        <f>2000000-2000000+2000000</f>
        <v>2000000</v>
      </c>
      <c r="I455" s="324">
        <f t="shared" ref="I455:I517" si="388">E455+F455+G455+H455</f>
        <v>2012000</v>
      </c>
      <c r="J455" s="462"/>
      <c r="K455" s="463">
        <v>0</v>
      </c>
      <c r="L455" s="317">
        <f t="shared" si="385"/>
        <v>2012000</v>
      </c>
      <c r="M455" s="317"/>
      <c r="N455" s="372">
        <f t="shared" si="342"/>
        <v>0</v>
      </c>
      <c r="O455" s="336">
        <f>L455*1.1</f>
        <v>2213200</v>
      </c>
      <c r="P455" s="336">
        <f t="shared" si="384"/>
        <v>2434520</v>
      </c>
      <c r="R455" s="317"/>
      <c r="U455" s="320"/>
    </row>
    <row r="456" spans="1:21" s="344" customFormat="1" outlineLevel="2">
      <c r="A456" s="326"/>
      <c r="B456" s="326"/>
      <c r="C456" s="327">
        <v>2210400</v>
      </c>
      <c r="D456" s="460" t="s">
        <v>29</v>
      </c>
      <c r="E456" s="462">
        <f>SUM(E457:E459)</f>
        <v>0</v>
      </c>
      <c r="F456" s="462">
        <f t="shared" ref="F456:P456" si="389">SUM(F457:F459)</f>
        <v>0</v>
      </c>
      <c r="G456" s="462">
        <f t="shared" si="389"/>
        <v>0</v>
      </c>
      <c r="H456" s="462">
        <f t="shared" si="389"/>
        <v>0</v>
      </c>
      <c r="I456" s="462">
        <f t="shared" si="389"/>
        <v>0</v>
      </c>
      <c r="J456" s="406"/>
      <c r="K456" s="478">
        <f t="shared" ref="K456" si="390">K457+K458+K459</f>
        <v>0</v>
      </c>
      <c r="L456" s="317">
        <f t="shared" si="385"/>
        <v>0</v>
      </c>
      <c r="M456" s="317"/>
      <c r="N456" s="372">
        <f t="shared" ref="N456:N519" si="391">M456-K456</f>
        <v>0</v>
      </c>
      <c r="O456" s="462">
        <f t="shared" si="389"/>
        <v>0</v>
      </c>
      <c r="P456" s="462">
        <f t="shared" si="389"/>
        <v>0</v>
      </c>
      <c r="R456" s="317"/>
      <c r="U456" s="320"/>
    </row>
    <row r="457" spans="1:21" s="344" customFormat="1" outlineLevel="2">
      <c r="A457" s="345"/>
      <c r="B457" s="345"/>
      <c r="C457" s="346">
        <v>2210401</v>
      </c>
      <c r="D457" s="465" t="s">
        <v>25</v>
      </c>
      <c r="E457" s="406">
        <v>0</v>
      </c>
      <c r="F457" s="406"/>
      <c r="G457" s="406"/>
      <c r="H457" s="406"/>
      <c r="I457" s="324">
        <f t="shared" si="388"/>
        <v>0</v>
      </c>
      <c r="J457" s="406"/>
      <c r="K457" s="463"/>
      <c r="L457" s="317">
        <f t="shared" si="385"/>
        <v>0</v>
      </c>
      <c r="M457" s="317"/>
      <c r="N457" s="372">
        <f t="shared" si="391"/>
        <v>0</v>
      </c>
      <c r="O457" s="336">
        <f>L457*1.1</f>
        <v>0</v>
      </c>
      <c r="P457" s="336">
        <f t="shared" si="384"/>
        <v>0</v>
      </c>
      <c r="R457" s="317"/>
      <c r="U457" s="320"/>
    </row>
    <row r="458" spans="1:21" s="344" customFormat="1" outlineLevel="2">
      <c r="A458" s="345"/>
      <c r="B458" s="345"/>
      <c r="C458" s="346">
        <v>2210402</v>
      </c>
      <c r="D458" s="465" t="s">
        <v>30</v>
      </c>
      <c r="E458" s="406">
        <v>0</v>
      </c>
      <c r="F458" s="406"/>
      <c r="G458" s="406"/>
      <c r="H458" s="406"/>
      <c r="I458" s="324">
        <f t="shared" si="388"/>
        <v>0</v>
      </c>
      <c r="J458" s="406"/>
      <c r="K458" s="463"/>
      <c r="L458" s="317">
        <f t="shared" si="385"/>
        <v>0</v>
      </c>
      <c r="M458" s="317"/>
      <c r="N458" s="372">
        <f t="shared" si="391"/>
        <v>0</v>
      </c>
      <c r="O458" s="471">
        <f>L458*1.1</f>
        <v>0</v>
      </c>
      <c r="P458" s="471">
        <f>O458*1.1</f>
        <v>0</v>
      </c>
      <c r="R458" s="317"/>
      <c r="U458" s="320"/>
    </row>
    <row r="459" spans="1:21" s="344" customFormat="1" outlineLevel="2">
      <c r="A459" s="345"/>
      <c r="B459" s="345"/>
      <c r="C459" s="346">
        <v>2210404</v>
      </c>
      <c r="D459" s="465" t="s">
        <v>28</v>
      </c>
      <c r="E459" s="406">
        <v>0</v>
      </c>
      <c r="F459" s="406"/>
      <c r="G459" s="406"/>
      <c r="H459" s="406"/>
      <c r="I459" s="324">
        <f t="shared" si="388"/>
        <v>0</v>
      </c>
      <c r="J459" s="462"/>
      <c r="K459" s="463"/>
      <c r="L459" s="317">
        <f t="shared" si="385"/>
        <v>0</v>
      </c>
      <c r="M459" s="317"/>
      <c r="N459" s="372">
        <f t="shared" si="391"/>
        <v>0</v>
      </c>
      <c r="O459" s="336">
        <f>L459*1.1</f>
        <v>0</v>
      </c>
      <c r="P459" s="336">
        <f t="shared" si="384"/>
        <v>0</v>
      </c>
      <c r="R459" s="317"/>
      <c r="U459" s="320"/>
    </row>
    <row r="460" spans="1:21" s="344" customFormat="1" outlineLevel="2">
      <c r="A460" s="326"/>
      <c r="B460" s="326"/>
      <c r="C460" s="327">
        <v>2210500</v>
      </c>
      <c r="D460" s="460" t="s">
        <v>31</v>
      </c>
      <c r="E460" s="462">
        <f>E461+E462+E463</f>
        <v>53000</v>
      </c>
      <c r="F460" s="462">
        <f t="shared" ref="F460:K460" si="392">F461+F462+F463</f>
        <v>0</v>
      </c>
      <c r="G460" s="462">
        <f t="shared" si="392"/>
        <v>0</v>
      </c>
      <c r="H460" s="462">
        <f t="shared" si="392"/>
        <v>0</v>
      </c>
      <c r="I460" s="462">
        <f t="shared" si="392"/>
        <v>53000</v>
      </c>
      <c r="J460" s="462">
        <f t="shared" si="392"/>
        <v>0</v>
      </c>
      <c r="K460" s="462">
        <f t="shared" si="392"/>
        <v>0</v>
      </c>
      <c r="L460" s="317">
        <f t="shared" si="385"/>
        <v>53000</v>
      </c>
      <c r="M460" s="317"/>
      <c r="N460" s="372">
        <f t="shared" si="391"/>
        <v>0</v>
      </c>
      <c r="O460" s="462">
        <f t="shared" ref="O460:P460" si="393">O461+O462+O463</f>
        <v>58300</v>
      </c>
      <c r="P460" s="462">
        <f t="shared" si="393"/>
        <v>64130.000000000007</v>
      </c>
      <c r="R460" s="317"/>
      <c r="U460" s="320"/>
    </row>
    <row r="461" spans="1:21" s="344" customFormat="1" outlineLevel="2">
      <c r="A461" s="345"/>
      <c r="B461" s="345"/>
      <c r="C461" s="405">
        <v>2210502</v>
      </c>
      <c r="D461" s="345" t="s">
        <v>105</v>
      </c>
      <c r="E461" s="406">
        <v>22000</v>
      </c>
      <c r="F461" s="406"/>
      <c r="G461" s="406"/>
      <c r="H461" s="406"/>
      <c r="I461" s="324">
        <f t="shared" si="388"/>
        <v>22000</v>
      </c>
      <c r="J461" s="406"/>
      <c r="K461" s="463"/>
      <c r="L461" s="317">
        <f t="shared" si="385"/>
        <v>22000</v>
      </c>
      <c r="M461" s="317"/>
      <c r="N461" s="372">
        <f t="shared" si="391"/>
        <v>0</v>
      </c>
      <c r="O461" s="336">
        <f>L461*1.1</f>
        <v>24200.000000000004</v>
      </c>
      <c r="P461" s="336">
        <f t="shared" si="384"/>
        <v>26620.000000000007</v>
      </c>
      <c r="R461" s="317"/>
      <c r="U461" s="320"/>
    </row>
    <row r="462" spans="1:21" s="344" customFormat="1" outlineLevel="2">
      <c r="A462" s="345"/>
      <c r="B462" s="345"/>
      <c r="C462" s="346">
        <v>2210503</v>
      </c>
      <c r="D462" s="465" t="s">
        <v>32</v>
      </c>
      <c r="E462" s="406">
        <v>16000</v>
      </c>
      <c r="F462" s="406"/>
      <c r="G462" s="406"/>
      <c r="H462" s="406"/>
      <c r="I462" s="324">
        <f t="shared" si="388"/>
        <v>16000</v>
      </c>
      <c r="J462" s="406"/>
      <c r="K462" s="463"/>
      <c r="L462" s="317">
        <f t="shared" si="385"/>
        <v>16000</v>
      </c>
      <c r="M462" s="317"/>
      <c r="N462" s="372">
        <f t="shared" si="391"/>
        <v>0</v>
      </c>
      <c r="O462" s="464">
        <f>L462*1.1</f>
        <v>17600</v>
      </c>
      <c r="P462" s="464">
        <f>O462*1.1</f>
        <v>19360</v>
      </c>
      <c r="R462" s="317"/>
      <c r="U462" s="320"/>
    </row>
    <row r="463" spans="1:21" s="344" customFormat="1" outlineLevel="2">
      <c r="A463" s="345"/>
      <c r="B463" s="345"/>
      <c r="C463" s="405">
        <v>2210504</v>
      </c>
      <c r="D463" s="345" t="s">
        <v>110</v>
      </c>
      <c r="E463" s="406">
        <v>15000</v>
      </c>
      <c r="F463" s="406"/>
      <c r="G463" s="406"/>
      <c r="H463" s="406"/>
      <c r="I463" s="324">
        <f t="shared" si="388"/>
        <v>15000</v>
      </c>
      <c r="J463" s="462"/>
      <c r="K463" s="463"/>
      <c r="L463" s="317">
        <f t="shared" si="385"/>
        <v>15000</v>
      </c>
      <c r="M463" s="317"/>
      <c r="N463" s="372">
        <f t="shared" si="391"/>
        <v>0</v>
      </c>
      <c r="O463" s="336">
        <f>L463*1.1</f>
        <v>16500</v>
      </c>
      <c r="P463" s="336">
        <f t="shared" si="384"/>
        <v>18150</v>
      </c>
      <c r="R463" s="317"/>
      <c r="U463" s="320"/>
    </row>
    <row r="464" spans="1:21" s="344" customFormat="1" outlineLevel="2">
      <c r="A464" s="345"/>
      <c r="B464" s="345"/>
      <c r="C464" s="327">
        <v>2210700</v>
      </c>
      <c r="D464" s="460" t="s">
        <v>35</v>
      </c>
      <c r="E464" s="462">
        <f>SUM(E465:E470)</f>
        <v>284300</v>
      </c>
      <c r="F464" s="462">
        <f t="shared" ref="F464:K464" si="394">SUM(F465:F470)</f>
        <v>0</v>
      </c>
      <c r="G464" s="462">
        <f t="shared" si="394"/>
        <v>0</v>
      </c>
      <c r="H464" s="462">
        <f t="shared" si="394"/>
        <v>0</v>
      </c>
      <c r="I464" s="462">
        <f t="shared" si="394"/>
        <v>284300</v>
      </c>
      <c r="J464" s="462">
        <f t="shared" si="394"/>
        <v>0</v>
      </c>
      <c r="K464" s="462">
        <f t="shared" si="394"/>
        <v>-60300</v>
      </c>
      <c r="L464" s="317">
        <f t="shared" si="385"/>
        <v>224000</v>
      </c>
      <c r="M464" s="317"/>
      <c r="N464" s="372">
        <f t="shared" si="391"/>
        <v>60300</v>
      </c>
      <c r="O464" s="462">
        <f t="shared" ref="O464:P464" si="395">SUM(O465:O470)</f>
        <v>246400</v>
      </c>
      <c r="P464" s="462">
        <f t="shared" si="395"/>
        <v>271040</v>
      </c>
      <c r="R464" s="317"/>
      <c r="U464" s="320"/>
    </row>
    <row r="465" spans="1:21" s="344" customFormat="1" outlineLevel="2">
      <c r="A465" s="345"/>
      <c r="B465" s="345"/>
      <c r="C465" s="346">
        <v>2210701</v>
      </c>
      <c r="D465" s="465" t="s">
        <v>36</v>
      </c>
      <c r="E465" s="406">
        <v>16000</v>
      </c>
      <c r="F465" s="406"/>
      <c r="G465" s="406"/>
      <c r="H465" s="406"/>
      <c r="I465" s="324">
        <f t="shared" si="388"/>
        <v>16000</v>
      </c>
      <c r="J465" s="406"/>
      <c r="K465" s="463"/>
      <c r="L465" s="317">
        <f t="shared" si="385"/>
        <v>16000</v>
      </c>
      <c r="M465" s="317"/>
      <c r="N465" s="372">
        <f t="shared" si="391"/>
        <v>0</v>
      </c>
      <c r="O465" s="336">
        <f t="shared" ref="O465:O470" si="396">L465*1.1</f>
        <v>17600</v>
      </c>
      <c r="P465" s="336">
        <f t="shared" si="384"/>
        <v>19360</v>
      </c>
      <c r="R465" s="317"/>
      <c r="U465" s="320"/>
    </row>
    <row r="466" spans="1:21" s="344" customFormat="1" outlineLevel="2">
      <c r="A466" s="345"/>
      <c r="B466" s="345"/>
      <c r="C466" s="346">
        <v>2210702</v>
      </c>
      <c r="D466" s="465" t="s">
        <v>95</v>
      </c>
      <c r="E466" s="406">
        <v>4300</v>
      </c>
      <c r="F466" s="406"/>
      <c r="G466" s="406"/>
      <c r="H466" s="406"/>
      <c r="I466" s="324">
        <f t="shared" si="388"/>
        <v>4300</v>
      </c>
      <c r="J466" s="406"/>
      <c r="K466" s="463">
        <v>-4300</v>
      </c>
      <c r="L466" s="317">
        <f t="shared" si="385"/>
        <v>0</v>
      </c>
      <c r="M466" s="317"/>
      <c r="N466" s="372">
        <f t="shared" si="391"/>
        <v>4300</v>
      </c>
      <c r="O466" s="336">
        <f t="shared" si="396"/>
        <v>0</v>
      </c>
      <c r="P466" s="336">
        <f t="shared" si="384"/>
        <v>0</v>
      </c>
      <c r="R466" s="317"/>
      <c r="U466" s="320"/>
    </row>
    <row r="467" spans="1:21" s="344" customFormat="1" outlineLevel="2">
      <c r="A467" s="345"/>
      <c r="B467" s="345"/>
      <c r="C467" s="346">
        <v>2210703</v>
      </c>
      <c r="D467" s="465" t="s">
        <v>107</v>
      </c>
      <c r="E467" s="406">
        <v>61000</v>
      </c>
      <c r="F467" s="406"/>
      <c r="G467" s="406"/>
      <c r="H467" s="406"/>
      <c r="I467" s="324">
        <f t="shared" si="388"/>
        <v>61000</v>
      </c>
      <c r="J467" s="406"/>
      <c r="K467" s="463"/>
      <c r="L467" s="317">
        <f t="shared" si="385"/>
        <v>61000</v>
      </c>
      <c r="M467" s="317"/>
      <c r="N467" s="372">
        <f t="shared" si="391"/>
        <v>0</v>
      </c>
      <c r="O467" s="336">
        <f t="shared" si="396"/>
        <v>67100</v>
      </c>
      <c r="P467" s="336">
        <f t="shared" si="384"/>
        <v>73810</v>
      </c>
      <c r="R467" s="317"/>
      <c r="U467" s="320"/>
    </row>
    <row r="468" spans="1:21" s="344" customFormat="1" outlineLevel="2">
      <c r="A468" s="345"/>
      <c r="B468" s="345"/>
      <c r="C468" s="346">
        <v>2210704</v>
      </c>
      <c r="D468" s="465" t="s">
        <v>38</v>
      </c>
      <c r="E468" s="406">
        <v>23000</v>
      </c>
      <c r="F468" s="406"/>
      <c r="G468" s="406"/>
      <c r="H468" s="406"/>
      <c r="I468" s="324">
        <f t="shared" si="388"/>
        <v>23000</v>
      </c>
      <c r="J468" s="406"/>
      <c r="K468" s="463"/>
      <c r="L468" s="317">
        <f t="shared" si="385"/>
        <v>23000</v>
      </c>
      <c r="M468" s="317"/>
      <c r="N468" s="372">
        <f t="shared" si="391"/>
        <v>0</v>
      </c>
      <c r="O468" s="336">
        <f t="shared" si="396"/>
        <v>25300.000000000004</v>
      </c>
      <c r="P468" s="336">
        <f t="shared" si="384"/>
        <v>27830.000000000007</v>
      </c>
      <c r="R468" s="317"/>
      <c r="U468" s="320"/>
    </row>
    <row r="469" spans="1:21" s="344" customFormat="1" outlineLevel="2">
      <c r="A469" s="345"/>
      <c r="B469" s="345"/>
      <c r="C469" s="346">
        <v>2210710</v>
      </c>
      <c r="D469" s="465" t="s">
        <v>39</v>
      </c>
      <c r="E469" s="406">
        <v>124000</v>
      </c>
      <c r="F469" s="406"/>
      <c r="G469" s="406"/>
      <c r="H469" s="406"/>
      <c r="I469" s="324">
        <f t="shared" si="388"/>
        <v>124000</v>
      </c>
      <c r="J469" s="406"/>
      <c r="K469" s="463"/>
      <c r="L469" s="317">
        <f t="shared" si="385"/>
        <v>124000</v>
      </c>
      <c r="M469" s="317"/>
      <c r="N469" s="372">
        <f t="shared" si="391"/>
        <v>0</v>
      </c>
      <c r="O469" s="464">
        <f t="shared" si="396"/>
        <v>136400</v>
      </c>
      <c r="P469" s="464">
        <f>O469*1.1</f>
        <v>150040</v>
      </c>
      <c r="R469" s="317"/>
      <c r="U469" s="320"/>
    </row>
    <row r="470" spans="1:21" s="344" customFormat="1" outlineLevel="2">
      <c r="A470" s="345"/>
      <c r="B470" s="345"/>
      <c r="C470" s="346">
        <v>2210715</v>
      </c>
      <c r="D470" s="465" t="s">
        <v>40</v>
      </c>
      <c r="E470" s="406">
        <v>56000</v>
      </c>
      <c r="F470" s="406"/>
      <c r="G470" s="406"/>
      <c r="H470" s="406"/>
      <c r="I470" s="324">
        <f t="shared" si="388"/>
        <v>56000</v>
      </c>
      <c r="J470" s="462"/>
      <c r="K470" s="463">
        <v>-56000</v>
      </c>
      <c r="L470" s="317">
        <f t="shared" si="385"/>
        <v>0</v>
      </c>
      <c r="M470" s="317"/>
      <c r="N470" s="372">
        <f t="shared" si="391"/>
        <v>56000</v>
      </c>
      <c r="O470" s="336">
        <f t="shared" si="396"/>
        <v>0</v>
      </c>
      <c r="P470" s="336">
        <f t="shared" si="384"/>
        <v>0</v>
      </c>
      <c r="R470" s="317"/>
      <c r="U470" s="320"/>
    </row>
    <row r="471" spans="1:21" s="344" customFormat="1" outlineLevel="2">
      <c r="A471" s="326"/>
      <c r="B471" s="326"/>
      <c r="C471" s="327">
        <v>2210800</v>
      </c>
      <c r="D471" s="460" t="s">
        <v>42</v>
      </c>
      <c r="E471" s="462">
        <f>SUM(E472:E473)</f>
        <v>99500</v>
      </c>
      <c r="F471" s="462">
        <f t="shared" ref="F471:K471" si="397">SUM(F472:F473)</f>
        <v>0</v>
      </c>
      <c r="G471" s="462">
        <f t="shared" si="397"/>
        <v>0</v>
      </c>
      <c r="H471" s="462">
        <f t="shared" si="397"/>
        <v>0</v>
      </c>
      <c r="I471" s="462">
        <f t="shared" si="397"/>
        <v>99500</v>
      </c>
      <c r="J471" s="462">
        <f t="shared" si="397"/>
        <v>0</v>
      </c>
      <c r="K471" s="462">
        <f t="shared" si="397"/>
        <v>0</v>
      </c>
      <c r="L471" s="317">
        <f t="shared" si="385"/>
        <v>99500</v>
      </c>
      <c r="M471" s="317"/>
      <c r="N471" s="372">
        <f t="shared" si="391"/>
        <v>0</v>
      </c>
      <c r="O471" s="462">
        <f t="shared" ref="O471:P471" si="398">SUM(O472:O473)</f>
        <v>109450</v>
      </c>
      <c r="P471" s="462">
        <f t="shared" si="398"/>
        <v>120395.00000000003</v>
      </c>
      <c r="R471" s="317"/>
      <c r="U471" s="320"/>
    </row>
    <row r="472" spans="1:21" s="344" customFormat="1" outlineLevel="2">
      <c r="A472" s="345"/>
      <c r="B472" s="345"/>
      <c r="C472" s="346">
        <v>2210801</v>
      </c>
      <c r="D472" s="465" t="s">
        <v>2418</v>
      </c>
      <c r="E472" s="406">
        <v>20500</v>
      </c>
      <c r="F472" s="406"/>
      <c r="G472" s="406"/>
      <c r="H472" s="406"/>
      <c r="I472" s="324">
        <f t="shared" si="388"/>
        <v>20500</v>
      </c>
      <c r="J472" s="406"/>
      <c r="K472" s="463"/>
      <c r="L472" s="317">
        <f t="shared" si="385"/>
        <v>20500</v>
      </c>
      <c r="M472" s="317"/>
      <c r="N472" s="372">
        <f t="shared" si="391"/>
        <v>0</v>
      </c>
      <c r="O472" s="464">
        <f>L472*1.1</f>
        <v>22550.000000000004</v>
      </c>
      <c r="P472" s="464">
        <f>O472*1.1</f>
        <v>24805.000000000007</v>
      </c>
      <c r="R472" s="317"/>
      <c r="U472" s="320"/>
    </row>
    <row r="473" spans="1:21" s="344" customFormat="1" outlineLevel="2">
      <c r="A473" s="345"/>
      <c r="B473" s="345"/>
      <c r="C473" s="346">
        <v>2210802</v>
      </c>
      <c r="D473" s="465" t="s">
        <v>97</v>
      </c>
      <c r="E473" s="406">
        <v>79000</v>
      </c>
      <c r="F473" s="406"/>
      <c r="G473" s="406"/>
      <c r="H473" s="406"/>
      <c r="I473" s="324">
        <f t="shared" si="388"/>
        <v>79000</v>
      </c>
      <c r="J473" s="462"/>
      <c r="K473" s="463"/>
      <c r="L473" s="317">
        <f t="shared" si="385"/>
        <v>79000</v>
      </c>
      <c r="M473" s="317"/>
      <c r="N473" s="372">
        <f t="shared" si="391"/>
        <v>0</v>
      </c>
      <c r="O473" s="336">
        <f>L473*1.1</f>
        <v>86900</v>
      </c>
      <c r="P473" s="336">
        <f t="shared" ref="P473:P529" si="399">O473*1.1</f>
        <v>95590.000000000015</v>
      </c>
      <c r="R473" s="317"/>
      <c r="U473" s="320"/>
    </row>
    <row r="474" spans="1:21" s="344" customFormat="1" outlineLevel="2">
      <c r="A474" s="326"/>
      <c r="B474" s="326"/>
      <c r="C474" s="327">
        <v>2211100</v>
      </c>
      <c r="D474" s="460" t="s">
        <v>51</v>
      </c>
      <c r="E474" s="462">
        <f>SUM(E475:E477)</f>
        <v>97900</v>
      </c>
      <c r="F474" s="462">
        <f t="shared" ref="F474:K474" si="400">SUM(F475:F477)</f>
        <v>0</v>
      </c>
      <c r="G474" s="462">
        <f t="shared" si="400"/>
        <v>0</v>
      </c>
      <c r="H474" s="462">
        <f t="shared" si="400"/>
        <v>0</v>
      </c>
      <c r="I474" s="462">
        <f t="shared" si="400"/>
        <v>97900</v>
      </c>
      <c r="J474" s="462">
        <f t="shared" si="400"/>
        <v>0</v>
      </c>
      <c r="K474" s="462">
        <f t="shared" si="400"/>
        <v>-8900</v>
      </c>
      <c r="L474" s="317">
        <f t="shared" si="385"/>
        <v>89000</v>
      </c>
      <c r="M474" s="317"/>
      <c r="N474" s="372">
        <f t="shared" si="391"/>
        <v>8900</v>
      </c>
      <c r="O474" s="462">
        <f t="shared" ref="O474:P474" si="401">SUM(O475:O477)</f>
        <v>97900</v>
      </c>
      <c r="P474" s="462">
        <f t="shared" si="401"/>
        <v>107690.00000000001</v>
      </c>
      <c r="R474" s="317"/>
      <c r="U474" s="320"/>
    </row>
    <row r="475" spans="1:21" s="344" customFormat="1" outlineLevel="2">
      <c r="A475" s="345"/>
      <c r="B475" s="345"/>
      <c r="C475" s="346">
        <v>2211101</v>
      </c>
      <c r="D475" s="465" t="s">
        <v>52</v>
      </c>
      <c r="E475" s="406">
        <v>78000</v>
      </c>
      <c r="F475" s="406"/>
      <c r="G475" s="406"/>
      <c r="H475" s="406"/>
      <c r="I475" s="324">
        <f t="shared" si="388"/>
        <v>78000</v>
      </c>
      <c r="J475" s="406"/>
      <c r="K475" s="463"/>
      <c r="L475" s="317">
        <f t="shared" si="385"/>
        <v>78000</v>
      </c>
      <c r="M475" s="317"/>
      <c r="N475" s="372">
        <f t="shared" si="391"/>
        <v>0</v>
      </c>
      <c r="O475" s="336">
        <f>L475*1.1</f>
        <v>85800</v>
      </c>
      <c r="P475" s="336">
        <f t="shared" si="399"/>
        <v>94380.000000000015</v>
      </c>
      <c r="R475" s="317"/>
      <c r="U475" s="320"/>
    </row>
    <row r="476" spans="1:21" s="344" customFormat="1" outlineLevel="2">
      <c r="A476" s="345"/>
      <c r="B476" s="345"/>
      <c r="C476" s="346">
        <v>2211102</v>
      </c>
      <c r="D476" s="465" t="s">
        <v>53</v>
      </c>
      <c r="E476" s="406">
        <v>8900</v>
      </c>
      <c r="F476" s="406"/>
      <c r="G476" s="406"/>
      <c r="H476" s="406"/>
      <c r="I476" s="324">
        <f t="shared" si="388"/>
        <v>8900</v>
      </c>
      <c r="J476" s="406"/>
      <c r="K476" s="463">
        <v>-8900</v>
      </c>
      <c r="L476" s="317">
        <f t="shared" si="385"/>
        <v>0</v>
      </c>
      <c r="M476" s="317"/>
      <c r="N476" s="372">
        <f t="shared" si="391"/>
        <v>8900</v>
      </c>
      <c r="O476" s="464">
        <f>L476*1.1</f>
        <v>0</v>
      </c>
      <c r="P476" s="464">
        <f>O476*1.1</f>
        <v>0</v>
      </c>
      <c r="R476" s="317"/>
      <c r="U476" s="320"/>
    </row>
    <row r="477" spans="1:21" s="344" customFormat="1" outlineLevel="2">
      <c r="A477" s="345"/>
      <c r="B477" s="345"/>
      <c r="C477" s="346">
        <v>2211103</v>
      </c>
      <c r="D477" s="465" t="s">
        <v>54</v>
      </c>
      <c r="E477" s="406">
        <v>11000</v>
      </c>
      <c r="F477" s="406"/>
      <c r="G477" s="406"/>
      <c r="H477" s="406"/>
      <c r="I477" s="324">
        <f t="shared" si="388"/>
        <v>11000</v>
      </c>
      <c r="J477" s="462"/>
      <c r="K477" s="463">
        <v>0</v>
      </c>
      <c r="L477" s="317">
        <f t="shared" si="385"/>
        <v>11000</v>
      </c>
      <c r="M477" s="317"/>
      <c r="N477" s="372">
        <f t="shared" si="391"/>
        <v>0</v>
      </c>
      <c r="O477" s="336">
        <f>L477*1.1</f>
        <v>12100.000000000002</v>
      </c>
      <c r="P477" s="336">
        <f t="shared" si="399"/>
        <v>13310.000000000004</v>
      </c>
      <c r="R477" s="317"/>
      <c r="U477" s="320"/>
    </row>
    <row r="478" spans="1:21" s="344" customFormat="1" outlineLevel="2">
      <c r="A478" s="326"/>
      <c r="B478" s="326"/>
      <c r="C478" s="327">
        <v>2211200</v>
      </c>
      <c r="D478" s="460" t="s">
        <v>55</v>
      </c>
      <c r="E478" s="462">
        <f>E479</f>
        <v>115000</v>
      </c>
      <c r="F478" s="462">
        <f t="shared" ref="F478:P478" si="402">F479</f>
        <v>0</v>
      </c>
      <c r="G478" s="462">
        <f t="shared" si="402"/>
        <v>0</v>
      </c>
      <c r="H478" s="462">
        <f t="shared" si="402"/>
        <v>0</v>
      </c>
      <c r="I478" s="462">
        <f t="shared" si="402"/>
        <v>115000</v>
      </c>
      <c r="J478" s="462">
        <f t="shared" si="402"/>
        <v>0</v>
      </c>
      <c r="K478" s="462">
        <f t="shared" si="402"/>
        <v>0</v>
      </c>
      <c r="L478" s="317">
        <f t="shared" si="385"/>
        <v>115000</v>
      </c>
      <c r="M478" s="317"/>
      <c r="N478" s="372">
        <f t="shared" si="391"/>
        <v>0</v>
      </c>
      <c r="O478" s="462">
        <f t="shared" si="402"/>
        <v>126500.00000000001</v>
      </c>
      <c r="P478" s="462">
        <f t="shared" si="402"/>
        <v>139150.00000000003</v>
      </c>
      <c r="R478" s="317"/>
      <c r="U478" s="320"/>
    </row>
    <row r="479" spans="1:21" s="344" customFormat="1" outlineLevel="2">
      <c r="A479" s="345"/>
      <c r="B479" s="345"/>
      <c r="C479" s="346">
        <v>2211201</v>
      </c>
      <c r="D479" s="465" t="s">
        <v>56</v>
      </c>
      <c r="E479" s="406">
        <v>115000</v>
      </c>
      <c r="F479" s="406"/>
      <c r="G479" s="406"/>
      <c r="H479" s="406"/>
      <c r="I479" s="324">
        <f t="shared" si="388"/>
        <v>115000</v>
      </c>
      <c r="J479" s="462"/>
      <c r="K479" s="463"/>
      <c r="L479" s="317">
        <f t="shared" si="385"/>
        <v>115000</v>
      </c>
      <c r="M479" s="317"/>
      <c r="N479" s="372">
        <f t="shared" si="391"/>
        <v>0</v>
      </c>
      <c r="O479" s="336">
        <f>L479*1.1</f>
        <v>126500.00000000001</v>
      </c>
      <c r="P479" s="336">
        <f t="shared" si="399"/>
        <v>139150.00000000003</v>
      </c>
      <c r="R479" s="317"/>
      <c r="U479" s="320"/>
    </row>
    <row r="480" spans="1:21" s="344" customFormat="1" outlineLevel="2">
      <c r="A480" s="326"/>
      <c r="B480" s="326"/>
      <c r="C480" s="327">
        <v>2220100</v>
      </c>
      <c r="D480" s="460" t="s">
        <v>62</v>
      </c>
      <c r="E480" s="462">
        <f>SUM(E481)</f>
        <v>21000</v>
      </c>
      <c r="F480" s="462">
        <f t="shared" ref="F480:K480" si="403">SUM(F481)</f>
        <v>0</v>
      </c>
      <c r="G480" s="462">
        <f t="shared" si="403"/>
        <v>0</v>
      </c>
      <c r="H480" s="462">
        <f t="shared" si="403"/>
        <v>0</v>
      </c>
      <c r="I480" s="462">
        <f t="shared" si="403"/>
        <v>21000</v>
      </c>
      <c r="J480" s="462">
        <f t="shared" si="403"/>
        <v>0</v>
      </c>
      <c r="K480" s="462">
        <f t="shared" si="403"/>
        <v>-18000</v>
      </c>
      <c r="L480" s="317">
        <f t="shared" si="385"/>
        <v>3000</v>
      </c>
      <c r="M480" s="317"/>
      <c r="N480" s="372">
        <f t="shared" si="391"/>
        <v>18000</v>
      </c>
      <c r="O480" s="462">
        <f t="shared" ref="O480:P480" si="404">SUM(O481)</f>
        <v>3300.0000000000005</v>
      </c>
      <c r="P480" s="462">
        <f t="shared" si="404"/>
        <v>3630.0000000000009</v>
      </c>
      <c r="R480" s="317"/>
      <c r="U480" s="320"/>
    </row>
    <row r="481" spans="1:21" s="344" customFormat="1" outlineLevel="2">
      <c r="A481" s="345"/>
      <c r="B481" s="345"/>
      <c r="C481" s="346">
        <v>2220101</v>
      </c>
      <c r="D481" s="465" t="s">
        <v>85</v>
      </c>
      <c r="E481" s="406">
        <v>21000</v>
      </c>
      <c r="F481" s="406"/>
      <c r="G481" s="406"/>
      <c r="H481" s="406"/>
      <c r="I481" s="324">
        <f t="shared" si="388"/>
        <v>21000</v>
      </c>
      <c r="J481" s="462"/>
      <c r="K481" s="463">
        <v>-18000</v>
      </c>
      <c r="L481" s="317">
        <f t="shared" si="385"/>
        <v>3000</v>
      </c>
      <c r="M481" s="317"/>
      <c r="N481" s="372">
        <f t="shared" si="391"/>
        <v>18000</v>
      </c>
      <c r="O481" s="336">
        <f>L481*1.1</f>
        <v>3300.0000000000005</v>
      </c>
      <c r="P481" s="336">
        <f t="shared" si="399"/>
        <v>3630.0000000000009</v>
      </c>
      <c r="R481" s="317"/>
      <c r="U481" s="320"/>
    </row>
    <row r="482" spans="1:21" s="344" customFormat="1" outlineLevel="2">
      <c r="A482" s="326"/>
      <c r="B482" s="326"/>
      <c r="C482" s="327">
        <v>3111000</v>
      </c>
      <c r="D482" s="460" t="s">
        <v>69</v>
      </c>
      <c r="E482" s="462">
        <f>SUM(E483:E484)</f>
        <v>58000</v>
      </c>
      <c r="F482" s="462">
        <f t="shared" ref="F482:P482" si="405">SUM(F483:F484)</f>
        <v>0</v>
      </c>
      <c r="G482" s="462">
        <f t="shared" si="405"/>
        <v>0</v>
      </c>
      <c r="H482" s="462">
        <f t="shared" si="405"/>
        <v>0</v>
      </c>
      <c r="I482" s="462">
        <f t="shared" si="405"/>
        <v>58000</v>
      </c>
      <c r="J482" s="462">
        <f t="shared" si="405"/>
        <v>0</v>
      </c>
      <c r="K482" s="462">
        <f t="shared" si="405"/>
        <v>-35500</v>
      </c>
      <c r="L482" s="317">
        <f t="shared" si="385"/>
        <v>22500</v>
      </c>
      <c r="M482" s="317"/>
      <c r="N482" s="372">
        <f t="shared" si="391"/>
        <v>35500</v>
      </c>
      <c r="O482" s="462">
        <f t="shared" si="405"/>
        <v>24750.000000000004</v>
      </c>
      <c r="P482" s="462">
        <f t="shared" si="405"/>
        <v>27225.000000000007</v>
      </c>
      <c r="R482" s="317"/>
      <c r="U482" s="320"/>
    </row>
    <row r="483" spans="1:21" s="344" customFormat="1" outlineLevel="2">
      <c r="A483" s="345"/>
      <c r="B483" s="345"/>
      <c r="C483" s="346" t="s">
        <v>98</v>
      </c>
      <c r="D483" s="465" t="s">
        <v>70</v>
      </c>
      <c r="E483" s="406">
        <v>13000</v>
      </c>
      <c r="F483" s="406"/>
      <c r="G483" s="406"/>
      <c r="H483" s="406"/>
      <c r="I483" s="324">
        <f t="shared" si="388"/>
        <v>13000</v>
      </c>
      <c r="J483" s="348"/>
      <c r="K483" s="463">
        <v>-13000</v>
      </c>
      <c r="L483" s="317">
        <f t="shared" si="385"/>
        <v>0</v>
      </c>
      <c r="M483" s="317"/>
      <c r="N483" s="372">
        <f t="shared" si="391"/>
        <v>13000</v>
      </c>
      <c r="O483" s="471">
        <f>L483*1.1</f>
        <v>0</v>
      </c>
      <c r="P483" s="471">
        <f>O483*1.1</f>
        <v>0</v>
      </c>
      <c r="R483" s="317"/>
      <c r="U483" s="320"/>
    </row>
    <row r="484" spans="1:21" s="344" customFormat="1" outlineLevel="2">
      <c r="A484" s="345"/>
      <c r="B484" s="345"/>
      <c r="C484" s="346">
        <v>3111002</v>
      </c>
      <c r="D484" s="347" t="s">
        <v>71</v>
      </c>
      <c r="E484" s="406">
        <v>45000</v>
      </c>
      <c r="F484" s="348"/>
      <c r="G484" s="348"/>
      <c r="H484" s="348"/>
      <c r="I484" s="324">
        <f t="shared" si="388"/>
        <v>45000</v>
      </c>
      <c r="J484" s="461"/>
      <c r="K484" s="463">
        <v>-22500</v>
      </c>
      <c r="L484" s="317">
        <f t="shared" si="385"/>
        <v>22500</v>
      </c>
      <c r="M484" s="317"/>
      <c r="N484" s="372">
        <f t="shared" si="391"/>
        <v>22500</v>
      </c>
      <c r="O484" s="336">
        <f t="shared" ref="O484" si="406">L484*1.1</f>
        <v>24750.000000000004</v>
      </c>
      <c r="P484" s="336">
        <f t="shared" ref="P484" si="407">O484*1.1</f>
        <v>27225.000000000007</v>
      </c>
      <c r="R484" s="317"/>
      <c r="U484" s="320"/>
    </row>
    <row r="485" spans="1:21" s="344" customFormat="1" outlineLevel="1">
      <c r="A485" s="326"/>
      <c r="B485" s="326"/>
      <c r="C485" s="475"/>
      <c r="D485" s="400"/>
      <c r="E485" s="461">
        <f>E486</f>
        <v>0</v>
      </c>
      <c r="F485" s="461">
        <f t="shared" ref="F485:P485" si="408">F486</f>
        <v>0</v>
      </c>
      <c r="G485" s="461">
        <f t="shared" si="408"/>
        <v>0</v>
      </c>
      <c r="H485" s="461">
        <f t="shared" si="408"/>
        <v>0</v>
      </c>
      <c r="I485" s="461">
        <f t="shared" si="408"/>
        <v>0</v>
      </c>
      <c r="J485" s="406"/>
      <c r="K485" s="463"/>
      <c r="L485" s="317">
        <f t="shared" si="385"/>
        <v>0</v>
      </c>
      <c r="M485" s="317"/>
      <c r="N485" s="372">
        <f t="shared" si="391"/>
        <v>0</v>
      </c>
      <c r="O485" s="461">
        <f t="shared" si="408"/>
        <v>0</v>
      </c>
      <c r="P485" s="461">
        <f t="shared" si="408"/>
        <v>0</v>
      </c>
      <c r="R485" s="317"/>
      <c r="U485" s="320"/>
    </row>
    <row r="486" spans="1:21" s="344" customFormat="1" outlineLevel="1">
      <c r="A486" s="345"/>
      <c r="B486" s="345"/>
      <c r="C486" s="473"/>
      <c r="D486" s="347"/>
      <c r="E486" s="406">
        <v>0</v>
      </c>
      <c r="F486" s="406">
        <v>0</v>
      </c>
      <c r="G486" s="406">
        <v>0</v>
      </c>
      <c r="H486" s="406">
        <v>0</v>
      </c>
      <c r="I486" s="406">
        <v>0</v>
      </c>
      <c r="J486" s="462"/>
      <c r="K486" s="463"/>
      <c r="L486" s="317">
        <f t="shared" si="385"/>
        <v>0</v>
      </c>
      <c r="M486" s="317"/>
      <c r="N486" s="372">
        <f t="shared" si="391"/>
        <v>0</v>
      </c>
      <c r="O486" s="406">
        <v>0</v>
      </c>
      <c r="P486" s="406">
        <v>0</v>
      </c>
      <c r="R486" s="317"/>
      <c r="U486" s="320"/>
    </row>
    <row r="487" spans="1:21" s="344" customFormat="1" outlineLevel="1">
      <c r="A487" s="345"/>
      <c r="B487" s="345"/>
      <c r="C487" s="347"/>
      <c r="D487" s="460" t="s">
        <v>99</v>
      </c>
      <c r="E487" s="462">
        <f>E447+E450+E460+E464+E471+E474+E478+E480+E482+E456+E454+E485</f>
        <v>1208700</v>
      </c>
      <c r="F487" s="462">
        <f t="shared" ref="F487:K487" si="409">F447+F450+F460+F464+F471+F474+F478+F480+F482+F456+F454+F485</f>
        <v>0</v>
      </c>
      <c r="G487" s="462">
        <f t="shared" si="409"/>
        <v>0</v>
      </c>
      <c r="H487" s="462">
        <f t="shared" si="409"/>
        <v>2000000</v>
      </c>
      <c r="I487" s="462">
        <f t="shared" si="409"/>
        <v>3208700</v>
      </c>
      <c r="J487" s="462">
        <f t="shared" si="409"/>
        <v>0</v>
      </c>
      <c r="K487" s="462">
        <f t="shared" si="409"/>
        <v>359300</v>
      </c>
      <c r="L487" s="317">
        <f t="shared" si="385"/>
        <v>3568000</v>
      </c>
      <c r="M487" s="317"/>
      <c r="N487" s="372">
        <f t="shared" si="391"/>
        <v>-359300</v>
      </c>
      <c r="O487" s="462">
        <f t="shared" ref="O487:P487" si="410">O447+O450+O460+O464+O471+O474+O478+O480+O482+O456+O454+O485</f>
        <v>3924800</v>
      </c>
      <c r="P487" s="462">
        <f t="shared" si="410"/>
        <v>4317280</v>
      </c>
      <c r="R487" s="317"/>
      <c r="U487" s="320"/>
    </row>
    <row r="488" spans="1:21" s="344" customFormat="1" outlineLevel="1">
      <c r="A488" s="345"/>
      <c r="B488" s="345"/>
      <c r="C488" s="347"/>
      <c r="D488" s="400" t="s">
        <v>84</v>
      </c>
      <c r="E488" s="462">
        <f>E487</f>
        <v>1208700</v>
      </c>
      <c r="F488" s="462">
        <f t="shared" ref="F488:K488" si="411">F487</f>
        <v>0</v>
      </c>
      <c r="G488" s="462">
        <f t="shared" si="411"/>
        <v>0</v>
      </c>
      <c r="H488" s="462">
        <f t="shared" si="411"/>
        <v>2000000</v>
      </c>
      <c r="I488" s="462">
        <f t="shared" si="411"/>
        <v>3208700</v>
      </c>
      <c r="J488" s="462"/>
      <c r="K488" s="462">
        <f t="shared" si="411"/>
        <v>359300</v>
      </c>
      <c r="L488" s="317">
        <f t="shared" si="385"/>
        <v>3568000</v>
      </c>
      <c r="M488" s="317"/>
      <c r="N488" s="372">
        <f t="shared" si="391"/>
        <v>-359300</v>
      </c>
      <c r="O488" s="462">
        <f t="shared" ref="O488:P488" si="412">O487</f>
        <v>3924800</v>
      </c>
      <c r="P488" s="462">
        <f t="shared" si="412"/>
        <v>4317280</v>
      </c>
      <c r="R488" s="317"/>
      <c r="U488" s="320"/>
    </row>
    <row r="489" spans="1:21" s="344" customFormat="1" outlineLevel="1">
      <c r="A489" s="345"/>
      <c r="B489" s="345"/>
      <c r="C489" s="347"/>
      <c r="D489" s="400"/>
      <c r="E489" s="462"/>
      <c r="F489" s="459"/>
      <c r="G489" s="459"/>
      <c r="H489" s="459"/>
      <c r="I489" s="324">
        <f t="shared" si="388"/>
        <v>0</v>
      </c>
      <c r="J489" s="459"/>
      <c r="K489" s="463"/>
      <c r="L489" s="317">
        <f t="shared" si="385"/>
        <v>0</v>
      </c>
      <c r="M489" s="317"/>
      <c r="N489" s="372">
        <f t="shared" si="391"/>
        <v>0</v>
      </c>
      <c r="O489" s="451"/>
      <c r="P489" s="451"/>
      <c r="R489" s="317"/>
      <c r="U489" s="320"/>
    </row>
    <row r="490" spans="1:21" s="344" customFormat="1" outlineLevel="1">
      <c r="A490" s="345"/>
      <c r="B490" s="345"/>
      <c r="C490" s="328" t="s">
        <v>1577</v>
      </c>
      <c r="D490" s="328"/>
      <c r="E490" s="462"/>
      <c r="F490" s="459"/>
      <c r="G490" s="459"/>
      <c r="H490" s="459"/>
      <c r="I490" s="324">
        <f t="shared" si="388"/>
        <v>0</v>
      </c>
      <c r="J490" s="459"/>
      <c r="K490" s="463"/>
      <c r="L490" s="317">
        <f t="shared" si="385"/>
        <v>0</v>
      </c>
      <c r="M490" s="317"/>
      <c r="N490" s="372">
        <f t="shared" si="391"/>
        <v>0</v>
      </c>
      <c r="O490" s="451"/>
      <c r="P490" s="451"/>
      <c r="R490" s="317"/>
      <c r="U490" s="320"/>
    </row>
    <row r="491" spans="1:21" s="344" customFormat="1" outlineLevel="1">
      <c r="A491" s="345"/>
      <c r="B491" s="345"/>
      <c r="C491" s="328" t="s">
        <v>1577</v>
      </c>
      <c r="D491" s="328"/>
      <c r="E491" s="462"/>
      <c r="F491" s="459"/>
      <c r="G491" s="459"/>
      <c r="H491" s="459"/>
      <c r="I491" s="324">
        <f t="shared" si="388"/>
        <v>0</v>
      </c>
      <c r="J491" s="462"/>
      <c r="K491" s="463"/>
      <c r="L491" s="317">
        <f t="shared" si="385"/>
        <v>0</v>
      </c>
      <c r="M491" s="317"/>
      <c r="N491" s="372">
        <f t="shared" si="391"/>
        <v>0</v>
      </c>
      <c r="O491" s="336">
        <f t="shared" ref="O491:O522" si="413">L491*1.1</f>
        <v>0</v>
      </c>
      <c r="P491" s="336">
        <f t="shared" ref="P491:P522" si="414">O491*1.1</f>
        <v>0</v>
      </c>
      <c r="R491" s="317"/>
      <c r="U491" s="320"/>
    </row>
    <row r="492" spans="1:21" s="344" customFormat="1" outlineLevel="1">
      <c r="A492" s="345"/>
      <c r="B492" s="345"/>
      <c r="C492" s="328">
        <v>2210200</v>
      </c>
      <c r="D492" s="328" t="s">
        <v>20</v>
      </c>
      <c r="E492" s="462">
        <f>SUM(E493:E494)</f>
        <v>196000</v>
      </c>
      <c r="F492" s="462">
        <f t="shared" ref="F492:K492" si="415">SUM(F493:F494)</f>
        <v>0</v>
      </c>
      <c r="G492" s="462">
        <f t="shared" si="415"/>
        <v>0</v>
      </c>
      <c r="H492" s="462">
        <f t="shared" si="415"/>
        <v>0</v>
      </c>
      <c r="I492" s="462">
        <f t="shared" si="415"/>
        <v>196000</v>
      </c>
      <c r="J492" s="462">
        <f t="shared" si="415"/>
        <v>0</v>
      </c>
      <c r="K492" s="462">
        <f t="shared" si="415"/>
        <v>-180000</v>
      </c>
      <c r="L492" s="317">
        <f t="shared" si="385"/>
        <v>16000</v>
      </c>
      <c r="M492" s="317"/>
      <c r="N492" s="372">
        <f t="shared" si="391"/>
        <v>180000</v>
      </c>
      <c r="O492" s="462">
        <f t="shared" ref="O492:P492" si="416">SUM(O493:O494)</f>
        <v>17600</v>
      </c>
      <c r="P492" s="462">
        <f t="shared" si="416"/>
        <v>19360</v>
      </c>
      <c r="R492" s="317"/>
      <c r="U492" s="320"/>
    </row>
    <row r="493" spans="1:21" s="344" customFormat="1" outlineLevel="1">
      <c r="A493" s="345"/>
      <c r="B493" s="345"/>
      <c r="C493" s="405">
        <v>2210201</v>
      </c>
      <c r="D493" s="405" t="s">
        <v>113</v>
      </c>
      <c r="E493" s="348">
        <v>116000</v>
      </c>
      <c r="F493" s="348"/>
      <c r="G493" s="348"/>
      <c r="H493" s="348"/>
      <c r="I493" s="324">
        <f t="shared" si="388"/>
        <v>116000</v>
      </c>
      <c r="J493" s="348"/>
      <c r="K493" s="463">
        <v>-100000</v>
      </c>
      <c r="L493" s="317">
        <f t="shared" si="385"/>
        <v>16000</v>
      </c>
      <c r="M493" s="317"/>
      <c r="N493" s="372">
        <f t="shared" si="391"/>
        <v>100000</v>
      </c>
      <c r="O493" s="464">
        <f>L493*1.1</f>
        <v>17600</v>
      </c>
      <c r="P493" s="464">
        <f>O493*1.1</f>
        <v>19360</v>
      </c>
      <c r="R493" s="317"/>
      <c r="U493" s="320"/>
    </row>
    <row r="494" spans="1:21" s="344" customFormat="1" outlineLevel="1">
      <c r="A494" s="345"/>
      <c r="B494" s="345"/>
      <c r="C494" s="405">
        <v>2210103</v>
      </c>
      <c r="D494" s="405" t="s">
        <v>23</v>
      </c>
      <c r="E494" s="348">
        <v>80000</v>
      </c>
      <c r="F494" s="348"/>
      <c r="G494" s="348"/>
      <c r="H494" s="348"/>
      <c r="I494" s="324">
        <f t="shared" si="388"/>
        <v>80000</v>
      </c>
      <c r="J494" s="459"/>
      <c r="K494" s="463">
        <v>-80000</v>
      </c>
      <c r="L494" s="317">
        <f t="shared" si="385"/>
        <v>0</v>
      </c>
      <c r="M494" s="317"/>
      <c r="N494" s="372">
        <f t="shared" si="391"/>
        <v>80000</v>
      </c>
      <c r="O494" s="336">
        <f t="shared" si="413"/>
        <v>0</v>
      </c>
      <c r="P494" s="336">
        <f t="shared" si="414"/>
        <v>0</v>
      </c>
      <c r="R494" s="317"/>
      <c r="U494" s="320"/>
    </row>
    <row r="495" spans="1:21" s="344" customFormat="1" outlineLevel="1">
      <c r="A495" s="345"/>
      <c r="B495" s="345"/>
      <c r="C495" s="328">
        <v>2210700</v>
      </c>
      <c r="D495" s="328" t="s">
        <v>114</v>
      </c>
      <c r="E495" s="462">
        <f>SUM(E496:E499)</f>
        <v>0</v>
      </c>
      <c r="F495" s="459"/>
      <c r="G495" s="459"/>
      <c r="H495" s="459"/>
      <c r="I495" s="324">
        <f t="shared" si="388"/>
        <v>0</v>
      </c>
      <c r="J495" s="348"/>
      <c r="K495" s="478">
        <f t="shared" ref="K495" si="417">K496+K497+K498+K499</f>
        <v>100000</v>
      </c>
      <c r="L495" s="317">
        <f t="shared" si="385"/>
        <v>100000</v>
      </c>
      <c r="M495" s="317"/>
      <c r="N495" s="372">
        <f t="shared" si="391"/>
        <v>-100000</v>
      </c>
      <c r="O495" s="479">
        <f t="shared" ref="O495:P495" si="418">SUM(O496:O499)</f>
        <v>110000.00000000001</v>
      </c>
      <c r="P495" s="479">
        <f t="shared" si="418"/>
        <v>121000.00000000003</v>
      </c>
      <c r="R495" s="317"/>
      <c r="U495" s="320"/>
    </row>
    <row r="496" spans="1:21" s="344" customFormat="1" outlineLevel="1">
      <c r="A496" s="345"/>
      <c r="B496" s="345"/>
      <c r="C496" s="405">
        <v>2210701</v>
      </c>
      <c r="D496" s="405" t="s">
        <v>36</v>
      </c>
      <c r="E496" s="348">
        <v>0</v>
      </c>
      <c r="F496" s="348"/>
      <c r="G496" s="348"/>
      <c r="H496" s="348"/>
      <c r="I496" s="324">
        <f t="shared" si="388"/>
        <v>0</v>
      </c>
      <c r="J496" s="348"/>
      <c r="K496" s="463">
        <v>50000</v>
      </c>
      <c r="L496" s="317">
        <f t="shared" si="385"/>
        <v>50000</v>
      </c>
      <c r="M496" s="317"/>
      <c r="N496" s="372">
        <f t="shared" si="391"/>
        <v>-50000</v>
      </c>
      <c r="O496" s="336">
        <f t="shared" si="413"/>
        <v>55000.000000000007</v>
      </c>
      <c r="P496" s="336">
        <f t="shared" si="414"/>
        <v>60500.000000000015</v>
      </c>
      <c r="R496" s="317"/>
      <c r="U496" s="320"/>
    </row>
    <row r="497" spans="1:21" s="344" customFormat="1" outlineLevel="1">
      <c r="A497" s="345"/>
      <c r="B497" s="345"/>
      <c r="C497" s="405">
        <v>2210704</v>
      </c>
      <c r="D497" s="405" t="s">
        <v>38</v>
      </c>
      <c r="E497" s="348">
        <v>0</v>
      </c>
      <c r="F497" s="348"/>
      <c r="G497" s="348"/>
      <c r="H497" s="348"/>
      <c r="I497" s="324">
        <f t="shared" si="388"/>
        <v>0</v>
      </c>
      <c r="J497" s="348"/>
      <c r="K497" s="463"/>
      <c r="L497" s="317">
        <f t="shared" si="385"/>
        <v>0</v>
      </c>
      <c r="M497" s="317"/>
      <c r="N497" s="372">
        <f t="shared" si="391"/>
        <v>0</v>
      </c>
      <c r="O497" s="336">
        <f t="shared" si="413"/>
        <v>0</v>
      </c>
      <c r="P497" s="336">
        <f t="shared" si="414"/>
        <v>0</v>
      </c>
      <c r="R497" s="317"/>
      <c r="U497" s="320"/>
    </row>
    <row r="498" spans="1:21" s="344" customFormat="1" outlineLevel="1">
      <c r="A498" s="345"/>
      <c r="B498" s="345"/>
      <c r="C498" s="405">
        <v>2210708</v>
      </c>
      <c r="D498" s="405" t="s">
        <v>115</v>
      </c>
      <c r="E498" s="348">
        <v>0</v>
      </c>
      <c r="F498" s="348"/>
      <c r="G498" s="348"/>
      <c r="H498" s="348"/>
      <c r="I498" s="324">
        <f t="shared" si="388"/>
        <v>0</v>
      </c>
      <c r="J498" s="348"/>
      <c r="K498" s="463">
        <v>0</v>
      </c>
      <c r="L498" s="317">
        <f t="shared" si="385"/>
        <v>0</v>
      </c>
      <c r="M498" s="317"/>
      <c r="N498" s="372">
        <f t="shared" si="391"/>
        <v>0</v>
      </c>
      <c r="O498" s="351">
        <v>0</v>
      </c>
      <c r="P498" s="351">
        <v>0</v>
      </c>
      <c r="R498" s="317"/>
      <c r="U498" s="320"/>
    </row>
    <row r="499" spans="1:21" s="344" customFormat="1" outlineLevel="1">
      <c r="A499" s="345"/>
      <c r="B499" s="345"/>
      <c r="C499" s="405">
        <v>2210710</v>
      </c>
      <c r="D499" s="405" t="s">
        <v>39</v>
      </c>
      <c r="E499" s="348">
        <v>0</v>
      </c>
      <c r="F499" s="348"/>
      <c r="G499" s="348"/>
      <c r="H499" s="348"/>
      <c r="I499" s="324">
        <f t="shared" si="388"/>
        <v>0</v>
      </c>
      <c r="J499" s="462"/>
      <c r="K499" s="463">
        <v>50000</v>
      </c>
      <c r="L499" s="317">
        <f t="shared" si="385"/>
        <v>50000</v>
      </c>
      <c r="M499" s="317"/>
      <c r="N499" s="372">
        <f t="shared" si="391"/>
        <v>-50000</v>
      </c>
      <c r="O499" s="336">
        <f t="shared" si="413"/>
        <v>55000.000000000007</v>
      </c>
      <c r="P499" s="336">
        <f t="shared" si="414"/>
        <v>60500.000000000015</v>
      </c>
      <c r="R499" s="317"/>
      <c r="U499" s="320"/>
    </row>
    <row r="500" spans="1:21" s="344" customFormat="1" outlineLevel="1">
      <c r="A500" s="345"/>
      <c r="B500" s="345"/>
      <c r="C500" s="327" t="s">
        <v>102</v>
      </c>
      <c r="D500" s="460" t="s">
        <v>24</v>
      </c>
      <c r="E500" s="462">
        <f>SUM(E501:E503)</f>
        <v>1439000</v>
      </c>
      <c r="F500" s="462">
        <f t="shared" ref="F500:K500" si="419">SUM(F501:F503)</f>
        <v>0</v>
      </c>
      <c r="G500" s="462">
        <f t="shared" si="419"/>
        <v>0</v>
      </c>
      <c r="H500" s="462">
        <f t="shared" si="419"/>
        <v>0</v>
      </c>
      <c r="I500" s="462">
        <f t="shared" si="419"/>
        <v>1439000</v>
      </c>
      <c r="J500" s="462">
        <f t="shared" si="419"/>
        <v>0</v>
      </c>
      <c r="K500" s="462">
        <f t="shared" si="419"/>
        <v>0</v>
      </c>
      <c r="L500" s="317">
        <f t="shared" si="385"/>
        <v>1439000</v>
      </c>
      <c r="M500" s="317"/>
      <c r="N500" s="372">
        <f t="shared" si="391"/>
        <v>0</v>
      </c>
      <c r="O500" s="462">
        <f t="shared" ref="O500:P500" si="420">SUM(O501:O503)</f>
        <v>1582900.0000000002</v>
      </c>
      <c r="P500" s="462">
        <f t="shared" si="420"/>
        <v>1741190.0000000005</v>
      </c>
      <c r="R500" s="317"/>
      <c r="U500" s="320"/>
    </row>
    <row r="501" spans="1:21" s="344" customFormat="1" outlineLevel="1">
      <c r="A501" s="345"/>
      <c r="B501" s="345"/>
      <c r="C501" s="346">
        <v>2210301</v>
      </c>
      <c r="D501" s="465" t="s">
        <v>25</v>
      </c>
      <c r="E501" s="406">
        <f>540000-200000</f>
        <v>340000</v>
      </c>
      <c r="F501" s="406"/>
      <c r="G501" s="406"/>
      <c r="H501" s="406"/>
      <c r="I501" s="324">
        <f t="shared" si="388"/>
        <v>340000</v>
      </c>
      <c r="J501" s="406"/>
      <c r="K501" s="463"/>
      <c r="L501" s="317">
        <f t="shared" si="385"/>
        <v>340000</v>
      </c>
      <c r="M501" s="317"/>
      <c r="N501" s="372">
        <f t="shared" si="391"/>
        <v>0</v>
      </c>
      <c r="O501" s="336">
        <f t="shared" si="413"/>
        <v>374000.00000000006</v>
      </c>
      <c r="P501" s="336">
        <f t="shared" si="414"/>
        <v>411400.00000000012</v>
      </c>
      <c r="R501" s="317"/>
      <c r="U501" s="320"/>
    </row>
    <row r="502" spans="1:21" s="344" customFormat="1" outlineLevel="1">
      <c r="A502" s="345"/>
      <c r="B502" s="345"/>
      <c r="C502" s="346">
        <v>2210302</v>
      </c>
      <c r="D502" s="465" t="s">
        <v>26</v>
      </c>
      <c r="E502" s="406">
        <v>735000</v>
      </c>
      <c r="F502" s="406"/>
      <c r="G502" s="406"/>
      <c r="H502" s="406"/>
      <c r="I502" s="324">
        <f t="shared" si="388"/>
        <v>735000</v>
      </c>
      <c r="J502" s="406"/>
      <c r="K502" s="463"/>
      <c r="L502" s="317">
        <f t="shared" si="385"/>
        <v>735000</v>
      </c>
      <c r="M502" s="317"/>
      <c r="N502" s="372">
        <f t="shared" si="391"/>
        <v>0</v>
      </c>
      <c r="O502" s="464">
        <f>L502*1.1</f>
        <v>808500.00000000012</v>
      </c>
      <c r="P502" s="464">
        <f>O502*1.1</f>
        <v>889350.00000000023</v>
      </c>
      <c r="R502" s="317"/>
      <c r="U502" s="320"/>
    </row>
    <row r="503" spans="1:21" s="344" customFormat="1" outlineLevel="1">
      <c r="A503" s="345"/>
      <c r="B503" s="345"/>
      <c r="C503" s="346">
        <v>2210303</v>
      </c>
      <c r="D503" s="465" t="s">
        <v>27</v>
      </c>
      <c r="E503" s="406">
        <f>864000-500000</f>
        <v>364000</v>
      </c>
      <c r="F503" s="406"/>
      <c r="G503" s="406"/>
      <c r="H503" s="406"/>
      <c r="I503" s="324">
        <f t="shared" si="388"/>
        <v>364000</v>
      </c>
      <c r="J503" s="462"/>
      <c r="K503" s="463"/>
      <c r="L503" s="317">
        <f t="shared" si="385"/>
        <v>364000</v>
      </c>
      <c r="M503" s="317"/>
      <c r="N503" s="372">
        <f t="shared" si="391"/>
        <v>0</v>
      </c>
      <c r="O503" s="336">
        <f t="shared" si="413"/>
        <v>400400.00000000006</v>
      </c>
      <c r="P503" s="336">
        <f t="shared" si="414"/>
        <v>440440.00000000012</v>
      </c>
      <c r="R503" s="317"/>
      <c r="U503" s="320"/>
    </row>
    <row r="504" spans="1:21" s="344" customFormat="1" outlineLevel="1">
      <c r="A504" s="345"/>
      <c r="B504" s="345"/>
      <c r="C504" s="327">
        <v>2210400</v>
      </c>
      <c r="D504" s="400" t="s">
        <v>29</v>
      </c>
      <c r="E504" s="462">
        <f>SUM(E505:E507)</f>
        <v>679720.1552863121</v>
      </c>
      <c r="F504" s="462">
        <f t="shared" ref="F504:P504" si="421">SUM(F505:F507)</f>
        <v>0</v>
      </c>
      <c r="G504" s="462">
        <f t="shared" si="421"/>
        <v>0</v>
      </c>
      <c r="H504" s="462">
        <f t="shared" si="421"/>
        <v>0</v>
      </c>
      <c r="I504" s="462">
        <f t="shared" si="421"/>
        <v>679720.1552863121</v>
      </c>
      <c r="J504" s="462">
        <f t="shared" si="421"/>
        <v>0</v>
      </c>
      <c r="K504" s="462">
        <f t="shared" si="421"/>
        <v>-679720</v>
      </c>
      <c r="L504" s="317">
        <f t="shared" si="385"/>
        <v>0.15528631210327148</v>
      </c>
      <c r="M504" s="317"/>
      <c r="N504" s="372">
        <f t="shared" si="391"/>
        <v>679720</v>
      </c>
      <c r="O504" s="462">
        <f t="shared" si="421"/>
        <v>0.17081494331359864</v>
      </c>
      <c r="P504" s="462">
        <f t="shared" si="421"/>
        <v>0.18789643764495853</v>
      </c>
      <c r="R504" s="317"/>
      <c r="U504" s="320"/>
    </row>
    <row r="505" spans="1:21" s="344" customFormat="1" outlineLevel="1">
      <c r="A505" s="345"/>
      <c r="B505" s="345"/>
      <c r="C505" s="346">
        <v>2210401</v>
      </c>
      <c r="D505" s="347" t="s">
        <v>25</v>
      </c>
      <c r="E505" s="348">
        <v>290000</v>
      </c>
      <c r="F505" s="348"/>
      <c r="G505" s="348"/>
      <c r="H505" s="348"/>
      <c r="I505" s="324">
        <f t="shared" si="388"/>
        <v>290000</v>
      </c>
      <c r="J505" s="348"/>
      <c r="K505" s="463">
        <v>-290000</v>
      </c>
      <c r="L505" s="317">
        <f t="shared" si="385"/>
        <v>0</v>
      </c>
      <c r="M505" s="317"/>
      <c r="N505" s="372">
        <f t="shared" si="391"/>
        <v>290000</v>
      </c>
      <c r="O505" s="336">
        <f t="shared" si="413"/>
        <v>0</v>
      </c>
      <c r="P505" s="336">
        <f t="shared" si="414"/>
        <v>0</v>
      </c>
      <c r="R505" s="317"/>
      <c r="U505" s="320"/>
    </row>
    <row r="506" spans="1:21" s="344" customFormat="1" outlineLevel="1">
      <c r="A506" s="345"/>
      <c r="B506" s="345"/>
      <c r="C506" s="346">
        <v>2210402</v>
      </c>
      <c r="D506" s="347" t="s">
        <v>30</v>
      </c>
      <c r="E506" s="348">
        <v>331720.1552863121</v>
      </c>
      <c r="F506" s="348"/>
      <c r="G506" s="348"/>
      <c r="H506" s="348"/>
      <c r="I506" s="324">
        <f t="shared" si="388"/>
        <v>331720.1552863121</v>
      </c>
      <c r="J506" s="348"/>
      <c r="K506" s="463">
        <v>-331720</v>
      </c>
      <c r="L506" s="317">
        <f t="shared" si="385"/>
        <v>0.15528631210327148</v>
      </c>
      <c r="M506" s="317"/>
      <c r="N506" s="372">
        <f t="shared" si="391"/>
        <v>331720</v>
      </c>
      <c r="O506" s="464">
        <f>L506*1.1</f>
        <v>0.17081494331359864</v>
      </c>
      <c r="P506" s="464">
        <f>O506*1.1</f>
        <v>0.18789643764495853</v>
      </c>
      <c r="R506" s="317"/>
      <c r="U506" s="320"/>
    </row>
    <row r="507" spans="1:21" s="344" customFormat="1" outlineLevel="1">
      <c r="A507" s="345"/>
      <c r="B507" s="345"/>
      <c r="C507" s="346">
        <v>2210404</v>
      </c>
      <c r="D507" s="347" t="s">
        <v>28</v>
      </c>
      <c r="E507" s="348">
        <v>58000</v>
      </c>
      <c r="F507" s="348"/>
      <c r="G507" s="348"/>
      <c r="H507" s="348"/>
      <c r="I507" s="324">
        <f t="shared" si="388"/>
        <v>58000</v>
      </c>
      <c r="J507" s="462"/>
      <c r="K507" s="463">
        <v>-58000</v>
      </c>
      <c r="L507" s="317">
        <f t="shared" si="385"/>
        <v>0</v>
      </c>
      <c r="M507" s="317"/>
      <c r="N507" s="372">
        <f t="shared" si="391"/>
        <v>58000</v>
      </c>
      <c r="O507" s="336">
        <f t="shared" si="413"/>
        <v>0</v>
      </c>
      <c r="P507" s="336">
        <f t="shared" si="414"/>
        <v>0</v>
      </c>
      <c r="R507" s="317"/>
      <c r="U507" s="320"/>
    </row>
    <row r="508" spans="1:21" s="344" customFormat="1" outlineLevel="1">
      <c r="A508" s="345"/>
      <c r="B508" s="345"/>
      <c r="C508" s="327">
        <v>2210800</v>
      </c>
      <c r="D508" s="460" t="s">
        <v>42</v>
      </c>
      <c r="E508" s="462">
        <f>SUM(E509:E510)</f>
        <v>4098473.6</v>
      </c>
      <c r="F508" s="462">
        <f t="shared" ref="F508:K508" si="422">SUM(F509:F510)</f>
        <v>0</v>
      </c>
      <c r="G508" s="462">
        <f t="shared" si="422"/>
        <v>0</v>
      </c>
      <c r="H508" s="462">
        <f t="shared" si="422"/>
        <v>0</v>
      </c>
      <c r="I508" s="462">
        <f t="shared" si="422"/>
        <v>4098473.6</v>
      </c>
      <c r="J508" s="462">
        <f t="shared" si="422"/>
        <v>0</v>
      </c>
      <c r="K508" s="462">
        <f t="shared" si="422"/>
        <v>200000</v>
      </c>
      <c r="L508" s="317">
        <f t="shared" si="385"/>
        <v>4298473.5999999996</v>
      </c>
      <c r="M508" s="317"/>
      <c r="N508" s="372">
        <f t="shared" si="391"/>
        <v>-200000</v>
      </c>
      <c r="O508" s="462">
        <f t="shared" ref="O508:P508" si="423">SUM(O509:O510)</f>
        <v>4728320.96</v>
      </c>
      <c r="P508" s="462">
        <f t="shared" si="423"/>
        <v>5201153.0560000008</v>
      </c>
      <c r="R508" s="317"/>
      <c r="U508" s="320"/>
    </row>
    <row r="509" spans="1:21" s="344" customFormat="1" outlineLevel="1">
      <c r="A509" s="345"/>
      <c r="B509" s="345"/>
      <c r="C509" s="346">
        <v>2210801</v>
      </c>
      <c r="D509" s="465" t="s">
        <v>2418</v>
      </c>
      <c r="E509" s="406">
        <f>1808473.6-300000</f>
        <v>1508473.6</v>
      </c>
      <c r="F509" s="406"/>
      <c r="G509" s="406"/>
      <c r="H509" s="406"/>
      <c r="I509" s="324">
        <f t="shared" si="388"/>
        <v>1508473.6</v>
      </c>
      <c r="J509" s="406"/>
      <c r="K509" s="463">
        <v>200000</v>
      </c>
      <c r="L509" s="317">
        <f t="shared" si="385"/>
        <v>1708473.6</v>
      </c>
      <c r="M509" s="317"/>
      <c r="N509" s="372">
        <f t="shared" si="391"/>
        <v>-200000</v>
      </c>
      <c r="O509" s="464">
        <f>L509*1.1</f>
        <v>1879320.9600000002</v>
      </c>
      <c r="P509" s="464">
        <f>O509*1.1</f>
        <v>2067253.0560000003</v>
      </c>
      <c r="R509" s="317"/>
      <c r="U509" s="320"/>
    </row>
    <row r="510" spans="1:21" s="344" customFormat="1" outlineLevel="1">
      <c r="A510" s="345"/>
      <c r="B510" s="345"/>
      <c r="C510" s="346">
        <v>2210802</v>
      </c>
      <c r="D510" s="465" t="s">
        <v>1578</v>
      </c>
      <c r="E510" s="406">
        <f>3290000-700000</f>
        <v>2590000</v>
      </c>
      <c r="F510" s="406"/>
      <c r="G510" s="406"/>
      <c r="H510" s="406"/>
      <c r="I510" s="324">
        <f t="shared" si="388"/>
        <v>2590000</v>
      </c>
      <c r="J510" s="459"/>
      <c r="K510" s="463">
        <v>0</v>
      </c>
      <c r="L510" s="317">
        <f t="shared" si="385"/>
        <v>2590000</v>
      </c>
      <c r="M510" s="317"/>
      <c r="N510" s="372">
        <f t="shared" si="391"/>
        <v>0</v>
      </c>
      <c r="O510" s="336">
        <f t="shared" si="413"/>
        <v>2849000</v>
      </c>
      <c r="P510" s="336">
        <f t="shared" si="414"/>
        <v>3133900.0000000005</v>
      </c>
      <c r="R510" s="317"/>
      <c r="U510" s="320"/>
    </row>
    <row r="511" spans="1:21" s="344" customFormat="1" outlineLevel="1">
      <c r="A511" s="345"/>
      <c r="B511" s="345"/>
      <c r="C511" s="327">
        <v>2211200</v>
      </c>
      <c r="D511" s="400" t="s">
        <v>55</v>
      </c>
      <c r="E511" s="462">
        <f>E512</f>
        <v>0</v>
      </c>
      <c r="F511" s="459"/>
      <c r="G511" s="459"/>
      <c r="H511" s="459"/>
      <c r="I511" s="324">
        <f t="shared" si="388"/>
        <v>0</v>
      </c>
      <c r="J511" s="348"/>
      <c r="K511" s="478">
        <f t="shared" ref="K511" si="424">K512</f>
        <v>0</v>
      </c>
      <c r="L511" s="317">
        <f t="shared" si="385"/>
        <v>0</v>
      </c>
      <c r="M511" s="317"/>
      <c r="N511" s="372">
        <f t="shared" si="391"/>
        <v>0</v>
      </c>
      <c r="O511" s="479">
        <f t="shared" ref="O511:P511" si="425">O512</f>
        <v>0</v>
      </c>
      <c r="P511" s="479">
        <f t="shared" si="425"/>
        <v>0</v>
      </c>
      <c r="R511" s="317"/>
      <c r="U511" s="320"/>
    </row>
    <row r="512" spans="1:21" s="344" customFormat="1" outlineLevel="1">
      <c r="A512" s="345"/>
      <c r="B512" s="345"/>
      <c r="C512" s="346">
        <v>2211201</v>
      </c>
      <c r="D512" s="347" t="s">
        <v>56</v>
      </c>
      <c r="E512" s="348">
        <v>0</v>
      </c>
      <c r="F512" s="348"/>
      <c r="G512" s="348"/>
      <c r="H512" s="348"/>
      <c r="I512" s="324">
        <f t="shared" si="388"/>
        <v>0</v>
      </c>
      <c r="J512" s="462"/>
      <c r="K512" s="463"/>
      <c r="L512" s="317">
        <f t="shared" si="385"/>
        <v>0</v>
      </c>
      <c r="M512" s="317"/>
      <c r="N512" s="372">
        <f t="shared" si="391"/>
        <v>0</v>
      </c>
      <c r="O512" s="336">
        <f t="shared" si="413"/>
        <v>0</v>
      </c>
      <c r="P512" s="336">
        <f t="shared" si="414"/>
        <v>0</v>
      </c>
      <c r="R512" s="317"/>
      <c r="U512" s="320"/>
    </row>
    <row r="513" spans="1:21" s="344" customFormat="1" outlineLevel="1">
      <c r="A513" s="345"/>
      <c r="B513" s="345"/>
      <c r="C513" s="328">
        <v>2210300</v>
      </c>
      <c r="D513" s="328" t="s">
        <v>24</v>
      </c>
      <c r="E513" s="462">
        <f>SUM(E514:E514)</f>
        <v>162000</v>
      </c>
      <c r="F513" s="462">
        <f t="shared" ref="F513:K513" si="426">SUM(F514:F514)</f>
        <v>0</v>
      </c>
      <c r="G513" s="462">
        <f t="shared" si="426"/>
        <v>0</v>
      </c>
      <c r="H513" s="462">
        <f t="shared" si="426"/>
        <v>0</v>
      </c>
      <c r="I513" s="462">
        <f t="shared" si="426"/>
        <v>162000</v>
      </c>
      <c r="J513" s="462">
        <f t="shared" si="426"/>
        <v>0</v>
      </c>
      <c r="K513" s="462">
        <f t="shared" si="426"/>
        <v>0</v>
      </c>
      <c r="L513" s="317">
        <f t="shared" si="385"/>
        <v>162000</v>
      </c>
      <c r="M513" s="317"/>
      <c r="N513" s="372">
        <f t="shared" si="391"/>
        <v>0</v>
      </c>
      <c r="O513" s="462">
        <f t="shared" ref="O513:P513" si="427">SUM(O514:O514)</f>
        <v>178200</v>
      </c>
      <c r="P513" s="462">
        <f t="shared" si="427"/>
        <v>196020.00000000003</v>
      </c>
      <c r="R513" s="317"/>
      <c r="U513" s="320"/>
    </row>
    <row r="514" spans="1:21" s="344" customFormat="1" outlineLevel="1">
      <c r="A514" s="345"/>
      <c r="B514" s="345"/>
      <c r="C514" s="405">
        <v>2210302</v>
      </c>
      <c r="D514" s="405" t="s">
        <v>26</v>
      </c>
      <c r="E514" s="348">
        <v>162000</v>
      </c>
      <c r="F514" s="348"/>
      <c r="G514" s="348"/>
      <c r="H514" s="348"/>
      <c r="I514" s="324">
        <f t="shared" si="388"/>
        <v>162000</v>
      </c>
      <c r="J514" s="462"/>
      <c r="K514" s="463"/>
      <c r="L514" s="317">
        <f t="shared" si="385"/>
        <v>162000</v>
      </c>
      <c r="M514" s="317"/>
      <c r="N514" s="372">
        <f t="shared" si="391"/>
        <v>0</v>
      </c>
      <c r="O514" s="336">
        <f t="shared" si="413"/>
        <v>178200</v>
      </c>
      <c r="P514" s="336">
        <f t="shared" si="414"/>
        <v>196020.00000000003</v>
      </c>
      <c r="R514" s="317"/>
      <c r="U514" s="320"/>
    </row>
    <row r="515" spans="1:21" s="344" customFormat="1" outlineLevel="1">
      <c r="A515" s="345"/>
      <c r="B515" s="345"/>
      <c r="C515" s="327">
        <v>2211300</v>
      </c>
      <c r="D515" s="400" t="s">
        <v>57</v>
      </c>
      <c r="E515" s="462">
        <f>E518++E519+E516+E517</f>
        <v>32000000</v>
      </c>
      <c r="F515" s="462">
        <f t="shared" ref="F515:K515" si="428">F518++F519+F516+F517</f>
        <v>0</v>
      </c>
      <c r="G515" s="462">
        <f t="shared" si="428"/>
        <v>0</v>
      </c>
      <c r="H515" s="462">
        <f t="shared" si="428"/>
        <v>-3000000</v>
      </c>
      <c r="I515" s="462">
        <f t="shared" si="428"/>
        <v>29000000</v>
      </c>
      <c r="J515" s="462">
        <f t="shared" si="428"/>
        <v>-5000000</v>
      </c>
      <c r="K515" s="462">
        <f t="shared" si="428"/>
        <v>0</v>
      </c>
      <c r="L515" s="317">
        <f t="shared" si="385"/>
        <v>24000000</v>
      </c>
      <c r="M515" s="317"/>
      <c r="N515" s="372">
        <f t="shared" si="391"/>
        <v>0</v>
      </c>
      <c r="O515" s="462">
        <f t="shared" ref="O515:P515" si="429">O518++O519+O516+O517</f>
        <v>26400000</v>
      </c>
      <c r="P515" s="462">
        <f t="shared" si="429"/>
        <v>29040000.000000007</v>
      </c>
      <c r="R515" s="317"/>
      <c r="U515" s="320"/>
    </row>
    <row r="516" spans="1:21" s="344" customFormat="1" ht="16.2" outlineLevel="1">
      <c r="A516" s="345"/>
      <c r="B516" s="345"/>
      <c r="C516" s="346" t="s">
        <v>121</v>
      </c>
      <c r="D516" s="480" t="s">
        <v>2443</v>
      </c>
      <c r="E516" s="477">
        <v>2000000</v>
      </c>
      <c r="F516" s="481"/>
      <c r="G516" s="481"/>
      <c r="H516" s="481"/>
      <c r="I516" s="324">
        <f t="shared" si="388"/>
        <v>2000000</v>
      </c>
      <c r="J516" s="481"/>
      <c r="K516" s="463"/>
      <c r="L516" s="317">
        <f t="shared" ref="L516:L579" si="430">I516+J516+K516</f>
        <v>2000000</v>
      </c>
      <c r="M516" s="317"/>
      <c r="N516" s="372">
        <f t="shared" si="391"/>
        <v>0</v>
      </c>
      <c r="O516" s="336">
        <f t="shared" si="413"/>
        <v>2200000</v>
      </c>
      <c r="P516" s="336">
        <f t="shared" si="414"/>
        <v>2420000</v>
      </c>
      <c r="R516" s="317"/>
      <c r="U516" s="320"/>
    </row>
    <row r="517" spans="1:21" s="344" customFormat="1" outlineLevel="1">
      <c r="A517" s="345"/>
      <c r="B517" s="345"/>
      <c r="C517" s="346" t="s">
        <v>121</v>
      </c>
      <c r="D517" s="480" t="s">
        <v>1816</v>
      </c>
      <c r="E517" s="477">
        <f>13000000-3000000</f>
        <v>10000000</v>
      </c>
      <c r="F517" s="481"/>
      <c r="G517" s="481"/>
      <c r="H517" s="481">
        <v>-3000000</v>
      </c>
      <c r="I517" s="324">
        <f t="shared" si="388"/>
        <v>7000000</v>
      </c>
      <c r="J517" s="481"/>
      <c r="K517" s="463"/>
      <c r="L517" s="317">
        <f t="shared" si="430"/>
        <v>7000000</v>
      </c>
      <c r="M517" s="317"/>
      <c r="N517" s="372">
        <f t="shared" si="391"/>
        <v>0</v>
      </c>
      <c r="O517" s="336">
        <f t="shared" si="413"/>
        <v>7700000.0000000009</v>
      </c>
      <c r="P517" s="336">
        <f t="shared" si="414"/>
        <v>8470000.0000000019</v>
      </c>
      <c r="R517" s="317"/>
      <c r="U517" s="320"/>
    </row>
    <row r="518" spans="1:21" s="344" customFormat="1" ht="16.2" outlineLevel="1">
      <c r="A518" s="345"/>
      <c r="B518" s="345"/>
      <c r="C518" s="346" t="s">
        <v>121</v>
      </c>
      <c r="D518" s="480" t="s">
        <v>2444</v>
      </c>
      <c r="E518" s="348">
        <v>5000000</v>
      </c>
      <c r="F518" s="481"/>
      <c r="G518" s="481"/>
      <c r="H518" s="481"/>
      <c r="I518" s="324">
        <f t="shared" ref="I518:I580" si="431">E518+F518+G518+H518</f>
        <v>5000000</v>
      </c>
      <c r="J518" s="481"/>
      <c r="K518" s="463"/>
      <c r="L518" s="317">
        <f t="shared" si="430"/>
        <v>5000000</v>
      </c>
      <c r="M518" s="317"/>
      <c r="N518" s="372">
        <f t="shared" si="391"/>
        <v>0</v>
      </c>
      <c r="O518" s="464">
        <f>L518*1.1</f>
        <v>5500000</v>
      </c>
      <c r="P518" s="464">
        <f>O518*1.1</f>
        <v>6050000.0000000009</v>
      </c>
      <c r="R518" s="317"/>
      <c r="U518" s="320"/>
    </row>
    <row r="519" spans="1:21" s="344" customFormat="1" outlineLevel="1">
      <c r="A519" s="345"/>
      <c r="B519" s="345"/>
      <c r="C519" s="346" t="s">
        <v>121</v>
      </c>
      <c r="D519" s="480" t="s">
        <v>1824</v>
      </c>
      <c r="E519" s="348">
        <v>15000000</v>
      </c>
      <c r="F519" s="481"/>
      <c r="G519" s="481"/>
      <c r="H519" s="481"/>
      <c r="I519" s="324">
        <f t="shared" si="431"/>
        <v>15000000</v>
      </c>
      <c r="J519" s="477">
        <v>-5000000</v>
      </c>
      <c r="K519" s="463"/>
      <c r="L519" s="317">
        <f t="shared" si="430"/>
        <v>10000000</v>
      </c>
      <c r="M519" s="317"/>
      <c r="N519" s="372">
        <f t="shared" si="391"/>
        <v>0</v>
      </c>
      <c r="O519" s="336">
        <f t="shared" si="413"/>
        <v>11000000</v>
      </c>
      <c r="P519" s="336">
        <f t="shared" si="414"/>
        <v>12100000.000000002</v>
      </c>
      <c r="R519" s="317"/>
      <c r="U519" s="320" t="s">
        <v>1803</v>
      </c>
    </row>
    <row r="520" spans="1:21" s="344" customFormat="1" outlineLevel="1">
      <c r="A520" s="345"/>
      <c r="B520" s="345"/>
      <c r="C520" s="328">
        <v>3111000</v>
      </c>
      <c r="D520" s="328" t="s">
        <v>69</v>
      </c>
      <c r="E520" s="462">
        <f>E521+E522</f>
        <v>7680000</v>
      </c>
      <c r="F520" s="462">
        <f t="shared" ref="F520:K520" si="432">F521+F522</f>
        <v>0</v>
      </c>
      <c r="G520" s="462">
        <f t="shared" si="432"/>
        <v>0</v>
      </c>
      <c r="H520" s="462">
        <f t="shared" si="432"/>
        <v>0</v>
      </c>
      <c r="I520" s="462">
        <f t="shared" si="432"/>
        <v>7680000</v>
      </c>
      <c r="J520" s="462">
        <f t="shared" si="432"/>
        <v>0</v>
      </c>
      <c r="K520" s="462">
        <f t="shared" si="432"/>
        <v>0</v>
      </c>
      <c r="L520" s="317">
        <f t="shared" si="430"/>
        <v>7680000</v>
      </c>
      <c r="M520" s="317"/>
      <c r="N520" s="372">
        <f t="shared" ref="N520:N583" si="433">M520-K520</f>
        <v>0</v>
      </c>
      <c r="O520" s="462">
        <f t="shared" ref="O520:P520" si="434">O521+O522</f>
        <v>8448000</v>
      </c>
      <c r="P520" s="462">
        <f t="shared" si="434"/>
        <v>9292800.0000000019</v>
      </c>
      <c r="R520" s="317"/>
      <c r="U520" s="320"/>
    </row>
    <row r="521" spans="1:21" s="344" customFormat="1" outlineLevel="1">
      <c r="A521" s="345"/>
      <c r="B521" s="345"/>
      <c r="C521" s="405">
        <v>3111001</v>
      </c>
      <c r="D521" s="405" t="s">
        <v>1579</v>
      </c>
      <c r="E521" s="348">
        <v>5180000</v>
      </c>
      <c r="F521" s="348"/>
      <c r="G521" s="348"/>
      <c r="H521" s="348"/>
      <c r="I521" s="324">
        <f t="shared" si="431"/>
        <v>5180000</v>
      </c>
      <c r="J521" s="348"/>
      <c r="K521" s="463">
        <v>0</v>
      </c>
      <c r="L521" s="317">
        <f t="shared" si="430"/>
        <v>5180000</v>
      </c>
      <c r="M521" s="317"/>
      <c r="N521" s="372">
        <f t="shared" si="433"/>
        <v>0</v>
      </c>
      <c r="O521" s="471">
        <f>L521*1.1</f>
        <v>5698000</v>
      </c>
      <c r="P521" s="471">
        <f>O521*1.1</f>
        <v>6267800.0000000009</v>
      </c>
      <c r="R521" s="317"/>
      <c r="U521" s="320"/>
    </row>
    <row r="522" spans="1:21" s="344" customFormat="1" outlineLevel="1">
      <c r="A522" s="345"/>
      <c r="B522" s="345"/>
      <c r="C522" s="346">
        <v>3111002</v>
      </c>
      <c r="D522" s="347" t="s">
        <v>71</v>
      </c>
      <c r="E522" s="348">
        <v>2500000</v>
      </c>
      <c r="F522" s="348"/>
      <c r="G522" s="348"/>
      <c r="H522" s="348"/>
      <c r="I522" s="324">
        <f t="shared" si="431"/>
        <v>2500000</v>
      </c>
      <c r="J522" s="459"/>
      <c r="K522" s="463"/>
      <c r="L522" s="317">
        <f t="shared" si="430"/>
        <v>2500000</v>
      </c>
      <c r="M522" s="317"/>
      <c r="N522" s="372">
        <f t="shared" si="433"/>
        <v>0</v>
      </c>
      <c r="O522" s="336">
        <f t="shared" si="413"/>
        <v>2750000</v>
      </c>
      <c r="P522" s="336">
        <f t="shared" si="414"/>
        <v>3025000.0000000005</v>
      </c>
      <c r="R522" s="317"/>
      <c r="U522" s="320"/>
    </row>
    <row r="523" spans="1:21" s="344" customFormat="1" outlineLevel="1">
      <c r="A523" s="345"/>
      <c r="B523" s="345"/>
      <c r="C523" s="475"/>
      <c r="D523" s="400"/>
      <c r="E523" s="461">
        <f>E524</f>
        <v>0</v>
      </c>
      <c r="F523" s="459"/>
      <c r="G523" s="459"/>
      <c r="H523" s="459"/>
      <c r="I523" s="324">
        <f t="shared" si="431"/>
        <v>0</v>
      </c>
      <c r="J523" s="348"/>
      <c r="K523" s="463"/>
      <c r="L523" s="317">
        <f t="shared" si="430"/>
        <v>0</v>
      </c>
      <c r="M523" s="317"/>
      <c r="N523" s="372">
        <f t="shared" si="433"/>
        <v>0</v>
      </c>
      <c r="O523" s="476">
        <f t="shared" ref="O523:P523" si="435">O524</f>
        <v>0</v>
      </c>
      <c r="P523" s="476">
        <f t="shared" si="435"/>
        <v>0</v>
      </c>
      <c r="R523" s="317"/>
      <c r="U523" s="320"/>
    </row>
    <row r="524" spans="1:21" s="344" customFormat="1" outlineLevel="1">
      <c r="A524" s="345"/>
      <c r="B524" s="345"/>
      <c r="C524" s="473"/>
      <c r="D524" s="347"/>
      <c r="E524" s="406">
        <v>0</v>
      </c>
      <c r="F524" s="348"/>
      <c r="G524" s="348"/>
      <c r="H524" s="348"/>
      <c r="I524" s="324">
        <f t="shared" si="431"/>
        <v>0</v>
      </c>
      <c r="J524" s="462"/>
      <c r="K524" s="463"/>
      <c r="L524" s="317">
        <f t="shared" si="430"/>
        <v>0</v>
      </c>
      <c r="M524" s="317"/>
      <c r="N524" s="372">
        <f t="shared" si="433"/>
        <v>0</v>
      </c>
      <c r="O524" s="451"/>
      <c r="P524" s="451"/>
      <c r="R524" s="317"/>
      <c r="U524" s="320"/>
    </row>
    <row r="525" spans="1:21" s="446" customFormat="1" outlineLevel="1">
      <c r="A525" s="345"/>
      <c r="B525" s="345"/>
      <c r="C525" s="328"/>
      <c r="D525" s="328" t="s">
        <v>128</v>
      </c>
      <c r="E525" s="462">
        <f>E513+E515+E520+E511+E504+E495+E492+E508+E523+E500</f>
        <v>46255193.755286314</v>
      </c>
      <c r="F525" s="462">
        <f t="shared" ref="F525:K525" si="436">F513+F515+F520+F511+F504+F495+F492+F508+F523+F500</f>
        <v>0</v>
      </c>
      <c r="G525" s="462">
        <f t="shared" si="436"/>
        <v>0</v>
      </c>
      <c r="H525" s="462">
        <f t="shared" si="436"/>
        <v>-3000000</v>
      </c>
      <c r="I525" s="462">
        <f t="shared" si="436"/>
        <v>43255193.755286314</v>
      </c>
      <c r="J525" s="462">
        <f t="shared" si="436"/>
        <v>-5000000</v>
      </c>
      <c r="K525" s="462">
        <f t="shared" si="436"/>
        <v>-559720</v>
      </c>
      <c r="L525" s="317">
        <f t="shared" si="430"/>
        <v>37695473.755286314</v>
      </c>
      <c r="M525" s="317"/>
      <c r="N525" s="372">
        <f t="shared" si="433"/>
        <v>559720</v>
      </c>
      <c r="O525" s="462">
        <f t="shared" ref="O525:P525" si="437">O513+O515+O520+O511+O504+O495+O492+O508+O523+O500</f>
        <v>41465021.130814947</v>
      </c>
      <c r="P525" s="462">
        <f t="shared" si="437"/>
        <v>45611523.243896447</v>
      </c>
      <c r="R525" s="317"/>
      <c r="U525" s="320"/>
    </row>
    <row r="526" spans="1:21" s="446" customFormat="1" outlineLevel="1">
      <c r="A526" s="345"/>
      <c r="B526" s="345"/>
      <c r="C526" s="347"/>
      <c r="D526" s="400"/>
      <c r="E526" s="462">
        <f>E525</f>
        <v>46255193.755286314</v>
      </c>
      <c r="F526" s="462">
        <f t="shared" ref="F526:K526" si="438">F525</f>
        <v>0</v>
      </c>
      <c r="G526" s="462">
        <f t="shared" si="438"/>
        <v>0</v>
      </c>
      <c r="H526" s="462">
        <f t="shared" si="438"/>
        <v>-3000000</v>
      </c>
      <c r="I526" s="462">
        <f t="shared" si="438"/>
        <v>43255193.755286314</v>
      </c>
      <c r="J526" s="462">
        <f t="shared" si="438"/>
        <v>-5000000</v>
      </c>
      <c r="K526" s="462">
        <f t="shared" si="438"/>
        <v>-559720</v>
      </c>
      <c r="L526" s="317">
        <f t="shared" si="430"/>
        <v>37695473.755286314</v>
      </c>
      <c r="M526" s="317"/>
      <c r="N526" s="372">
        <f t="shared" si="433"/>
        <v>559720</v>
      </c>
      <c r="O526" s="462"/>
      <c r="P526" s="462"/>
      <c r="R526" s="317"/>
      <c r="U526" s="320"/>
    </row>
    <row r="527" spans="1:21" s="337" customFormat="1" outlineLevel="2">
      <c r="A527" s="326"/>
      <c r="B527" s="326"/>
      <c r="C527" s="347"/>
      <c r="D527" s="400"/>
      <c r="E527" s="462"/>
      <c r="F527" s="459"/>
      <c r="G527" s="459"/>
      <c r="H527" s="459"/>
      <c r="I527" s="324">
        <f t="shared" si="431"/>
        <v>0</v>
      </c>
      <c r="J527" s="459"/>
      <c r="K527" s="463"/>
      <c r="L527" s="317">
        <f t="shared" si="430"/>
        <v>0</v>
      </c>
      <c r="M527" s="317"/>
      <c r="N527" s="372">
        <f t="shared" si="433"/>
        <v>0</v>
      </c>
      <c r="O527" s="451">
        <f t="shared" ref="O527:P527" si="439">O528+O529</f>
        <v>0</v>
      </c>
      <c r="P527" s="451">
        <f t="shared" si="439"/>
        <v>0</v>
      </c>
      <c r="R527" s="317"/>
      <c r="U527" s="320"/>
    </row>
    <row r="528" spans="1:21" outlineLevel="2">
      <c r="A528" s="326"/>
      <c r="B528" s="326"/>
      <c r="C528" s="328" t="s">
        <v>111</v>
      </c>
      <c r="D528" s="326"/>
      <c r="E528" s="459"/>
      <c r="F528" s="459"/>
      <c r="G528" s="459"/>
      <c r="H528" s="459"/>
      <c r="I528" s="459"/>
      <c r="J528" s="461"/>
      <c r="K528" s="463"/>
      <c r="L528" s="317">
        <f t="shared" si="430"/>
        <v>0</v>
      </c>
      <c r="M528" s="317"/>
      <c r="N528" s="372">
        <f t="shared" si="433"/>
        <v>0</v>
      </c>
      <c r="O528" s="459"/>
      <c r="P528" s="459"/>
      <c r="R528" s="317"/>
      <c r="U528" s="320"/>
    </row>
    <row r="529" spans="1:21" outlineLevel="2">
      <c r="A529" s="326"/>
      <c r="B529" s="326"/>
      <c r="C529" s="328" t="s">
        <v>112</v>
      </c>
      <c r="D529" s="326"/>
      <c r="E529" s="462"/>
      <c r="F529" s="461"/>
      <c r="G529" s="461"/>
      <c r="H529" s="461"/>
      <c r="I529" s="324">
        <f t="shared" si="431"/>
        <v>0</v>
      </c>
      <c r="J529" s="462"/>
      <c r="K529" s="463"/>
      <c r="L529" s="317">
        <f t="shared" si="430"/>
        <v>0</v>
      </c>
      <c r="M529" s="317"/>
      <c r="N529" s="372">
        <f t="shared" si="433"/>
        <v>0</v>
      </c>
      <c r="O529" s="336">
        <f>L529*1.1</f>
        <v>0</v>
      </c>
      <c r="P529" s="336">
        <f t="shared" si="399"/>
        <v>0</v>
      </c>
      <c r="R529" s="317"/>
      <c r="U529" s="320"/>
    </row>
    <row r="530" spans="1:21" s="337" customFormat="1" outlineLevel="2">
      <c r="A530" s="345"/>
      <c r="B530" s="345"/>
      <c r="C530" s="328">
        <v>2210100</v>
      </c>
      <c r="D530" s="326" t="s">
        <v>16</v>
      </c>
      <c r="E530" s="462">
        <f>E531+E532</f>
        <v>116000</v>
      </c>
      <c r="F530" s="462">
        <f t="shared" ref="F530:K530" si="440">F531+F532</f>
        <v>0</v>
      </c>
      <c r="G530" s="462">
        <f t="shared" si="440"/>
        <v>0</v>
      </c>
      <c r="H530" s="462">
        <f t="shared" si="440"/>
        <v>0</v>
      </c>
      <c r="I530" s="462">
        <f t="shared" si="440"/>
        <v>116000</v>
      </c>
      <c r="J530" s="462">
        <f t="shared" si="440"/>
        <v>0</v>
      </c>
      <c r="K530" s="462">
        <f t="shared" si="440"/>
        <v>-58000</v>
      </c>
      <c r="L530" s="317">
        <f t="shared" si="430"/>
        <v>58000</v>
      </c>
      <c r="M530" s="317"/>
      <c r="N530" s="372">
        <f t="shared" si="433"/>
        <v>58000</v>
      </c>
      <c r="O530" s="462">
        <f t="shared" ref="O530:P530" si="441">O531+O532</f>
        <v>63800.000000000007</v>
      </c>
      <c r="P530" s="462">
        <f t="shared" si="441"/>
        <v>70180.000000000015</v>
      </c>
      <c r="R530" s="317"/>
      <c r="U530" s="320"/>
    </row>
    <row r="531" spans="1:21" outlineLevel="2">
      <c r="A531" s="345"/>
      <c r="B531" s="345"/>
      <c r="C531" s="405">
        <v>2210101</v>
      </c>
      <c r="D531" s="345" t="s">
        <v>17</v>
      </c>
      <c r="E531" s="406">
        <v>58000</v>
      </c>
      <c r="F531" s="406"/>
      <c r="G531" s="406"/>
      <c r="H531" s="406"/>
      <c r="I531" s="324">
        <f t="shared" si="431"/>
        <v>58000</v>
      </c>
      <c r="J531" s="406"/>
      <c r="K531" s="463">
        <v>-58000</v>
      </c>
      <c r="L531" s="317">
        <f t="shared" si="430"/>
        <v>0</v>
      </c>
      <c r="M531" s="317"/>
      <c r="N531" s="372">
        <f t="shared" si="433"/>
        <v>58000</v>
      </c>
      <c r="O531" s="336">
        <f>L531*1.1</f>
        <v>0</v>
      </c>
      <c r="P531" s="336">
        <f t="shared" ref="P531:P549" si="442">O531*1.1</f>
        <v>0</v>
      </c>
      <c r="R531" s="317"/>
      <c r="U531" s="320"/>
    </row>
    <row r="532" spans="1:21" outlineLevel="2">
      <c r="A532" s="326"/>
      <c r="B532" s="326"/>
      <c r="C532" s="405">
        <v>2210102</v>
      </c>
      <c r="D532" s="345" t="s">
        <v>18</v>
      </c>
      <c r="E532" s="406">
        <v>58000</v>
      </c>
      <c r="F532" s="406"/>
      <c r="G532" s="406"/>
      <c r="H532" s="406"/>
      <c r="I532" s="324">
        <f t="shared" si="431"/>
        <v>58000</v>
      </c>
      <c r="J532" s="462"/>
      <c r="K532" s="463"/>
      <c r="L532" s="317">
        <f t="shared" si="430"/>
        <v>58000</v>
      </c>
      <c r="M532" s="317"/>
      <c r="N532" s="372">
        <f t="shared" si="433"/>
        <v>0</v>
      </c>
      <c r="O532" s="336">
        <f>L532*1.1</f>
        <v>63800.000000000007</v>
      </c>
      <c r="P532" s="336">
        <f t="shared" si="442"/>
        <v>70180.000000000015</v>
      </c>
      <c r="R532" s="317"/>
      <c r="U532" s="320"/>
    </row>
    <row r="533" spans="1:21" s="337" customFormat="1" outlineLevel="2">
      <c r="A533" s="345"/>
      <c r="B533" s="345"/>
      <c r="C533" s="328">
        <v>2210200</v>
      </c>
      <c r="D533" s="326" t="s">
        <v>20</v>
      </c>
      <c r="E533" s="462">
        <f>E534+E535</f>
        <v>591600</v>
      </c>
      <c r="F533" s="462">
        <f t="shared" ref="F533:K533" si="443">F534+F535</f>
        <v>0</v>
      </c>
      <c r="G533" s="462">
        <f t="shared" si="443"/>
        <v>0</v>
      </c>
      <c r="H533" s="462">
        <f t="shared" si="443"/>
        <v>0</v>
      </c>
      <c r="I533" s="462">
        <f t="shared" si="443"/>
        <v>591600</v>
      </c>
      <c r="J533" s="462">
        <f t="shared" si="443"/>
        <v>0</v>
      </c>
      <c r="K533" s="462">
        <f t="shared" si="443"/>
        <v>-11600</v>
      </c>
      <c r="L533" s="317">
        <f t="shared" si="430"/>
        <v>580000</v>
      </c>
      <c r="M533" s="317"/>
      <c r="N533" s="372">
        <f t="shared" si="433"/>
        <v>11600</v>
      </c>
      <c r="O533" s="462">
        <f t="shared" ref="O533:P533" si="444">O534+O535</f>
        <v>638000</v>
      </c>
      <c r="P533" s="462">
        <f t="shared" si="444"/>
        <v>701800</v>
      </c>
      <c r="R533" s="317"/>
      <c r="U533" s="320"/>
    </row>
    <row r="534" spans="1:21" outlineLevel="2">
      <c r="A534" s="345"/>
      <c r="B534" s="345"/>
      <c r="C534" s="405">
        <v>2210201</v>
      </c>
      <c r="D534" s="345" t="s">
        <v>113</v>
      </c>
      <c r="E534" s="406">
        <v>580000</v>
      </c>
      <c r="F534" s="406"/>
      <c r="G534" s="406"/>
      <c r="H534" s="406"/>
      <c r="I534" s="324">
        <f t="shared" si="431"/>
        <v>580000</v>
      </c>
      <c r="J534" s="406"/>
      <c r="K534" s="463"/>
      <c r="L534" s="317">
        <f t="shared" si="430"/>
        <v>580000</v>
      </c>
      <c r="M534" s="317"/>
      <c r="N534" s="372">
        <f t="shared" si="433"/>
        <v>0</v>
      </c>
      <c r="O534" s="336">
        <f>L534*1.1</f>
        <v>638000</v>
      </c>
      <c r="P534" s="336">
        <f t="shared" si="442"/>
        <v>701800</v>
      </c>
      <c r="R534" s="317"/>
      <c r="U534" s="320"/>
    </row>
    <row r="535" spans="1:21" outlineLevel="2">
      <c r="A535" s="326"/>
      <c r="B535" s="326"/>
      <c r="C535" s="405">
        <v>2210103</v>
      </c>
      <c r="D535" s="345" t="s">
        <v>23</v>
      </c>
      <c r="E535" s="406">
        <v>11600</v>
      </c>
      <c r="F535" s="406"/>
      <c r="G535" s="406"/>
      <c r="H535" s="406"/>
      <c r="I535" s="324">
        <f t="shared" si="431"/>
        <v>11600</v>
      </c>
      <c r="J535" s="462"/>
      <c r="K535" s="463">
        <v>-11600</v>
      </c>
      <c r="L535" s="317">
        <f t="shared" si="430"/>
        <v>0</v>
      </c>
      <c r="M535" s="317"/>
      <c r="N535" s="372">
        <f t="shared" si="433"/>
        <v>11600</v>
      </c>
      <c r="O535" s="336">
        <f>L535*1.1</f>
        <v>0</v>
      </c>
      <c r="P535" s="336">
        <f t="shared" si="442"/>
        <v>0</v>
      </c>
      <c r="R535" s="317"/>
      <c r="U535" s="320"/>
    </row>
    <row r="536" spans="1:21" outlineLevel="2">
      <c r="A536" s="345"/>
      <c r="B536" s="345"/>
      <c r="C536" s="328">
        <v>2210300</v>
      </c>
      <c r="D536" s="326" t="s">
        <v>24</v>
      </c>
      <c r="E536" s="462">
        <f>E537+E538+E539+E540</f>
        <v>1230000</v>
      </c>
      <c r="F536" s="462">
        <f t="shared" ref="F536:K536" si="445">F537+F538+F539+F540</f>
        <v>0</v>
      </c>
      <c r="G536" s="462">
        <f t="shared" si="445"/>
        <v>0</v>
      </c>
      <c r="H536" s="462">
        <f t="shared" si="445"/>
        <v>0</v>
      </c>
      <c r="I536" s="462">
        <f t="shared" si="445"/>
        <v>1230000</v>
      </c>
      <c r="J536" s="462">
        <f t="shared" si="445"/>
        <v>0</v>
      </c>
      <c r="K536" s="462">
        <f t="shared" si="445"/>
        <v>600060</v>
      </c>
      <c r="L536" s="317">
        <f t="shared" si="430"/>
        <v>1830060</v>
      </c>
      <c r="M536" s="317"/>
      <c r="N536" s="372">
        <f t="shared" si="433"/>
        <v>-600060</v>
      </c>
      <c r="O536" s="462">
        <f t="shared" ref="O536:P536" si="446">O537+O538+O539+O540</f>
        <v>2013066</v>
      </c>
      <c r="P536" s="462">
        <f t="shared" si="446"/>
        <v>2214372.6</v>
      </c>
      <c r="R536" s="317"/>
      <c r="U536" s="320"/>
    </row>
    <row r="537" spans="1:21" outlineLevel="2">
      <c r="A537" s="345"/>
      <c r="B537" s="345"/>
      <c r="C537" s="405">
        <v>2210301</v>
      </c>
      <c r="D537" s="345" t="s">
        <v>25</v>
      </c>
      <c r="E537" s="406">
        <f>478500-100000</f>
        <v>378500</v>
      </c>
      <c r="F537" s="406"/>
      <c r="G537" s="406"/>
      <c r="H537" s="406"/>
      <c r="I537" s="324">
        <f t="shared" si="431"/>
        <v>378500</v>
      </c>
      <c r="J537" s="406"/>
      <c r="K537" s="463">
        <v>400060</v>
      </c>
      <c r="L537" s="317">
        <f t="shared" si="430"/>
        <v>778560</v>
      </c>
      <c r="M537" s="317"/>
      <c r="N537" s="372">
        <f t="shared" si="433"/>
        <v>-400060</v>
      </c>
      <c r="O537" s="336">
        <f>L537*1.1</f>
        <v>856416.00000000012</v>
      </c>
      <c r="P537" s="336">
        <f t="shared" si="442"/>
        <v>942057.60000000021</v>
      </c>
      <c r="R537" s="317"/>
      <c r="U537" s="320"/>
    </row>
    <row r="538" spans="1:21" s="337" customFormat="1" outlineLevel="2">
      <c r="A538" s="345"/>
      <c r="B538" s="345"/>
      <c r="C538" s="405">
        <v>2210302</v>
      </c>
      <c r="D538" s="345" t="s">
        <v>26</v>
      </c>
      <c r="E538" s="406">
        <f>942500-500000-100000</f>
        <v>342500</v>
      </c>
      <c r="F538" s="406"/>
      <c r="G538" s="406"/>
      <c r="H538" s="406"/>
      <c r="I538" s="324">
        <f t="shared" si="431"/>
        <v>342500</v>
      </c>
      <c r="J538" s="406"/>
      <c r="K538" s="463">
        <v>200000</v>
      </c>
      <c r="L538" s="317">
        <f t="shared" si="430"/>
        <v>542500</v>
      </c>
      <c r="M538" s="317"/>
      <c r="N538" s="372">
        <f t="shared" si="433"/>
        <v>-200000</v>
      </c>
      <c r="O538" s="464">
        <f>L538*1.1</f>
        <v>596750</v>
      </c>
      <c r="P538" s="464">
        <f>O538*1.1</f>
        <v>656425</v>
      </c>
      <c r="R538" s="317"/>
      <c r="U538" s="320"/>
    </row>
    <row r="539" spans="1:21" outlineLevel="2">
      <c r="A539" s="345"/>
      <c r="B539" s="345"/>
      <c r="C539" s="405">
        <v>2210303</v>
      </c>
      <c r="D539" s="345" t="s">
        <v>27</v>
      </c>
      <c r="E539" s="406">
        <f>435000-100000</f>
        <v>335000</v>
      </c>
      <c r="F539" s="406"/>
      <c r="G539" s="406"/>
      <c r="H539" s="406"/>
      <c r="I539" s="324">
        <f t="shared" si="431"/>
        <v>335000</v>
      </c>
      <c r="J539" s="406"/>
      <c r="K539" s="463"/>
      <c r="L539" s="317">
        <f t="shared" si="430"/>
        <v>335000</v>
      </c>
      <c r="M539" s="317"/>
      <c r="N539" s="372">
        <f t="shared" si="433"/>
        <v>0</v>
      </c>
      <c r="O539" s="336">
        <f>L539*1.1</f>
        <v>368500.00000000006</v>
      </c>
      <c r="P539" s="336">
        <f t="shared" si="442"/>
        <v>405350.00000000012</v>
      </c>
      <c r="R539" s="317"/>
      <c r="U539" s="320"/>
    </row>
    <row r="540" spans="1:21" outlineLevel="2">
      <c r="A540" s="326"/>
      <c r="B540" s="326"/>
      <c r="C540" s="405">
        <v>2210304</v>
      </c>
      <c r="D540" s="345" t="s">
        <v>28</v>
      </c>
      <c r="E540" s="406">
        <v>174000</v>
      </c>
      <c r="F540" s="406"/>
      <c r="G540" s="406"/>
      <c r="H540" s="406"/>
      <c r="I540" s="324">
        <f t="shared" si="431"/>
        <v>174000</v>
      </c>
      <c r="J540" s="462"/>
      <c r="K540" s="463">
        <v>0</v>
      </c>
      <c r="L540" s="317">
        <f t="shared" si="430"/>
        <v>174000</v>
      </c>
      <c r="M540" s="317"/>
      <c r="N540" s="372">
        <f t="shared" si="433"/>
        <v>0</v>
      </c>
      <c r="O540" s="336">
        <f>L540*1.1</f>
        <v>191400.00000000003</v>
      </c>
      <c r="P540" s="336">
        <f t="shared" si="442"/>
        <v>210540.00000000006</v>
      </c>
      <c r="R540" s="317"/>
      <c r="U540" s="320"/>
    </row>
    <row r="541" spans="1:21" outlineLevel="2">
      <c r="A541" s="345"/>
      <c r="B541" s="345"/>
      <c r="C541" s="327">
        <v>2210400</v>
      </c>
      <c r="D541" s="460" t="s">
        <v>29</v>
      </c>
      <c r="E541" s="462">
        <f>SUM(E542:E544)</f>
        <v>460000</v>
      </c>
      <c r="F541" s="462">
        <f t="shared" ref="F541:K541" si="447">SUM(F542:F544)</f>
        <v>0</v>
      </c>
      <c r="G541" s="462">
        <f t="shared" si="447"/>
        <v>0</v>
      </c>
      <c r="H541" s="462">
        <f t="shared" si="447"/>
        <v>0</v>
      </c>
      <c r="I541" s="462">
        <f t="shared" si="447"/>
        <v>460000</v>
      </c>
      <c r="J541" s="462">
        <f t="shared" si="447"/>
        <v>0</v>
      </c>
      <c r="K541" s="462">
        <f t="shared" si="447"/>
        <v>-460000</v>
      </c>
      <c r="L541" s="317">
        <f t="shared" si="430"/>
        <v>0</v>
      </c>
      <c r="M541" s="317"/>
      <c r="N541" s="372">
        <f t="shared" si="433"/>
        <v>460000</v>
      </c>
      <c r="O541" s="462">
        <f t="shared" ref="O541:P541" si="448">SUM(O542:O544)</f>
        <v>0</v>
      </c>
      <c r="P541" s="462">
        <f t="shared" si="448"/>
        <v>0</v>
      </c>
      <c r="R541" s="317"/>
      <c r="U541" s="320"/>
    </row>
    <row r="542" spans="1:21" s="337" customFormat="1" outlineLevel="2">
      <c r="A542" s="345"/>
      <c r="B542" s="345"/>
      <c r="C542" s="346">
        <v>2210401</v>
      </c>
      <c r="D542" s="465" t="s">
        <v>25</v>
      </c>
      <c r="E542" s="406">
        <v>232000</v>
      </c>
      <c r="F542" s="406"/>
      <c r="G542" s="406"/>
      <c r="H542" s="406"/>
      <c r="I542" s="324">
        <f t="shared" si="431"/>
        <v>232000</v>
      </c>
      <c r="J542" s="406"/>
      <c r="K542" s="463">
        <v>-232000</v>
      </c>
      <c r="L542" s="317">
        <f t="shared" si="430"/>
        <v>0</v>
      </c>
      <c r="M542" s="317"/>
      <c r="N542" s="372">
        <f t="shared" si="433"/>
        <v>232000</v>
      </c>
      <c r="O542" s="464">
        <f>L542*1.1</f>
        <v>0</v>
      </c>
      <c r="P542" s="464">
        <f>O542*1.1</f>
        <v>0</v>
      </c>
      <c r="R542" s="317"/>
      <c r="U542" s="320"/>
    </row>
    <row r="543" spans="1:21" outlineLevel="2">
      <c r="A543" s="345"/>
      <c r="B543" s="345"/>
      <c r="C543" s="346">
        <v>2210402</v>
      </c>
      <c r="D543" s="465" t="s">
        <v>30</v>
      </c>
      <c r="E543" s="406">
        <v>170000</v>
      </c>
      <c r="F543" s="406"/>
      <c r="G543" s="406"/>
      <c r="H543" s="406"/>
      <c r="I543" s="324">
        <f t="shared" si="431"/>
        <v>170000</v>
      </c>
      <c r="J543" s="406"/>
      <c r="K543" s="463">
        <v>-170000</v>
      </c>
      <c r="L543" s="317">
        <f t="shared" si="430"/>
        <v>0</v>
      </c>
      <c r="M543" s="317"/>
      <c r="N543" s="372">
        <f t="shared" si="433"/>
        <v>170000</v>
      </c>
      <c r="O543" s="336">
        <f>L543*1.1</f>
        <v>0</v>
      </c>
      <c r="P543" s="336">
        <f t="shared" si="442"/>
        <v>0</v>
      </c>
      <c r="R543" s="317"/>
      <c r="U543" s="320"/>
    </row>
    <row r="544" spans="1:21" outlineLevel="2">
      <c r="A544" s="326"/>
      <c r="B544" s="326"/>
      <c r="C544" s="346">
        <v>2210404</v>
      </c>
      <c r="D544" s="465" t="s">
        <v>28</v>
      </c>
      <c r="E544" s="406">
        <v>58000</v>
      </c>
      <c r="F544" s="406"/>
      <c r="G544" s="406"/>
      <c r="H544" s="406"/>
      <c r="I544" s="324">
        <f t="shared" si="431"/>
        <v>58000</v>
      </c>
      <c r="J544" s="462"/>
      <c r="K544" s="463">
        <v>-58000</v>
      </c>
      <c r="L544" s="317">
        <f t="shared" si="430"/>
        <v>0</v>
      </c>
      <c r="M544" s="317"/>
      <c r="N544" s="372">
        <f t="shared" si="433"/>
        <v>58000</v>
      </c>
      <c r="O544" s="336">
        <f>L544*1.1</f>
        <v>0</v>
      </c>
      <c r="P544" s="336">
        <f t="shared" si="442"/>
        <v>0</v>
      </c>
      <c r="R544" s="317"/>
      <c r="U544" s="320"/>
    </row>
    <row r="545" spans="1:21" s="337" customFormat="1" outlineLevel="2">
      <c r="A545" s="345"/>
      <c r="B545" s="345"/>
      <c r="C545" s="328">
        <v>2210500</v>
      </c>
      <c r="D545" s="326" t="s">
        <v>31</v>
      </c>
      <c r="E545" s="462">
        <f>SUM(E546:E547)</f>
        <v>153700</v>
      </c>
      <c r="F545" s="462">
        <f t="shared" ref="F545:K545" si="449">SUM(F546:F547)</f>
        <v>0</v>
      </c>
      <c r="G545" s="462">
        <f t="shared" si="449"/>
        <v>0</v>
      </c>
      <c r="H545" s="462">
        <f t="shared" si="449"/>
        <v>0</v>
      </c>
      <c r="I545" s="462">
        <f t="shared" si="449"/>
        <v>153700</v>
      </c>
      <c r="J545" s="462">
        <f t="shared" si="449"/>
        <v>0</v>
      </c>
      <c r="K545" s="462">
        <f t="shared" si="449"/>
        <v>0</v>
      </c>
      <c r="L545" s="317">
        <f t="shared" si="430"/>
        <v>153700</v>
      </c>
      <c r="M545" s="317"/>
      <c r="N545" s="372">
        <f t="shared" si="433"/>
        <v>0</v>
      </c>
      <c r="O545" s="462">
        <f t="shared" ref="O545:P545" si="450">SUM(O546:O547)</f>
        <v>169070.00000000003</v>
      </c>
      <c r="P545" s="462">
        <f t="shared" si="450"/>
        <v>185977.00000000006</v>
      </c>
      <c r="R545" s="317"/>
      <c r="U545" s="320"/>
    </row>
    <row r="546" spans="1:21" outlineLevel="2">
      <c r="A546" s="345"/>
      <c r="B546" s="345"/>
      <c r="C546" s="405">
        <v>2210502</v>
      </c>
      <c r="D546" s="345" t="s">
        <v>105</v>
      </c>
      <c r="E546" s="406">
        <v>95700</v>
      </c>
      <c r="F546" s="406"/>
      <c r="G546" s="406"/>
      <c r="H546" s="406"/>
      <c r="I546" s="324">
        <f t="shared" si="431"/>
        <v>95700</v>
      </c>
      <c r="J546" s="406"/>
      <c r="K546" s="463"/>
      <c r="L546" s="317">
        <f t="shared" si="430"/>
        <v>95700</v>
      </c>
      <c r="M546" s="317"/>
      <c r="N546" s="372">
        <f t="shared" si="433"/>
        <v>0</v>
      </c>
      <c r="O546" s="336">
        <f>L546*1.1</f>
        <v>105270.00000000001</v>
      </c>
      <c r="P546" s="336">
        <f t="shared" si="442"/>
        <v>115797.00000000003</v>
      </c>
      <c r="R546" s="317"/>
      <c r="U546" s="320"/>
    </row>
    <row r="547" spans="1:21" outlineLevel="2">
      <c r="A547" s="326"/>
      <c r="B547" s="326"/>
      <c r="C547" s="405">
        <v>2210503</v>
      </c>
      <c r="D547" s="345" t="s">
        <v>32</v>
      </c>
      <c r="E547" s="406">
        <v>58000</v>
      </c>
      <c r="F547" s="406"/>
      <c r="G547" s="406"/>
      <c r="H547" s="406"/>
      <c r="I547" s="324">
        <f t="shared" si="431"/>
        <v>58000</v>
      </c>
      <c r="J547" s="462"/>
      <c r="K547" s="463"/>
      <c r="L547" s="317">
        <f t="shared" si="430"/>
        <v>58000</v>
      </c>
      <c r="M547" s="317"/>
      <c r="N547" s="372">
        <f t="shared" si="433"/>
        <v>0</v>
      </c>
      <c r="O547" s="336">
        <f>L547*1.1</f>
        <v>63800.000000000007</v>
      </c>
      <c r="P547" s="336">
        <f t="shared" si="442"/>
        <v>70180.000000000015</v>
      </c>
      <c r="R547" s="317"/>
      <c r="U547" s="320"/>
    </row>
    <row r="548" spans="1:21" outlineLevel="2">
      <c r="A548" s="345"/>
      <c r="B548" s="345"/>
      <c r="C548" s="328">
        <v>2210700</v>
      </c>
      <c r="D548" s="326" t="s">
        <v>114</v>
      </c>
      <c r="E548" s="462">
        <f>SUM(E549:E553)</f>
        <v>1250000</v>
      </c>
      <c r="F548" s="462">
        <f t="shared" ref="F548:K548" si="451">SUM(F549:F553)</f>
        <v>0</v>
      </c>
      <c r="G548" s="462">
        <f t="shared" si="451"/>
        <v>0</v>
      </c>
      <c r="H548" s="462">
        <f t="shared" si="451"/>
        <v>0</v>
      </c>
      <c r="I548" s="462">
        <f t="shared" si="451"/>
        <v>1250000</v>
      </c>
      <c r="J548" s="462">
        <f t="shared" si="451"/>
        <v>0</v>
      </c>
      <c r="K548" s="462">
        <f t="shared" si="451"/>
        <v>310000</v>
      </c>
      <c r="L548" s="317">
        <f t="shared" si="430"/>
        <v>1560000</v>
      </c>
      <c r="M548" s="317"/>
      <c r="N548" s="372">
        <f t="shared" si="433"/>
        <v>-310000</v>
      </c>
      <c r="O548" s="462">
        <f t="shared" ref="O548:P548" si="452">SUM(O549:O553)</f>
        <v>1716000.0000000002</v>
      </c>
      <c r="P548" s="462">
        <f t="shared" si="452"/>
        <v>1887600.0000000005</v>
      </c>
      <c r="R548" s="317"/>
      <c r="U548" s="320"/>
    </row>
    <row r="549" spans="1:21" outlineLevel="2">
      <c r="A549" s="345"/>
      <c r="B549" s="345"/>
      <c r="C549" s="405">
        <v>2210701</v>
      </c>
      <c r="D549" s="345" t="s">
        <v>36</v>
      </c>
      <c r="E549" s="406">
        <v>464000</v>
      </c>
      <c r="F549" s="406"/>
      <c r="G549" s="406"/>
      <c r="H549" s="406"/>
      <c r="I549" s="324">
        <f t="shared" si="431"/>
        <v>464000</v>
      </c>
      <c r="J549" s="406"/>
      <c r="K549" s="463">
        <v>310000</v>
      </c>
      <c r="L549" s="317">
        <f t="shared" si="430"/>
        <v>774000</v>
      </c>
      <c r="M549" s="317"/>
      <c r="N549" s="372">
        <f t="shared" si="433"/>
        <v>-310000</v>
      </c>
      <c r="O549" s="336">
        <f>L549*1.1</f>
        <v>851400.00000000012</v>
      </c>
      <c r="P549" s="336">
        <f t="shared" si="442"/>
        <v>936540.00000000023</v>
      </c>
      <c r="R549" s="317"/>
      <c r="U549" s="320"/>
    </row>
    <row r="550" spans="1:21" outlineLevel="2">
      <c r="A550" s="345"/>
      <c r="B550" s="345"/>
      <c r="C550" s="405">
        <v>2210703</v>
      </c>
      <c r="D550" s="345" t="s">
        <v>107</v>
      </c>
      <c r="E550" s="406">
        <v>145000</v>
      </c>
      <c r="F550" s="406"/>
      <c r="G550" s="406"/>
      <c r="H550" s="406"/>
      <c r="I550" s="324">
        <f t="shared" si="431"/>
        <v>145000</v>
      </c>
      <c r="J550" s="406"/>
      <c r="K550" s="463"/>
      <c r="L550" s="317">
        <f t="shared" si="430"/>
        <v>145000</v>
      </c>
      <c r="M550" s="317"/>
      <c r="N550" s="372">
        <f t="shared" si="433"/>
        <v>0</v>
      </c>
      <c r="O550" s="336">
        <f>L550*1.1</f>
        <v>159500</v>
      </c>
      <c r="P550" s="336">
        <f t="shared" ref="P550:P577" si="453">O550*1.1</f>
        <v>175450</v>
      </c>
      <c r="R550" s="317"/>
      <c r="U550" s="320"/>
    </row>
    <row r="551" spans="1:21" s="337" customFormat="1" outlineLevel="2">
      <c r="A551" s="345"/>
      <c r="B551" s="345"/>
      <c r="C551" s="405">
        <v>2210704</v>
      </c>
      <c r="D551" s="345" t="s">
        <v>38</v>
      </c>
      <c r="E551" s="406">
        <v>87000</v>
      </c>
      <c r="F551" s="406"/>
      <c r="G551" s="406"/>
      <c r="H551" s="406"/>
      <c r="I551" s="324">
        <f t="shared" si="431"/>
        <v>87000</v>
      </c>
      <c r="J551" s="406"/>
      <c r="K551" s="463"/>
      <c r="L551" s="317">
        <f t="shared" si="430"/>
        <v>87000</v>
      </c>
      <c r="M551" s="317"/>
      <c r="N551" s="372">
        <f t="shared" si="433"/>
        <v>0</v>
      </c>
      <c r="O551" s="464">
        <f>L551*1.1</f>
        <v>95700.000000000015</v>
      </c>
      <c r="P551" s="464">
        <f>O551*1.1</f>
        <v>105270.00000000003</v>
      </c>
      <c r="R551" s="317"/>
      <c r="U551" s="320"/>
    </row>
    <row r="552" spans="1:21" outlineLevel="2">
      <c r="A552" s="345"/>
      <c r="B552" s="345"/>
      <c r="C552" s="405">
        <v>2210708</v>
      </c>
      <c r="D552" s="345" t="s">
        <v>115</v>
      </c>
      <c r="E552" s="406">
        <v>174000</v>
      </c>
      <c r="F552" s="406"/>
      <c r="G552" s="406"/>
      <c r="H552" s="406"/>
      <c r="I552" s="324">
        <f t="shared" si="431"/>
        <v>174000</v>
      </c>
      <c r="J552" s="406"/>
      <c r="K552" s="463"/>
      <c r="L552" s="317">
        <f t="shared" si="430"/>
        <v>174000</v>
      </c>
      <c r="M552" s="317"/>
      <c r="N552" s="372">
        <f t="shared" si="433"/>
        <v>0</v>
      </c>
      <c r="O552" s="336">
        <f>L552*1.1</f>
        <v>191400.00000000003</v>
      </c>
      <c r="P552" s="336">
        <f t="shared" si="453"/>
        <v>210540.00000000006</v>
      </c>
      <c r="R552" s="317"/>
      <c r="U552" s="320"/>
    </row>
    <row r="553" spans="1:21" outlineLevel="2">
      <c r="A553" s="326"/>
      <c r="B553" s="326"/>
      <c r="C553" s="405">
        <v>2210710</v>
      </c>
      <c r="D553" s="345" t="s">
        <v>39</v>
      </c>
      <c r="E553" s="406">
        <f>580000-200000</f>
        <v>380000</v>
      </c>
      <c r="F553" s="406"/>
      <c r="G553" s="406"/>
      <c r="H553" s="406"/>
      <c r="I553" s="324">
        <f t="shared" si="431"/>
        <v>380000</v>
      </c>
      <c r="J553" s="462"/>
      <c r="K553" s="463"/>
      <c r="L553" s="317">
        <f t="shared" si="430"/>
        <v>380000</v>
      </c>
      <c r="M553" s="317"/>
      <c r="N553" s="372">
        <f t="shared" si="433"/>
        <v>0</v>
      </c>
      <c r="O553" s="336">
        <f>L553*1.1</f>
        <v>418000.00000000006</v>
      </c>
      <c r="P553" s="336">
        <f t="shared" si="453"/>
        <v>459800.00000000012</v>
      </c>
      <c r="R553" s="317"/>
      <c r="U553" s="320"/>
    </row>
    <row r="554" spans="1:21" outlineLevel="2">
      <c r="A554" s="345"/>
      <c r="B554" s="345"/>
      <c r="C554" s="328">
        <v>2210800</v>
      </c>
      <c r="D554" s="326" t="s">
        <v>42</v>
      </c>
      <c r="E554" s="462">
        <f>SUM(E555:E558)</f>
        <v>570800</v>
      </c>
      <c r="F554" s="462">
        <f t="shared" ref="F554:P554" si="454">SUM(F555:F558)</f>
        <v>0</v>
      </c>
      <c r="G554" s="462">
        <f t="shared" si="454"/>
        <v>0</v>
      </c>
      <c r="H554" s="462">
        <f t="shared" si="454"/>
        <v>0</v>
      </c>
      <c r="I554" s="462">
        <f t="shared" si="454"/>
        <v>570800</v>
      </c>
      <c r="J554" s="462">
        <f t="shared" si="454"/>
        <v>0</v>
      </c>
      <c r="K554" s="462">
        <f t="shared" si="454"/>
        <v>195863</v>
      </c>
      <c r="L554" s="317">
        <f t="shared" si="430"/>
        <v>766663</v>
      </c>
      <c r="M554" s="317"/>
      <c r="N554" s="372">
        <f t="shared" si="433"/>
        <v>-195863</v>
      </c>
      <c r="O554" s="462">
        <f t="shared" si="454"/>
        <v>843329.3</v>
      </c>
      <c r="P554" s="462">
        <f t="shared" si="454"/>
        <v>927662.2300000001</v>
      </c>
      <c r="R554" s="317"/>
      <c r="U554" s="320"/>
    </row>
    <row r="555" spans="1:21" outlineLevel="2">
      <c r="A555" s="345"/>
      <c r="B555" s="345"/>
      <c r="C555" s="405">
        <v>2210801</v>
      </c>
      <c r="D555" s="345" t="s">
        <v>2418</v>
      </c>
      <c r="E555" s="406">
        <v>174000</v>
      </c>
      <c r="F555" s="406"/>
      <c r="G555" s="406"/>
      <c r="H555" s="406"/>
      <c r="I555" s="324">
        <f t="shared" si="431"/>
        <v>174000</v>
      </c>
      <c r="J555" s="406"/>
      <c r="K555" s="463">
        <v>142660</v>
      </c>
      <c r="L555" s="317">
        <f t="shared" si="430"/>
        <v>316660</v>
      </c>
      <c r="M555" s="317"/>
      <c r="N555" s="372">
        <f t="shared" si="433"/>
        <v>-142660</v>
      </c>
      <c r="O555" s="336">
        <f>L555*1.1</f>
        <v>348326</v>
      </c>
      <c r="P555" s="336">
        <f t="shared" si="453"/>
        <v>383158.60000000003</v>
      </c>
      <c r="R555" s="317"/>
      <c r="U555" s="320"/>
    </row>
    <row r="556" spans="1:21" s="337" customFormat="1" outlineLevel="2">
      <c r="A556" s="345"/>
      <c r="B556" s="345"/>
      <c r="C556" s="405">
        <v>2210802</v>
      </c>
      <c r="D556" s="345" t="s">
        <v>97</v>
      </c>
      <c r="E556" s="406">
        <v>261000</v>
      </c>
      <c r="F556" s="406"/>
      <c r="G556" s="406"/>
      <c r="H556" s="406"/>
      <c r="I556" s="324">
        <f t="shared" si="431"/>
        <v>261000</v>
      </c>
      <c r="J556" s="406"/>
      <c r="K556" s="463">
        <v>69003</v>
      </c>
      <c r="L556" s="317">
        <f t="shared" si="430"/>
        <v>330003</v>
      </c>
      <c r="M556" s="317"/>
      <c r="N556" s="372">
        <f t="shared" si="433"/>
        <v>-69003</v>
      </c>
      <c r="O556" s="464">
        <f>L556*1.1</f>
        <v>363003.30000000005</v>
      </c>
      <c r="P556" s="464">
        <f>O556*1.1</f>
        <v>399303.63000000006</v>
      </c>
      <c r="R556" s="317"/>
      <c r="U556" s="320"/>
    </row>
    <row r="557" spans="1:21" outlineLevel="2">
      <c r="A557" s="345"/>
      <c r="B557" s="345"/>
      <c r="C557" s="405">
        <v>2210805</v>
      </c>
      <c r="D557" s="345" t="s">
        <v>116</v>
      </c>
      <c r="E557" s="406">
        <v>120000</v>
      </c>
      <c r="F557" s="406"/>
      <c r="G557" s="406"/>
      <c r="H557" s="406"/>
      <c r="I557" s="324">
        <f t="shared" si="431"/>
        <v>120000</v>
      </c>
      <c r="J557" s="406"/>
      <c r="K557" s="463"/>
      <c r="L557" s="317">
        <f t="shared" si="430"/>
        <v>120000</v>
      </c>
      <c r="M557" s="317"/>
      <c r="N557" s="372">
        <f t="shared" si="433"/>
        <v>0</v>
      </c>
      <c r="O557" s="336">
        <f>L557*1.1</f>
        <v>132000</v>
      </c>
      <c r="P557" s="336">
        <f t="shared" si="453"/>
        <v>145200</v>
      </c>
      <c r="R557" s="317"/>
      <c r="U557" s="320"/>
    </row>
    <row r="558" spans="1:21" s="337" customFormat="1" outlineLevel="2">
      <c r="A558" s="326"/>
      <c r="B558" s="326"/>
      <c r="C558" s="405">
        <v>2210807</v>
      </c>
      <c r="D558" s="345" t="s">
        <v>117</v>
      </c>
      <c r="E558" s="406">
        <v>15800</v>
      </c>
      <c r="F558" s="406"/>
      <c r="G558" s="406"/>
      <c r="H558" s="406"/>
      <c r="I558" s="324">
        <f t="shared" si="431"/>
        <v>15800</v>
      </c>
      <c r="J558" s="462"/>
      <c r="K558" s="463">
        <v>-15800</v>
      </c>
      <c r="L558" s="317">
        <f t="shared" si="430"/>
        <v>0</v>
      </c>
      <c r="M558" s="317"/>
      <c r="N558" s="372">
        <f t="shared" si="433"/>
        <v>15800</v>
      </c>
      <c r="O558" s="464">
        <f>L558*1.1</f>
        <v>0</v>
      </c>
      <c r="P558" s="464">
        <f>O558*1.1</f>
        <v>0</v>
      </c>
      <c r="R558" s="317"/>
      <c r="U558" s="320"/>
    </row>
    <row r="559" spans="1:21" outlineLevel="2">
      <c r="A559" s="345"/>
      <c r="B559" s="345"/>
      <c r="C559" s="328">
        <v>2211000</v>
      </c>
      <c r="D559" s="326" t="s">
        <v>118</v>
      </c>
      <c r="E559" s="462">
        <f t="shared" ref="E559:P559" si="455">E560</f>
        <v>160000</v>
      </c>
      <c r="F559" s="462">
        <f t="shared" si="455"/>
        <v>0</v>
      </c>
      <c r="G559" s="462">
        <f t="shared" si="455"/>
        <v>0</v>
      </c>
      <c r="H559" s="462">
        <f t="shared" si="455"/>
        <v>0</v>
      </c>
      <c r="I559" s="462">
        <f t="shared" si="455"/>
        <v>160000</v>
      </c>
      <c r="J559" s="462">
        <f t="shared" si="455"/>
        <v>0</v>
      </c>
      <c r="K559" s="462">
        <f t="shared" si="455"/>
        <v>-160000</v>
      </c>
      <c r="L559" s="317">
        <f t="shared" si="430"/>
        <v>0</v>
      </c>
      <c r="M559" s="317"/>
      <c r="N559" s="372">
        <f t="shared" si="433"/>
        <v>160000</v>
      </c>
      <c r="O559" s="462">
        <f t="shared" si="455"/>
        <v>0</v>
      </c>
      <c r="P559" s="462">
        <f t="shared" si="455"/>
        <v>0</v>
      </c>
      <c r="R559" s="317"/>
      <c r="U559" s="320"/>
    </row>
    <row r="560" spans="1:21" outlineLevel="2">
      <c r="A560" s="326"/>
      <c r="B560" s="326"/>
      <c r="C560" s="405">
        <v>2211011</v>
      </c>
      <c r="D560" s="345" t="s">
        <v>119</v>
      </c>
      <c r="E560" s="406">
        <v>160000</v>
      </c>
      <c r="F560" s="406"/>
      <c r="G560" s="406"/>
      <c r="H560" s="406"/>
      <c r="I560" s="324">
        <f t="shared" si="431"/>
        <v>160000</v>
      </c>
      <c r="J560" s="462"/>
      <c r="K560" s="463">
        <v>-160000</v>
      </c>
      <c r="L560" s="317">
        <f t="shared" si="430"/>
        <v>0</v>
      </c>
      <c r="M560" s="317"/>
      <c r="N560" s="372">
        <f t="shared" si="433"/>
        <v>160000</v>
      </c>
      <c r="O560" s="336">
        <f>L560*1.1</f>
        <v>0</v>
      </c>
      <c r="P560" s="336">
        <f t="shared" si="453"/>
        <v>0</v>
      </c>
      <c r="R560" s="317"/>
      <c r="U560" s="320"/>
    </row>
    <row r="561" spans="1:21" outlineLevel="2">
      <c r="A561" s="345"/>
      <c r="B561" s="345"/>
      <c r="C561" s="328">
        <v>2211100</v>
      </c>
      <c r="D561" s="326" t="s">
        <v>51</v>
      </c>
      <c r="E561" s="462">
        <f>SUM(E562:E564)</f>
        <v>432982.7</v>
      </c>
      <c r="F561" s="462">
        <f t="shared" ref="F561:K561" si="456">SUM(F562:F564)</f>
        <v>0</v>
      </c>
      <c r="G561" s="462">
        <f t="shared" si="456"/>
        <v>0</v>
      </c>
      <c r="H561" s="462">
        <f t="shared" si="456"/>
        <v>0</v>
      </c>
      <c r="I561" s="462">
        <f t="shared" si="456"/>
        <v>432982.7</v>
      </c>
      <c r="J561" s="462">
        <f t="shared" si="456"/>
        <v>0</v>
      </c>
      <c r="K561" s="462">
        <f t="shared" si="456"/>
        <v>-121983</v>
      </c>
      <c r="L561" s="317">
        <f t="shared" si="430"/>
        <v>310999.7</v>
      </c>
      <c r="M561" s="317"/>
      <c r="N561" s="372">
        <f t="shared" si="433"/>
        <v>121983</v>
      </c>
      <c r="O561" s="462">
        <f t="shared" ref="O561:P561" si="457">SUM(O562:O564)</f>
        <v>342099.67</v>
      </c>
      <c r="P561" s="462">
        <f t="shared" si="457"/>
        <v>376309.63700000005</v>
      </c>
      <c r="R561" s="317"/>
      <c r="U561" s="320"/>
    </row>
    <row r="562" spans="1:21" outlineLevel="2">
      <c r="A562" s="345"/>
      <c r="B562" s="345"/>
      <c r="C562" s="405">
        <v>2211101</v>
      </c>
      <c r="D562" s="345" t="s">
        <v>2419</v>
      </c>
      <c r="E562" s="406">
        <v>231000</v>
      </c>
      <c r="F562" s="406"/>
      <c r="G562" s="406"/>
      <c r="H562" s="406"/>
      <c r="I562" s="324">
        <f t="shared" si="431"/>
        <v>231000</v>
      </c>
      <c r="J562" s="406"/>
      <c r="K562" s="463"/>
      <c r="L562" s="317">
        <f t="shared" si="430"/>
        <v>231000</v>
      </c>
      <c r="M562" s="317"/>
      <c r="N562" s="372">
        <f t="shared" si="433"/>
        <v>0</v>
      </c>
      <c r="O562" s="464">
        <f>L562*1.1</f>
        <v>254100.00000000003</v>
      </c>
      <c r="P562" s="464">
        <f t="shared" ref="P562:P564" si="458">O562*1.1</f>
        <v>279510.00000000006</v>
      </c>
      <c r="R562" s="317"/>
      <c r="U562" s="320"/>
    </row>
    <row r="563" spans="1:21" outlineLevel="2">
      <c r="A563" s="345"/>
      <c r="B563" s="345"/>
      <c r="C563" s="405">
        <v>2211102</v>
      </c>
      <c r="D563" s="345" t="s">
        <v>53</v>
      </c>
      <c r="E563" s="406">
        <v>80000</v>
      </c>
      <c r="F563" s="406"/>
      <c r="G563" s="406"/>
      <c r="H563" s="406"/>
      <c r="I563" s="324">
        <f t="shared" si="431"/>
        <v>80000</v>
      </c>
      <c r="J563" s="406"/>
      <c r="K563" s="463"/>
      <c r="L563" s="317">
        <f t="shared" si="430"/>
        <v>80000</v>
      </c>
      <c r="M563" s="317"/>
      <c r="N563" s="372">
        <f t="shared" si="433"/>
        <v>0</v>
      </c>
      <c r="O563" s="336">
        <f>L563*1.1</f>
        <v>88000</v>
      </c>
      <c r="P563" s="336">
        <f t="shared" si="458"/>
        <v>96800.000000000015</v>
      </c>
      <c r="R563" s="317"/>
      <c r="U563" s="320"/>
    </row>
    <row r="564" spans="1:21" outlineLevel="2">
      <c r="A564" s="326"/>
      <c r="B564" s="326"/>
      <c r="C564" s="405">
        <v>2211103</v>
      </c>
      <c r="D564" s="345" t="s">
        <v>54</v>
      </c>
      <c r="E564" s="406">
        <v>121982.7</v>
      </c>
      <c r="F564" s="406"/>
      <c r="G564" s="406"/>
      <c r="H564" s="406"/>
      <c r="I564" s="324">
        <f t="shared" si="431"/>
        <v>121982.7</v>
      </c>
      <c r="J564" s="462"/>
      <c r="K564" s="463">
        <v>-121983</v>
      </c>
      <c r="L564" s="317">
        <f t="shared" si="430"/>
        <v>-0.30000000000291038</v>
      </c>
      <c r="M564" s="317"/>
      <c r="N564" s="372">
        <f t="shared" si="433"/>
        <v>121983</v>
      </c>
      <c r="O564" s="464">
        <f>L564*1.1</f>
        <v>-0.33000000000320145</v>
      </c>
      <c r="P564" s="464">
        <f t="shared" si="458"/>
        <v>-0.36300000000352162</v>
      </c>
      <c r="R564" s="317"/>
      <c r="U564" s="320"/>
    </row>
    <row r="565" spans="1:21" outlineLevel="2">
      <c r="A565" s="345"/>
      <c r="B565" s="345"/>
      <c r="C565" s="327">
        <v>2211200</v>
      </c>
      <c r="D565" s="460" t="s">
        <v>55</v>
      </c>
      <c r="E565" s="462">
        <f>E566</f>
        <v>580000</v>
      </c>
      <c r="F565" s="462">
        <f t="shared" ref="F565:K565" si="459">F566</f>
        <v>0</v>
      </c>
      <c r="G565" s="462">
        <f t="shared" si="459"/>
        <v>0</v>
      </c>
      <c r="H565" s="462">
        <f t="shared" si="459"/>
        <v>0</v>
      </c>
      <c r="I565" s="462">
        <f t="shared" si="459"/>
        <v>580000</v>
      </c>
      <c r="J565" s="462">
        <f t="shared" si="459"/>
        <v>0</v>
      </c>
      <c r="K565" s="462">
        <f t="shared" si="459"/>
        <v>0</v>
      </c>
      <c r="L565" s="317">
        <f t="shared" si="430"/>
        <v>580000</v>
      </c>
      <c r="M565" s="317"/>
      <c r="N565" s="372">
        <f t="shared" si="433"/>
        <v>0</v>
      </c>
      <c r="O565" s="462">
        <f t="shared" ref="O565:P565" si="460">O566</f>
        <v>638000</v>
      </c>
      <c r="P565" s="462">
        <f t="shared" si="460"/>
        <v>701800</v>
      </c>
      <c r="R565" s="317"/>
      <c r="U565" s="320"/>
    </row>
    <row r="566" spans="1:21" outlineLevel="2">
      <c r="A566" s="326"/>
      <c r="B566" s="326"/>
      <c r="C566" s="346">
        <v>2211201</v>
      </c>
      <c r="D566" s="465" t="s">
        <v>56</v>
      </c>
      <c r="E566" s="406">
        <v>580000</v>
      </c>
      <c r="F566" s="406"/>
      <c r="G566" s="406"/>
      <c r="H566" s="406"/>
      <c r="I566" s="324">
        <f t="shared" si="431"/>
        <v>580000</v>
      </c>
      <c r="J566" s="482"/>
      <c r="K566" s="463"/>
      <c r="L566" s="317">
        <f t="shared" si="430"/>
        <v>580000</v>
      </c>
      <c r="M566" s="317"/>
      <c r="N566" s="372">
        <f t="shared" si="433"/>
        <v>0</v>
      </c>
      <c r="O566" s="336">
        <f t="shared" ref="O566" si="461">L566*1.1</f>
        <v>638000</v>
      </c>
      <c r="P566" s="336">
        <f t="shared" ref="P566" si="462">O566*1.1</f>
        <v>701800</v>
      </c>
      <c r="R566" s="317"/>
      <c r="U566" s="320"/>
    </row>
    <row r="567" spans="1:21" outlineLevel="2">
      <c r="A567" s="483"/>
      <c r="B567" s="483"/>
      <c r="C567" s="484">
        <v>2211300</v>
      </c>
      <c r="D567" s="485" t="s">
        <v>57</v>
      </c>
      <c r="E567" s="482">
        <f>E568+E569</f>
        <v>256000</v>
      </c>
      <c r="F567" s="482">
        <f t="shared" ref="F567:K567" si="463">F568+F569</f>
        <v>0</v>
      </c>
      <c r="G567" s="482">
        <f t="shared" si="463"/>
        <v>5500000</v>
      </c>
      <c r="H567" s="482">
        <f t="shared" si="463"/>
        <v>0</v>
      </c>
      <c r="I567" s="482">
        <f t="shared" si="463"/>
        <v>5756000</v>
      </c>
      <c r="J567" s="482">
        <f t="shared" si="463"/>
        <v>0</v>
      </c>
      <c r="K567" s="482">
        <f t="shared" si="463"/>
        <v>130000</v>
      </c>
      <c r="L567" s="317">
        <f t="shared" si="430"/>
        <v>5886000</v>
      </c>
      <c r="M567" s="2212"/>
      <c r="N567" s="372">
        <f t="shared" si="433"/>
        <v>-130000</v>
      </c>
      <c r="O567" s="482">
        <f t="shared" ref="O567:P567" si="464">O568+O569</f>
        <v>6474600.0000000009</v>
      </c>
      <c r="P567" s="482">
        <f t="shared" si="464"/>
        <v>7122060.0000000019</v>
      </c>
      <c r="R567" s="317"/>
      <c r="U567" s="320"/>
    </row>
    <row r="568" spans="1:21" s="486" customFormat="1" outlineLevel="2">
      <c r="A568" s="487"/>
      <c r="B568" s="487"/>
      <c r="C568" s="488" t="s">
        <v>121</v>
      </c>
      <c r="D568" s="489" t="s">
        <v>122</v>
      </c>
      <c r="E568" s="490">
        <v>122000</v>
      </c>
      <c r="F568" s="491"/>
      <c r="G568" s="490">
        <f>500000+5000000</f>
        <v>5500000</v>
      </c>
      <c r="H568" s="490">
        <f>-5500000+5500000</f>
        <v>0</v>
      </c>
      <c r="I568" s="324">
        <f t="shared" si="431"/>
        <v>5622000</v>
      </c>
      <c r="J568" s="492"/>
      <c r="K568" s="463">
        <v>130000</v>
      </c>
      <c r="L568" s="317">
        <f t="shared" si="430"/>
        <v>5752000</v>
      </c>
      <c r="M568" s="2210"/>
      <c r="N568" s="372">
        <f t="shared" si="433"/>
        <v>-130000</v>
      </c>
      <c r="O568" s="357">
        <f t="shared" ref="O568:O569" si="465">L568*1.1</f>
        <v>6327200.0000000009</v>
      </c>
      <c r="P568" s="336">
        <f t="shared" ref="P568:P569" si="466">O568*1.1</f>
        <v>6959920.0000000019</v>
      </c>
      <c r="R568" s="317"/>
      <c r="U568" s="320"/>
    </row>
    <row r="569" spans="1:21" outlineLevel="2">
      <c r="A569" s="493"/>
      <c r="B569" s="493"/>
      <c r="C569" s="494" t="s">
        <v>121</v>
      </c>
      <c r="D569" s="495" t="s">
        <v>123</v>
      </c>
      <c r="E569" s="496">
        <v>134000</v>
      </c>
      <c r="F569" s="492"/>
      <c r="G569" s="492"/>
      <c r="H569" s="492"/>
      <c r="I569" s="324">
        <f t="shared" si="431"/>
        <v>134000</v>
      </c>
      <c r="J569" s="462"/>
      <c r="K569" s="463"/>
      <c r="L569" s="317">
        <f t="shared" si="430"/>
        <v>134000</v>
      </c>
      <c r="M569" s="317"/>
      <c r="N569" s="372">
        <f t="shared" si="433"/>
        <v>0</v>
      </c>
      <c r="O569" s="336">
        <f t="shared" si="465"/>
        <v>147400</v>
      </c>
      <c r="P569" s="336">
        <f t="shared" si="466"/>
        <v>162140</v>
      </c>
      <c r="R569" s="317"/>
      <c r="U569" s="320"/>
    </row>
    <row r="570" spans="1:21" outlineLevel="2">
      <c r="A570" s="345"/>
      <c r="B570" s="345"/>
      <c r="C570" s="328">
        <v>2220100</v>
      </c>
      <c r="D570" s="326" t="s">
        <v>62</v>
      </c>
      <c r="E570" s="462">
        <f>E571+E572</f>
        <v>282600</v>
      </c>
      <c r="F570" s="462">
        <f t="shared" ref="F570:K570" si="467">F571+F572</f>
        <v>0</v>
      </c>
      <c r="G570" s="462">
        <f t="shared" si="467"/>
        <v>0</v>
      </c>
      <c r="H570" s="462">
        <f t="shared" si="467"/>
        <v>500000</v>
      </c>
      <c r="I570" s="462">
        <f t="shared" si="467"/>
        <v>782600</v>
      </c>
      <c r="J570" s="462">
        <f t="shared" si="467"/>
        <v>0</v>
      </c>
      <c r="K570" s="462">
        <f t="shared" si="467"/>
        <v>0</v>
      </c>
      <c r="L570" s="317">
        <f t="shared" si="430"/>
        <v>782600</v>
      </c>
      <c r="M570" s="317"/>
      <c r="N570" s="372">
        <f t="shared" si="433"/>
        <v>0</v>
      </c>
      <c r="O570" s="462">
        <f t="shared" ref="O570:P570" si="468">O571+O572</f>
        <v>860860.00000000012</v>
      </c>
      <c r="P570" s="462">
        <f t="shared" si="468"/>
        <v>946946.00000000023</v>
      </c>
      <c r="R570" s="317"/>
      <c r="U570" s="320"/>
    </row>
    <row r="571" spans="1:21" outlineLevel="2">
      <c r="A571" s="345"/>
      <c r="B571" s="345"/>
      <c r="C571" s="405">
        <v>2220101</v>
      </c>
      <c r="D571" s="345" t="s">
        <v>63</v>
      </c>
      <c r="E571" s="406">
        <f>522000-250000</f>
        <v>272000</v>
      </c>
      <c r="F571" s="406"/>
      <c r="G571" s="406"/>
      <c r="H571" s="406">
        <v>500000</v>
      </c>
      <c r="I571" s="324">
        <f t="shared" si="431"/>
        <v>772000</v>
      </c>
      <c r="J571" s="406"/>
      <c r="K571" s="463"/>
      <c r="L571" s="317">
        <f t="shared" si="430"/>
        <v>772000</v>
      </c>
      <c r="M571" s="317"/>
      <c r="N571" s="372">
        <f t="shared" si="433"/>
        <v>0</v>
      </c>
      <c r="O571" s="336">
        <f>L571*1.1</f>
        <v>849200.00000000012</v>
      </c>
      <c r="P571" s="336">
        <f t="shared" si="453"/>
        <v>934120.00000000023</v>
      </c>
      <c r="R571" s="317"/>
      <c r="U571" s="320"/>
    </row>
    <row r="572" spans="1:21" s="337" customFormat="1" outlineLevel="2">
      <c r="A572" s="326"/>
      <c r="B572" s="326"/>
      <c r="C572" s="405">
        <v>2220105</v>
      </c>
      <c r="D572" s="345" t="s">
        <v>64</v>
      </c>
      <c r="E572" s="406">
        <v>10600</v>
      </c>
      <c r="F572" s="406"/>
      <c r="G572" s="406"/>
      <c r="H572" s="406"/>
      <c r="I572" s="324">
        <f t="shared" si="431"/>
        <v>10600</v>
      </c>
      <c r="J572" s="462"/>
      <c r="K572" s="463"/>
      <c r="L572" s="317">
        <f t="shared" si="430"/>
        <v>10600</v>
      </c>
      <c r="M572" s="317"/>
      <c r="N572" s="372">
        <f t="shared" si="433"/>
        <v>0</v>
      </c>
      <c r="O572" s="336">
        <f>L572*1.1</f>
        <v>11660.000000000002</v>
      </c>
      <c r="P572" s="336">
        <f t="shared" si="453"/>
        <v>12826.000000000004</v>
      </c>
      <c r="R572" s="317"/>
      <c r="U572" s="320"/>
    </row>
    <row r="573" spans="1:21" outlineLevel="2">
      <c r="A573" s="345"/>
      <c r="B573" s="345"/>
      <c r="C573" s="328">
        <v>2220200</v>
      </c>
      <c r="D573" s="326" t="s">
        <v>124</v>
      </c>
      <c r="E573" s="462">
        <f>E574+E575</f>
        <v>276000</v>
      </c>
      <c r="F573" s="462">
        <f t="shared" ref="F573:K573" si="469">F574+F575</f>
        <v>0</v>
      </c>
      <c r="G573" s="462">
        <f t="shared" si="469"/>
        <v>0</v>
      </c>
      <c r="H573" s="462">
        <f t="shared" si="469"/>
        <v>0</v>
      </c>
      <c r="I573" s="462">
        <f t="shared" si="469"/>
        <v>276000</v>
      </c>
      <c r="J573" s="462">
        <f t="shared" si="469"/>
        <v>0</v>
      </c>
      <c r="K573" s="462">
        <f t="shared" si="469"/>
        <v>-196000</v>
      </c>
      <c r="L573" s="317">
        <f t="shared" si="430"/>
        <v>80000</v>
      </c>
      <c r="M573" s="317"/>
      <c r="N573" s="372">
        <f t="shared" si="433"/>
        <v>196000</v>
      </c>
      <c r="O573" s="462">
        <f t="shared" ref="O573:P573" si="470">O574+O575</f>
        <v>88000</v>
      </c>
      <c r="P573" s="462">
        <f t="shared" si="470"/>
        <v>96800.000000000015</v>
      </c>
      <c r="R573" s="317"/>
      <c r="U573" s="320"/>
    </row>
    <row r="574" spans="1:21" outlineLevel="2">
      <c r="A574" s="345"/>
      <c r="B574" s="345"/>
      <c r="C574" s="405">
        <v>2220202</v>
      </c>
      <c r="D574" s="345" t="s">
        <v>87</v>
      </c>
      <c r="E574" s="406">
        <v>80000</v>
      </c>
      <c r="F574" s="406"/>
      <c r="G574" s="406"/>
      <c r="H574" s="406"/>
      <c r="I574" s="324">
        <f t="shared" si="431"/>
        <v>80000</v>
      </c>
      <c r="J574" s="406"/>
      <c r="K574" s="463"/>
      <c r="L574" s="317">
        <f t="shared" si="430"/>
        <v>80000</v>
      </c>
      <c r="M574" s="317"/>
      <c r="N574" s="372">
        <f t="shared" si="433"/>
        <v>0</v>
      </c>
      <c r="O574" s="336">
        <f>L574*1.1</f>
        <v>88000</v>
      </c>
      <c r="P574" s="336">
        <f t="shared" si="453"/>
        <v>96800.000000000015</v>
      </c>
      <c r="R574" s="317"/>
      <c r="U574" s="320"/>
    </row>
    <row r="575" spans="1:21" s="337" customFormat="1" outlineLevel="2">
      <c r="A575" s="326"/>
      <c r="B575" s="326"/>
      <c r="C575" s="405">
        <v>2220205</v>
      </c>
      <c r="D575" s="345" t="s">
        <v>125</v>
      </c>
      <c r="E575" s="406">
        <v>196000</v>
      </c>
      <c r="F575" s="406"/>
      <c r="G575" s="406"/>
      <c r="H575" s="406"/>
      <c r="I575" s="324">
        <f t="shared" si="431"/>
        <v>196000</v>
      </c>
      <c r="J575" s="462"/>
      <c r="K575" s="463">
        <v>-196000</v>
      </c>
      <c r="L575" s="317">
        <f t="shared" si="430"/>
        <v>0</v>
      </c>
      <c r="M575" s="317"/>
      <c r="N575" s="372">
        <f t="shared" si="433"/>
        <v>196000</v>
      </c>
      <c r="O575" s="336">
        <f>L575*1.1</f>
        <v>0</v>
      </c>
      <c r="P575" s="336">
        <f t="shared" si="453"/>
        <v>0</v>
      </c>
      <c r="R575" s="317"/>
      <c r="U575" s="320"/>
    </row>
    <row r="576" spans="1:21" outlineLevel="2">
      <c r="A576" s="345"/>
      <c r="B576" s="345"/>
      <c r="C576" s="328">
        <v>3111000</v>
      </c>
      <c r="D576" s="326" t="s">
        <v>69</v>
      </c>
      <c r="E576" s="462">
        <f>E577+E578</f>
        <v>520000</v>
      </c>
      <c r="F576" s="462">
        <f t="shared" ref="F576:K576" si="471">F577+F578</f>
        <v>0</v>
      </c>
      <c r="G576" s="462">
        <f t="shared" si="471"/>
        <v>0</v>
      </c>
      <c r="H576" s="462">
        <f t="shared" si="471"/>
        <v>0</v>
      </c>
      <c r="I576" s="462">
        <f t="shared" si="471"/>
        <v>520000</v>
      </c>
      <c r="J576" s="462">
        <f t="shared" si="471"/>
        <v>0</v>
      </c>
      <c r="K576" s="462">
        <f t="shared" si="471"/>
        <v>-230000</v>
      </c>
      <c r="L576" s="317">
        <f t="shared" si="430"/>
        <v>290000</v>
      </c>
      <c r="M576" s="317"/>
      <c r="N576" s="372">
        <f t="shared" si="433"/>
        <v>230000</v>
      </c>
      <c r="O576" s="462">
        <f t="shared" ref="O576:P576" si="472">O577+O578</f>
        <v>319000</v>
      </c>
      <c r="P576" s="462">
        <f t="shared" si="472"/>
        <v>350900</v>
      </c>
      <c r="R576" s="317"/>
      <c r="U576" s="320"/>
    </row>
    <row r="577" spans="1:21" outlineLevel="2">
      <c r="A577" s="345"/>
      <c r="B577" s="345"/>
      <c r="C577" s="405">
        <v>3111001</v>
      </c>
      <c r="D577" s="345" t="s">
        <v>70</v>
      </c>
      <c r="E577" s="406">
        <v>230000</v>
      </c>
      <c r="F577" s="406"/>
      <c r="G577" s="406"/>
      <c r="H577" s="406"/>
      <c r="I577" s="324">
        <f t="shared" si="431"/>
        <v>230000</v>
      </c>
      <c r="J577" s="348"/>
      <c r="K577" s="463">
        <v>-230000</v>
      </c>
      <c r="L577" s="317">
        <f t="shared" si="430"/>
        <v>0</v>
      </c>
      <c r="M577" s="317"/>
      <c r="N577" s="372">
        <f t="shared" si="433"/>
        <v>230000</v>
      </c>
      <c r="O577" s="336">
        <f>L577*1.1</f>
        <v>0</v>
      </c>
      <c r="P577" s="336">
        <f t="shared" si="453"/>
        <v>0</v>
      </c>
      <c r="R577" s="317"/>
      <c r="U577" s="320"/>
    </row>
    <row r="578" spans="1:21" s="337" customFormat="1" outlineLevel="2">
      <c r="A578" s="327"/>
      <c r="B578" s="327"/>
      <c r="C578" s="346">
        <v>3111002</v>
      </c>
      <c r="D578" s="347" t="s">
        <v>71</v>
      </c>
      <c r="E578" s="406">
        <v>290000</v>
      </c>
      <c r="F578" s="348"/>
      <c r="G578" s="348"/>
      <c r="H578" s="348"/>
      <c r="I578" s="324">
        <f t="shared" si="431"/>
        <v>290000</v>
      </c>
      <c r="J578" s="462"/>
      <c r="K578" s="463"/>
      <c r="L578" s="317">
        <f t="shared" si="430"/>
        <v>290000</v>
      </c>
      <c r="M578" s="317"/>
      <c r="N578" s="372">
        <f t="shared" si="433"/>
        <v>0</v>
      </c>
      <c r="O578" s="471">
        <f>L578*1.1</f>
        <v>319000</v>
      </c>
      <c r="P578" s="471">
        <f>O578*1.1</f>
        <v>350900</v>
      </c>
      <c r="R578" s="317"/>
      <c r="U578" s="320"/>
    </row>
    <row r="579" spans="1:21" outlineLevel="2">
      <c r="A579" s="327"/>
      <c r="B579" s="327"/>
      <c r="C579" s="466">
        <v>3111400</v>
      </c>
      <c r="D579" s="497" t="s">
        <v>126</v>
      </c>
      <c r="E579" s="462">
        <f>E580</f>
        <v>0</v>
      </c>
      <c r="F579" s="462">
        <f t="shared" ref="F579:P579" si="473">F580</f>
        <v>0</v>
      </c>
      <c r="G579" s="462">
        <f t="shared" si="473"/>
        <v>0</v>
      </c>
      <c r="H579" s="462">
        <f t="shared" si="473"/>
        <v>0</v>
      </c>
      <c r="I579" s="462">
        <f t="shared" si="473"/>
        <v>0</v>
      </c>
      <c r="J579" s="348"/>
      <c r="K579" s="478">
        <f t="shared" ref="K579" si="474">K580</f>
        <v>0</v>
      </c>
      <c r="L579" s="317">
        <f t="shared" si="430"/>
        <v>0</v>
      </c>
      <c r="M579" s="317"/>
      <c r="N579" s="372">
        <f t="shared" si="433"/>
        <v>0</v>
      </c>
      <c r="O579" s="462">
        <f t="shared" si="473"/>
        <v>0</v>
      </c>
      <c r="P579" s="462">
        <f t="shared" si="473"/>
        <v>0</v>
      </c>
      <c r="R579" s="317"/>
      <c r="U579" s="320"/>
    </row>
    <row r="580" spans="1:21" outlineLevel="2">
      <c r="A580" s="327"/>
      <c r="B580" s="327"/>
      <c r="C580" s="468">
        <v>3111401</v>
      </c>
      <c r="D580" s="469" t="s">
        <v>127</v>
      </c>
      <c r="E580" s="406">
        <v>0</v>
      </c>
      <c r="F580" s="348"/>
      <c r="G580" s="348"/>
      <c r="H580" s="348"/>
      <c r="I580" s="324">
        <f t="shared" si="431"/>
        <v>0</v>
      </c>
      <c r="J580" s="461"/>
      <c r="K580" s="463"/>
      <c r="L580" s="317">
        <f t="shared" ref="L580:L643" si="475">I580+J580+K580</f>
        <v>0</v>
      </c>
      <c r="M580" s="317"/>
      <c r="N580" s="372">
        <f t="shared" si="433"/>
        <v>0</v>
      </c>
      <c r="O580" s="471">
        <f>L580*1.1</f>
        <v>0</v>
      </c>
      <c r="P580" s="471">
        <f>O580*1.1</f>
        <v>0</v>
      </c>
      <c r="R580" s="317"/>
      <c r="U580" s="320"/>
    </row>
    <row r="581" spans="1:21" s="337" customFormat="1" outlineLevel="2">
      <c r="A581" s="327"/>
      <c r="B581" s="327"/>
      <c r="C581" s="498">
        <v>3110700</v>
      </c>
      <c r="D581" s="498" t="s">
        <v>65</v>
      </c>
      <c r="E581" s="461">
        <f>E582</f>
        <v>0</v>
      </c>
      <c r="F581" s="461">
        <f t="shared" ref="F581:P581" si="476">F582</f>
        <v>0</v>
      </c>
      <c r="G581" s="461">
        <f t="shared" si="476"/>
        <v>0</v>
      </c>
      <c r="H581" s="461">
        <f t="shared" si="476"/>
        <v>0</v>
      </c>
      <c r="I581" s="461">
        <f t="shared" si="476"/>
        <v>0</v>
      </c>
      <c r="J581" s="499"/>
      <c r="K581" s="478">
        <f t="shared" ref="K581" si="477">K582</f>
        <v>0</v>
      </c>
      <c r="L581" s="317">
        <f t="shared" si="475"/>
        <v>0</v>
      </c>
      <c r="M581" s="317"/>
      <c r="N581" s="372">
        <f t="shared" si="433"/>
        <v>0</v>
      </c>
      <c r="O581" s="461">
        <f t="shared" si="476"/>
        <v>0</v>
      </c>
      <c r="P581" s="461">
        <f t="shared" si="476"/>
        <v>0</v>
      </c>
      <c r="R581" s="317"/>
      <c r="U581" s="320"/>
    </row>
    <row r="582" spans="1:21" s="312" customFormat="1" outlineLevel="1">
      <c r="A582" s="327"/>
      <c r="B582" s="327"/>
      <c r="C582" s="500">
        <v>3110701</v>
      </c>
      <c r="D582" s="500" t="s">
        <v>140</v>
      </c>
      <c r="E582" s="406">
        <v>0</v>
      </c>
      <c r="F582" s="499"/>
      <c r="G582" s="499"/>
      <c r="H582" s="499"/>
      <c r="I582" s="324">
        <f t="shared" ref="I582:I645" si="478">E582+F582+G582+H582</f>
        <v>0</v>
      </c>
      <c r="J582" s="461"/>
      <c r="K582" s="463"/>
      <c r="L582" s="317">
        <f t="shared" si="475"/>
        <v>0</v>
      </c>
      <c r="M582" s="317"/>
      <c r="N582" s="372">
        <f t="shared" si="433"/>
        <v>0</v>
      </c>
      <c r="O582" s="451"/>
      <c r="P582" s="451"/>
      <c r="R582" s="317"/>
      <c r="U582" s="320"/>
    </row>
    <row r="583" spans="1:21" s="312" customFormat="1" outlineLevel="1">
      <c r="A583" s="327"/>
      <c r="B583" s="327"/>
      <c r="C583" s="475"/>
      <c r="D583" s="400"/>
      <c r="E583" s="461">
        <f>E584</f>
        <v>0</v>
      </c>
      <c r="F583" s="461">
        <f t="shared" ref="F583:P583" si="479">F584</f>
        <v>0</v>
      </c>
      <c r="G583" s="461">
        <f t="shared" si="479"/>
        <v>0</v>
      </c>
      <c r="H583" s="461">
        <f t="shared" si="479"/>
        <v>0</v>
      </c>
      <c r="I583" s="461">
        <f t="shared" si="479"/>
        <v>0</v>
      </c>
      <c r="J583" s="348"/>
      <c r="K583" s="463"/>
      <c r="L583" s="317">
        <f t="shared" si="475"/>
        <v>0</v>
      </c>
      <c r="M583" s="317"/>
      <c r="N583" s="372">
        <f t="shared" si="433"/>
        <v>0</v>
      </c>
      <c r="O583" s="461">
        <f t="shared" si="479"/>
        <v>0</v>
      </c>
      <c r="P583" s="461">
        <f t="shared" si="479"/>
        <v>0</v>
      </c>
      <c r="R583" s="317"/>
      <c r="U583" s="320"/>
    </row>
    <row r="584" spans="1:21" s="312" customFormat="1" outlineLevel="1">
      <c r="A584" s="345"/>
      <c r="B584" s="345"/>
      <c r="C584" s="473"/>
      <c r="D584" s="347"/>
      <c r="E584" s="406">
        <v>0</v>
      </c>
      <c r="F584" s="348"/>
      <c r="G584" s="348"/>
      <c r="H584" s="348"/>
      <c r="I584" s="324">
        <f t="shared" si="478"/>
        <v>0</v>
      </c>
      <c r="J584" s="462"/>
      <c r="K584" s="463"/>
      <c r="L584" s="317">
        <f t="shared" si="475"/>
        <v>0</v>
      </c>
      <c r="M584" s="317"/>
      <c r="N584" s="372">
        <f t="shared" ref="N584:N647" si="480">M584-K584</f>
        <v>0</v>
      </c>
      <c r="O584" s="451">
        <f>L584*1.1</f>
        <v>0</v>
      </c>
      <c r="P584" s="451">
        <f>O584*1.1</f>
        <v>0</v>
      </c>
      <c r="R584" s="317"/>
      <c r="U584" s="320"/>
    </row>
    <row r="585" spans="1:21" s="312" customFormat="1" outlineLevel="1">
      <c r="A585" s="345"/>
      <c r="B585" s="345"/>
      <c r="C585" s="405"/>
      <c r="D585" s="326" t="s">
        <v>128</v>
      </c>
      <c r="E585" s="462">
        <f>E573+E570+E561+E559+E554+E548+E545+E536+E530+E533+E576+E567+E579+E565+E541+E583+E581</f>
        <v>6879682.7000000002</v>
      </c>
      <c r="F585" s="462">
        <f t="shared" ref="F585:K585" si="481">F573+F570+F561+F559+F554+F548+F545+F536+F530+F533+F576+F567+F579+F565+F541+F583+F581</f>
        <v>0</v>
      </c>
      <c r="G585" s="462">
        <f t="shared" si="481"/>
        <v>5500000</v>
      </c>
      <c r="H585" s="462">
        <f t="shared" si="481"/>
        <v>500000</v>
      </c>
      <c r="I585" s="462">
        <f t="shared" si="481"/>
        <v>12879682.699999999</v>
      </c>
      <c r="J585" s="462">
        <f t="shared" si="481"/>
        <v>0</v>
      </c>
      <c r="K585" s="462">
        <f t="shared" si="481"/>
        <v>-1660</v>
      </c>
      <c r="L585" s="317">
        <f t="shared" si="475"/>
        <v>12878022.699999999</v>
      </c>
      <c r="M585" s="317"/>
      <c r="N585" s="372">
        <f t="shared" si="480"/>
        <v>1660</v>
      </c>
      <c r="O585" s="462">
        <f t="shared" ref="O585:P585" si="482">O573+O570+O561+O559+O554+O548+O545+O536+O530+O533+O576+O567+O579+O565+O541+O583+O581</f>
        <v>14165824.970000003</v>
      </c>
      <c r="P585" s="462">
        <f t="shared" si="482"/>
        <v>15582407.467000002</v>
      </c>
      <c r="R585" s="317"/>
      <c r="U585" s="320"/>
    </row>
    <row r="586" spans="1:21" s="312" customFormat="1" outlineLevel="1">
      <c r="A586" s="345"/>
      <c r="B586" s="345"/>
      <c r="C586" s="405"/>
      <c r="D586" s="326"/>
      <c r="E586" s="462">
        <f>E585</f>
        <v>6879682.7000000002</v>
      </c>
      <c r="F586" s="462">
        <f t="shared" ref="F586:P586" si="483">F585</f>
        <v>0</v>
      </c>
      <c r="G586" s="462">
        <f t="shared" si="483"/>
        <v>5500000</v>
      </c>
      <c r="H586" s="462">
        <f t="shared" si="483"/>
        <v>500000</v>
      </c>
      <c r="I586" s="462">
        <f t="shared" si="483"/>
        <v>12879682.699999999</v>
      </c>
      <c r="J586" s="462">
        <f t="shared" si="483"/>
        <v>0</v>
      </c>
      <c r="K586" s="462">
        <f t="shared" si="483"/>
        <v>-1660</v>
      </c>
      <c r="L586" s="317">
        <f t="shared" si="475"/>
        <v>12878022.699999999</v>
      </c>
      <c r="M586" s="317"/>
      <c r="N586" s="372">
        <f t="shared" si="480"/>
        <v>1660</v>
      </c>
      <c r="O586" s="462">
        <f t="shared" si="483"/>
        <v>14165824.970000003</v>
      </c>
      <c r="P586" s="462">
        <f t="shared" si="483"/>
        <v>15582407.467000002</v>
      </c>
      <c r="R586" s="317"/>
      <c r="U586" s="320"/>
    </row>
    <row r="587" spans="1:21" s="312" customFormat="1" outlineLevel="1">
      <c r="A587" s="345"/>
      <c r="B587" s="345"/>
      <c r="C587" s="347"/>
      <c r="D587" s="345"/>
      <c r="E587" s="477"/>
      <c r="F587" s="406"/>
      <c r="G587" s="406"/>
      <c r="H587" s="406"/>
      <c r="I587" s="324">
        <f t="shared" si="478"/>
        <v>0</v>
      </c>
      <c r="J587" s="459"/>
      <c r="K587" s="463"/>
      <c r="L587" s="317">
        <f t="shared" si="475"/>
        <v>0</v>
      </c>
      <c r="M587" s="317"/>
      <c r="N587" s="372">
        <f t="shared" si="480"/>
        <v>0</v>
      </c>
      <c r="O587" s="336">
        <f t="shared" ref="O587:O613" si="484">L587*1.1</f>
        <v>0</v>
      </c>
      <c r="P587" s="336">
        <f t="shared" ref="P587:P613" si="485">O587*1.1</f>
        <v>0</v>
      </c>
      <c r="R587" s="317"/>
      <c r="U587" s="320"/>
    </row>
    <row r="588" spans="1:21" s="312" customFormat="1" outlineLevel="1">
      <c r="A588" s="326"/>
      <c r="B588" s="326"/>
      <c r="C588" s="400" t="s">
        <v>1797</v>
      </c>
      <c r="D588" s="400"/>
      <c r="E588" s="501"/>
      <c r="F588" s="459"/>
      <c r="G588" s="459"/>
      <c r="H588" s="459"/>
      <c r="I588" s="324">
        <f t="shared" si="478"/>
        <v>0</v>
      </c>
      <c r="J588" s="462"/>
      <c r="K588" s="463"/>
      <c r="L588" s="317">
        <f t="shared" si="475"/>
        <v>0</v>
      </c>
      <c r="M588" s="317"/>
      <c r="N588" s="372">
        <f t="shared" si="480"/>
        <v>0</v>
      </c>
      <c r="O588" s="336">
        <f t="shared" si="484"/>
        <v>0</v>
      </c>
      <c r="P588" s="336">
        <f t="shared" si="485"/>
        <v>0</v>
      </c>
      <c r="R588" s="317"/>
      <c r="U588" s="320"/>
    </row>
    <row r="589" spans="1:21" s="312" customFormat="1" outlineLevel="1">
      <c r="A589" s="326"/>
      <c r="B589" s="326"/>
      <c r="C589" s="328">
        <v>2210100</v>
      </c>
      <c r="D589" s="326" t="s">
        <v>16</v>
      </c>
      <c r="E589" s="462">
        <f>E590+E591</f>
        <v>116000</v>
      </c>
      <c r="F589" s="462">
        <f t="shared" ref="F589:K589" si="486">F590+F591</f>
        <v>0</v>
      </c>
      <c r="G589" s="462">
        <f t="shared" si="486"/>
        <v>0</v>
      </c>
      <c r="H589" s="462">
        <f t="shared" si="486"/>
        <v>0</v>
      </c>
      <c r="I589" s="462">
        <f t="shared" si="486"/>
        <v>116000</v>
      </c>
      <c r="J589" s="462">
        <f t="shared" si="486"/>
        <v>0</v>
      </c>
      <c r="K589" s="462">
        <f t="shared" si="486"/>
        <v>-58000</v>
      </c>
      <c r="L589" s="317">
        <f t="shared" si="475"/>
        <v>58000</v>
      </c>
      <c r="M589" s="317"/>
      <c r="N589" s="372">
        <f t="shared" si="480"/>
        <v>58000</v>
      </c>
      <c r="O589" s="462">
        <f t="shared" ref="O589:P589" si="487">O590+O591</f>
        <v>63800.000000000007</v>
      </c>
      <c r="P589" s="462">
        <f t="shared" si="487"/>
        <v>70180.000000000015</v>
      </c>
      <c r="R589" s="317"/>
      <c r="U589" s="320"/>
    </row>
    <row r="590" spans="1:21" s="312" customFormat="1" outlineLevel="1">
      <c r="A590" s="326"/>
      <c r="B590" s="326"/>
      <c r="C590" s="405">
        <v>2210101</v>
      </c>
      <c r="D590" s="345" t="s">
        <v>17</v>
      </c>
      <c r="E590" s="406">
        <v>58000</v>
      </c>
      <c r="F590" s="406"/>
      <c r="G590" s="406"/>
      <c r="H590" s="406"/>
      <c r="I590" s="324">
        <f t="shared" si="478"/>
        <v>58000</v>
      </c>
      <c r="J590" s="406"/>
      <c r="K590" s="463">
        <v>-58000</v>
      </c>
      <c r="L590" s="317">
        <f t="shared" si="475"/>
        <v>0</v>
      </c>
      <c r="M590" s="317"/>
      <c r="N590" s="372">
        <f t="shared" si="480"/>
        <v>58000</v>
      </c>
      <c r="O590" s="336">
        <f t="shared" si="484"/>
        <v>0</v>
      </c>
      <c r="P590" s="336">
        <f t="shared" si="485"/>
        <v>0</v>
      </c>
      <c r="R590" s="317"/>
      <c r="U590" s="320"/>
    </row>
    <row r="591" spans="1:21" s="312" customFormat="1" outlineLevel="1">
      <c r="A591" s="326"/>
      <c r="B591" s="326"/>
      <c r="C591" s="405">
        <v>2210102</v>
      </c>
      <c r="D591" s="345" t="s">
        <v>18</v>
      </c>
      <c r="E591" s="406">
        <v>58000</v>
      </c>
      <c r="F591" s="406"/>
      <c r="G591" s="406"/>
      <c r="H591" s="406"/>
      <c r="I591" s="324">
        <f t="shared" si="478"/>
        <v>58000</v>
      </c>
      <c r="J591" s="502"/>
      <c r="K591" s="463"/>
      <c r="L591" s="317">
        <f t="shared" si="475"/>
        <v>58000</v>
      </c>
      <c r="M591" s="317"/>
      <c r="N591" s="372">
        <f t="shared" si="480"/>
        <v>0</v>
      </c>
      <c r="O591" s="336">
        <f t="shared" si="484"/>
        <v>63800.000000000007</v>
      </c>
      <c r="P591" s="336">
        <f t="shared" si="485"/>
        <v>70180.000000000015</v>
      </c>
      <c r="R591" s="317"/>
      <c r="U591" s="320"/>
    </row>
    <row r="592" spans="1:21" s="312" customFormat="1" outlineLevel="1">
      <c r="A592" s="345"/>
      <c r="B592" s="345"/>
      <c r="C592" s="327">
        <v>2210200</v>
      </c>
      <c r="D592" s="400" t="s">
        <v>20</v>
      </c>
      <c r="E592" s="502">
        <f>SUM(E593:E594)</f>
        <v>174000</v>
      </c>
      <c r="F592" s="502">
        <f t="shared" ref="F592:I592" si="488">SUM(F593:F594)</f>
        <v>0</v>
      </c>
      <c r="G592" s="502">
        <f t="shared" si="488"/>
        <v>0</v>
      </c>
      <c r="H592" s="502">
        <f t="shared" si="488"/>
        <v>0</v>
      </c>
      <c r="I592" s="502">
        <f t="shared" si="488"/>
        <v>174000</v>
      </c>
      <c r="J592" s="348"/>
      <c r="K592" s="478">
        <f t="shared" ref="K592" si="489">K593+K594</f>
        <v>0</v>
      </c>
      <c r="L592" s="317">
        <f t="shared" si="475"/>
        <v>174000</v>
      </c>
      <c r="M592" s="317"/>
      <c r="N592" s="372">
        <f t="shared" si="480"/>
        <v>0</v>
      </c>
      <c r="O592" s="502">
        <f t="shared" ref="O592:P592" si="490">SUM(O593:O594)</f>
        <v>191400.00000000003</v>
      </c>
      <c r="P592" s="502">
        <f t="shared" si="490"/>
        <v>210540.00000000006</v>
      </c>
      <c r="R592" s="317"/>
      <c r="U592" s="320"/>
    </row>
    <row r="593" spans="1:21" s="312" customFormat="1" outlineLevel="1">
      <c r="A593" s="345"/>
      <c r="B593" s="345"/>
      <c r="C593" s="346">
        <v>2210201</v>
      </c>
      <c r="D593" s="347" t="s">
        <v>21</v>
      </c>
      <c r="E593" s="406">
        <v>116000</v>
      </c>
      <c r="F593" s="348"/>
      <c r="G593" s="348"/>
      <c r="H593" s="348"/>
      <c r="I593" s="324">
        <f t="shared" si="478"/>
        <v>116000</v>
      </c>
      <c r="J593" s="348"/>
      <c r="K593" s="463"/>
      <c r="L593" s="317">
        <f t="shared" si="475"/>
        <v>116000</v>
      </c>
      <c r="M593" s="317"/>
      <c r="N593" s="372">
        <f t="shared" si="480"/>
        <v>0</v>
      </c>
      <c r="O593" s="336">
        <f t="shared" si="484"/>
        <v>127600.00000000001</v>
      </c>
      <c r="P593" s="336">
        <f t="shared" si="485"/>
        <v>140360.00000000003</v>
      </c>
      <c r="R593" s="317"/>
      <c r="U593" s="320"/>
    </row>
    <row r="594" spans="1:21" s="312" customFormat="1" outlineLevel="1">
      <c r="A594" s="326"/>
      <c r="B594" s="326"/>
      <c r="C594" s="346">
        <v>2210202</v>
      </c>
      <c r="D594" s="347" t="s">
        <v>22</v>
      </c>
      <c r="E594" s="406">
        <v>58000</v>
      </c>
      <c r="F594" s="348"/>
      <c r="G594" s="348"/>
      <c r="H594" s="348"/>
      <c r="I594" s="324">
        <f t="shared" si="478"/>
        <v>58000</v>
      </c>
      <c r="J594" s="502"/>
      <c r="K594" s="463"/>
      <c r="L594" s="317">
        <f t="shared" si="475"/>
        <v>58000</v>
      </c>
      <c r="M594" s="317"/>
      <c r="N594" s="372">
        <f t="shared" si="480"/>
        <v>0</v>
      </c>
      <c r="O594" s="336">
        <f t="shared" si="484"/>
        <v>63800.000000000007</v>
      </c>
      <c r="P594" s="336">
        <f t="shared" si="485"/>
        <v>70180.000000000015</v>
      </c>
      <c r="R594" s="317"/>
      <c r="U594" s="320"/>
    </row>
    <row r="595" spans="1:21" s="312" customFormat="1" outlineLevel="1">
      <c r="A595" s="345"/>
      <c r="B595" s="345"/>
      <c r="C595" s="327">
        <v>2210300</v>
      </c>
      <c r="D595" s="400" t="s">
        <v>24</v>
      </c>
      <c r="E595" s="502">
        <f>SUM(E596:E598)</f>
        <v>1364000</v>
      </c>
      <c r="F595" s="502">
        <f t="shared" ref="F595:K595" si="491">SUM(F596:F598)</f>
        <v>0</v>
      </c>
      <c r="G595" s="502">
        <f t="shared" si="491"/>
        <v>0</v>
      </c>
      <c r="H595" s="502">
        <f t="shared" si="491"/>
        <v>0</v>
      </c>
      <c r="I595" s="502">
        <f t="shared" si="491"/>
        <v>1364000</v>
      </c>
      <c r="J595" s="502">
        <f t="shared" si="491"/>
        <v>0</v>
      </c>
      <c r="K595" s="502">
        <f t="shared" si="491"/>
        <v>500000</v>
      </c>
      <c r="L595" s="317">
        <f t="shared" si="475"/>
        <v>1864000</v>
      </c>
      <c r="M595" s="317"/>
      <c r="N595" s="372">
        <f t="shared" si="480"/>
        <v>-500000</v>
      </c>
      <c r="O595" s="502">
        <f t="shared" ref="O595:P595" si="492">SUM(O596:O598)</f>
        <v>2070200</v>
      </c>
      <c r="P595" s="502">
        <f t="shared" si="492"/>
        <v>2277220</v>
      </c>
      <c r="R595" s="317"/>
      <c r="U595" s="320"/>
    </row>
    <row r="596" spans="1:21" s="312" customFormat="1" outlineLevel="1">
      <c r="A596" s="345"/>
      <c r="B596" s="345"/>
      <c r="C596" s="346">
        <v>2210301</v>
      </c>
      <c r="D596" s="347" t="s">
        <v>25</v>
      </c>
      <c r="E596" s="406">
        <v>432000</v>
      </c>
      <c r="F596" s="348"/>
      <c r="G596" s="348"/>
      <c r="H596" s="348"/>
      <c r="I596" s="324">
        <f t="shared" si="478"/>
        <v>432000</v>
      </c>
      <c r="J596" s="348"/>
      <c r="K596" s="463">
        <v>150000</v>
      </c>
      <c r="L596" s="317">
        <f t="shared" si="475"/>
        <v>582000</v>
      </c>
      <c r="M596" s="317"/>
      <c r="N596" s="372">
        <f t="shared" si="480"/>
        <v>-150000</v>
      </c>
      <c r="O596" s="336">
        <f>L596*1.1</f>
        <v>640200</v>
      </c>
      <c r="P596" s="336">
        <f>O596*1.1</f>
        <v>704220</v>
      </c>
      <c r="R596" s="317"/>
      <c r="U596" s="320"/>
    </row>
    <row r="597" spans="1:21" s="312" customFormat="1" outlineLevel="1">
      <c r="A597" s="345"/>
      <c r="B597" s="345"/>
      <c r="C597" s="346">
        <v>2210302</v>
      </c>
      <c r="D597" s="347" t="s">
        <v>26</v>
      </c>
      <c r="E597" s="406">
        <v>520000</v>
      </c>
      <c r="F597" s="348"/>
      <c r="G597" s="348"/>
      <c r="H597" s="348"/>
      <c r="I597" s="324">
        <f t="shared" si="478"/>
        <v>520000</v>
      </c>
      <c r="J597" s="348"/>
      <c r="K597" s="463">
        <v>200000</v>
      </c>
      <c r="L597" s="317">
        <f t="shared" si="475"/>
        <v>720000</v>
      </c>
      <c r="M597" s="317"/>
      <c r="N597" s="372">
        <f t="shared" si="480"/>
        <v>-200000</v>
      </c>
      <c r="O597" s="336">
        <f t="shared" si="484"/>
        <v>792000.00000000012</v>
      </c>
      <c r="P597" s="336">
        <f t="shared" si="485"/>
        <v>871200.00000000023</v>
      </c>
      <c r="R597" s="317"/>
      <c r="U597" s="320"/>
    </row>
    <row r="598" spans="1:21" s="312" customFormat="1" outlineLevel="1">
      <c r="A598" s="326"/>
      <c r="B598" s="326"/>
      <c r="C598" s="346">
        <v>2210303</v>
      </c>
      <c r="D598" s="347" t="s">
        <v>27</v>
      </c>
      <c r="E598" s="406">
        <v>412000</v>
      </c>
      <c r="F598" s="348"/>
      <c r="G598" s="348"/>
      <c r="H598" s="348"/>
      <c r="I598" s="324">
        <f t="shared" si="478"/>
        <v>412000</v>
      </c>
      <c r="J598" s="502"/>
      <c r="K598" s="463">
        <v>150000</v>
      </c>
      <c r="L598" s="317">
        <f t="shared" si="475"/>
        <v>562000</v>
      </c>
      <c r="M598" s="317"/>
      <c r="N598" s="372">
        <f t="shared" si="480"/>
        <v>-150000</v>
      </c>
      <c r="O598" s="336">
        <f t="shared" ref="O598:P598" si="493">SUM(O599:O600)</f>
        <v>638000</v>
      </c>
      <c r="P598" s="336">
        <f t="shared" si="493"/>
        <v>701800</v>
      </c>
      <c r="R598" s="317"/>
      <c r="U598" s="320"/>
    </row>
    <row r="599" spans="1:21" s="312" customFormat="1" outlineLevel="1">
      <c r="A599" s="345"/>
      <c r="B599" s="345"/>
      <c r="C599" s="327">
        <v>2210500</v>
      </c>
      <c r="D599" s="400" t="s">
        <v>31</v>
      </c>
      <c r="E599" s="502">
        <f>SUM(E600:E600)</f>
        <v>290000</v>
      </c>
      <c r="F599" s="502">
        <f t="shared" ref="F599:P599" si="494">SUM(F600:F600)</f>
        <v>0</v>
      </c>
      <c r="G599" s="502">
        <f t="shared" si="494"/>
        <v>0</v>
      </c>
      <c r="H599" s="502">
        <f t="shared" si="494"/>
        <v>0</v>
      </c>
      <c r="I599" s="502">
        <f t="shared" si="494"/>
        <v>290000</v>
      </c>
      <c r="J599" s="502">
        <f t="shared" si="494"/>
        <v>0</v>
      </c>
      <c r="K599" s="502">
        <f t="shared" si="494"/>
        <v>0</v>
      </c>
      <c r="L599" s="317">
        <f t="shared" si="475"/>
        <v>290000</v>
      </c>
      <c r="M599" s="317"/>
      <c r="N599" s="372">
        <f t="shared" si="480"/>
        <v>0</v>
      </c>
      <c r="O599" s="502">
        <f t="shared" si="494"/>
        <v>319000</v>
      </c>
      <c r="P599" s="502">
        <f t="shared" si="494"/>
        <v>350900</v>
      </c>
      <c r="R599" s="317"/>
      <c r="U599" s="320"/>
    </row>
    <row r="600" spans="1:21" s="312" customFormat="1" outlineLevel="1">
      <c r="A600" s="345"/>
      <c r="B600" s="345"/>
      <c r="C600" s="346">
        <v>2210503</v>
      </c>
      <c r="D600" s="347" t="s">
        <v>32</v>
      </c>
      <c r="E600" s="406">
        <v>290000</v>
      </c>
      <c r="F600" s="348"/>
      <c r="G600" s="348"/>
      <c r="H600" s="348"/>
      <c r="I600" s="324">
        <f t="shared" si="478"/>
        <v>290000</v>
      </c>
      <c r="J600" s="502"/>
      <c r="K600" s="463"/>
      <c r="L600" s="317">
        <f t="shared" si="475"/>
        <v>290000</v>
      </c>
      <c r="M600" s="317"/>
      <c r="N600" s="372">
        <f t="shared" si="480"/>
        <v>0</v>
      </c>
      <c r="O600" s="336">
        <f t="shared" si="484"/>
        <v>319000</v>
      </c>
      <c r="P600" s="336">
        <f t="shared" si="485"/>
        <v>350900</v>
      </c>
      <c r="R600" s="317"/>
      <c r="U600" s="320"/>
    </row>
    <row r="601" spans="1:21" s="312" customFormat="1" outlineLevel="1">
      <c r="A601" s="345"/>
      <c r="B601" s="345"/>
      <c r="C601" s="327">
        <v>2210700</v>
      </c>
      <c r="D601" s="400" t="s">
        <v>35</v>
      </c>
      <c r="E601" s="502">
        <f>SUM(E602:E603)</f>
        <v>183000</v>
      </c>
      <c r="F601" s="502">
        <f t="shared" ref="F601:K601" si="495">SUM(F602:F603)</f>
        <v>0</v>
      </c>
      <c r="G601" s="502">
        <f t="shared" si="495"/>
        <v>0</v>
      </c>
      <c r="H601" s="502">
        <f t="shared" si="495"/>
        <v>0</v>
      </c>
      <c r="I601" s="502">
        <f t="shared" si="495"/>
        <v>183000</v>
      </c>
      <c r="J601" s="502">
        <f t="shared" si="495"/>
        <v>0</v>
      </c>
      <c r="K601" s="502">
        <f t="shared" si="495"/>
        <v>400000</v>
      </c>
      <c r="L601" s="317">
        <f t="shared" si="475"/>
        <v>583000</v>
      </c>
      <c r="M601" s="317"/>
      <c r="N601" s="372">
        <f t="shared" si="480"/>
        <v>-400000</v>
      </c>
      <c r="O601" s="502">
        <f t="shared" ref="O601:P601" si="496">SUM(O602:O603)</f>
        <v>641300</v>
      </c>
      <c r="P601" s="502">
        <f t="shared" si="496"/>
        <v>705430.00000000012</v>
      </c>
      <c r="R601" s="317"/>
      <c r="U601" s="320"/>
    </row>
    <row r="602" spans="1:21" s="312" customFormat="1" outlineLevel="1">
      <c r="A602" s="345"/>
      <c r="B602" s="345"/>
      <c r="C602" s="346">
        <v>2210710</v>
      </c>
      <c r="D602" s="347" t="s">
        <v>39</v>
      </c>
      <c r="E602" s="406">
        <v>43000</v>
      </c>
      <c r="F602" s="348"/>
      <c r="G602" s="348"/>
      <c r="H602" s="348"/>
      <c r="I602" s="324">
        <f t="shared" si="478"/>
        <v>43000</v>
      </c>
      <c r="J602" s="348"/>
      <c r="K602" s="463">
        <v>400000</v>
      </c>
      <c r="L602" s="317">
        <f t="shared" si="475"/>
        <v>443000</v>
      </c>
      <c r="M602" s="317"/>
      <c r="N602" s="372">
        <f t="shared" si="480"/>
        <v>-400000</v>
      </c>
      <c r="O602" s="336">
        <f t="shared" si="484"/>
        <v>487300.00000000006</v>
      </c>
      <c r="P602" s="336">
        <f t="shared" si="485"/>
        <v>536030.00000000012</v>
      </c>
      <c r="R602" s="317"/>
      <c r="U602" s="320"/>
    </row>
    <row r="603" spans="1:21" s="312" customFormat="1" outlineLevel="1">
      <c r="A603" s="326"/>
      <c r="B603" s="326"/>
      <c r="C603" s="346">
        <v>2210799</v>
      </c>
      <c r="D603" s="347" t="s">
        <v>2059</v>
      </c>
      <c r="E603" s="406">
        <v>140000</v>
      </c>
      <c r="F603" s="348"/>
      <c r="G603" s="348"/>
      <c r="H603" s="348"/>
      <c r="I603" s="324">
        <f t="shared" si="478"/>
        <v>140000</v>
      </c>
      <c r="J603" s="502"/>
      <c r="K603" s="463"/>
      <c r="L603" s="317">
        <f t="shared" si="475"/>
        <v>140000</v>
      </c>
      <c r="M603" s="317"/>
      <c r="N603" s="372">
        <f t="shared" si="480"/>
        <v>0</v>
      </c>
      <c r="O603" s="336">
        <f>L603*1.1</f>
        <v>154000</v>
      </c>
      <c r="P603" s="336">
        <f>O603*1.1</f>
        <v>169400</v>
      </c>
      <c r="R603" s="317"/>
      <c r="U603" s="320"/>
    </row>
    <row r="604" spans="1:21" s="312" customFormat="1" outlineLevel="1">
      <c r="A604" s="345"/>
      <c r="B604" s="345"/>
      <c r="C604" s="327">
        <v>2210800</v>
      </c>
      <c r="D604" s="400" t="s">
        <v>42</v>
      </c>
      <c r="E604" s="502">
        <f>SUM(E605:E605)</f>
        <v>290473.59999999998</v>
      </c>
      <c r="F604" s="502">
        <f t="shared" ref="F604:P604" si="497">SUM(F605:F605)</f>
        <v>0</v>
      </c>
      <c r="G604" s="502">
        <f t="shared" si="497"/>
        <v>0</v>
      </c>
      <c r="H604" s="502">
        <f t="shared" si="497"/>
        <v>0</v>
      </c>
      <c r="I604" s="502">
        <f t="shared" si="497"/>
        <v>290473.59999999998</v>
      </c>
      <c r="J604" s="502">
        <f t="shared" si="497"/>
        <v>0</v>
      </c>
      <c r="K604" s="502">
        <f t="shared" si="497"/>
        <v>220000</v>
      </c>
      <c r="L604" s="317">
        <f t="shared" si="475"/>
        <v>510473.6</v>
      </c>
      <c r="M604" s="317"/>
      <c r="N604" s="372">
        <f t="shared" si="480"/>
        <v>-220000</v>
      </c>
      <c r="O604" s="502">
        <f t="shared" si="497"/>
        <v>561520.96</v>
      </c>
      <c r="P604" s="502">
        <f t="shared" si="497"/>
        <v>617673.05599999998</v>
      </c>
      <c r="R604" s="317"/>
      <c r="U604" s="320"/>
    </row>
    <row r="605" spans="1:21" s="312" customFormat="1" outlineLevel="1">
      <c r="A605" s="326"/>
      <c r="B605" s="326"/>
      <c r="C605" s="346">
        <v>2210801</v>
      </c>
      <c r="D605" s="347" t="s">
        <v>2421</v>
      </c>
      <c r="E605" s="406">
        <v>290473.59999999998</v>
      </c>
      <c r="F605" s="348"/>
      <c r="G605" s="348"/>
      <c r="H605" s="348"/>
      <c r="I605" s="324">
        <f t="shared" si="478"/>
        <v>290473.59999999998</v>
      </c>
      <c r="J605" s="502"/>
      <c r="K605" s="463">
        <v>220000</v>
      </c>
      <c r="L605" s="317">
        <f t="shared" si="475"/>
        <v>510473.6</v>
      </c>
      <c r="M605" s="317"/>
      <c r="N605" s="372">
        <f t="shared" si="480"/>
        <v>-220000</v>
      </c>
      <c r="O605" s="336">
        <f t="shared" si="484"/>
        <v>561520.96</v>
      </c>
      <c r="P605" s="336">
        <f t="shared" si="485"/>
        <v>617673.05599999998</v>
      </c>
      <c r="R605" s="317"/>
      <c r="U605" s="320"/>
    </row>
    <row r="606" spans="1:21" s="312" customFormat="1" outlineLevel="1">
      <c r="A606" s="345"/>
      <c r="B606" s="345"/>
      <c r="C606" s="327">
        <v>2211100</v>
      </c>
      <c r="D606" s="400" t="s">
        <v>51</v>
      </c>
      <c r="E606" s="502">
        <f>SUM(E607:E609)</f>
        <v>616580</v>
      </c>
      <c r="F606" s="502">
        <f t="shared" ref="F606:P606" si="498">SUM(F607:F609)</f>
        <v>0</v>
      </c>
      <c r="G606" s="502">
        <f t="shared" si="498"/>
        <v>0</v>
      </c>
      <c r="H606" s="502">
        <f t="shared" si="498"/>
        <v>0</v>
      </c>
      <c r="I606" s="502">
        <f t="shared" si="498"/>
        <v>616580</v>
      </c>
      <c r="J606" s="502">
        <f t="shared" si="498"/>
        <v>0</v>
      </c>
      <c r="K606" s="502">
        <f t="shared" si="498"/>
        <v>-116000</v>
      </c>
      <c r="L606" s="317">
        <f t="shared" si="475"/>
        <v>500580</v>
      </c>
      <c r="M606" s="317"/>
      <c r="N606" s="372">
        <f t="shared" si="480"/>
        <v>116000</v>
      </c>
      <c r="O606" s="502">
        <f t="shared" si="498"/>
        <v>550638</v>
      </c>
      <c r="P606" s="502">
        <f t="shared" si="498"/>
        <v>605701.80000000005</v>
      </c>
      <c r="R606" s="317"/>
      <c r="U606" s="320"/>
    </row>
    <row r="607" spans="1:21" s="312" customFormat="1" outlineLevel="1">
      <c r="A607" s="345"/>
      <c r="B607" s="345"/>
      <c r="C607" s="346">
        <v>2211101</v>
      </c>
      <c r="D607" s="347" t="s">
        <v>52</v>
      </c>
      <c r="E607" s="406">
        <v>290000</v>
      </c>
      <c r="F607" s="348"/>
      <c r="G607" s="348"/>
      <c r="H607" s="348"/>
      <c r="I607" s="324">
        <f t="shared" si="478"/>
        <v>290000</v>
      </c>
      <c r="J607" s="348"/>
      <c r="K607" s="463"/>
      <c r="L607" s="317">
        <f t="shared" si="475"/>
        <v>290000</v>
      </c>
      <c r="M607" s="317"/>
      <c r="N607" s="372">
        <f t="shared" si="480"/>
        <v>0</v>
      </c>
      <c r="O607" s="336">
        <f>L607*1.1</f>
        <v>319000</v>
      </c>
      <c r="P607" s="336">
        <f>O607*1.1</f>
        <v>350900</v>
      </c>
      <c r="R607" s="317"/>
      <c r="U607" s="320"/>
    </row>
    <row r="608" spans="1:21" s="312" customFormat="1" outlineLevel="1">
      <c r="A608" s="345"/>
      <c r="B608" s="345"/>
      <c r="C608" s="346">
        <v>2211102</v>
      </c>
      <c r="D608" s="347" t="s">
        <v>53</v>
      </c>
      <c r="E608" s="406">
        <v>210520</v>
      </c>
      <c r="F608" s="348"/>
      <c r="G608" s="348"/>
      <c r="H608" s="348"/>
      <c r="I608" s="324">
        <f t="shared" si="478"/>
        <v>210520</v>
      </c>
      <c r="J608" s="348"/>
      <c r="K608" s="463"/>
      <c r="L608" s="317">
        <f t="shared" si="475"/>
        <v>210520</v>
      </c>
      <c r="M608" s="317"/>
      <c r="N608" s="372">
        <f t="shared" si="480"/>
        <v>0</v>
      </c>
      <c r="O608" s="336">
        <f t="shared" si="484"/>
        <v>231572.00000000003</v>
      </c>
      <c r="P608" s="336">
        <f t="shared" si="485"/>
        <v>254729.20000000004</v>
      </c>
      <c r="R608" s="317"/>
      <c r="U608" s="320"/>
    </row>
    <row r="609" spans="1:21" s="312" customFormat="1" outlineLevel="1">
      <c r="A609" s="326"/>
      <c r="B609" s="326"/>
      <c r="C609" s="346">
        <v>2211103</v>
      </c>
      <c r="D609" s="347" t="s">
        <v>54</v>
      </c>
      <c r="E609" s="406">
        <v>116060</v>
      </c>
      <c r="F609" s="348"/>
      <c r="G609" s="348"/>
      <c r="H609" s="348"/>
      <c r="I609" s="324">
        <f t="shared" si="478"/>
        <v>116060</v>
      </c>
      <c r="J609" s="502"/>
      <c r="K609" s="463">
        <v>-116000</v>
      </c>
      <c r="L609" s="317">
        <f t="shared" si="475"/>
        <v>60</v>
      </c>
      <c r="M609" s="317"/>
      <c r="N609" s="372">
        <f t="shared" si="480"/>
        <v>116000</v>
      </c>
      <c r="O609" s="336">
        <f>L609*1.1</f>
        <v>66</v>
      </c>
      <c r="P609" s="336">
        <f>O609*1.1</f>
        <v>72.600000000000009</v>
      </c>
      <c r="R609" s="317"/>
      <c r="U609" s="320"/>
    </row>
    <row r="610" spans="1:21" s="312" customFormat="1" outlineLevel="1">
      <c r="A610" s="345"/>
      <c r="B610" s="345"/>
      <c r="C610" s="327">
        <v>2211200</v>
      </c>
      <c r="D610" s="400" t="s">
        <v>55</v>
      </c>
      <c r="E610" s="502">
        <f>SUM(E611)</f>
        <v>500000</v>
      </c>
      <c r="F610" s="502">
        <f t="shared" ref="F610:K610" si="499">SUM(F611)</f>
        <v>0</v>
      </c>
      <c r="G610" s="502">
        <f t="shared" si="499"/>
        <v>0</v>
      </c>
      <c r="H610" s="502">
        <f t="shared" si="499"/>
        <v>0</v>
      </c>
      <c r="I610" s="502">
        <f t="shared" si="499"/>
        <v>500000</v>
      </c>
      <c r="J610" s="502">
        <f t="shared" si="499"/>
        <v>0</v>
      </c>
      <c r="K610" s="502">
        <f t="shared" si="499"/>
        <v>0</v>
      </c>
      <c r="L610" s="317">
        <f t="shared" si="475"/>
        <v>500000</v>
      </c>
      <c r="M610" s="317"/>
      <c r="N610" s="372">
        <f t="shared" si="480"/>
        <v>0</v>
      </c>
      <c r="O610" s="502">
        <f t="shared" ref="O610:P610" si="500">SUM(O611)</f>
        <v>550000</v>
      </c>
      <c r="P610" s="502">
        <f t="shared" si="500"/>
        <v>605000</v>
      </c>
      <c r="R610" s="317"/>
      <c r="U610" s="320"/>
    </row>
    <row r="611" spans="1:21" s="312" customFormat="1" outlineLevel="1">
      <c r="A611" s="326"/>
      <c r="B611" s="326"/>
      <c r="C611" s="346">
        <v>2211201</v>
      </c>
      <c r="D611" s="347" t="s">
        <v>56</v>
      </c>
      <c r="E611" s="406">
        <v>500000</v>
      </c>
      <c r="F611" s="348"/>
      <c r="G611" s="348"/>
      <c r="H611" s="348"/>
      <c r="I611" s="324">
        <f t="shared" si="478"/>
        <v>500000</v>
      </c>
      <c r="J611" s="502"/>
      <c r="K611" s="463"/>
      <c r="L611" s="317">
        <f t="shared" si="475"/>
        <v>500000</v>
      </c>
      <c r="M611" s="317"/>
      <c r="N611" s="372">
        <f t="shared" si="480"/>
        <v>0</v>
      </c>
      <c r="O611" s="336">
        <f>L611*1.1</f>
        <v>550000</v>
      </c>
      <c r="P611" s="336">
        <f>O611*1.1</f>
        <v>605000</v>
      </c>
      <c r="R611" s="317"/>
      <c r="U611" s="320"/>
    </row>
    <row r="612" spans="1:21" s="312" customFormat="1" outlineLevel="1">
      <c r="A612" s="345"/>
      <c r="B612" s="345"/>
      <c r="C612" s="327">
        <v>2220100</v>
      </c>
      <c r="D612" s="400" t="s">
        <v>62</v>
      </c>
      <c r="E612" s="502">
        <f>SUM(E613)</f>
        <v>580000</v>
      </c>
      <c r="F612" s="502">
        <f t="shared" ref="F612:I612" si="501">SUM(F613)</f>
        <v>0</v>
      </c>
      <c r="G612" s="502">
        <f t="shared" si="501"/>
        <v>0</v>
      </c>
      <c r="H612" s="502">
        <f t="shared" si="501"/>
        <v>0</v>
      </c>
      <c r="I612" s="502">
        <f t="shared" si="501"/>
        <v>580000</v>
      </c>
      <c r="J612" s="348"/>
      <c r="K612" s="478">
        <f t="shared" ref="K612" si="502">K613</f>
        <v>0</v>
      </c>
      <c r="L612" s="317">
        <f t="shared" si="475"/>
        <v>580000</v>
      </c>
      <c r="M612" s="317"/>
      <c r="N612" s="372">
        <f t="shared" si="480"/>
        <v>0</v>
      </c>
      <c r="O612" s="502">
        <f t="shared" ref="O612:P612" si="503">SUM(O613)</f>
        <v>638000</v>
      </c>
      <c r="P612" s="502">
        <f t="shared" si="503"/>
        <v>701800</v>
      </c>
      <c r="R612" s="317"/>
      <c r="U612" s="320"/>
    </row>
    <row r="613" spans="1:21" s="312" customFormat="1" outlineLevel="1">
      <c r="A613" s="326"/>
      <c r="B613" s="326"/>
      <c r="C613" s="346">
        <v>2220101</v>
      </c>
      <c r="D613" s="347" t="s">
        <v>85</v>
      </c>
      <c r="E613" s="406">
        <v>580000</v>
      </c>
      <c r="F613" s="348"/>
      <c r="G613" s="348"/>
      <c r="H613" s="348"/>
      <c r="I613" s="324">
        <f t="shared" si="478"/>
        <v>580000</v>
      </c>
      <c r="J613" s="502"/>
      <c r="K613" s="463"/>
      <c r="L613" s="317">
        <f t="shared" si="475"/>
        <v>580000</v>
      </c>
      <c r="M613" s="317"/>
      <c r="N613" s="372">
        <f t="shared" si="480"/>
        <v>0</v>
      </c>
      <c r="O613" s="336">
        <f t="shared" si="484"/>
        <v>638000</v>
      </c>
      <c r="P613" s="336">
        <f t="shared" si="485"/>
        <v>701800</v>
      </c>
      <c r="R613" s="317"/>
      <c r="U613" s="320"/>
    </row>
    <row r="614" spans="1:21" s="312" customFormat="1" outlineLevel="1">
      <c r="A614" s="345"/>
      <c r="B614" s="345"/>
      <c r="C614" s="327">
        <v>3111000</v>
      </c>
      <c r="D614" s="400" t="s">
        <v>69</v>
      </c>
      <c r="E614" s="502">
        <f>SUM(E615:E616)</f>
        <v>865000</v>
      </c>
      <c r="F614" s="502">
        <f t="shared" ref="F614:K614" si="504">SUM(F615:F616)</f>
        <v>0</v>
      </c>
      <c r="G614" s="502">
        <f t="shared" si="504"/>
        <v>0</v>
      </c>
      <c r="H614" s="502">
        <f t="shared" si="504"/>
        <v>0</v>
      </c>
      <c r="I614" s="502">
        <f t="shared" si="504"/>
        <v>865000</v>
      </c>
      <c r="J614" s="502">
        <f t="shared" si="504"/>
        <v>0</v>
      </c>
      <c r="K614" s="502">
        <f t="shared" si="504"/>
        <v>-200000</v>
      </c>
      <c r="L614" s="317">
        <f t="shared" si="475"/>
        <v>665000</v>
      </c>
      <c r="M614" s="317"/>
      <c r="N614" s="372">
        <f t="shared" si="480"/>
        <v>200000</v>
      </c>
      <c r="O614" s="502">
        <f t="shared" ref="O614:P614" si="505">SUM(O615:O616)</f>
        <v>731500</v>
      </c>
      <c r="P614" s="502">
        <f t="shared" si="505"/>
        <v>804650</v>
      </c>
      <c r="R614" s="317"/>
      <c r="U614" s="320"/>
    </row>
    <row r="615" spans="1:21" s="312" customFormat="1" outlineLevel="1">
      <c r="A615" s="345"/>
      <c r="B615" s="345"/>
      <c r="C615" s="346" t="s">
        <v>98</v>
      </c>
      <c r="D615" s="347" t="s">
        <v>70</v>
      </c>
      <c r="E615" s="406">
        <v>345000</v>
      </c>
      <c r="F615" s="348"/>
      <c r="G615" s="348"/>
      <c r="H615" s="348"/>
      <c r="I615" s="324">
        <f t="shared" si="478"/>
        <v>345000</v>
      </c>
      <c r="J615" s="348"/>
      <c r="K615" s="463">
        <v>-200000</v>
      </c>
      <c r="L615" s="317">
        <f t="shared" si="475"/>
        <v>145000</v>
      </c>
      <c r="M615" s="317"/>
      <c r="N615" s="372">
        <f t="shared" si="480"/>
        <v>200000</v>
      </c>
      <c r="O615" s="336">
        <f>L615*1.1</f>
        <v>159500</v>
      </c>
      <c r="P615" s="336">
        <f>O615*1.1</f>
        <v>175450</v>
      </c>
      <c r="R615" s="317"/>
      <c r="U615" s="320"/>
    </row>
    <row r="616" spans="1:21" s="312" customFormat="1" outlineLevel="1">
      <c r="A616" s="345"/>
      <c r="B616" s="345"/>
      <c r="C616" s="346">
        <v>3111002</v>
      </c>
      <c r="D616" s="347" t="s">
        <v>71</v>
      </c>
      <c r="E616" s="406">
        <v>520000</v>
      </c>
      <c r="F616" s="348"/>
      <c r="G616" s="348"/>
      <c r="H616" s="348"/>
      <c r="I616" s="324">
        <f t="shared" si="478"/>
        <v>520000</v>
      </c>
      <c r="J616" s="461"/>
      <c r="K616" s="463"/>
      <c r="L616" s="317">
        <f t="shared" si="475"/>
        <v>520000</v>
      </c>
      <c r="M616" s="317"/>
      <c r="N616" s="372">
        <f t="shared" si="480"/>
        <v>0</v>
      </c>
      <c r="O616" s="471">
        <f>L616*1.1</f>
        <v>572000</v>
      </c>
      <c r="P616" s="471">
        <f>O616*1.1</f>
        <v>629200</v>
      </c>
      <c r="R616" s="317"/>
      <c r="U616" s="320"/>
    </row>
    <row r="617" spans="1:21" s="312" customFormat="1" outlineLevel="1">
      <c r="A617" s="345"/>
      <c r="B617" s="345"/>
      <c r="C617" s="475"/>
      <c r="D617" s="400"/>
      <c r="E617" s="461">
        <f>E618</f>
        <v>0</v>
      </c>
      <c r="F617" s="461">
        <f t="shared" ref="F617:P617" si="506">F618</f>
        <v>0</v>
      </c>
      <c r="G617" s="461">
        <f t="shared" si="506"/>
        <v>0</v>
      </c>
      <c r="H617" s="461">
        <f t="shared" si="506"/>
        <v>0</v>
      </c>
      <c r="I617" s="461">
        <f t="shared" si="506"/>
        <v>0</v>
      </c>
      <c r="J617" s="348"/>
      <c r="K617" s="463"/>
      <c r="L617" s="317">
        <f t="shared" si="475"/>
        <v>0</v>
      </c>
      <c r="M617" s="317"/>
      <c r="N617" s="372">
        <f t="shared" si="480"/>
        <v>0</v>
      </c>
      <c r="O617" s="461">
        <f t="shared" si="506"/>
        <v>0</v>
      </c>
      <c r="P617" s="461">
        <f t="shared" si="506"/>
        <v>0</v>
      </c>
      <c r="R617" s="317"/>
      <c r="U617" s="320"/>
    </row>
    <row r="618" spans="1:21" s="312" customFormat="1" outlineLevel="1">
      <c r="A618" s="345"/>
      <c r="B618" s="345"/>
      <c r="C618" s="473"/>
      <c r="D618" s="347"/>
      <c r="E618" s="406">
        <v>0</v>
      </c>
      <c r="F618" s="348"/>
      <c r="G618" s="348"/>
      <c r="H618" s="348"/>
      <c r="I618" s="324">
        <f t="shared" si="478"/>
        <v>0</v>
      </c>
      <c r="J618" s="502"/>
      <c r="K618" s="463"/>
      <c r="L618" s="317">
        <f t="shared" si="475"/>
        <v>0</v>
      </c>
      <c r="M618" s="317"/>
      <c r="N618" s="372">
        <f t="shared" si="480"/>
        <v>0</v>
      </c>
      <c r="O618" s="503">
        <v>0</v>
      </c>
      <c r="P618" s="503">
        <v>0</v>
      </c>
      <c r="R618" s="317"/>
      <c r="U618" s="320"/>
    </row>
    <row r="619" spans="1:21" s="312" customFormat="1" outlineLevel="1">
      <c r="A619" s="345"/>
      <c r="B619" s="345"/>
      <c r="C619" s="347"/>
      <c r="D619" s="400" t="s">
        <v>99</v>
      </c>
      <c r="E619" s="502">
        <f>E614+E612+E610+E606+E604+E599+E595+E592+E601+E617+E589</f>
        <v>4979053.5999999996</v>
      </c>
      <c r="F619" s="502">
        <f t="shared" ref="F619:P619" si="507">F614+F612+F610+F606+F604+F599+F595+F592+F601+F617+F589</f>
        <v>0</v>
      </c>
      <c r="G619" s="502">
        <f t="shared" si="507"/>
        <v>0</v>
      </c>
      <c r="H619" s="502">
        <f t="shared" si="507"/>
        <v>0</v>
      </c>
      <c r="I619" s="502">
        <f t="shared" si="507"/>
        <v>4979053.5999999996</v>
      </c>
      <c r="J619" s="502">
        <f t="shared" si="507"/>
        <v>0</v>
      </c>
      <c r="K619" s="502">
        <f t="shared" si="507"/>
        <v>746000</v>
      </c>
      <c r="L619" s="317">
        <f t="shared" si="475"/>
        <v>5725053.5999999996</v>
      </c>
      <c r="M619" s="317"/>
      <c r="N619" s="372">
        <f t="shared" si="480"/>
        <v>-746000</v>
      </c>
      <c r="O619" s="502">
        <f t="shared" si="507"/>
        <v>6317358.96</v>
      </c>
      <c r="P619" s="502">
        <f t="shared" si="507"/>
        <v>6949094.8559999997</v>
      </c>
      <c r="R619" s="317"/>
      <c r="U619" s="320"/>
    </row>
    <row r="620" spans="1:21" s="337" customFormat="1" outlineLevel="2">
      <c r="A620" s="345"/>
      <c r="B620" s="345"/>
      <c r="C620" s="347"/>
      <c r="D620" s="400" t="s">
        <v>84</v>
      </c>
      <c r="E620" s="502">
        <f>E619</f>
        <v>4979053.5999999996</v>
      </c>
      <c r="F620" s="502">
        <f t="shared" ref="F620:P620" si="508">F619</f>
        <v>0</v>
      </c>
      <c r="G620" s="502">
        <f t="shared" si="508"/>
        <v>0</v>
      </c>
      <c r="H620" s="502">
        <f t="shared" si="508"/>
        <v>0</v>
      </c>
      <c r="I620" s="502">
        <f t="shared" si="508"/>
        <v>4979053.5999999996</v>
      </c>
      <c r="J620" s="502">
        <f t="shared" si="508"/>
        <v>0</v>
      </c>
      <c r="K620" s="502">
        <f t="shared" si="508"/>
        <v>746000</v>
      </c>
      <c r="L620" s="317">
        <f t="shared" si="475"/>
        <v>5725053.5999999996</v>
      </c>
      <c r="M620" s="317"/>
      <c r="N620" s="372">
        <f t="shared" si="480"/>
        <v>-746000</v>
      </c>
      <c r="O620" s="502">
        <f t="shared" si="508"/>
        <v>6317358.96</v>
      </c>
      <c r="P620" s="502">
        <f t="shared" si="508"/>
        <v>6949094.8559999997</v>
      </c>
      <c r="R620" s="317"/>
      <c r="U620" s="320"/>
    </row>
    <row r="621" spans="1:21" outlineLevel="2">
      <c r="A621" s="345"/>
      <c r="B621" s="345"/>
      <c r="C621" s="347"/>
      <c r="D621" s="400"/>
      <c r="E621" s="502"/>
      <c r="F621" s="502"/>
      <c r="G621" s="502"/>
      <c r="H621" s="502"/>
      <c r="I621" s="502"/>
      <c r="J621" s="461"/>
      <c r="K621" s="463"/>
      <c r="L621" s="317">
        <f t="shared" si="475"/>
        <v>0</v>
      </c>
      <c r="M621" s="317"/>
      <c r="N621" s="372">
        <f t="shared" si="480"/>
        <v>0</v>
      </c>
      <c r="O621" s="502"/>
      <c r="P621" s="502"/>
      <c r="R621" s="317"/>
      <c r="U621" s="320"/>
    </row>
    <row r="622" spans="1:21" outlineLevel="2">
      <c r="A622" s="326"/>
      <c r="B622" s="326"/>
      <c r="C622" s="327" t="s">
        <v>1756</v>
      </c>
      <c r="D622" s="460"/>
      <c r="E622" s="462"/>
      <c r="F622" s="461"/>
      <c r="G622" s="461"/>
      <c r="H622" s="461"/>
      <c r="I622" s="324">
        <f t="shared" si="478"/>
        <v>0</v>
      </c>
      <c r="J622" s="462"/>
      <c r="K622" s="463"/>
      <c r="L622" s="317">
        <f t="shared" si="475"/>
        <v>0</v>
      </c>
      <c r="M622" s="317"/>
      <c r="N622" s="372">
        <f t="shared" si="480"/>
        <v>0</v>
      </c>
      <c r="O622" s="336">
        <f>L622*1.1</f>
        <v>0</v>
      </c>
      <c r="P622" s="336">
        <f t="shared" ref="P622:P624" si="509">O622*1.1</f>
        <v>0</v>
      </c>
      <c r="R622" s="317"/>
      <c r="U622" s="320"/>
    </row>
    <row r="623" spans="1:21" s="337" customFormat="1" outlineLevel="2">
      <c r="A623" s="345"/>
      <c r="B623" s="345"/>
      <c r="C623" s="328">
        <v>2210100</v>
      </c>
      <c r="D623" s="326" t="s">
        <v>16</v>
      </c>
      <c r="E623" s="462">
        <f>E624+E625</f>
        <v>116000</v>
      </c>
      <c r="F623" s="462">
        <f t="shared" ref="F623:K623" si="510">F624+F625</f>
        <v>0</v>
      </c>
      <c r="G623" s="462">
        <f t="shared" si="510"/>
        <v>0</v>
      </c>
      <c r="H623" s="462">
        <f t="shared" si="510"/>
        <v>0</v>
      </c>
      <c r="I623" s="462">
        <f t="shared" si="510"/>
        <v>116000</v>
      </c>
      <c r="J623" s="462">
        <f t="shared" si="510"/>
        <v>0</v>
      </c>
      <c r="K623" s="462">
        <f t="shared" si="510"/>
        <v>-58000</v>
      </c>
      <c r="L623" s="317">
        <f t="shared" si="475"/>
        <v>58000</v>
      </c>
      <c r="M623" s="317"/>
      <c r="N623" s="372">
        <f t="shared" si="480"/>
        <v>58000</v>
      </c>
      <c r="O623" s="462">
        <f t="shared" ref="O623:P623" si="511">O624+O625</f>
        <v>63800.000000000007</v>
      </c>
      <c r="P623" s="462">
        <f t="shared" si="511"/>
        <v>70180.000000000015</v>
      </c>
      <c r="R623" s="317"/>
      <c r="U623" s="320"/>
    </row>
    <row r="624" spans="1:21" outlineLevel="2">
      <c r="A624" s="345"/>
      <c r="B624" s="345"/>
      <c r="C624" s="405">
        <v>2210101</v>
      </c>
      <c r="D624" s="345" t="s">
        <v>17</v>
      </c>
      <c r="E624" s="406">
        <v>58000</v>
      </c>
      <c r="F624" s="406"/>
      <c r="G624" s="406"/>
      <c r="H624" s="406"/>
      <c r="I624" s="324">
        <f t="shared" si="478"/>
        <v>58000</v>
      </c>
      <c r="J624" s="406"/>
      <c r="K624" s="463">
        <v>-58000</v>
      </c>
      <c r="L624" s="317">
        <f t="shared" si="475"/>
        <v>0</v>
      </c>
      <c r="M624" s="317"/>
      <c r="N624" s="372">
        <f t="shared" si="480"/>
        <v>58000</v>
      </c>
      <c r="O624" s="336">
        <f>L624*1.1</f>
        <v>0</v>
      </c>
      <c r="P624" s="336">
        <f t="shared" si="509"/>
        <v>0</v>
      </c>
      <c r="R624" s="317"/>
      <c r="U624" s="320"/>
    </row>
    <row r="625" spans="1:21" outlineLevel="2">
      <c r="A625" s="326"/>
      <c r="B625" s="326"/>
      <c r="C625" s="405">
        <v>2210102</v>
      </c>
      <c r="D625" s="345" t="s">
        <v>18</v>
      </c>
      <c r="E625" s="406">
        <v>58000</v>
      </c>
      <c r="F625" s="406"/>
      <c r="G625" s="406"/>
      <c r="H625" s="406"/>
      <c r="I625" s="324">
        <f t="shared" si="478"/>
        <v>58000</v>
      </c>
      <c r="J625" s="462"/>
      <c r="K625" s="463"/>
      <c r="L625" s="317">
        <f t="shared" si="475"/>
        <v>58000</v>
      </c>
      <c r="M625" s="317"/>
      <c r="N625" s="372">
        <f t="shared" si="480"/>
        <v>0</v>
      </c>
      <c r="O625" s="336">
        <f t="shared" ref="O625:O660" si="512">L625*1.1</f>
        <v>63800.000000000007</v>
      </c>
      <c r="P625" s="336">
        <f t="shared" ref="P625:P660" si="513">O625*1.1</f>
        <v>70180.000000000015</v>
      </c>
      <c r="R625" s="317"/>
      <c r="U625" s="320"/>
    </row>
    <row r="626" spans="1:21" outlineLevel="2">
      <c r="A626" s="345"/>
      <c r="B626" s="345"/>
      <c r="C626" s="327">
        <v>2210200</v>
      </c>
      <c r="D626" s="460" t="s">
        <v>20</v>
      </c>
      <c r="E626" s="462">
        <f>SUM(E627:E628)</f>
        <v>133000</v>
      </c>
      <c r="F626" s="462">
        <f t="shared" ref="F626:K626" si="514">SUM(F627:F628)</f>
        <v>0</v>
      </c>
      <c r="G626" s="462">
        <f t="shared" si="514"/>
        <v>0</v>
      </c>
      <c r="H626" s="462">
        <f t="shared" si="514"/>
        <v>0</v>
      </c>
      <c r="I626" s="462">
        <f t="shared" si="514"/>
        <v>133000</v>
      </c>
      <c r="J626" s="462">
        <f t="shared" si="514"/>
        <v>0</v>
      </c>
      <c r="K626" s="462">
        <f t="shared" si="514"/>
        <v>-30000</v>
      </c>
      <c r="L626" s="317">
        <f t="shared" si="475"/>
        <v>103000</v>
      </c>
      <c r="M626" s="317"/>
      <c r="N626" s="372">
        <f t="shared" si="480"/>
        <v>30000</v>
      </c>
      <c r="O626" s="462">
        <f t="shared" ref="O626:P626" si="515">SUM(O627:O628)</f>
        <v>113300.00000000001</v>
      </c>
      <c r="P626" s="462">
        <f t="shared" si="515"/>
        <v>124630.00000000003</v>
      </c>
      <c r="R626" s="317"/>
      <c r="U626" s="320"/>
    </row>
    <row r="627" spans="1:21" outlineLevel="2">
      <c r="A627" s="345"/>
      <c r="B627" s="345"/>
      <c r="C627" s="346">
        <v>2210201</v>
      </c>
      <c r="D627" s="465" t="s">
        <v>21</v>
      </c>
      <c r="E627" s="406">
        <v>103000</v>
      </c>
      <c r="F627" s="406"/>
      <c r="G627" s="406"/>
      <c r="H627" s="406"/>
      <c r="I627" s="324">
        <f t="shared" si="478"/>
        <v>103000</v>
      </c>
      <c r="J627" s="406"/>
      <c r="K627" s="463"/>
      <c r="L627" s="317">
        <f t="shared" si="475"/>
        <v>103000</v>
      </c>
      <c r="M627" s="317"/>
      <c r="N627" s="372">
        <f t="shared" si="480"/>
        <v>0</v>
      </c>
      <c r="O627" s="336">
        <f t="shared" si="512"/>
        <v>113300.00000000001</v>
      </c>
      <c r="P627" s="336">
        <f t="shared" si="513"/>
        <v>124630.00000000003</v>
      </c>
      <c r="R627" s="317"/>
      <c r="U627" s="320"/>
    </row>
    <row r="628" spans="1:21" outlineLevel="2">
      <c r="A628" s="345"/>
      <c r="B628" s="345"/>
      <c r="C628" s="346">
        <v>2210202</v>
      </c>
      <c r="D628" s="465" t="s">
        <v>22</v>
      </c>
      <c r="E628" s="406">
        <v>30000</v>
      </c>
      <c r="F628" s="406"/>
      <c r="G628" s="406"/>
      <c r="H628" s="406"/>
      <c r="I628" s="324">
        <f t="shared" si="478"/>
        <v>30000</v>
      </c>
      <c r="J628" s="462"/>
      <c r="K628" s="463">
        <v>-30000</v>
      </c>
      <c r="L628" s="317">
        <f t="shared" si="475"/>
        <v>0</v>
      </c>
      <c r="M628" s="317"/>
      <c r="N628" s="372">
        <f t="shared" si="480"/>
        <v>30000</v>
      </c>
      <c r="O628" s="336">
        <f t="shared" si="512"/>
        <v>0</v>
      </c>
      <c r="P628" s="336">
        <f t="shared" si="513"/>
        <v>0</v>
      </c>
      <c r="R628" s="317"/>
      <c r="U628" s="320"/>
    </row>
    <row r="629" spans="1:21" outlineLevel="2">
      <c r="A629" s="326"/>
      <c r="B629" s="326"/>
      <c r="C629" s="327">
        <v>2210300</v>
      </c>
      <c r="D629" s="460" t="s">
        <v>24</v>
      </c>
      <c r="E629" s="462">
        <f>SUM(E630:E632)</f>
        <v>538000</v>
      </c>
      <c r="F629" s="462">
        <f t="shared" ref="F629:P629" si="516">SUM(F630:F632)</f>
        <v>0</v>
      </c>
      <c r="G629" s="462">
        <f t="shared" si="516"/>
        <v>0</v>
      </c>
      <c r="H629" s="462">
        <f t="shared" si="516"/>
        <v>0</v>
      </c>
      <c r="I629" s="462">
        <f t="shared" si="516"/>
        <v>538000</v>
      </c>
      <c r="J629" s="462">
        <f t="shared" si="516"/>
        <v>0</v>
      </c>
      <c r="K629" s="462">
        <f t="shared" si="516"/>
        <v>154000</v>
      </c>
      <c r="L629" s="317">
        <f t="shared" si="475"/>
        <v>692000</v>
      </c>
      <c r="M629" s="317"/>
      <c r="N629" s="372">
        <f t="shared" si="480"/>
        <v>-154000</v>
      </c>
      <c r="O629" s="462">
        <f t="shared" si="516"/>
        <v>761200</v>
      </c>
      <c r="P629" s="462">
        <f t="shared" si="516"/>
        <v>837320</v>
      </c>
      <c r="R629" s="317"/>
      <c r="U629" s="320"/>
    </row>
    <row r="630" spans="1:21" outlineLevel="2">
      <c r="A630" s="345"/>
      <c r="B630" s="345"/>
      <c r="C630" s="346">
        <v>2210301</v>
      </c>
      <c r="D630" s="465" t="s">
        <v>25</v>
      </c>
      <c r="E630" s="406">
        <v>250000</v>
      </c>
      <c r="F630" s="406"/>
      <c r="G630" s="406"/>
      <c r="H630" s="406"/>
      <c r="I630" s="324">
        <f t="shared" si="478"/>
        <v>250000</v>
      </c>
      <c r="J630" s="406"/>
      <c r="K630" s="463">
        <v>30000</v>
      </c>
      <c r="L630" s="317">
        <f t="shared" si="475"/>
        <v>280000</v>
      </c>
      <c r="M630" s="317"/>
      <c r="N630" s="372">
        <f t="shared" si="480"/>
        <v>-30000</v>
      </c>
      <c r="O630" s="464">
        <f>L630*1.1</f>
        <v>308000</v>
      </c>
      <c r="P630" s="464">
        <f>O630*1.1</f>
        <v>338800</v>
      </c>
      <c r="R630" s="317"/>
      <c r="U630" s="320"/>
    </row>
    <row r="631" spans="1:21" outlineLevel="2">
      <c r="A631" s="345"/>
      <c r="B631" s="345"/>
      <c r="C631" s="346">
        <v>2210302</v>
      </c>
      <c r="D631" s="465" t="s">
        <v>26</v>
      </c>
      <c r="E631" s="406">
        <v>168000</v>
      </c>
      <c r="F631" s="406"/>
      <c r="G631" s="406"/>
      <c r="H631" s="406"/>
      <c r="I631" s="324">
        <f t="shared" si="478"/>
        <v>168000</v>
      </c>
      <c r="J631" s="406"/>
      <c r="K631" s="463">
        <v>50000</v>
      </c>
      <c r="L631" s="317">
        <f t="shared" si="475"/>
        <v>218000</v>
      </c>
      <c r="M631" s="317"/>
      <c r="N631" s="372">
        <f t="shared" si="480"/>
        <v>-50000</v>
      </c>
      <c r="O631" s="336">
        <f t="shared" si="512"/>
        <v>239800.00000000003</v>
      </c>
      <c r="P631" s="336">
        <f t="shared" si="513"/>
        <v>263780.00000000006</v>
      </c>
      <c r="R631" s="317"/>
      <c r="U631" s="320"/>
    </row>
    <row r="632" spans="1:21" outlineLevel="2">
      <c r="A632" s="345"/>
      <c r="B632" s="345"/>
      <c r="C632" s="346">
        <v>2210303</v>
      </c>
      <c r="D632" s="465" t="s">
        <v>27</v>
      </c>
      <c r="E632" s="406">
        <v>120000</v>
      </c>
      <c r="F632" s="406"/>
      <c r="G632" s="406"/>
      <c r="H632" s="406"/>
      <c r="I632" s="324">
        <f t="shared" si="478"/>
        <v>120000</v>
      </c>
      <c r="J632" s="462"/>
      <c r="K632" s="463">
        <v>74000</v>
      </c>
      <c r="L632" s="317">
        <f t="shared" si="475"/>
        <v>194000</v>
      </c>
      <c r="M632" s="317"/>
      <c r="N632" s="372">
        <f t="shared" si="480"/>
        <v>-74000</v>
      </c>
      <c r="O632" s="336">
        <f t="shared" si="512"/>
        <v>213400.00000000003</v>
      </c>
      <c r="P632" s="336">
        <f t="shared" si="513"/>
        <v>234740.00000000006</v>
      </c>
      <c r="R632" s="317"/>
      <c r="U632" s="320"/>
    </row>
    <row r="633" spans="1:21" outlineLevel="2">
      <c r="A633" s="326"/>
      <c r="B633" s="326"/>
      <c r="C633" s="327">
        <v>2210400</v>
      </c>
      <c r="D633" s="460" t="s">
        <v>29</v>
      </c>
      <c r="E633" s="462">
        <f>SUM(E634:E636)</f>
        <v>296000</v>
      </c>
      <c r="F633" s="462">
        <f t="shared" ref="F633:K633" si="517">SUM(F634:F636)</f>
        <v>0</v>
      </c>
      <c r="G633" s="462">
        <f t="shared" si="517"/>
        <v>0</v>
      </c>
      <c r="H633" s="462">
        <f t="shared" si="517"/>
        <v>0</v>
      </c>
      <c r="I633" s="462">
        <f t="shared" si="517"/>
        <v>296000</v>
      </c>
      <c r="J633" s="462">
        <f t="shared" si="517"/>
        <v>0</v>
      </c>
      <c r="K633" s="462">
        <f t="shared" si="517"/>
        <v>-296000</v>
      </c>
      <c r="L633" s="317">
        <f t="shared" si="475"/>
        <v>0</v>
      </c>
      <c r="M633" s="317"/>
      <c r="N633" s="372">
        <f t="shared" si="480"/>
        <v>296000</v>
      </c>
      <c r="O633" s="462">
        <f t="shared" ref="O633:P633" si="518">SUM(O634:O636)</f>
        <v>0</v>
      </c>
      <c r="P633" s="462">
        <f t="shared" si="518"/>
        <v>0</v>
      </c>
      <c r="R633" s="317"/>
      <c r="U633" s="320"/>
    </row>
    <row r="634" spans="1:21" outlineLevel="2">
      <c r="A634" s="345"/>
      <c r="B634" s="345"/>
      <c r="C634" s="346">
        <v>2210401</v>
      </c>
      <c r="D634" s="465" t="s">
        <v>25</v>
      </c>
      <c r="E634" s="406">
        <v>174000</v>
      </c>
      <c r="F634" s="406"/>
      <c r="G634" s="406"/>
      <c r="H634" s="406"/>
      <c r="I634" s="324">
        <f t="shared" si="478"/>
        <v>174000</v>
      </c>
      <c r="J634" s="406"/>
      <c r="K634" s="463">
        <v>-174000</v>
      </c>
      <c r="L634" s="317">
        <f t="shared" si="475"/>
        <v>0</v>
      </c>
      <c r="M634" s="317"/>
      <c r="N634" s="372">
        <f t="shared" si="480"/>
        <v>174000</v>
      </c>
      <c r="O634" s="464">
        <f>L634*1.1</f>
        <v>0</v>
      </c>
      <c r="P634" s="464">
        <f>O634*1.1</f>
        <v>0</v>
      </c>
      <c r="R634" s="317"/>
      <c r="U634" s="320"/>
    </row>
    <row r="635" spans="1:21" outlineLevel="2">
      <c r="A635" s="326"/>
      <c r="B635" s="326"/>
      <c r="C635" s="346">
        <v>2210402</v>
      </c>
      <c r="D635" s="465" t="s">
        <v>30</v>
      </c>
      <c r="E635" s="406">
        <v>35000</v>
      </c>
      <c r="F635" s="406"/>
      <c r="G635" s="406"/>
      <c r="H635" s="406"/>
      <c r="I635" s="324">
        <f t="shared" si="478"/>
        <v>35000</v>
      </c>
      <c r="J635" s="406"/>
      <c r="K635" s="463">
        <v>-35000</v>
      </c>
      <c r="L635" s="317">
        <f t="shared" si="475"/>
        <v>0</v>
      </c>
      <c r="M635" s="317"/>
      <c r="N635" s="372">
        <f t="shared" si="480"/>
        <v>35000</v>
      </c>
      <c r="O635" s="336">
        <f t="shared" si="512"/>
        <v>0</v>
      </c>
      <c r="P635" s="336">
        <f t="shared" si="513"/>
        <v>0</v>
      </c>
      <c r="R635" s="317"/>
      <c r="U635" s="320"/>
    </row>
    <row r="636" spans="1:21" outlineLevel="2">
      <c r="A636" s="345"/>
      <c r="B636" s="345"/>
      <c r="C636" s="346">
        <v>2210404</v>
      </c>
      <c r="D636" s="465" t="s">
        <v>28</v>
      </c>
      <c r="E636" s="406">
        <v>87000</v>
      </c>
      <c r="F636" s="406"/>
      <c r="G636" s="406"/>
      <c r="H636" s="406"/>
      <c r="I636" s="324">
        <f t="shared" si="478"/>
        <v>87000</v>
      </c>
      <c r="J636" s="462"/>
      <c r="K636" s="463">
        <v>-87000</v>
      </c>
      <c r="L636" s="317">
        <f t="shared" si="475"/>
        <v>0</v>
      </c>
      <c r="M636" s="317"/>
      <c r="N636" s="372">
        <f t="shared" si="480"/>
        <v>87000</v>
      </c>
      <c r="O636" s="464">
        <f>L636*1.1</f>
        <v>0</v>
      </c>
      <c r="P636" s="464">
        <f>O636*1.1</f>
        <v>0</v>
      </c>
      <c r="R636" s="317"/>
      <c r="U636" s="320"/>
    </row>
    <row r="637" spans="1:21" outlineLevel="2">
      <c r="A637" s="345"/>
      <c r="B637" s="345"/>
      <c r="C637" s="327">
        <v>2210700</v>
      </c>
      <c r="D637" s="460" t="s">
        <v>35</v>
      </c>
      <c r="E637" s="462">
        <f>SUM(E638:E638)</f>
        <v>34000</v>
      </c>
      <c r="F637" s="462">
        <f t="shared" ref="F637:K637" si="519">SUM(F638:F638)</f>
        <v>0</v>
      </c>
      <c r="G637" s="462">
        <f t="shared" si="519"/>
        <v>0</v>
      </c>
      <c r="H637" s="462">
        <f t="shared" si="519"/>
        <v>0</v>
      </c>
      <c r="I637" s="462">
        <f t="shared" si="519"/>
        <v>34000</v>
      </c>
      <c r="J637" s="462">
        <f t="shared" si="519"/>
        <v>0</v>
      </c>
      <c r="K637" s="462">
        <f t="shared" si="519"/>
        <v>0</v>
      </c>
      <c r="L637" s="317">
        <f t="shared" si="475"/>
        <v>34000</v>
      </c>
      <c r="M637" s="317"/>
      <c r="N637" s="372">
        <f t="shared" si="480"/>
        <v>0</v>
      </c>
      <c r="O637" s="462">
        <f t="shared" ref="O637:P637" si="520">SUM(O638:O638)</f>
        <v>37400</v>
      </c>
      <c r="P637" s="462">
        <f t="shared" si="520"/>
        <v>41140</v>
      </c>
      <c r="R637" s="317"/>
      <c r="U637" s="320"/>
    </row>
    <row r="638" spans="1:21" outlineLevel="2">
      <c r="A638" s="326"/>
      <c r="B638" s="326"/>
      <c r="C638" s="346">
        <v>2210799</v>
      </c>
      <c r="D638" s="465" t="s">
        <v>133</v>
      </c>
      <c r="E638" s="406">
        <v>34000</v>
      </c>
      <c r="F638" s="406"/>
      <c r="G638" s="406"/>
      <c r="H638" s="406"/>
      <c r="I638" s="324">
        <f t="shared" si="478"/>
        <v>34000</v>
      </c>
      <c r="J638" s="462"/>
      <c r="K638" s="463"/>
      <c r="L638" s="317">
        <f t="shared" si="475"/>
        <v>34000</v>
      </c>
      <c r="M638" s="317"/>
      <c r="N638" s="372">
        <f t="shared" si="480"/>
        <v>0</v>
      </c>
      <c r="O638" s="336">
        <f t="shared" si="512"/>
        <v>37400</v>
      </c>
      <c r="P638" s="336">
        <f t="shared" si="513"/>
        <v>41140</v>
      </c>
      <c r="R638" s="317"/>
      <c r="U638" s="320"/>
    </row>
    <row r="639" spans="1:21" outlineLevel="2">
      <c r="A639" s="345"/>
      <c r="B639" s="345"/>
      <c r="C639" s="327">
        <v>2210800</v>
      </c>
      <c r="D639" s="460" t="s">
        <v>42</v>
      </c>
      <c r="E639" s="462">
        <f>SUM(E640:E641)</f>
        <v>339000</v>
      </c>
      <c r="F639" s="462">
        <f t="shared" ref="F639:K639" si="521">SUM(F640:F641)</f>
        <v>0</v>
      </c>
      <c r="G639" s="462">
        <f t="shared" si="521"/>
        <v>0</v>
      </c>
      <c r="H639" s="462">
        <f t="shared" si="521"/>
        <v>0</v>
      </c>
      <c r="I639" s="462">
        <f t="shared" si="521"/>
        <v>339000</v>
      </c>
      <c r="J639" s="462">
        <f t="shared" si="521"/>
        <v>0</v>
      </c>
      <c r="K639" s="462">
        <f t="shared" si="521"/>
        <v>204000</v>
      </c>
      <c r="L639" s="317">
        <f t="shared" si="475"/>
        <v>543000</v>
      </c>
      <c r="M639" s="317"/>
      <c r="N639" s="372">
        <f t="shared" si="480"/>
        <v>-204000</v>
      </c>
      <c r="O639" s="462">
        <f t="shared" ref="O639:P639" si="522">SUM(O640:O641)</f>
        <v>597300</v>
      </c>
      <c r="P639" s="462">
        <f t="shared" si="522"/>
        <v>657030</v>
      </c>
      <c r="R639" s="317"/>
      <c r="U639" s="320"/>
    </row>
    <row r="640" spans="1:21" outlineLevel="2">
      <c r="A640" s="326"/>
      <c r="B640" s="326"/>
      <c r="C640" s="346" t="s">
        <v>134</v>
      </c>
      <c r="D640" s="465" t="s">
        <v>2421</v>
      </c>
      <c r="E640" s="406">
        <v>290000</v>
      </c>
      <c r="F640" s="406"/>
      <c r="G640" s="406"/>
      <c r="H640" s="406"/>
      <c r="I640" s="324">
        <f t="shared" si="478"/>
        <v>290000</v>
      </c>
      <c r="J640" s="406"/>
      <c r="K640" s="463"/>
      <c r="L640" s="317">
        <f t="shared" si="475"/>
        <v>290000</v>
      </c>
      <c r="M640" s="317"/>
      <c r="N640" s="372">
        <f t="shared" si="480"/>
        <v>0</v>
      </c>
      <c r="O640" s="336">
        <f t="shared" si="512"/>
        <v>319000</v>
      </c>
      <c r="P640" s="336">
        <f t="shared" si="513"/>
        <v>350900</v>
      </c>
      <c r="R640" s="317"/>
      <c r="U640" s="320"/>
    </row>
    <row r="641" spans="1:21" outlineLevel="2">
      <c r="A641" s="345"/>
      <c r="B641" s="345"/>
      <c r="C641" s="346">
        <v>2210802</v>
      </c>
      <c r="D641" s="465" t="s">
        <v>1575</v>
      </c>
      <c r="E641" s="406">
        <v>49000</v>
      </c>
      <c r="F641" s="406"/>
      <c r="G641" s="406"/>
      <c r="H641" s="406"/>
      <c r="I641" s="324">
        <f t="shared" si="478"/>
        <v>49000</v>
      </c>
      <c r="J641" s="462"/>
      <c r="K641" s="463">
        <v>204000</v>
      </c>
      <c r="L641" s="317">
        <f t="shared" si="475"/>
        <v>253000</v>
      </c>
      <c r="M641" s="317"/>
      <c r="N641" s="372">
        <f t="shared" si="480"/>
        <v>-204000</v>
      </c>
      <c r="O641" s="464">
        <f>L641*1.1</f>
        <v>278300</v>
      </c>
      <c r="P641" s="464">
        <f>O641*1.1</f>
        <v>306130</v>
      </c>
      <c r="R641" s="317"/>
      <c r="U641" s="320"/>
    </row>
    <row r="642" spans="1:21" outlineLevel="2">
      <c r="A642" s="345"/>
      <c r="B642" s="345"/>
      <c r="C642" s="327">
        <v>2211000</v>
      </c>
      <c r="D642" s="460" t="s">
        <v>49</v>
      </c>
      <c r="E642" s="462">
        <f>SUM(E643)</f>
        <v>16000</v>
      </c>
      <c r="F642" s="462">
        <f t="shared" ref="F642:K642" si="523">SUM(F643)</f>
        <v>0</v>
      </c>
      <c r="G642" s="462">
        <f t="shared" si="523"/>
        <v>0</v>
      </c>
      <c r="H642" s="462">
        <f t="shared" si="523"/>
        <v>0</v>
      </c>
      <c r="I642" s="462">
        <f t="shared" si="523"/>
        <v>16000</v>
      </c>
      <c r="J642" s="462">
        <f t="shared" si="523"/>
        <v>0</v>
      </c>
      <c r="K642" s="462">
        <f t="shared" si="523"/>
        <v>0</v>
      </c>
      <c r="L642" s="317">
        <f t="shared" si="475"/>
        <v>16000</v>
      </c>
      <c r="M642" s="317"/>
      <c r="N642" s="372">
        <f t="shared" si="480"/>
        <v>0</v>
      </c>
      <c r="O642" s="462">
        <f t="shared" ref="O642:P642" si="524">SUM(O643)</f>
        <v>17600</v>
      </c>
      <c r="P642" s="462">
        <f t="shared" si="524"/>
        <v>19360</v>
      </c>
      <c r="R642" s="317"/>
      <c r="U642" s="320"/>
    </row>
    <row r="643" spans="1:21" s="337" customFormat="1" outlineLevel="2">
      <c r="A643" s="345"/>
      <c r="B643" s="345"/>
      <c r="C643" s="346">
        <v>2211016</v>
      </c>
      <c r="D643" s="465" t="s">
        <v>50</v>
      </c>
      <c r="E643" s="406">
        <v>16000</v>
      </c>
      <c r="F643" s="406"/>
      <c r="G643" s="406"/>
      <c r="H643" s="406"/>
      <c r="I643" s="324">
        <f t="shared" si="478"/>
        <v>16000</v>
      </c>
      <c r="J643" s="462"/>
      <c r="K643" s="463"/>
      <c r="L643" s="317">
        <f t="shared" si="475"/>
        <v>16000</v>
      </c>
      <c r="M643" s="317"/>
      <c r="N643" s="372">
        <f t="shared" si="480"/>
        <v>0</v>
      </c>
      <c r="O643" s="336">
        <f t="shared" si="512"/>
        <v>17600</v>
      </c>
      <c r="P643" s="336">
        <f t="shared" si="513"/>
        <v>19360</v>
      </c>
      <c r="R643" s="317"/>
      <c r="U643" s="320"/>
    </row>
    <row r="644" spans="1:21" outlineLevel="2">
      <c r="A644" s="326"/>
      <c r="B644" s="326"/>
      <c r="C644" s="327">
        <v>2211100</v>
      </c>
      <c r="D644" s="460" t="s">
        <v>51</v>
      </c>
      <c r="E644" s="462">
        <f>SUM(E645:E647)</f>
        <v>276000</v>
      </c>
      <c r="F644" s="462">
        <f t="shared" ref="F644:K644" si="525">SUM(F645:F647)</f>
        <v>0</v>
      </c>
      <c r="G644" s="462">
        <f t="shared" si="525"/>
        <v>0</v>
      </c>
      <c r="H644" s="462">
        <f t="shared" si="525"/>
        <v>0</v>
      </c>
      <c r="I644" s="462">
        <f t="shared" si="525"/>
        <v>276000</v>
      </c>
      <c r="J644" s="462">
        <f t="shared" si="525"/>
        <v>0</v>
      </c>
      <c r="K644" s="462">
        <f t="shared" si="525"/>
        <v>0</v>
      </c>
      <c r="L644" s="317">
        <f t="shared" ref="L644:L707" si="526">I644+J644+K644</f>
        <v>276000</v>
      </c>
      <c r="M644" s="317"/>
      <c r="N644" s="372">
        <f t="shared" si="480"/>
        <v>0</v>
      </c>
      <c r="O644" s="462">
        <f t="shared" ref="O644:P644" si="527">SUM(O645:O647)</f>
        <v>303600</v>
      </c>
      <c r="P644" s="462">
        <f t="shared" si="527"/>
        <v>333960</v>
      </c>
      <c r="R644" s="317"/>
      <c r="U644" s="320"/>
    </row>
    <row r="645" spans="1:21" outlineLevel="2">
      <c r="A645" s="345"/>
      <c r="B645" s="345"/>
      <c r="C645" s="346">
        <v>2211101</v>
      </c>
      <c r="D645" s="465" t="s">
        <v>52</v>
      </c>
      <c r="E645" s="406">
        <v>132000</v>
      </c>
      <c r="F645" s="406"/>
      <c r="G645" s="406"/>
      <c r="H645" s="406"/>
      <c r="I645" s="324">
        <f t="shared" si="478"/>
        <v>132000</v>
      </c>
      <c r="J645" s="406"/>
      <c r="K645" s="463"/>
      <c r="L645" s="317">
        <f t="shared" si="526"/>
        <v>132000</v>
      </c>
      <c r="M645" s="317"/>
      <c r="N645" s="372">
        <f t="shared" si="480"/>
        <v>0</v>
      </c>
      <c r="O645" s="464">
        <f>L645*1.1</f>
        <v>145200</v>
      </c>
      <c r="P645" s="464">
        <f>O645*1.1</f>
        <v>159720</v>
      </c>
      <c r="R645" s="317"/>
      <c r="U645" s="320"/>
    </row>
    <row r="646" spans="1:21" outlineLevel="2">
      <c r="A646" s="326"/>
      <c r="B646" s="326"/>
      <c r="C646" s="346">
        <v>2211102</v>
      </c>
      <c r="D646" s="465" t="s">
        <v>53</v>
      </c>
      <c r="E646" s="406">
        <v>28000</v>
      </c>
      <c r="F646" s="406"/>
      <c r="G646" s="406"/>
      <c r="H646" s="406"/>
      <c r="I646" s="324">
        <f t="shared" ref="I646:I708" si="528">E646+F646+G646+H646</f>
        <v>28000</v>
      </c>
      <c r="J646" s="406"/>
      <c r="K646" s="463"/>
      <c r="L646" s="317">
        <f t="shared" si="526"/>
        <v>28000</v>
      </c>
      <c r="M646" s="317"/>
      <c r="N646" s="372">
        <f t="shared" si="480"/>
        <v>0</v>
      </c>
      <c r="O646" s="336">
        <f t="shared" si="512"/>
        <v>30800.000000000004</v>
      </c>
      <c r="P646" s="336">
        <f t="shared" si="513"/>
        <v>33880.000000000007</v>
      </c>
      <c r="R646" s="317"/>
      <c r="U646" s="320"/>
    </row>
    <row r="647" spans="1:21" s="337" customFormat="1" outlineLevel="2">
      <c r="A647" s="345"/>
      <c r="B647" s="345"/>
      <c r="C647" s="346">
        <v>2211103</v>
      </c>
      <c r="D647" s="465" t="s">
        <v>54</v>
      </c>
      <c r="E647" s="406">
        <v>116000</v>
      </c>
      <c r="F647" s="406"/>
      <c r="G647" s="406"/>
      <c r="H647" s="406"/>
      <c r="I647" s="324">
        <f t="shared" si="528"/>
        <v>116000</v>
      </c>
      <c r="J647" s="462"/>
      <c r="K647" s="463"/>
      <c r="L647" s="317">
        <f t="shared" si="526"/>
        <v>116000</v>
      </c>
      <c r="M647" s="317"/>
      <c r="N647" s="372">
        <f t="shared" si="480"/>
        <v>0</v>
      </c>
      <c r="O647" s="464">
        <f>L647*1.1</f>
        <v>127600.00000000001</v>
      </c>
      <c r="P647" s="464">
        <f>O647*1.1</f>
        <v>140360.00000000003</v>
      </c>
      <c r="R647" s="317"/>
      <c r="U647" s="320"/>
    </row>
    <row r="648" spans="1:21" outlineLevel="2">
      <c r="A648" s="326"/>
      <c r="B648" s="326"/>
      <c r="C648" s="327">
        <v>2211200</v>
      </c>
      <c r="D648" s="460" t="s">
        <v>55</v>
      </c>
      <c r="E648" s="462">
        <f>SUM(E649)</f>
        <v>400000</v>
      </c>
      <c r="F648" s="462">
        <f t="shared" ref="F648:K648" si="529">SUM(F649)</f>
        <v>0</v>
      </c>
      <c r="G648" s="462">
        <f t="shared" si="529"/>
        <v>0</v>
      </c>
      <c r="H648" s="462">
        <f t="shared" si="529"/>
        <v>0</v>
      </c>
      <c r="I648" s="462">
        <f t="shared" si="529"/>
        <v>400000</v>
      </c>
      <c r="J648" s="462">
        <f t="shared" si="529"/>
        <v>0</v>
      </c>
      <c r="K648" s="462">
        <f t="shared" si="529"/>
        <v>0</v>
      </c>
      <c r="L648" s="317">
        <f t="shared" si="526"/>
        <v>400000</v>
      </c>
      <c r="M648" s="317"/>
      <c r="N648" s="372">
        <f t="shared" ref="N648:N711" si="530">M648-K648</f>
        <v>0</v>
      </c>
      <c r="O648" s="462">
        <f t="shared" ref="O648:P648" si="531">SUM(O649)</f>
        <v>440000.00000000006</v>
      </c>
      <c r="P648" s="462">
        <f t="shared" si="531"/>
        <v>484000.00000000012</v>
      </c>
      <c r="R648" s="317"/>
      <c r="U648" s="320"/>
    </row>
    <row r="649" spans="1:21" s="337" customFormat="1" outlineLevel="2">
      <c r="A649" s="345"/>
      <c r="B649" s="345"/>
      <c r="C649" s="346">
        <v>2211201</v>
      </c>
      <c r="D649" s="465" t="s">
        <v>55</v>
      </c>
      <c r="E649" s="406">
        <v>400000</v>
      </c>
      <c r="F649" s="406"/>
      <c r="G649" s="406"/>
      <c r="H649" s="406"/>
      <c r="I649" s="324">
        <f t="shared" si="528"/>
        <v>400000</v>
      </c>
      <c r="J649" s="462"/>
      <c r="K649" s="463"/>
      <c r="L649" s="317">
        <f t="shared" si="526"/>
        <v>400000</v>
      </c>
      <c r="M649" s="317"/>
      <c r="N649" s="372">
        <f t="shared" si="530"/>
        <v>0</v>
      </c>
      <c r="O649" s="464">
        <f>L649*1.1</f>
        <v>440000.00000000006</v>
      </c>
      <c r="P649" s="464">
        <f>O649*1.1</f>
        <v>484000.00000000012</v>
      </c>
      <c r="R649" s="317"/>
      <c r="U649" s="320"/>
    </row>
    <row r="650" spans="1:21" outlineLevel="2">
      <c r="A650" s="345"/>
      <c r="B650" s="345"/>
      <c r="C650" s="327">
        <v>2220100</v>
      </c>
      <c r="D650" s="460" t="s">
        <v>62</v>
      </c>
      <c r="E650" s="462">
        <f>SUM(E651)</f>
        <v>406000</v>
      </c>
      <c r="F650" s="462">
        <f t="shared" ref="F650:K650" si="532">SUM(F651)</f>
        <v>0</v>
      </c>
      <c r="G650" s="462">
        <f t="shared" si="532"/>
        <v>0</v>
      </c>
      <c r="H650" s="462">
        <f t="shared" si="532"/>
        <v>0</v>
      </c>
      <c r="I650" s="462">
        <f t="shared" si="532"/>
        <v>406000</v>
      </c>
      <c r="J650" s="462">
        <f t="shared" si="532"/>
        <v>0</v>
      </c>
      <c r="K650" s="462">
        <f t="shared" si="532"/>
        <v>0</v>
      </c>
      <c r="L650" s="317">
        <f t="shared" si="526"/>
        <v>406000</v>
      </c>
      <c r="M650" s="317"/>
      <c r="N650" s="372">
        <f t="shared" si="530"/>
        <v>0</v>
      </c>
      <c r="O650" s="462">
        <f t="shared" ref="O650:P650" si="533">SUM(O651)</f>
        <v>446600.00000000006</v>
      </c>
      <c r="P650" s="462">
        <f t="shared" si="533"/>
        <v>491260.00000000012</v>
      </c>
      <c r="R650" s="317"/>
      <c r="U650" s="320"/>
    </row>
    <row r="651" spans="1:21" outlineLevel="2">
      <c r="A651" s="345"/>
      <c r="B651" s="345"/>
      <c r="C651" s="346">
        <v>2220101</v>
      </c>
      <c r="D651" s="465" t="s">
        <v>85</v>
      </c>
      <c r="E651" s="406">
        <v>406000</v>
      </c>
      <c r="F651" s="406"/>
      <c r="G651" s="406"/>
      <c r="H651" s="406"/>
      <c r="I651" s="324">
        <f t="shared" si="528"/>
        <v>406000</v>
      </c>
      <c r="J651" s="462"/>
      <c r="K651" s="463"/>
      <c r="L651" s="317">
        <f t="shared" si="526"/>
        <v>406000</v>
      </c>
      <c r="M651" s="317"/>
      <c r="N651" s="372">
        <f t="shared" si="530"/>
        <v>0</v>
      </c>
      <c r="O651" s="464">
        <f>L651*1.1</f>
        <v>446600.00000000006</v>
      </c>
      <c r="P651" s="464">
        <f>O651*1.1</f>
        <v>491260.00000000012</v>
      </c>
      <c r="R651" s="317"/>
      <c r="U651" s="320"/>
    </row>
    <row r="652" spans="1:21" s="337" customFormat="1" outlineLevel="2">
      <c r="A652" s="345"/>
      <c r="B652" s="345"/>
      <c r="C652" s="327">
        <v>2220200</v>
      </c>
      <c r="D652" s="460" t="s">
        <v>86</v>
      </c>
      <c r="E652" s="462">
        <f>SUM(E653:E653)</f>
        <v>20000</v>
      </c>
      <c r="F652" s="462">
        <f t="shared" ref="F652:I652" si="534">SUM(F653:F653)</f>
        <v>0</v>
      </c>
      <c r="G652" s="462">
        <f t="shared" si="534"/>
        <v>0</v>
      </c>
      <c r="H652" s="462">
        <f t="shared" si="534"/>
        <v>0</v>
      </c>
      <c r="I652" s="462">
        <f t="shared" si="534"/>
        <v>20000</v>
      </c>
      <c r="J652" s="406"/>
      <c r="K652" s="478">
        <f t="shared" ref="K652" si="535">K653</f>
        <v>0</v>
      </c>
      <c r="L652" s="317">
        <f t="shared" si="526"/>
        <v>20000</v>
      </c>
      <c r="M652" s="317"/>
      <c r="N652" s="372">
        <f t="shared" si="530"/>
        <v>0</v>
      </c>
      <c r="O652" s="462">
        <f t="shared" ref="O652:P652" si="536">SUM(O653:O653)</f>
        <v>22000</v>
      </c>
      <c r="P652" s="462">
        <f t="shared" si="536"/>
        <v>24200.000000000004</v>
      </c>
      <c r="R652" s="317"/>
      <c r="U652" s="320"/>
    </row>
    <row r="653" spans="1:21" outlineLevel="2">
      <c r="A653" s="326"/>
      <c r="B653" s="326"/>
      <c r="C653" s="346">
        <v>2220202</v>
      </c>
      <c r="D653" s="465" t="s">
        <v>130</v>
      </c>
      <c r="E653" s="406">
        <v>20000</v>
      </c>
      <c r="F653" s="406"/>
      <c r="G653" s="406"/>
      <c r="H653" s="406"/>
      <c r="I653" s="324">
        <f t="shared" si="528"/>
        <v>20000</v>
      </c>
      <c r="J653" s="482"/>
      <c r="K653" s="463"/>
      <c r="L653" s="317">
        <f t="shared" si="526"/>
        <v>20000</v>
      </c>
      <c r="M653" s="317"/>
      <c r="N653" s="372">
        <f t="shared" si="530"/>
        <v>0</v>
      </c>
      <c r="O653" s="336">
        <f t="shared" si="512"/>
        <v>22000</v>
      </c>
      <c r="P653" s="336">
        <f t="shared" si="513"/>
        <v>24200.000000000004</v>
      </c>
      <c r="R653" s="317"/>
      <c r="U653" s="320"/>
    </row>
    <row r="654" spans="1:21" s="337" customFormat="1" outlineLevel="2">
      <c r="A654" s="483"/>
      <c r="B654" s="483"/>
      <c r="C654" s="484">
        <v>2211300</v>
      </c>
      <c r="D654" s="485" t="s">
        <v>57</v>
      </c>
      <c r="E654" s="482">
        <f>E655+E656</f>
        <v>30142000</v>
      </c>
      <c r="F654" s="482">
        <f t="shared" ref="F654:P654" si="537">F655+F656</f>
        <v>0</v>
      </c>
      <c r="G654" s="482">
        <f t="shared" si="537"/>
        <v>125000000</v>
      </c>
      <c r="H654" s="482">
        <f t="shared" si="537"/>
        <v>0</v>
      </c>
      <c r="I654" s="482">
        <f t="shared" si="537"/>
        <v>155142000</v>
      </c>
      <c r="J654" s="482">
        <f t="shared" si="537"/>
        <v>-10000000</v>
      </c>
      <c r="K654" s="482">
        <f t="shared" si="537"/>
        <v>0</v>
      </c>
      <c r="L654" s="317">
        <f t="shared" si="526"/>
        <v>145142000</v>
      </c>
      <c r="M654" s="2212"/>
      <c r="N654" s="372">
        <f t="shared" si="530"/>
        <v>0</v>
      </c>
      <c r="O654" s="482">
        <f t="shared" si="537"/>
        <v>159656200</v>
      </c>
      <c r="P654" s="482">
        <f t="shared" si="537"/>
        <v>175621820</v>
      </c>
      <c r="R654" s="317"/>
      <c r="U654" s="320"/>
    </row>
    <row r="655" spans="1:21" outlineLevel="2">
      <c r="A655" s="326"/>
      <c r="B655" s="326"/>
      <c r="C655" s="346">
        <v>2211308</v>
      </c>
      <c r="D655" s="465" t="s">
        <v>2422</v>
      </c>
      <c r="E655" s="406">
        <f>35000000-5000000</f>
        <v>30000000</v>
      </c>
      <c r="F655" s="406"/>
      <c r="G655" s="406">
        <v>100000000</v>
      </c>
      <c r="H655" s="406">
        <v>0</v>
      </c>
      <c r="I655" s="324">
        <f t="shared" si="528"/>
        <v>130000000</v>
      </c>
      <c r="J655" s="406"/>
      <c r="K655" s="463"/>
      <c r="L655" s="317">
        <f t="shared" si="526"/>
        <v>130000000</v>
      </c>
      <c r="M655" s="2210"/>
      <c r="N655" s="372">
        <f t="shared" si="530"/>
        <v>0</v>
      </c>
      <c r="O655" s="357">
        <f t="shared" si="512"/>
        <v>143000000</v>
      </c>
      <c r="P655" s="336">
        <f t="shared" si="513"/>
        <v>157300000</v>
      </c>
      <c r="R655" s="317"/>
      <c r="U655" s="320" t="s">
        <v>1803</v>
      </c>
    </row>
    <row r="656" spans="1:21" outlineLevel="2">
      <c r="A656" s="345"/>
      <c r="B656" s="345"/>
      <c r="C656" s="346" t="s">
        <v>135</v>
      </c>
      <c r="D656" s="465" t="s">
        <v>59</v>
      </c>
      <c r="E656" s="406">
        <v>142000</v>
      </c>
      <c r="F656" s="406"/>
      <c r="G656" s="406">
        <v>25000000</v>
      </c>
      <c r="H656" s="406"/>
      <c r="I656" s="324">
        <f t="shared" si="528"/>
        <v>25142000</v>
      </c>
      <c r="J656" s="504">
        <v>-10000000</v>
      </c>
      <c r="K656" s="463"/>
      <c r="L656" s="317">
        <f t="shared" si="526"/>
        <v>15142000</v>
      </c>
      <c r="M656" s="2210"/>
      <c r="N656" s="372">
        <f t="shared" si="530"/>
        <v>0</v>
      </c>
      <c r="O656" s="505">
        <f>L656*1.1</f>
        <v>16656200.000000002</v>
      </c>
      <c r="P656" s="464">
        <f>O656*1.1</f>
        <v>18321820.000000004</v>
      </c>
      <c r="R656" s="317"/>
      <c r="U656" s="320" t="s">
        <v>1803</v>
      </c>
    </row>
    <row r="657" spans="1:21" outlineLevel="2">
      <c r="A657" s="506"/>
      <c r="B657" s="506"/>
      <c r="C657" s="507">
        <v>3111400</v>
      </c>
      <c r="D657" s="508" t="s">
        <v>136</v>
      </c>
      <c r="E657" s="509">
        <f>SUM(E658:E658)</f>
        <v>10000</v>
      </c>
      <c r="F657" s="509">
        <f t="shared" ref="F657:K657" si="538">SUM(F658:F658)</f>
        <v>0</v>
      </c>
      <c r="G657" s="509">
        <f t="shared" si="538"/>
        <v>0</v>
      </c>
      <c r="H657" s="509">
        <f t="shared" si="538"/>
        <v>0</v>
      </c>
      <c r="I657" s="509">
        <f t="shared" si="538"/>
        <v>10000</v>
      </c>
      <c r="J657" s="509">
        <f t="shared" si="538"/>
        <v>0</v>
      </c>
      <c r="K657" s="509">
        <f t="shared" si="538"/>
        <v>0</v>
      </c>
      <c r="L657" s="317">
        <f t="shared" si="526"/>
        <v>10000</v>
      </c>
      <c r="M657" s="2211"/>
      <c r="N657" s="372">
        <f t="shared" si="530"/>
        <v>0</v>
      </c>
      <c r="O657" s="509">
        <f t="shared" ref="O657:P657" si="539">SUM(O658:O658)</f>
        <v>11000</v>
      </c>
      <c r="P657" s="509">
        <f t="shared" si="539"/>
        <v>12100.000000000002</v>
      </c>
      <c r="R657" s="317"/>
      <c r="U657" s="320"/>
    </row>
    <row r="658" spans="1:21" s="337" customFormat="1" outlineLevel="2">
      <c r="A658" s="345"/>
      <c r="B658" s="345"/>
      <c r="C658" s="346">
        <v>3111401</v>
      </c>
      <c r="D658" s="510" t="s">
        <v>137</v>
      </c>
      <c r="E658" s="406">
        <v>10000</v>
      </c>
      <c r="F658" s="481"/>
      <c r="G658" s="481"/>
      <c r="H658" s="481"/>
      <c r="I658" s="324">
        <f t="shared" si="528"/>
        <v>10000</v>
      </c>
      <c r="J658" s="462"/>
      <c r="K658" s="463"/>
      <c r="L658" s="317">
        <f t="shared" si="526"/>
        <v>10000</v>
      </c>
      <c r="M658" s="317"/>
      <c r="N658" s="372">
        <f t="shared" si="530"/>
        <v>0</v>
      </c>
      <c r="O658" s="336">
        <f t="shared" si="512"/>
        <v>11000</v>
      </c>
      <c r="P658" s="336">
        <f t="shared" si="513"/>
        <v>12100.000000000002</v>
      </c>
      <c r="R658" s="317"/>
      <c r="U658" s="320"/>
    </row>
    <row r="659" spans="1:21" outlineLevel="2">
      <c r="A659" s="345"/>
      <c r="B659" s="345"/>
      <c r="C659" s="327">
        <v>3111000</v>
      </c>
      <c r="D659" s="460" t="s">
        <v>69</v>
      </c>
      <c r="E659" s="462">
        <f>SUM(E660:E661)</f>
        <v>280000</v>
      </c>
      <c r="F659" s="462">
        <f t="shared" ref="F659:P659" si="540">SUM(F660:F661)</f>
        <v>0</v>
      </c>
      <c r="G659" s="462">
        <f t="shared" si="540"/>
        <v>0</v>
      </c>
      <c r="H659" s="462">
        <f t="shared" si="540"/>
        <v>0</v>
      </c>
      <c r="I659" s="462">
        <f t="shared" si="540"/>
        <v>280000</v>
      </c>
      <c r="J659" s="462">
        <f t="shared" si="540"/>
        <v>0</v>
      </c>
      <c r="K659" s="462">
        <f t="shared" si="540"/>
        <v>-190000</v>
      </c>
      <c r="L659" s="317">
        <f t="shared" si="526"/>
        <v>90000</v>
      </c>
      <c r="M659" s="317"/>
      <c r="N659" s="372">
        <f t="shared" si="530"/>
        <v>190000</v>
      </c>
      <c r="O659" s="462">
        <f t="shared" si="540"/>
        <v>99000.000000000015</v>
      </c>
      <c r="P659" s="462">
        <f t="shared" si="540"/>
        <v>108900.00000000003</v>
      </c>
      <c r="R659" s="317"/>
      <c r="U659" s="320"/>
    </row>
    <row r="660" spans="1:21" s="337" customFormat="1" outlineLevel="2">
      <c r="A660" s="345"/>
      <c r="B660" s="345"/>
      <c r="C660" s="346">
        <v>3111001</v>
      </c>
      <c r="D660" s="465" t="s">
        <v>70</v>
      </c>
      <c r="E660" s="406">
        <v>190000</v>
      </c>
      <c r="F660" s="406"/>
      <c r="G660" s="406"/>
      <c r="H660" s="406"/>
      <c r="I660" s="324">
        <f t="shared" si="528"/>
        <v>190000</v>
      </c>
      <c r="J660" s="406"/>
      <c r="K660" s="463">
        <v>-190000</v>
      </c>
      <c r="L660" s="317">
        <f t="shared" si="526"/>
        <v>0</v>
      </c>
      <c r="M660" s="317"/>
      <c r="N660" s="372">
        <f t="shared" si="530"/>
        <v>190000</v>
      </c>
      <c r="O660" s="336">
        <f t="shared" si="512"/>
        <v>0</v>
      </c>
      <c r="P660" s="336">
        <f t="shared" si="513"/>
        <v>0</v>
      </c>
      <c r="R660" s="317"/>
      <c r="U660" s="320"/>
    </row>
    <row r="661" spans="1:21" s="312" customFormat="1" outlineLevel="1">
      <c r="A661" s="345"/>
      <c r="B661" s="345"/>
      <c r="C661" s="346">
        <v>3111002</v>
      </c>
      <c r="D661" s="465" t="s">
        <v>71</v>
      </c>
      <c r="E661" s="406">
        <v>90000</v>
      </c>
      <c r="F661" s="406"/>
      <c r="G661" s="406"/>
      <c r="H661" s="406"/>
      <c r="I661" s="324">
        <f t="shared" si="528"/>
        <v>90000</v>
      </c>
      <c r="J661" s="459"/>
      <c r="K661" s="463"/>
      <c r="L661" s="317">
        <f t="shared" si="526"/>
        <v>90000</v>
      </c>
      <c r="M661" s="317"/>
      <c r="N661" s="372">
        <f t="shared" si="530"/>
        <v>0</v>
      </c>
      <c r="O661" s="336">
        <f>L661*1.1</f>
        <v>99000.000000000015</v>
      </c>
      <c r="P661" s="336">
        <f t="shared" ref="P661:P677" si="541">O661*1.1</f>
        <v>108900.00000000003</v>
      </c>
      <c r="R661" s="317"/>
      <c r="U661" s="320"/>
    </row>
    <row r="662" spans="1:21" s="312" customFormat="1" outlineLevel="1">
      <c r="A662" s="345"/>
      <c r="B662" s="345"/>
      <c r="C662" s="475"/>
      <c r="D662" s="400"/>
      <c r="E662" s="461">
        <f>E663</f>
        <v>0</v>
      </c>
      <c r="F662" s="459"/>
      <c r="G662" s="459"/>
      <c r="H662" s="459"/>
      <c r="I662" s="324">
        <f t="shared" si="528"/>
        <v>0</v>
      </c>
      <c r="J662" s="348"/>
      <c r="K662" s="463"/>
      <c r="L662" s="317">
        <f t="shared" si="526"/>
        <v>0</v>
      </c>
      <c r="M662" s="317"/>
      <c r="N662" s="372">
        <f t="shared" si="530"/>
        <v>0</v>
      </c>
      <c r="O662" s="476">
        <f t="shared" ref="O662:P662" si="542">O663</f>
        <v>0</v>
      </c>
      <c r="P662" s="476">
        <f t="shared" si="542"/>
        <v>0</v>
      </c>
      <c r="R662" s="317"/>
      <c r="U662" s="320"/>
    </row>
    <row r="663" spans="1:21" s="312" customFormat="1" outlineLevel="1">
      <c r="A663" s="345"/>
      <c r="B663" s="345"/>
      <c r="C663" s="473"/>
      <c r="D663" s="347"/>
      <c r="E663" s="406">
        <v>0</v>
      </c>
      <c r="F663" s="348"/>
      <c r="G663" s="348"/>
      <c r="H663" s="348"/>
      <c r="I663" s="324">
        <f t="shared" si="528"/>
        <v>0</v>
      </c>
      <c r="J663" s="462"/>
      <c r="K663" s="463"/>
      <c r="L663" s="317">
        <f t="shared" si="526"/>
        <v>0</v>
      </c>
      <c r="M663" s="317"/>
      <c r="N663" s="372">
        <f t="shared" si="530"/>
        <v>0</v>
      </c>
      <c r="O663" s="336">
        <f>L663*1.1</f>
        <v>0</v>
      </c>
      <c r="P663" s="336">
        <f t="shared" si="541"/>
        <v>0</v>
      </c>
      <c r="R663" s="317"/>
      <c r="U663" s="320"/>
    </row>
    <row r="664" spans="1:21" outlineLevel="1">
      <c r="A664" s="326"/>
      <c r="B664" s="326"/>
      <c r="C664" s="347"/>
      <c r="D664" s="460" t="s">
        <v>99</v>
      </c>
      <c r="E664" s="462">
        <f>E659+E654+E652+E650+E648+E644+E639+E637+E629+E626+E657+E633+E642+E662+E623</f>
        <v>33006000</v>
      </c>
      <c r="F664" s="462">
        <f t="shared" ref="F664:P664" si="543">F659+F654+F652+F650+F648+F644+F639+F637+F629+F626+F657+F633+F642+F662+F623</f>
        <v>0</v>
      </c>
      <c r="G664" s="462">
        <f t="shared" si="543"/>
        <v>125000000</v>
      </c>
      <c r="H664" s="462">
        <f t="shared" si="543"/>
        <v>0</v>
      </c>
      <c r="I664" s="462">
        <f t="shared" si="543"/>
        <v>158006000</v>
      </c>
      <c r="J664" s="462">
        <f t="shared" si="543"/>
        <v>-10000000</v>
      </c>
      <c r="K664" s="462">
        <f t="shared" si="543"/>
        <v>-216000</v>
      </c>
      <c r="L664" s="317">
        <f t="shared" si="526"/>
        <v>147790000</v>
      </c>
      <c r="M664" s="317"/>
      <c r="N664" s="372">
        <f t="shared" si="530"/>
        <v>216000</v>
      </c>
      <c r="O664" s="462">
        <f t="shared" si="543"/>
        <v>162569000</v>
      </c>
      <c r="P664" s="462">
        <f t="shared" si="543"/>
        <v>178825900</v>
      </c>
      <c r="R664" s="317"/>
      <c r="U664" s="320"/>
    </row>
    <row r="665" spans="1:21" s="337" customFormat="1" outlineLevel="2">
      <c r="A665" s="345"/>
      <c r="B665" s="345"/>
      <c r="C665" s="400"/>
      <c r="D665" s="460" t="s">
        <v>84</v>
      </c>
      <c r="E665" s="462">
        <f>E664</f>
        <v>33006000</v>
      </c>
      <c r="F665" s="462">
        <f t="shared" ref="F665:K665" si="544">F664</f>
        <v>0</v>
      </c>
      <c r="G665" s="462">
        <f t="shared" si="544"/>
        <v>125000000</v>
      </c>
      <c r="H665" s="462">
        <f t="shared" si="544"/>
        <v>0</v>
      </c>
      <c r="I665" s="462">
        <f t="shared" si="544"/>
        <v>158006000</v>
      </c>
      <c r="J665" s="462">
        <f t="shared" si="544"/>
        <v>-10000000</v>
      </c>
      <c r="K665" s="462">
        <f t="shared" si="544"/>
        <v>-216000</v>
      </c>
      <c r="L665" s="317">
        <f t="shared" si="526"/>
        <v>147790000</v>
      </c>
      <c r="M665" s="317"/>
      <c r="N665" s="372">
        <f t="shared" si="530"/>
        <v>216000</v>
      </c>
      <c r="O665" s="462">
        <f t="shared" ref="O665:P665" si="545">O664</f>
        <v>162569000</v>
      </c>
      <c r="P665" s="462">
        <f t="shared" si="545"/>
        <v>178825900</v>
      </c>
      <c r="R665" s="317"/>
      <c r="U665" s="320"/>
    </row>
    <row r="666" spans="1:21" outlineLevel="2">
      <c r="A666" s="345"/>
      <c r="B666" s="345"/>
      <c r="C666" s="400"/>
      <c r="D666" s="460"/>
      <c r="E666" s="462"/>
      <c r="F666" s="462"/>
      <c r="G666" s="462"/>
      <c r="H666" s="462"/>
      <c r="I666" s="462"/>
      <c r="J666" s="459"/>
      <c r="K666" s="463"/>
      <c r="L666" s="317">
        <f t="shared" si="526"/>
        <v>0</v>
      </c>
      <c r="M666" s="317"/>
      <c r="N666" s="372">
        <f t="shared" si="530"/>
        <v>0</v>
      </c>
      <c r="O666" s="462"/>
      <c r="P666" s="462"/>
      <c r="R666" s="317"/>
      <c r="U666" s="320"/>
    </row>
    <row r="667" spans="1:21" outlineLevel="2">
      <c r="A667" s="326"/>
      <c r="B667" s="326"/>
      <c r="C667" s="400" t="s">
        <v>138</v>
      </c>
      <c r="D667" s="400"/>
      <c r="E667" s="348"/>
      <c r="F667" s="459"/>
      <c r="G667" s="459"/>
      <c r="H667" s="459"/>
      <c r="I667" s="324">
        <f t="shared" si="528"/>
        <v>0</v>
      </c>
      <c r="J667" s="462"/>
      <c r="K667" s="463"/>
      <c r="L667" s="317">
        <f t="shared" si="526"/>
        <v>0</v>
      </c>
      <c r="M667" s="317"/>
      <c r="N667" s="372">
        <f t="shared" si="530"/>
        <v>0</v>
      </c>
      <c r="O667" s="336">
        <f>L667*1.1</f>
        <v>0</v>
      </c>
      <c r="P667" s="336">
        <f t="shared" si="541"/>
        <v>0</v>
      </c>
      <c r="R667" s="317"/>
      <c r="U667" s="320"/>
    </row>
    <row r="668" spans="1:21" s="337" customFormat="1" outlineLevel="2">
      <c r="A668" s="345"/>
      <c r="B668" s="345"/>
      <c r="C668" s="327">
        <v>2210200</v>
      </c>
      <c r="D668" s="460" t="s">
        <v>20</v>
      </c>
      <c r="E668" s="462">
        <f>SUM(E669:E670)</f>
        <v>116000</v>
      </c>
      <c r="F668" s="462">
        <f t="shared" ref="F668:K668" si="546">SUM(F669:F670)</f>
        <v>0</v>
      </c>
      <c r="G668" s="462">
        <f t="shared" si="546"/>
        <v>0</v>
      </c>
      <c r="H668" s="462">
        <f t="shared" si="546"/>
        <v>0</v>
      </c>
      <c r="I668" s="462">
        <f t="shared" si="546"/>
        <v>116000</v>
      </c>
      <c r="J668" s="462">
        <f t="shared" si="546"/>
        <v>0</v>
      </c>
      <c r="K668" s="462">
        <f t="shared" si="546"/>
        <v>-58000</v>
      </c>
      <c r="L668" s="317">
        <f t="shared" si="526"/>
        <v>58000</v>
      </c>
      <c r="M668" s="317"/>
      <c r="N668" s="372">
        <f t="shared" si="530"/>
        <v>58000</v>
      </c>
      <c r="O668" s="462">
        <f t="shared" ref="O668:P668" si="547">SUM(O669:O670)</f>
        <v>63800.000000000007</v>
      </c>
      <c r="P668" s="462">
        <f t="shared" si="547"/>
        <v>70180.000000000015</v>
      </c>
      <c r="R668" s="317"/>
      <c r="U668" s="320"/>
    </row>
    <row r="669" spans="1:21" outlineLevel="2">
      <c r="A669" s="345"/>
      <c r="B669" s="345"/>
      <c r="C669" s="346">
        <v>2210201</v>
      </c>
      <c r="D669" s="465" t="s">
        <v>21</v>
      </c>
      <c r="E669" s="406">
        <v>58000</v>
      </c>
      <c r="F669" s="406"/>
      <c r="G669" s="406"/>
      <c r="H669" s="406"/>
      <c r="I669" s="324">
        <f t="shared" si="528"/>
        <v>58000</v>
      </c>
      <c r="J669" s="406"/>
      <c r="K669" s="463">
        <v>0</v>
      </c>
      <c r="L669" s="317">
        <f t="shared" si="526"/>
        <v>58000</v>
      </c>
      <c r="M669" s="317"/>
      <c r="N669" s="372">
        <f t="shared" si="530"/>
        <v>0</v>
      </c>
      <c r="O669" s="336">
        <f>L669*1.1</f>
        <v>63800.000000000007</v>
      </c>
      <c r="P669" s="336">
        <f t="shared" si="541"/>
        <v>70180.000000000015</v>
      </c>
      <c r="R669" s="317"/>
      <c r="U669" s="320"/>
    </row>
    <row r="670" spans="1:21" outlineLevel="2">
      <c r="A670" s="345"/>
      <c r="B670" s="345"/>
      <c r="C670" s="346">
        <v>2210202</v>
      </c>
      <c r="D670" s="465" t="s">
        <v>22</v>
      </c>
      <c r="E670" s="406">
        <v>58000</v>
      </c>
      <c r="F670" s="406"/>
      <c r="G670" s="406"/>
      <c r="H670" s="406"/>
      <c r="I670" s="324">
        <f t="shared" si="528"/>
        <v>58000</v>
      </c>
      <c r="J670" s="462"/>
      <c r="K670" s="463">
        <v>-58000</v>
      </c>
      <c r="L670" s="317">
        <f t="shared" si="526"/>
        <v>0</v>
      </c>
      <c r="M670" s="317"/>
      <c r="N670" s="372">
        <f t="shared" si="530"/>
        <v>58000</v>
      </c>
      <c r="O670" s="336">
        <f>L670*1.1</f>
        <v>0</v>
      </c>
      <c r="P670" s="336">
        <f t="shared" si="541"/>
        <v>0</v>
      </c>
      <c r="R670" s="317"/>
      <c r="U670" s="320"/>
    </row>
    <row r="671" spans="1:21" outlineLevel="2">
      <c r="A671" s="326"/>
      <c r="B671" s="326"/>
      <c r="C671" s="327">
        <v>2210300</v>
      </c>
      <c r="D671" s="460" t="s">
        <v>24</v>
      </c>
      <c r="E671" s="462">
        <f>SUM(E672:E674)</f>
        <v>1476000</v>
      </c>
      <c r="F671" s="462">
        <f t="shared" ref="F671:K671" si="548">SUM(F672:F674)</f>
        <v>0</v>
      </c>
      <c r="G671" s="462">
        <f t="shared" si="548"/>
        <v>0</v>
      </c>
      <c r="H671" s="462">
        <f t="shared" si="548"/>
        <v>0</v>
      </c>
      <c r="I671" s="462">
        <f t="shared" si="548"/>
        <v>1476000</v>
      </c>
      <c r="J671" s="462">
        <f t="shared" si="548"/>
        <v>0</v>
      </c>
      <c r="K671" s="462">
        <f t="shared" si="548"/>
        <v>400000</v>
      </c>
      <c r="L671" s="317">
        <f t="shared" si="526"/>
        <v>1876000</v>
      </c>
      <c r="M671" s="317"/>
      <c r="N671" s="372">
        <f t="shared" si="530"/>
        <v>-400000</v>
      </c>
      <c r="O671" s="462">
        <f t="shared" ref="O671:P671" si="549">SUM(O672:O674)</f>
        <v>2063600.0000000005</v>
      </c>
      <c r="P671" s="462">
        <f t="shared" si="549"/>
        <v>2269960.0000000009</v>
      </c>
      <c r="R671" s="317"/>
      <c r="U671" s="320"/>
    </row>
    <row r="672" spans="1:21" s="337" customFormat="1" outlineLevel="2">
      <c r="A672" s="345"/>
      <c r="B672" s="345"/>
      <c r="C672" s="346">
        <v>2210301</v>
      </c>
      <c r="D672" s="465" t="s">
        <v>25</v>
      </c>
      <c r="E672" s="406">
        <v>348000</v>
      </c>
      <c r="F672" s="406"/>
      <c r="G672" s="406"/>
      <c r="H672" s="406"/>
      <c r="I672" s="324">
        <f t="shared" si="528"/>
        <v>348000</v>
      </c>
      <c r="J672" s="406"/>
      <c r="K672" s="463">
        <v>400000</v>
      </c>
      <c r="L672" s="317">
        <f t="shared" si="526"/>
        <v>748000</v>
      </c>
      <c r="M672" s="317"/>
      <c r="N672" s="372">
        <f t="shared" si="530"/>
        <v>-400000</v>
      </c>
      <c r="O672" s="464">
        <f>L672*1.1</f>
        <v>822800.00000000012</v>
      </c>
      <c r="P672" s="464">
        <f>O672*1.1</f>
        <v>905080.00000000023</v>
      </c>
      <c r="R672" s="317"/>
      <c r="U672" s="320"/>
    </row>
    <row r="673" spans="1:21" outlineLevel="2">
      <c r="A673" s="345"/>
      <c r="B673" s="345"/>
      <c r="C673" s="346">
        <v>2210302</v>
      </c>
      <c r="D673" s="465" t="s">
        <v>26</v>
      </c>
      <c r="E673" s="406">
        <v>328000</v>
      </c>
      <c r="F673" s="406"/>
      <c r="G673" s="406"/>
      <c r="H673" s="406"/>
      <c r="I673" s="324">
        <f t="shared" si="528"/>
        <v>328000</v>
      </c>
      <c r="J673" s="406"/>
      <c r="K673" s="463">
        <v>0</v>
      </c>
      <c r="L673" s="317">
        <f t="shared" si="526"/>
        <v>328000</v>
      </c>
      <c r="M673" s="317"/>
      <c r="N673" s="372">
        <f t="shared" si="530"/>
        <v>0</v>
      </c>
      <c r="O673" s="336">
        <f>L673*1.1</f>
        <v>360800.00000000006</v>
      </c>
      <c r="P673" s="336">
        <f t="shared" si="541"/>
        <v>396880.00000000012</v>
      </c>
      <c r="R673" s="317"/>
      <c r="U673" s="320"/>
    </row>
    <row r="674" spans="1:21" outlineLevel="2">
      <c r="A674" s="345"/>
      <c r="B674" s="345"/>
      <c r="C674" s="346">
        <v>2210303</v>
      </c>
      <c r="D674" s="465" t="s">
        <v>27</v>
      </c>
      <c r="E674" s="406">
        <f>300000+500000</f>
        <v>800000</v>
      </c>
      <c r="F674" s="406"/>
      <c r="G674" s="406"/>
      <c r="H674" s="406"/>
      <c r="I674" s="324">
        <f t="shared" si="528"/>
        <v>800000</v>
      </c>
      <c r="J674" s="462"/>
      <c r="K674" s="463">
        <v>0</v>
      </c>
      <c r="L674" s="317">
        <f t="shared" si="526"/>
        <v>800000</v>
      </c>
      <c r="M674" s="317"/>
      <c r="N674" s="372">
        <f t="shared" si="530"/>
        <v>0</v>
      </c>
      <c r="O674" s="336">
        <f>L674*1.1</f>
        <v>880000.00000000012</v>
      </c>
      <c r="P674" s="336">
        <f t="shared" si="541"/>
        <v>968000.00000000023</v>
      </c>
      <c r="R674" s="317"/>
      <c r="U674" s="320"/>
    </row>
    <row r="675" spans="1:21" outlineLevel="2">
      <c r="A675" s="326"/>
      <c r="B675" s="326"/>
      <c r="C675" s="327">
        <v>2210400</v>
      </c>
      <c r="D675" s="460" t="s">
        <v>29</v>
      </c>
      <c r="E675" s="462">
        <f>SUM(E676:E678)</f>
        <v>326000</v>
      </c>
      <c r="F675" s="462">
        <f t="shared" ref="F675:K675" si="550">SUM(F676:F678)</f>
        <v>0</v>
      </c>
      <c r="G675" s="462">
        <f t="shared" si="550"/>
        <v>0</v>
      </c>
      <c r="H675" s="462">
        <f t="shared" si="550"/>
        <v>0</v>
      </c>
      <c r="I675" s="462">
        <f t="shared" si="550"/>
        <v>326000</v>
      </c>
      <c r="J675" s="462">
        <f t="shared" si="550"/>
        <v>0</v>
      </c>
      <c r="K675" s="462">
        <f t="shared" si="550"/>
        <v>-326000</v>
      </c>
      <c r="L675" s="317">
        <f t="shared" si="526"/>
        <v>0</v>
      </c>
      <c r="M675" s="317"/>
      <c r="N675" s="372">
        <f t="shared" si="530"/>
        <v>326000</v>
      </c>
      <c r="O675" s="462">
        <f t="shared" ref="O675:P675" si="551">SUM(O676:O678)</f>
        <v>0</v>
      </c>
      <c r="P675" s="462">
        <f t="shared" si="551"/>
        <v>0</v>
      </c>
      <c r="R675" s="317"/>
      <c r="U675" s="320"/>
    </row>
    <row r="676" spans="1:21" s="337" customFormat="1" outlineLevel="2">
      <c r="A676" s="345"/>
      <c r="B676" s="345"/>
      <c r="C676" s="346">
        <v>2210401</v>
      </c>
      <c r="D676" s="465" t="s">
        <v>25</v>
      </c>
      <c r="E676" s="406">
        <v>190000</v>
      </c>
      <c r="F676" s="406"/>
      <c r="G676" s="406"/>
      <c r="H676" s="406"/>
      <c r="I676" s="324">
        <f t="shared" si="528"/>
        <v>190000</v>
      </c>
      <c r="J676" s="406"/>
      <c r="K676" s="463">
        <v>-190000</v>
      </c>
      <c r="L676" s="317">
        <f t="shared" si="526"/>
        <v>0</v>
      </c>
      <c r="M676" s="317"/>
      <c r="N676" s="372">
        <f t="shared" si="530"/>
        <v>190000</v>
      </c>
      <c r="O676" s="464">
        <f>L676*1.1</f>
        <v>0</v>
      </c>
      <c r="P676" s="464">
        <f>O676*1.1</f>
        <v>0</v>
      </c>
      <c r="R676" s="317"/>
      <c r="U676" s="320"/>
    </row>
    <row r="677" spans="1:21" outlineLevel="2">
      <c r="A677" s="326"/>
      <c r="B677" s="326"/>
      <c r="C677" s="346">
        <v>2210402</v>
      </c>
      <c r="D677" s="465" t="s">
        <v>30</v>
      </c>
      <c r="E677" s="406">
        <v>78000</v>
      </c>
      <c r="F677" s="406"/>
      <c r="G677" s="406"/>
      <c r="H677" s="406"/>
      <c r="I677" s="324">
        <f t="shared" si="528"/>
        <v>78000</v>
      </c>
      <c r="J677" s="406"/>
      <c r="K677" s="463">
        <v>-78000</v>
      </c>
      <c r="L677" s="317">
        <f t="shared" si="526"/>
        <v>0</v>
      </c>
      <c r="M677" s="317"/>
      <c r="N677" s="372">
        <f t="shared" si="530"/>
        <v>78000</v>
      </c>
      <c r="O677" s="336">
        <f>L677*1.1</f>
        <v>0</v>
      </c>
      <c r="P677" s="336">
        <f t="shared" si="541"/>
        <v>0</v>
      </c>
      <c r="R677" s="317"/>
      <c r="U677" s="320"/>
    </row>
    <row r="678" spans="1:21" s="337" customFormat="1" outlineLevel="2">
      <c r="A678" s="345"/>
      <c r="B678" s="345"/>
      <c r="C678" s="346">
        <v>2210404</v>
      </c>
      <c r="D678" s="465" t="s">
        <v>28</v>
      </c>
      <c r="E678" s="406">
        <v>58000</v>
      </c>
      <c r="F678" s="406"/>
      <c r="G678" s="406"/>
      <c r="H678" s="406"/>
      <c r="I678" s="324">
        <f t="shared" si="528"/>
        <v>58000</v>
      </c>
      <c r="J678" s="462"/>
      <c r="K678" s="463">
        <v>-58000</v>
      </c>
      <c r="L678" s="317">
        <f t="shared" si="526"/>
        <v>0</v>
      </c>
      <c r="M678" s="317"/>
      <c r="N678" s="372">
        <f t="shared" si="530"/>
        <v>58000</v>
      </c>
      <c r="O678" s="464">
        <f>L678*1.1</f>
        <v>0</v>
      </c>
      <c r="P678" s="464">
        <f>O678*1.1</f>
        <v>0</v>
      </c>
      <c r="R678" s="317"/>
      <c r="U678" s="320"/>
    </row>
    <row r="679" spans="1:21" s="350" customFormat="1" outlineLevel="2">
      <c r="A679" s="345"/>
      <c r="B679" s="345"/>
      <c r="C679" s="327">
        <v>2210700</v>
      </c>
      <c r="D679" s="460" t="s">
        <v>35</v>
      </c>
      <c r="E679" s="462">
        <f>SUM(E680:E680)</f>
        <v>650000</v>
      </c>
      <c r="F679" s="462">
        <f t="shared" ref="F679:K679" si="552">SUM(F680:F680)</f>
        <v>0</v>
      </c>
      <c r="G679" s="462">
        <f t="shared" si="552"/>
        <v>0</v>
      </c>
      <c r="H679" s="462">
        <f t="shared" si="552"/>
        <v>0</v>
      </c>
      <c r="I679" s="462">
        <f t="shared" si="552"/>
        <v>650000</v>
      </c>
      <c r="J679" s="462">
        <f t="shared" si="552"/>
        <v>0</v>
      </c>
      <c r="K679" s="462">
        <f t="shared" si="552"/>
        <v>0</v>
      </c>
      <c r="L679" s="317">
        <f t="shared" si="526"/>
        <v>650000</v>
      </c>
      <c r="M679" s="317"/>
      <c r="N679" s="372">
        <f t="shared" si="530"/>
        <v>0</v>
      </c>
      <c r="O679" s="462">
        <f t="shared" ref="O679:P679" si="553">SUM(O680:O680)</f>
        <v>715000</v>
      </c>
      <c r="P679" s="462">
        <f t="shared" si="553"/>
        <v>786500.00000000012</v>
      </c>
      <c r="R679" s="317"/>
      <c r="U679" s="320"/>
    </row>
    <row r="680" spans="1:21" s="350" customFormat="1" outlineLevel="2">
      <c r="A680" s="326"/>
      <c r="B680" s="326"/>
      <c r="C680" s="346">
        <v>2210799</v>
      </c>
      <c r="D680" s="465" t="s">
        <v>129</v>
      </c>
      <c r="E680" s="406">
        <v>650000</v>
      </c>
      <c r="F680" s="406"/>
      <c r="G680" s="406"/>
      <c r="H680" s="406"/>
      <c r="I680" s="324">
        <f t="shared" si="528"/>
        <v>650000</v>
      </c>
      <c r="J680" s="462"/>
      <c r="K680" s="463"/>
      <c r="L680" s="317">
        <f t="shared" si="526"/>
        <v>650000</v>
      </c>
      <c r="M680" s="317"/>
      <c r="N680" s="372">
        <f t="shared" si="530"/>
        <v>0</v>
      </c>
      <c r="O680" s="336">
        <f>L680*1.1</f>
        <v>715000</v>
      </c>
      <c r="P680" s="336">
        <f t="shared" ref="P680:P697" si="554">O680*1.1</f>
        <v>786500.00000000012</v>
      </c>
      <c r="R680" s="317"/>
      <c r="U680" s="320"/>
    </row>
    <row r="681" spans="1:21" s="337" customFormat="1" outlineLevel="2">
      <c r="A681" s="345"/>
      <c r="B681" s="345"/>
      <c r="C681" s="327">
        <v>2210800</v>
      </c>
      <c r="D681" s="460" t="s">
        <v>42</v>
      </c>
      <c r="E681" s="462">
        <f>E682+E683+E684</f>
        <v>663000</v>
      </c>
      <c r="F681" s="462">
        <f t="shared" ref="F681:P681" si="555">F682+F683+F684</f>
        <v>0</v>
      </c>
      <c r="G681" s="462">
        <f t="shared" si="555"/>
        <v>0</v>
      </c>
      <c r="H681" s="462">
        <f t="shared" si="555"/>
        <v>0</v>
      </c>
      <c r="I681" s="462">
        <f t="shared" si="555"/>
        <v>663000</v>
      </c>
      <c r="J681" s="462">
        <f t="shared" si="555"/>
        <v>0</v>
      </c>
      <c r="K681" s="462">
        <f t="shared" si="555"/>
        <v>0</v>
      </c>
      <c r="L681" s="317">
        <f t="shared" si="526"/>
        <v>663000</v>
      </c>
      <c r="M681" s="317"/>
      <c r="N681" s="372">
        <f t="shared" si="530"/>
        <v>0</v>
      </c>
      <c r="O681" s="462">
        <f t="shared" si="555"/>
        <v>729300</v>
      </c>
      <c r="P681" s="462">
        <f t="shared" si="555"/>
        <v>802230</v>
      </c>
      <c r="R681" s="317"/>
      <c r="U681" s="320"/>
    </row>
    <row r="682" spans="1:21" outlineLevel="2">
      <c r="A682" s="345"/>
      <c r="B682" s="345"/>
      <c r="C682" s="346">
        <v>2210801</v>
      </c>
      <c r="D682" s="465" t="s">
        <v>2421</v>
      </c>
      <c r="E682" s="406">
        <v>203000</v>
      </c>
      <c r="F682" s="406"/>
      <c r="G682" s="406"/>
      <c r="H682" s="406"/>
      <c r="I682" s="324">
        <f t="shared" si="528"/>
        <v>203000</v>
      </c>
      <c r="J682" s="406"/>
      <c r="K682" s="463">
        <v>0</v>
      </c>
      <c r="L682" s="317">
        <f t="shared" si="526"/>
        <v>203000</v>
      </c>
      <c r="M682" s="317"/>
      <c r="N682" s="372">
        <f t="shared" si="530"/>
        <v>0</v>
      </c>
      <c r="O682" s="464">
        <f>L682*1.1</f>
        <v>223300.00000000003</v>
      </c>
      <c r="P682" s="464">
        <f>O682*1.1</f>
        <v>245630.00000000006</v>
      </c>
      <c r="R682" s="317"/>
      <c r="U682" s="320"/>
    </row>
    <row r="683" spans="1:21" s="337" customFormat="1" outlineLevel="2">
      <c r="A683" s="345"/>
      <c r="B683" s="345"/>
      <c r="C683" s="346">
        <v>2210802</v>
      </c>
      <c r="D683" s="465" t="s">
        <v>97</v>
      </c>
      <c r="E683" s="406">
        <v>290000</v>
      </c>
      <c r="F683" s="406"/>
      <c r="G683" s="406"/>
      <c r="H683" s="406"/>
      <c r="I683" s="324">
        <f t="shared" si="528"/>
        <v>290000</v>
      </c>
      <c r="J683" s="406"/>
      <c r="K683" s="463">
        <v>0</v>
      </c>
      <c r="L683" s="317">
        <f t="shared" si="526"/>
        <v>290000</v>
      </c>
      <c r="M683" s="317"/>
      <c r="N683" s="372">
        <f t="shared" si="530"/>
        <v>0</v>
      </c>
      <c r="O683" s="336">
        <f>L683*1.1</f>
        <v>319000</v>
      </c>
      <c r="P683" s="336">
        <f t="shared" si="554"/>
        <v>350900</v>
      </c>
      <c r="R683" s="317"/>
      <c r="U683" s="320"/>
    </row>
    <row r="684" spans="1:21" outlineLevel="2">
      <c r="A684" s="345"/>
      <c r="B684" s="345"/>
      <c r="C684" s="346">
        <v>2210808</v>
      </c>
      <c r="D684" s="465" t="s">
        <v>44</v>
      </c>
      <c r="E684" s="406">
        <v>170000</v>
      </c>
      <c r="F684" s="406"/>
      <c r="G684" s="406"/>
      <c r="H684" s="406"/>
      <c r="I684" s="324">
        <f t="shared" si="528"/>
        <v>170000</v>
      </c>
      <c r="J684" s="462"/>
      <c r="K684" s="463"/>
      <c r="L684" s="317">
        <f t="shared" si="526"/>
        <v>170000</v>
      </c>
      <c r="M684" s="317"/>
      <c r="N684" s="372">
        <f t="shared" si="530"/>
        <v>0</v>
      </c>
      <c r="O684" s="336">
        <f>L684*1.1</f>
        <v>187000.00000000003</v>
      </c>
      <c r="P684" s="336">
        <f t="shared" si="554"/>
        <v>205700.00000000006</v>
      </c>
      <c r="R684" s="317"/>
      <c r="U684" s="320"/>
    </row>
    <row r="685" spans="1:21" outlineLevel="2">
      <c r="A685" s="326"/>
      <c r="B685" s="326"/>
      <c r="C685" s="327">
        <v>2211100</v>
      </c>
      <c r="D685" s="460" t="s">
        <v>51</v>
      </c>
      <c r="E685" s="462">
        <f>SUM(E686:E688)</f>
        <v>406000</v>
      </c>
      <c r="F685" s="462">
        <f t="shared" ref="F685:P685" si="556">SUM(F686:F688)</f>
        <v>0</v>
      </c>
      <c r="G685" s="462">
        <f t="shared" si="556"/>
        <v>0</v>
      </c>
      <c r="H685" s="462">
        <f t="shared" si="556"/>
        <v>0</v>
      </c>
      <c r="I685" s="462">
        <f t="shared" si="556"/>
        <v>406000</v>
      </c>
      <c r="J685" s="462">
        <f t="shared" si="556"/>
        <v>0</v>
      </c>
      <c r="K685" s="462">
        <f t="shared" si="556"/>
        <v>0</v>
      </c>
      <c r="L685" s="317">
        <f t="shared" si="526"/>
        <v>406000</v>
      </c>
      <c r="M685" s="317"/>
      <c r="N685" s="372">
        <f t="shared" si="530"/>
        <v>0</v>
      </c>
      <c r="O685" s="462">
        <f t="shared" si="556"/>
        <v>446600.00000000006</v>
      </c>
      <c r="P685" s="462">
        <f t="shared" si="556"/>
        <v>491260.00000000012</v>
      </c>
      <c r="R685" s="317"/>
      <c r="U685" s="320"/>
    </row>
    <row r="686" spans="1:21" outlineLevel="2">
      <c r="A686" s="345"/>
      <c r="B686" s="345"/>
      <c r="C686" s="346">
        <v>2211101</v>
      </c>
      <c r="D686" s="465" t="s">
        <v>52</v>
      </c>
      <c r="E686" s="406">
        <v>174000</v>
      </c>
      <c r="F686" s="406"/>
      <c r="G686" s="406"/>
      <c r="H686" s="406"/>
      <c r="I686" s="324">
        <f t="shared" si="528"/>
        <v>174000</v>
      </c>
      <c r="J686" s="406"/>
      <c r="K686" s="463">
        <v>0</v>
      </c>
      <c r="L686" s="317">
        <f t="shared" si="526"/>
        <v>174000</v>
      </c>
      <c r="M686" s="317"/>
      <c r="N686" s="372">
        <f t="shared" si="530"/>
        <v>0</v>
      </c>
      <c r="O686" s="464">
        <f>L686*1.1</f>
        <v>191400.00000000003</v>
      </c>
      <c r="P686" s="464">
        <f>O686*1.1</f>
        <v>210540.00000000006</v>
      </c>
      <c r="R686" s="317"/>
      <c r="U686" s="320"/>
    </row>
    <row r="687" spans="1:21" s="337" customFormat="1" outlineLevel="2">
      <c r="A687" s="326"/>
      <c r="B687" s="326"/>
      <c r="C687" s="346">
        <v>2211102</v>
      </c>
      <c r="D687" s="465" t="s">
        <v>53</v>
      </c>
      <c r="E687" s="406">
        <v>174000</v>
      </c>
      <c r="F687" s="406"/>
      <c r="G687" s="406"/>
      <c r="H687" s="406"/>
      <c r="I687" s="324">
        <f t="shared" si="528"/>
        <v>174000</v>
      </c>
      <c r="J687" s="406"/>
      <c r="K687" s="463"/>
      <c r="L687" s="317">
        <f t="shared" si="526"/>
        <v>174000</v>
      </c>
      <c r="M687" s="317"/>
      <c r="N687" s="372">
        <f t="shared" si="530"/>
        <v>0</v>
      </c>
      <c r="O687" s="336">
        <f>L687*1.1</f>
        <v>191400.00000000003</v>
      </c>
      <c r="P687" s="336">
        <f t="shared" si="554"/>
        <v>210540.00000000006</v>
      </c>
      <c r="R687" s="317"/>
      <c r="U687" s="320"/>
    </row>
    <row r="688" spans="1:21" outlineLevel="2">
      <c r="A688" s="345"/>
      <c r="B688" s="345"/>
      <c r="C688" s="346">
        <v>2211103</v>
      </c>
      <c r="D688" s="465" t="s">
        <v>54</v>
      </c>
      <c r="E688" s="406">
        <v>58000</v>
      </c>
      <c r="F688" s="406"/>
      <c r="G688" s="406"/>
      <c r="H688" s="406"/>
      <c r="I688" s="324">
        <f t="shared" si="528"/>
        <v>58000</v>
      </c>
      <c r="J688" s="462"/>
      <c r="K688" s="463">
        <v>0</v>
      </c>
      <c r="L688" s="317">
        <f t="shared" si="526"/>
        <v>58000</v>
      </c>
      <c r="M688" s="317"/>
      <c r="N688" s="372">
        <f t="shared" si="530"/>
        <v>0</v>
      </c>
      <c r="O688" s="464">
        <f>L688*1.1</f>
        <v>63800.000000000007</v>
      </c>
      <c r="P688" s="464">
        <f>O688*1.1</f>
        <v>70180.000000000015</v>
      </c>
      <c r="R688" s="317"/>
      <c r="U688" s="320"/>
    </row>
    <row r="689" spans="1:21" s="337" customFormat="1" outlineLevel="2">
      <c r="A689" s="345"/>
      <c r="B689" s="345"/>
      <c r="C689" s="327">
        <v>2211200</v>
      </c>
      <c r="D689" s="460" t="s">
        <v>55</v>
      </c>
      <c r="E689" s="462">
        <f>SUM(E690)</f>
        <v>870000</v>
      </c>
      <c r="F689" s="462">
        <f t="shared" ref="F689:K689" si="557">SUM(F690)</f>
        <v>0</v>
      </c>
      <c r="G689" s="462">
        <f t="shared" si="557"/>
        <v>0</v>
      </c>
      <c r="H689" s="462">
        <f t="shared" si="557"/>
        <v>0</v>
      </c>
      <c r="I689" s="462">
        <f t="shared" si="557"/>
        <v>870000</v>
      </c>
      <c r="J689" s="462">
        <f t="shared" si="557"/>
        <v>0</v>
      </c>
      <c r="K689" s="462">
        <f t="shared" si="557"/>
        <v>0</v>
      </c>
      <c r="L689" s="317">
        <f t="shared" si="526"/>
        <v>870000</v>
      </c>
      <c r="M689" s="317"/>
      <c r="N689" s="372">
        <f t="shared" si="530"/>
        <v>0</v>
      </c>
      <c r="O689" s="462">
        <f t="shared" ref="O689:P689" si="558">SUM(O690)</f>
        <v>957000.00000000012</v>
      </c>
      <c r="P689" s="462">
        <f t="shared" si="558"/>
        <v>1052700.0000000002</v>
      </c>
      <c r="R689" s="317"/>
      <c r="U689" s="320"/>
    </row>
    <row r="690" spans="1:21" outlineLevel="2">
      <c r="A690" s="326"/>
      <c r="B690" s="326"/>
      <c r="C690" s="346">
        <v>2211201</v>
      </c>
      <c r="D690" s="465" t="s">
        <v>55</v>
      </c>
      <c r="E690" s="406">
        <v>870000</v>
      </c>
      <c r="F690" s="406"/>
      <c r="G690" s="406"/>
      <c r="H690" s="406"/>
      <c r="I690" s="324">
        <f t="shared" si="528"/>
        <v>870000</v>
      </c>
      <c r="J690" s="462"/>
      <c r="K690" s="463">
        <v>0</v>
      </c>
      <c r="L690" s="317">
        <f t="shared" si="526"/>
        <v>870000</v>
      </c>
      <c r="M690" s="317"/>
      <c r="N690" s="372">
        <f t="shared" si="530"/>
        <v>0</v>
      </c>
      <c r="O690" s="336">
        <f>L690*1.1</f>
        <v>957000.00000000012</v>
      </c>
      <c r="P690" s="336">
        <f t="shared" si="554"/>
        <v>1052700.0000000002</v>
      </c>
      <c r="R690" s="317"/>
      <c r="U690" s="320"/>
    </row>
    <row r="691" spans="1:21" outlineLevel="2">
      <c r="A691" s="345"/>
      <c r="B691" s="345"/>
      <c r="C691" s="327">
        <v>2211300</v>
      </c>
      <c r="D691" s="460" t="s">
        <v>57</v>
      </c>
      <c r="E691" s="462">
        <f>E692+E693</f>
        <v>35330000</v>
      </c>
      <c r="F691" s="462">
        <f t="shared" ref="F691:P691" si="559">F692+F693</f>
        <v>0</v>
      </c>
      <c r="G691" s="462">
        <f t="shared" si="559"/>
        <v>0</v>
      </c>
      <c r="H691" s="462">
        <f t="shared" si="559"/>
        <v>0</v>
      </c>
      <c r="I691" s="462">
        <f t="shared" si="559"/>
        <v>35330000</v>
      </c>
      <c r="J691" s="462">
        <f t="shared" si="559"/>
        <v>0</v>
      </c>
      <c r="K691" s="462">
        <f t="shared" si="559"/>
        <v>0</v>
      </c>
      <c r="L691" s="317">
        <f t="shared" si="526"/>
        <v>35330000</v>
      </c>
      <c r="M691" s="317"/>
      <c r="N691" s="372">
        <f t="shared" si="530"/>
        <v>0</v>
      </c>
      <c r="O691" s="462">
        <f t="shared" si="559"/>
        <v>38863000</v>
      </c>
      <c r="P691" s="462">
        <f t="shared" si="559"/>
        <v>42749300</v>
      </c>
      <c r="R691" s="317"/>
      <c r="U691" s="320"/>
    </row>
    <row r="692" spans="1:21" s="337" customFormat="1" outlineLevel="2">
      <c r="A692" s="326"/>
      <c r="B692" s="326"/>
      <c r="C692" s="346">
        <v>2211320</v>
      </c>
      <c r="D692" s="465" t="s">
        <v>139</v>
      </c>
      <c r="E692" s="406">
        <f>35370000-1300000</f>
        <v>34070000</v>
      </c>
      <c r="F692" s="406"/>
      <c r="G692" s="406"/>
      <c r="H692" s="406"/>
      <c r="I692" s="324">
        <f t="shared" si="528"/>
        <v>34070000</v>
      </c>
      <c r="J692" s="511"/>
      <c r="K692" s="463"/>
      <c r="L692" s="317">
        <f t="shared" si="526"/>
        <v>34070000</v>
      </c>
      <c r="M692" s="317"/>
      <c r="N692" s="372">
        <f t="shared" si="530"/>
        <v>0</v>
      </c>
      <c r="O692" s="336">
        <f>L692*1.1</f>
        <v>37477000</v>
      </c>
      <c r="P692" s="336">
        <f t="shared" si="554"/>
        <v>41224700</v>
      </c>
      <c r="R692" s="317"/>
      <c r="U692" s="320"/>
    </row>
    <row r="693" spans="1:21" outlineLevel="2">
      <c r="A693" s="345"/>
      <c r="B693" s="345"/>
      <c r="C693" s="346" t="s">
        <v>121</v>
      </c>
      <c r="D693" s="512" t="s">
        <v>1576</v>
      </c>
      <c r="E693" s="406">
        <v>1260000</v>
      </c>
      <c r="F693" s="511"/>
      <c r="G693" s="511"/>
      <c r="H693" s="511"/>
      <c r="I693" s="324">
        <f t="shared" si="528"/>
        <v>1260000</v>
      </c>
      <c r="J693" s="462"/>
      <c r="K693" s="463">
        <v>0</v>
      </c>
      <c r="L693" s="317">
        <f t="shared" si="526"/>
        <v>1260000</v>
      </c>
      <c r="M693" s="317"/>
      <c r="N693" s="372">
        <f t="shared" si="530"/>
        <v>0</v>
      </c>
      <c r="O693" s="464">
        <f>L693*1.1</f>
        <v>1386000</v>
      </c>
      <c r="P693" s="464">
        <f>O693*1.1</f>
        <v>1524600.0000000002</v>
      </c>
      <c r="R693" s="317"/>
      <c r="U693" s="320"/>
    </row>
    <row r="694" spans="1:21" outlineLevel="2">
      <c r="A694" s="345"/>
      <c r="B694" s="345"/>
      <c r="C694" s="327">
        <v>2220100</v>
      </c>
      <c r="D694" s="460" t="s">
        <v>62</v>
      </c>
      <c r="E694" s="462">
        <f>SUM(E695)</f>
        <v>580000</v>
      </c>
      <c r="F694" s="462">
        <f t="shared" ref="F694:K694" si="560">SUM(F695)</f>
        <v>0</v>
      </c>
      <c r="G694" s="462">
        <f t="shared" si="560"/>
        <v>0</v>
      </c>
      <c r="H694" s="462">
        <f t="shared" si="560"/>
        <v>0</v>
      </c>
      <c r="I694" s="462">
        <f t="shared" si="560"/>
        <v>580000</v>
      </c>
      <c r="J694" s="462">
        <f t="shared" si="560"/>
        <v>0</v>
      </c>
      <c r="K694" s="462">
        <f t="shared" si="560"/>
        <v>0</v>
      </c>
      <c r="L694" s="317">
        <f t="shared" si="526"/>
        <v>580000</v>
      </c>
      <c r="M694" s="317"/>
      <c r="N694" s="372">
        <f t="shared" si="530"/>
        <v>0</v>
      </c>
      <c r="O694" s="462">
        <f t="shared" ref="O694:P694" si="561">SUM(O695)</f>
        <v>638000</v>
      </c>
      <c r="P694" s="462">
        <f t="shared" si="561"/>
        <v>701800</v>
      </c>
      <c r="R694" s="317"/>
      <c r="U694" s="320"/>
    </row>
    <row r="695" spans="1:21" outlineLevel="2">
      <c r="A695" s="345"/>
      <c r="B695" s="345"/>
      <c r="C695" s="346">
        <v>2220101</v>
      </c>
      <c r="D695" s="465" t="s">
        <v>85</v>
      </c>
      <c r="E695" s="406">
        <v>580000</v>
      </c>
      <c r="F695" s="406"/>
      <c r="G695" s="406"/>
      <c r="H695" s="406"/>
      <c r="I695" s="324">
        <f t="shared" si="528"/>
        <v>580000</v>
      </c>
      <c r="J695" s="462"/>
      <c r="K695" s="463">
        <v>0</v>
      </c>
      <c r="L695" s="317">
        <f t="shared" si="526"/>
        <v>580000</v>
      </c>
      <c r="M695" s="317"/>
      <c r="N695" s="372">
        <f t="shared" si="530"/>
        <v>0</v>
      </c>
      <c r="O695" s="336">
        <f>L695*1.1</f>
        <v>638000</v>
      </c>
      <c r="P695" s="336">
        <f t="shared" si="554"/>
        <v>701800</v>
      </c>
      <c r="R695" s="317"/>
      <c r="U695" s="320"/>
    </row>
    <row r="696" spans="1:21" s="337" customFormat="1" outlineLevel="2">
      <c r="A696" s="345"/>
      <c r="B696" s="345"/>
      <c r="C696" s="327">
        <v>3111000</v>
      </c>
      <c r="D696" s="460" t="s">
        <v>69</v>
      </c>
      <c r="E696" s="462">
        <f>SUM(E697:E698)</f>
        <v>636000</v>
      </c>
      <c r="F696" s="462">
        <f t="shared" ref="F696:K696" si="562">SUM(F697:F698)</f>
        <v>0</v>
      </c>
      <c r="G696" s="462">
        <f t="shared" si="562"/>
        <v>0</v>
      </c>
      <c r="H696" s="462">
        <f t="shared" si="562"/>
        <v>0</v>
      </c>
      <c r="I696" s="462">
        <f t="shared" si="562"/>
        <v>636000</v>
      </c>
      <c r="J696" s="462">
        <f t="shared" si="562"/>
        <v>0</v>
      </c>
      <c r="K696" s="462">
        <f t="shared" si="562"/>
        <v>-540000</v>
      </c>
      <c r="L696" s="317">
        <f t="shared" si="526"/>
        <v>96000</v>
      </c>
      <c r="M696" s="317"/>
      <c r="N696" s="372">
        <f t="shared" si="530"/>
        <v>540000</v>
      </c>
      <c r="O696" s="462">
        <f t="shared" ref="O696:P696" si="563">SUM(O697:O698)</f>
        <v>105600.00000000001</v>
      </c>
      <c r="P696" s="462">
        <f t="shared" si="563"/>
        <v>116160.00000000003</v>
      </c>
      <c r="R696" s="317"/>
      <c r="U696" s="320"/>
    </row>
    <row r="697" spans="1:21" outlineLevel="2">
      <c r="A697" s="345"/>
      <c r="B697" s="345"/>
      <c r="C697" s="346">
        <v>3111001</v>
      </c>
      <c r="D697" s="465" t="s">
        <v>70</v>
      </c>
      <c r="E697" s="406">
        <v>540000</v>
      </c>
      <c r="F697" s="406"/>
      <c r="G697" s="406"/>
      <c r="H697" s="406"/>
      <c r="I697" s="324">
        <f t="shared" si="528"/>
        <v>540000</v>
      </c>
      <c r="J697" s="348"/>
      <c r="K697" s="463">
        <v>-540000</v>
      </c>
      <c r="L697" s="317">
        <f t="shared" si="526"/>
        <v>0</v>
      </c>
      <c r="M697" s="317"/>
      <c r="N697" s="372">
        <f t="shared" si="530"/>
        <v>540000</v>
      </c>
      <c r="O697" s="336">
        <f>L697*1.1</f>
        <v>0</v>
      </c>
      <c r="P697" s="336">
        <f t="shared" si="554"/>
        <v>0</v>
      </c>
      <c r="R697" s="317"/>
      <c r="U697" s="320"/>
    </row>
    <row r="698" spans="1:21" outlineLevel="2">
      <c r="A698" s="345"/>
      <c r="B698" s="345"/>
      <c r="C698" s="346">
        <v>3111002</v>
      </c>
      <c r="D698" s="347" t="s">
        <v>71</v>
      </c>
      <c r="E698" s="406">
        <v>96000</v>
      </c>
      <c r="F698" s="348"/>
      <c r="G698" s="348"/>
      <c r="H698" s="348"/>
      <c r="I698" s="324">
        <f t="shared" si="528"/>
        <v>96000</v>
      </c>
      <c r="J698" s="461"/>
      <c r="K698" s="463"/>
      <c r="L698" s="317">
        <f t="shared" si="526"/>
        <v>96000</v>
      </c>
      <c r="M698" s="317"/>
      <c r="N698" s="372">
        <f t="shared" si="530"/>
        <v>0</v>
      </c>
      <c r="O698" s="336">
        <f>L698*1.1</f>
        <v>105600.00000000001</v>
      </c>
      <c r="P698" s="336">
        <f>O698*1.1</f>
        <v>116160.00000000003</v>
      </c>
      <c r="R698" s="317"/>
      <c r="U698" s="320"/>
    </row>
    <row r="699" spans="1:21" outlineLevel="2">
      <c r="A699" s="326"/>
      <c r="B699" s="326"/>
      <c r="C699" s="475"/>
      <c r="D699" s="400"/>
      <c r="E699" s="461">
        <f>E700</f>
        <v>0</v>
      </c>
      <c r="F699" s="461">
        <f t="shared" ref="F699:P699" si="564">F700</f>
        <v>0</v>
      </c>
      <c r="G699" s="461">
        <f t="shared" si="564"/>
        <v>0</v>
      </c>
      <c r="H699" s="461">
        <f t="shared" si="564"/>
        <v>0</v>
      </c>
      <c r="I699" s="461">
        <f t="shared" si="564"/>
        <v>0</v>
      </c>
      <c r="J699" s="348"/>
      <c r="K699" s="463"/>
      <c r="L699" s="317">
        <f t="shared" si="526"/>
        <v>0</v>
      </c>
      <c r="M699" s="317"/>
      <c r="N699" s="372">
        <f t="shared" si="530"/>
        <v>0</v>
      </c>
      <c r="O699" s="461">
        <f t="shared" si="564"/>
        <v>0</v>
      </c>
      <c r="P699" s="461">
        <f t="shared" si="564"/>
        <v>0</v>
      </c>
      <c r="R699" s="317"/>
      <c r="U699" s="320"/>
    </row>
    <row r="700" spans="1:21" s="312" customFormat="1" outlineLevel="1">
      <c r="A700" s="326"/>
      <c r="B700" s="326"/>
      <c r="C700" s="473"/>
      <c r="D700" s="347"/>
      <c r="E700" s="406">
        <f>500000-500000</f>
        <v>0</v>
      </c>
      <c r="F700" s="348"/>
      <c r="G700" s="348"/>
      <c r="H700" s="348"/>
      <c r="I700" s="324">
        <f t="shared" si="528"/>
        <v>0</v>
      </c>
      <c r="J700" s="462"/>
      <c r="K700" s="463"/>
      <c r="L700" s="317">
        <f t="shared" si="526"/>
        <v>0</v>
      </c>
      <c r="M700" s="317"/>
      <c r="N700" s="372">
        <f t="shared" si="530"/>
        <v>0</v>
      </c>
      <c r="O700" s="464">
        <f>L700*1.1</f>
        <v>0</v>
      </c>
      <c r="P700" s="464">
        <f>O700*1.1</f>
        <v>0</v>
      </c>
      <c r="R700" s="317"/>
      <c r="U700" s="320"/>
    </row>
    <row r="701" spans="1:21" s="312" customFormat="1" outlineLevel="1">
      <c r="A701" s="436"/>
      <c r="B701" s="436"/>
      <c r="C701" s="347"/>
      <c r="D701" s="460" t="s">
        <v>99</v>
      </c>
      <c r="E701" s="462">
        <f>E696+E703+E694+E689+E685+E681+E679+E671+E668+E675+E691+E699</f>
        <v>41053000</v>
      </c>
      <c r="F701" s="462">
        <f t="shared" ref="F701:P701" si="565">F696+F703+F694+F689+F685+F681+F679+F671+F668+F675+F691+F699</f>
        <v>0</v>
      </c>
      <c r="G701" s="462">
        <f t="shared" si="565"/>
        <v>0</v>
      </c>
      <c r="H701" s="462">
        <f t="shared" si="565"/>
        <v>0</v>
      </c>
      <c r="I701" s="462">
        <f t="shared" si="565"/>
        <v>41053000</v>
      </c>
      <c r="J701" s="462">
        <f t="shared" si="565"/>
        <v>0</v>
      </c>
      <c r="K701" s="462">
        <f t="shared" si="565"/>
        <v>-524000</v>
      </c>
      <c r="L701" s="317">
        <f t="shared" si="526"/>
        <v>40529000</v>
      </c>
      <c r="M701" s="317"/>
      <c r="N701" s="372">
        <f t="shared" si="530"/>
        <v>524000</v>
      </c>
      <c r="O701" s="462">
        <f t="shared" si="565"/>
        <v>44581900</v>
      </c>
      <c r="P701" s="462">
        <f t="shared" si="565"/>
        <v>49040090</v>
      </c>
      <c r="R701" s="317"/>
      <c r="U701" s="320"/>
    </row>
    <row r="702" spans="1:21" s="337" customFormat="1" outlineLevel="1">
      <c r="A702" s="436"/>
      <c r="B702" s="436"/>
      <c r="C702" s="400"/>
      <c r="D702" s="460" t="s">
        <v>84</v>
      </c>
      <c r="E702" s="462">
        <f>E701</f>
        <v>41053000</v>
      </c>
      <c r="F702" s="462">
        <f t="shared" ref="F702:K702" si="566">F701</f>
        <v>0</v>
      </c>
      <c r="G702" s="462">
        <f t="shared" si="566"/>
        <v>0</v>
      </c>
      <c r="H702" s="462">
        <f t="shared" si="566"/>
        <v>0</v>
      </c>
      <c r="I702" s="462">
        <f t="shared" si="566"/>
        <v>41053000</v>
      </c>
      <c r="J702" s="462">
        <f t="shared" si="566"/>
        <v>0</v>
      </c>
      <c r="K702" s="462">
        <f t="shared" si="566"/>
        <v>-524000</v>
      </c>
      <c r="L702" s="317">
        <f t="shared" si="526"/>
        <v>40529000</v>
      </c>
      <c r="M702" s="317"/>
      <c r="N702" s="372">
        <f t="shared" si="530"/>
        <v>524000</v>
      </c>
      <c r="O702" s="462">
        <f t="shared" ref="O702:P702" si="567">O701</f>
        <v>44581900</v>
      </c>
      <c r="P702" s="462">
        <f t="shared" si="567"/>
        <v>49040090</v>
      </c>
      <c r="R702" s="317"/>
      <c r="U702" s="320"/>
    </row>
    <row r="703" spans="1:21" s="446" customFormat="1" outlineLevel="1">
      <c r="A703" s="436"/>
      <c r="B703" s="436"/>
      <c r="C703" s="400"/>
      <c r="D703" s="460"/>
      <c r="E703" s="462"/>
      <c r="F703" s="462"/>
      <c r="G703" s="462"/>
      <c r="H703" s="462"/>
      <c r="I703" s="462"/>
      <c r="J703" s="462"/>
      <c r="K703" s="462"/>
      <c r="L703" s="317">
        <f t="shared" si="526"/>
        <v>0</v>
      </c>
      <c r="M703" s="317"/>
      <c r="N703" s="372">
        <f t="shared" si="530"/>
        <v>0</v>
      </c>
      <c r="O703" s="395">
        <f>L703*1.1</f>
        <v>0</v>
      </c>
      <c r="P703" s="395">
        <f t="shared" ref="P703:P720" si="568">O703*1.1</f>
        <v>0</v>
      </c>
      <c r="R703" s="317"/>
      <c r="U703" s="320"/>
    </row>
    <row r="704" spans="1:21" outlineLevel="1">
      <c r="A704" s="436"/>
      <c r="B704" s="436"/>
      <c r="C704" s="400"/>
      <c r="D704" s="400" t="s">
        <v>141</v>
      </c>
      <c r="E704" s="462">
        <f>E702+E665+E585+E443+E488+E620+E525</f>
        <v>140401979.72993007</v>
      </c>
      <c r="F704" s="462">
        <f t="shared" ref="F704:P704" si="569">F702+F665+F585+F443+F488+F620+F525</f>
        <v>0</v>
      </c>
      <c r="G704" s="462">
        <f t="shared" si="569"/>
        <v>130500000</v>
      </c>
      <c r="H704" s="462">
        <f t="shared" si="569"/>
        <v>-500000</v>
      </c>
      <c r="I704" s="462">
        <f t="shared" si="569"/>
        <v>270401979.72993004</v>
      </c>
      <c r="J704" s="462">
        <f t="shared" si="569"/>
        <v>-15000000</v>
      </c>
      <c r="K704" s="462">
        <f t="shared" si="569"/>
        <v>0</v>
      </c>
      <c r="L704" s="317">
        <f t="shared" si="526"/>
        <v>255401979.72993004</v>
      </c>
      <c r="M704" s="317"/>
      <c r="N704" s="372">
        <f t="shared" si="530"/>
        <v>0</v>
      </c>
      <c r="O704" s="462">
        <f t="shared" si="569"/>
        <v>280802477.70292312</v>
      </c>
      <c r="P704" s="462">
        <f t="shared" si="569"/>
        <v>308882725.4732154</v>
      </c>
      <c r="R704" s="317"/>
      <c r="U704" s="320" t="s">
        <v>1803</v>
      </c>
    </row>
    <row r="705" spans="1:21" outlineLevel="1">
      <c r="A705" s="436"/>
      <c r="B705" s="436"/>
      <c r="C705" s="400"/>
      <c r="D705" s="400"/>
      <c r="E705" s="462"/>
      <c r="F705" s="462"/>
      <c r="G705" s="462"/>
      <c r="H705" s="462"/>
      <c r="I705" s="462"/>
      <c r="J705" s="462"/>
      <c r="K705" s="462"/>
      <c r="L705" s="317">
        <f t="shared" si="526"/>
        <v>0</v>
      </c>
      <c r="M705" s="317"/>
      <c r="N705" s="372">
        <f t="shared" si="530"/>
        <v>0</v>
      </c>
      <c r="O705" s="462"/>
      <c r="P705" s="462"/>
      <c r="R705" s="317"/>
      <c r="U705" s="320"/>
    </row>
    <row r="706" spans="1:21" s="344" customFormat="1" outlineLevel="1">
      <c r="A706" s="313"/>
      <c r="B706" s="313" t="s">
        <v>142</v>
      </c>
      <c r="C706" s="314" t="s">
        <v>143</v>
      </c>
      <c r="D706" s="313"/>
      <c r="E706" s="513"/>
      <c r="F706" s="514"/>
      <c r="G706" s="514"/>
      <c r="H706" s="514"/>
      <c r="I706" s="324">
        <f t="shared" si="528"/>
        <v>0</v>
      </c>
      <c r="J706" s="514"/>
      <c r="K706" s="514"/>
      <c r="L706" s="317">
        <f t="shared" si="526"/>
        <v>0</v>
      </c>
      <c r="M706" s="317"/>
      <c r="N706" s="372">
        <f t="shared" si="530"/>
        <v>0</v>
      </c>
      <c r="O706" s="319">
        <f>L706*1.1</f>
        <v>0</v>
      </c>
      <c r="P706" s="319">
        <f t="shared" si="568"/>
        <v>0</v>
      </c>
      <c r="R706" s="317"/>
      <c r="U706" s="320"/>
    </row>
    <row r="707" spans="1:21" s="344" customFormat="1" outlineLevel="1">
      <c r="A707" s="447" t="s">
        <v>144</v>
      </c>
      <c r="B707" s="447"/>
      <c r="C707" s="314" t="s">
        <v>145</v>
      </c>
      <c r="D707" s="447"/>
      <c r="E707" s="515"/>
      <c r="F707" s="438"/>
      <c r="G707" s="438"/>
      <c r="H707" s="438"/>
      <c r="I707" s="324">
        <f t="shared" si="528"/>
        <v>0</v>
      </c>
      <c r="J707" s="438"/>
      <c r="K707" s="438"/>
      <c r="L707" s="317">
        <f t="shared" si="526"/>
        <v>0</v>
      </c>
      <c r="M707" s="317"/>
      <c r="N707" s="372">
        <f t="shared" si="530"/>
        <v>0</v>
      </c>
      <c r="O707" s="319">
        <f>L707*1.1</f>
        <v>0</v>
      </c>
      <c r="P707" s="319">
        <f t="shared" si="568"/>
        <v>0</v>
      </c>
      <c r="R707" s="317"/>
      <c r="U707" s="320"/>
    </row>
    <row r="708" spans="1:21" s="344" customFormat="1" outlineLevel="1">
      <c r="A708" s="447"/>
      <c r="B708" s="447" t="s">
        <v>146</v>
      </c>
      <c r="C708" s="314" t="s">
        <v>147</v>
      </c>
      <c r="D708" s="447"/>
      <c r="E708" s="515"/>
      <c r="F708" s="438"/>
      <c r="G708" s="438"/>
      <c r="H708" s="438"/>
      <c r="I708" s="324">
        <f t="shared" si="528"/>
        <v>0</v>
      </c>
      <c r="J708" s="438"/>
      <c r="K708" s="438"/>
      <c r="L708" s="317">
        <f t="shared" ref="L708:L771" si="570">I708+J708+K708</f>
        <v>0</v>
      </c>
      <c r="M708" s="317"/>
      <c r="N708" s="372">
        <f t="shared" si="530"/>
        <v>0</v>
      </c>
      <c r="O708" s="319">
        <f>L708*1.1</f>
        <v>0</v>
      </c>
      <c r="P708" s="319">
        <f t="shared" si="568"/>
        <v>0</v>
      </c>
      <c r="R708" s="317"/>
      <c r="U708" s="320"/>
    </row>
    <row r="709" spans="1:21" s="344" customFormat="1" outlineLevel="3">
      <c r="A709" s="516"/>
      <c r="B709" s="516"/>
      <c r="C709" s="517">
        <v>2110200</v>
      </c>
      <c r="D709" s="516" t="s">
        <v>148</v>
      </c>
      <c r="E709" s="518">
        <f>E710</f>
        <v>25024967.5</v>
      </c>
      <c r="F709" s="518">
        <f t="shared" ref="F709:K709" si="571">F710</f>
        <v>0</v>
      </c>
      <c r="G709" s="518">
        <f t="shared" si="571"/>
        <v>0</v>
      </c>
      <c r="H709" s="518">
        <f t="shared" si="571"/>
        <v>0</v>
      </c>
      <c r="I709" s="518">
        <f t="shared" si="571"/>
        <v>25024967.5</v>
      </c>
      <c r="J709" s="518">
        <f t="shared" si="571"/>
        <v>0</v>
      </c>
      <c r="K709" s="518">
        <f t="shared" si="571"/>
        <v>0</v>
      </c>
      <c r="L709" s="317">
        <f t="shared" si="570"/>
        <v>25024967.5</v>
      </c>
      <c r="M709" s="317"/>
      <c r="N709" s="372">
        <f t="shared" si="530"/>
        <v>0</v>
      </c>
      <c r="O709" s="518">
        <f t="shared" ref="O709:P709" si="572">O710</f>
        <v>27527464.250000004</v>
      </c>
      <c r="P709" s="518">
        <f t="shared" si="572"/>
        <v>30280210.675000008</v>
      </c>
      <c r="R709" s="317"/>
      <c r="U709" s="320"/>
    </row>
    <row r="710" spans="1:21" s="344" customFormat="1" outlineLevel="3">
      <c r="A710" s="519"/>
      <c r="B710" s="519"/>
      <c r="C710" s="520" t="s">
        <v>149</v>
      </c>
      <c r="D710" s="519" t="s">
        <v>1581</v>
      </c>
      <c r="E710" s="521">
        <v>25024967.5</v>
      </c>
      <c r="F710" s="521"/>
      <c r="G710" s="521"/>
      <c r="H710" s="521"/>
      <c r="I710" s="324">
        <f t="shared" ref="I710:I772" si="573">E710+F710+G710+H710</f>
        <v>25024967.5</v>
      </c>
      <c r="J710" s="522"/>
      <c r="K710" s="335"/>
      <c r="L710" s="317">
        <f t="shared" si="570"/>
        <v>25024967.5</v>
      </c>
      <c r="M710" s="317"/>
      <c r="N710" s="372">
        <f t="shared" si="530"/>
        <v>0</v>
      </c>
      <c r="O710" s="336">
        <f>L710*1.1</f>
        <v>27527464.250000004</v>
      </c>
      <c r="P710" s="336">
        <f t="shared" si="568"/>
        <v>30280210.675000008</v>
      </c>
      <c r="R710" s="317"/>
      <c r="U710" s="320"/>
    </row>
    <row r="711" spans="1:21" s="344" customFormat="1" outlineLevel="3">
      <c r="A711" s="516"/>
      <c r="B711" s="516"/>
      <c r="C711" s="517">
        <v>2210100</v>
      </c>
      <c r="D711" s="516" t="s">
        <v>16</v>
      </c>
      <c r="E711" s="518">
        <f>E712+E713</f>
        <v>102100</v>
      </c>
      <c r="F711" s="518">
        <f t="shared" ref="F711:K711" si="574">F712+F713</f>
        <v>0</v>
      </c>
      <c r="G711" s="518">
        <f t="shared" si="574"/>
        <v>0</v>
      </c>
      <c r="H711" s="518">
        <f t="shared" si="574"/>
        <v>13742</v>
      </c>
      <c r="I711" s="518">
        <f t="shared" si="574"/>
        <v>115842</v>
      </c>
      <c r="J711" s="518">
        <f t="shared" si="574"/>
        <v>0</v>
      </c>
      <c r="K711" s="518">
        <f t="shared" si="574"/>
        <v>0</v>
      </c>
      <c r="L711" s="317">
        <f t="shared" si="570"/>
        <v>115842</v>
      </c>
      <c r="M711" s="317"/>
      <c r="N711" s="372">
        <f t="shared" si="530"/>
        <v>0</v>
      </c>
      <c r="O711" s="518">
        <f t="shared" ref="O711:P711" si="575">O712+O713</f>
        <v>127426.20000000001</v>
      </c>
      <c r="P711" s="518">
        <f t="shared" si="575"/>
        <v>140168.82000000004</v>
      </c>
      <c r="R711" s="317"/>
      <c r="U711" s="320"/>
    </row>
    <row r="712" spans="1:21" s="344" customFormat="1" outlineLevel="3">
      <c r="A712" s="519"/>
      <c r="B712" s="519"/>
      <c r="C712" s="520">
        <v>2210101</v>
      </c>
      <c r="D712" s="519" t="s">
        <v>17</v>
      </c>
      <c r="E712" s="521">
        <v>52600</v>
      </c>
      <c r="F712" s="521"/>
      <c r="G712" s="521"/>
      <c r="H712" s="521"/>
      <c r="I712" s="324">
        <f t="shared" si="573"/>
        <v>52600</v>
      </c>
      <c r="J712" s="522"/>
      <c r="K712" s="335"/>
      <c r="L712" s="317">
        <f t="shared" si="570"/>
        <v>52600</v>
      </c>
      <c r="M712" s="317"/>
      <c r="N712" s="372">
        <f t="shared" ref="N712:N775" si="576">M712-K712</f>
        <v>0</v>
      </c>
      <c r="O712" s="336">
        <f>L712*1.1</f>
        <v>57860.000000000007</v>
      </c>
      <c r="P712" s="336">
        <f t="shared" si="568"/>
        <v>63646.000000000015</v>
      </c>
      <c r="R712" s="317"/>
      <c r="U712" s="320"/>
    </row>
    <row r="713" spans="1:21" s="344" customFormat="1" outlineLevel="3">
      <c r="A713" s="519"/>
      <c r="B713" s="519"/>
      <c r="C713" s="520">
        <v>2210102</v>
      </c>
      <c r="D713" s="519" t="s">
        <v>18</v>
      </c>
      <c r="E713" s="521">
        <v>49500</v>
      </c>
      <c r="F713" s="521"/>
      <c r="G713" s="521"/>
      <c r="H713" s="521">
        <v>13742</v>
      </c>
      <c r="I713" s="324">
        <f t="shared" si="573"/>
        <v>63242</v>
      </c>
      <c r="J713" s="522"/>
      <c r="K713" s="335"/>
      <c r="L713" s="317">
        <f t="shared" si="570"/>
        <v>63242</v>
      </c>
      <c r="M713" s="317"/>
      <c r="N713" s="372">
        <f t="shared" si="576"/>
        <v>0</v>
      </c>
      <c r="O713" s="336">
        <f>L713*1.1</f>
        <v>69566.200000000012</v>
      </c>
      <c r="P713" s="336">
        <f t="shared" si="568"/>
        <v>76522.820000000022</v>
      </c>
      <c r="R713" s="317"/>
      <c r="U713" s="320"/>
    </row>
    <row r="714" spans="1:21" s="344" customFormat="1" outlineLevel="3">
      <c r="A714" s="516"/>
      <c r="B714" s="516"/>
      <c r="C714" s="517">
        <v>2210200</v>
      </c>
      <c r="D714" s="516" t="s">
        <v>20</v>
      </c>
      <c r="E714" s="518">
        <f>E715+E716+E717</f>
        <v>1472680</v>
      </c>
      <c r="F714" s="518">
        <f t="shared" ref="F714:K714" si="577">F715+F716+F717</f>
        <v>0</v>
      </c>
      <c r="G714" s="518">
        <f t="shared" si="577"/>
        <v>0</v>
      </c>
      <c r="H714" s="518">
        <f t="shared" si="577"/>
        <v>0</v>
      </c>
      <c r="I714" s="518">
        <f t="shared" si="577"/>
        <v>1472680</v>
      </c>
      <c r="J714" s="518">
        <f t="shared" si="577"/>
        <v>0</v>
      </c>
      <c r="K714" s="518">
        <f t="shared" si="577"/>
        <v>-5200</v>
      </c>
      <c r="L714" s="317">
        <f t="shared" si="570"/>
        <v>1467480</v>
      </c>
      <c r="M714" s="317"/>
      <c r="N714" s="372">
        <f t="shared" si="576"/>
        <v>5200</v>
      </c>
      <c r="O714" s="518">
        <f t="shared" ref="O714:P714" si="578">O715+O716+O717</f>
        <v>1614228</v>
      </c>
      <c r="P714" s="518">
        <f t="shared" si="578"/>
        <v>1775650.8</v>
      </c>
      <c r="R714" s="317"/>
      <c r="U714" s="320"/>
    </row>
    <row r="715" spans="1:21" s="344" customFormat="1" outlineLevel="3">
      <c r="A715" s="519"/>
      <c r="B715" s="519"/>
      <c r="C715" s="520">
        <v>2210201</v>
      </c>
      <c r="D715" s="519" t="s">
        <v>113</v>
      </c>
      <c r="E715" s="521">
        <v>1220280</v>
      </c>
      <c r="F715" s="521"/>
      <c r="G715" s="521"/>
      <c r="H715" s="521"/>
      <c r="I715" s="324">
        <f t="shared" si="573"/>
        <v>1220280</v>
      </c>
      <c r="J715" s="522"/>
      <c r="K715" s="335"/>
      <c r="L715" s="317">
        <f t="shared" si="570"/>
        <v>1220280</v>
      </c>
      <c r="M715" s="317"/>
      <c r="N715" s="372">
        <f t="shared" si="576"/>
        <v>0</v>
      </c>
      <c r="O715" s="336">
        <f>L715*1.1</f>
        <v>1342308</v>
      </c>
      <c r="P715" s="336">
        <f t="shared" si="568"/>
        <v>1476538.8</v>
      </c>
      <c r="R715" s="317"/>
      <c r="U715" s="320"/>
    </row>
    <row r="716" spans="1:21" s="344" customFormat="1" outlineLevel="3">
      <c r="A716" s="519"/>
      <c r="B716" s="519"/>
      <c r="C716" s="520">
        <v>2210202</v>
      </c>
      <c r="D716" s="519" t="s">
        <v>22</v>
      </c>
      <c r="E716" s="521">
        <v>247200</v>
      </c>
      <c r="F716" s="521"/>
      <c r="G716" s="521"/>
      <c r="H716" s="521"/>
      <c r="I716" s="324">
        <f t="shared" si="573"/>
        <v>247200</v>
      </c>
      <c r="J716" s="522"/>
      <c r="K716" s="335"/>
      <c r="L716" s="317">
        <f t="shared" si="570"/>
        <v>247200</v>
      </c>
      <c r="M716" s="317"/>
      <c r="N716" s="372">
        <f t="shared" si="576"/>
        <v>0</v>
      </c>
      <c r="O716" s="336">
        <f>L716*1.1</f>
        <v>271920</v>
      </c>
      <c r="P716" s="336">
        <f t="shared" si="568"/>
        <v>299112</v>
      </c>
      <c r="R716" s="317"/>
      <c r="U716" s="320"/>
    </row>
    <row r="717" spans="1:21" s="344" customFormat="1" outlineLevel="3">
      <c r="A717" s="519"/>
      <c r="B717" s="519"/>
      <c r="C717" s="520">
        <v>2210303</v>
      </c>
      <c r="D717" s="519" t="s">
        <v>23</v>
      </c>
      <c r="E717" s="521">
        <v>5200</v>
      </c>
      <c r="F717" s="521"/>
      <c r="G717" s="521"/>
      <c r="H717" s="521"/>
      <c r="I717" s="324">
        <f t="shared" si="573"/>
        <v>5200</v>
      </c>
      <c r="J717" s="522"/>
      <c r="K717" s="335">
        <v>-5200</v>
      </c>
      <c r="L717" s="317">
        <f t="shared" si="570"/>
        <v>0</v>
      </c>
      <c r="M717" s="317"/>
      <c r="N717" s="372">
        <f t="shared" si="576"/>
        <v>5200</v>
      </c>
      <c r="O717" s="336">
        <f>L717*1.1</f>
        <v>0</v>
      </c>
      <c r="P717" s="336">
        <f t="shared" si="568"/>
        <v>0</v>
      </c>
      <c r="R717" s="317"/>
      <c r="U717" s="320"/>
    </row>
    <row r="718" spans="1:21" s="344" customFormat="1" outlineLevel="3">
      <c r="A718" s="516"/>
      <c r="B718" s="516"/>
      <c r="C718" s="517">
        <v>2210300</v>
      </c>
      <c r="D718" s="516" t="s">
        <v>151</v>
      </c>
      <c r="E718" s="518">
        <f>E719+E720+E721+E722</f>
        <v>6822555</v>
      </c>
      <c r="F718" s="518">
        <f t="shared" ref="F718:P718" si="579">F719+F720+F721+F722</f>
        <v>0</v>
      </c>
      <c r="G718" s="518">
        <f t="shared" si="579"/>
        <v>0</v>
      </c>
      <c r="H718" s="518">
        <f t="shared" si="579"/>
        <v>0</v>
      </c>
      <c r="I718" s="518">
        <f t="shared" si="579"/>
        <v>6822555</v>
      </c>
      <c r="J718" s="518">
        <f t="shared" si="579"/>
        <v>0</v>
      </c>
      <c r="K718" s="518">
        <f t="shared" si="579"/>
        <v>250000</v>
      </c>
      <c r="L718" s="317">
        <f t="shared" si="570"/>
        <v>7072555</v>
      </c>
      <c r="M718" s="317"/>
      <c r="N718" s="372">
        <f t="shared" si="576"/>
        <v>-250000</v>
      </c>
      <c r="O718" s="518">
        <f t="shared" si="579"/>
        <v>7779810.5</v>
      </c>
      <c r="P718" s="518">
        <f t="shared" si="579"/>
        <v>8557791.5500000007</v>
      </c>
      <c r="R718" s="317"/>
      <c r="U718" s="320"/>
    </row>
    <row r="719" spans="1:21" s="344" customFormat="1" outlineLevel="3">
      <c r="A719" s="519"/>
      <c r="B719" s="519"/>
      <c r="C719" s="520">
        <v>2210301</v>
      </c>
      <c r="D719" s="519" t="s">
        <v>25</v>
      </c>
      <c r="E719" s="523">
        <v>857000</v>
      </c>
      <c r="F719" s="521"/>
      <c r="G719" s="521"/>
      <c r="H719" s="521"/>
      <c r="I719" s="324">
        <f t="shared" si="573"/>
        <v>857000</v>
      </c>
      <c r="J719" s="522"/>
      <c r="K719" s="335">
        <v>250000</v>
      </c>
      <c r="L719" s="317">
        <f t="shared" si="570"/>
        <v>1107000</v>
      </c>
      <c r="M719" s="317"/>
      <c r="N719" s="372">
        <f t="shared" si="576"/>
        <v>-250000</v>
      </c>
      <c r="O719" s="336">
        <f>L719*1.1</f>
        <v>1217700</v>
      </c>
      <c r="P719" s="336">
        <f t="shared" si="568"/>
        <v>1339470</v>
      </c>
      <c r="R719" s="317"/>
      <c r="U719" s="320"/>
    </row>
    <row r="720" spans="1:21" s="344" customFormat="1" outlineLevel="3">
      <c r="A720" s="519"/>
      <c r="B720" s="519"/>
      <c r="C720" s="520">
        <v>2210302</v>
      </c>
      <c r="D720" s="519" t="s">
        <v>152</v>
      </c>
      <c r="E720" s="521">
        <v>1775555</v>
      </c>
      <c r="F720" s="521"/>
      <c r="G720" s="521"/>
      <c r="H720" s="521"/>
      <c r="I720" s="324">
        <f t="shared" si="573"/>
        <v>1775555</v>
      </c>
      <c r="J720" s="522"/>
      <c r="K720" s="335"/>
      <c r="L720" s="317">
        <f t="shared" si="570"/>
        <v>1775555</v>
      </c>
      <c r="M720" s="317"/>
      <c r="N720" s="372">
        <f t="shared" si="576"/>
        <v>0</v>
      </c>
      <c r="O720" s="336">
        <f>L720*1.1</f>
        <v>1953110.5000000002</v>
      </c>
      <c r="P720" s="336">
        <f t="shared" si="568"/>
        <v>2148421.5500000003</v>
      </c>
      <c r="R720" s="317"/>
      <c r="U720" s="320"/>
    </row>
    <row r="721" spans="1:21" s="344" customFormat="1" outlineLevel="3">
      <c r="A721" s="519"/>
      <c r="B721" s="519"/>
      <c r="C721" s="520">
        <v>2210303</v>
      </c>
      <c r="D721" s="519" t="s">
        <v>153</v>
      </c>
      <c r="E721" s="521">
        <v>4170000</v>
      </c>
      <c r="F721" s="521"/>
      <c r="G721" s="521"/>
      <c r="H721" s="521"/>
      <c r="I721" s="324">
        <f t="shared" si="573"/>
        <v>4170000</v>
      </c>
      <c r="J721" s="522"/>
      <c r="K721" s="335"/>
      <c r="L721" s="317">
        <f t="shared" si="570"/>
        <v>4170000</v>
      </c>
      <c r="M721" s="317"/>
      <c r="N721" s="372">
        <f t="shared" si="576"/>
        <v>0</v>
      </c>
      <c r="O721" s="336">
        <f>L721*1.1</f>
        <v>4587000</v>
      </c>
      <c r="P721" s="336">
        <f t="shared" ref="P721:P740" si="580">O721*1.1</f>
        <v>5045700</v>
      </c>
      <c r="R721" s="317"/>
      <c r="U721" s="320"/>
    </row>
    <row r="722" spans="1:21" s="344" customFormat="1" outlineLevel="3">
      <c r="A722" s="516"/>
      <c r="B722" s="516"/>
      <c r="C722" s="520">
        <v>2210304</v>
      </c>
      <c r="D722" s="519" t="s">
        <v>28</v>
      </c>
      <c r="E722" s="521">
        <v>20000</v>
      </c>
      <c r="F722" s="521"/>
      <c r="G722" s="521"/>
      <c r="H722" s="521"/>
      <c r="I722" s="324">
        <f t="shared" si="573"/>
        <v>20000</v>
      </c>
      <c r="J722" s="522"/>
      <c r="K722" s="335"/>
      <c r="L722" s="317">
        <f t="shared" si="570"/>
        <v>20000</v>
      </c>
      <c r="M722" s="317"/>
      <c r="N722" s="372">
        <f t="shared" si="576"/>
        <v>0</v>
      </c>
      <c r="O722" s="336">
        <f>L722*1.1</f>
        <v>22000</v>
      </c>
      <c r="P722" s="336">
        <f t="shared" si="580"/>
        <v>24200.000000000004</v>
      </c>
      <c r="R722" s="317"/>
      <c r="U722" s="320"/>
    </row>
    <row r="723" spans="1:21" s="344" customFormat="1" outlineLevel="3">
      <c r="A723" s="519"/>
      <c r="B723" s="519"/>
      <c r="C723" s="517">
        <v>2210500</v>
      </c>
      <c r="D723" s="516" t="s">
        <v>31</v>
      </c>
      <c r="E723" s="518">
        <f>E724+E725+E726+E727</f>
        <v>308000</v>
      </c>
      <c r="F723" s="518">
        <f t="shared" ref="F723:P723" si="581">F724+F725+F726+F727</f>
        <v>0</v>
      </c>
      <c r="G723" s="518">
        <f t="shared" si="581"/>
        <v>0</v>
      </c>
      <c r="H723" s="518">
        <f t="shared" si="581"/>
        <v>0</v>
      </c>
      <c r="I723" s="518">
        <f t="shared" si="581"/>
        <v>308000</v>
      </c>
      <c r="J723" s="518">
        <f t="shared" si="581"/>
        <v>0</v>
      </c>
      <c r="K723" s="518">
        <f t="shared" si="581"/>
        <v>0</v>
      </c>
      <c r="L723" s="317">
        <f t="shared" si="570"/>
        <v>308000</v>
      </c>
      <c r="M723" s="317"/>
      <c r="N723" s="372">
        <f t="shared" si="576"/>
        <v>0</v>
      </c>
      <c r="O723" s="518">
        <f t="shared" si="581"/>
        <v>338800</v>
      </c>
      <c r="P723" s="518">
        <f t="shared" si="581"/>
        <v>372680.00000000012</v>
      </c>
      <c r="R723" s="317"/>
      <c r="U723" s="320"/>
    </row>
    <row r="724" spans="1:21" s="344" customFormat="1" outlineLevel="3">
      <c r="A724" s="519"/>
      <c r="B724" s="519"/>
      <c r="C724" s="520">
        <v>2210502</v>
      </c>
      <c r="D724" s="519" t="s">
        <v>105</v>
      </c>
      <c r="E724" s="521">
        <v>58000</v>
      </c>
      <c r="F724" s="521"/>
      <c r="G724" s="521"/>
      <c r="H724" s="521"/>
      <c r="I724" s="324">
        <f t="shared" si="573"/>
        <v>58000</v>
      </c>
      <c r="J724" s="522"/>
      <c r="K724" s="335"/>
      <c r="L724" s="317">
        <f t="shared" si="570"/>
        <v>58000</v>
      </c>
      <c r="M724" s="317"/>
      <c r="N724" s="372">
        <f t="shared" si="576"/>
        <v>0</v>
      </c>
      <c r="O724" s="336">
        <f>L724*1.1</f>
        <v>63800.000000000007</v>
      </c>
      <c r="P724" s="336">
        <f t="shared" si="580"/>
        <v>70180.000000000015</v>
      </c>
      <c r="R724" s="317"/>
      <c r="U724" s="320"/>
    </row>
    <row r="725" spans="1:21" s="344" customFormat="1" outlineLevel="3">
      <c r="A725" s="519"/>
      <c r="B725" s="519"/>
      <c r="C725" s="520">
        <v>2210503</v>
      </c>
      <c r="D725" s="519" t="s">
        <v>32</v>
      </c>
      <c r="E725" s="521">
        <v>100000</v>
      </c>
      <c r="F725" s="521"/>
      <c r="G725" s="521"/>
      <c r="H725" s="521"/>
      <c r="I725" s="324">
        <f t="shared" si="573"/>
        <v>100000</v>
      </c>
      <c r="J725" s="522"/>
      <c r="K725" s="335"/>
      <c r="L725" s="317">
        <f t="shared" si="570"/>
        <v>100000</v>
      </c>
      <c r="M725" s="317"/>
      <c r="N725" s="372">
        <f t="shared" si="576"/>
        <v>0</v>
      </c>
      <c r="O725" s="336">
        <f>L725*1.1</f>
        <v>110000.00000000001</v>
      </c>
      <c r="P725" s="336">
        <f t="shared" si="580"/>
        <v>121000.00000000003</v>
      </c>
      <c r="R725" s="317"/>
      <c r="U725" s="320"/>
    </row>
    <row r="726" spans="1:21" s="344" customFormat="1" outlineLevel="3">
      <c r="A726" s="516"/>
      <c r="B726" s="516"/>
      <c r="C726" s="520">
        <v>2210504</v>
      </c>
      <c r="D726" s="519" t="s">
        <v>33</v>
      </c>
      <c r="E726" s="521">
        <v>150000</v>
      </c>
      <c r="F726" s="521"/>
      <c r="G726" s="521"/>
      <c r="H726" s="521"/>
      <c r="I726" s="324">
        <f t="shared" si="573"/>
        <v>150000</v>
      </c>
      <c r="J726" s="522"/>
      <c r="K726" s="335"/>
      <c r="L726" s="317">
        <f t="shared" si="570"/>
        <v>150000</v>
      </c>
      <c r="M726" s="317"/>
      <c r="N726" s="372">
        <f t="shared" si="576"/>
        <v>0</v>
      </c>
      <c r="O726" s="336">
        <f>L726*1.1</f>
        <v>165000</v>
      </c>
      <c r="P726" s="336">
        <f t="shared" si="580"/>
        <v>181500.00000000003</v>
      </c>
      <c r="R726" s="317"/>
      <c r="U726" s="320"/>
    </row>
    <row r="727" spans="1:21" s="344" customFormat="1" outlineLevel="3">
      <c r="A727" s="519"/>
      <c r="B727" s="519"/>
      <c r="C727" s="520">
        <v>2210599</v>
      </c>
      <c r="D727" s="519" t="s">
        <v>34</v>
      </c>
      <c r="E727" s="521"/>
      <c r="F727" s="521"/>
      <c r="G727" s="521"/>
      <c r="H727" s="521"/>
      <c r="I727" s="324">
        <f t="shared" si="573"/>
        <v>0</v>
      </c>
      <c r="J727" s="522"/>
      <c r="K727" s="335"/>
      <c r="L727" s="317">
        <f t="shared" si="570"/>
        <v>0</v>
      </c>
      <c r="M727" s="317"/>
      <c r="N727" s="372">
        <f t="shared" si="576"/>
        <v>0</v>
      </c>
      <c r="O727" s="336">
        <f>L727*1.1</f>
        <v>0</v>
      </c>
      <c r="P727" s="336">
        <f t="shared" si="580"/>
        <v>0</v>
      </c>
      <c r="R727" s="317"/>
      <c r="U727" s="320"/>
    </row>
    <row r="728" spans="1:21" s="344" customFormat="1" outlineLevel="3">
      <c r="A728" s="516"/>
      <c r="B728" s="516"/>
      <c r="C728" s="517">
        <v>2210600</v>
      </c>
      <c r="D728" s="516" t="s">
        <v>154</v>
      </c>
      <c r="E728" s="518">
        <f>E729</f>
        <v>7300000</v>
      </c>
      <c r="F728" s="518">
        <f t="shared" ref="F728:K728" si="582">F729</f>
        <v>0</v>
      </c>
      <c r="G728" s="518">
        <f t="shared" si="582"/>
        <v>0</v>
      </c>
      <c r="H728" s="518">
        <f t="shared" si="582"/>
        <v>0</v>
      </c>
      <c r="I728" s="518">
        <f t="shared" si="582"/>
        <v>7300000</v>
      </c>
      <c r="J728" s="518">
        <f t="shared" si="582"/>
        <v>0</v>
      </c>
      <c r="K728" s="518">
        <f t="shared" si="582"/>
        <v>-7337</v>
      </c>
      <c r="L728" s="317">
        <f t="shared" si="570"/>
        <v>7292663</v>
      </c>
      <c r="M728" s="317"/>
      <c r="N728" s="372">
        <f t="shared" si="576"/>
        <v>7337</v>
      </c>
      <c r="O728" s="518">
        <f t="shared" ref="O728:P728" si="583">O729</f>
        <v>8021929.3000000007</v>
      </c>
      <c r="P728" s="518">
        <f t="shared" si="583"/>
        <v>8824122.2300000023</v>
      </c>
      <c r="R728" s="317"/>
      <c r="U728" s="320"/>
    </row>
    <row r="729" spans="1:21" s="344" customFormat="1" outlineLevel="3">
      <c r="A729" s="519"/>
      <c r="B729" s="519"/>
      <c r="C729" s="520">
        <v>2210603</v>
      </c>
      <c r="D729" s="519" t="s">
        <v>155</v>
      </c>
      <c r="E729" s="521">
        <v>7300000</v>
      </c>
      <c r="F729" s="521"/>
      <c r="G729" s="521"/>
      <c r="H729" s="521"/>
      <c r="I729" s="324">
        <f t="shared" si="573"/>
        <v>7300000</v>
      </c>
      <c r="J729" s="522"/>
      <c r="K729" s="335">
        <v>-7337</v>
      </c>
      <c r="L729" s="317">
        <f t="shared" si="570"/>
        <v>7292663</v>
      </c>
      <c r="M729" s="317"/>
      <c r="N729" s="372">
        <f t="shared" si="576"/>
        <v>7337</v>
      </c>
      <c r="O729" s="336">
        <f>L729*1.1</f>
        <v>8021929.3000000007</v>
      </c>
      <c r="P729" s="336">
        <f t="shared" si="580"/>
        <v>8824122.2300000023</v>
      </c>
      <c r="R729" s="317"/>
      <c r="U729" s="320"/>
    </row>
    <row r="730" spans="1:21" s="344" customFormat="1" outlineLevel="3">
      <c r="A730" s="519"/>
      <c r="B730" s="519"/>
      <c r="C730" s="517">
        <v>2210700</v>
      </c>
      <c r="D730" s="516" t="s">
        <v>114</v>
      </c>
      <c r="E730" s="518">
        <f>E731+E732+E733+E734+E735+E736</f>
        <v>594910</v>
      </c>
      <c r="F730" s="518">
        <f t="shared" ref="F730:K730" si="584">F731+F732+F733+F734+F735+F736</f>
        <v>0</v>
      </c>
      <c r="G730" s="518">
        <f t="shared" si="584"/>
        <v>0</v>
      </c>
      <c r="H730" s="518">
        <f t="shared" si="584"/>
        <v>232800</v>
      </c>
      <c r="I730" s="518">
        <f t="shared" si="584"/>
        <v>827710</v>
      </c>
      <c r="J730" s="518">
        <f t="shared" si="584"/>
        <v>0</v>
      </c>
      <c r="K730" s="518">
        <f t="shared" si="584"/>
        <v>-14100</v>
      </c>
      <c r="L730" s="317">
        <f t="shared" si="570"/>
        <v>813610</v>
      </c>
      <c r="M730" s="317"/>
      <c r="N730" s="372">
        <f t="shared" si="576"/>
        <v>14100</v>
      </c>
      <c r="O730" s="518">
        <f t="shared" ref="O730:P730" si="585">O731+O732+O733+O734+O735+O736</f>
        <v>894971.00000000012</v>
      </c>
      <c r="P730" s="518">
        <f t="shared" si="585"/>
        <v>984468.10000000021</v>
      </c>
      <c r="R730" s="317"/>
      <c r="U730" s="320"/>
    </row>
    <row r="731" spans="1:21" s="344" customFormat="1" outlineLevel="3">
      <c r="A731" s="519"/>
      <c r="B731" s="519"/>
      <c r="C731" s="520">
        <v>2210701</v>
      </c>
      <c r="D731" s="519" t="s">
        <v>36</v>
      </c>
      <c r="E731" s="521">
        <v>104910</v>
      </c>
      <c r="F731" s="521"/>
      <c r="G731" s="521"/>
      <c r="H731" s="521"/>
      <c r="I731" s="324">
        <f t="shared" si="573"/>
        <v>104910</v>
      </c>
      <c r="J731" s="522"/>
      <c r="K731" s="335"/>
      <c r="L731" s="317">
        <f t="shared" si="570"/>
        <v>104910</v>
      </c>
      <c r="M731" s="317"/>
      <c r="N731" s="372">
        <f t="shared" si="576"/>
        <v>0</v>
      </c>
      <c r="O731" s="336">
        <f t="shared" ref="O731:O736" si="586">L731*1.1</f>
        <v>115401.00000000001</v>
      </c>
      <c r="P731" s="336">
        <f t="shared" si="580"/>
        <v>126941.10000000002</v>
      </c>
      <c r="R731" s="317"/>
      <c r="U731" s="320"/>
    </row>
    <row r="732" spans="1:21" s="344" customFormat="1" outlineLevel="3">
      <c r="A732" s="519"/>
      <c r="B732" s="519"/>
      <c r="C732" s="520">
        <v>2210702</v>
      </c>
      <c r="D732" s="519" t="s">
        <v>37</v>
      </c>
      <c r="E732" s="521">
        <v>110000</v>
      </c>
      <c r="F732" s="521"/>
      <c r="G732" s="521"/>
      <c r="H732" s="521"/>
      <c r="I732" s="324">
        <f t="shared" si="573"/>
        <v>110000</v>
      </c>
      <c r="J732" s="522"/>
      <c r="K732" s="335">
        <v>-10000</v>
      </c>
      <c r="L732" s="317">
        <f t="shared" si="570"/>
        <v>100000</v>
      </c>
      <c r="M732" s="317"/>
      <c r="N732" s="372">
        <f t="shared" si="576"/>
        <v>10000</v>
      </c>
      <c r="O732" s="336">
        <f t="shared" si="586"/>
        <v>110000.00000000001</v>
      </c>
      <c r="P732" s="336">
        <f t="shared" si="580"/>
        <v>121000.00000000003</v>
      </c>
      <c r="R732" s="317"/>
      <c r="U732" s="320"/>
    </row>
    <row r="733" spans="1:21" s="344" customFormat="1" outlineLevel="3">
      <c r="A733" s="519"/>
      <c r="B733" s="519"/>
      <c r="C733" s="520">
        <v>2210703</v>
      </c>
      <c r="D733" s="519" t="s">
        <v>107</v>
      </c>
      <c r="E733" s="521">
        <v>110000</v>
      </c>
      <c r="F733" s="521"/>
      <c r="G733" s="521"/>
      <c r="H733" s="521"/>
      <c r="I733" s="324">
        <f t="shared" si="573"/>
        <v>110000</v>
      </c>
      <c r="J733" s="522"/>
      <c r="K733" s="335"/>
      <c r="L733" s="317">
        <f t="shared" si="570"/>
        <v>110000</v>
      </c>
      <c r="M733" s="317"/>
      <c r="N733" s="372">
        <f t="shared" si="576"/>
        <v>0</v>
      </c>
      <c r="O733" s="336">
        <f t="shared" si="586"/>
        <v>121000.00000000001</v>
      </c>
      <c r="P733" s="336">
        <f t="shared" si="580"/>
        <v>133100.00000000003</v>
      </c>
      <c r="R733" s="317"/>
      <c r="U733" s="320"/>
    </row>
    <row r="734" spans="1:21" s="344" customFormat="1" outlineLevel="3">
      <c r="A734" s="519"/>
      <c r="B734" s="519"/>
      <c r="C734" s="520">
        <v>2210704</v>
      </c>
      <c r="D734" s="519" t="s">
        <v>38</v>
      </c>
      <c r="E734" s="521">
        <v>50000</v>
      </c>
      <c r="F734" s="521"/>
      <c r="G734" s="521"/>
      <c r="H734" s="521"/>
      <c r="I734" s="324">
        <f t="shared" si="573"/>
        <v>50000</v>
      </c>
      <c r="J734" s="522"/>
      <c r="K734" s="335">
        <v>-2100</v>
      </c>
      <c r="L734" s="317">
        <f t="shared" si="570"/>
        <v>47900</v>
      </c>
      <c r="M734" s="317"/>
      <c r="N734" s="372">
        <f t="shared" si="576"/>
        <v>2100</v>
      </c>
      <c r="O734" s="336">
        <f t="shared" si="586"/>
        <v>52690.000000000007</v>
      </c>
      <c r="P734" s="336">
        <f t="shared" si="580"/>
        <v>57959.000000000015</v>
      </c>
      <c r="R734" s="317"/>
      <c r="U734" s="320"/>
    </row>
    <row r="735" spans="1:21" s="344" customFormat="1" outlineLevel="3">
      <c r="A735" s="516"/>
      <c r="B735" s="516"/>
      <c r="C735" s="520">
        <v>2210710</v>
      </c>
      <c r="D735" s="519" t="s">
        <v>39</v>
      </c>
      <c r="E735" s="521">
        <v>110000</v>
      </c>
      <c r="F735" s="521"/>
      <c r="G735" s="521"/>
      <c r="H735" s="521"/>
      <c r="I735" s="324">
        <f t="shared" si="573"/>
        <v>110000</v>
      </c>
      <c r="J735" s="522"/>
      <c r="K735" s="335"/>
      <c r="L735" s="317">
        <f t="shared" si="570"/>
        <v>110000</v>
      </c>
      <c r="M735" s="317"/>
      <c r="N735" s="372">
        <f t="shared" si="576"/>
        <v>0</v>
      </c>
      <c r="O735" s="336">
        <f t="shared" si="586"/>
        <v>121000.00000000001</v>
      </c>
      <c r="P735" s="336">
        <f t="shared" si="580"/>
        <v>133100.00000000003</v>
      </c>
      <c r="R735" s="317"/>
      <c r="U735" s="320"/>
    </row>
    <row r="736" spans="1:21" s="344" customFormat="1" outlineLevel="3">
      <c r="A736" s="519"/>
      <c r="B736" s="519"/>
      <c r="C736" s="520">
        <v>2210711</v>
      </c>
      <c r="D736" s="519" t="s">
        <v>156</v>
      </c>
      <c r="E736" s="521">
        <v>110000</v>
      </c>
      <c r="F736" s="521"/>
      <c r="G736" s="521"/>
      <c r="H736" s="521">
        <v>232800</v>
      </c>
      <c r="I736" s="324">
        <f t="shared" si="573"/>
        <v>342800</v>
      </c>
      <c r="J736" s="522"/>
      <c r="K736" s="335">
        <v>-2000</v>
      </c>
      <c r="L736" s="317">
        <f t="shared" si="570"/>
        <v>340800</v>
      </c>
      <c r="M736" s="317"/>
      <c r="N736" s="372">
        <f t="shared" si="576"/>
        <v>2000</v>
      </c>
      <c r="O736" s="336">
        <f t="shared" si="586"/>
        <v>374880.00000000006</v>
      </c>
      <c r="P736" s="336">
        <f t="shared" si="580"/>
        <v>412368.00000000012</v>
      </c>
      <c r="R736" s="317"/>
      <c r="U736" s="320"/>
    </row>
    <row r="737" spans="1:21" s="344" customFormat="1" outlineLevel="3">
      <c r="A737" s="519"/>
      <c r="B737" s="519"/>
      <c r="C737" s="517">
        <v>2210800</v>
      </c>
      <c r="D737" s="516" t="s">
        <v>42</v>
      </c>
      <c r="E737" s="518">
        <f>E738+E739+E740+E741</f>
        <v>1030000</v>
      </c>
      <c r="F737" s="518">
        <f t="shared" ref="F737:K737" si="587">F738+F739+F740+F741</f>
        <v>0</v>
      </c>
      <c r="G737" s="518">
        <f t="shared" si="587"/>
        <v>0</v>
      </c>
      <c r="H737" s="518">
        <f t="shared" si="587"/>
        <v>16240</v>
      </c>
      <c r="I737" s="518">
        <f t="shared" si="587"/>
        <v>1046240</v>
      </c>
      <c r="J737" s="518">
        <f t="shared" si="587"/>
        <v>0</v>
      </c>
      <c r="K737" s="518">
        <f t="shared" si="587"/>
        <v>410000</v>
      </c>
      <c r="L737" s="317">
        <f t="shared" si="570"/>
        <v>1456240</v>
      </c>
      <c r="M737" s="317"/>
      <c r="N737" s="372">
        <f t="shared" si="576"/>
        <v>-410000</v>
      </c>
      <c r="O737" s="518">
        <f t="shared" ref="O737:P737" si="588">O738+O739+O740+O741</f>
        <v>1601864</v>
      </c>
      <c r="P737" s="518">
        <f t="shared" si="588"/>
        <v>1762050.4000000001</v>
      </c>
      <c r="R737" s="317"/>
      <c r="U737" s="320"/>
    </row>
    <row r="738" spans="1:21" s="344" customFormat="1" outlineLevel="3">
      <c r="A738" s="519"/>
      <c r="B738" s="519"/>
      <c r="C738" s="520">
        <v>2210801</v>
      </c>
      <c r="D738" s="519" t="s">
        <v>2421</v>
      </c>
      <c r="E738" s="521">
        <v>480000</v>
      </c>
      <c r="F738" s="521"/>
      <c r="G738" s="521"/>
      <c r="H738" s="521">
        <v>16240</v>
      </c>
      <c r="I738" s="324">
        <f t="shared" si="573"/>
        <v>496240</v>
      </c>
      <c r="J738" s="522"/>
      <c r="K738" s="335">
        <v>410000</v>
      </c>
      <c r="L738" s="317">
        <f t="shared" si="570"/>
        <v>906240</v>
      </c>
      <c r="M738" s="317"/>
      <c r="N738" s="372">
        <f t="shared" si="576"/>
        <v>-410000</v>
      </c>
      <c r="O738" s="336">
        <f>L738*1.1</f>
        <v>996864.00000000012</v>
      </c>
      <c r="P738" s="336">
        <f t="shared" si="580"/>
        <v>1096550.4000000001</v>
      </c>
      <c r="R738" s="317"/>
      <c r="U738" s="320"/>
    </row>
    <row r="739" spans="1:21" s="344" customFormat="1" outlineLevel="3">
      <c r="A739" s="519"/>
      <c r="B739" s="519"/>
      <c r="C739" s="520">
        <v>2210802</v>
      </c>
      <c r="D739" s="519" t="s">
        <v>1249</v>
      </c>
      <c r="E739" s="521">
        <v>525000</v>
      </c>
      <c r="F739" s="521"/>
      <c r="G739" s="521"/>
      <c r="H739" s="521"/>
      <c r="I739" s="324">
        <f t="shared" si="573"/>
        <v>525000</v>
      </c>
      <c r="J739" s="522"/>
      <c r="K739" s="335"/>
      <c r="L739" s="317">
        <f t="shared" si="570"/>
        <v>525000</v>
      </c>
      <c r="M739" s="317"/>
      <c r="N739" s="372">
        <f t="shared" si="576"/>
        <v>0</v>
      </c>
      <c r="O739" s="336">
        <f>L739*1.1</f>
        <v>577500</v>
      </c>
      <c r="P739" s="336">
        <f t="shared" si="580"/>
        <v>635250</v>
      </c>
      <c r="R739" s="317"/>
      <c r="U739" s="320"/>
    </row>
    <row r="740" spans="1:21" s="344" customFormat="1" outlineLevel="3">
      <c r="A740" s="516"/>
      <c r="B740" s="516"/>
      <c r="C740" s="520">
        <v>2210805</v>
      </c>
      <c r="D740" s="519" t="s">
        <v>116</v>
      </c>
      <c r="E740" s="521">
        <v>15000</v>
      </c>
      <c r="F740" s="521"/>
      <c r="G740" s="521"/>
      <c r="H740" s="521"/>
      <c r="I740" s="324">
        <f t="shared" si="573"/>
        <v>15000</v>
      </c>
      <c r="J740" s="522"/>
      <c r="K740" s="335"/>
      <c r="L740" s="317">
        <f t="shared" si="570"/>
        <v>15000</v>
      </c>
      <c r="M740" s="317"/>
      <c r="N740" s="372">
        <f t="shared" si="576"/>
        <v>0</v>
      </c>
      <c r="O740" s="336">
        <f>L740*1.1</f>
        <v>16500</v>
      </c>
      <c r="P740" s="336">
        <f t="shared" si="580"/>
        <v>18150</v>
      </c>
      <c r="R740" s="317"/>
      <c r="U740" s="320"/>
    </row>
    <row r="741" spans="1:21" s="344" customFormat="1" outlineLevel="3">
      <c r="A741" s="519"/>
      <c r="B741" s="519"/>
      <c r="C741" s="520">
        <v>2210807</v>
      </c>
      <c r="D741" s="519" t="s">
        <v>117</v>
      </c>
      <c r="E741" s="521">
        <v>10000</v>
      </c>
      <c r="F741" s="521"/>
      <c r="G741" s="521"/>
      <c r="H741" s="521"/>
      <c r="I741" s="324">
        <f t="shared" si="573"/>
        <v>10000</v>
      </c>
      <c r="J741" s="522"/>
      <c r="K741" s="335"/>
      <c r="L741" s="317">
        <f t="shared" si="570"/>
        <v>10000</v>
      </c>
      <c r="M741" s="317"/>
      <c r="N741" s="372">
        <f t="shared" si="576"/>
        <v>0</v>
      </c>
      <c r="O741" s="336">
        <f>L741*1.1</f>
        <v>11000</v>
      </c>
      <c r="P741" s="336">
        <f t="shared" ref="P741:P762" si="589">O741*1.1</f>
        <v>12100.000000000002</v>
      </c>
      <c r="R741" s="317"/>
      <c r="U741" s="320"/>
    </row>
    <row r="742" spans="1:21" s="344" customFormat="1" outlineLevel="3">
      <c r="A742" s="519"/>
      <c r="B742" s="519"/>
      <c r="C742" s="517">
        <v>2210900</v>
      </c>
      <c r="D742" s="516" t="s">
        <v>46</v>
      </c>
      <c r="E742" s="518">
        <f>E743+E744</f>
        <v>125000</v>
      </c>
      <c r="F742" s="518">
        <f t="shared" ref="F742:P742" si="590">F743+F744</f>
        <v>0</v>
      </c>
      <c r="G742" s="518">
        <f t="shared" si="590"/>
        <v>0</v>
      </c>
      <c r="H742" s="518">
        <f t="shared" si="590"/>
        <v>0</v>
      </c>
      <c r="I742" s="518">
        <f t="shared" si="590"/>
        <v>125000</v>
      </c>
      <c r="J742" s="518">
        <f t="shared" si="590"/>
        <v>0</v>
      </c>
      <c r="K742" s="518">
        <f t="shared" si="590"/>
        <v>-125000</v>
      </c>
      <c r="L742" s="317">
        <f t="shared" si="570"/>
        <v>0</v>
      </c>
      <c r="M742" s="317"/>
      <c r="N742" s="372">
        <f t="shared" si="576"/>
        <v>125000</v>
      </c>
      <c r="O742" s="518">
        <f t="shared" si="590"/>
        <v>0</v>
      </c>
      <c r="P742" s="518">
        <f t="shared" si="590"/>
        <v>0</v>
      </c>
      <c r="R742" s="317"/>
      <c r="U742" s="320"/>
    </row>
    <row r="743" spans="1:21" s="344" customFormat="1" outlineLevel="3">
      <c r="A743" s="516"/>
      <c r="B743" s="516"/>
      <c r="C743" s="520">
        <v>2210903</v>
      </c>
      <c r="D743" s="519" t="s">
        <v>157</v>
      </c>
      <c r="E743" s="521">
        <v>60000</v>
      </c>
      <c r="F743" s="521"/>
      <c r="G743" s="521"/>
      <c r="H743" s="521"/>
      <c r="I743" s="324">
        <f t="shared" si="573"/>
        <v>60000</v>
      </c>
      <c r="J743" s="522"/>
      <c r="K743" s="335">
        <v>-60000</v>
      </c>
      <c r="L743" s="317">
        <f t="shared" si="570"/>
        <v>0</v>
      </c>
      <c r="M743" s="317"/>
      <c r="N743" s="372">
        <f t="shared" si="576"/>
        <v>60000</v>
      </c>
      <c r="O743" s="336">
        <f>L743*1.1</f>
        <v>0</v>
      </c>
      <c r="P743" s="336">
        <f t="shared" si="589"/>
        <v>0</v>
      </c>
      <c r="R743" s="317"/>
      <c r="U743" s="320"/>
    </row>
    <row r="744" spans="1:21" s="344" customFormat="1" outlineLevel="3">
      <c r="A744" s="519"/>
      <c r="B744" s="519"/>
      <c r="C744" s="520">
        <v>2210904</v>
      </c>
      <c r="D744" s="519" t="s">
        <v>158</v>
      </c>
      <c r="E744" s="521">
        <v>65000</v>
      </c>
      <c r="F744" s="521"/>
      <c r="G744" s="521"/>
      <c r="H744" s="521"/>
      <c r="I744" s="324">
        <f t="shared" si="573"/>
        <v>65000</v>
      </c>
      <c r="J744" s="522"/>
      <c r="K744" s="335">
        <v>-65000</v>
      </c>
      <c r="L744" s="317">
        <f t="shared" si="570"/>
        <v>0</v>
      </c>
      <c r="M744" s="317"/>
      <c r="N744" s="372">
        <f t="shared" si="576"/>
        <v>65000</v>
      </c>
      <c r="O744" s="336">
        <f>L744*1.1</f>
        <v>0</v>
      </c>
      <c r="P744" s="336">
        <f t="shared" si="589"/>
        <v>0</v>
      </c>
      <c r="R744" s="317"/>
      <c r="U744" s="320"/>
    </row>
    <row r="745" spans="1:21" s="344" customFormat="1" outlineLevel="3">
      <c r="A745" s="519"/>
      <c r="B745" s="519"/>
      <c r="C745" s="517">
        <v>2211000</v>
      </c>
      <c r="D745" s="516" t="s">
        <v>118</v>
      </c>
      <c r="E745" s="518">
        <f>E746+E747+E748</f>
        <v>1246540</v>
      </c>
      <c r="F745" s="518">
        <f t="shared" ref="F745:K745" si="591">F746+F747+F748</f>
        <v>0</v>
      </c>
      <c r="G745" s="518">
        <f t="shared" si="591"/>
        <v>0</v>
      </c>
      <c r="H745" s="518">
        <f t="shared" si="591"/>
        <v>769375</v>
      </c>
      <c r="I745" s="518">
        <f t="shared" si="591"/>
        <v>2015915</v>
      </c>
      <c r="J745" s="518">
        <f t="shared" si="591"/>
        <v>0</v>
      </c>
      <c r="K745" s="518">
        <f t="shared" si="591"/>
        <v>0</v>
      </c>
      <c r="L745" s="317">
        <f t="shared" si="570"/>
        <v>2015915</v>
      </c>
      <c r="M745" s="317"/>
      <c r="N745" s="372">
        <f t="shared" si="576"/>
        <v>0</v>
      </c>
      <c r="O745" s="518">
        <f t="shared" ref="O745:P745" si="592">O746+O747+O748</f>
        <v>2217506.5</v>
      </c>
      <c r="P745" s="518">
        <f t="shared" si="592"/>
        <v>2439257.15</v>
      </c>
      <c r="R745" s="317"/>
      <c r="U745" s="320"/>
    </row>
    <row r="746" spans="1:21" s="344" customFormat="1" outlineLevel="3">
      <c r="A746" s="519"/>
      <c r="B746" s="519"/>
      <c r="C746" s="520">
        <v>2211011</v>
      </c>
      <c r="D746" s="519" t="s">
        <v>119</v>
      </c>
      <c r="E746" s="521"/>
      <c r="F746" s="521"/>
      <c r="G746" s="521"/>
      <c r="H746" s="521"/>
      <c r="I746" s="324">
        <f t="shared" si="573"/>
        <v>0</v>
      </c>
      <c r="J746" s="522"/>
      <c r="K746" s="335"/>
      <c r="L746" s="317">
        <f t="shared" si="570"/>
        <v>0</v>
      </c>
      <c r="M746" s="317"/>
      <c r="N746" s="372">
        <f t="shared" si="576"/>
        <v>0</v>
      </c>
      <c r="O746" s="336">
        <f>L746*1.1</f>
        <v>0</v>
      </c>
      <c r="P746" s="336">
        <f t="shared" si="589"/>
        <v>0</v>
      </c>
      <c r="R746" s="317"/>
      <c r="U746" s="320"/>
    </row>
    <row r="747" spans="1:21" s="344" customFormat="1" outlineLevel="3">
      <c r="A747" s="516"/>
      <c r="B747" s="516"/>
      <c r="C747" s="520">
        <v>2211016</v>
      </c>
      <c r="D747" s="519" t="s">
        <v>159</v>
      </c>
      <c r="E747" s="521">
        <v>1220000</v>
      </c>
      <c r="F747" s="521"/>
      <c r="G747" s="521"/>
      <c r="H747" s="521">
        <v>769375</v>
      </c>
      <c r="I747" s="324">
        <f t="shared" si="573"/>
        <v>1989375</v>
      </c>
      <c r="J747" s="522"/>
      <c r="K747" s="335"/>
      <c r="L747" s="317">
        <f t="shared" si="570"/>
        <v>1989375</v>
      </c>
      <c r="M747" s="317"/>
      <c r="N747" s="372">
        <f t="shared" si="576"/>
        <v>0</v>
      </c>
      <c r="O747" s="336">
        <f>L747*1.1</f>
        <v>2188312.5</v>
      </c>
      <c r="P747" s="336">
        <f t="shared" si="589"/>
        <v>2407143.75</v>
      </c>
      <c r="R747" s="317"/>
      <c r="U747" s="320"/>
    </row>
    <row r="748" spans="1:21" s="344" customFormat="1" outlineLevel="3">
      <c r="A748" s="519"/>
      <c r="B748" s="519"/>
      <c r="C748" s="520">
        <v>2211031</v>
      </c>
      <c r="D748" s="519" t="s">
        <v>160</v>
      </c>
      <c r="E748" s="521">
        <v>26540</v>
      </c>
      <c r="F748" s="521"/>
      <c r="G748" s="521"/>
      <c r="H748" s="521"/>
      <c r="I748" s="324">
        <f t="shared" si="573"/>
        <v>26540</v>
      </c>
      <c r="J748" s="522"/>
      <c r="K748" s="335"/>
      <c r="L748" s="317">
        <f t="shared" si="570"/>
        <v>26540</v>
      </c>
      <c r="M748" s="317"/>
      <c r="N748" s="372">
        <f t="shared" si="576"/>
        <v>0</v>
      </c>
      <c r="O748" s="336">
        <f>L748*1.1</f>
        <v>29194.000000000004</v>
      </c>
      <c r="P748" s="336">
        <f t="shared" si="589"/>
        <v>32113.400000000005</v>
      </c>
      <c r="R748" s="317"/>
      <c r="U748" s="320"/>
    </row>
    <row r="749" spans="1:21" s="344" customFormat="1" outlineLevel="3">
      <c r="A749" s="519"/>
      <c r="B749" s="519"/>
      <c r="C749" s="517">
        <v>2211100</v>
      </c>
      <c r="D749" s="516" t="s">
        <v>51</v>
      </c>
      <c r="E749" s="518">
        <f>E750+E751+E752</f>
        <v>2310000</v>
      </c>
      <c r="F749" s="518">
        <f t="shared" ref="F749:P749" si="593">F750+F751+F752</f>
        <v>0</v>
      </c>
      <c r="G749" s="518">
        <f t="shared" si="593"/>
        <v>0</v>
      </c>
      <c r="H749" s="518">
        <f t="shared" si="593"/>
        <v>0</v>
      </c>
      <c r="I749" s="518">
        <f t="shared" si="593"/>
        <v>2310000</v>
      </c>
      <c r="J749" s="518">
        <f t="shared" si="593"/>
        <v>0</v>
      </c>
      <c r="K749" s="518">
        <f t="shared" si="593"/>
        <v>0</v>
      </c>
      <c r="L749" s="317">
        <f t="shared" si="570"/>
        <v>2310000</v>
      </c>
      <c r="M749" s="317"/>
      <c r="N749" s="372">
        <f t="shared" si="576"/>
        <v>0</v>
      </c>
      <c r="O749" s="518">
        <f t="shared" si="593"/>
        <v>2541000</v>
      </c>
      <c r="P749" s="518">
        <f t="shared" si="593"/>
        <v>2795100.0000000005</v>
      </c>
      <c r="R749" s="317"/>
      <c r="U749" s="320"/>
    </row>
    <row r="750" spans="1:21" s="344" customFormat="1" outlineLevel="3">
      <c r="A750" s="519"/>
      <c r="B750" s="519"/>
      <c r="C750" s="520">
        <v>2211101</v>
      </c>
      <c r="D750" s="519" t="s">
        <v>2423</v>
      </c>
      <c r="E750" s="521">
        <v>815000</v>
      </c>
      <c r="F750" s="521"/>
      <c r="G750" s="521"/>
      <c r="H750" s="521"/>
      <c r="I750" s="324">
        <f t="shared" si="573"/>
        <v>815000</v>
      </c>
      <c r="J750" s="522"/>
      <c r="K750" s="335"/>
      <c r="L750" s="317">
        <f t="shared" si="570"/>
        <v>815000</v>
      </c>
      <c r="M750" s="317"/>
      <c r="N750" s="372">
        <f t="shared" si="576"/>
        <v>0</v>
      </c>
      <c r="O750" s="336">
        <f>L750*1.1</f>
        <v>896500.00000000012</v>
      </c>
      <c r="P750" s="336">
        <f t="shared" si="589"/>
        <v>986150.00000000023</v>
      </c>
      <c r="R750" s="317"/>
      <c r="U750" s="320"/>
    </row>
    <row r="751" spans="1:21" s="344" customFormat="1" outlineLevel="3">
      <c r="A751" s="516"/>
      <c r="B751" s="516"/>
      <c r="C751" s="520">
        <v>2211102</v>
      </c>
      <c r="D751" s="519" t="s">
        <v>53</v>
      </c>
      <c r="E751" s="521">
        <v>870000</v>
      </c>
      <c r="F751" s="521"/>
      <c r="G751" s="521"/>
      <c r="H751" s="521"/>
      <c r="I751" s="324">
        <f t="shared" si="573"/>
        <v>870000</v>
      </c>
      <c r="J751" s="522"/>
      <c r="K751" s="335"/>
      <c r="L751" s="317">
        <f t="shared" si="570"/>
        <v>870000</v>
      </c>
      <c r="M751" s="317"/>
      <c r="N751" s="372">
        <f t="shared" si="576"/>
        <v>0</v>
      </c>
      <c r="O751" s="336">
        <f>L751*1.1</f>
        <v>957000.00000000012</v>
      </c>
      <c r="P751" s="336">
        <f t="shared" si="589"/>
        <v>1052700.0000000002</v>
      </c>
      <c r="R751" s="317"/>
      <c r="U751" s="320"/>
    </row>
    <row r="752" spans="1:21" s="344" customFormat="1" outlineLevel="3">
      <c r="A752" s="519"/>
      <c r="B752" s="519"/>
      <c r="C752" s="520">
        <v>2211103</v>
      </c>
      <c r="D752" s="519" t="s">
        <v>54</v>
      </c>
      <c r="E752" s="521">
        <v>625000</v>
      </c>
      <c r="F752" s="521"/>
      <c r="G752" s="521"/>
      <c r="H752" s="521"/>
      <c r="I752" s="324">
        <f t="shared" si="573"/>
        <v>625000</v>
      </c>
      <c r="J752" s="522"/>
      <c r="K752" s="335"/>
      <c r="L752" s="317">
        <f t="shared" si="570"/>
        <v>625000</v>
      </c>
      <c r="M752" s="317"/>
      <c r="N752" s="372">
        <f t="shared" si="576"/>
        <v>0</v>
      </c>
      <c r="O752" s="336">
        <f t="shared" ref="O752:O758" si="594">L752*1.1</f>
        <v>687500</v>
      </c>
      <c r="P752" s="336">
        <f t="shared" ref="P752:P758" si="595">O752*1.1</f>
        <v>756250.00000000012</v>
      </c>
      <c r="R752" s="317"/>
      <c r="U752" s="320"/>
    </row>
    <row r="753" spans="1:21" s="344" customFormat="1" outlineLevel="3">
      <c r="A753" s="516"/>
      <c r="B753" s="516"/>
      <c r="C753" s="517">
        <v>2211200</v>
      </c>
      <c r="D753" s="516" t="s">
        <v>55</v>
      </c>
      <c r="E753" s="518">
        <f>E754</f>
        <v>3000000</v>
      </c>
      <c r="F753" s="518">
        <f t="shared" ref="F753:K753" si="596">F754</f>
        <v>0</v>
      </c>
      <c r="G753" s="518">
        <f t="shared" si="596"/>
        <v>0</v>
      </c>
      <c r="H753" s="518">
        <f t="shared" si="596"/>
        <v>899999</v>
      </c>
      <c r="I753" s="518">
        <f t="shared" si="596"/>
        <v>3899999</v>
      </c>
      <c r="J753" s="518">
        <f t="shared" si="596"/>
        <v>0</v>
      </c>
      <c r="K753" s="518">
        <f t="shared" si="596"/>
        <v>500000</v>
      </c>
      <c r="L753" s="317">
        <f t="shared" si="570"/>
        <v>4399999</v>
      </c>
      <c r="M753" s="317"/>
      <c r="N753" s="372">
        <f t="shared" si="576"/>
        <v>-500000</v>
      </c>
      <c r="O753" s="518">
        <f t="shared" ref="O753:P753" si="597">O754</f>
        <v>4839998.9000000004</v>
      </c>
      <c r="P753" s="518">
        <f t="shared" si="597"/>
        <v>5323998.790000001</v>
      </c>
      <c r="R753" s="317"/>
      <c r="U753" s="320"/>
    </row>
    <row r="754" spans="1:21" s="344" customFormat="1" outlineLevel="3">
      <c r="A754" s="519"/>
      <c r="B754" s="519"/>
      <c r="C754" s="520">
        <v>2211201</v>
      </c>
      <c r="D754" s="519" t="s">
        <v>161</v>
      </c>
      <c r="E754" s="523">
        <v>3000000</v>
      </c>
      <c r="F754" s="521"/>
      <c r="G754" s="521"/>
      <c r="H754" s="523">
        <f>399999+500000</f>
        <v>899999</v>
      </c>
      <c r="I754" s="324">
        <f t="shared" si="573"/>
        <v>3899999</v>
      </c>
      <c r="J754" s="522"/>
      <c r="K754" s="335">
        <v>500000</v>
      </c>
      <c r="L754" s="317">
        <f t="shared" si="570"/>
        <v>4399999</v>
      </c>
      <c r="M754" s="317"/>
      <c r="N754" s="372">
        <f t="shared" si="576"/>
        <v>-500000</v>
      </c>
      <c r="O754" s="336">
        <f t="shared" si="594"/>
        <v>4839998.9000000004</v>
      </c>
      <c r="P754" s="336">
        <f t="shared" si="595"/>
        <v>5323998.790000001</v>
      </c>
      <c r="R754" s="317"/>
      <c r="U754" s="320"/>
    </row>
    <row r="755" spans="1:21" s="344" customFormat="1" outlineLevel="3">
      <c r="A755" s="516"/>
      <c r="B755" s="516"/>
      <c r="C755" s="453" t="s">
        <v>162</v>
      </c>
      <c r="D755" s="524" t="s">
        <v>57</v>
      </c>
      <c r="E755" s="518">
        <f>E756</f>
        <v>63458</v>
      </c>
      <c r="F755" s="518">
        <f t="shared" ref="F755:K755" si="598">F756</f>
        <v>0</v>
      </c>
      <c r="G755" s="518">
        <f t="shared" si="598"/>
        <v>0</v>
      </c>
      <c r="H755" s="518">
        <f t="shared" si="598"/>
        <v>0</v>
      </c>
      <c r="I755" s="518">
        <f t="shared" si="598"/>
        <v>63458</v>
      </c>
      <c r="J755" s="518">
        <f t="shared" si="598"/>
        <v>0</v>
      </c>
      <c r="K755" s="518">
        <f t="shared" si="598"/>
        <v>0</v>
      </c>
      <c r="L755" s="317">
        <f t="shared" si="570"/>
        <v>63458</v>
      </c>
      <c r="M755" s="317"/>
      <c r="N755" s="372">
        <f t="shared" si="576"/>
        <v>0</v>
      </c>
      <c r="O755" s="518">
        <f t="shared" ref="O755:P755" si="599">O756</f>
        <v>69803.8</v>
      </c>
      <c r="P755" s="518">
        <f t="shared" si="599"/>
        <v>76784.180000000008</v>
      </c>
      <c r="R755" s="317"/>
      <c r="U755" s="320"/>
    </row>
    <row r="756" spans="1:21" s="344" customFormat="1" outlineLevel="3">
      <c r="A756" s="519"/>
      <c r="B756" s="519"/>
      <c r="C756" s="455">
        <v>2211399</v>
      </c>
      <c r="D756" s="525" t="s">
        <v>1582</v>
      </c>
      <c r="E756" s="521">
        <v>63458</v>
      </c>
      <c r="F756" s="521"/>
      <c r="G756" s="521"/>
      <c r="H756" s="521"/>
      <c r="I756" s="324">
        <f t="shared" si="573"/>
        <v>63458</v>
      </c>
      <c r="J756" s="522"/>
      <c r="K756" s="335"/>
      <c r="L756" s="317">
        <f t="shared" si="570"/>
        <v>63458</v>
      </c>
      <c r="M756" s="317"/>
      <c r="N756" s="372">
        <f t="shared" si="576"/>
        <v>0</v>
      </c>
      <c r="O756" s="336">
        <f t="shared" si="594"/>
        <v>69803.8</v>
      </c>
      <c r="P756" s="336">
        <f t="shared" si="595"/>
        <v>76784.180000000008</v>
      </c>
      <c r="R756" s="317"/>
      <c r="U756" s="320"/>
    </row>
    <row r="757" spans="1:21" s="344" customFormat="1" outlineLevel="3">
      <c r="A757" s="519"/>
      <c r="B757" s="519"/>
      <c r="C757" s="517">
        <v>2220100</v>
      </c>
      <c r="D757" s="516" t="s">
        <v>62</v>
      </c>
      <c r="E757" s="518">
        <f>E758+E759</f>
        <v>659555</v>
      </c>
      <c r="F757" s="518">
        <f t="shared" ref="F757:P757" si="600">F758+F759</f>
        <v>0</v>
      </c>
      <c r="G757" s="518">
        <f t="shared" si="600"/>
        <v>0</v>
      </c>
      <c r="H757" s="518">
        <f t="shared" si="600"/>
        <v>657710</v>
      </c>
      <c r="I757" s="518">
        <f t="shared" si="600"/>
        <v>1317265</v>
      </c>
      <c r="J757" s="518">
        <f t="shared" si="600"/>
        <v>0</v>
      </c>
      <c r="K757" s="518">
        <f t="shared" si="600"/>
        <v>0</v>
      </c>
      <c r="L757" s="317">
        <f t="shared" si="570"/>
        <v>1317265</v>
      </c>
      <c r="M757" s="317"/>
      <c r="N757" s="372">
        <f t="shared" si="576"/>
        <v>0</v>
      </c>
      <c r="O757" s="518">
        <f t="shared" si="600"/>
        <v>1448991.5</v>
      </c>
      <c r="P757" s="518">
        <f t="shared" si="600"/>
        <v>1593890.6500000004</v>
      </c>
      <c r="R757" s="317"/>
      <c r="U757" s="320"/>
    </row>
    <row r="758" spans="1:21" s="344" customFormat="1" outlineLevel="3">
      <c r="A758" s="516"/>
      <c r="B758" s="516"/>
      <c r="C758" s="520">
        <v>2220101</v>
      </c>
      <c r="D758" s="519" t="s">
        <v>63</v>
      </c>
      <c r="E758" s="521">
        <v>309555</v>
      </c>
      <c r="F758" s="521"/>
      <c r="G758" s="521"/>
      <c r="H758" s="521">
        <v>657710</v>
      </c>
      <c r="I758" s="324">
        <f t="shared" si="573"/>
        <v>967265</v>
      </c>
      <c r="J758" s="522"/>
      <c r="K758" s="335"/>
      <c r="L758" s="317">
        <f t="shared" si="570"/>
        <v>967265</v>
      </c>
      <c r="M758" s="317"/>
      <c r="N758" s="372">
        <f t="shared" si="576"/>
        <v>0</v>
      </c>
      <c r="O758" s="336">
        <f t="shared" si="594"/>
        <v>1063991.5</v>
      </c>
      <c r="P758" s="336">
        <f t="shared" si="595"/>
        <v>1170390.6500000001</v>
      </c>
      <c r="R758" s="317"/>
      <c r="U758" s="320"/>
    </row>
    <row r="759" spans="1:21" s="344" customFormat="1" outlineLevel="3">
      <c r="A759" s="519"/>
      <c r="B759" s="519"/>
      <c r="C759" s="520">
        <v>2220105</v>
      </c>
      <c r="D759" s="519" t="s">
        <v>64</v>
      </c>
      <c r="E759" s="521">
        <v>350000</v>
      </c>
      <c r="F759" s="521"/>
      <c r="G759" s="521"/>
      <c r="H759" s="521"/>
      <c r="I759" s="324">
        <f t="shared" si="573"/>
        <v>350000</v>
      </c>
      <c r="J759" s="522"/>
      <c r="K759" s="335"/>
      <c r="L759" s="317">
        <f t="shared" si="570"/>
        <v>350000</v>
      </c>
      <c r="M759" s="317"/>
      <c r="N759" s="372">
        <f t="shared" si="576"/>
        <v>0</v>
      </c>
      <c r="O759" s="336">
        <f>L759*1.1</f>
        <v>385000.00000000006</v>
      </c>
      <c r="P759" s="336">
        <f t="shared" si="589"/>
        <v>423500.00000000012</v>
      </c>
      <c r="R759" s="317"/>
      <c r="U759" s="320"/>
    </row>
    <row r="760" spans="1:21" s="344" customFormat="1" outlineLevel="3">
      <c r="A760" s="519"/>
      <c r="B760" s="519"/>
      <c r="C760" s="517">
        <v>2220200</v>
      </c>
      <c r="D760" s="516" t="s">
        <v>124</v>
      </c>
      <c r="E760" s="518">
        <f>E761+E762</f>
        <v>140000</v>
      </c>
      <c r="F760" s="518">
        <f t="shared" ref="F760:K760" si="601">F761+F762</f>
        <v>0</v>
      </c>
      <c r="G760" s="518">
        <f t="shared" si="601"/>
        <v>0</v>
      </c>
      <c r="H760" s="518">
        <f t="shared" si="601"/>
        <v>0</v>
      </c>
      <c r="I760" s="518">
        <f t="shared" si="601"/>
        <v>140000</v>
      </c>
      <c r="J760" s="518">
        <f t="shared" si="601"/>
        <v>0</v>
      </c>
      <c r="K760" s="518">
        <f t="shared" si="601"/>
        <v>-80000</v>
      </c>
      <c r="L760" s="317">
        <f t="shared" si="570"/>
        <v>60000</v>
      </c>
      <c r="M760" s="317"/>
      <c r="N760" s="372">
        <f t="shared" si="576"/>
        <v>80000</v>
      </c>
      <c r="O760" s="518">
        <f t="shared" ref="O760:P760" si="602">O761+O762</f>
        <v>66000</v>
      </c>
      <c r="P760" s="518">
        <f t="shared" si="602"/>
        <v>72600</v>
      </c>
      <c r="R760" s="317"/>
      <c r="U760" s="320"/>
    </row>
    <row r="761" spans="1:21" s="344" customFormat="1" outlineLevel="3">
      <c r="A761" s="519"/>
      <c r="B761" s="519"/>
      <c r="C761" s="520">
        <v>2220205</v>
      </c>
      <c r="D761" s="519" t="s">
        <v>125</v>
      </c>
      <c r="E761" s="521">
        <v>80000</v>
      </c>
      <c r="F761" s="521"/>
      <c r="G761" s="521"/>
      <c r="H761" s="521"/>
      <c r="I761" s="324">
        <f t="shared" si="573"/>
        <v>80000</v>
      </c>
      <c r="J761" s="522"/>
      <c r="K761" s="335">
        <v>-80000</v>
      </c>
      <c r="L761" s="317">
        <f t="shared" si="570"/>
        <v>0</v>
      </c>
      <c r="M761" s="317"/>
      <c r="N761" s="372">
        <f t="shared" si="576"/>
        <v>80000</v>
      </c>
      <c r="O761" s="336">
        <f>L761*1.1</f>
        <v>0</v>
      </c>
      <c r="P761" s="336">
        <f t="shared" si="589"/>
        <v>0</v>
      </c>
      <c r="R761" s="317"/>
      <c r="U761" s="320"/>
    </row>
    <row r="762" spans="1:21" s="344" customFormat="1" outlineLevel="3">
      <c r="A762" s="519"/>
      <c r="B762" s="519"/>
      <c r="C762" s="520">
        <v>2220210</v>
      </c>
      <c r="D762" s="519" t="s">
        <v>163</v>
      </c>
      <c r="E762" s="521">
        <v>60000</v>
      </c>
      <c r="F762" s="521"/>
      <c r="G762" s="521"/>
      <c r="H762" s="521"/>
      <c r="I762" s="324">
        <f t="shared" si="573"/>
        <v>60000</v>
      </c>
      <c r="J762" s="522"/>
      <c r="K762" s="335"/>
      <c r="L762" s="317">
        <f t="shared" si="570"/>
        <v>60000</v>
      </c>
      <c r="M762" s="317"/>
      <c r="N762" s="372">
        <f t="shared" si="576"/>
        <v>0</v>
      </c>
      <c r="O762" s="336">
        <f>L762*1.1</f>
        <v>66000</v>
      </c>
      <c r="P762" s="336">
        <f t="shared" si="589"/>
        <v>72600</v>
      </c>
      <c r="R762" s="317"/>
      <c r="U762" s="320"/>
    </row>
    <row r="763" spans="1:21" s="344" customFormat="1" outlineLevel="3">
      <c r="A763" s="516"/>
      <c r="B763" s="516"/>
      <c r="C763" s="453">
        <v>3110700</v>
      </c>
      <c r="D763" s="524" t="s">
        <v>65</v>
      </c>
      <c r="E763" s="518">
        <f>E764</f>
        <v>0</v>
      </c>
      <c r="F763" s="518">
        <f t="shared" ref="F763:P763" si="603">F764</f>
        <v>0</v>
      </c>
      <c r="G763" s="518">
        <f t="shared" si="603"/>
        <v>0</v>
      </c>
      <c r="H763" s="518">
        <f t="shared" si="603"/>
        <v>0</v>
      </c>
      <c r="I763" s="518">
        <f t="shared" si="603"/>
        <v>0</v>
      </c>
      <c r="J763" s="518">
        <f t="shared" si="603"/>
        <v>0</v>
      </c>
      <c r="K763" s="518">
        <f t="shared" si="603"/>
        <v>0</v>
      </c>
      <c r="L763" s="317">
        <f t="shared" si="570"/>
        <v>0</v>
      </c>
      <c r="M763" s="317"/>
      <c r="N763" s="372">
        <f t="shared" si="576"/>
        <v>0</v>
      </c>
      <c r="O763" s="518">
        <f t="shared" si="603"/>
        <v>0</v>
      </c>
      <c r="P763" s="518">
        <f t="shared" si="603"/>
        <v>0</v>
      </c>
      <c r="R763" s="317"/>
      <c r="U763" s="320"/>
    </row>
    <row r="764" spans="1:21" s="344" customFormat="1" outlineLevel="3">
      <c r="A764" s="519"/>
      <c r="B764" s="519"/>
      <c r="C764" s="455">
        <v>3110701</v>
      </c>
      <c r="D764" s="526" t="s">
        <v>1784</v>
      </c>
      <c r="E764" s="523">
        <v>0</v>
      </c>
      <c r="F764" s="521"/>
      <c r="G764" s="521"/>
      <c r="H764" s="521"/>
      <c r="I764" s="324">
        <f t="shared" si="573"/>
        <v>0</v>
      </c>
      <c r="J764" s="522"/>
      <c r="K764" s="335"/>
      <c r="L764" s="317">
        <f t="shared" si="570"/>
        <v>0</v>
      </c>
      <c r="M764" s="317"/>
      <c r="N764" s="372">
        <f t="shared" si="576"/>
        <v>0</v>
      </c>
      <c r="O764" s="336">
        <f>L764*1.1</f>
        <v>0</v>
      </c>
      <c r="P764" s="527">
        <f t="shared" ref="P764:P766" si="604">O764*1.1</f>
        <v>0</v>
      </c>
      <c r="R764" s="317"/>
      <c r="U764" s="320"/>
    </row>
    <row r="765" spans="1:21" s="344" customFormat="1" outlineLevel="3">
      <c r="A765" s="519"/>
      <c r="B765" s="519"/>
      <c r="C765" s="528" t="s">
        <v>66</v>
      </c>
      <c r="D765" s="454" t="s">
        <v>67</v>
      </c>
      <c r="E765" s="529">
        <f>E766+E767</f>
        <v>0</v>
      </c>
      <c r="F765" s="529">
        <f t="shared" ref="F765:P765" si="605">F766+F767</f>
        <v>0</v>
      </c>
      <c r="G765" s="529">
        <f t="shared" si="605"/>
        <v>0</v>
      </c>
      <c r="H765" s="529">
        <f t="shared" si="605"/>
        <v>0</v>
      </c>
      <c r="I765" s="529">
        <f t="shared" si="605"/>
        <v>0</v>
      </c>
      <c r="J765" s="518">
        <f t="shared" si="605"/>
        <v>0</v>
      </c>
      <c r="K765" s="518">
        <f t="shared" si="605"/>
        <v>0</v>
      </c>
      <c r="L765" s="317">
        <f t="shared" si="570"/>
        <v>0</v>
      </c>
      <c r="M765" s="317"/>
      <c r="N765" s="372">
        <f t="shared" si="576"/>
        <v>0</v>
      </c>
      <c r="O765" s="529">
        <f t="shared" si="605"/>
        <v>0</v>
      </c>
      <c r="P765" s="529">
        <f t="shared" si="605"/>
        <v>0</v>
      </c>
      <c r="R765" s="317"/>
      <c r="U765" s="320"/>
    </row>
    <row r="766" spans="1:21" s="344" customFormat="1" outlineLevel="3">
      <c r="A766" s="530"/>
      <c r="B766" s="530"/>
      <c r="C766" s="455">
        <v>3111003</v>
      </c>
      <c r="D766" s="456" t="s">
        <v>1583</v>
      </c>
      <c r="E766" s="523">
        <v>0</v>
      </c>
      <c r="F766" s="457"/>
      <c r="G766" s="457"/>
      <c r="H766" s="457"/>
      <c r="I766" s="324">
        <f t="shared" si="573"/>
        <v>0</v>
      </c>
      <c r="J766" s="522"/>
      <c r="K766" s="335"/>
      <c r="L766" s="317">
        <f t="shared" si="570"/>
        <v>0</v>
      </c>
      <c r="M766" s="317"/>
      <c r="N766" s="372">
        <f t="shared" si="576"/>
        <v>0</v>
      </c>
      <c r="O766" s="531">
        <f>L766*1.1</f>
        <v>0</v>
      </c>
      <c r="P766" s="527">
        <f t="shared" si="604"/>
        <v>0</v>
      </c>
      <c r="R766" s="317"/>
      <c r="U766" s="320"/>
    </row>
    <row r="767" spans="1:21" s="344" customFormat="1" outlineLevel="3">
      <c r="A767" s="519"/>
      <c r="B767" s="519"/>
      <c r="C767" s="455">
        <v>3111005</v>
      </c>
      <c r="D767" s="456" t="s">
        <v>68</v>
      </c>
      <c r="E767" s="523"/>
      <c r="F767" s="457"/>
      <c r="G767" s="457"/>
      <c r="H767" s="457"/>
      <c r="I767" s="324">
        <f t="shared" si="573"/>
        <v>0</v>
      </c>
      <c r="J767" s="522"/>
      <c r="K767" s="335"/>
      <c r="L767" s="317">
        <f t="shared" si="570"/>
        <v>0</v>
      </c>
      <c r="M767" s="317"/>
      <c r="N767" s="372">
        <f t="shared" si="576"/>
        <v>0</v>
      </c>
      <c r="O767" s="336">
        <f>L767*1.1</f>
        <v>0</v>
      </c>
      <c r="P767" s="336">
        <f t="shared" ref="P767:P785" si="606">O767*1.1</f>
        <v>0</v>
      </c>
      <c r="R767" s="317"/>
      <c r="U767" s="320"/>
    </row>
    <row r="768" spans="1:21" s="344" customFormat="1" outlineLevel="3">
      <c r="A768" s="532"/>
      <c r="B768" s="532"/>
      <c r="C768" s="533">
        <v>3111000</v>
      </c>
      <c r="D768" s="534" t="s">
        <v>69</v>
      </c>
      <c r="E768" s="535">
        <f>E769+E770</f>
        <v>7177222</v>
      </c>
      <c r="F768" s="535">
        <f t="shared" ref="F768:P768" si="607">F769+F770</f>
        <v>0</v>
      </c>
      <c r="G768" s="535">
        <f t="shared" si="607"/>
        <v>0</v>
      </c>
      <c r="H768" s="535">
        <f t="shared" si="607"/>
        <v>7649536</v>
      </c>
      <c r="I768" s="535">
        <f t="shared" si="607"/>
        <v>14826758</v>
      </c>
      <c r="J768" s="535">
        <f t="shared" si="607"/>
        <v>0</v>
      </c>
      <c r="K768" s="535">
        <f t="shared" si="607"/>
        <v>-2500</v>
      </c>
      <c r="L768" s="317">
        <f t="shared" si="570"/>
        <v>14824258</v>
      </c>
      <c r="M768" s="2212"/>
      <c r="N768" s="372">
        <f t="shared" si="576"/>
        <v>2500</v>
      </c>
      <c r="O768" s="535">
        <f t="shared" si="607"/>
        <v>16306683.800000001</v>
      </c>
      <c r="P768" s="535">
        <f t="shared" si="607"/>
        <v>17937352.180000003</v>
      </c>
      <c r="R768" s="317"/>
      <c r="U768" s="320"/>
    </row>
    <row r="769" spans="1:21" s="344" customFormat="1" outlineLevel="3">
      <c r="A769" s="516"/>
      <c r="B769" s="516"/>
      <c r="C769" s="455">
        <v>3111001</v>
      </c>
      <c r="D769" s="526" t="s">
        <v>1584</v>
      </c>
      <c r="E769" s="521">
        <v>6527222</v>
      </c>
      <c r="F769" s="521"/>
      <c r="G769" s="521"/>
      <c r="H769" s="521">
        <f>7649536-6527222+6527222</f>
        <v>7649536</v>
      </c>
      <c r="I769" s="324">
        <f t="shared" si="573"/>
        <v>14176758</v>
      </c>
      <c r="J769" s="522"/>
      <c r="K769" s="335"/>
      <c r="L769" s="317">
        <f t="shared" si="570"/>
        <v>14176758</v>
      </c>
      <c r="M769" s="2210"/>
      <c r="N769" s="372">
        <f t="shared" si="576"/>
        <v>0</v>
      </c>
      <c r="O769" s="536">
        <f>L769*1.1</f>
        <v>15594433.800000001</v>
      </c>
      <c r="P769" s="471">
        <f>O769*1.1</f>
        <v>17153877.180000003</v>
      </c>
      <c r="R769" s="317"/>
      <c r="U769" s="320"/>
    </row>
    <row r="770" spans="1:21" s="344" customFormat="1" outlineLevel="3">
      <c r="A770" s="537"/>
      <c r="B770" s="537"/>
      <c r="C770" s="538">
        <v>3111002</v>
      </c>
      <c r="D770" s="539" t="s">
        <v>71</v>
      </c>
      <c r="E770" s="540">
        <v>650000</v>
      </c>
      <c r="F770" s="541"/>
      <c r="G770" s="541"/>
      <c r="H770" s="541"/>
      <c r="I770" s="324">
        <f t="shared" si="573"/>
        <v>650000</v>
      </c>
      <c r="J770" s="522"/>
      <c r="K770" s="335">
        <v>-2500</v>
      </c>
      <c r="L770" s="317">
        <f t="shared" si="570"/>
        <v>647500</v>
      </c>
      <c r="M770" s="317"/>
      <c r="N770" s="372">
        <f t="shared" si="576"/>
        <v>2500</v>
      </c>
      <c r="O770" s="336">
        <f>L770*1.1</f>
        <v>712250</v>
      </c>
      <c r="P770" s="336">
        <f t="shared" si="606"/>
        <v>783475.00000000012</v>
      </c>
      <c r="R770" s="317"/>
      <c r="U770" s="320"/>
    </row>
    <row r="771" spans="1:21" s="344" customFormat="1" outlineLevel="2">
      <c r="A771" s="519"/>
      <c r="B771" s="519"/>
      <c r="C771" s="453">
        <v>3111400</v>
      </c>
      <c r="D771" s="454" t="s">
        <v>75</v>
      </c>
      <c r="E771" s="397">
        <f>E772</f>
        <v>680000</v>
      </c>
      <c r="F771" s="397">
        <f t="shared" ref="F771:K771" si="608">F772</f>
        <v>0</v>
      </c>
      <c r="G771" s="397">
        <f t="shared" si="608"/>
        <v>0</v>
      </c>
      <c r="H771" s="397">
        <f t="shared" si="608"/>
        <v>0</v>
      </c>
      <c r="I771" s="397">
        <f t="shared" si="608"/>
        <v>680000</v>
      </c>
      <c r="J771" s="397">
        <f t="shared" si="608"/>
        <v>0</v>
      </c>
      <c r="K771" s="397">
        <f t="shared" si="608"/>
        <v>0</v>
      </c>
      <c r="L771" s="317">
        <f t="shared" si="570"/>
        <v>680000</v>
      </c>
      <c r="M771" s="317"/>
      <c r="N771" s="372">
        <f t="shared" si="576"/>
        <v>0</v>
      </c>
      <c r="O771" s="397">
        <f t="shared" ref="O771:P771" si="609">O772</f>
        <v>748000.00000000012</v>
      </c>
      <c r="P771" s="397">
        <f t="shared" si="609"/>
        <v>822800.00000000023</v>
      </c>
      <c r="R771" s="317"/>
      <c r="U771" s="320"/>
    </row>
    <row r="772" spans="1:21" s="344" customFormat="1" outlineLevel="2">
      <c r="A772" s="519"/>
      <c r="B772" s="519"/>
      <c r="C772" s="455">
        <v>3111402</v>
      </c>
      <c r="D772" s="456" t="s">
        <v>1585</v>
      </c>
      <c r="E772" s="521">
        <f>1930000-1000000-250000</f>
        <v>680000</v>
      </c>
      <c r="F772" s="457"/>
      <c r="G772" s="457"/>
      <c r="H772" s="457"/>
      <c r="I772" s="324">
        <f t="shared" si="573"/>
        <v>680000</v>
      </c>
      <c r="J772" s="522"/>
      <c r="K772" s="335"/>
      <c r="L772" s="317">
        <f t="shared" ref="L772:L835" si="610">I772+J772+K772</f>
        <v>680000</v>
      </c>
      <c r="M772" s="317"/>
      <c r="N772" s="372">
        <f t="shared" si="576"/>
        <v>0</v>
      </c>
      <c r="O772" s="336">
        <f>L772*1.1</f>
        <v>748000.00000000012</v>
      </c>
      <c r="P772" s="336">
        <f t="shared" si="606"/>
        <v>822800.00000000023</v>
      </c>
      <c r="R772" s="317"/>
      <c r="U772" s="320"/>
    </row>
    <row r="773" spans="1:21" s="344" customFormat="1" outlineLevel="2">
      <c r="A773" s="516"/>
      <c r="B773" s="516"/>
      <c r="C773" s="542"/>
      <c r="D773" s="543" t="s">
        <v>128</v>
      </c>
      <c r="E773" s="518">
        <f>E771+E768+E765+E763+E760+E757+E755+E753+E749+E745+E742+E737+E730+E728+E723+E718+E714+E711+E709</f>
        <v>58056987.5</v>
      </c>
      <c r="F773" s="518">
        <f t="shared" ref="F773:K773" si="611">F771+F768+F765+F763+F760+F757+F755+F753+F749+F745+F742+F737+F730+F728+F723+F718+F714+F711+F709</f>
        <v>0</v>
      </c>
      <c r="G773" s="518">
        <f t="shared" si="611"/>
        <v>0</v>
      </c>
      <c r="H773" s="518">
        <f t="shared" si="611"/>
        <v>10239402</v>
      </c>
      <c r="I773" s="518">
        <f t="shared" si="611"/>
        <v>68296389.5</v>
      </c>
      <c r="J773" s="518">
        <f t="shared" si="611"/>
        <v>0</v>
      </c>
      <c r="K773" s="518">
        <f t="shared" si="611"/>
        <v>925863</v>
      </c>
      <c r="L773" s="317">
        <f t="shared" si="610"/>
        <v>69222252.5</v>
      </c>
      <c r="M773" s="317"/>
      <c r="N773" s="372">
        <f t="shared" si="576"/>
        <v>-925863</v>
      </c>
      <c r="O773" s="518">
        <f t="shared" ref="O773:P773" si="612">O771+O768+O765+O763+O760+O757+O755+O753+O749+O745+O742+O737+O730+O728+O723+O718+O714+O711+O709</f>
        <v>76144477.75</v>
      </c>
      <c r="P773" s="518">
        <f t="shared" si="612"/>
        <v>83758925.525000006</v>
      </c>
      <c r="R773" s="317"/>
      <c r="U773" s="320"/>
    </row>
    <row r="774" spans="1:21" s="344" customFormat="1" outlineLevel="3">
      <c r="A774" s="519"/>
      <c r="B774" s="519"/>
      <c r="C774" s="520"/>
      <c r="D774" s="519"/>
      <c r="E774" s="523"/>
      <c r="F774" s="521"/>
      <c r="G774" s="521"/>
      <c r="H774" s="521"/>
      <c r="I774" s="324">
        <f t="shared" ref="I774:I837" si="613">E774+F774+G774+H774</f>
        <v>0</v>
      </c>
      <c r="J774" s="522"/>
      <c r="K774" s="335"/>
      <c r="L774" s="317">
        <f t="shared" si="610"/>
        <v>0</v>
      </c>
      <c r="M774" s="317"/>
      <c r="N774" s="372">
        <f t="shared" si="576"/>
        <v>0</v>
      </c>
      <c r="O774" s="336">
        <f>L774*1.1</f>
        <v>0</v>
      </c>
      <c r="P774" s="336">
        <f t="shared" si="606"/>
        <v>0</v>
      </c>
      <c r="R774" s="317"/>
      <c r="U774" s="320"/>
    </row>
    <row r="775" spans="1:21" s="344" customFormat="1" outlineLevel="3">
      <c r="A775" s="543"/>
      <c r="B775" s="543"/>
      <c r="C775" s="520"/>
      <c r="D775" s="516" t="s">
        <v>92</v>
      </c>
      <c r="E775" s="523"/>
      <c r="F775" s="544"/>
      <c r="G775" s="544"/>
      <c r="H775" s="544"/>
      <c r="I775" s="324">
        <f t="shared" si="613"/>
        <v>0</v>
      </c>
      <c r="J775" s="522"/>
      <c r="K775" s="335"/>
      <c r="L775" s="317">
        <f t="shared" si="610"/>
        <v>0</v>
      </c>
      <c r="M775" s="317"/>
      <c r="N775" s="372">
        <f t="shared" si="576"/>
        <v>0</v>
      </c>
      <c r="O775" s="336">
        <f>L775*1.1</f>
        <v>0</v>
      </c>
      <c r="P775" s="336">
        <f t="shared" si="606"/>
        <v>0</v>
      </c>
      <c r="R775" s="317"/>
      <c r="U775" s="320"/>
    </row>
    <row r="776" spans="1:21" s="344" customFormat="1" outlineLevel="3">
      <c r="A776" s="545"/>
      <c r="B776" s="545"/>
      <c r="C776" s="546">
        <v>3110200</v>
      </c>
      <c r="D776" s="547" t="s">
        <v>164</v>
      </c>
      <c r="E776" s="535">
        <f>SUM(E777:E780)</f>
        <v>88980628.444713712</v>
      </c>
      <c r="F776" s="535">
        <f t="shared" ref="F776:P776" si="614">SUM(F777:F780)</f>
        <v>54111004.178397506</v>
      </c>
      <c r="G776" s="535">
        <f t="shared" si="614"/>
        <v>21951042</v>
      </c>
      <c r="H776" s="535">
        <f t="shared" si="614"/>
        <v>-32190444</v>
      </c>
      <c r="I776" s="535">
        <f t="shared" si="614"/>
        <v>132852230.62311122</v>
      </c>
      <c r="J776" s="535">
        <f t="shared" si="614"/>
        <v>-326916</v>
      </c>
      <c r="K776" s="535">
        <f t="shared" si="614"/>
        <v>0</v>
      </c>
      <c r="L776" s="317">
        <f t="shared" si="610"/>
        <v>132525314.62311122</v>
      </c>
      <c r="M776" s="2212"/>
      <c r="N776" s="372">
        <f t="shared" ref="N776:N839" si="615">M776-K776</f>
        <v>0</v>
      </c>
      <c r="O776" s="535">
        <f t="shared" si="614"/>
        <v>56828904</v>
      </c>
      <c r="P776" s="535">
        <f t="shared" si="614"/>
        <v>62511794.400000006</v>
      </c>
      <c r="R776" s="317"/>
      <c r="U776" s="320"/>
    </row>
    <row r="777" spans="1:21" s="325" customFormat="1" outlineLevel="3">
      <c r="A777" s="519"/>
      <c r="B777" s="519"/>
      <c r="C777" s="520">
        <v>3110202</v>
      </c>
      <c r="D777" s="519" t="s">
        <v>2453</v>
      </c>
      <c r="E777" s="523">
        <v>15000000</v>
      </c>
      <c r="F777" s="521"/>
      <c r="G777" s="521"/>
      <c r="H777" s="523">
        <v>-10000000</v>
      </c>
      <c r="I777" s="324">
        <f t="shared" si="613"/>
        <v>5000000</v>
      </c>
      <c r="J777" s="522">
        <v>3087450</v>
      </c>
      <c r="K777" s="335">
        <v>0</v>
      </c>
      <c r="L777" s="317">
        <f t="shared" si="610"/>
        <v>8087450</v>
      </c>
      <c r="M777" s="2210"/>
      <c r="N777" s="372">
        <f t="shared" si="615"/>
        <v>0</v>
      </c>
      <c r="O777" s="357">
        <f>L777*1.1</f>
        <v>8896195</v>
      </c>
      <c r="P777" s="336">
        <f t="shared" si="606"/>
        <v>9785814.5</v>
      </c>
      <c r="Q777" s="325">
        <v>-1981973</v>
      </c>
      <c r="R777" s="317"/>
      <c r="U777" s="320" t="s">
        <v>1803</v>
      </c>
    </row>
    <row r="778" spans="1:21" s="344" customFormat="1" outlineLevel="3">
      <c r="A778" s="519"/>
      <c r="B778" s="519"/>
      <c r="C778" s="455" t="s">
        <v>165</v>
      </c>
      <c r="D778" s="548" t="s">
        <v>1586</v>
      </c>
      <c r="E778" s="523">
        <f>34468930-4468930+18500000</f>
        <v>48500000</v>
      </c>
      <c r="F778" s="457"/>
      <c r="G778" s="457"/>
      <c r="H778" s="523">
        <f>-5400000-16290444-500000</f>
        <v>-22190444</v>
      </c>
      <c r="I778" s="324">
        <f t="shared" si="613"/>
        <v>26309556</v>
      </c>
      <c r="J778" s="549">
        <f>-3414366</f>
        <v>-3414366</v>
      </c>
      <c r="K778" s="335">
        <v>0</v>
      </c>
      <c r="L778" s="317">
        <f t="shared" si="610"/>
        <v>22895190</v>
      </c>
      <c r="M778" s="2210"/>
      <c r="N778" s="372">
        <f t="shared" si="615"/>
        <v>0</v>
      </c>
      <c r="O778" s="357">
        <f>L778*1.1</f>
        <v>25184709.000000004</v>
      </c>
      <c r="P778" s="336">
        <f t="shared" si="606"/>
        <v>27703179.900000006</v>
      </c>
      <c r="R778" s="317"/>
      <c r="U778" s="320" t="s">
        <v>1803</v>
      </c>
    </row>
    <row r="779" spans="1:21" s="344" customFormat="1" outlineLevel="2">
      <c r="A779" s="550" t="s">
        <v>168</v>
      </c>
      <c r="B779" s="550"/>
      <c r="C779" s="551" t="s">
        <v>165</v>
      </c>
      <c r="D779" s="552" t="s">
        <v>2445</v>
      </c>
      <c r="E779" s="553">
        <v>10000000</v>
      </c>
      <c r="F779" s="554"/>
      <c r="G779" s="554"/>
      <c r="H779" s="554"/>
      <c r="I779" s="324">
        <f t="shared" si="613"/>
        <v>10000000</v>
      </c>
      <c r="J779" s="522"/>
      <c r="K779" s="335">
        <v>0</v>
      </c>
      <c r="L779" s="317">
        <f t="shared" si="610"/>
        <v>10000000</v>
      </c>
      <c r="M779" s="317"/>
      <c r="N779" s="372">
        <f t="shared" si="615"/>
        <v>0</v>
      </c>
      <c r="O779" s="555">
        <f>L779*1.1</f>
        <v>11000000</v>
      </c>
      <c r="P779" s="555">
        <f>O779*1.1</f>
        <v>12100000.000000002</v>
      </c>
      <c r="R779" s="317"/>
      <c r="U779" s="320"/>
    </row>
    <row r="780" spans="1:21" s="344" customFormat="1" outlineLevel="1">
      <c r="A780" s="530"/>
      <c r="B780" s="530" t="s">
        <v>146</v>
      </c>
      <c r="C780" s="455" t="s">
        <v>165</v>
      </c>
      <c r="D780" s="548" t="s">
        <v>2424</v>
      </c>
      <c r="E780" s="458">
        <v>15480628.444713719</v>
      </c>
      <c r="F780" s="556">
        <v>54111004.178397506</v>
      </c>
      <c r="G780" s="457">
        <v>21951042</v>
      </c>
      <c r="H780" s="458">
        <v>0</v>
      </c>
      <c r="I780" s="324">
        <f t="shared" si="613"/>
        <v>91542674.623111218</v>
      </c>
      <c r="J780" s="522"/>
      <c r="K780" s="335">
        <v>0</v>
      </c>
      <c r="L780" s="317">
        <f t="shared" si="610"/>
        <v>91542674.623111218</v>
      </c>
      <c r="M780" s="2210"/>
      <c r="N780" s="372">
        <f t="shared" si="615"/>
        <v>0</v>
      </c>
      <c r="O780" s="557">
        <f t="shared" ref="O780:P780" si="616">O771+O779</f>
        <v>11748000</v>
      </c>
      <c r="P780" s="527">
        <f t="shared" si="616"/>
        <v>12922800.000000002</v>
      </c>
      <c r="R780" s="317"/>
      <c r="U780" s="320"/>
    </row>
    <row r="781" spans="1:21" s="344" customFormat="1" outlineLevel="1">
      <c r="A781" s="558"/>
      <c r="B781" s="558"/>
      <c r="C781" s="559" t="s">
        <v>1785</v>
      </c>
      <c r="D781" s="560" t="s">
        <v>166</v>
      </c>
      <c r="E781" s="393">
        <f>E782</f>
        <v>0</v>
      </c>
      <c r="F781" s="393">
        <f t="shared" ref="F781:P781" si="617">F782</f>
        <v>0</v>
      </c>
      <c r="G781" s="393">
        <f t="shared" si="617"/>
        <v>0</v>
      </c>
      <c r="H781" s="393">
        <f t="shared" si="617"/>
        <v>0</v>
      </c>
      <c r="I781" s="393">
        <f t="shared" si="617"/>
        <v>0</v>
      </c>
      <c r="J781" s="561">
        <f t="shared" si="617"/>
        <v>0</v>
      </c>
      <c r="K781" s="561">
        <f t="shared" si="617"/>
        <v>0</v>
      </c>
      <c r="L781" s="317">
        <f t="shared" si="610"/>
        <v>0</v>
      </c>
      <c r="M781" s="2211"/>
      <c r="N781" s="372">
        <f t="shared" si="615"/>
        <v>0</v>
      </c>
      <c r="O781" s="393">
        <f t="shared" si="617"/>
        <v>0</v>
      </c>
      <c r="P781" s="393">
        <f t="shared" si="617"/>
        <v>0</v>
      </c>
      <c r="R781" s="317"/>
      <c r="U781" s="320"/>
    </row>
    <row r="782" spans="1:21" s="344" customFormat="1" outlineLevel="1">
      <c r="A782" s="519"/>
      <c r="B782" s="519"/>
      <c r="C782" s="520">
        <v>3130101</v>
      </c>
      <c r="D782" s="519" t="s">
        <v>1786</v>
      </c>
      <c r="E782" s="458">
        <v>0</v>
      </c>
      <c r="F782" s="521"/>
      <c r="G782" s="521"/>
      <c r="H782" s="521"/>
      <c r="I782" s="324">
        <f t="shared" si="613"/>
        <v>0</v>
      </c>
      <c r="J782" s="522"/>
      <c r="K782" s="335"/>
      <c r="L782" s="317">
        <f t="shared" si="610"/>
        <v>0</v>
      </c>
      <c r="M782" s="317"/>
      <c r="N782" s="372">
        <f t="shared" si="615"/>
        <v>0</v>
      </c>
      <c r="O782" s="336">
        <f>L782*1.1</f>
        <v>0</v>
      </c>
      <c r="P782" s="336">
        <f t="shared" si="606"/>
        <v>0</v>
      </c>
      <c r="R782" s="317"/>
      <c r="U782" s="320"/>
    </row>
    <row r="783" spans="1:21" s="344" customFormat="1" outlineLevel="1">
      <c r="A783" s="519"/>
      <c r="B783" s="519"/>
      <c r="C783" s="562"/>
      <c r="D783" s="543" t="s">
        <v>167</v>
      </c>
      <c r="E783" s="518">
        <f>E776+E781</f>
        <v>88980628.444713712</v>
      </c>
      <c r="F783" s="518">
        <f t="shared" ref="F783:K783" si="618">F776+F781</f>
        <v>54111004.178397506</v>
      </c>
      <c r="G783" s="518">
        <f t="shared" si="618"/>
        <v>21951042</v>
      </c>
      <c r="H783" s="518">
        <f t="shared" si="618"/>
        <v>-32190444</v>
      </c>
      <c r="I783" s="518">
        <f t="shared" si="618"/>
        <v>132852230.62311122</v>
      </c>
      <c r="J783" s="518">
        <f t="shared" si="618"/>
        <v>-326916</v>
      </c>
      <c r="K783" s="518">
        <f t="shared" si="618"/>
        <v>0</v>
      </c>
      <c r="L783" s="317">
        <f t="shared" si="610"/>
        <v>132525314.62311122</v>
      </c>
      <c r="M783" s="317"/>
      <c r="N783" s="372">
        <f t="shared" si="615"/>
        <v>0</v>
      </c>
      <c r="O783" s="518">
        <f t="shared" ref="O783:P783" si="619">O776+O781</f>
        <v>56828904</v>
      </c>
      <c r="P783" s="518">
        <f t="shared" si="619"/>
        <v>62511794.400000006</v>
      </c>
      <c r="R783" s="317"/>
      <c r="U783" s="320"/>
    </row>
    <row r="784" spans="1:21" s="344" customFormat="1" outlineLevel="2">
      <c r="A784" s="516"/>
      <c r="B784" s="516"/>
      <c r="C784" s="562"/>
      <c r="D784" s="543" t="s">
        <v>84</v>
      </c>
      <c r="E784" s="518">
        <f>E783+E773</f>
        <v>147037615.94471371</v>
      </c>
      <c r="F784" s="518">
        <f t="shared" ref="F784:P784" si="620">F783+F773</f>
        <v>54111004.178397506</v>
      </c>
      <c r="G784" s="518">
        <f t="shared" si="620"/>
        <v>21951042</v>
      </c>
      <c r="H784" s="518">
        <f t="shared" si="620"/>
        <v>-21951042</v>
      </c>
      <c r="I784" s="518">
        <f t="shared" si="620"/>
        <v>201148620.12311122</v>
      </c>
      <c r="J784" s="518">
        <f t="shared" si="620"/>
        <v>-326916</v>
      </c>
      <c r="K784" s="518">
        <f t="shared" si="620"/>
        <v>925863</v>
      </c>
      <c r="L784" s="317">
        <f t="shared" si="610"/>
        <v>201747567.12311122</v>
      </c>
      <c r="M784" s="317"/>
      <c r="N784" s="372">
        <f t="shared" si="615"/>
        <v>-925863</v>
      </c>
      <c r="O784" s="518">
        <f t="shared" si="620"/>
        <v>132973381.75</v>
      </c>
      <c r="P784" s="518">
        <f t="shared" si="620"/>
        <v>146270719.92500001</v>
      </c>
      <c r="R784" s="317"/>
      <c r="U784" s="320"/>
    </row>
    <row r="785" spans="1:21" s="344" customFormat="1" outlineLevel="2">
      <c r="A785" s="519"/>
      <c r="B785" s="519"/>
      <c r="C785" s="520"/>
      <c r="D785" s="519"/>
      <c r="E785" s="523"/>
      <c r="F785" s="521"/>
      <c r="G785" s="521"/>
      <c r="H785" s="521"/>
      <c r="I785" s="324">
        <f t="shared" si="613"/>
        <v>0</v>
      </c>
      <c r="J785" s="522"/>
      <c r="K785" s="335"/>
      <c r="L785" s="317">
        <f t="shared" si="610"/>
        <v>0</v>
      </c>
      <c r="M785" s="317"/>
      <c r="N785" s="372">
        <f t="shared" si="615"/>
        <v>0</v>
      </c>
      <c r="O785" s="336">
        <f>L785*1.1</f>
        <v>0</v>
      </c>
      <c r="P785" s="336">
        <f t="shared" si="606"/>
        <v>0</v>
      </c>
      <c r="R785" s="317"/>
      <c r="U785" s="320"/>
    </row>
    <row r="786" spans="1:21" s="344" customFormat="1" outlineLevel="2">
      <c r="A786" s="519"/>
      <c r="B786" s="519"/>
      <c r="C786" s="562" t="s">
        <v>169</v>
      </c>
      <c r="D786" s="543"/>
      <c r="E786" s="563"/>
      <c r="F786" s="564"/>
      <c r="G786" s="564"/>
      <c r="H786" s="564"/>
      <c r="I786" s="324">
        <f t="shared" si="613"/>
        <v>0</v>
      </c>
      <c r="J786" s="522"/>
      <c r="K786" s="335"/>
      <c r="L786" s="317">
        <f t="shared" si="610"/>
        <v>0</v>
      </c>
      <c r="M786" s="317"/>
      <c r="N786" s="372">
        <f t="shared" si="615"/>
        <v>0</v>
      </c>
      <c r="O786" s="336">
        <f>L786*1.1</f>
        <v>0</v>
      </c>
      <c r="P786" s="336">
        <f t="shared" ref="P786:P804" si="621">O786*1.1</f>
        <v>0</v>
      </c>
      <c r="R786" s="317"/>
      <c r="U786" s="320"/>
    </row>
    <row r="787" spans="1:21" s="344" customFormat="1" outlineLevel="2">
      <c r="A787" s="516"/>
      <c r="B787" s="516"/>
      <c r="C787" s="542" t="s">
        <v>170</v>
      </c>
      <c r="D787" s="565"/>
      <c r="E787" s="523"/>
      <c r="F787" s="521"/>
      <c r="G787" s="521"/>
      <c r="H787" s="521"/>
      <c r="I787" s="324">
        <f t="shared" si="613"/>
        <v>0</v>
      </c>
      <c r="J787" s="522"/>
      <c r="K787" s="335"/>
      <c r="L787" s="317">
        <f t="shared" si="610"/>
        <v>0</v>
      </c>
      <c r="M787" s="317"/>
      <c r="N787" s="372">
        <f t="shared" si="615"/>
        <v>0</v>
      </c>
      <c r="O787" s="527"/>
      <c r="P787" s="527"/>
      <c r="R787" s="317"/>
      <c r="U787" s="320"/>
    </row>
    <row r="788" spans="1:21" s="344" customFormat="1" outlineLevel="2">
      <c r="A788" s="519"/>
      <c r="B788" s="519"/>
      <c r="C788" s="517">
        <v>2210100</v>
      </c>
      <c r="D788" s="516" t="s">
        <v>16</v>
      </c>
      <c r="E788" s="518">
        <f>E789+E790</f>
        <v>99700</v>
      </c>
      <c r="F788" s="518">
        <f t="shared" ref="F788:K788" si="622">F789+F790</f>
        <v>0</v>
      </c>
      <c r="G788" s="518">
        <f t="shared" si="622"/>
        <v>0</v>
      </c>
      <c r="H788" s="518">
        <f t="shared" si="622"/>
        <v>0</v>
      </c>
      <c r="I788" s="518">
        <f t="shared" si="622"/>
        <v>99700</v>
      </c>
      <c r="J788" s="518">
        <f t="shared" si="622"/>
        <v>0</v>
      </c>
      <c r="K788" s="518">
        <f t="shared" si="622"/>
        <v>0</v>
      </c>
      <c r="L788" s="317">
        <f t="shared" si="610"/>
        <v>99700</v>
      </c>
      <c r="M788" s="317"/>
      <c r="N788" s="372">
        <f t="shared" si="615"/>
        <v>0</v>
      </c>
      <c r="O788" s="518">
        <f t="shared" ref="O788:P788" si="623">O789+O790</f>
        <v>109670.00000000001</v>
      </c>
      <c r="P788" s="518">
        <f t="shared" si="623"/>
        <v>120637.00000000003</v>
      </c>
      <c r="R788" s="317"/>
      <c r="U788" s="320"/>
    </row>
    <row r="789" spans="1:21" s="344" customFormat="1" outlineLevel="2">
      <c r="A789" s="519"/>
      <c r="B789" s="519"/>
      <c r="C789" s="520">
        <v>2210101</v>
      </c>
      <c r="D789" s="519" t="s">
        <v>17</v>
      </c>
      <c r="E789" s="521">
        <v>50200</v>
      </c>
      <c r="F789" s="521"/>
      <c r="G789" s="521"/>
      <c r="H789" s="521"/>
      <c r="I789" s="324">
        <f t="shared" si="613"/>
        <v>50200</v>
      </c>
      <c r="J789" s="522"/>
      <c r="K789" s="335"/>
      <c r="L789" s="317">
        <f t="shared" si="610"/>
        <v>50200</v>
      </c>
      <c r="M789" s="317"/>
      <c r="N789" s="372">
        <f t="shared" si="615"/>
        <v>0</v>
      </c>
      <c r="O789" s="336">
        <f>L789*1.1</f>
        <v>55220.000000000007</v>
      </c>
      <c r="P789" s="336">
        <f t="shared" si="621"/>
        <v>60742.000000000015</v>
      </c>
      <c r="R789" s="317"/>
      <c r="U789" s="320"/>
    </row>
    <row r="790" spans="1:21" s="344" customFormat="1" outlineLevel="2">
      <c r="A790" s="519"/>
      <c r="B790" s="519"/>
      <c r="C790" s="520">
        <v>2210102</v>
      </c>
      <c r="D790" s="519" t="s">
        <v>18</v>
      </c>
      <c r="E790" s="521">
        <v>49500</v>
      </c>
      <c r="F790" s="521"/>
      <c r="G790" s="521"/>
      <c r="H790" s="521"/>
      <c r="I790" s="324">
        <f t="shared" si="613"/>
        <v>49500</v>
      </c>
      <c r="J790" s="522"/>
      <c r="K790" s="335"/>
      <c r="L790" s="317">
        <f t="shared" si="610"/>
        <v>49500</v>
      </c>
      <c r="M790" s="317"/>
      <c r="N790" s="372">
        <f t="shared" si="615"/>
        <v>0</v>
      </c>
      <c r="O790" s="555">
        <f>L790*1.1</f>
        <v>54450.000000000007</v>
      </c>
      <c r="P790" s="555">
        <f>O790*1.1</f>
        <v>59895.000000000015</v>
      </c>
      <c r="R790" s="317"/>
      <c r="U790" s="320"/>
    </row>
    <row r="791" spans="1:21" s="344" customFormat="1" outlineLevel="2">
      <c r="A791" s="519"/>
      <c r="B791" s="519"/>
      <c r="C791" s="517">
        <v>2210200</v>
      </c>
      <c r="D791" s="516" t="s">
        <v>20</v>
      </c>
      <c r="E791" s="518">
        <f>SUM(E792:E793)</f>
        <v>305500</v>
      </c>
      <c r="F791" s="518">
        <f t="shared" ref="F791:P791" si="624">SUM(F792:F793)</f>
        <v>0</v>
      </c>
      <c r="G791" s="518">
        <f t="shared" si="624"/>
        <v>0</v>
      </c>
      <c r="H791" s="518">
        <f t="shared" si="624"/>
        <v>0</v>
      </c>
      <c r="I791" s="518">
        <f t="shared" si="624"/>
        <v>305500</v>
      </c>
      <c r="J791" s="518">
        <f t="shared" si="624"/>
        <v>0</v>
      </c>
      <c r="K791" s="518">
        <f t="shared" si="624"/>
        <v>-5000</v>
      </c>
      <c r="L791" s="317">
        <f t="shared" si="610"/>
        <v>300500</v>
      </c>
      <c r="M791" s="317"/>
      <c r="N791" s="372">
        <f t="shared" si="615"/>
        <v>5000</v>
      </c>
      <c r="O791" s="518">
        <f t="shared" si="624"/>
        <v>330550</v>
      </c>
      <c r="P791" s="518">
        <f t="shared" si="624"/>
        <v>363605.00000000006</v>
      </c>
      <c r="R791" s="317"/>
      <c r="U791" s="320"/>
    </row>
    <row r="792" spans="1:21" s="344" customFormat="1" outlineLevel="2">
      <c r="A792" s="516"/>
      <c r="B792" s="516"/>
      <c r="C792" s="520">
        <v>2210201</v>
      </c>
      <c r="D792" s="519" t="s">
        <v>113</v>
      </c>
      <c r="E792" s="521">
        <v>300500</v>
      </c>
      <c r="F792" s="521"/>
      <c r="G792" s="521"/>
      <c r="H792" s="521"/>
      <c r="I792" s="324">
        <f t="shared" si="613"/>
        <v>300500</v>
      </c>
      <c r="J792" s="522"/>
      <c r="K792" s="335"/>
      <c r="L792" s="317">
        <f t="shared" si="610"/>
        <v>300500</v>
      </c>
      <c r="M792" s="317"/>
      <c r="N792" s="372">
        <f t="shared" si="615"/>
        <v>0</v>
      </c>
      <c r="O792" s="336">
        <f>L792*1.1</f>
        <v>330550</v>
      </c>
      <c r="P792" s="336">
        <f t="shared" si="621"/>
        <v>363605.00000000006</v>
      </c>
      <c r="R792" s="317"/>
      <c r="U792" s="320"/>
    </row>
    <row r="793" spans="1:21" s="344" customFormat="1" outlineLevel="2">
      <c r="A793" s="519"/>
      <c r="B793" s="519"/>
      <c r="C793" s="520">
        <v>2210103</v>
      </c>
      <c r="D793" s="519" t="s">
        <v>23</v>
      </c>
      <c r="E793" s="521">
        <v>5000</v>
      </c>
      <c r="F793" s="521"/>
      <c r="G793" s="521"/>
      <c r="H793" s="521"/>
      <c r="I793" s="324">
        <f t="shared" si="613"/>
        <v>5000</v>
      </c>
      <c r="J793" s="522"/>
      <c r="K793" s="335">
        <v>-5000</v>
      </c>
      <c r="L793" s="317">
        <f t="shared" si="610"/>
        <v>0</v>
      </c>
      <c r="M793" s="317"/>
      <c r="N793" s="372">
        <f t="shared" si="615"/>
        <v>5000</v>
      </c>
      <c r="O793" s="336">
        <f>L793*1.1</f>
        <v>0</v>
      </c>
      <c r="P793" s="336">
        <f t="shared" si="621"/>
        <v>0</v>
      </c>
      <c r="R793" s="317"/>
      <c r="U793" s="320"/>
    </row>
    <row r="794" spans="1:21" s="344" customFormat="1" outlineLevel="2">
      <c r="A794" s="519"/>
      <c r="B794" s="519"/>
      <c r="C794" s="517">
        <v>2210300</v>
      </c>
      <c r="D794" s="516" t="s">
        <v>24</v>
      </c>
      <c r="E794" s="518">
        <f>SUM(E795:E798)</f>
        <v>3955000</v>
      </c>
      <c r="F794" s="518">
        <f t="shared" ref="F794:P794" si="625">SUM(F795:F798)</f>
        <v>0</v>
      </c>
      <c r="G794" s="518">
        <f t="shared" si="625"/>
        <v>0</v>
      </c>
      <c r="H794" s="518">
        <f t="shared" si="625"/>
        <v>0</v>
      </c>
      <c r="I794" s="518">
        <f t="shared" si="625"/>
        <v>3955000</v>
      </c>
      <c r="J794" s="518">
        <f t="shared" si="625"/>
        <v>0</v>
      </c>
      <c r="K794" s="518">
        <f t="shared" si="625"/>
        <v>53127</v>
      </c>
      <c r="L794" s="317">
        <f t="shared" si="610"/>
        <v>4008127</v>
      </c>
      <c r="M794" s="317"/>
      <c r="N794" s="372">
        <f t="shared" si="615"/>
        <v>-53127</v>
      </c>
      <c r="O794" s="518">
        <f t="shared" si="625"/>
        <v>4408939.7</v>
      </c>
      <c r="P794" s="518">
        <f t="shared" si="625"/>
        <v>4849833.6700000009</v>
      </c>
      <c r="R794" s="317"/>
      <c r="U794" s="320"/>
    </row>
    <row r="795" spans="1:21" s="344" customFormat="1" outlineLevel="2">
      <c r="A795" s="519"/>
      <c r="B795" s="519"/>
      <c r="C795" s="520">
        <v>2210301</v>
      </c>
      <c r="D795" s="519" t="s">
        <v>25</v>
      </c>
      <c r="E795" s="521"/>
      <c r="F795" s="521"/>
      <c r="G795" s="521"/>
      <c r="H795" s="521"/>
      <c r="I795" s="324">
        <f t="shared" si="613"/>
        <v>0</v>
      </c>
      <c r="J795" s="522"/>
      <c r="K795" s="335"/>
      <c r="L795" s="317">
        <f t="shared" si="610"/>
        <v>0</v>
      </c>
      <c r="M795" s="317"/>
      <c r="N795" s="372">
        <f t="shared" si="615"/>
        <v>0</v>
      </c>
      <c r="O795" s="336">
        <f>L795*1.1</f>
        <v>0</v>
      </c>
      <c r="P795" s="336">
        <f t="shared" si="621"/>
        <v>0</v>
      </c>
      <c r="R795" s="317"/>
      <c r="U795" s="320"/>
    </row>
    <row r="796" spans="1:21" s="344" customFormat="1" outlineLevel="2">
      <c r="A796" s="516"/>
      <c r="B796" s="516"/>
      <c r="C796" s="520">
        <v>2210302</v>
      </c>
      <c r="D796" s="519" t="s">
        <v>26</v>
      </c>
      <c r="E796" s="521">
        <v>1875000</v>
      </c>
      <c r="F796" s="521"/>
      <c r="G796" s="521"/>
      <c r="H796" s="521"/>
      <c r="I796" s="324">
        <f t="shared" si="613"/>
        <v>1875000</v>
      </c>
      <c r="J796" s="522"/>
      <c r="K796" s="335"/>
      <c r="L796" s="317">
        <f t="shared" si="610"/>
        <v>1875000</v>
      </c>
      <c r="M796" s="317"/>
      <c r="N796" s="372">
        <f t="shared" si="615"/>
        <v>0</v>
      </c>
      <c r="O796" s="336">
        <f>L796*1.1</f>
        <v>2062500.0000000002</v>
      </c>
      <c r="P796" s="336">
        <f t="shared" si="621"/>
        <v>2268750.0000000005</v>
      </c>
      <c r="R796" s="317"/>
      <c r="U796" s="320"/>
    </row>
    <row r="797" spans="1:21" s="344" customFormat="1" outlineLevel="2">
      <c r="A797" s="519"/>
      <c r="B797" s="519"/>
      <c r="C797" s="520">
        <v>2210303</v>
      </c>
      <c r="D797" s="519" t="s">
        <v>27</v>
      </c>
      <c r="E797" s="521">
        <f>2230000-200000</f>
        <v>2030000</v>
      </c>
      <c r="F797" s="521"/>
      <c r="G797" s="521"/>
      <c r="H797" s="521"/>
      <c r="I797" s="324">
        <f t="shared" si="613"/>
        <v>2030000</v>
      </c>
      <c r="J797" s="522"/>
      <c r="K797" s="335">
        <v>53127</v>
      </c>
      <c r="L797" s="317">
        <f t="shared" si="610"/>
        <v>2083127</v>
      </c>
      <c r="M797" s="317"/>
      <c r="N797" s="372">
        <f t="shared" si="615"/>
        <v>-53127</v>
      </c>
      <c r="O797" s="336">
        <f>L797*1.1</f>
        <v>2291439.7000000002</v>
      </c>
      <c r="P797" s="336">
        <f t="shared" si="621"/>
        <v>2520583.6700000004</v>
      </c>
      <c r="R797" s="317"/>
      <c r="U797" s="320"/>
    </row>
    <row r="798" spans="1:21" s="344" customFormat="1" outlineLevel="2">
      <c r="A798" s="519"/>
      <c r="B798" s="519"/>
      <c r="C798" s="520">
        <v>2210304</v>
      </c>
      <c r="D798" s="519" t="s">
        <v>28</v>
      </c>
      <c r="E798" s="521">
        <v>50000</v>
      </c>
      <c r="F798" s="521"/>
      <c r="G798" s="521"/>
      <c r="H798" s="521"/>
      <c r="I798" s="324">
        <f t="shared" si="613"/>
        <v>50000</v>
      </c>
      <c r="J798" s="522"/>
      <c r="K798" s="335"/>
      <c r="L798" s="317">
        <f t="shared" si="610"/>
        <v>50000</v>
      </c>
      <c r="M798" s="317"/>
      <c r="N798" s="372">
        <f t="shared" si="615"/>
        <v>0</v>
      </c>
      <c r="O798" s="555">
        <f>L798*1.1</f>
        <v>55000.000000000007</v>
      </c>
      <c r="P798" s="555">
        <f>O798*1.1</f>
        <v>60500.000000000015</v>
      </c>
      <c r="R798" s="317"/>
      <c r="U798" s="320"/>
    </row>
    <row r="799" spans="1:21" s="344" customFormat="1" outlineLevel="2">
      <c r="A799" s="519"/>
      <c r="B799" s="519"/>
      <c r="C799" s="517">
        <v>2210500</v>
      </c>
      <c r="D799" s="516" t="s">
        <v>31</v>
      </c>
      <c r="E799" s="518">
        <f>SUM(E800:E802)</f>
        <v>4120000</v>
      </c>
      <c r="F799" s="518">
        <f t="shared" ref="F799:K799" si="626">SUM(F800:F802)</f>
        <v>0</v>
      </c>
      <c r="G799" s="518">
        <f t="shared" si="626"/>
        <v>0</v>
      </c>
      <c r="H799" s="518">
        <f t="shared" si="626"/>
        <v>0</v>
      </c>
      <c r="I799" s="518">
        <f t="shared" si="626"/>
        <v>4120000</v>
      </c>
      <c r="J799" s="518">
        <f t="shared" si="626"/>
        <v>0</v>
      </c>
      <c r="K799" s="518">
        <f t="shared" si="626"/>
        <v>0</v>
      </c>
      <c r="L799" s="317">
        <f t="shared" si="610"/>
        <v>4120000</v>
      </c>
      <c r="M799" s="317"/>
      <c r="N799" s="372">
        <f t="shared" si="615"/>
        <v>0</v>
      </c>
      <c r="O799" s="518">
        <f t="shared" ref="O799:P799" si="627">SUM(O800:O802)</f>
        <v>4532000</v>
      </c>
      <c r="P799" s="518">
        <f t="shared" si="627"/>
        <v>4985200</v>
      </c>
      <c r="R799" s="317"/>
      <c r="U799" s="320"/>
    </row>
    <row r="800" spans="1:21" s="344" customFormat="1" outlineLevel="2">
      <c r="A800" s="519"/>
      <c r="B800" s="519"/>
      <c r="C800" s="520">
        <v>2210502</v>
      </c>
      <c r="D800" s="519" t="s">
        <v>105</v>
      </c>
      <c r="E800" s="521">
        <v>60000</v>
      </c>
      <c r="F800" s="521"/>
      <c r="G800" s="521"/>
      <c r="H800" s="521"/>
      <c r="I800" s="324">
        <f t="shared" si="613"/>
        <v>60000</v>
      </c>
      <c r="J800" s="522"/>
      <c r="K800" s="335"/>
      <c r="L800" s="317">
        <f t="shared" si="610"/>
        <v>60000</v>
      </c>
      <c r="M800" s="317"/>
      <c r="N800" s="372">
        <f t="shared" si="615"/>
        <v>0</v>
      </c>
      <c r="O800" s="336">
        <f>L800*1.1</f>
        <v>66000</v>
      </c>
      <c r="P800" s="336">
        <f t="shared" si="621"/>
        <v>72600</v>
      </c>
      <c r="R800" s="317"/>
      <c r="U800" s="320"/>
    </row>
    <row r="801" spans="1:21" s="344" customFormat="1" outlineLevel="2">
      <c r="A801" s="519"/>
      <c r="B801" s="519"/>
      <c r="C801" s="520">
        <v>2210503</v>
      </c>
      <c r="D801" s="519" t="s">
        <v>32</v>
      </c>
      <c r="E801" s="521">
        <v>60000</v>
      </c>
      <c r="F801" s="521"/>
      <c r="G801" s="521"/>
      <c r="H801" s="521"/>
      <c r="I801" s="324">
        <f t="shared" si="613"/>
        <v>60000</v>
      </c>
      <c r="J801" s="522"/>
      <c r="K801" s="335"/>
      <c r="L801" s="317">
        <f t="shared" si="610"/>
        <v>60000</v>
      </c>
      <c r="M801" s="317"/>
      <c r="N801" s="372">
        <f t="shared" si="615"/>
        <v>0</v>
      </c>
      <c r="O801" s="336">
        <f>L801*1.1</f>
        <v>66000</v>
      </c>
      <c r="P801" s="336">
        <f t="shared" si="621"/>
        <v>72600</v>
      </c>
      <c r="R801" s="317"/>
      <c r="U801" s="320"/>
    </row>
    <row r="802" spans="1:21" s="344" customFormat="1" outlineLevel="2">
      <c r="A802" s="519"/>
      <c r="B802" s="519"/>
      <c r="C802" s="520">
        <v>2210504</v>
      </c>
      <c r="D802" s="519" t="s">
        <v>171</v>
      </c>
      <c r="E802" s="521">
        <f>4700000-700000</f>
        <v>4000000</v>
      </c>
      <c r="F802" s="521"/>
      <c r="G802" s="521"/>
      <c r="H802" s="521"/>
      <c r="I802" s="324">
        <f t="shared" si="613"/>
        <v>4000000</v>
      </c>
      <c r="J802" s="522"/>
      <c r="K802" s="335"/>
      <c r="L802" s="317">
        <f t="shared" si="610"/>
        <v>4000000</v>
      </c>
      <c r="M802" s="317"/>
      <c r="N802" s="372">
        <f t="shared" si="615"/>
        <v>0</v>
      </c>
      <c r="O802" s="336">
        <f>L802*1.1</f>
        <v>4400000</v>
      </c>
      <c r="P802" s="336">
        <f t="shared" si="621"/>
        <v>4840000</v>
      </c>
      <c r="R802" s="317"/>
      <c r="U802" s="320"/>
    </row>
    <row r="803" spans="1:21" s="344" customFormat="1" outlineLevel="2">
      <c r="A803" s="516"/>
      <c r="B803" s="516"/>
      <c r="C803" s="517">
        <v>2210700</v>
      </c>
      <c r="D803" s="516" t="s">
        <v>114</v>
      </c>
      <c r="E803" s="518">
        <f>SUM(E804:E809)</f>
        <v>875000</v>
      </c>
      <c r="F803" s="518">
        <f t="shared" ref="F803:K803" si="628">SUM(F804:F809)</f>
        <v>0</v>
      </c>
      <c r="G803" s="518">
        <f t="shared" si="628"/>
        <v>0</v>
      </c>
      <c r="H803" s="518">
        <f t="shared" si="628"/>
        <v>0</v>
      </c>
      <c r="I803" s="518">
        <f t="shared" si="628"/>
        <v>875000</v>
      </c>
      <c r="J803" s="518">
        <f t="shared" si="628"/>
        <v>0</v>
      </c>
      <c r="K803" s="518">
        <f t="shared" si="628"/>
        <v>-75000</v>
      </c>
      <c r="L803" s="317">
        <f t="shared" si="610"/>
        <v>800000</v>
      </c>
      <c r="M803" s="317"/>
      <c r="N803" s="372">
        <f t="shared" si="615"/>
        <v>75000</v>
      </c>
      <c r="O803" s="518">
        <f t="shared" ref="O803:P803" si="629">SUM(O804:O809)</f>
        <v>880000</v>
      </c>
      <c r="P803" s="518">
        <f t="shared" si="629"/>
        <v>968000.00000000012</v>
      </c>
      <c r="R803" s="317"/>
      <c r="U803" s="320"/>
    </row>
    <row r="804" spans="1:21" s="344" customFormat="1" outlineLevel="2">
      <c r="A804" s="519"/>
      <c r="B804" s="519"/>
      <c r="C804" s="520">
        <v>2210701</v>
      </c>
      <c r="D804" s="519" t="s">
        <v>36</v>
      </c>
      <c r="E804" s="521">
        <v>230000</v>
      </c>
      <c r="F804" s="521"/>
      <c r="G804" s="521"/>
      <c r="H804" s="521"/>
      <c r="I804" s="324">
        <f t="shared" si="613"/>
        <v>230000</v>
      </c>
      <c r="J804" s="522"/>
      <c r="K804" s="335"/>
      <c r="L804" s="317">
        <f t="shared" si="610"/>
        <v>230000</v>
      </c>
      <c r="M804" s="317"/>
      <c r="N804" s="372">
        <f t="shared" si="615"/>
        <v>0</v>
      </c>
      <c r="O804" s="336">
        <f t="shared" ref="O804:O809" si="630">L804*1.1</f>
        <v>253000.00000000003</v>
      </c>
      <c r="P804" s="336">
        <f t="shared" si="621"/>
        <v>278300.00000000006</v>
      </c>
      <c r="R804" s="317"/>
      <c r="U804" s="320"/>
    </row>
    <row r="805" spans="1:21" s="344" customFormat="1" outlineLevel="2">
      <c r="A805" s="519"/>
      <c r="B805" s="519"/>
      <c r="C805" s="520">
        <v>2210703</v>
      </c>
      <c r="D805" s="519" t="s">
        <v>107</v>
      </c>
      <c r="E805" s="521">
        <v>120000</v>
      </c>
      <c r="F805" s="521"/>
      <c r="G805" s="521"/>
      <c r="H805" s="521"/>
      <c r="I805" s="324">
        <f t="shared" si="613"/>
        <v>120000</v>
      </c>
      <c r="J805" s="522"/>
      <c r="K805" s="335"/>
      <c r="L805" s="317">
        <f t="shared" si="610"/>
        <v>120000</v>
      </c>
      <c r="M805" s="317"/>
      <c r="N805" s="372">
        <f t="shared" si="615"/>
        <v>0</v>
      </c>
      <c r="O805" s="555">
        <f t="shared" si="630"/>
        <v>132000</v>
      </c>
      <c r="P805" s="555">
        <f>O805*1.1</f>
        <v>145200</v>
      </c>
      <c r="R805" s="317"/>
      <c r="U805" s="320"/>
    </row>
    <row r="806" spans="1:21" s="344" customFormat="1" outlineLevel="2">
      <c r="A806" s="519"/>
      <c r="B806" s="519"/>
      <c r="C806" s="520">
        <v>2210704</v>
      </c>
      <c r="D806" s="519" t="s">
        <v>38</v>
      </c>
      <c r="E806" s="521">
        <v>50000</v>
      </c>
      <c r="F806" s="521"/>
      <c r="G806" s="521"/>
      <c r="H806" s="521"/>
      <c r="I806" s="324">
        <f t="shared" si="613"/>
        <v>50000</v>
      </c>
      <c r="J806" s="522"/>
      <c r="K806" s="335"/>
      <c r="L806" s="317">
        <f t="shared" si="610"/>
        <v>50000</v>
      </c>
      <c r="M806" s="317"/>
      <c r="N806" s="372">
        <f t="shared" si="615"/>
        <v>0</v>
      </c>
      <c r="O806" s="336">
        <f t="shared" si="630"/>
        <v>55000.000000000007</v>
      </c>
      <c r="P806" s="336">
        <f t="shared" ref="P806:P835" si="631">O806*1.1</f>
        <v>60500.000000000015</v>
      </c>
      <c r="R806" s="317"/>
      <c r="U806" s="320"/>
    </row>
    <row r="807" spans="1:21" s="344" customFormat="1" outlineLevel="2">
      <c r="A807" s="519"/>
      <c r="B807" s="519"/>
      <c r="C807" s="520">
        <v>2210708</v>
      </c>
      <c r="D807" s="519" t="s">
        <v>115</v>
      </c>
      <c r="E807" s="521">
        <v>220000</v>
      </c>
      <c r="F807" s="521"/>
      <c r="G807" s="521"/>
      <c r="H807" s="521"/>
      <c r="I807" s="324">
        <f t="shared" si="613"/>
        <v>220000</v>
      </c>
      <c r="J807" s="522"/>
      <c r="K807" s="335"/>
      <c r="L807" s="317">
        <f t="shared" si="610"/>
        <v>220000</v>
      </c>
      <c r="M807" s="317"/>
      <c r="N807" s="372">
        <f t="shared" si="615"/>
        <v>0</v>
      </c>
      <c r="O807" s="336">
        <f t="shared" si="630"/>
        <v>242000.00000000003</v>
      </c>
      <c r="P807" s="336">
        <f t="shared" si="631"/>
        <v>266200.00000000006</v>
      </c>
      <c r="R807" s="317"/>
      <c r="U807" s="320"/>
    </row>
    <row r="808" spans="1:21" s="344" customFormat="1" outlineLevel="2">
      <c r="A808" s="516"/>
      <c r="B808" s="516"/>
      <c r="C808" s="520">
        <v>2210710</v>
      </c>
      <c r="D808" s="519" t="s">
        <v>39</v>
      </c>
      <c r="E808" s="521">
        <v>130000</v>
      </c>
      <c r="F808" s="521"/>
      <c r="G808" s="521"/>
      <c r="H808" s="521"/>
      <c r="I808" s="324">
        <f t="shared" si="613"/>
        <v>130000</v>
      </c>
      <c r="J808" s="522"/>
      <c r="K808" s="335"/>
      <c r="L808" s="317">
        <f t="shared" si="610"/>
        <v>130000</v>
      </c>
      <c r="M808" s="317"/>
      <c r="N808" s="372">
        <f t="shared" si="615"/>
        <v>0</v>
      </c>
      <c r="O808" s="336">
        <f t="shared" si="630"/>
        <v>143000</v>
      </c>
      <c r="P808" s="336">
        <f t="shared" si="631"/>
        <v>157300</v>
      </c>
      <c r="R808" s="317"/>
      <c r="U808" s="320"/>
    </row>
    <row r="809" spans="1:21" s="344" customFormat="1" outlineLevel="2">
      <c r="A809" s="519"/>
      <c r="B809" s="519"/>
      <c r="C809" s="566">
        <v>2210715</v>
      </c>
      <c r="D809" s="519" t="s">
        <v>1588</v>
      </c>
      <c r="E809" s="521">
        <v>125000</v>
      </c>
      <c r="F809" s="521"/>
      <c r="G809" s="521"/>
      <c r="H809" s="521"/>
      <c r="I809" s="324">
        <f t="shared" si="613"/>
        <v>125000</v>
      </c>
      <c r="J809" s="522"/>
      <c r="K809" s="335">
        <v>-75000</v>
      </c>
      <c r="L809" s="317">
        <f t="shared" si="610"/>
        <v>50000</v>
      </c>
      <c r="M809" s="317"/>
      <c r="N809" s="372">
        <f t="shared" si="615"/>
        <v>75000</v>
      </c>
      <c r="O809" s="336">
        <f t="shared" si="630"/>
        <v>55000.000000000007</v>
      </c>
      <c r="P809" s="336">
        <f t="shared" si="631"/>
        <v>60500.000000000015</v>
      </c>
      <c r="R809" s="317"/>
      <c r="U809" s="320"/>
    </row>
    <row r="810" spans="1:21" s="344" customFormat="1" outlineLevel="2">
      <c r="A810" s="516"/>
      <c r="B810" s="516"/>
      <c r="C810" s="517">
        <v>2210800</v>
      </c>
      <c r="D810" s="516" t="s">
        <v>42</v>
      </c>
      <c r="E810" s="518">
        <f>SUM(E811:E814)</f>
        <v>490000</v>
      </c>
      <c r="F810" s="518">
        <f t="shared" ref="F810:K810" si="632">SUM(F811:F814)</f>
        <v>0</v>
      </c>
      <c r="G810" s="518">
        <f t="shared" si="632"/>
        <v>0</v>
      </c>
      <c r="H810" s="518">
        <f t="shared" si="632"/>
        <v>0</v>
      </c>
      <c r="I810" s="518">
        <f t="shared" si="632"/>
        <v>490000</v>
      </c>
      <c r="J810" s="518">
        <f t="shared" si="632"/>
        <v>0</v>
      </c>
      <c r="K810" s="518">
        <f t="shared" si="632"/>
        <v>0</v>
      </c>
      <c r="L810" s="317">
        <f t="shared" si="610"/>
        <v>490000</v>
      </c>
      <c r="M810" s="317"/>
      <c r="N810" s="372">
        <f t="shared" si="615"/>
        <v>0</v>
      </c>
      <c r="O810" s="518">
        <f t="shared" ref="O810:P810" si="633">SUM(O811:O814)</f>
        <v>539000</v>
      </c>
      <c r="P810" s="518">
        <f t="shared" si="633"/>
        <v>592900</v>
      </c>
      <c r="R810" s="317"/>
      <c r="U810" s="320"/>
    </row>
    <row r="811" spans="1:21" s="344" customFormat="1" outlineLevel="2">
      <c r="A811" s="519"/>
      <c r="B811" s="519"/>
      <c r="C811" s="520">
        <v>2210801</v>
      </c>
      <c r="D811" s="519" t="s">
        <v>2421</v>
      </c>
      <c r="E811" s="521">
        <v>210000</v>
      </c>
      <c r="F811" s="521"/>
      <c r="G811" s="521"/>
      <c r="H811" s="521"/>
      <c r="I811" s="324">
        <f t="shared" si="613"/>
        <v>210000</v>
      </c>
      <c r="J811" s="522"/>
      <c r="K811" s="335"/>
      <c r="L811" s="317">
        <f t="shared" si="610"/>
        <v>210000</v>
      </c>
      <c r="M811" s="317"/>
      <c r="N811" s="372">
        <f t="shared" si="615"/>
        <v>0</v>
      </c>
      <c r="O811" s="336">
        <f>L811*1.1</f>
        <v>231000.00000000003</v>
      </c>
      <c r="P811" s="336">
        <f t="shared" si="631"/>
        <v>254100.00000000006</v>
      </c>
      <c r="R811" s="317"/>
      <c r="U811" s="320"/>
    </row>
    <row r="812" spans="1:21" s="344" customFormat="1" outlineLevel="2">
      <c r="A812" s="519"/>
      <c r="B812" s="519"/>
      <c r="C812" s="520">
        <v>2210802</v>
      </c>
      <c r="D812" s="519" t="s">
        <v>97</v>
      </c>
      <c r="E812" s="521">
        <v>250000</v>
      </c>
      <c r="F812" s="521"/>
      <c r="G812" s="521"/>
      <c r="H812" s="521"/>
      <c r="I812" s="324">
        <f t="shared" si="613"/>
        <v>250000</v>
      </c>
      <c r="J812" s="522"/>
      <c r="K812" s="335"/>
      <c r="L812" s="317">
        <f t="shared" si="610"/>
        <v>250000</v>
      </c>
      <c r="M812" s="317"/>
      <c r="N812" s="372">
        <f t="shared" si="615"/>
        <v>0</v>
      </c>
      <c r="O812" s="555">
        <f>L812*1.1</f>
        <v>275000</v>
      </c>
      <c r="P812" s="555">
        <f>O812*1.1</f>
        <v>302500</v>
      </c>
      <c r="R812" s="317"/>
      <c r="U812" s="320"/>
    </row>
    <row r="813" spans="1:21" s="344" customFormat="1" outlineLevel="2">
      <c r="A813" s="519"/>
      <c r="B813" s="519"/>
      <c r="C813" s="520">
        <v>2210805</v>
      </c>
      <c r="D813" s="519" t="s">
        <v>116</v>
      </c>
      <c r="E813" s="521">
        <v>20000</v>
      </c>
      <c r="F813" s="521"/>
      <c r="G813" s="521"/>
      <c r="H813" s="521"/>
      <c r="I813" s="324">
        <f t="shared" si="613"/>
        <v>20000</v>
      </c>
      <c r="J813" s="522"/>
      <c r="K813" s="335"/>
      <c r="L813" s="317">
        <f t="shared" si="610"/>
        <v>20000</v>
      </c>
      <c r="M813" s="317"/>
      <c r="N813" s="372">
        <f t="shared" si="615"/>
        <v>0</v>
      </c>
      <c r="O813" s="336">
        <f>L813*1.1</f>
        <v>22000</v>
      </c>
      <c r="P813" s="336">
        <f t="shared" si="631"/>
        <v>24200.000000000004</v>
      </c>
      <c r="R813" s="317"/>
      <c r="U813" s="320"/>
    </row>
    <row r="814" spans="1:21" s="344" customFormat="1" outlineLevel="2">
      <c r="A814" s="516"/>
      <c r="B814" s="516"/>
      <c r="C814" s="520">
        <v>2210807</v>
      </c>
      <c r="D814" s="519" t="s">
        <v>117</v>
      </c>
      <c r="E814" s="521">
        <v>10000</v>
      </c>
      <c r="F814" s="521"/>
      <c r="G814" s="521"/>
      <c r="H814" s="521"/>
      <c r="I814" s="324">
        <f t="shared" si="613"/>
        <v>10000</v>
      </c>
      <c r="J814" s="522"/>
      <c r="K814" s="335"/>
      <c r="L814" s="317">
        <f t="shared" si="610"/>
        <v>10000</v>
      </c>
      <c r="M814" s="317"/>
      <c r="N814" s="372">
        <f t="shared" si="615"/>
        <v>0</v>
      </c>
      <c r="O814" s="336">
        <f>L814*1.1</f>
        <v>11000</v>
      </c>
      <c r="P814" s="336">
        <f t="shared" si="631"/>
        <v>12100.000000000002</v>
      </c>
      <c r="R814" s="317"/>
      <c r="U814" s="320"/>
    </row>
    <row r="815" spans="1:21" s="344" customFormat="1" outlineLevel="2">
      <c r="A815" s="519"/>
      <c r="B815" s="519"/>
      <c r="C815" s="517">
        <v>2211000</v>
      </c>
      <c r="D815" s="516" t="s">
        <v>118</v>
      </c>
      <c r="E815" s="518">
        <f>E816</f>
        <v>13850</v>
      </c>
      <c r="F815" s="518">
        <f t="shared" ref="F815:P815" si="634">F816</f>
        <v>0</v>
      </c>
      <c r="G815" s="518">
        <f t="shared" si="634"/>
        <v>0</v>
      </c>
      <c r="H815" s="518">
        <f t="shared" si="634"/>
        <v>0</v>
      </c>
      <c r="I815" s="518">
        <f t="shared" si="634"/>
        <v>13850</v>
      </c>
      <c r="J815" s="518">
        <f t="shared" si="634"/>
        <v>0</v>
      </c>
      <c r="K815" s="518">
        <f t="shared" si="634"/>
        <v>-13850</v>
      </c>
      <c r="L815" s="317">
        <f t="shared" si="610"/>
        <v>0</v>
      </c>
      <c r="M815" s="317"/>
      <c r="N815" s="372">
        <f t="shared" si="615"/>
        <v>13850</v>
      </c>
      <c r="O815" s="518">
        <f t="shared" si="634"/>
        <v>0</v>
      </c>
      <c r="P815" s="518">
        <f t="shared" si="634"/>
        <v>0</v>
      </c>
      <c r="R815" s="317"/>
      <c r="U815" s="320"/>
    </row>
    <row r="816" spans="1:21" s="344" customFormat="1" outlineLevel="2">
      <c r="A816" s="516"/>
      <c r="B816" s="516"/>
      <c r="C816" s="520">
        <v>2211011</v>
      </c>
      <c r="D816" s="519" t="s">
        <v>119</v>
      </c>
      <c r="E816" s="521">
        <v>13850</v>
      </c>
      <c r="F816" s="521"/>
      <c r="G816" s="521"/>
      <c r="H816" s="521"/>
      <c r="I816" s="324">
        <f t="shared" si="613"/>
        <v>13850</v>
      </c>
      <c r="J816" s="522"/>
      <c r="K816" s="335">
        <v>-13850</v>
      </c>
      <c r="L816" s="317">
        <f t="shared" si="610"/>
        <v>0</v>
      </c>
      <c r="M816" s="317"/>
      <c r="N816" s="372">
        <f t="shared" si="615"/>
        <v>13850</v>
      </c>
      <c r="O816" s="471">
        <f>L816*1.1</f>
        <v>0</v>
      </c>
      <c r="P816" s="471">
        <f>O816*1.1</f>
        <v>0</v>
      </c>
      <c r="R816" s="317"/>
      <c r="U816" s="320"/>
    </row>
    <row r="817" spans="1:21" s="344" customFormat="1" outlineLevel="2">
      <c r="A817" s="519"/>
      <c r="B817" s="519"/>
      <c r="C817" s="517">
        <v>2211100</v>
      </c>
      <c r="D817" s="516" t="s">
        <v>51</v>
      </c>
      <c r="E817" s="518">
        <f>SUM(E818:E820)</f>
        <v>700000</v>
      </c>
      <c r="F817" s="518">
        <f t="shared" ref="F817:I817" si="635">SUM(F818:F820)</f>
        <v>0</v>
      </c>
      <c r="G817" s="518">
        <f t="shared" si="635"/>
        <v>0</v>
      </c>
      <c r="H817" s="518">
        <f t="shared" si="635"/>
        <v>0</v>
      </c>
      <c r="I817" s="518">
        <f t="shared" si="635"/>
        <v>700000</v>
      </c>
      <c r="J817" s="518">
        <f t="shared" ref="J817:K817" si="636">SUM(J818:J820)</f>
        <v>0</v>
      </c>
      <c r="K817" s="518">
        <f t="shared" si="636"/>
        <v>-191100</v>
      </c>
      <c r="L817" s="317">
        <f t="shared" si="610"/>
        <v>508900</v>
      </c>
      <c r="M817" s="317"/>
      <c r="N817" s="372">
        <f t="shared" si="615"/>
        <v>191100</v>
      </c>
      <c r="O817" s="518">
        <f t="shared" ref="O817:P817" si="637">SUM(O818:O820)</f>
        <v>559790</v>
      </c>
      <c r="P817" s="518">
        <f t="shared" si="637"/>
        <v>615769</v>
      </c>
      <c r="R817" s="317"/>
      <c r="U817" s="320"/>
    </row>
    <row r="818" spans="1:21" s="344" customFormat="1" outlineLevel="2">
      <c r="A818" s="519"/>
      <c r="B818" s="519"/>
      <c r="C818" s="520">
        <v>2211101</v>
      </c>
      <c r="D818" s="519" t="s">
        <v>2446</v>
      </c>
      <c r="E818" s="521">
        <v>250000</v>
      </c>
      <c r="F818" s="521"/>
      <c r="G818" s="521"/>
      <c r="H818" s="521"/>
      <c r="I818" s="324">
        <f t="shared" si="613"/>
        <v>250000</v>
      </c>
      <c r="J818" s="522"/>
      <c r="K818" s="335">
        <v>-185100</v>
      </c>
      <c r="L818" s="317">
        <f t="shared" si="610"/>
        <v>64900</v>
      </c>
      <c r="M818" s="317"/>
      <c r="N818" s="372">
        <f t="shared" si="615"/>
        <v>185100</v>
      </c>
      <c r="O818" s="555">
        <f>L818*1.1</f>
        <v>71390</v>
      </c>
      <c r="P818" s="555">
        <f>O818*1.1</f>
        <v>78529</v>
      </c>
      <c r="R818" s="317"/>
      <c r="U818" s="320"/>
    </row>
    <row r="819" spans="1:21" s="344" customFormat="1" outlineLevel="2">
      <c r="A819" s="516"/>
      <c r="B819" s="516"/>
      <c r="C819" s="520">
        <v>2211102</v>
      </c>
      <c r="D819" s="519" t="s">
        <v>53</v>
      </c>
      <c r="E819" s="521">
        <v>200000</v>
      </c>
      <c r="F819" s="521"/>
      <c r="G819" s="521"/>
      <c r="H819" s="521"/>
      <c r="I819" s="324">
        <f t="shared" si="613"/>
        <v>200000</v>
      </c>
      <c r="J819" s="522"/>
      <c r="K819" s="335">
        <v>-6000</v>
      </c>
      <c r="L819" s="317">
        <f t="shared" si="610"/>
        <v>194000</v>
      </c>
      <c r="M819" s="317"/>
      <c r="N819" s="372">
        <f t="shared" si="615"/>
        <v>6000</v>
      </c>
      <c r="O819" s="336">
        <f>L819*1.1</f>
        <v>213400.00000000003</v>
      </c>
      <c r="P819" s="336">
        <f t="shared" si="631"/>
        <v>234740.00000000006</v>
      </c>
      <c r="R819" s="317"/>
      <c r="U819" s="320"/>
    </row>
    <row r="820" spans="1:21" s="344" customFormat="1" outlineLevel="2">
      <c r="A820" s="519"/>
      <c r="B820" s="519"/>
      <c r="C820" s="520">
        <v>2211103</v>
      </c>
      <c r="D820" s="519" t="s">
        <v>54</v>
      </c>
      <c r="E820" s="521">
        <v>250000</v>
      </c>
      <c r="F820" s="521"/>
      <c r="G820" s="521"/>
      <c r="H820" s="521"/>
      <c r="I820" s="324">
        <f t="shared" si="613"/>
        <v>250000</v>
      </c>
      <c r="J820" s="522"/>
      <c r="K820" s="335"/>
      <c r="L820" s="317">
        <f t="shared" si="610"/>
        <v>250000</v>
      </c>
      <c r="M820" s="317"/>
      <c r="N820" s="372">
        <f t="shared" si="615"/>
        <v>0</v>
      </c>
      <c r="O820" s="336">
        <f>L820*1.1</f>
        <v>275000</v>
      </c>
      <c r="P820" s="336">
        <f>O820*1.1</f>
        <v>302500</v>
      </c>
      <c r="R820" s="317"/>
      <c r="U820" s="320"/>
    </row>
    <row r="821" spans="1:21" s="344" customFormat="1" outlineLevel="2">
      <c r="A821" s="519"/>
      <c r="B821" s="519"/>
      <c r="C821" s="517">
        <v>2211200</v>
      </c>
      <c r="D821" s="516" t="s">
        <v>55</v>
      </c>
      <c r="E821" s="397">
        <f>E822+E823</f>
        <v>550000</v>
      </c>
      <c r="F821" s="397">
        <f t="shared" ref="F821:K821" si="638">F822+F823</f>
        <v>0</v>
      </c>
      <c r="G821" s="397">
        <f t="shared" si="638"/>
        <v>0</v>
      </c>
      <c r="H821" s="397">
        <f t="shared" si="638"/>
        <v>0</v>
      </c>
      <c r="I821" s="397">
        <f t="shared" si="638"/>
        <v>550000</v>
      </c>
      <c r="J821" s="397">
        <f t="shared" si="638"/>
        <v>0</v>
      </c>
      <c r="K821" s="397">
        <f t="shared" si="638"/>
        <v>500000</v>
      </c>
      <c r="L821" s="317">
        <f t="shared" si="610"/>
        <v>1050000</v>
      </c>
      <c r="M821" s="317"/>
      <c r="N821" s="372">
        <f t="shared" si="615"/>
        <v>-500000</v>
      </c>
      <c r="O821" s="397">
        <f t="shared" ref="O821:P821" si="639">O822+O823</f>
        <v>1155000</v>
      </c>
      <c r="P821" s="397">
        <f t="shared" si="639"/>
        <v>1270500</v>
      </c>
      <c r="R821" s="317"/>
      <c r="U821" s="320"/>
    </row>
    <row r="822" spans="1:21" s="344" customFormat="1" outlineLevel="2">
      <c r="A822" s="516"/>
      <c r="B822" s="516"/>
      <c r="C822" s="520">
        <v>2211201</v>
      </c>
      <c r="D822" s="519" t="s">
        <v>56</v>
      </c>
      <c r="E822" s="521">
        <v>550000</v>
      </c>
      <c r="F822" s="521"/>
      <c r="G822" s="521"/>
      <c r="H822" s="521"/>
      <c r="I822" s="324">
        <f t="shared" si="613"/>
        <v>550000</v>
      </c>
      <c r="J822" s="522"/>
      <c r="K822" s="335">
        <v>500000</v>
      </c>
      <c r="L822" s="317">
        <f t="shared" si="610"/>
        <v>1050000</v>
      </c>
      <c r="M822" s="317"/>
      <c r="N822" s="372">
        <f t="shared" si="615"/>
        <v>-500000</v>
      </c>
      <c r="O822" s="336">
        <f>L822*1.1</f>
        <v>1155000</v>
      </c>
      <c r="P822" s="336">
        <f>O822*1.1</f>
        <v>1270500</v>
      </c>
      <c r="R822" s="317"/>
      <c r="U822" s="320"/>
    </row>
    <row r="823" spans="1:21" s="344" customFormat="1" outlineLevel="2">
      <c r="A823" s="516"/>
      <c r="B823" s="516"/>
      <c r="C823" s="401">
        <v>2211204</v>
      </c>
      <c r="D823" s="402" t="s">
        <v>1634</v>
      </c>
      <c r="E823" s="521"/>
      <c r="F823" s="521"/>
      <c r="G823" s="521"/>
      <c r="H823" s="521"/>
      <c r="I823" s="324">
        <f>E823+F823+G823+H823</f>
        <v>0</v>
      </c>
      <c r="J823" s="522"/>
      <c r="K823" s="335"/>
      <c r="L823" s="317">
        <f t="shared" si="610"/>
        <v>0</v>
      </c>
      <c r="M823" s="317"/>
      <c r="N823" s="372">
        <f t="shared" si="615"/>
        <v>0</v>
      </c>
      <c r="O823" s="336"/>
      <c r="P823" s="336"/>
      <c r="R823" s="317"/>
      <c r="U823" s="320"/>
    </row>
    <row r="824" spans="1:21" s="344" customFormat="1" outlineLevel="2">
      <c r="A824" s="519"/>
      <c r="B824" s="519"/>
      <c r="C824" s="517">
        <v>2220100</v>
      </c>
      <c r="D824" s="516" t="s">
        <v>62</v>
      </c>
      <c r="E824" s="518">
        <f>E825+E826</f>
        <v>680000</v>
      </c>
      <c r="F824" s="518">
        <f t="shared" ref="F824:P824" si="640">F825+F826</f>
        <v>0</v>
      </c>
      <c r="G824" s="518">
        <f t="shared" si="640"/>
        <v>0</v>
      </c>
      <c r="H824" s="518">
        <f t="shared" si="640"/>
        <v>0</v>
      </c>
      <c r="I824" s="518">
        <f t="shared" si="640"/>
        <v>680000</v>
      </c>
      <c r="J824" s="518">
        <f t="shared" si="640"/>
        <v>0</v>
      </c>
      <c r="K824" s="518">
        <f t="shared" si="640"/>
        <v>0</v>
      </c>
      <c r="L824" s="317">
        <f t="shared" si="610"/>
        <v>680000</v>
      </c>
      <c r="M824" s="317"/>
      <c r="N824" s="372">
        <f t="shared" si="615"/>
        <v>0</v>
      </c>
      <c r="O824" s="518">
        <f t="shared" si="640"/>
        <v>748000</v>
      </c>
      <c r="P824" s="518">
        <f t="shared" si="640"/>
        <v>822800.00000000012</v>
      </c>
      <c r="R824" s="317"/>
      <c r="U824" s="320"/>
    </row>
    <row r="825" spans="1:21" s="344" customFormat="1" outlineLevel="2">
      <c r="A825" s="519"/>
      <c r="B825" s="519"/>
      <c r="C825" s="520">
        <v>2220101</v>
      </c>
      <c r="D825" s="519" t="s">
        <v>63</v>
      </c>
      <c r="E825" s="521">
        <v>430000</v>
      </c>
      <c r="F825" s="521"/>
      <c r="G825" s="521"/>
      <c r="H825" s="521"/>
      <c r="I825" s="324">
        <f t="shared" si="613"/>
        <v>430000</v>
      </c>
      <c r="J825" s="522"/>
      <c r="K825" s="335"/>
      <c r="L825" s="317">
        <f t="shared" si="610"/>
        <v>430000</v>
      </c>
      <c r="M825" s="317"/>
      <c r="N825" s="372">
        <f t="shared" si="615"/>
        <v>0</v>
      </c>
      <c r="O825" s="336">
        <f>L825*1.1</f>
        <v>473000.00000000006</v>
      </c>
      <c r="P825" s="336">
        <f t="shared" si="631"/>
        <v>520300.00000000012</v>
      </c>
      <c r="R825" s="317"/>
      <c r="U825" s="320"/>
    </row>
    <row r="826" spans="1:21" s="344" customFormat="1" outlineLevel="2">
      <c r="A826" s="516"/>
      <c r="B826" s="516"/>
      <c r="C826" s="520">
        <v>2220105</v>
      </c>
      <c r="D826" s="519" t="s">
        <v>64</v>
      </c>
      <c r="E826" s="521">
        <v>250000</v>
      </c>
      <c r="F826" s="521"/>
      <c r="G826" s="521"/>
      <c r="H826" s="521"/>
      <c r="I826" s="324">
        <f t="shared" si="613"/>
        <v>250000</v>
      </c>
      <c r="J826" s="522"/>
      <c r="K826" s="335"/>
      <c r="L826" s="317">
        <f t="shared" si="610"/>
        <v>250000</v>
      </c>
      <c r="M826" s="317"/>
      <c r="N826" s="372">
        <f t="shared" si="615"/>
        <v>0</v>
      </c>
      <c r="O826" s="336">
        <f>L826*1.1</f>
        <v>275000</v>
      </c>
      <c r="P826" s="336">
        <f>O826*1.1</f>
        <v>302500</v>
      </c>
      <c r="R826" s="317"/>
      <c r="U826" s="320"/>
    </row>
    <row r="827" spans="1:21" s="344" customFormat="1" outlineLevel="2">
      <c r="A827" s="519"/>
      <c r="B827" s="519"/>
      <c r="C827" s="517">
        <v>2220200</v>
      </c>
      <c r="D827" s="516" t="s">
        <v>124</v>
      </c>
      <c r="E827" s="518">
        <f>E828+E829</f>
        <v>210000</v>
      </c>
      <c r="F827" s="518">
        <f t="shared" ref="F827:P827" si="641">F828+F829</f>
        <v>0</v>
      </c>
      <c r="G827" s="518">
        <f t="shared" si="641"/>
        <v>0</v>
      </c>
      <c r="H827" s="518">
        <f t="shared" si="641"/>
        <v>0</v>
      </c>
      <c r="I827" s="518">
        <f t="shared" si="641"/>
        <v>210000</v>
      </c>
      <c r="J827" s="518">
        <f t="shared" si="641"/>
        <v>0</v>
      </c>
      <c r="K827" s="518">
        <f t="shared" si="641"/>
        <v>-210000</v>
      </c>
      <c r="L827" s="317">
        <f t="shared" si="610"/>
        <v>0</v>
      </c>
      <c r="M827" s="317"/>
      <c r="N827" s="372">
        <f t="shared" si="615"/>
        <v>210000</v>
      </c>
      <c r="O827" s="518">
        <f t="shared" si="641"/>
        <v>0</v>
      </c>
      <c r="P827" s="518">
        <f t="shared" si="641"/>
        <v>0</v>
      </c>
      <c r="R827" s="317"/>
      <c r="U827" s="320"/>
    </row>
    <row r="828" spans="1:21" s="344" customFormat="1" outlineLevel="2">
      <c r="A828" s="519"/>
      <c r="B828" s="519"/>
      <c r="C828" s="520">
        <v>2220202</v>
      </c>
      <c r="D828" s="519" t="s">
        <v>87</v>
      </c>
      <c r="E828" s="521">
        <v>80000</v>
      </c>
      <c r="F828" s="521"/>
      <c r="G828" s="521"/>
      <c r="H828" s="521"/>
      <c r="I828" s="324">
        <f t="shared" si="613"/>
        <v>80000</v>
      </c>
      <c r="J828" s="522"/>
      <c r="K828" s="335">
        <v>-80000</v>
      </c>
      <c r="L828" s="317">
        <f t="shared" si="610"/>
        <v>0</v>
      </c>
      <c r="M828" s="317"/>
      <c r="N828" s="372">
        <f t="shared" si="615"/>
        <v>80000</v>
      </c>
      <c r="O828" s="336">
        <f>L828*1.1</f>
        <v>0</v>
      </c>
      <c r="P828" s="336">
        <f>O828*1.1</f>
        <v>0</v>
      </c>
      <c r="R828" s="317"/>
      <c r="U828" s="320"/>
    </row>
    <row r="829" spans="1:21" s="344" customFormat="1" outlineLevel="2">
      <c r="A829" s="530"/>
      <c r="B829" s="530"/>
      <c r="C829" s="520">
        <v>2220205</v>
      </c>
      <c r="D829" s="519" t="s">
        <v>125</v>
      </c>
      <c r="E829" s="521">
        <v>130000</v>
      </c>
      <c r="F829" s="521"/>
      <c r="G829" s="521"/>
      <c r="H829" s="521"/>
      <c r="I829" s="324">
        <f t="shared" si="613"/>
        <v>130000</v>
      </c>
      <c r="J829" s="522"/>
      <c r="K829" s="335">
        <v>-130000</v>
      </c>
      <c r="L829" s="317">
        <f t="shared" si="610"/>
        <v>0</v>
      </c>
      <c r="M829" s="317"/>
      <c r="N829" s="372">
        <f t="shared" si="615"/>
        <v>130000</v>
      </c>
      <c r="O829" s="336">
        <f>L829*1.1</f>
        <v>0</v>
      </c>
      <c r="P829" s="336">
        <f t="shared" ref="P829" si="642">O829*1.1</f>
        <v>0</v>
      </c>
      <c r="R829" s="317"/>
      <c r="U829" s="320"/>
    </row>
    <row r="830" spans="1:21" s="344" customFormat="1" outlineLevel="2">
      <c r="A830" s="567"/>
      <c r="B830" s="567"/>
      <c r="C830" s="517">
        <v>3110700</v>
      </c>
      <c r="D830" s="516" t="s">
        <v>172</v>
      </c>
      <c r="E830" s="518">
        <f>E831+E832</f>
        <v>0</v>
      </c>
      <c r="F830" s="544"/>
      <c r="G830" s="544"/>
      <c r="H830" s="544"/>
      <c r="I830" s="324">
        <f t="shared" si="613"/>
        <v>0</v>
      </c>
      <c r="J830" s="518">
        <f t="shared" ref="J830:K830" si="643">J831+J832</f>
        <v>0</v>
      </c>
      <c r="K830" s="518">
        <f t="shared" si="643"/>
        <v>0</v>
      </c>
      <c r="L830" s="317">
        <f t="shared" si="610"/>
        <v>0</v>
      </c>
      <c r="M830" s="317"/>
      <c r="N830" s="372">
        <f t="shared" si="615"/>
        <v>0</v>
      </c>
      <c r="O830" s="527">
        <f t="shared" ref="O830:P830" si="644">O831+O832</f>
        <v>0</v>
      </c>
      <c r="P830" s="527">
        <f t="shared" si="644"/>
        <v>0</v>
      </c>
      <c r="R830" s="317"/>
      <c r="U830" s="320"/>
    </row>
    <row r="831" spans="1:21" s="344" customFormat="1" outlineLevel="2">
      <c r="A831" s="567"/>
      <c r="B831" s="567"/>
      <c r="C831" s="520">
        <v>3110701</v>
      </c>
      <c r="D831" s="519" t="s">
        <v>1787</v>
      </c>
      <c r="E831" s="521">
        <v>0</v>
      </c>
      <c r="F831" s="521"/>
      <c r="G831" s="521"/>
      <c r="H831" s="521"/>
      <c r="I831" s="324">
        <f t="shared" si="613"/>
        <v>0</v>
      </c>
      <c r="J831" s="522"/>
      <c r="K831" s="335"/>
      <c r="L831" s="317">
        <f t="shared" si="610"/>
        <v>0</v>
      </c>
      <c r="M831" s="317"/>
      <c r="N831" s="372">
        <f t="shared" si="615"/>
        <v>0</v>
      </c>
      <c r="O831" s="527">
        <f>L831*1.1</f>
        <v>0</v>
      </c>
      <c r="P831" s="527">
        <f>O831*1.1</f>
        <v>0</v>
      </c>
      <c r="R831" s="317"/>
      <c r="U831" s="320"/>
    </row>
    <row r="832" spans="1:21" s="344" customFormat="1" outlineLevel="2">
      <c r="A832" s="567"/>
      <c r="B832" s="567"/>
      <c r="C832" s="520">
        <v>3110704</v>
      </c>
      <c r="D832" s="519" t="s">
        <v>1788</v>
      </c>
      <c r="E832" s="523">
        <v>0</v>
      </c>
      <c r="F832" s="521"/>
      <c r="G832" s="521"/>
      <c r="H832" s="521"/>
      <c r="I832" s="324">
        <f t="shared" si="613"/>
        <v>0</v>
      </c>
      <c r="J832" s="522"/>
      <c r="K832" s="335"/>
      <c r="L832" s="317">
        <f t="shared" si="610"/>
        <v>0</v>
      </c>
      <c r="M832" s="317"/>
      <c r="N832" s="372">
        <f t="shared" si="615"/>
        <v>0</v>
      </c>
      <c r="O832" s="527">
        <f>L832*1.1</f>
        <v>0</v>
      </c>
      <c r="P832" s="527">
        <f>O832*1.1</f>
        <v>0</v>
      </c>
      <c r="R832" s="317"/>
      <c r="U832" s="320"/>
    </row>
    <row r="833" spans="1:21" s="344" customFormat="1" outlineLevel="2">
      <c r="A833" s="567"/>
      <c r="B833" s="567"/>
      <c r="C833" s="517">
        <v>3111400</v>
      </c>
      <c r="D833" s="516" t="s">
        <v>173</v>
      </c>
      <c r="E833" s="518">
        <f>E834+E835</f>
        <v>5600000</v>
      </c>
      <c r="F833" s="518">
        <f t="shared" ref="F833:K833" si="645">F834+F835</f>
        <v>0</v>
      </c>
      <c r="G833" s="518">
        <f t="shared" si="645"/>
        <v>0</v>
      </c>
      <c r="H833" s="518">
        <f t="shared" si="645"/>
        <v>0</v>
      </c>
      <c r="I833" s="518">
        <f t="shared" si="645"/>
        <v>5600000</v>
      </c>
      <c r="J833" s="518">
        <f t="shared" si="645"/>
        <v>0</v>
      </c>
      <c r="K833" s="518">
        <f t="shared" si="645"/>
        <v>0</v>
      </c>
      <c r="L833" s="317">
        <f t="shared" si="610"/>
        <v>5600000</v>
      </c>
      <c r="M833" s="317"/>
      <c r="N833" s="372">
        <f t="shared" si="615"/>
        <v>0</v>
      </c>
      <c r="O833" s="518">
        <f t="shared" ref="O833:P833" si="646">O834+O835</f>
        <v>6160000.0000000009</v>
      </c>
      <c r="P833" s="518">
        <f t="shared" si="646"/>
        <v>6776000.0000000019</v>
      </c>
      <c r="R833" s="317"/>
      <c r="U833" s="320"/>
    </row>
    <row r="834" spans="1:21" s="344" customFormat="1" outlineLevel="2">
      <c r="A834" s="567"/>
      <c r="B834" s="567"/>
      <c r="C834" s="520">
        <v>3111401</v>
      </c>
      <c r="D834" s="519" t="s">
        <v>174</v>
      </c>
      <c r="E834" s="521">
        <v>5600000</v>
      </c>
      <c r="F834" s="521"/>
      <c r="G834" s="521"/>
      <c r="H834" s="521"/>
      <c r="I834" s="324">
        <f t="shared" si="613"/>
        <v>5600000</v>
      </c>
      <c r="J834" s="522"/>
      <c r="K834" s="335"/>
      <c r="L834" s="317">
        <f t="shared" si="610"/>
        <v>5600000</v>
      </c>
      <c r="M834" s="317"/>
      <c r="N834" s="372">
        <f t="shared" si="615"/>
        <v>0</v>
      </c>
      <c r="O834" s="555">
        <f>L834*1.1</f>
        <v>6160000.0000000009</v>
      </c>
      <c r="P834" s="555">
        <f>O834*1.1</f>
        <v>6776000.0000000019</v>
      </c>
      <c r="R834" s="317"/>
      <c r="U834" s="320"/>
    </row>
    <row r="835" spans="1:21" s="344" customFormat="1" outlineLevel="2">
      <c r="A835" s="567"/>
      <c r="B835" s="567"/>
      <c r="C835" s="520">
        <v>3111401</v>
      </c>
      <c r="D835" s="519" t="s">
        <v>2425</v>
      </c>
      <c r="E835" s="521">
        <v>0</v>
      </c>
      <c r="F835" s="521"/>
      <c r="G835" s="521"/>
      <c r="H835" s="521"/>
      <c r="I835" s="324">
        <f t="shared" si="613"/>
        <v>0</v>
      </c>
      <c r="J835" s="522"/>
      <c r="K835" s="335"/>
      <c r="L835" s="317">
        <f t="shared" si="610"/>
        <v>0</v>
      </c>
      <c r="M835" s="317"/>
      <c r="N835" s="372">
        <f t="shared" si="615"/>
        <v>0</v>
      </c>
      <c r="O835" s="336">
        <f>L835*1.1</f>
        <v>0</v>
      </c>
      <c r="P835" s="336">
        <f t="shared" si="631"/>
        <v>0</v>
      </c>
      <c r="R835" s="317"/>
      <c r="U835" s="320"/>
    </row>
    <row r="836" spans="1:21" s="344" customFormat="1" outlineLevel="2">
      <c r="A836" s="567"/>
      <c r="B836" s="567"/>
      <c r="C836" s="542"/>
      <c r="D836" s="543" t="s">
        <v>128</v>
      </c>
      <c r="E836" s="515">
        <f>E788+E791+E794+E799+E803+E810+E815+E817+E824+E827+E830+E833+E821</f>
        <v>17599050</v>
      </c>
      <c r="F836" s="515">
        <f t="shared" ref="F836:P836" si="647">F788+F791+F794+F799+F803+F810+F815+F817+F824+F827+F830+F833+F821</f>
        <v>0</v>
      </c>
      <c r="G836" s="515">
        <f t="shared" si="647"/>
        <v>0</v>
      </c>
      <c r="H836" s="515">
        <f t="shared" si="647"/>
        <v>0</v>
      </c>
      <c r="I836" s="515">
        <f t="shared" si="647"/>
        <v>17599050</v>
      </c>
      <c r="J836" s="515">
        <f t="shared" si="647"/>
        <v>0</v>
      </c>
      <c r="K836" s="515">
        <f t="shared" si="647"/>
        <v>58177</v>
      </c>
      <c r="L836" s="317">
        <f t="shared" ref="L836:L899" si="648">I836+J836+K836</f>
        <v>17657227</v>
      </c>
      <c r="M836" s="317"/>
      <c r="N836" s="372">
        <f t="shared" si="615"/>
        <v>-58177</v>
      </c>
      <c r="O836" s="515">
        <f t="shared" si="647"/>
        <v>19422949.699999999</v>
      </c>
      <c r="P836" s="515">
        <f t="shared" si="647"/>
        <v>21365244.670000002</v>
      </c>
      <c r="R836" s="317"/>
      <c r="U836" s="320"/>
    </row>
    <row r="837" spans="1:21" s="344" customFormat="1" outlineLevel="2">
      <c r="A837" s="567"/>
      <c r="B837" s="567"/>
      <c r="C837" s="567"/>
      <c r="D837" s="567"/>
      <c r="E837" s="568"/>
      <c r="F837" s="568"/>
      <c r="G837" s="568"/>
      <c r="H837" s="568"/>
      <c r="I837" s="324">
        <f t="shared" si="613"/>
        <v>0</v>
      </c>
      <c r="J837" s="568"/>
      <c r="K837" s="568"/>
      <c r="L837" s="317">
        <f t="shared" si="648"/>
        <v>0</v>
      </c>
      <c r="M837" s="317"/>
      <c r="N837" s="372">
        <f t="shared" si="615"/>
        <v>0</v>
      </c>
      <c r="O837" s="527"/>
      <c r="P837" s="527"/>
      <c r="R837" s="317"/>
      <c r="U837" s="320"/>
    </row>
    <row r="838" spans="1:21" s="344" customFormat="1" outlineLevel="2">
      <c r="A838" s="569"/>
      <c r="B838" s="569"/>
      <c r="C838" s="569"/>
      <c r="D838" s="569" t="s">
        <v>879</v>
      </c>
      <c r="E838" s="570">
        <f>E836+E773</f>
        <v>75656037.5</v>
      </c>
      <c r="F838" s="570">
        <f t="shared" ref="F838:P838" si="649">F836+F773</f>
        <v>0</v>
      </c>
      <c r="G838" s="570">
        <f t="shared" si="649"/>
        <v>0</v>
      </c>
      <c r="H838" s="570">
        <f t="shared" si="649"/>
        <v>10239402</v>
      </c>
      <c r="I838" s="570">
        <f t="shared" si="649"/>
        <v>85895439.5</v>
      </c>
      <c r="J838" s="570">
        <f t="shared" si="649"/>
        <v>0</v>
      </c>
      <c r="K838" s="570">
        <f t="shared" si="649"/>
        <v>984040</v>
      </c>
      <c r="L838" s="317">
        <f t="shared" si="648"/>
        <v>86879479.5</v>
      </c>
      <c r="M838" s="2213"/>
      <c r="N838" s="372">
        <f t="shared" si="615"/>
        <v>-984040</v>
      </c>
      <c r="O838" s="570">
        <f t="shared" si="649"/>
        <v>95567427.450000003</v>
      </c>
      <c r="P838" s="570">
        <f t="shared" si="649"/>
        <v>105124170.19500001</v>
      </c>
      <c r="R838" s="317"/>
      <c r="U838" s="320"/>
    </row>
    <row r="839" spans="1:21" s="344" customFormat="1" outlineLevel="1">
      <c r="A839" s="569"/>
      <c r="B839" s="569"/>
      <c r="C839" s="569"/>
      <c r="D839" s="569" t="s">
        <v>92</v>
      </c>
      <c r="E839" s="570">
        <f>E783</f>
        <v>88980628.444713712</v>
      </c>
      <c r="F839" s="570">
        <f t="shared" ref="F839:K839" si="650">F783</f>
        <v>54111004.178397506</v>
      </c>
      <c r="G839" s="570">
        <f t="shared" si="650"/>
        <v>21951042</v>
      </c>
      <c r="H839" s="570">
        <f t="shared" si="650"/>
        <v>-32190444</v>
      </c>
      <c r="I839" s="570">
        <f t="shared" si="650"/>
        <v>132852230.62311122</v>
      </c>
      <c r="J839" s="570">
        <f t="shared" si="650"/>
        <v>-326916</v>
      </c>
      <c r="K839" s="570">
        <f t="shared" si="650"/>
        <v>0</v>
      </c>
      <c r="L839" s="317">
        <f t="shared" si="648"/>
        <v>132525314.62311122</v>
      </c>
      <c r="M839" s="2213"/>
      <c r="N839" s="372">
        <f t="shared" si="615"/>
        <v>0</v>
      </c>
      <c r="O839" s="570">
        <f t="shared" ref="O839:P839" si="651">O783</f>
        <v>56828904</v>
      </c>
      <c r="P839" s="570">
        <f t="shared" si="651"/>
        <v>62511794.400000006</v>
      </c>
      <c r="R839" s="317"/>
      <c r="U839" s="320"/>
    </row>
    <row r="840" spans="1:21" s="344" customFormat="1" outlineLevel="1">
      <c r="A840" s="569"/>
      <c r="B840" s="569"/>
      <c r="C840" s="569"/>
      <c r="D840" s="569" t="s">
        <v>1789</v>
      </c>
      <c r="E840" s="570">
        <f>E838+E839</f>
        <v>164636665.94471371</v>
      </c>
      <c r="F840" s="570">
        <f t="shared" ref="F840:K840" si="652">F838+F839</f>
        <v>54111004.178397506</v>
      </c>
      <c r="G840" s="570">
        <f t="shared" si="652"/>
        <v>21951042</v>
      </c>
      <c r="H840" s="570">
        <f t="shared" si="652"/>
        <v>-21951042</v>
      </c>
      <c r="I840" s="570">
        <f t="shared" si="652"/>
        <v>218747670.12311122</v>
      </c>
      <c r="J840" s="570">
        <f t="shared" si="652"/>
        <v>-326916</v>
      </c>
      <c r="K840" s="570">
        <f t="shared" si="652"/>
        <v>984040</v>
      </c>
      <c r="L840" s="317">
        <f t="shared" si="648"/>
        <v>219404794.12311122</v>
      </c>
      <c r="M840" s="2213"/>
      <c r="N840" s="372">
        <f t="shared" ref="N840:N903" si="653">M840-K840</f>
        <v>-984040</v>
      </c>
      <c r="O840" s="570">
        <f t="shared" ref="O840:P840" si="654">O838+O839</f>
        <v>152396331.44999999</v>
      </c>
      <c r="P840" s="570">
        <f t="shared" si="654"/>
        <v>167635964.59500003</v>
      </c>
      <c r="R840" s="317"/>
      <c r="U840" s="320"/>
    </row>
    <row r="841" spans="1:21" s="344" customFormat="1">
      <c r="A841" s="313"/>
      <c r="B841" s="313"/>
      <c r="C841" s="382"/>
      <c r="D841" s="447" t="s">
        <v>99</v>
      </c>
      <c r="E841" s="515">
        <f>E838+E701+E664+E619+E585+E525+E487+E442+E385</f>
        <v>1145178439.2299299</v>
      </c>
      <c r="F841" s="515">
        <f t="shared" ref="F841:L841" si="655">F838+F701+F664+F619+F585+F525+F487+F442+F385</f>
        <v>0</v>
      </c>
      <c r="G841" s="515">
        <f t="shared" si="655"/>
        <v>235150365</v>
      </c>
      <c r="H841" s="515">
        <f t="shared" si="655"/>
        <v>10739402</v>
      </c>
      <c r="I841" s="515">
        <f t="shared" si="655"/>
        <v>1391068206.2299302</v>
      </c>
      <c r="J841" s="515">
        <f t="shared" si="655"/>
        <v>-22000000</v>
      </c>
      <c r="K841" s="515">
        <f t="shared" si="655"/>
        <v>0</v>
      </c>
      <c r="L841" s="515">
        <f t="shared" si="655"/>
        <v>1369068206.2299302</v>
      </c>
      <c r="M841" s="515"/>
      <c r="N841" s="372">
        <f t="shared" si="653"/>
        <v>0</v>
      </c>
      <c r="O841" s="515">
        <f t="shared" ref="O841:P841" si="656">O838+O701+O664+O619+O585+O525+O487+O442+O385</f>
        <v>1504329326.8529232</v>
      </c>
      <c r="P841" s="515">
        <f t="shared" si="656"/>
        <v>1654356259.5382156</v>
      </c>
      <c r="R841" s="515"/>
      <c r="U841" s="571"/>
    </row>
    <row r="842" spans="1:21" s="344" customFormat="1">
      <c r="A842" s="313"/>
      <c r="B842" s="313"/>
      <c r="C842" s="382"/>
      <c r="D842" s="447" t="s">
        <v>175</v>
      </c>
      <c r="E842" s="515">
        <f>E783+E86</f>
        <v>887755163.44471371</v>
      </c>
      <c r="F842" s="515">
        <f t="shared" ref="F842:L842" si="657">F783+F86</f>
        <v>210909936.67839751</v>
      </c>
      <c r="G842" s="515">
        <f t="shared" si="657"/>
        <v>21951042</v>
      </c>
      <c r="H842" s="515">
        <f t="shared" si="657"/>
        <v>-32190444</v>
      </c>
      <c r="I842" s="515">
        <f t="shared" si="657"/>
        <v>1088425698.1231112</v>
      </c>
      <c r="J842" s="515">
        <f t="shared" si="657"/>
        <v>-326916</v>
      </c>
      <c r="K842" s="515">
        <f t="shared" si="657"/>
        <v>0</v>
      </c>
      <c r="L842" s="515">
        <f t="shared" si="657"/>
        <v>1088098782.1231112</v>
      </c>
      <c r="M842" s="515"/>
      <c r="N842" s="372">
        <f t="shared" si="653"/>
        <v>0</v>
      </c>
      <c r="O842" s="515">
        <f t="shared" ref="O842:P842" si="658">O783+O86</f>
        <v>1106172218.25</v>
      </c>
      <c r="P842" s="515">
        <f t="shared" si="658"/>
        <v>1216789440.075</v>
      </c>
      <c r="R842" s="515"/>
      <c r="U842" s="571"/>
    </row>
    <row r="843" spans="1:21" s="344" customFormat="1">
      <c r="A843" s="313"/>
      <c r="B843" s="313"/>
      <c r="C843" s="572" t="s">
        <v>176</v>
      </c>
      <c r="D843" s="573"/>
      <c r="E843" s="515">
        <f>E841+E842</f>
        <v>2032933602.6746435</v>
      </c>
      <c r="F843" s="515">
        <f t="shared" ref="F843:L843" si="659">F841+F842</f>
        <v>210909936.67839751</v>
      </c>
      <c r="G843" s="515">
        <f t="shared" si="659"/>
        <v>257101407</v>
      </c>
      <c r="H843" s="515">
        <f t="shared" si="659"/>
        <v>-21451042</v>
      </c>
      <c r="I843" s="515">
        <f t="shared" si="659"/>
        <v>2479493904.3530416</v>
      </c>
      <c r="J843" s="515">
        <f t="shared" si="659"/>
        <v>-22326916</v>
      </c>
      <c r="K843" s="515">
        <f t="shared" si="659"/>
        <v>0</v>
      </c>
      <c r="L843" s="515">
        <f t="shared" si="659"/>
        <v>2457166988.3530416</v>
      </c>
      <c r="M843" s="515"/>
      <c r="N843" s="372">
        <f t="shared" si="653"/>
        <v>0</v>
      </c>
      <c r="O843" s="515">
        <f t="shared" ref="O843:P843" si="660">O841+O842</f>
        <v>2610501545.1029234</v>
      </c>
      <c r="P843" s="515">
        <f t="shared" si="660"/>
        <v>2871145699.6132154</v>
      </c>
      <c r="Q843" s="344">
        <v>8326916</v>
      </c>
      <c r="R843" s="515">
        <f>K843+J843+Q843</f>
        <v>-14000000</v>
      </c>
      <c r="U843" s="571" t="s">
        <v>1803</v>
      </c>
    </row>
    <row r="844" spans="1:21">
      <c r="A844" s="330"/>
      <c r="B844" s="330"/>
      <c r="C844" s="314"/>
      <c r="D844" s="574"/>
      <c r="E844" s="575"/>
      <c r="F844" s="576"/>
      <c r="G844" s="576"/>
      <c r="H844" s="576"/>
      <c r="I844" s="324">
        <f t="shared" ref="I844:I902" si="661">E844+F844+G844+H844</f>
        <v>0</v>
      </c>
      <c r="J844" s="576"/>
      <c r="K844" s="576"/>
      <c r="L844" s="317"/>
      <c r="M844" s="317"/>
      <c r="N844" s="372">
        <f t="shared" si="653"/>
        <v>0</v>
      </c>
      <c r="O844" s="319"/>
      <c r="P844" s="319"/>
      <c r="Q844" s="577">
        <f>J843+K843+Q843</f>
        <v>-14000000</v>
      </c>
      <c r="R844" s="317"/>
      <c r="U844" s="320"/>
    </row>
    <row r="845" spans="1:21">
      <c r="A845" s="352"/>
      <c r="B845" s="352"/>
      <c r="C845" s="578"/>
      <c r="D845" s="579"/>
      <c r="E845" s="580"/>
      <c r="F845" s="581"/>
      <c r="G845" s="581"/>
      <c r="H845" s="581"/>
      <c r="I845" s="324">
        <f t="shared" si="661"/>
        <v>0</v>
      </c>
      <c r="J845" s="581"/>
      <c r="K845" s="581"/>
      <c r="L845" s="317"/>
      <c r="M845" s="317"/>
      <c r="N845" s="372">
        <f t="shared" si="653"/>
        <v>0</v>
      </c>
      <c r="O845" s="319"/>
      <c r="P845" s="319"/>
      <c r="Q845" s="577">
        <f>Q844-R843</f>
        <v>0</v>
      </c>
      <c r="R845" s="317"/>
      <c r="U845" s="320"/>
    </row>
    <row r="846" spans="1:21">
      <c r="A846" s="330"/>
      <c r="B846" s="447"/>
      <c r="C846" s="314" t="s">
        <v>177</v>
      </c>
      <c r="D846" s="447"/>
      <c r="E846" s="438"/>
      <c r="F846" s="438"/>
      <c r="G846" s="438"/>
      <c r="H846" s="438"/>
      <c r="I846" s="324">
        <f t="shared" si="661"/>
        <v>0</v>
      </c>
      <c r="J846" s="324">
        <f t="shared" ref="J846:K846" si="662">E846+F846+G846+H846</f>
        <v>0</v>
      </c>
      <c r="K846" s="324">
        <f t="shared" si="662"/>
        <v>0</v>
      </c>
      <c r="L846" s="317"/>
      <c r="M846" s="2211"/>
      <c r="N846" s="372">
        <f t="shared" si="653"/>
        <v>0</v>
      </c>
      <c r="O846" s="324">
        <f t="shared" ref="O846" si="663">H846+I846+K846+L846</f>
        <v>0</v>
      </c>
      <c r="P846" s="324">
        <f t="shared" ref="P846" si="664">I846+K846+L846+O846</f>
        <v>0</v>
      </c>
      <c r="Q846" s="577">
        <f>Q845+'WRONG&gt;&gt;&gt;Revenue Projections'!D32</f>
        <v>50000</v>
      </c>
      <c r="R846" s="317"/>
      <c r="U846" s="320" t="s">
        <v>1803</v>
      </c>
    </row>
    <row r="847" spans="1:21" outlineLevel="1">
      <c r="A847" s="582" t="s">
        <v>178</v>
      </c>
      <c r="B847" s="506"/>
      <c r="C847" s="583" t="s">
        <v>179</v>
      </c>
      <c r="D847" s="493"/>
      <c r="E847" s="584"/>
      <c r="F847" s="584"/>
      <c r="G847" s="584"/>
      <c r="H847" s="584"/>
      <c r="I847" s="584"/>
      <c r="J847" s="584"/>
      <c r="K847" s="584"/>
      <c r="L847" s="317">
        <f t="shared" si="648"/>
        <v>0</v>
      </c>
      <c r="M847" s="2211"/>
      <c r="N847" s="372">
        <f t="shared" si="653"/>
        <v>0</v>
      </c>
      <c r="O847" s="584"/>
      <c r="P847" s="584"/>
      <c r="R847" s="317"/>
      <c r="U847" s="320"/>
    </row>
    <row r="848" spans="1:21" outlineLevel="1">
      <c r="A848" s="585"/>
      <c r="B848" s="586" t="s">
        <v>146</v>
      </c>
      <c r="C848" s="328" t="s">
        <v>180</v>
      </c>
      <c r="D848" s="326"/>
      <c r="E848" s="587"/>
      <c r="F848" s="461"/>
      <c r="G848" s="461"/>
      <c r="H848" s="461"/>
      <c r="I848" s="324">
        <f t="shared" si="661"/>
        <v>0</v>
      </c>
      <c r="J848" s="461"/>
      <c r="K848" s="461"/>
      <c r="L848" s="317">
        <f t="shared" si="648"/>
        <v>0</v>
      </c>
      <c r="M848" s="317"/>
      <c r="N848" s="372">
        <f t="shared" si="653"/>
        <v>0</v>
      </c>
      <c r="O848" s="319">
        <f>L848*1.1</f>
        <v>0</v>
      </c>
      <c r="P848" s="319">
        <f t="shared" ref="P848:P866" si="665">O848*1.1</f>
        <v>0</v>
      </c>
      <c r="R848" s="317"/>
      <c r="U848" s="320"/>
    </row>
    <row r="849" spans="1:21" s="337" customFormat="1" outlineLevel="2">
      <c r="A849" s="588"/>
      <c r="B849" s="588"/>
      <c r="C849" s="589">
        <v>2110100</v>
      </c>
      <c r="D849" s="589" t="s">
        <v>13</v>
      </c>
      <c r="E849" s="590">
        <f>E850</f>
        <v>5940142</v>
      </c>
      <c r="F849" s="590">
        <f t="shared" ref="F849:K849" si="666">F850</f>
        <v>0</v>
      </c>
      <c r="G849" s="590">
        <f t="shared" si="666"/>
        <v>0</v>
      </c>
      <c r="H849" s="590">
        <f t="shared" si="666"/>
        <v>0</v>
      </c>
      <c r="I849" s="590">
        <f t="shared" si="666"/>
        <v>5940142</v>
      </c>
      <c r="J849" s="590">
        <f t="shared" si="666"/>
        <v>0</v>
      </c>
      <c r="K849" s="590">
        <f t="shared" si="666"/>
        <v>0</v>
      </c>
      <c r="L849" s="317">
        <f t="shared" si="648"/>
        <v>5940142</v>
      </c>
      <c r="M849" s="317"/>
      <c r="N849" s="372">
        <f t="shared" si="653"/>
        <v>0</v>
      </c>
      <c r="O849" s="590">
        <f t="shared" ref="O849:P849" si="667">O850</f>
        <v>6534156.2000000002</v>
      </c>
      <c r="P849" s="590">
        <f t="shared" si="667"/>
        <v>7187571.8200000012</v>
      </c>
      <c r="R849" s="317"/>
      <c r="U849" s="320"/>
    </row>
    <row r="850" spans="1:21" s="350" customFormat="1" outlineLevel="2">
      <c r="A850" s="591"/>
      <c r="B850" s="591"/>
      <c r="C850" s="592">
        <v>2110101</v>
      </c>
      <c r="D850" s="592" t="s">
        <v>14</v>
      </c>
      <c r="E850" s="593">
        <v>5940142</v>
      </c>
      <c r="F850" s="594"/>
      <c r="G850" s="594"/>
      <c r="H850" s="594"/>
      <c r="I850" s="324">
        <f t="shared" si="661"/>
        <v>5940142</v>
      </c>
      <c r="J850" s="315"/>
      <c r="K850" s="595"/>
      <c r="L850" s="317">
        <f t="shared" si="648"/>
        <v>5940142</v>
      </c>
      <c r="M850" s="317"/>
      <c r="N850" s="372">
        <f t="shared" si="653"/>
        <v>0</v>
      </c>
      <c r="O850" s="319">
        <f>L850*1.1</f>
        <v>6534156.2000000002</v>
      </c>
      <c r="P850" s="319">
        <f t="shared" si="665"/>
        <v>7187571.8200000012</v>
      </c>
      <c r="R850" s="317"/>
      <c r="U850" s="320"/>
    </row>
    <row r="851" spans="1:21" outlineLevel="2">
      <c r="A851" s="596"/>
      <c r="B851" s="596"/>
      <c r="C851" s="339" t="s">
        <v>244</v>
      </c>
      <c r="D851" s="340" t="s">
        <v>16</v>
      </c>
      <c r="E851" s="590">
        <f>E852+E853+E854</f>
        <v>423370</v>
      </c>
      <c r="F851" s="590">
        <f t="shared" ref="F851:P851" si="668">F852+F853+F854</f>
        <v>0</v>
      </c>
      <c r="G851" s="590">
        <f t="shared" si="668"/>
        <v>0</v>
      </c>
      <c r="H851" s="590">
        <f t="shared" si="668"/>
        <v>0</v>
      </c>
      <c r="I851" s="590">
        <f t="shared" si="668"/>
        <v>423370</v>
      </c>
      <c r="J851" s="590">
        <f t="shared" si="668"/>
        <v>0</v>
      </c>
      <c r="K851" s="590">
        <f t="shared" si="668"/>
        <v>-273370</v>
      </c>
      <c r="L851" s="317">
        <f t="shared" si="648"/>
        <v>150000</v>
      </c>
      <c r="M851" s="317"/>
      <c r="N851" s="372">
        <f t="shared" si="653"/>
        <v>273370</v>
      </c>
      <c r="O851" s="590">
        <f t="shared" si="668"/>
        <v>165000</v>
      </c>
      <c r="P851" s="590">
        <f t="shared" si="668"/>
        <v>181500.00000000003</v>
      </c>
      <c r="R851" s="317"/>
      <c r="U851" s="320"/>
    </row>
    <row r="852" spans="1:21" outlineLevel="2">
      <c r="A852" s="596"/>
      <c r="B852" s="596"/>
      <c r="C852" s="331">
        <v>2210101</v>
      </c>
      <c r="D852" s="332" t="s">
        <v>17</v>
      </c>
      <c r="E852" s="593">
        <f>38280+150000</f>
        <v>188280</v>
      </c>
      <c r="F852" s="334"/>
      <c r="G852" s="334"/>
      <c r="H852" s="334"/>
      <c r="I852" s="324">
        <f t="shared" si="661"/>
        <v>188280</v>
      </c>
      <c r="J852" s="315"/>
      <c r="K852" s="595">
        <v>-188280</v>
      </c>
      <c r="L852" s="317">
        <f t="shared" si="648"/>
        <v>0</v>
      </c>
      <c r="M852" s="317"/>
      <c r="N852" s="372">
        <f t="shared" si="653"/>
        <v>188280</v>
      </c>
      <c r="O852" s="319">
        <f>L852*1.1</f>
        <v>0</v>
      </c>
      <c r="P852" s="319">
        <f t="shared" si="665"/>
        <v>0</v>
      </c>
      <c r="R852" s="317"/>
      <c r="U852" s="320"/>
    </row>
    <row r="853" spans="1:21" s="337" customFormat="1" outlineLevel="2">
      <c r="A853" s="588"/>
      <c r="B853" s="588"/>
      <c r="C853" s="331">
        <v>2210102</v>
      </c>
      <c r="D853" s="332" t="s">
        <v>18</v>
      </c>
      <c r="E853" s="593">
        <f>35090+50000</f>
        <v>85090</v>
      </c>
      <c r="F853" s="334"/>
      <c r="G853" s="334"/>
      <c r="H853" s="334"/>
      <c r="I853" s="324">
        <f t="shared" si="661"/>
        <v>85090</v>
      </c>
      <c r="J853" s="315"/>
      <c r="K853" s="595">
        <v>-85090</v>
      </c>
      <c r="L853" s="317">
        <f t="shared" si="648"/>
        <v>0</v>
      </c>
      <c r="M853" s="317"/>
      <c r="N853" s="372">
        <f t="shared" si="653"/>
        <v>85090</v>
      </c>
      <c r="O853" s="319">
        <f>L853*1.1</f>
        <v>0</v>
      </c>
      <c r="P853" s="319">
        <f t="shared" si="665"/>
        <v>0</v>
      </c>
      <c r="R853" s="317"/>
      <c r="U853" s="320"/>
    </row>
    <row r="854" spans="1:21" outlineLevel="2">
      <c r="A854" s="596"/>
      <c r="B854" s="596"/>
      <c r="C854" s="331">
        <v>2210103</v>
      </c>
      <c r="D854" s="332" t="s">
        <v>23</v>
      </c>
      <c r="E854" s="593">
        <f>100000+50000</f>
        <v>150000</v>
      </c>
      <c r="F854" s="334"/>
      <c r="G854" s="334"/>
      <c r="H854" s="334"/>
      <c r="I854" s="324">
        <f t="shared" si="661"/>
        <v>150000</v>
      </c>
      <c r="J854" s="315"/>
      <c r="K854" s="595">
        <v>0</v>
      </c>
      <c r="L854" s="317">
        <f t="shared" si="648"/>
        <v>150000</v>
      </c>
      <c r="M854" s="317"/>
      <c r="N854" s="372">
        <f t="shared" si="653"/>
        <v>0</v>
      </c>
      <c r="O854" s="319">
        <f>L854*1.1</f>
        <v>165000</v>
      </c>
      <c r="P854" s="319">
        <f t="shared" si="665"/>
        <v>181500.00000000003</v>
      </c>
      <c r="R854" s="317"/>
      <c r="U854" s="320"/>
    </row>
    <row r="855" spans="1:21" outlineLevel="2">
      <c r="A855" s="596"/>
      <c r="B855" s="596"/>
      <c r="C855" s="339">
        <v>2210200</v>
      </c>
      <c r="D855" s="343" t="s">
        <v>20</v>
      </c>
      <c r="E855" s="590">
        <f>E856+E857</f>
        <v>660000</v>
      </c>
      <c r="F855" s="590">
        <f t="shared" ref="F855:K855" si="669">F856+F857</f>
        <v>0</v>
      </c>
      <c r="G855" s="590">
        <f t="shared" si="669"/>
        <v>0</v>
      </c>
      <c r="H855" s="590">
        <f t="shared" si="669"/>
        <v>0</v>
      </c>
      <c r="I855" s="590">
        <f t="shared" si="669"/>
        <v>660000</v>
      </c>
      <c r="J855" s="590">
        <f t="shared" si="669"/>
        <v>0</v>
      </c>
      <c r="K855" s="590">
        <f t="shared" si="669"/>
        <v>0</v>
      </c>
      <c r="L855" s="317">
        <f t="shared" si="648"/>
        <v>660000</v>
      </c>
      <c r="M855" s="317"/>
      <c r="N855" s="372">
        <f t="shared" si="653"/>
        <v>0</v>
      </c>
      <c r="O855" s="590">
        <f t="shared" ref="O855:P855" si="670">O856+O857</f>
        <v>726000</v>
      </c>
      <c r="P855" s="590">
        <f t="shared" si="670"/>
        <v>798600</v>
      </c>
      <c r="R855" s="317"/>
      <c r="U855" s="320"/>
    </row>
    <row r="856" spans="1:21" s="337" customFormat="1" outlineLevel="2">
      <c r="A856" s="588"/>
      <c r="B856" s="588"/>
      <c r="C856" s="331">
        <v>2210201</v>
      </c>
      <c r="D856" s="341" t="s">
        <v>21</v>
      </c>
      <c r="E856" s="593">
        <v>560000</v>
      </c>
      <c r="F856" s="334"/>
      <c r="G856" s="334"/>
      <c r="H856" s="334"/>
      <c r="I856" s="324">
        <f t="shared" si="661"/>
        <v>560000</v>
      </c>
      <c r="J856" s="315"/>
      <c r="K856" s="595">
        <v>0</v>
      </c>
      <c r="L856" s="317">
        <f t="shared" si="648"/>
        <v>560000</v>
      </c>
      <c r="M856" s="317"/>
      <c r="N856" s="372">
        <f t="shared" si="653"/>
        <v>0</v>
      </c>
      <c r="O856" s="319">
        <f>L856*1.1</f>
        <v>616000</v>
      </c>
      <c r="P856" s="319">
        <f t="shared" si="665"/>
        <v>677600</v>
      </c>
      <c r="R856" s="317"/>
      <c r="U856" s="320"/>
    </row>
    <row r="857" spans="1:21" outlineLevel="2">
      <c r="A857" s="596"/>
      <c r="B857" s="596"/>
      <c r="C857" s="331">
        <v>2210202</v>
      </c>
      <c r="D857" s="341" t="s">
        <v>22</v>
      </c>
      <c r="E857" s="593">
        <v>100000</v>
      </c>
      <c r="F857" s="334"/>
      <c r="G857" s="334"/>
      <c r="H857" s="334"/>
      <c r="I857" s="324">
        <f t="shared" si="661"/>
        <v>100000</v>
      </c>
      <c r="J857" s="315"/>
      <c r="K857" s="595">
        <v>0</v>
      </c>
      <c r="L857" s="317">
        <f t="shared" si="648"/>
        <v>100000</v>
      </c>
      <c r="M857" s="317"/>
      <c r="N857" s="372">
        <f t="shared" si="653"/>
        <v>0</v>
      </c>
      <c r="O857" s="319">
        <f>L857*1.1</f>
        <v>110000.00000000001</v>
      </c>
      <c r="P857" s="319">
        <f t="shared" si="665"/>
        <v>121000.00000000003</v>
      </c>
      <c r="R857" s="317"/>
      <c r="U857" s="320"/>
    </row>
    <row r="858" spans="1:21" outlineLevel="2">
      <c r="A858" s="596"/>
      <c r="B858" s="596"/>
      <c r="C858" s="589">
        <v>2210300</v>
      </c>
      <c r="D858" s="589" t="s">
        <v>24</v>
      </c>
      <c r="E858" s="590">
        <f>E859+E860+E861+E862</f>
        <v>5260003.7760000005</v>
      </c>
      <c r="F858" s="590">
        <f t="shared" ref="F858:P858" si="671">F859+F860+F861+F862</f>
        <v>0</v>
      </c>
      <c r="G858" s="590">
        <f t="shared" si="671"/>
        <v>1300000</v>
      </c>
      <c r="H858" s="590">
        <f t="shared" si="671"/>
        <v>0</v>
      </c>
      <c r="I858" s="590">
        <f t="shared" si="671"/>
        <v>6560003.7760000005</v>
      </c>
      <c r="J858" s="590">
        <f t="shared" si="671"/>
        <v>0</v>
      </c>
      <c r="K858" s="590">
        <f t="shared" si="671"/>
        <v>85090</v>
      </c>
      <c r="L858" s="317">
        <f t="shared" si="648"/>
        <v>6645093.7760000005</v>
      </c>
      <c r="M858" s="317"/>
      <c r="N858" s="372">
        <f t="shared" si="653"/>
        <v>-85090</v>
      </c>
      <c r="O858" s="590">
        <f t="shared" si="671"/>
        <v>7309603.1535999998</v>
      </c>
      <c r="P858" s="590">
        <f t="shared" si="671"/>
        <v>8040563.4689600002</v>
      </c>
      <c r="R858" s="317"/>
      <c r="U858" s="320"/>
    </row>
    <row r="859" spans="1:21" s="337" customFormat="1" outlineLevel="2">
      <c r="A859" s="338"/>
      <c r="B859" s="588"/>
      <c r="C859" s="398">
        <v>2210301</v>
      </c>
      <c r="D859" s="398" t="s">
        <v>188</v>
      </c>
      <c r="E859" s="593">
        <v>366523.34399999998</v>
      </c>
      <c r="F859" s="399"/>
      <c r="G859" s="399">
        <v>700000</v>
      </c>
      <c r="H859" s="399"/>
      <c r="I859" s="324">
        <f t="shared" si="661"/>
        <v>1066523.344</v>
      </c>
      <c r="J859" s="315"/>
      <c r="K859" s="595">
        <v>85090</v>
      </c>
      <c r="L859" s="317">
        <f t="shared" si="648"/>
        <v>1151613.344</v>
      </c>
      <c r="M859" s="317"/>
      <c r="N859" s="372">
        <f t="shared" si="653"/>
        <v>-85090</v>
      </c>
      <c r="O859" s="319">
        <f>L859*1.1</f>
        <v>1266774.6784000001</v>
      </c>
      <c r="P859" s="319">
        <f t="shared" si="665"/>
        <v>1393452.1462400001</v>
      </c>
      <c r="R859" s="317"/>
      <c r="U859" s="320"/>
    </row>
    <row r="860" spans="1:21" s="597" customFormat="1" outlineLevel="2">
      <c r="A860" s="586"/>
      <c r="B860" s="586"/>
      <c r="C860" s="398">
        <v>2210302</v>
      </c>
      <c r="D860" s="398" t="s">
        <v>26</v>
      </c>
      <c r="E860" s="593">
        <f>1755227.56-500000-100000+1500000-300000</f>
        <v>2355227.56</v>
      </c>
      <c r="F860" s="399"/>
      <c r="G860" s="399">
        <v>200000</v>
      </c>
      <c r="H860" s="399"/>
      <c r="I860" s="324">
        <f t="shared" si="661"/>
        <v>2555227.56</v>
      </c>
      <c r="J860" s="315"/>
      <c r="K860" s="595">
        <v>0</v>
      </c>
      <c r="L860" s="317">
        <f t="shared" si="648"/>
        <v>2555227.56</v>
      </c>
      <c r="M860" s="317"/>
      <c r="N860" s="372">
        <f t="shared" si="653"/>
        <v>0</v>
      </c>
      <c r="O860" s="319">
        <f>L860*1.1</f>
        <v>2810750.3160000001</v>
      </c>
      <c r="P860" s="319">
        <f t="shared" si="665"/>
        <v>3091825.3476000004</v>
      </c>
      <c r="R860" s="317"/>
      <c r="U860" s="320"/>
    </row>
    <row r="861" spans="1:21" outlineLevel="2">
      <c r="A861" s="586"/>
      <c r="B861" s="586"/>
      <c r="C861" s="398">
        <v>2210303</v>
      </c>
      <c r="D861" s="398" t="s">
        <v>27</v>
      </c>
      <c r="E861" s="593">
        <f>1684092.872-700000-150000+1500000</f>
        <v>2334092.872</v>
      </c>
      <c r="F861" s="399"/>
      <c r="G861" s="399">
        <v>400000</v>
      </c>
      <c r="H861" s="399"/>
      <c r="I861" s="324">
        <f t="shared" si="661"/>
        <v>2734092.872</v>
      </c>
      <c r="J861" s="315"/>
      <c r="K861" s="595">
        <v>0</v>
      </c>
      <c r="L861" s="317">
        <f t="shared" si="648"/>
        <v>2734092.872</v>
      </c>
      <c r="M861" s="317"/>
      <c r="N861" s="372">
        <f t="shared" si="653"/>
        <v>0</v>
      </c>
      <c r="O861" s="319">
        <f>L861*1.1</f>
        <v>3007502.1592000001</v>
      </c>
      <c r="P861" s="319">
        <f t="shared" si="665"/>
        <v>3308252.3751200004</v>
      </c>
      <c r="R861" s="317"/>
      <c r="U861" s="320"/>
    </row>
    <row r="862" spans="1:21" s="337" customFormat="1" outlineLevel="2">
      <c r="A862" s="588"/>
      <c r="B862" s="588"/>
      <c r="C862" s="332">
        <v>2210304</v>
      </c>
      <c r="D862" s="332" t="s">
        <v>28</v>
      </c>
      <c r="E862" s="593">
        <v>204160.00000000003</v>
      </c>
      <c r="F862" s="334"/>
      <c r="G862" s="334"/>
      <c r="H862" s="334"/>
      <c r="I862" s="324">
        <f t="shared" si="661"/>
        <v>204160.00000000003</v>
      </c>
      <c r="J862" s="315"/>
      <c r="K862" s="595">
        <v>0</v>
      </c>
      <c r="L862" s="317">
        <f t="shared" si="648"/>
        <v>204160.00000000003</v>
      </c>
      <c r="M862" s="317"/>
      <c r="N862" s="372">
        <f t="shared" si="653"/>
        <v>0</v>
      </c>
      <c r="O862" s="319">
        <f>L862*1.1</f>
        <v>224576.00000000006</v>
      </c>
      <c r="P862" s="319">
        <f t="shared" si="665"/>
        <v>247033.60000000009</v>
      </c>
      <c r="R862" s="317"/>
      <c r="U862" s="320"/>
    </row>
    <row r="863" spans="1:21" s="597" customFormat="1" outlineLevel="2">
      <c r="A863" s="586"/>
      <c r="B863" s="586"/>
      <c r="C863" s="589">
        <v>2210400</v>
      </c>
      <c r="D863" s="589" t="s">
        <v>189</v>
      </c>
      <c r="E863" s="590">
        <f>E864+E865+E866</f>
        <v>1900000</v>
      </c>
      <c r="F863" s="590">
        <f t="shared" ref="F863:P863" si="672">F864+F865+F866</f>
        <v>0</v>
      </c>
      <c r="G863" s="590">
        <f t="shared" si="672"/>
        <v>0</v>
      </c>
      <c r="H863" s="590">
        <f t="shared" si="672"/>
        <v>0</v>
      </c>
      <c r="I863" s="590">
        <f t="shared" si="672"/>
        <v>1900000</v>
      </c>
      <c r="J863" s="590">
        <f t="shared" si="672"/>
        <v>0</v>
      </c>
      <c r="K863" s="590">
        <f t="shared" si="672"/>
        <v>-1900000</v>
      </c>
      <c r="L863" s="317">
        <f t="shared" si="648"/>
        <v>0</v>
      </c>
      <c r="M863" s="317"/>
      <c r="N863" s="372">
        <f t="shared" si="653"/>
        <v>1900000</v>
      </c>
      <c r="O863" s="590">
        <f t="shared" si="672"/>
        <v>0</v>
      </c>
      <c r="P863" s="590">
        <f t="shared" si="672"/>
        <v>0</v>
      </c>
      <c r="R863" s="317"/>
      <c r="U863" s="320"/>
    </row>
    <row r="864" spans="1:21" outlineLevel="2">
      <c r="A864" s="586"/>
      <c r="B864" s="586"/>
      <c r="C864" s="398">
        <v>2210401</v>
      </c>
      <c r="D864" s="398" t="s">
        <v>190</v>
      </c>
      <c r="E864" s="593">
        <v>800000</v>
      </c>
      <c r="F864" s="399"/>
      <c r="G864" s="399"/>
      <c r="H864" s="399"/>
      <c r="I864" s="324">
        <f t="shared" si="661"/>
        <v>800000</v>
      </c>
      <c r="J864" s="315">
        <v>0</v>
      </c>
      <c r="K864" s="595">
        <v>-800000</v>
      </c>
      <c r="L864" s="317">
        <f t="shared" si="648"/>
        <v>0</v>
      </c>
      <c r="M864" s="317"/>
      <c r="N864" s="372">
        <f t="shared" si="653"/>
        <v>800000</v>
      </c>
      <c r="O864" s="319">
        <f>L864*1.1</f>
        <v>0</v>
      </c>
      <c r="P864" s="319">
        <f t="shared" si="665"/>
        <v>0</v>
      </c>
      <c r="R864" s="317"/>
      <c r="U864" s="320"/>
    </row>
    <row r="865" spans="1:21" outlineLevel="2">
      <c r="A865" s="586"/>
      <c r="B865" s="598"/>
      <c r="C865" s="398">
        <v>2210402</v>
      </c>
      <c r="D865" s="398" t="s">
        <v>191</v>
      </c>
      <c r="E865" s="593">
        <v>750000</v>
      </c>
      <c r="F865" s="399"/>
      <c r="G865" s="399"/>
      <c r="H865" s="399"/>
      <c r="I865" s="324">
        <f t="shared" si="661"/>
        <v>750000</v>
      </c>
      <c r="J865" s="315"/>
      <c r="K865" s="595">
        <v>-750000</v>
      </c>
      <c r="L865" s="317">
        <f t="shared" si="648"/>
        <v>0</v>
      </c>
      <c r="M865" s="317"/>
      <c r="N865" s="372">
        <f t="shared" si="653"/>
        <v>750000</v>
      </c>
      <c r="O865" s="319">
        <f>L865*1.1</f>
        <v>0</v>
      </c>
      <c r="P865" s="319">
        <f t="shared" si="665"/>
        <v>0</v>
      </c>
      <c r="R865" s="317"/>
      <c r="U865" s="320"/>
    </row>
    <row r="866" spans="1:21" s="337" customFormat="1" outlineLevel="2">
      <c r="A866" s="588"/>
      <c r="B866" s="588"/>
      <c r="C866" s="405">
        <v>2210404</v>
      </c>
      <c r="D866" s="398" t="s">
        <v>28</v>
      </c>
      <c r="E866" s="593">
        <v>350000</v>
      </c>
      <c r="F866" s="399"/>
      <c r="G866" s="399"/>
      <c r="H866" s="399"/>
      <c r="I866" s="324">
        <f t="shared" si="661"/>
        <v>350000</v>
      </c>
      <c r="J866" s="315">
        <v>0</v>
      </c>
      <c r="K866" s="595">
        <v>-350000</v>
      </c>
      <c r="L866" s="317">
        <f t="shared" si="648"/>
        <v>0</v>
      </c>
      <c r="M866" s="317"/>
      <c r="N866" s="372">
        <f t="shared" si="653"/>
        <v>350000</v>
      </c>
      <c r="O866" s="319">
        <f>L866*1.1</f>
        <v>0</v>
      </c>
      <c r="P866" s="319">
        <f t="shared" si="665"/>
        <v>0</v>
      </c>
      <c r="R866" s="317"/>
      <c r="U866" s="320"/>
    </row>
    <row r="867" spans="1:21" outlineLevel="2">
      <c r="A867" s="586"/>
      <c r="B867" s="586"/>
      <c r="C867" s="589">
        <v>2210500</v>
      </c>
      <c r="D867" s="589" t="s">
        <v>31</v>
      </c>
      <c r="E867" s="590">
        <f>E868+E869+E870+E871</f>
        <v>1140220</v>
      </c>
      <c r="F867" s="590">
        <f t="shared" ref="F867:P867" si="673">F868+F869+F870+F871</f>
        <v>0</v>
      </c>
      <c r="G867" s="590">
        <f t="shared" si="673"/>
        <v>0</v>
      </c>
      <c r="H867" s="590">
        <f t="shared" si="673"/>
        <v>0</v>
      </c>
      <c r="I867" s="590">
        <f t="shared" si="673"/>
        <v>1140220</v>
      </c>
      <c r="J867" s="590">
        <f t="shared" si="673"/>
        <v>0</v>
      </c>
      <c r="K867" s="590">
        <f t="shared" si="673"/>
        <v>0</v>
      </c>
      <c r="L867" s="317">
        <f t="shared" si="648"/>
        <v>1140220</v>
      </c>
      <c r="M867" s="317"/>
      <c r="N867" s="372">
        <f t="shared" si="653"/>
        <v>0</v>
      </c>
      <c r="O867" s="590">
        <f t="shared" si="673"/>
        <v>1254242.0000000002</v>
      </c>
      <c r="P867" s="590">
        <f t="shared" si="673"/>
        <v>1379666.2000000002</v>
      </c>
      <c r="R867" s="317"/>
      <c r="U867" s="320"/>
    </row>
    <row r="868" spans="1:21" outlineLevel="2">
      <c r="A868" s="598"/>
      <c r="B868" s="586"/>
      <c r="C868" s="398">
        <v>2210502</v>
      </c>
      <c r="D868" s="398" t="s">
        <v>105</v>
      </c>
      <c r="E868" s="593">
        <v>127600.00000000001</v>
      </c>
      <c r="F868" s="399"/>
      <c r="G868" s="399"/>
      <c r="H868" s="399"/>
      <c r="I868" s="324">
        <f t="shared" si="661"/>
        <v>127600.00000000001</v>
      </c>
      <c r="J868" s="315"/>
      <c r="K868" s="595">
        <v>0</v>
      </c>
      <c r="L868" s="317">
        <f t="shared" si="648"/>
        <v>127600.00000000001</v>
      </c>
      <c r="M868" s="317"/>
      <c r="N868" s="372">
        <f t="shared" si="653"/>
        <v>0</v>
      </c>
      <c r="O868" s="319">
        <f>L868*1.1</f>
        <v>140360.00000000003</v>
      </c>
      <c r="P868" s="319">
        <f t="shared" ref="P868:P885" si="674">O868*1.1</f>
        <v>154396.00000000006</v>
      </c>
      <c r="R868" s="317"/>
      <c r="U868" s="320"/>
    </row>
    <row r="869" spans="1:21" s="597" customFormat="1" outlineLevel="2">
      <c r="A869" s="586"/>
      <c r="B869" s="586"/>
      <c r="C869" s="398">
        <v>2210503</v>
      </c>
      <c r="D869" s="398" t="s">
        <v>32</v>
      </c>
      <c r="E869" s="593">
        <v>95700.000000000015</v>
      </c>
      <c r="F869" s="399"/>
      <c r="G869" s="399"/>
      <c r="H869" s="399"/>
      <c r="I869" s="324">
        <f t="shared" si="661"/>
        <v>95700.000000000015</v>
      </c>
      <c r="J869" s="315"/>
      <c r="K869" s="595"/>
      <c r="L869" s="317">
        <f t="shared" si="648"/>
        <v>95700.000000000015</v>
      </c>
      <c r="M869" s="317"/>
      <c r="N869" s="372">
        <f t="shared" si="653"/>
        <v>0</v>
      </c>
      <c r="O869" s="319">
        <f>L869*1.1</f>
        <v>105270.00000000003</v>
      </c>
      <c r="P869" s="319">
        <f t="shared" si="674"/>
        <v>115797.00000000004</v>
      </c>
      <c r="R869" s="317"/>
      <c r="U869" s="320"/>
    </row>
    <row r="870" spans="1:21" s="337" customFormat="1" outlineLevel="2">
      <c r="A870" s="588"/>
      <c r="B870" s="588"/>
      <c r="C870" s="398">
        <v>2210504</v>
      </c>
      <c r="D870" s="398" t="s">
        <v>106</v>
      </c>
      <c r="E870" s="593">
        <v>216920.00000000003</v>
      </c>
      <c r="F870" s="399"/>
      <c r="G870" s="399"/>
      <c r="H870" s="399"/>
      <c r="I870" s="324">
        <f t="shared" si="661"/>
        <v>216920.00000000003</v>
      </c>
      <c r="J870" s="315"/>
      <c r="K870" s="595">
        <v>522944</v>
      </c>
      <c r="L870" s="317">
        <f t="shared" si="648"/>
        <v>739864</v>
      </c>
      <c r="M870" s="317"/>
      <c r="N870" s="372">
        <f t="shared" si="653"/>
        <v>-522944</v>
      </c>
      <c r="O870" s="319">
        <f>L870*1.1</f>
        <v>813850.4</v>
      </c>
      <c r="P870" s="319">
        <f t="shared" si="674"/>
        <v>895235.44000000006</v>
      </c>
      <c r="R870" s="317"/>
      <c r="U870" s="320"/>
    </row>
    <row r="871" spans="1:21" outlineLevel="2">
      <c r="A871" s="586"/>
      <c r="B871" s="586"/>
      <c r="C871" s="398">
        <v>2210505</v>
      </c>
      <c r="D871" s="398" t="s">
        <v>192</v>
      </c>
      <c r="E871" s="593">
        <f>1200000-500000</f>
        <v>700000</v>
      </c>
      <c r="F871" s="399"/>
      <c r="G871" s="399"/>
      <c r="H871" s="399"/>
      <c r="I871" s="324">
        <f t="shared" si="661"/>
        <v>700000</v>
      </c>
      <c r="J871" s="315">
        <v>0</v>
      </c>
      <c r="K871" s="595">
        <v>-522944</v>
      </c>
      <c r="L871" s="317">
        <f t="shared" si="648"/>
        <v>177056</v>
      </c>
      <c r="M871" s="317"/>
      <c r="N871" s="372">
        <f t="shared" si="653"/>
        <v>522944</v>
      </c>
      <c r="O871" s="319">
        <f>L871*1.1</f>
        <v>194761.60000000001</v>
      </c>
      <c r="P871" s="319">
        <f t="shared" si="674"/>
        <v>214237.76</v>
      </c>
      <c r="R871" s="317"/>
      <c r="U871" s="320"/>
    </row>
    <row r="872" spans="1:21" s="597" customFormat="1" outlineLevel="2">
      <c r="A872" s="586"/>
      <c r="B872" s="586"/>
      <c r="C872" s="589">
        <v>2210700</v>
      </c>
      <c r="D872" s="589" t="s">
        <v>194</v>
      </c>
      <c r="E872" s="590">
        <f>E873+E877+E879+E874+E875+E876+E878</f>
        <v>1818460.8860000002</v>
      </c>
      <c r="F872" s="590">
        <f t="shared" ref="F872:K872" si="675">F873+F877+F879+F874+F875+F876+F878</f>
        <v>0</v>
      </c>
      <c r="G872" s="590">
        <f t="shared" si="675"/>
        <v>0</v>
      </c>
      <c r="H872" s="590">
        <f t="shared" si="675"/>
        <v>0</v>
      </c>
      <c r="I872" s="590">
        <f t="shared" si="675"/>
        <v>1818460.8860000002</v>
      </c>
      <c r="J872" s="590">
        <f t="shared" si="675"/>
        <v>0</v>
      </c>
      <c r="K872" s="590">
        <f t="shared" si="675"/>
        <v>2852155</v>
      </c>
      <c r="L872" s="317">
        <f t="shared" si="648"/>
        <v>4670615.8859999999</v>
      </c>
      <c r="M872" s="317"/>
      <c r="N872" s="372">
        <f t="shared" si="653"/>
        <v>-2852155</v>
      </c>
      <c r="O872" s="590">
        <f t="shared" ref="O872:P872" si="676">O873+O877+O879+O874+O875+O876+O878</f>
        <v>5137677.4746000003</v>
      </c>
      <c r="P872" s="590">
        <f t="shared" si="676"/>
        <v>5651445.2220600005</v>
      </c>
      <c r="R872" s="317"/>
      <c r="U872" s="320"/>
    </row>
    <row r="873" spans="1:21" s="337" customFormat="1" outlineLevel="2">
      <c r="A873" s="588"/>
      <c r="B873" s="588"/>
      <c r="C873" s="398">
        <v>2210701</v>
      </c>
      <c r="D873" s="398" t="s">
        <v>36</v>
      </c>
      <c r="E873" s="593">
        <v>236440.88600000003</v>
      </c>
      <c r="F873" s="399"/>
      <c r="G873" s="399"/>
      <c r="H873" s="399"/>
      <c r="I873" s="324">
        <f t="shared" si="661"/>
        <v>236440.88600000003</v>
      </c>
      <c r="J873" s="315"/>
      <c r="K873" s="595">
        <v>800000</v>
      </c>
      <c r="L873" s="317">
        <f t="shared" si="648"/>
        <v>1036440.8860000001</v>
      </c>
      <c r="M873" s="317"/>
      <c r="N873" s="372">
        <f t="shared" si="653"/>
        <v>-800000</v>
      </c>
      <c r="O873" s="319">
        <f t="shared" ref="O873:O879" si="677">L873*1.1</f>
        <v>1140084.9746000001</v>
      </c>
      <c r="P873" s="319">
        <f t="shared" si="674"/>
        <v>1254093.4720600003</v>
      </c>
      <c r="R873" s="317"/>
      <c r="U873" s="320"/>
    </row>
    <row r="874" spans="1:21" s="597" customFormat="1" outlineLevel="2">
      <c r="A874" s="586"/>
      <c r="B874" s="586"/>
      <c r="C874" s="331">
        <v>2210702</v>
      </c>
      <c r="D874" s="341" t="s">
        <v>95</v>
      </c>
      <c r="E874" s="593">
        <v>446600.00000000006</v>
      </c>
      <c r="F874" s="334"/>
      <c r="G874" s="334"/>
      <c r="H874" s="334"/>
      <c r="I874" s="324">
        <f t="shared" si="661"/>
        <v>446600.00000000006</v>
      </c>
      <c r="J874" s="315"/>
      <c r="K874" s="595">
        <v>-49900</v>
      </c>
      <c r="L874" s="317">
        <f t="shared" si="648"/>
        <v>396700.00000000006</v>
      </c>
      <c r="M874" s="317"/>
      <c r="N874" s="372">
        <f t="shared" si="653"/>
        <v>49900</v>
      </c>
      <c r="O874" s="319">
        <f t="shared" si="677"/>
        <v>436370.00000000012</v>
      </c>
      <c r="P874" s="319">
        <f t="shared" si="674"/>
        <v>480007.00000000017</v>
      </c>
      <c r="R874" s="317"/>
      <c r="U874" s="320"/>
    </row>
    <row r="875" spans="1:21" outlineLevel="2">
      <c r="A875" s="586"/>
      <c r="B875" s="586"/>
      <c r="C875" s="331">
        <v>2210703</v>
      </c>
      <c r="D875" s="341" t="s">
        <v>107</v>
      </c>
      <c r="E875" s="593">
        <v>165000</v>
      </c>
      <c r="F875" s="334"/>
      <c r="G875" s="334"/>
      <c r="H875" s="334"/>
      <c r="I875" s="324">
        <f t="shared" si="661"/>
        <v>165000</v>
      </c>
      <c r="J875" s="315"/>
      <c r="K875" s="595"/>
      <c r="L875" s="317">
        <f t="shared" si="648"/>
        <v>165000</v>
      </c>
      <c r="M875" s="317"/>
      <c r="N875" s="372">
        <f t="shared" si="653"/>
        <v>0</v>
      </c>
      <c r="O875" s="319">
        <f t="shared" si="677"/>
        <v>181500.00000000003</v>
      </c>
      <c r="P875" s="319">
        <f t="shared" si="674"/>
        <v>199650.00000000006</v>
      </c>
      <c r="R875" s="317"/>
      <c r="U875" s="320"/>
    </row>
    <row r="876" spans="1:21" outlineLevel="2">
      <c r="A876" s="586"/>
      <c r="B876" s="586"/>
      <c r="C876" s="331">
        <v>2210704</v>
      </c>
      <c r="D876" s="341" t="s">
        <v>38</v>
      </c>
      <c r="E876" s="593">
        <v>223300.00000000003</v>
      </c>
      <c r="F876" s="334"/>
      <c r="G876" s="334"/>
      <c r="H876" s="334"/>
      <c r="I876" s="324">
        <f t="shared" si="661"/>
        <v>223300.00000000003</v>
      </c>
      <c r="J876" s="315"/>
      <c r="K876" s="595">
        <v>-17700</v>
      </c>
      <c r="L876" s="317">
        <f t="shared" si="648"/>
        <v>205600.00000000003</v>
      </c>
      <c r="M876" s="317"/>
      <c r="N876" s="372">
        <f t="shared" si="653"/>
        <v>17700</v>
      </c>
      <c r="O876" s="319">
        <f t="shared" si="677"/>
        <v>226160.00000000006</v>
      </c>
      <c r="P876" s="319">
        <f t="shared" si="674"/>
        <v>248776.00000000009</v>
      </c>
      <c r="R876" s="317"/>
      <c r="U876" s="320"/>
    </row>
    <row r="877" spans="1:21" outlineLevel="2">
      <c r="A877" s="586"/>
      <c r="B877" s="586"/>
      <c r="C877" s="398">
        <v>2210710</v>
      </c>
      <c r="D877" s="398" t="s">
        <v>39</v>
      </c>
      <c r="E877" s="593">
        <v>344520</v>
      </c>
      <c r="F877" s="399"/>
      <c r="G877" s="399"/>
      <c r="H877" s="399"/>
      <c r="I877" s="324">
        <f t="shared" si="661"/>
        <v>344520</v>
      </c>
      <c r="J877" s="315"/>
      <c r="K877" s="595">
        <v>1350000</v>
      </c>
      <c r="L877" s="317">
        <f t="shared" si="648"/>
        <v>1694520</v>
      </c>
      <c r="M877" s="317"/>
      <c r="N877" s="372">
        <f t="shared" si="653"/>
        <v>-1350000</v>
      </c>
      <c r="O877" s="319">
        <f t="shared" si="677"/>
        <v>1863972.0000000002</v>
      </c>
      <c r="P877" s="319">
        <f t="shared" si="674"/>
        <v>2050369.2000000004</v>
      </c>
      <c r="R877" s="317"/>
      <c r="U877" s="320"/>
    </row>
    <row r="878" spans="1:21" s="337" customFormat="1" outlineLevel="2">
      <c r="A878" s="588"/>
      <c r="B878" s="588"/>
      <c r="C878" s="331" t="s">
        <v>1240</v>
      </c>
      <c r="D878" s="341" t="s">
        <v>1516</v>
      </c>
      <c r="E878" s="593">
        <v>275000</v>
      </c>
      <c r="F878" s="334"/>
      <c r="G878" s="334"/>
      <c r="H878" s="334"/>
      <c r="I878" s="324">
        <f t="shared" si="661"/>
        <v>275000</v>
      </c>
      <c r="J878" s="315"/>
      <c r="K878" s="595">
        <f>581475+188280+14600</f>
        <v>784355</v>
      </c>
      <c r="L878" s="317">
        <f t="shared" si="648"/>
        <v>1059355</v>
      </c>
      <c r="M878" s="317"/>
      <c r="N878" s="372">
        <f t="shared" si="653"/>
        <v>-784355</v>
      </c>
      <c r="O878" s="319">
        <f t="shared" si="677"/>
        <v>1165290.5</v>
      </c>
      <c r="P878" s="319">
        <f t="shared" si="674"/>
        <v>1281819.55</v>
      </c>
      <c r="R878" s="317"/>
      <c r="U878" s="320"/>
    </row>
    <row r="879" spans="1:21" s="597" customFormat="1" outlineLevel="2">
      <c r="A879" s="586"/>
      <c r="B879" s="586"/>
      <c r="C879" s="332">
        <v>2210715</v>
      </c>
      <c r="D879" s="332" t="s">
        <v>40</v>
      </c>
      <c r="E879" s="593">
        <v>127600.00000000001</v>
      </c>
      <c r="F879" s="334"/>
      <c r="G879" s="334"/>
      <c r="H879" s="334"/>
      <c r="I879" s="324">
        <f t="shared" si="661"/>
        <v>127600.00000000001</v>
      </c>
      <c r="J879" s="315"/>
      <c r="K879" s="595">
        <v>-14600</v>
      </c>
      <c r="L879" s="317">
        <f t="shared" si="648"/>
        <v>113000.00000000001</v>
      </c>
      <c r="M879" s="317"/>
      <c r="N879" s="372">
        <f t="shared" si="653"/>
        <v>14600</v>
      </c>
      <c r="O879" s="319">
        <f t="shared" si="677"/>
        <v>124300.00000000003</v>
      </c>
      <c r="P879" s="319">
        <f t="shared" si="674"/>
        <v>136730.00000000003</v>
      </c>
      <c r="R879" s="317"/>
      <c r="U879" s="320"/>
    </row>
    <row r="880" spans="1:21" s="597" customFormat="1" outlineLevel="2">
      <c r="A880" s="586"/>
      <c r="B880" s="586"/>
      <c r="C880" s="589">
        <v>2210800</v>
      </c>
      <c r="D880" s="589" t="s">
        <v>42</v>
      </c>
      <c r="E880" s="590">
        <f>E881+E882+E883</f>
        <v>1850000</v>
      </c>
      <c r="F880" s="590">
        <f t="shared" ref="F880:P880" si="678">F881+F882+F883</f>
        <v>0</v>
      </c>
      <c r="G880" s="590">
        <f t="shared" si="678"/>
        <v>0</v>
      </c>
      <c r="H880" s="590">
        <f t="shared" si="678"/>
        <v>0</v>
      </c>
      <c r="I880" s="590">
        <f t="shared" si="678"/>
        <v>1850000</v>
      </c>
      <c r="J880" s="590">
        <f t="shared" si="678"/>
        <v>0</v>
      </c>
      <c r="K880" s="590">
        <f t="shared" si="678"/>
        <v>920345</v>
      </c>
      <c r="L880" s="317">
        <f t="shared" si="648"/>
        <v>2770345</v>
      </c>
      <c r="M880" s="317"/>
      <c r="N880" s="372">
        <f t="shared" si="653"/>
        <v>-920345</v>
      </c>
      <c r="O880" s="590">
        <f t="shared" si="678"/>
        <v>3047379.5</v>
      </c>
      <c r="P880" s="590">
        <f t="shared" si="678"/>
        <v>3352117.4500000007</v>
      </c>
      <c r="R880" s="317"/>
      <c r="U880" s="320"/>
    </row>
    <row r="881" spans="1:21" s="337" customFormat="1" outlineLevel="2">
      <c r="A881" s="588"/>
      <c r="B881" s="588"/>
      <c r="C881" s="398">
        <v>2210801</v>
      </c>
      <c r="D881" s="398" t="s">
        <v>2421</v>
      </c>
      <c r="E881" s="593">
        <f>350000+500000</f>
        <v>850000</v>
      </c>
      <c r="F881" s="399"/>
      <c r="G881" s="399"/>
      <c r="H881" s="399"/>
      <c r="I881" s="324">
        <f t="shared" si="661"/>
        <v>850000</v>
      </c>
      <c r="J881" s="315"/>
      <c r="K881" s="595">
        <v>0</v>
      </c>
      <c r="L881" s="317">
        <f t="shared" si="648"/>
        <v>850000</v>
      </c>
      <c r="M881" s="317"/>
      <c r="N881" s="372">
        <f t="shared" si="653"/>
        <v>0</v>
      </c>
      <c r="O881" s="319">
        <f>L881*1.1</f>
        <v>935000.00000000012</v>
      </c>
      <c r="P881" s="319">
        <f t="shared" si="674"/>
        <v>1028500.0000000002</v>
      </c>
      <c r="R881" s="317"/>
      <c r="U881" s="320"/>
    </row>
    <row r="882" spans="1:21" s="597" customFormat="1" outlineLevel="2">
      <c r="A882" s="596"/>
      <c r="B882" s="596"/>
      <c r="C882" s="398">
        <v>2210802</v>
      </c>
      <c r="D882" s="398" t="s">
        <v>97</v>
      </c>
      <c r="E882" s="593">
        <v>250000</v>
      </c>
      <c r="F882" s="399"/>
      <c r="G882" s="399"/>
      <c r="H882" s="399"/>
      <c r="I882" s="324">
        <f t="shared" si="661"/>
        <v>250000</v>
      </c>
      <c r="J882" s="315"/>
      <c r="K882" s="595">
        <v>700000</v>
      </c>
      <c r="L882" s="317">
        <f t="shared" si="648"/>
        <v>950000</v>
      </c>
      <c r="M882" s="317"/>
      <c r="N882" s="372">
        <f t="shared" si="653"/>
        <v>-700000</v>
      </c>
      <c r="O882" s="319">
        <f>L882*1.1</f>
        <v>1045000.0000000001</v>
      </c>
      <c r="P882" s="319">
        <f t="shared" si="674"/>
        <v>1149500.0000000002</v>
      </c>
      <c r="R882" s="317"/>
      <c r="U882" s="320"/>
    </row>
    <row r="883" spans="1:21" outlineLevel="2">
      <c r="A883" s="586"/>
      <c r="B883" s="586"/>
      <c r="C883" s="331" t="s">
        <v>1243</v>
      </c>
      <c r="D883" s="341" t="s">
        <v>1244</v>
      </c>
      <c r="E883" s="593">
        <f>1100000-350000</f>
        <v>750000</v>
      </c>
      <c r="F883" s="334"/>
      <c r="G883" s="334"/>
      <c r="H883" s="334"/>
      <c r="I883" s="324">
        <f t="shared" si="661"/>
        <v>750000</v>
      </c>
      <c r="J883" s="315"/>
      <c r="K883" s="595">
        <v>220345</v>
      </c>
      <c r="L883" s="317">
        <f t="shared" si="648"/>
        <v>970345</v>
      </c>
      <c r="M883" s="317"/>
      <c r="N883" s="372">
        <f t="shared" si="653"/>
        <v>-220345</v>
      </c>
      <c r="O883" s="319">
        <f>L883*1.1</f>
        <v>1067379.5</v>
      </c>
      <c r="P883" s="319">
        <f t="shared" si="674"/>
        <v>1174117.4500000002</v>
      </c>
      <c r="R883" s="317"/>
      <c r="U883" s="320"/>
    </row>
    <row r="884" spans="1:21" outlineLevel="2">
      <c r="A884" s="596"/>
      <c r="B884" s="596"/>
      <c r="C884" s="589">
        <v>2211000</v>
      </c>
      <c r="D884" s="589" t="s">
        <v>118</v>
      </c>
      <c r="E884" s="590">
        <f>E885</f>
        <v>127600.00000000001</v>
      </c>
      <c r="F884" s="590">
        <f t="shared" ref="F884:P884" si="679">F885</f>
        <v>0</v>
      </c>
      <c r="G884" s="590">
        <f t="shared" si="679"/>
        <v>0</v>
      </c>
      <c r="H884" s="590">
        <f t="shared" si="679"/>
        <v>0</v>
      </c>
      <c r="I884" s="590">
        <f t="shared" si="679"/>
        <v>127600.00000000001</v>
      </c>
      <c r="J884" s="590">
        <f t="shared" si="679"/>
        <v>0</v>
      </c>
      <c r="K884" s="590">
        <f t="shared" si="679"/>
        <v>-27600</v>
      </c>
      <c r="L884" s="317">
        <f t="shared" si="648"/>
        <v>100000.00000000001</v>
      </c>
      <c r="M884" s="317"/>
      <c r="N884" s="372">
        <f t="shared" si="653"/>
        <v>27600</v>
      </c>
      <c r="O884" s="590">
        <f t="shared" si="679"/>
        <v>110000.00000000003</v>
      </c>
      <c r="P884" s="590">
        <f t="shared" si="679"/>
        <v>121000.00000000004</v>
      </c>
      <c r="R884" s="317"/>
      <c r="U884" s="320"/>
    </row>
    <row r="885" spans="1:21" s="337" customFormat="1" outlineLevel="2">
      <c r="A885" s="588"/>
      <c r="B885" s="588"/>
      <c r="C885" s="398">
        <v>2211016</v>
      </c>
      <c r="D885" s="398" t="s">
        <v>196</v>
      </c>
      <c r="E885" s="593">
        <v>127600.00000000001</v>
      </c>
      <c r="F885" s="399"/>
      <c r="G885" s="399"/>
      <c r="H885" s="399"/>
      <c r="I885" s="324">
        <f t="shared" si="661"/>
        <v>127600.00000000001</v>
      </c>
      <c r="J885" s="315"/>
      <c r="K885" s="595">
        <v>-27600</v>
      </c>
      <c r="L885" s="317">
        <f t="shared" si="648"/>
        <v>100000.00000000001</v>
      </c>
      <c r="M885" s="317"/>
      <c r="N885" s="372">
        <f t="shared" si="653"/>
        <v>27600</v>
      </c>
      <c r="O885" s="319">
        <f>L885*1.1</f>
        <v>110000.00000000003</v>
      </c>
      <c r="P885" s="319">
        <f t="shared" si="674"/>
        <v>121000.00000000004</v>
      </c>
      <c r="R885" s="317"/>
      <c r="U885" s="320"/>
    </row>
    <row r="886" spans="1:21" s="599" customFormat="1" outlineLevel="2">
      <c r="A886" s="586"/>
      <c r="B886" s="586"/>
      <c r="C886" s="589">
        <v>2211100</v>
      </c>
      <c r="D886" s="589" t="s">
        <v>51</v>
      </c>
      <c r="E886" s="590">
        <f>E887+E888+E889</f>
        <v>920345.34</v>
      </c>
      <c r="F886" s="590">
        <f t="shared" ref="F886:K886" si="680">F887+F888+F889</f>
        <v>661670</v>
      </c>
      <c r="G886" s="590">
        <f t="shared" si="680"/>
        <v>0</v>
      </c>
      <c r="H886" s="590">
        <f t="shared" si="680"/>
        <v>-64329</v>
      </c>
      <c r="I886" s="590">
        <f t="shared" si="680"/>
        <v>1517686.34</v>
      </c>
      <c r="J886" s="590">
        <f t="shared" si="680"/>
        <v>0</v>
      </c>
      <c r="K886" s="590">
        <f t="shared" si="680"/>
        <v>-242015</v>
      </c>
      <c r="L886" s="317">
        <f t="shared" si="648"/>
        <v>1275671.3400000001</v>
      </c>
      <c r="M886" s="317"/>
      <c r="N886" s="372">
        <f t="shared" si="653"/>
        <v>242015</v>
      </c>
      <c r="O886" s="590">
        <f t="shared" ref="O886:P886" si="681">O887+O888+O889</f>
        <v>1403238.4740000002</v>
      </c>
      <c r="P886" s="590">
        <f t="shared" si="681"/>
        <v>1543562.3214000002</v>
      </c>
      <c r="R886" s="317"/>
      <c r="U886" s="320"/>
    </row>
    <row r="887" spans="1:21" outlineLevel="2">
      <c r="A887" s="586"/>
      <c r="B887" s="586"/>
      <c r="C887" s="398">
        <v>2211101</v>
      </c>
      <c r="D887" s="332" t="s">
        <v>197</v>
      </c>
      <c r="E887" s="593">
        <v>350000</v>
      </c>
      <c r="F887" s="593">
        <v>661670</v>
      </c>
      <c r="G887" s="593"/>
      <c r="H887" s="593">
        <v>-64329</v>
      </c>
      <c r="I887" s="324">
        <f t="shared" si="661"/>
        <v>947341</v>
      </c>
      <c r="J887" s="315">
        <v>0</v>
      </c>
      <c r="K887" s="595">
        <v>0</v>
      </c>
      <c r="L887" s="317">
        <f t="shared" si="648"/>
        <v>947341</v>
      </c>
      <c r="M887" s="317"/>
      <c r="N887" s="372">
        <f t="shared" si="653"/>
        <v>0</v>
      </c>
      <c r="O887" s="319">
        <f>L887*1.1</f>
        <v>1042075.1000000001</v>
      </c>
      <c r="P887" s="319">
        <f t="shared" ref="P887:P903" si="682">O887*1.1</f>
        <v>1146282.6100000001</v>
      </c>
      <c r="R887" s="317"/>
      <c r="U887" s="320"/>
    </row>
    <row r="888" spans="1:21" s="337" customFormat="1" outlineLevel="2">
      <c r="A888" s="588"/>
      <c r="B888" s="588"/>
      <c r="C888" s="398">
        <v>2211102</v>
      </c>
      <c r="D888" s="398" t="s">
        <v>53</v>
      </c>
      <c r="E888" s="593">
        <v>220345.34</v>
      </c>
      <c r="F888" s="399"/>
      <c r="G888" s="399"/>
      <c r="H888" s="399"/>
      <c r="I888" s="324">
        <f t="shared" si="661"/>
        <v>220345.34</v>
      </c>
      <c r="J888" s="315"/>
      <c r="K888" s="595">
        <v>-220345</v>
      </c>
      <c r="L888" s="317">
        <f t="shared" si="648"/>
        <v>0.33999999999650754</v>
      </c>
      <c r="M888" s="317"/>
      <c r="N888" s="372">
        <f t="shared" si="653"/>
        <v>220345</v>
      </c>
      <c r="O888" s="319">
        <f>L888*1.1</f>
        <v>0.37399999999615835</v>
      </c>
      <c r="P888" s="319">
        <f t="shared" si="682"/>
        <v>0.4113999999957742</v>
      </c>
      <c r="R888" s="317"/>
      <c r="U888" s="320"/>
    </row>
    <row r="889" spans="1:21" outlineLevel="2">
      <c r="A889" s="586"/>
      <c r="B889" s="586"/>
      <c r="C889" s="398">
        <v>2211103</v>
      </c>
      <c r="D889" s="398" t="s">
        <v>54</v>
      </c>
      <c r="E889" s="593">
        <v>350000</v>
      </c>
      <c r="F889" s="399"/>
      <c r="G889" s="399"/>
      <c r="H889" s="399"/>
      <c r="I889" s="324">
        <f t="shared" si="661"/>
        <v>350000</v>
      </c>
      <c r="J889" s="315">
        <v>0</v>
      </c>
      <c r="K889" s="595">
        <v>-21670</v>
      </c>
      <c r="L889" s="317">
        <f t="shared" si="648"/>
        <v>328330</v>
      </c>
      <c r="M889" s="317"/>
      <c r="N889" s="372">
        <f t="shared" si="653"/>
        <v>21670</v>
      </c>
      <c r="O889" s="319">
        <f>L889*1.1</f>
        <v>361163.00000000006</v>
      </c>
      <c r="P889" s="319">
        <f t="shared" si="682"/>
        <v>397279.3000000001</v>
      </c>
      <c r="R889" s="317"/>
      <c r="U889" s="320"/>
    </row>
    <row r="890" spans="1:21" s="337" customFormat="1" outlineLevel="2">
      <c r="A890" s="588"/>
      <c r="B890" s="588"/>
      <c r="C890" s="589">
        <v>2211200</v>
      </c>
      <c r="D890" s="589" t="s">
        <v>55</v>
      </c>
      <c r="E890" s="590">
        <f>E891+E892</f>
        <v>2500000</v>
      </c>
      <c r="F890" s="590">
        <f t="shared" ref="F890:K890" si="683">F891+F892</f>
        <v>0</v>
      </c>
      <c r="G890" s="590">
        <f t="shared" si="683"/>
        <v>0</v>
      </c>
      <c r="H890" s="590">
        <f t="shared" si="683"/>
        <v>0</v>
      </c>
      <c r="I890" s="590">
        <f t="shared" si="683"/>
        <v>2500000</v>
      </c>
      <c r="J890" s="590">
        <f t="shared" si="683"/>
        <v>0</v>
      </c>
      <c r="K890" s="590">
        <f t="shared" si="683"/>
        <v>213720</v>
      </c>
      <c r="L890" s="317">
        <f t="shared" si="648"/>
        <v>2713720</v>
      </c>
      <c r="M890" s="317"/>
      <c r="N890" s="372">
        <f t="shared" si="653"/>
        <v>-213720</v>
      </c>
      <c r="O890" s="590">
        <f t="shared" ref="O890:P890" si="684">O891+O892</f>
        <v>2985092</v>
      </c>
      <c r="P890" s="590">
        <f t="shared" si="684"/>
        <v>3283601.2</v>
      </c>
      <c r="R890" s="317"/>
      <c r="U890" s="320"/>
    </row>
    <row r="891" spans="1:21" s="597" customFormat="1" outlineLevel="2">
      <c r="A891" s="586"/>
      <c r="B891" s="586"/>
      <c r="C891" s="398">
        <v>2211201</v>
      </c>
      <c r="D891" s="398" t="s">
        <v>56</v>
      </c>
      <c r="E891" s="593">
        <v>1500000</v>
      </c>
      <c r="F891" s="399"/>
      <c r="G891" s="399"/>
      <c r="H891" s="399"/>
      <c r="I891" s="324">
        <f t="shared" si="661"/>
        <v>1500000</v>
      </c>
      <c r="J891" s="315"/>
      <c r="K891" s="595">
        <f>21670+27600+17700</f>
        <v>66970</v>
      </c>
      <c r="L891" s="317">
        <f t="shared" si="648"/>
        <v>1566970</v>
      </c>
      <c r="M891" s="317"/>
      <c r="N891" s="372">
        <f t="shared" si="653"/>
        <v>-66970</v>
      </c>
      <c r="O891" s="319">
        <f>L891*1.1</f>
        <v>1723667.0000000002</v>
      </c>
      <c r="P891" s="319">
        <f t="shared" si="682"/>
        <v>1896033.7000000004</v>
      </c>
      <c r="R891" s="317"/>
      <c r="U891" s="320"/>
    </row>
    <row r="892" spans="1:21" outlineLevel="2">
      <c r="A892" s="586"/>
      <c r="B892" s="586"/>
      <c r="C892" s="331" t="s">
        <v>247</v>
      </c>
      <c r="D892" s="341" t="s">
        <v>248</v>
      </c>
      <c r="E892" s="593">
        <v>1000000</v>
      </c>
      <c r="F892" s="334"/>
      <c r="G892" s="334"/>
      <c r="H892" s="334"/>
      <c r="I892" s="324">
        <f t="shared" si="661"/>
        <v>1000000</v>
      </c>
      <c r="J892" s="315"/>
      <c r="K892" s="595">
        <f>96850+49900</f>
        <v>146750</v>
      </c>
      <c r="L892" s="317">
        <f t="shared" si="648"/>
        <v>1146750</v>
      </c>
      <c r="M892" s="317"/>
      <c r="N892" s="372">
        <f t="shared" si="653"/>
        <v>-146750</v>
      </c>
      <c r="O892" s="319">
        <f>L892*1.1</f>
        <v>1261425</v>
      </c>
      <c r="P892" s="319">
        <f t="shared" si="682"/>
        <v>1387567.5</v>
      </c>
      <c r="R892" s="317"/>
      <c r="U892" s="320"/>
    </row>
    <row r="893" spans="1:21" outlineLevel="2">
      <c r="A893" s="586"/>
      <c r="B893" s="586"/>
      <c r="C893" s="589">
        <v>2220100</v>
      </c>
      <c r="D893" s="589" t="s">
        <v>199</v>
      </c>
      <c r="E893" s="590">
        <f>E894+E895</f>
        <v>850000</v>
      </c>
      <c r="F893" s="590">
        <f t="shared" ref="F893:P893" si="685">F894+F895</f>
        <v>0</v>
      </c>
      <c r="G893" s="590">
        <f t="shared" si="685"/>
        <v>0</v>
      </c>
      <c r="H893" s="590">
        <f t="shared" si="685"/>
        <v>0</v>
      </c>
      <c r="I893" s="590">
        <f t="shared" si="685"/>
        <v>850000</v>
      </c>
      <c r="J893" s="590">
        <f t="shared" si="685"/>
        <v>0</v>
      </c>
      <c r="K893" s="590">
        <f t="shared" si="685"/>
        <v>0</v>
      </c>
      <c r="L893" s="317">
        <f t="shared" si="648"/>
        <v>850000</v>
      </c>
      <c r="M893" s="317"/>
      <c r="N893" s="372">
        <f t="shared" si="653"/>
        <v>0</v>
      </c>
      <c r="O893" s="590">
        <f t="shared" si="685"/>
        <v>935000</v>
      </c>
      <c r="P893" s="590">
        <f t="shared" si="685"/>
        <v>1028500.0000000001</v>
      </c>
      <c r="R893" s="317"/>
      <c r="U893" s="320"/>
    </row>
    <row r="894" spans="1:21" s="337" customFormat="1" outlineLevel="2">
      <c r="A894" s="588"/>
      <c r="B894" s="588"/>
      <c r="C894" s="398">
        <v>2220101</v>
      </c>
      <c r="D894" s="398" t="s">
        <v>200</v>
      </c>
      <c r="E894" s="593">
        <f>750000+100000-250000</f>
        <v>600000</v>
      </c>
      <c r="F894" s="399"/>
      <c r="G894" s="399"/>
      <c r="H894" s="399"/>
      <c r="I894" s="324">
        <f t="shared" si="661"/>
        <v>600000</v>
      </c>
      <c r="J894" s="315"/>
      <c r="K894" s="595"/>
      <c r="L894" s="317">
        <f t="shared" si="648"/>
        <v>600000</v>
      </c>
      <c r="M894" s="317"/>
      <c r="N894" s="372">
        <f t="shared" si="653"/>
        <v>0</v>
      </c>
      <c r="O894" s="319">
        <f>L894*1.1</f>
        <v>660000</v>
      </c>
      <c r="P894" s="319">
        <f t="shared" si="682"/>
        <v>726000.00000000012</v>
      </c>
      <c r="R894" s="317"/>
      <c r="U894" s="320"/>
    </row>
    <row r="895" spans="1:21" outlineLevel="2">
      <c r="A895" s="586"/>
      <c r="B895" s="586"/>
      <c r="C895" s="332">
        <v>2220105</v>
      </c>
      <c r="D895" s="332" t="s">
        <v>64</v>
      </c>
      <c r="E895" s="593">
        <v>250000</v>
      </c>
      <c r="F895" s="334"/>
      <c r="G895" s="334"/>
      <c r="H895" s="334"/>
      <c r="I895" s="324">
        <f t="shared" si="661"/>
        <v>250000</v>
      </c>
      <c r="J895" s="315"/>
      <c r="K895" s="595"/>
      <c r="L895" s="317">
        <f t="shared" si="648"/>
        <v>250000</v>
      </c>
      <c r="M895" s="317"/>
      <c r="N895" s="372">
        <f t="shared" si="653"/>
        <v>0</v>
      </c>
      <c r="O895" s="319">
        <f>L895*1.1</f>
        <v>275000</v>
      </c>
      <c r="P895" s="319">
        <f t="shared" si="682"/>
        <v>302500</v>
      </c>
      <c r="R895" s="317"/>
      <c r="U895" s="320"/>
    </row>
    <row r="896" spans="1:21" s="337" customFormat="1" outlineLevel="2">
      <c r="A896" s="588"/>
      <c r="B896" s="588"/>
      <c r="C896" s="589">
        <v>2220200</v>
      </c>
      <c r="D896" s="589" t="s">
        <v>124</v>
      </c>
      <c r="E896" s="590">
        <f>E899+E897+E898</f>
        <v>1180000</v>
      </c>
      <c r="F896" s="590">
        <f t="shared" ref="F896:P896" si="686">F899+F897+F898</f>
        <v>0</v>
      </c>
      <c r="G896" s="590">
        <f t="shared" si="686"/>
        <v>0</v>
      </c>
      <c r="H896" s="590">
        <f t="shared" si="686"/>
        <v>0</v>
      </c>
      <c r="I896" s="590">
        <f t="shared" si="686"/>
        <v>1180000</v>
      </c>
      <c r="J896" s="590">
        <f t="shared" si="686"/>
        <v>0</v>
      </c>
      <c r="K896" s="590">
        <f t="shared" si="686"/>
        <v>-1028325</v>
      </c>
      <c r="L896" s="317">
        <f t="shared" si="648"/>
        <v>151675</v>
      </c>
      <c r="M896" s="317"/>
      <c r="N896" s="372">
        <f t="shared" si="653"/>
        <v>1028325</v>
      </c>
      <c r="O896" s="590">
        <f t="shared" si="686"/>
        <v>166842.5</v>
      </c>
      <c r="P896" s="590">
        <f t="shared" si="686"/>
        <v>183526.75000000003</v>
      </c>
      <c r="R896" s="317"/>
      <c r="U896" s="320"/>
    </row>
    <row r="897" spans="1:21" outlineLevel="2">
      <c r="A897" s="586"/>
      <c r="B897" s="586"/>
      <c r="C897" s="331">
        <v>2220202</v>
      </c>
      <c r="D897" s="341" t="s">
        <v>87</v>
      </c>
      <c r="E897" s="593">
        <f>100000+150000+100000</f>
        <v>350000</v>
      </c>
      <c r="F897" s="334"/>
      <c r="G897" s="334"/>
      <c r="H897" s="334"/>
      <c r="I897" s="324">
        <f t="shared" si="661"/>
        <v>350000</v>
      </c>
      <c r="J897" s="315">
        <v>0</v>
      </c>
      <c r="K897" s="595">
        <v>-350000</v>
      </c>
      <c r="L897" s="317">
        <f t="shared" si="648"/>
        <v>0</v>
      </c>
      <c r="M897" s="317"/>
      <c r="N897" s="372">
        <f t="shared" si="653"/>
        <v>350000</v>
      </c>
      <c r="O897" s="319">
        <f>L897*1.1</f>
        <v>0</v>
      </c>
      <c r="P897" s="319">
        <f t="shared" si="682"/>
        <v>0</v>
      </c>
      <c r="R897" s="317"/>
      <c r="U897" s="320"/>
    </row>
    <row r="898" spans="1:21" outlineLevel="2">
      <c r="A898" s="586"/>
      <c r="B898" s="586"/>
      <c r="C898" s="331">
        <v>2220205</v>
      </c>
      <c r="D898" s="341" t="s">
        <v>125</v>
      </c>
      <c r="E898" s="593">
        <f>100000+600000</f>
        <v>700000</v>
      </c>
      <c r="F898" s="334"/>
      <c r="G898" s="334"/>
      <c r="H898" s="334"/>
      <c r="I898" s="324">
        <f t="shared" si="661"/>
        <v>700000</v>
      </c>
      <c r="J898" s="315">
        <v>0</v>
      </c>
      <c r="K898" s="595">
        <v>-581475</v>
      </c>
      <c r="L898" s="317">
        <f t="shared" si="648"/>
        <v>118525</v>
      </c>
      <c r="M898" s="317"/>
      <c r="N898" s="372">
        <f t="shared" si="653"/>
        <v>581475</v>
      </c>
      <c r="O898" s="319">
        <f>L898*1.1</f>
        <v>130377.50000000001</v>
      </c>
      <c r="P898" s="319">
        <f t="shared" si="682"/>
        <v>143415.25000000003</v>
      </c>
      <c r="R898" s="317"/>
      <c r="U898" s="320"/>
    </row>
    <row r="899" spans="1:21" s="337" customFormat="1" outlineLevel="2">
      <c r="A899" s="588"/>
      <c r="B899" s="588"/>
      <c r="C899" s="398">
        <v>2220210</v>
      </c>
      <c r="D899" s="398" t="s">
        <v>163</v>
      </c>
      <c r="E899" s="593">
        <v>130000</v>
      </c>
      <c r="F899" s="399"/>
      <c r="G899" s="399"/>
      <c r="H899" s="399"/>
      <c r="I899" s="324">
        <f t="shared" si="661"/>
        <v>130000</v>
      </c>
      <c r="J899" s="315"/>
      <c r="K899" s="595">
        <v>-96850</v>
      </c>
      <c r="L899" s="317">
        <f t="shared" si="648"/>
        <v>33150</v>
      </c>
      <c r="M899" s="317"/>
      <c r="N899" s="372">
        <f t="shared" si="653"/>
        <v>96850</v>
      </c>
      <c r="O899" s="319">
        <f>L899*1.1</f>
        <v>36465</v>
      </c>
      <c r="P899" s="319">
        <f t="shared" si="682"/>
        <v>40111.5</v>
      </c>
      <c r="R899" s="317"/>
      <c r="U899" s="320"/>
    </row>
    <row r="900" spans="1:21" s="600" customFormat="1" outlineLevel="2">
      <c r="A900" s="586"/>
      <c r="B900" s="586"/>
      <c r="C900" s="340">
        <v>3111000</v>
      </c>
      <c r="D900" s="589" t="s">
        <v>69</v>
      </c>
      <c r="E900" s="590">
        <f>E901+E902+E903</f>
        <v>870000</v>
      </c>
      <c r="F900" s="590">
        <f t="shared" ref="F900:K900" si="687">F901+F902+F903</f>
        <v>0</v>
      </c>
      <c r="G900" s="590">
        <f t="shared" si="687"/>
        <v>0</v>
      </c>
      <c r="H900" s="590">
        <f t="shared" si="687"/>
        <v>0</v>
      </c>
      <c r="I900" s="590">
        <f t="shared" si="687"/>
        <v>870000</v>
      </c>
      <c r="J900" s="590">
        <f t="shared" si="687"/>
        <v>0</v>
      </c>
      <c r="K900" s="590">
        <f t="shared" si="687"/>
        <v>-600000</v>
      </c>
      <c r="L900" s="317">
        <f t="shared" ref="L900:L963" si="688">I900+J900+K900</f>
        <v>270000</v>
      </c>
      <c r="M900" s="317"/>
      <c r="N900" s="372">
        <f t="shared" si="653"/>
        <v>600000</v>
      </c>
      <c r="O900" s="590">
        <f t="shared" ref="O900:P900" si="689">O901+O902+O903</f>
        <v>297000.00000000006</v>
      </c>
      <c r="P900" s="590">
        <f t="shared" si="689"/>
        <v>326700.00000000006</v>
      </c>
      <c r="R900" s="317"/>
      <c r="U900" s="320"/>
    </row>
    <row r="901" spans="1:21" s="337" customFormat="1" outlineLevel="2">
      <c r="A901" s="588"/>
      <c r="B901" s="588"/>
      <c r="C901" s="332">
        <v>3111001</v>
      </c>
      <c r="D901" s="332" t="s">
        <v>234</v>
      </c>
      <c r="E901" s="593">
        <f>100000+500000</f>
        <v>600000</v>
      </c>
      <c r="F901" s="334"/>
      <c r="G901" s="334"/>
      <c r="H901" s="334"/>
      <c r="I901" s="324">
        <f t="shared" si="661"/>
        <v>600000</v>
      </c>
      <c r="J901" s="315"/>
      <c r="K901" s="595">
        <v>-600000</v>
      </c>
      <c r="L901" s="317">
        <f t="shared" si="688"/>
        <v>0</v>
      </c>
      <c r="M901" s="317"/>
      <c r="N901" s="372">
        <f t="shared" si="653"/>
        <v>600000</v>
      </c>
      <c r="O901" s="319">
        <f>L901*1.1</f>
        <v>0</v>
      </c>
      <c r="P901" s="319">
        <f t="shared" si="682"/>
        <v>0</v>
      </c>
      <c r="R901" s="317"/>
      <c r="U901" s="320"/>
    </row>
    <row r="902" spans="1:21" outlineLevel="2">
      <c r="A902" s="586"/>
      <c r="B902" s="586"/>
      <c r="C902" s="331">
        <v>3111002</v>
      </c>
      <c r="D902" s="341" t="s">
        <v>71</v>
      </c>
      <c r="E902" s="593">
        <f>70000+150000</f>
        <v>220000</v>
      </c>
      <c r="F902" s="334"/>
      <c r="G902" s="334"/>
      <c r="H902" s="334"/>
      <c r="I902" s="324">
        <f t="shared" si="661"/>
        <v>220000</v>
      </c>
      <c r="J902" s="315"/>
      <c r="K902" s="595">
        <v>0</v>
      </c>
      <c r="L902" s="317">
        <f t="shared" si="688"/>
        <v>220000</v>
      </c>
      <c r="M902" s="317"/>
      <c r="N902" s="372">
        <f t="shared" si="653"/>
        <v>0</v>
      </c>
      <c r="O902" s="319">
        <f>L902*1.1</f>
        <v>242000.00000000003</v>
      </c>
      <c r="P902" s="319">
        <f t="shared" si="682"/>
        <v>266200.00000000006</v>
      </c>
      <c r="R902" s="317"/>
      <c r="U902" s="320"/>
    </row>
    <row r="903" spans="1:21" outlineLevel="3">
      <c r="A903" s="330"/>
      <c r="B903" s="330"/>
      <c r="C903" s="331">
        <v>3111009</v>
      </c>
      <c r="D903" s="341" t="s">
        <v>253</v>
      </c>
      <c r="E903" s="593">
        <v>50000</v>
      </c>
      <c r="F903" s="334"/>
      <c r="G903" s="334"/>
      <c r="H903" s="334"/>
      <c r="I903" s="324">
        <f t="shared" ref="I903:I965" si="690">E903+F903+G903+H903</f>
        <v>50000</v>
      </c>
      <c r="J903" s="315"/>
      <c r="K903" s="595"/>
      <c r="L903" s="317">
        <f t="shared" si="688"/>
        <v>50000</v>
      </c>
      <c r="M903" s="317"/>
      <c r="N903" s="372">
        <f t="shared" si="653"/>
        <v>0</v>
      </c>
      <c r="O903" s="319">
        <f>L903*1.1</f>
        <v>55000.000000000007</v>
      </c>
      <c r="P903" s="319">
        <f t="shared" si="682"/>
        <v>60500.000000000015</v>
      </c>
      <c r="R903" s="317"/>
      <c r="U903" s="320"/>
    </row>
    <row r="904" spans="1:21" outlineLevel="3">
      <c r="A904" s="330"/>
      <c r="B904" s="330"/>
      <c r="C904" s="396"/>
      <c r="D904" s="396"/>
      <c r="E904" s="590">
        <f>E905</f>
        <v>0</v>
      </c>
      <c r="F904" s="601"/>
      <c r="G904" s="601"/>
      <c r="H904" s="601"/>
      <c r="I904" s="324">
        <f t="shared" si="690"/>
        <v>0</v>
      </c>
      <c r="J904" s="315"/>
      <c r="K904" s="595"/>
      <c r="L904" s="317">
        <f t="shared" si="688"/>
        <v>0</v>
      </c>
      <c r="M904" s="317"/>
      <c r="N904" s="372">
        <f t="shared" ref="N904:N967" si="691">M904-K904</f>
        <v>0</v>
      </c>
      <c r="O904" s="602">
        <f t="shared" ref="O904:P904" si="692">O905</f>
        <v>0</v>
      </c>
      <c r="P904" s="602">
        <f t="shared" si="692"/>
        <v>0</v>
      </c>
      <c r="R904" s="317"/>
      <c r="U904" s="320"/>
    </row>
    <row r="905" spans="1:21" s="337" customFormat="1" outlineLevel="2">
      <c r="A905" s="588"/>
      <c r="B905" s="588"/>
      <c r="C905" s="398"/>
      <c r="D905" s="398"/>
      <c r="E905" s="593">
        <v>0</v>
      </c>
      <c r="F905" s="593">
        <v>0</v>
      </c>
      <c r="G905" s="593">
        <v>0</v>
      </c>
      <c r="H905" s="593">
        <v>0</v>
      </c>
      <c r="I905" s="593">
        <v>0</v>
      </c>
      <c r="J905" s="315"/>
      <c r="K905" s="595"/>
      <c r="L905" s="317">
        <f t="shared" si="688"/>
        <v>0</v>
      </c>
      <c r="M905" s="317"/>
      <c r="N905" s="372">
        <f t="shared" si="691"/>
        <v>0</v>
      </c>
      <c r="O905" s="593">
        <v>0</v>
      </c>
      <c r="P905" s="593">
        <v>0</v>
      </c>
      <c r="R905" s="317"/>
      <c r="U905" s="320"/>
    </row>
    <row r="906" spans="1:21" s="337" customFormat="1" outlineLevel="1">
      <c r="A906" s="586"/>
      <c r="B906" s="586"/>
      <c r="C906" s="603" t="s">
        <v>201</v>
      </c>
      <c r="D906" s="604"/>
      <c r="E906" s="605">
        <f>E904+E900+E896+E893+E890+E886+E884+E880+E872+E867+E863+E858+E855+E851+E849</f>
        <v>25440142.002</v>
      </c>
      <c r="F906" s="605">
        <f t="shared" ref="F906:K906" si="693">F904+F900+F896+F893+F890+F886+F884+F880+F872+F867+F863+F858+F855+F851+F849</f>
        <v>661670</v>
      </c>
      <c r="G906" s="605">
        <f t="shared" si="693"/>
        <v>1300000</v>
      </c>
      <c r="H906" s="605">
        <f t="shared" si="693"/>
        <v>-64329</v>
      </c>
      <c r="I906" s="605">
        <f t="shared" si="693"/>
        <v>27337483.002</v>
      </c>
      <c r="J906" s="605">
        <f t="shared" si="693"/>
        <v>0</v>
      </c>
      <c r="K906" s="605">
        <f t="shared" si="693"/>
        <v>0</v>
      </c>
      <c r="L906" s="317">
        <f t="shared" si="688"/>
        <v>27337483.002</v>
      </c>
      <c r="M906" s="317"/>
      <c r="N906" s="372">
        <f t="shared" si="691"/>
        <v>0</v>
      </c>
      <c r="O906" s="605">
        <f t="shared" ref="O906:P906" si="694">O904+O900+O896+O893+O890+O886+O884+O880+O872+O867+O863+O858+O855+O851+O849</f>
        <v>30071231.302200001</v>
      </c>
      <c r="P906" s="605">
        <f t="shared" si="694"/>
        <v>33078354.43242</v>
      </c>
      <c r="R906" s="317"/>
      <c r="U906" s="320"/>
    </row>
    <row r="907" spans="1:21" s="337" customFormat="1" outlineLevel="1">
      <c r="A907" s="586"/>
      <c r="B907" s="586"/>
      <c r="C907" s="396" t="s">
        <v>202</v>
      </c>
      <c r="D907" s="603"/>
      <c r="E907" s="605">
        <f>E906</f>
        <v>25440142.002</v>
      </c>
      <c r="F907" s="605">
        <f t="shared" ref="F907:P907" si="695">F906</f>
        <v>661670</v>
      </c>
      <c r="G907" s="605">
        <f t="shared" si="695"/>
        <v>1300000</v>
      </c>
      <c r="H907" s="605">
        <f t="shared" si="695"/>
        <v>-64329</v>
      </c>
      <c r="I907" s="605">
        <f t="shared" si="695"/>
        <v>27337483.002</v>
      </c>
      <c r="J907" s="605">
        <f t="shared" si="695"/>
        <v>0</v>
      </c>
      <c r="K907" s="605">
        <f t="shared" si="695"/>
        <v>0</v>
      </c>
      <c r="L907" s="317">
        <f t="shared" si="688"/>
        <v>27337483.002</v>
      </c>
      <c r="M907" s="317"/>
      <c r="N907" s="372">
        <f t="shared" si="691"/>
        <v>0</v>
      </c>
      <c r="O907" s="605">
        <f t="shared" si="695"/>
        <v>30071231.302200001</v>
      </c>
      <c r="P907" s="605">
        <f t="shared" si="695"/>
        <v>33078354.43242</v>
      </c>
      <c r="R907" s="317"/>
      <c r="U907" s="320"/>
    </row>
    <row r="908" spans="1:21" s="337" customFormat="1" outlineLevel="1">
      <c r="A908" s="606"/>
      <c r="B908" s="606"/>
      <c r="C908" s="607"/>
      <c r="D908" s="608"/>
      <c r="E908" s="609"/>
      <c r="F908" s="610"/>
      <c r="G908" s="610"/>
      <c r="H908" s="610"/>
      <c r="I908" s="324">
        <f t="shared" si="690"/>
        <v>0</v>
      </c>
      <c r="J908" s="315"/>
      <c r="K908" s="595"/>
      <c r="L908" s="317">
        <f t="shared" si="688"/>
        <v>0</v>
      </c>
      <c r="M908" s="317"/>
      <c r="N908" s="372">
        <f t="shared" si="691"/>
        <v>0</v>
      </c>
      <c r="O908" s="319">
        <f>L908*1.1</f>
        <v>0</v>
      </c>
      <c r="P908" s="319">
        <f t="shared" ref="P908:P923" si="696">O908*1.1</f>
        <v>0</v>
      </c>
      <c r="R908" s="317"/>
      <c r="U908" s="320"/>
    </row>
    <row r="909" spans="1:21" s="597" customFormat="1" outlineLevel="1">
      <c r="A909" s="611"/>
      <c r="B909" s="611"/>
      <c r="C909" s="340" t="s">
        <v>203</v>
      </c>
      <c r="D909" s="338"/>
      <c r="E909" s="422"/>
      <c r="F909" s="397"/>
      <c r="G909" s="397"/>
      <c r="H909" s="397"/>
      <c r="I909" s="324">
        <f t="shared" si="690"/>
        <v>0</v>
      </c>
      <c r="J909" s="315"/>
      <c r="K909" s="595"/>
      <c r="L909" s="317">
        <f t="shared" si="688"/>
        <v>0</v>
      </c>
      <c r="M909" s="317"/>
      <c r="N909" s="372">
        <f t="shared" si="691"/>
        <v>0</v>
      </c>
      <c r="O909" s="319">
        <f>L909*1.1</f>
        <v>0</v>
      </c>
      <c r="P909" s="319">
        <f t="shared" si="696"/>
        <v>0</v>
      </c>
      <c r="R909" s="317"/>
      <c r="U909" s="320"/>
    </row>
    <row r="910" spans="1:21" outlineLevel="1">
      <c r="A910" s="606"/>
      <c r="B910" s="606" t="s">
        <v>146</v>
      </c>
      <c r="C910" s="340" t="s">
        <v>204</v>
      </c>
      <c r="D910" s="338"/>
      <c r="E910" s="609"/>
      <c r="F910" s="397"/>
      <c r="G910" s="397"/>
      <c r="H910" s="397"/>
      <c r="I910" s="324">
        <f t="shared" si="690"/>
        <v>0</v>
      </c>
      <c r="J910" s="315"/>
      <c r="K910" s="595"/>
      <c r="L910" s="317">
        <f t="shared" si="688"/>
        <v>0</v>
      </c>
      <c r="M910" s="317"/>
      <c r="N910" s="372">
        <f t="shared" si="691"/>
        <v>0</v>
      </c>
      <c r="O910" s="319">
        <f>L910*1.1</f>
        <v>0</v>
      </c>
      <c r="P910" s="319">
        <f t="shared" si="696"/>
        <v>0</v>
      </c>
      <c r="R910" s="317"/>
      <c r="U910" s="320"/>
    </row>
    <row r="911" spans="1:21" s="337" customFormat="1" outlineLevel="3">
      <c r="A911" s="612"/>
      <c r="B911" s="612"/>
      <c r="C911" s="340">
        <v>2110100</v>
      </c>
      <c r="D911" s="340" t="s">
        <v>205</v>
      </c>
      <c r="E911" s="590">
        <f>E912</f>
        <v>16113003.67</v>
      </c>
      <c r="F911" s="590">
        <f t="shared" ref="F911:K911" si="697">F912</f>
        <v>0</v>
      </c>
      <c r="G911" s="590">
        <f t="shared" si="697"/>
        <v>0</v>
      </c>
      <c r="H911" s="590">
        <f t="shared" si="697"/>
        <v>0</v>
      </c>
      <c r="I911" s="590">
        <f t="shared" si="697"/>
        <v>16113003.67</v>
      </c>
      <c r="J911" s="590">
        <f t="shared" si="697"/>
        <v>0</v>
      </c>
      <c r="K911" s="590">
        <f t="shared" si="697"/>
        <v>0</v>
      </c>
      <c r="L911" s="317">
        <f t="shared" si="688"/>
        <v>16113003.67</v>
      </c>
      <c r="M911" s="317"/>
      <c r="N911" s="372">
        <f t="shared" si="691"/>
        <v>0</v>
      </c>
      <c r="O911" s="590">
        <f t="shared" ref="O911:P911" si="698">O912</f>
        <v>17724304.037</v>
      </c>
      <c r="P911" s="590">
        <f t="shared" si="698"/>
        <v>19496734.440700002</v>
      </c>
      <c r="R911" s="317"/>
      <c r="U911" s="320"/>
    </row>
    <row r="912" spans="1:21" outlineLevel="3">
      <c r="A912" s="611" t="s">
        <v>144</v>
      </c>
      <c r="B912" s="611"/>
      <c r="C912" s="332">
        <v>2110101</v>
      </c>
      <c r="D912" s="332" t="s">
        <v>206</v>
      </c>
      <c r="E912" s="593">
        <v>16113003.67</v>
      </c>
      <c r="F912" s="334"/>
      <c r="G912" s="334"/>
      <c r="H912" s="334"/>
      <c r="I912" s="324">
        <f t="shared" si="690"/>
        <v>16113003.67</v>
      </c>
      <c r="J912" s="315"/>
      <c r="K912" s="595"/>
      <c r="L912" s="317">
        <f t="shared" si="688"/>
        <v>16113003.67</v>
      </c>
      <c r="M912" s="317"/>
      <c r="N912" s="372">
        <f t="shared" si="691"/>
        <v>0</v>
      </c>
      <c r="O912" s="319">
        <f>L912*1.1</f>
        <v>17724304.037</v>
      </c>
      <c r="P912" s="319">
        <f t="shared" si="696"/>
        <v>19496734.440700002</v>
      </c>
      <c r="R912" s="317"/>
      <c r="U912" s="320"/>
    </row>
    <row r="913" spans="1:21" s="337" customFormat="1" outlineLevel="3">
      <c r="A913" s="612"/>
      <c r="B913" s="612"/>
      <c r="C913" s="340">
        <v>2210100</v>
      </c>
      <c r="D913" s="340" t="s">
        <v>207</v>
      </c>
      <c r="E913" s="590">
        <f>E914+E915</f>
        <v>395000</v>
      </c>
      <c r="F913" s="590">
        <f t="shared" ref="F913:K913" si="699">F914+F915</f>
        <v>0</v>
      </c>
      <c r="G913" s="590">
        <f t="shared" si="699"/>
        <v>0</v>
      </c>
      <c r="H913" s="590">
        <f t="shared" si="699"/>
        <v>0</v>
      </c>
      <c r="I913" s="590">
        <f t="shared" si="699"/>
        <v>395000</v>
      </c>
      <c r="J913" s="590">
        <f t="shared" si="699"/>
        <v>0</v>
      </c>
      <c r="K913" s="590">
        <f t="shared" si="699"/>
        <v>-165000</v>
      </c>
      <c r="L913" s="317">
        <f t="shared" si="688"/>
        <v>230000</v>
      </c>
      <c r="M913" s="317"/>
      <c r="N913" s="372">
        <f t="shared" si="691"/>
        <v>165000</v>
      </c>
      <c r="O913" s="590">
        <f t="shared" ref="O913:P913" si="700">O914+O915</f>
        <v>253000.00000000003</v>
      </c>
      <c r="P913" s="590">
        <f t="shared" si="700"/>
        <v>278300.00000000006</v>
      </c>
      <c r="R913" s="317"/>
      <c r="U913" s="320"/>
    </row>
    <row r="914" spans="1:21" outlineLevel="3">
      <c r="A914" s="611"/>
      <c r="B914" s="611"/>
      <c r="C914" s="332">
        <v>2210101</v>
      </c>
      <c r="D914" s="332" t="s">
        <v>17</v>
      </c>
      <c r="E914" s="593">
        <f>30000+200000</f>
        <v>230000</v>
      </c>
      <c r="F914" s="334"/>
      <c r="G914" s="334"/>
      <c r="H914" s="334"/>
      <c r="I914" s="324">
        <f t="shared" si="690"/>
        <v>230000</v>
      </c>
      <c r="J914" s="315"/>
      <c r="K914" s="595"/>
      <c r="L914" s="317">
        <f t="shared" si="688"/>
        <v>230000</v>
      </c>
      <c r="M914" s="317"/>
      <c r="N914" s="372">
        <f t="shared" si="691"/>
        <v>0</v>
      </c>
      <c r="O914" s="319">
        <f>L914*1.1</f>
        <v>253000.00000000003</v>
      </c>
      <c r="P914" s="319">
        <f t="shared" si="696"/>
        <v>278300.00000000006</v>
      </c>
      <c r="R914" s="317"/>
      <c r="U914" s="320"/>
    </row>
    <row r="915" spans="1:21" outlineLevel="3">
      <c r="A915" s="611"/>
      <c r="B915" s="611"/>
      <c r="C915" s="332">
        <v>2210102</v>
      </c>
      <c r="D915" s="332" t="s">
        <v>18</v>
      </c>
      <c r="E915" s="593">
        <f>15000+150000</f>
        <v>165000</v>
      </c>
      <c r="F915" s="334"/>
      <c r="G915" s="334"/>
      <c r="H915" s="334"/>
      <c r="I915" s="324">
        <f t="shared" si="690"/>
        <v>165000</v>
      </c>
      <c r="J915" s="315"/>
      <c r="K915" s="595">
        <v>-165000</v>
      </c>
      <c r="L915" s="317">
        <f t="shared" si="688"/>
        <v>0</v>
      </c>
      <c r="M915" s="317"/>
      <c r="N915" s="372">
        <f t="shared" si="691"/>
        <v>165000</v>
      </c>
      <c r="O915" s="319">
        <f>L915*1.1</f>
        <v>0</v>
      </c>
      <c r="P915" s="319">
        <f t="shared" si="696"/>
        <v>0</v>
      </c>
      <c r="R915" s="317"/>
      <c r="U915" s="320"/>
    </row>
    <row r="916" spans="1:21" s="337" customFormat="1" outlineLevel="3">
      <c r="A916" s="612"/>
      <c r="B916" s="612"/>
      <c r="C916" s="340">
        <v>2210200</v>
      </c>
      <c r="D916" s="340" t="s">
        <v>20</v>
      </c>
      <c r="E916" s="590">
        <f>E917+E918</f>
        <v>190000</v>
      </c>
      <c r="F916" s="590">
        <f t="shared" ref="F916:P916" si="701">F917+F918</f>
        <v>0</v>
      </c>
      <c r="G916" s="590">
        <f t="shared" si="701"/>
        <v>0</v>
      </c>
      <c r="H916" s="590">
        <f t="shared" si="701"/>
        <v>0</v>
      </c>
      <c r="I916" s="590">
        <f t="shared" si="701"/>
        <v>190000</v>
      </c>
      <c r="J916" s="590">
        <f t="shared" si="701"/>
        <v>0</v>
      </c>
      <c r="K916" s="590">
        <f t="shared" si="701"/>
        <v>0</v>
      </c>
      <c r="L916" s="317">
        <f t="shared" si="688"/>
        <v>190000</v>
      </c>
      <c r="M916" s="317"/>
      <c r="N916" s="372">
        <f t="shared" si="691"/>
        <v>0</v>
      </c>
      <c r="O916" s="590">
        <f t="shared" si="701"/>
        <v>209000.00000000003</v>
      </c>
      <c r="P916" s="590">
        <f t="shared" si="701"/>
        <v>229900.00000000006</v>
      </c>
      <c r="R916" s="317"/>
      <c r="U916" s="320"/>
    </row>
    <row r="917" spans="1:21" outlineLevel="3">
      <c r="A917" s="611"/>
      <c r="B917" s="611"/>
      <c r="C917" s="332">
        <v>2210201</v>
      </c>
      <c r="D917" s="332" t="s">
        <v>187</v>
      </c>
      <c r="E917" s="593">
        <v>90000</v>
      </c>
      <c r="F917" s="334"/>
      <c r="G917" s="334"/>
      <c r="H917" s="334"/>
      <c r="I917" s="324">
        <f t="shared" si="690"/>
        <v>90000</v>
      </c>
      <c r="J917" s="315"/>
      <c r="K917" s="595"/>
      <c r="L917" s="317">
        <f t="shared" si="688"/>
        <v>90000</v>
      </c>
      <c r="M917" s="317"/>
      <c r="N917" s="372">
        <f t="shared" si="691"/>
        <v>0</v>
      </c>
      <c r="O917" s="319">
        <f>L917*1.1</f>
        <v>99000.000000000015</v>
      </c>
      <c r="P917" s="319">
        <f t="shared" si="696"/>
        <v>108900.00000000003</v>
      </c>
      <c r="R917" s="317"/>
      <c r="U917" s="320"/>
    </row>
    <row r="918" spans="1:21" outlineLevel="3">
      <c r="A918" s="611"/>
      <c r="B918" s="611"/>
      <c r="C918" s="331">
        <v>2210202</v>
      </c>
      <c r="D918" s="341" t="s">
        <v>22</v>
      </c>
      <c r="E918" s="593">
        <v>100000</v>
      </c>
      <c r="F918" s="334"/>
      <c r="G918" s="334"/>
      <c r="H918" s="334"/>
      <c r="I918" s="324">
        <f t="shared" si="690"/>
        <v>100000</v>
      </c>
      <c r="J918" s="315"/>
      <c r="K918" s="595"/>
      <c r="L918" s="317">
        <f t="shared" si="688"/>
        <v>100000</v>
      </c>
      <c r="M918" s="317"/>
      <c r="N918" s="372">
        <f t="shared" si="691"/>
        <v>0</v>
      </c>
      <c r="O918" s="319">
        <f>L918*1.1</f>
        <v>110000.00000000001</v>
      </c>
      <c r="P918" s="319">
        <f t="shared" si="696"/>
        <v>121000.00000000003</v>
      </c>
      <c r="R918" s="317"/>
      <c r="U918" s="320"/>
    </row>
    <row r="919" spans="1:21" s="337" customFormat="1" outlineLevel="3">
      <c r="A919" s="612"/>
      <c r="B919" s="612"/>
      <c r="C919" s="340">
        <v>2210300</v>
      </c>
      <c r="D919" s="340" t="s">
        <v>24</v>
      </c>
      <c r="E919" s="590">
        <f>E920+E921+E923+E922</f>
        <v>1565600</v>
      </c>
      <c r="F919" s="590">
        <f t="shared" ref="F919:P919" si="702">F920+F921+F923+F922</f>
        <v>0</v>
      </c>
      <c r="G919" s="590">
        <f t="shared" si="702"/>
        <v>0</v>
      </c>
      <c r="H919" s="590">
        <f t="shared" si="702"/>
        <v>0</v>
      </c>
      <c r="I919" s="590">
        <f t="shared" si="702"/>
        <v>1565600</v>
      </c>
      <c r="J919" s="590">
        <f t="shared" si="702"/>
        <v>0</v>
      </c>
      <c r="K919" s="590">
        <f t="shared" si="702"/>
        <v>1215670</v>
      </c>
      <c r="L919" s="317">
        <f t="shared" si="688"/>
        <v>2781270</v>
      </c>
      <c r="M919" s="317"/>
      <c r="N919" s="372">
        <f t="shared" si="691"/>
        <v>-1215670</v>
      </c>
      <c r="O919" s="590">
        <f t="shared" si="702"/>
        <v>3059397</v>
      </c>
      <c r="P919" s="590">
        <f t="shared" si="702"/>
        <v>3365336.7</v>
      </c>
      <c r="R919" s="317"/>
      <c r="U919" s="320"/>
    </row>
    <row r="920" spans="1:21" outlineLevel="3">
      <c r="A920" s="611"/>
      <c r="B920" s="611"/>
      <c r="C920" s="332">
        <v>2210302</v>
      </c>
      <c r="D920" s="332" t="s">
        <v>26</v>
      </c>
      <c r="E920" s="593">
        <f>750000-200000</f>
        <v>550000</v>
      </c>
      <c r="F920" s="334"/>
      <c r="G920" s="334"/>
      <c r="H920" s="334"/>
      <c r="I920" s="324">
        <f t="shared" si="690"/>
        <v>550000</v>
      </c>
      <c r="J920" s="315"/>
      <c r="K920" s="595">
        <v>615670</v>
      </c>
      <c r="L920" s="317">
        <f t="shared" si="688"/>
        <v>1165670</v>
      </c>
      <c r="M920" s="317"/>
      <c r="N920" s="372">
        <f t="shared" si="691"/>
        <v>-615670</v>
      </c>
      <c r="O920" s="319">
        <f>L920*1.1</f>
        <v>1282237</v>
      </c>
      <c r="P920" s="319">
        <f t="shared" si="696"/>
        <v>1410460.7000000002</v>
      </c>
      <c r="R920" s="317"/>
      <c r="U920" s="320"/>
    </row>
    <row r="921" spans="1:21" outlineLevel="3">
      <c r="A921" s="611"/>
      <c r="B921" s="611"/>
      <c r="C921" s="332">
        <v>2210303</v>
      </c>
      <c r="D921" s="387" t="s">
        <v>27</v>
      </c>
      <c r="E921" s="593">
        <f>515600-300000</f>
        <v>215600</v>
      </c>
      <c r="F921" s="334"/>
      <c r="G921" s="334"/>
      <c r="H921" s="334"/>
      <c r="I921" s="324">
        <f t="shared" si="690"/>
        <v>215600</v>
      </c>
      <c r="J921" s="315"/>
      <c r="K921" s="595">
        <v>600000</v>
      </c>
      <c r="L921" s="317">
        <f t="shared" si="688"/>
        <v>815600</v>
      </c>
      <c r="M921" s="317"/>
      <c r="N921" s="372">
        <f t="shared" si="691"/>
        <v>-600000</v>
      </c>
      <c r="O921" s="319">
        <f>L921*1.1</f>
        <v>897160.00000000012</v>
      </c>
      <c r="P921" s="319">
        <f t="shared" si="696"/>
        <v>986876.00000000023</v>
      </c>
      <c r="R921" s="317"/>
      <c r="U921" s="320"/>
    </row>
    <row r="922" spans="1:21" s="337" customFormat="1" outlineLevel="3">
      <c r="A922" s="612"/>
      <c r="B922" s="612"/>
      <c r="C922" s="332">
        <v>2210304</v>
      </c>
      <c r="D922" s="332" t="s">
        <v>28</v>
      </c>
      <c r="E922" s="593">
        <v>200000</v>
      </c>
      <c r="F922" s="334"/>
      <c r="G922" s="334"/>
      <c r="H922" s="334"/>
      <c r="I922" s="324">
        <f t="shared" si="690"/>
        <v>200000</v>
      </c>
      <c r="J922" s="315"/>
      <c r="K922" s="595"/>
      <c r="L922" s="317">
        <f t="shared" si="688"/>
        <v>200000</v>
      </c>
      <c r="M922" s="317"/>
      <c r="N922" s="372">
        <f t="shared" si="691"/>
        <v>0</v>
      </c>
      <c r="O922" s="319">
        <f>L922*1.1</f>
        <v>220000.00000000003</v>
      </c>
      <c r="P922" s="319">
        <f t="shared" si="696"/>
        <v>242000.00000000006</v>
      </c>
      <c r="R922" s="317"/>
      <c r="U922" s="320"/>
    </row>
    <row r="923" spans="1:21" outlineLevel="3">
      <c r="A923" s="611"/>
      <c r="B923" s="611"/>
      <c r="C923" s="332">
        <v>2210310</v>
      </c>
      <c r="D923" s="387" t="s">
        <v>208</v>
      </c>
      <c r="E923" s="593">
        <v>600000</v>
      </c>
      <c r="F923" s="334"/>
      <c r="G923" s="334"/>
      <c r="H923" s="334"/>
      <c r="I923" s="324">
        <f t="shared" si="690"/>
        <v>600000</v>
      </c>
      <c r="J923" s="315"/>
      <c r="K923" s="595"/>
      <c r="L923" s="317">
        <f t="shared" si="688"/>
        <v>600000</v>
      </c>
      <c r="M923" s="317"/>
      <c r="N923" s="372">
        <f t="shared" si="691"/>
        <v>0</v>
      </c>
      <c r="O923" s="319">
        <f>L923*1.1</f>
        <v>660000</v>
      </c>
      <c r="P923" s="319">
        <f t="shared" si="696"/>
        <v>726000.00000000012</v>
      </c>
      <c r="R923" s="317"/>
      <c r="U923" s="320"/>
    </row>
    <row r="924" spans="1:21" s="337" customFormat="1" outlineLevel="3">
      <c r="A924" s="612"/>
      <c r="B924" s="612"/>
      <c r="C924" s="589">
        <v>2210500</v>
      </c>
      <c r="D924" s="589" t="s">
        <v>31</v>
      </c>
      <c r="E924" s="590">
        <f>E925</f>
        <v>700000</v>
      </c>
      <c r="F924" s="590">
        <f t="shared" ref="F924:K924" si="703">F925</f>
        <v>0</v>
      </c>
      <c r="G924" s="590">
        <f t="shared" si="703"/>
        <v>0</v>
      </c>
      <c r="H924" s="590">
        <f t="shared" si="703"/>
        <v>-200000</v>
      </c>
      <c r="I924" s="590">
        <f t="shared" si="703"/>
        <v>500000</v>
      </c>
      <c r="J924" s="590">
        <f t="shared" si="703"/>
        <v>0</v>
      </c>
      <c r="K924" s="590">
        <f t="shared" si="703"/>
        <v>-500000</v>
      </c>
      <c r="L924" s="317">
        <f t="shared" si="688"/>
        <v>0</v>
      </c>
      <c r="M924" s="317"/>
      <c r="N924" s="372">
        <f t="shared" si="691"/>
        <v>500000</v>
      </c>
      <c r="O924" s="590">
        <f t="shared" ref="O924:P924" si="704">O925</f>
        <v>0</v>
      </c>
      <c r="P924" s="590">
        <f t="shared" si="704"/>
        <v>0</v>
      </c>
      <c r="R924" s="317"/>
      <c r="U924" s="320"/>
    </row>
    <row r="925" spans="1:21" outlineLevel="3">
      <c r="A925" s="611"/>
      <c r="B925" s="611"/>
      <c r="C925" s="398">
        <v>2210505</v>
      </c>
      <c r="D925" s="398" t="s">
        <v>192</v>
      </c>
      <c r="E925" s="593">
        <f>1200000-500000</f>
        <v>700000</v>
      </c>
      <c r="F925" s="399"/>
      <c r="G925" s="399"/>
      <c r="H925" s="593">
        <v>-200000</v>
      </c>
      <c r="I925" s="324">
        <f t="shared" si="690"/>
        <v>500000</v>
      </c>
      <c r="J925" s="315"/>
      <c r="K925" s="595">
        <v>-500000</v>
      </c>
      <c r="L925" s="317">
        <f t="shared" si="688"/>
        <v>0</v>
      </c>
      <c r="M925" s="317"/>
      <c r="N925" s="372">
        <f t="shared" si="691"/>
        <v>500000</v>
      </c>
      <c r="O925" s="319">
        <f>L925*1.1</f>
        <v>0</v>
      </c>
      <c r="P925" s="319">
        <f t="shared" ref="P925:P961" si="705">O925*1.1</f>
        <v>0</v>
      </c>
      <c r="R925" s="317"/>
      <c r="U925" s="320"/>
    </row>
    <row r="926" spans="1:21" outlineLevel="3">
      <c r="A926" s="611"/>
      <c r="B926" s="611"/>
      <c r="C926" s="340">
        <v>2210700</v>
      </c>
      <c r="D926" s="388" t="s">
        <v>209</v>
      </c>
      <c r="E926" s="590">
        <f>E928+E933+E935+E927+E929+E930+E931+E932+E934</f>
        <v>1514400</v>
      </c>
      <c r="F926" s="590">
        <f t="shared" ref="F926:K926" si="706">F928+F933+F935+F927+F929+F930+F931+F932+F934</f>
        <v>0</v>
      </c>
      <c r="G926" s="590">
        <f t="shared" si="706"/>
        <v>0</v>
      </c>
      <c r="H926" s="590">
        <f t="shared" si="706"/>
        <v>450000</v>
      </c>
      <c r="I926" s="590">
        <f t="shared" si="706"/>
        <v>1964400</v>
      </c>
      <c r="J926" s="590">
        <f t="shared" si="706"/>
        <v>0</v>
      </c>
      <c r="K926" s="590">
        <f t="shared" si="706"/>
        <v>-360000</v>
      </c>
      <c r="L926" s="317">
        <f t="shared" si="688"/>
        <v>1604400</v>
      </c>
      <c r="M926" s="317"/>
      <c r="N926" s="372">
        <f t="shared" si="691"/>
        <v>360000</v>
      </c>
      <c r="O926" s="590">
        <f t="shared" ref="O926:P926" si="707">O928+O933+O935+O927+O929+O930+O931+O932+O934</f>
        <v>1269840</v>
      </c>
      <c r="P926" s="590">
        <f t="shared" si="707"/>
        <v>1396824.0000000002</v>
      </c>
      <c r="R926" s="317"/>
      <c r="U926" s="320"/>
    </row>
    <row r="927" spans="1:21" s="597" customFormat="1" outlineLevel="3">
      <c r="A927" s="611"/>
      <c r="B927" s="611"/>
      <c r="C927" s="331">
        <v>2210701</v>
      </c>
      <c r="D927" s="341" t="s">
        <v>36</v>
      </c>
      <c r="E927" s="593">
        <v>180420</v>
      </c>
      <c r="F927" s="334"/>
      <c r="G927" s="334"/>
      <c r="H927" s="593"/>
      <c r="I927" s="324">
        <f t="shared" si="690"/>
        <v>180420</v>
      </c>
      <c r="J927" s="315"/>
      <c r="K927" s="595"/>
      <c r="L927" s="317">
        <f t="shared" si="688"/>
        <v>180420</v>
      </c>
      <c r="M927" s="317"/>
      <c r="N927" s="372">
        <f t="shared" si="691"/>
        <v>0</v>
      </c>
      <c r="O927" s="319">
        <f t="shared" ref="O927:O932" si="708">L927*1.1</f>
        <v>198462.00000000003</v>
      </c>
      <c r="P927" s="319">
        <f t="shared" si="705"/>
        <v>218308.20000000004</v>
      </c>
      <c r="R927" s="317"/>
      <c r="U927" s="320"/>
    </row>
    <row r="928" spans="1:21" s="337" customFormat="1" outlineLevel="3">
      <c r="A928" s="612"/>
      <c r="B928" s="612"/>
      <c r="C928" s="332">
        <v>2210702</v>
      </c>
      <c r="D928" s="341" t="s">
        <v>95</v>
      </c>
      <c r="E928" s="593">
        <f>100000+150000</f>
        <v>250000</v>
      </c>
      <c r="F928" s="334"/>
      <c r="G928" s="334"/>
      <c r="H928" s="593"/>
      <c r="I928" s="324">
        <f t="shared" si="690"/>
        <v>250000</v>
      </c>
      <c r="J928" s="315"/>
      <c r="K928" s="595">
        <v>-125000</v>
      </c>
      <c r="L928" s="317">
        <f t="shared" si="688"/>
        <v>125000</v>
      </c>
      <c r="M928" s="317"/>
      <c r="N928" s="372">
        <f t="shared" si="691"/>
        <v>125000</v>
      </c>
      <c r="O928" s="319">
        <f t="shared" si="708"/>
        <v>137500</v>
      </c>
      <c r="P928" s="319">
        <f t="shared" si="705"/>
        <v>151250</v>
      </c>
      <c r="R928" s="317"/>
      <c r="U928" s="320"/>
    </row>
    <row r="929" spans="1:108" outlineLevel="3">
      <c r="A929" s="613"/>
      <c r="B929" s="613"/>
      <c r="C929" s="331">
        <v>2210703</v>
      </c>
      <c r="D929" s="341" t="s">
        <v>107</v>
      </c>
      <c r="E929" s="593">
        <v>150000</v>
      </c>
      <c r="F929" s="334"/>
      <c r="G929" s="334"/>
      <c r="H929" s="593"/>
      <c r="I929" s="324">
        <f t="shared" si="690"/>
        <v>150000</v>
      </c>
      <c r="J929" s="315"/>
      <c r="K929" s="595">
        <v>-81000</v>
      </c>
      <c r="L929" s="317">
        <f t="shared" si="688"/>
        <v>69000</v>
      </c>
      <c r="M929" s="317"/>
      <c r="N929" s="372">
        <f t="shared" si="691"/>
        <v>81000</v>
      </c>
      <c r="O929" s="319">
        <f t="shared" si="708"/>
        <v>75900</v>
      </c>
      <c r="P929" s="319">
        <f t="shared" si="705"/>
        <v>83490</v>
      </c>
      <c r="R929" s="317"/>
      <c r="U929" s="320"/>
    </row>
    <row r="930" spans="1:108" outlineLevel="3">
      <c r="A930" s="613"/>
      <c r="B930" s="613"/>
      <c r="C930" s="331">
        <v>2210704</v>
      </c>
      <c r="D930" s="341" t="s">
        <v>38</v>
      </c>
      <c r="E930" s="593">
        <f>100000-25000</f>
        <v>75000</v>
      </c>
      <c r="F930" s="334"/>
      <c r="G930" s="334"/>
      <c r="H930" s="593"/>
      <c r="I930" s="324">
        <f t="shared" si="690"/>
        <v>75000</v>
      </c>
      <c r="J930" s="315"/>
      <c r="K930" s="595">
        <v>-37000</v>
      </c>
      <c r="L930" s="317">
        <f t="shared" si="688"/>
        <v>38000</v>
      </c>
      <c r="M930" s="317"/>
      <c r="N930" s="372">
        <f t="shared" si="691"/>
        <v>37000</v>
      </c>
      <c r="O930" s="319">
        <f t="shared" si="708"/>
        <v>41800</v>
      </c>
      <c r="P930" s="319">
        <f t="shared" si="705"/>
        <v>45980.000000000007</v>
      </c>
      <c r="R930" s="317"/>
      <c r="U930" s="320"/>
    </row>
    <row r="931" spans="1:108" outlineLevel="3">
      <c r="A931" s="611"/>
      <c r="B931" s="611"/>
      <c r="C931" s="331">
        <v>2210710</v>
      </c>
      <c r="D931" s="341" t="s">
        <v>39</v>
      </c>
      <c r="E931" s="593">
        <f>100000-20000</f>
        <v>80000</v>
      </c>
      <c r="F931" s="334"/>
      <c r="G931" s="334"/>
      <c r="H931" s="593"/>
      <c r="I931" s="324">
        <f t="shared" si="690"/>
        <v>80000</v>
      </c>
      <c r="J931" s="315"/>
      <c r="K931" s="595"/>
      <c r="L931" s="317">
        <f t="shared" si="688"/>
        <v>80000</v>
      </c>
      <c r="M931" s="317"/>
      <c r="N931" s="372">
        <f t="shared" si="691"/>
        <v>0</v>
      </c>
      <c r="O931" s="319">
        <f t="shared" si="708"/>
        <v>88000</v>
      </c>
      <c r="P931" s="319">
        <f t="shared" si="705"/>
        <v>96800.000000000015</v>
      </c>
      <c r="R931" s="317"/>
      <c r="U931" s="320"/>
    </row>
    <row r="932" spans="1:108" s="337" customFormat="1" outlineLevel="3">
      <c r="A932" s="612"/>
      <c r="B932" s="612"/>
      <c r="C932" s="331" t="s">
        <v>1240</v>
      </c>
      <c r="D932" s="341" t="s">
        <v>1516</v>
      </c>
      <c r="E932" s="593">
        <f>100000-5000</f>
        <v>95000</v>
      </c>
      <c r="F932" s="334"/>
      <c r="G932" s="334"/>
      <c r="H932" s="593"/>
      <c r="I932" s="324">
        <f t="shared" si="690"/>
        <v>95000</v>
      </c>
      <c r="J932" s="315"/>
      <c r="K932" s="595"/>
      <c r="L932" s="317">
        <f t="shared" si="688"/>
        <v>95000</v>
      </c>
      <c r="M932" s="317"/>
      <c r="N932" s="372">
        <f t="shared" si="691"/>
        <v>0</v>
      </c>
      <c r="O932" s="319">
        <f t="shared" si="708"/>
        <v>104500.00000000001</v>
      </c>
      <c r="P932" s="319">
        <f t="shared" si="705"/>
        <v>114950.00000000003</v>
      </c>
      <c r="R932" s="317"/>
      <c r="U932" s="320"/>
    </row>
    <row r="933" spans="1:108" s="337" customFormat="1" outlineLevel="3">
      <c r="A933" s="612"/>
      <c r="B933" s="612"/>
      <c r="C933" s="332">
        <v>2210715</v>
      </c>
      <c r="D933" s="341" t="s">
        <v>40</v>
      </c>
      <c r="E933" s="593">
        <f>133980+100000</f>
        <v>233980</v>
      </c>
      <c r="F933" s="334"/>
      <c r="G933" s="334"/>
      <c r="H933" s="593"/>
      <c r="I933" s="324">
        <f t="shared" si="690"/>
        <v>233980</v>
      </c>
      <c r="J933" s="315"/>
      <c r="K933" s="595">
        <v>-117000</v>
      </c>
      <c r="L933" s="317">
        <f t="shared" si="688"/>
        <v>116980</v>
      </c>
      <c r="M933" s="317"/>
      <c r="N933" s="372">
        <f t="shared" si="691"/>
        <v>117000</v>
      </c>
      <c r="O933" s="319">
        <f t="shared" ref="O933:O935" si="709">L933*1.1</f>
        <v>128678.00000000001</v>
      </c>
      <c r="P933" s="319">
        <f t="shared" ref="P933:P935" si="710">O933*1.1</f>
        <v>141545.80000000002</v>
      </c>
      <c r="R933" s="317"/>
      <c r="U933" s="320"/>
    </row>
    <row r="934" spans="1:108" s="337" customFormat="1" outlineLevel="3">
      <c r="A934" s="612"/>
      <c r="B934" s="612"/>
      <c r="C934" s="332">
        <v>2210799</v>
      </c>
      <c r="D934" s="387" t="s">
        <v>2066</v>
      </c>
      <c r="E934" s="593">
        <v>0</v>
      </c>
      <c r="F934" s="593"/>
      <c r="G934" s="593"/>
      <c r="H934" s="593">
        <v>450000</v>
      </c>
      <c r="I934" s="324">
        <f t="shared" si="690"/>
        <v>450000</v>
      </c>
      <c r="J934" s="523"/>
      <c r="K934" s="595"/>
      <c r="L934" s="317">
        <f t="shared" si="688"/>
        <v>450000</v>
      </c>
      <c r="M934" s="317"/>
      <c r="N934" s="372">
        <f t="shared" si="691"/>
        <v>0</v>
      </c>
      <c r="O934" s="319"/>
      <c r="P934" s="319"/>
      <c r="R934" s="317"/>
      <c r="U934" s="320"/>
      <c r="DD934" s="614"/>
    </row>
    <row r="935" spans="1:108" s="337" customFormat="1" outlineLevel="3">
      <c r="A935" s="612"/>
      <c r="B935" s="612"/>
      <c r="C935" s="332">
        <v>2210799</v>
      </c>
      <c r="D935" s="387" t="s">
        <v>210</v>
      </c>
      <c r="E935" s="593">
        <v>450000</v>
      </c>
      <c r="F935" s="334"/>
      <c r="G935" s="334"/>
      <c r="H935" s="593"/>
      <c r="I935" s="324">
        <f t="shared" si="690"/>
        <v>450000</v>
      </c>
      <c r="J935" s="315"/>
      <c r="K935" s="595"/>
      <c r="L935" s="317">
        <f t="shared" si="688"/>
        <v>450000</v>
      </c>
      <c r="M935" s="317"/>
      <c r="N935" s="372">
        <f t="shared" si="691"/>
        <v>0</v>
      </c>
      <c r="O935" s="319">
        <f t="shared" si="709"/>
        <v>495000.00000000006</v>
      </c>
      <c r="P935" s="319">
        <f t="shared" si="710"/>
        <v>544500.00000000012</v>
      </c>
      <c r="R935" s="317"/>
      <c r="U935" s="320"/>
    </row>
    <row r="936" spans="1:108" s="337" customFormat="1" outlineLevel="3">
      <c r="A936" s="612"/>
      <c r="B936" s="612"/>
      <c r="C936" s="340">
        <v>2210800</v>
      </c>
      <c r="D936" s="340" t="s">
        <v>42</v>
      </c>
      <c r="E936" s="590">
        <f>E937+E938+E939</f>
        <v>720000</v>
      </c>
      <c r="F936" s="590">
        <f t="shared" ref="F936:K936" si="711">F937+F938+F939</f>
        <v>0</v>
      </c>
      <c r="G936" s="590">
        <f t="shared" si="711"/>
        <v>0</v>
      </c>
      <c r="H936" s="590">
        <f t="shared" si="711"/>
        <v>0</v>
      </c>
      <c r="I936" s="590">
        <f t="shared" si="711"/>
        <v>720000</v>
      </c>
      <c r="J936" s="590">
        <f t="shared" si="711"/>
        <v>0</v>
      </c>
      <c r="K936" s="590">
        <f t="shared" si="711"/>
        <v>-280000</v>
      </c>
      <c r="L936" s="317">
        <f t="shared" si="688"/>
        <v>440000</v>
      </c>
      <c r="M936" s="317"/>
      <c r="N936" s="372">
        <f t="shared" si="691"/>
        <v>280000</v>
      </c>
      <c r="O936" s="590">
        <f t="shared" ref="O936:P936" si="712">O937+O938+O939</f>
        <v>484000</v>
      </c>
      <c r="P936" s="590">
        <f t="shared" si="712"/>
        <v>532400</v>
      </c>
      <c r="R936" s="317"/>
      <c r="U936" s="320"/>
    </row>
    <row r="937" spans="1:108" s="337" customFormat="1" outlineLevel="3">
      <c r="A937" s="612"/>
      <c r="B937" s="612"/>
      <c r="C937" s="332">
        <v>2210801</v>
      </c>
      <c r="D937" s="332" t="s">
        <v>2421</v>
      </c>
      <c r="E937" s="593">
        <v>250000</v>
      </c>
      <c r="F937" s="334"/>
      <c r="G937" s="334"/>
      <c r="H937" s="334"/>
      <c r="I937" s="324">
        <f t="shared" si="690"/>
        <v>250000</v>
      </c>
      <c r="J937" s="315"/>
      <c r="K937" s="595"/>
      <c r="L937" s="317">
        <f t="shared" si="688"/>
        <v>250000</v>
      </c>
      <c r="M937" s="317"/>
      <c r="N937" s="372">
        <f t="shared" si="691"/>
        <v>0</v>
      </c>
      <c r="O937" s="319">
        <f t="shared" ref="O937:O939" si="713">L937*1.1</f>
        <v>275000</v>
      </c>
      <c r="P937" s="319">
        <f t="shared" ref="P937:P939" si="714">O937*1.1</f>
        <v>302500</v>
      </c>
      <c r="R937" s="317"/>
      <c r="U937" s="320"/>
    </row>
    <row r="938" spans="1:108" s="337" customFormat="1" outlineLevel="3">
      <c r="A938" s="612"/>
      <c r="B938" s="612"/>
      <c r="C938" s="332">
        <v>2210802</v>
      </c>
      <c r="D938" s="332" t="s">
        <v>97</v>
      </c>
      <c r="E938" s="593">
        <f>90000+100000</f>
        <v>190000</v>
      </c>
      <c r="F938" s="334"/>
      <c r="G938" s="334"/>
      <c r="H938" s="334"/>
      <c r="I938" s="324">
        <f t="shared" si="690"/>
        <v>190000</v>
      </c>
      <c r="J938" s="315"/>
      <c r="K938" s="595"/>
      <c r="L938" s="317">
        <f t="shared" si="688"/>
        <v>190000</v>
      </c>
      <c r="M938" s="317"/>
      <c r="N938" s="372">
        <f t="shared" si="691"/>
        <v>0</v>
      </c>
      <c r="O938" s="319">
        <f t="shared" si="713"/>
        <v>209000.00000000003</v>
      </c>
      <c r="P938" s="319">
        <f t="shared" si="714"/>
        <v>229900.00000000006</v>
      </c>
      <c r="R938" s="317"/>
      <c r="U938" s="320"/>
    </row>
    <row r="939" spans="1:108" s="337" customFormat="1" outlineLevel="3">
      <c r="A939" s="612"/>
      <c r="B939" s="612"/>
      <c r="C939" s="405">
        <v>2210805</v>
      </c>
      <c r="D939" s="332" t="s">
        <v>211</v>
      </c>
      <c r="E939" s="593">
        <v>280000</v>
      </c>
      <c r="F939" s="334"/>
      <c r="G939" s="334"/>
      <c r="H939" s="334"/>
      <c r="I939" s="324">
        <f t="shared" si="690"/>
        <v>280000</v>
      </c>
      <c r="J939" s="315"/>
      <c r="K939" s="595">
        <v>-280000</v>
      </c>
      <c r="L939" s="317">
        <f t="shared" si="688"/>
        <v>0</v>
      </c>
      <c r="M939" s="317"/>
      <c r="N939" s="372">
        <f t="shared" si="691"/>
        <v>280000</v>
      </c>
      <c r="O939" s="319">
        <f t="shared" si="713"/>
        <v>0</v>
      </c>
      <c r="P939" s="319">
        <f t="shared" si="714"/>
        <v>0</v>
      </c>
      <c r="R939" s="317"/>
      <c r="U939" s="320"/>
    </row>
    <row r="940" spans="1:108" s="337" customFormat="1" outlineLevel="3">
      <c r="A940" s="612"/>
      <c r="B940" s="612"/>
      <c r="C940" s="340">
        <v>2211000</v>
      </c>
      <c r="D940" s="388" t="s">
        <v>49</v>
      </c>
      <c r="E940" s="590">
        <f>E941</f>
        <v>500000</v>
      </c>
      <c r="F940" s="590">
        <f t="shared" ref="F940:P940" si="715">F941</f>
        <v>0</v>
      </c>
      <c r="G940" s="590">
        <f t="shared" si="715"/>
        <v>0</v>
      </c>
      <c r="H940" s="590">
        <f t="shared" si="715"/>
        <v>0</v>
      </c>
      <c r="I940" s="590">
        <f t="shared" si="715"/>
        <v>500000</v>
      </c>
      <c r="J940" s="590">
        <f t="shared" si="715"/>
        <v>0</v>
      </c>
      <c r="K940" s="590">
        <f t="shared" si="715"/>
        <v>-500000</v>
      </c>
      <c r="L940" s="317">
        <f t="shared" si="688"/>
        <v>0</v>
      </c>
      <c r="M940" s="317"/>
      <c r="N940" s="372">
        <f t="shared" si="691"/>
        <v>500000</v>
      </c>
      <c r="O940" s="590">
        <f t="shared" si="715"/>
        <v>0</v>
      </c>
      <c r="P940" s="590">
        <f t="shared" si="715"/>
        <v>0</v>
      </c>
      <c r="R940" s="317"/>
      <c r="U940" s="320"/>
    </row>
    <row r="941" spans="1:108" s="337" customFormat="1" outlineLevel="3">
      <c r="A941" s="612"/>
      <c r="B941" s="612"/>
      <c r="C941" s="332">
        <v>2211031</v>
      </c>
      <c r="D941" s="387" t="s">
        <v>212</v>
      </c>
      <c r="E941" s="593">
        <f>400000+100000</f>
        <v>500000</v>
      </c>
      <c r="F941" s="334"/>
      <c r="G941" s="334"/>
      <c r="H941" s="334"/>
      <c r="I941" s="324">
        <f t="shared" si="690"/>
        <v>500000</v>
      </c>
      <c r="J941" s="315"/>
      <c r="K941" s="595">
        <v>-500000</v>
      </c>
      <c r="L941" s="317">
        <f t="shared" si="688"/>
        <v>0</v>
      </c>
      <c r="M941" s="317"/>
      <c r="N941" s="372">
        <f t="shared" si="691"/>
        <v>500000</v>
      </c>
      <c r="O941" s="319">
        <f t="shared" ref="O941" si="716">L941*1.1</f>
        <v>0</v>
      </c>
      <c r="P941" s="319">
        <f t="shared" ref="P941" si="717">O941*1.1</f>
        <v>0</v>
      </c>
      <c r="R941" s="317"/>
      <c r="U941" s="320"/>
    </row>
    <row r="942" spans="1:108" s="337" customFormat="1" outlineLevel="3">
      <c r="A942" s="612"/>
      <c r="B942" s="612"/>
      <c r="C942" s="340">
        <v>2211100</v>
      </c>
      <c r="D942" s="340" t="s">
        <v>51</v>
      </c>
      <c r="E942" s="590">
        <f>E943+E944</f>
        <v>325000</v>
      </c>
      <c r="F942" s="590">
        <f t="shared" ref="F942:P942" si="718">F943+F944</f>
        <v>0</v>
      </c>
      <c r="G942" s="590">
        <f t="shared" si="718"/>
        <v>0</v>
      </c>
      <c r="H942" s="590">
        <f t="shared" si="718"/>
        <v>0</v>
      </c>
      <c r="I942" s="590">
        <f t="shared" si="718"/>
        <v>325000</v>
      </c>
      <c r="J942" s="590">
        <f t="shared" si="718"/>
        <v>0</v>
      </c>
      <c r="K942" s="590">
        <f t="shared" si="718"/>
        <v>0</v>
      </c>
      <c r="L942" s="317">
        <f t="shared" si="688"/>
        <v>325000</v>
      </c>
      <c r="M942" s="317"/>
      <c r="N942" s="372">
        <f t="shared" si="691"/>
        <v>0</v>
      </c>
      <c r="O942" s="590">
        <f t="shared" si="718"/>
        <v>357500</v>
      </c>
      <c r="P942" s="590">
        <f t="shared" si="718"/>
        <v>393250.00000000006</v>
      </c>
      <c r="R942" s="317"/>
      <c r="U942" s="320"/>
    </row>
    <row r="943" spans="1:108" s="337" customFormat="1" outlineLevel="3">
      <c r="A943" s="612"/>
      <c r="B943" s="612"/>
      <c r="C943" s="332">
        <v>2211101</v>
      </c>
      <c r="D943" s="332" t="s">
        <v>197</v>
      </c>
      <c r="E943" s="593">
        <v>125000</v>
      </c>
      <c r="F943" s="334"/>
      <c r="G943" s="334"/>
      <c r="H943" s="334"/>
      <c r="I943" s="324">
        <f t="shared" si="690"/>
        <v>125000</v>
      </c>
      <c r="J943" s="315"/>
      <c r="K943" s="595"/>
      <c r="L943" s="317">
        <f t="shared" si="688"/>
        <v>125000</v>
      </c>
      <c r="M943" s="317"/>
      <c r="N943" s="372">
        <f t="shared" si="691"/>
        <v>0</v>
      </c>
      <c r="O943" s="319">
        <f t="shared" ref="O943:O944" si="719">L943*1.1</f>
        <v>137500</v>
      </c>
      <c r="P943" s="319">
        <f t="shared" ref="P943:P944" si="720">O943*1.1</f>
        <v>151250</v>
      </c>
      <c r="R943" s="317"/>
      <c r="U943" s="320"/>
    </row>
    <row r="944" spans="1:108" s="337" customFormat="1" outlineLevel="3">
      <c r="A944" s="612"/>
      <c r="B944" s="612"/>
      <c r="C944" s="332">
        <v>2211102</v>
      </c>
      <c r="D944" s="332" t="s">
        <v>213</v>
      </c>
      <c r="E944" s="593">
        <v>200000</v>
      </c>
      <c r="F944" s="334"/>
      <c r="G944" s="334"/>
      <c r="H944" s="334"/>
      <c r="I944" s="324">
        <f t="shared" si="690"/>
        <v>200000</v>
      </c>
      <c r="J944" s="315"/>
      <c r="K944" s="595"/>
      <c r="L944" s="317">
        <f t="shared" si="688"/>
        <v>200000</v>
      </c>
      <c r="M944" s="317"/>
      <c r="N944" s="372">
        <f t="shared" si="691"/>
        <v>0</v>
      </c>
      <c r="O944" s="319">
        <f t="shared" si="719"/>
        <v>220000.00000000003</v>
      </c>
      <c r="P944" s="319">
        <f t="shared" si="720"/>
        <v>242000.00000000006</v>
      </c>
      <c r="R944" s="317"/>
      <c r="U944" s="320"/>
    </row>
    <row r="945" spans="1:21" s="337" customFormat="1" outlineLevel="3">
      <c r="A945" s="612"/>
      <c r="B945" s="612"/>
      <c r="C945" s="340">
        <v>2211200</v>
      </c>
      <c r="D945" s="340" t="s">
        <v>55</v>
      </c>
      <c r="E945" s="590">
        <f>E946+E947</f>
        <v>766666.66999999993</v>
      </c>
      <c r="F945" s="590">
        <f t="shared" ref="F945:K945" si="721">F946+F947</f>
        <v>0</v>
      </c>
      <c r="G945" s="590">
        <f t="shared" si="721"/>
        <v>0</v>
      </c>
      <c r="H945" s="590">
        <f t="shared" si="721"/>
        <v>-450000</v>
      </c>
      <c r="I945" s="590">
        <f t="shared" si="721"/>
        <v>316666.66999999993</v>
      </c>
      <c r="J945" s="590">
        <f t="shared" si="721"/>
        <v>0</v>
      </c>
      <c r="K945" s="590">
        <f t="shared" si="721"/>
        <v>0</v>
      </c>
      <c r="L945" s="317">
        <f t="shared" si="688"/>
        <v>316666.66999999993</v>
      </c>
      <c r="M945" s="317"/>
      <c r="N945" s="372">
        <f t="shared" si="691"/>
        <v>0</v>
      </c>
      <c r="O945" s="590">
        <f t="shared" ref="O945:P945" si="722">O946+O947</f>
        <v>348333.33699999994</v>
      </c>
      <c r="P945" s="590">
        <f t="shared" si="722"/>
        <v>383166.67070000002</v>
      </c>
      <c r="R945" s="317"/>
      <c r="U945" s="320"/>
    </row>
    <row r="946" spans="1:21" s="337" customFormat="1" outlineLevel="3">
      <c r="A946" s="612"/>
      <c r="B946" s="612"/>
      <c r="C946" s="332">
        <v>2211201</v>
      </c>
      <c r="D946" s="332" t="s">
        <v>56</v>
      </c>
      <c r="E946" s="593">
        <v>150000</v>
      </c>
      <c r="F946" s="334"/>
      <c r="G946" s="334"/>
      <c r="H946" s="593"/>
      <c r="I946" s="324">
        <f t="shared" si="690"/>
        <v>150000</v>
      </c>
      <c r="J946" s="315"/>
      <c r="K946" s="595"/>
      <c r="L946" s="317">
        <f t="shared" si="688"/>
        <v>150000</v>
      </c>
      <c r="M946" s="317"/>
      <c r="N946" s="372">
        <f t="shared" si="691"/>
        <v>0</v>
      </c>
      <c r="O946" s="319">
        <f t="shared" ref="O946:O947" si="723">L946*1.1</f>
        <v>165000</v>
      </c>
      <c r="P946" s="319">
        <f t="shared" ref="P946:P947" si="724">O946*1.1</f>
        <v>181500.00000000003</v>
      </c>
      <c r="R946" s="317"/>
      <c r="U946" s="320"/>
    </row>
    <row r="947" spans="1:21" s="337" customFormat="1" outlineLevel="3">
      <c r="A947" s="612"/>
      <c r="B947" s="612"/>
      <c r="C947" s="331" t="s">
        <v>247</v>
      </c>
      <c r="D947" s="341" t="s">
        <v>248</v>
      </c>
      <c r="E947" s="593">
        <f>100000+516666.67</f>
        <v>616666.66999999993</v>
      </c>
      <c r="F947" s="334"/>
      <c r="G947" s="334"/>
      <c r="H947" s="593">
        <v>-450000</v>
      </c>
      <c r="I947" s="324">
        <f t="shared" si="690"/>
        <v>166666.66999999993</v>
      </c>
      <c r="J947" s="315"/>
      <c r="K947" s="595"/>
      <c r="L947" s="317">
        <f t="shared" si="688"/>
        <v>166666.66999999993</v>
      </c>
      <c r="M947" s="317"/>
      <c r="N947" s="372">
        <f t="shared" si="691"/>
        <v>0</v>
      </c>
      <c r="O947" s="319">
        <f t="shared" si="723"/>
        <v>183333.33699999994</v>
      </c>
      <c r="P947" s="319">
        <f t="shared" si="724"/>
        <v>201666.67069999996</v>
      </c>
      <c r="R947" s="317"/>
      <c r="U947" s="320"/>
    </row>
    <row r="948" spans="1:21" s="337" customFormat="1" outlineLevel="3">
      <c r="A948" s="612"/>
      <c r="B948" s="612"/>
      <c r="C948" s="340">
        <v>2211300</v>
      </c>
      <c r="D948" s="449" t="s">
        <v>57</v>
      </c>
      <c r="E948" s="615">
        <f>E949+E950</f>
        <v>250000</v>
      </c>
      <c r="F948" s="615">
        <f t="shared" ref="F948:P948" si="725">F949+F950</f>
        <v>0</v>
      </c>
      <c r="G948" s="615">
        <f t="shared" si="725"/>
        <v>0</v>
      </c>
      <c r="H948" s="615">
        <f t="shared" si="725"/>
        <v>0</v>
      </c>
      <c r="I948" s="615">
        <f t="shared" si="725"/>
        <v>250000</v>
      </c>
      <c r="J948" s="615">
        <f t="shared" si="725"/>
        <v>0</v>
      </c>
      <c r="K948" s="615">
        <f t="shared" si="725"/>
        <v>-100000</v>
      </c>
      <c r="L948" s="317">
        <f t="shared" si="688"/>
        <v>150000</v>
      </c>
      <c r="M948" s="317"/>
      <c r="N948" s="372">
        <f t="shared" si="691"/>
        <v>100000</v>
      </c>
      <c r="O948" s="615">
        <f t="shared" si="725"/>
        <v>165000.00000000003</v>
      </c>
      <c r="P948" s="615">
        <f t="shared" si="725"/>
        <v>181500.00000000006</v>
      </c>
      <c r="R948" s="317"/>
      <c r="U948" s="320"/>
    </row>
    <row r="949" spans="1:21" s="337" customFormat="1" outlineLevel="3">
      <c r="A949" s="612"/>
      <c r="B949" s="612"/>
      <c r="C949" s="332">
        <v>2211313</v>
      </c>
      <c r="D949" s="387" t="s">
        <v>214</v>
      </c>
      <c r="E949" s="593">
        <v>150000</v>
      </c>
      <c r="F949" s="334"/>
      <c r="G949" s="334"/>
      <c r="H949" s="593"/>
      <c r="I949" s="324">
        <f t="shared" si="690"/>
        <v>150000</v>
      </c>
      <c r="J949" s="315"/>
      <c r="K949" s="595">
        <v>-100000</v>
      </c>
      <c r="L949" s="317">
        <f t="shared" si="688"/>
        <v>50000</v>
      </c>
      <c r="M949" s="317"/>
      <c r="N949" s="372">
        <f t="shared" si="691"/>
        <v>100000</v>
      </c>
      <c r="O949" s="319">
        <f t="shared" ref="O949:O950" si="726">L949*1.1</f>
        <v>55000.000000000007</v>
      </c>
      <c r="P949" s="319">
        <f t="shared" ref="P949:P950" si="727">O949*1.1</f>
        <v>60500.000000000015</v>
      </c>
      <c r="R949" s="317"/>
      <c r="U949" s="320"/>
    </row>
    <row r="950" spans="1:21" s="337" customFormat="1" outlineLevel="3">
      <c r="A950" s="612"/>
      <c r="B950" s="612"/>
      <c r="C950" s="332">
        <v>2211399</v>
      </c>
      <c r="D950" s="387" t="s">
        <v>215</v>
      </c>
      <c r="E950" s="593">
        <v>100000</v>
      </c>
      <c r="F950" s="334"/>
      <c r="G950" s="334"/>
      <c r="H950" s="593"/>
      <c r="I950" s="324">
        <f t="shared" si="690"/>
        <v>100000</v>
      </c>
      <c r="J950" s="315"/>
      <c r="K950" s="595"/>
      <c r="L950" s="317">
        <f t="shared" si="688"/>
        <v>100000</v>
      </c>
      <c r="M950" s="317"/>
      <c r="N950" s="372">
        <f t="shared" si="691"/>
        <v>0</v>
      </c>
      <c r="O950" s="319">
        <f t="shared" si="726"/>
        <v>110000.00000000001</v>
      </c>
      <c r="P950" s="319">
        <f t="shared" si="727"/>
        <v>121000.00000000003</v>
      </c>
      <c r="R950" s="317"/>
      <c r="U950" s="320"/>
    </row>
    <row r="951" spans="1:21" s="337" customFormat="1" outlineLevel="3">
      <c r="A951" s="612"/>
      <c r="B951" s="612"/>
      <c r="C951" s="340">
        <v>2220100</v>
      </c>
      <c r="D951" s="589" t="s">
        <v>199</v>
      </c>
      <c r="E951" s="590">
        <f>E952</f>
        <v>460065</v>
      </c>
      <c r="F951" s="590">
        <f t="shared" ref="F951:P951" si="728">F952</f>
        <v>899940</v>
      </c>
      <c r="G951" s="590">
        <f t="shared" si="728"/>
        <v>0</v>
      </c>
      <c r="H951" s="590">
        <f t="shared" si="728"/>
        <v>-64329</v>
      </c>
      <c r="I951" s="590">
        <f t="shared" si="728"/>
        <v>1295676</v>
      </c>
      <c r="J951" s="590">
        <f t="shared" si="728"/>
        <v>0</v>
      </c>
      <c r="K951" s="590">
        <f t="shared" si="728"/>
        <v>-634000</v>
      </c>
      <c r="L951" s="317">
        <f t="shared" si="688"/>
        <v>661676</v>
      </c>
      <c r="M951" s="317"/>
      <c r="N951" s="372">
        <f t="shared" si="691"/>
        <v>634000</v>
      </c>
      <c r="O951" s="590">
        <f t="shared" si="728"/>
        <v>727843.60000000009</v>
      </c>
      <c r="P951" s="590">
        <f t="shared" si="728"/>
        <v>800627.9600000002</v>
      </c>
      <c r="R951" s="317"/>
      <c r="U951" s="320"/>
    </row>
    <row r="952" spans="1:21" s="337" customFormat="1" outlineLevel="3">
      <c r="A952" s="612"/>
      <c r="B952" s="612"/>
      <c r="C952" s="398">
        <v>2220101</v>
      </c>
      <c r="D952" s="398" t="s">
        <v>200</v>
      </c>
      <c r="E952" s="593">
        <f>100000+360065</f>
        <v>460065</v>
      </c>
      <c r="F952" s="616">
        <v>899940</v>
      </c>
      <c r="G952" s="399"/>
      <c r="H952" s="593">
        <v>-64329</v>
      </c>
      <c r="I952" s="324">
        <f t="shared" si="690"/>
        <v>1295676</v>
      </c>
      <c r="J952" s="315"/>
      <c r="K952" s="595">
        <v>-634000</v>
      </c>
      <c r="L952" s="317">
        <f t="shared" si="688"/>
        <v>661676</v>
      </c>
      <c r="M952" s="317"/>
      <c r="N952" s="372">
        <f t="shared" si="691"/>
        <v>634000</v>
      </c>
      <c r="O952" s="319">
        <f t="shared" ref="O952" si="729">L952*1.1</f>
        <v>727843.60000000009</v>
      </c>
      <c r="P952" s="319">
        <f t="shared" ref="P952" si="730">O952*1.1</f>
        <v>800627.9600000002</v>
      </c>
      <c r="R952" s="317"/>
      <c r="U952" s="320"/>
    </row>
    <row r="953" spans="1:21" s="337" customFormat="1" outlineLevel="3">
      <c r="A953" s="612"/>
      <c r="B953" s="612"/>
      <c r="C953" s="339">
        <v>2220200</v>
      </c>
      <c r="D953" s="343" t="s">
        <v>86</v>
      </c>
      <c r="E953" s="590">
        <f>E954+E955</f>
        <v>515000</v>
      </c>
      <c r="F953" s="590">
        <f t="shared" ref="F953:K953" si="731">F954+F955</f>
        <v>0</v>
      </c>
      <c r="G953" s="590">
        <f t="shared" si="731"/>
        <v>0</v>
      </c>
      <c r="H953" s="590">
        <f t="shared" si="731"/>
        <v>-200000</v>
      </c>
      <c r="I953" s="590">
        <f t="shared" si="731"/>
        <v>315000</v>
      </c>
      <c r="J953" s="590">
        <f t="shared" si="731"/>
        <v>0</v>
      </c>
      <c r="K953" s="590">
        <f t="shared" si="731"/>
        <v>-115000</v>
      </c>
      <c r="L953" s="317">
        <f t="shared" si="688"/>
        <v>200000</v>
      </c>
      <c r="M953" s="317"/>
      <c r="N953" s="372">
        <f t="shared" si="691"/>
        <v>115000</v>
      </c>
      <c r="O953" s="590">
        <f t="shared" ref="O953:P953" si="732">O954+O955</f>
        <v>220000.00000000003</v>
      </c>
      <c r="P953" s="590">
        <f t="shared" si="732"/>
        <v>242000.00000000006</v>
      </c>
      <c r="R953" s="317"/>
      <c r="U953" s="320"/>
    </row>
    <row r="954" spans="1:21" s="337" customFormat="1" outlineLevel="3">
      <c r="A954" s="612"/>
      <c r="B954" s="612"/>
      <c r="C954" s="331">
        <v>2220202</v>
      </c>
      <c r="D954" s="341" t="s">
        <v>87</v>
      </c>
      <c r="E954" s="593">
        <f>50000+150000</f>
        <v>200000</v>
      </c>
      <c r="F954" s="593"/>
      <c r="G954" s="334"/>
      <c r="H954" s="593"/>
      <c r="I954" s="324">
        <f t="shared" si="690"/>
        <v>200000</v>
      </c>
      <c r="J954" s="315"/>
      <c r="K954" s="595"/>
      <c r="L954" s="317">
        <f t="shared" si="688"/>
        <v>200000</v>
      </c>
      <c r="M954" s="317"/>
      <c r="N954" s="372">
        <f t="shared" si="691"/>
        <v>0</v>
      </c>
      <c r="O954" s="319">
        <f t="shared" ref="O954:O955" si="733">L954*1.1</f>
        <v>220000.00000000003</v>
      </c>
      <c r="P954" s="319">
        <f t="shared" ref="P954:P955" si="734">O954*1.1</f>
        <v>242000.00000000006</v>
      </c>
      <c r="R954" s="317"/>
      <c r="U954" s="320"/>
    </row>
    <row r="955" spans="1:21" s="337" customFormat="1" outlineLevel="3">
      <c r="A955" s="612"/>
      <c r="B955" s="612"/>
      <c r="C955" s="331">
        <v>2220205</v>
      </c>
      <c r="D955" s="341" t="s">
        <v>125</v>
      </c>
      <c r="E955" s="593">
        <f>50000+265000</f>
        <v>315000</v>
      </c>
      <c r="F955" s="593"/>
      <c r="G955" s="334"/>
      <c r="H955" s="593">
        <v>-200000</v>
      </c>
      <c r="I955" s="324">
        <f t="shared" si="690"/>
        <v>115000</v>
      </c>
      <c r="J955" s="315"/>
      <c r="K955" s="595">
        <v>-115000</v>
      </c>
      <c r="L955" s="317">
        <f t="shared" si="688"/>
        <v>0</v>
      </c>
      <c r="M955" s="317"/>
      <c r="N955" s="372">
        <f t="shared" si="691"/>
        <v>115000</v>
      </c>
      <c r="O955" s="319">
        <f t="shared" si="733"/>
        <v>0</v>
      </c>
      <c r="P955" s="319">
        <f t="shared" si="734"/>
        <v>0</v>
      </c>
      <c r="R955" s="317"/>
      <c r="U955" s="320"/>
    </row>
    <row r="956" spans="1:21" outlineLevel="3">
      <c r="A956" s="611"/>
      <c r="B956" s="611"/>
      <c r="C956" s="340">
        <v>3111000</v>
      </c>
      <c r="D956" s="340" t="s">
        <v>216</v>
      </c>
      <c r="E956" s="590">
        <f>E957+E958+E959</f>
        <v>190000</v>
      </c>
      <c r="F956" s="590">
        <f t="shared" ref="F956:P956" si="735">F957+F958+F959</f>
        <v>1325000</v>
      </c>
      <c r="G956" s="590">
        <f t="shared" si="735"/>
        <v>0</v>
      </c>
      <c r="H956" s="590">
        <f t="shared" si="735"/>
        <v>0</v>
      </c>
      <c r="I956" s="590">
        <f t="shared" si="735"/>
        <v>1515000</v>
      </c>
      <c r="J956" s="590">
        <f t="shared" si="735"/>
        <v>0</v>
      </c>
      <c r="K956" s="590">
        <f t="shared" si="735"/>
        <v>0</v>
      </c>
      <c r="L956" s="317">
        <f t="shared" si="688"/>
        <v>1515000</v>
      </c>
      <c r="M956" s="317"/>
      <c r="N956" s="372">
        <f t="shared" si="691"/>
        <v>0</v>
      </c>
      <c r="O956" s="590">
        <f t="shared" si="735"/>
        <v>1666500.0000000002</v>
      </c>
      <c r="P956" s="590">
        <f t="shared" si="735"/>
        <v>1833150.0000000005</v>
      </c>
      <c r="R956" s="317"/>
      <c r="U956" s="320"/>
    </row>
    <row r="957" spans="1:21" outlineLevel="3">
      <c r="A957" s="611"/>
      <c r="B957" s="611"/>
      <c r="C957" s="332">
        <v>3111001</v>
      </c>
      <c r="D957" s="332" t="s">
        <v>234</v>
      </c>
      <c r="E957" s="593">
        <v>70000</v>
      </c>
      <c r="F957" s="593"/>
      <c r="G957" s="334"/>
      <c r="H957" s="593"/>
      <c r="I957" s="324">
        <f t="shared" si="690"/>
        <v>70000</v>
      </c>
      <c r="J957" s="315"/>
      <c r="K957" s="595"/>
      <c r="L957" s="317">
        <f t="shared" si="688"/>
        <v>70000</v>
      </c>
      <c r="M957" s="317"/>
      <c r="N957" s="372">
        <f t="shared" si="691"/>
        <v>0</v>
      </c>
      <c r="O957" s="319">
        <f>L957*1.1</f>
        <v>77000</v>
      </c>
      <c r="P957" s="319">
        <f t="shared" si="705"/>
        <v>84700</v>
      </c>
      <c r="R957" s="317"/>
      <c r="U957" s="320"/>
    </row>
    <row r="958" spans="1:21" outlineLevel="3">
      <c r="A958" s="611"/>
      <c r="B958" s="611"/>
      <c r="C958" s="331">
        <v>3111002</v>
      </c>
      <c r="D958" s="341" t="s">
        <v>71</v>
      </c>
      <c r="E958" s="593">
        <v>70000</v>
      </c>
      <c r="F958" s="616">
        <v>1325000</v>
      </c>
      <c r="G958" s="334"/>
      <c r="H958" s="593"/>
      <c r="I958" s="324">
        <f t="shared" si="690"/>
        <v>1395000</v>
      </c>
      <c r="J958" s="315"/>
      <c r="K958" s="595"/>
      <c r="L958" s="317">
        <f t="shared" si="688"/>
        <v>1395000</v>
      </c>
      <c r="M958" s="317"/>
      <c r="N958" s="372">
        <f t="shared" si="691"/>
        <v>0</v>
      </c>
      <c r="O958" s="319">
        <f>L958*1.1</f>
        <v>1534500.0000000002</v>
      </c>
      <c r="P958" s="319">
        <f t="shared" si="705"/>
        <v>1687950.0000000005</v>
      </c>
      <c r="R958" s="317"/>
      <c r="U958" s="320"/>
    </row>
    <row r="959" spans="1:21" s="337" customFormat="1" outlineLevel="3">
      <c r="A959" s="612"/>
      <c r="B959" s="612"/>
      <c r="C959" s="331">
        <v>3111009</v>
      </c>
      <c r="D959" s="341" t="s">
        <v>253</v>
      </c>
      <c r="E959" s="593">
        <v>50000</v>
      </c>
      <c r="F959" s="334"/>
      <c r="G959" s="334"/>
      <c r="H959" s="593"/>
      <c r="I959" s="324">
        <f t="shared" si="690"/>
        <v>50000</v>
      </c>
      <c r="J959" s="315"/>
      <c r="K959" s="595"/>
      <c r="L959" s="317">
        <f t="shared" si="688"/>
        <v>50000</v>
      </c>
      <c r="M959" s="317"/>
      <c r="N959" s="372">
        <f t="shared" si="691"/>
        <v>0</v>
      </c>
      <c r="O959" s="319">
        <f>L959*1.1</f>
        <v>55000.000000000007</v>
      </c>
      <c r="P959" s="319">
        <f t="shared" si="705"/>
        <v>60500.000000000015</v>
      </c>
      <c r="R959" s="317"/>
      <c r="U959" s="320"/>
    </row>
    <row r="960" spans="1:21" outlineLevel="3">
      <c r="A960" s="611"/>
      <c r="B960" s="611"/>
      <c r="C960" s="396"/>
      <c r="D960" s="396"/>
      <c r="E960" s="590"/>
      <c r="F960" s="601"/>
      <c r="G960" s="601"/>
      <c r="H960" s="601"/>
      <c r="I960" s="324">
        <f t="shared" si="690"/>
        <v>0</v>
      </c>
      <c r="J960" s="315"/>
      <c r="K960" s="595"/>
      <c r="L960" s="317">
        <f t="shared" si="688"/>
        <v>0</v>
      </c>
      <c r="M960" s="317"/>
      <c r="N960" s="372">
        <f t="shared" si="691"/>
        <v>0</v>
      </c>
      <c r="O960" s="602">
        <f t="shared" ref="O960:P960" si="736">O961</f>
        <v>0</v>
      </c>
      <c r="P960" s="602">
        <f t="shared" si="736"/>
        <v>0</v>
      </c>
      <c r="R960" s="317"/>
      <c r="U960" s="320"/>
    </row>
    <row r="961" spans="1:21" outlineLevel="3">
      <c r="A961" s="611"/>
      <c r="B961" s="611"/>
      <c r="C961" s="398"/>
      <c r="D961" s="398"/>
      <c r="E961" s="593">
        <v>0</v>
      </c>
      <c r="F961" s="399"/>
      <c r="G961" s="399"/>
      <c r="H961" s="399"/>
      <c r="I961" s="324">
        <f t="shared" si="690"/>
        <v>0</v>
      </c>
      <c r="J961" s="315"/>
      <c r="K961" s="595"/>
      <c r="L961" s="317">
        <f t="shared" si="688"/>
        <v>0</v>
      </c>
      <c r="M961" s="317"/>
      <c r="N961" s="372">
        <f t="shared" si="691"/>
        <v>0</v>
      </c>
      <c r="O961" s="319">
        <f>L961*1.1</f>
        <v>0</v>
      </c>
      <c r="P961" s="319">
        <f t="shared" si="705"/>
        <v>0</v>
      </c>
      <c r="R961" s="317"/>
      <c r="U961" s="320"/>
    </row>
    <row r="962" spans="1:21" s="446" customFormat="1" outlineLevel="2">
      <c r="A962" s="617"/>
      <c r="B962" s="617"/>
      <c r="C962" s="618"/>
      <c r="D962" s="447" t="s">
        <v>201</v>
      </c>
      <c r="E962" s="619">
        <f>E960+E956+E953+E951+E948+E945+E942+E940+E936+E926+E919+E924+E916+E913+E911</f>
        <v>24204735.34</v>
      </c>
      <c r="F962" s="619">
        <f t="shared" ref="F962:P962" si="737">F960+F956+F953+F951+F948+F945+F942+F940+F936+F926+F919+F924+F916+F913+F911</f>
        <v>2224940</v>
      </c>
      <c r="G962" s="619">
        <f t="shared" si="737"/>
        <v>0</v>
      </c>
      <c r="H962" s="619">
        <f t="shared" si="737"/>
        <v>-464329</v>
      </c>
      <c r="I962" s="619">
        <f t="shared" si="737"/>
        <v>25965346.34</v>
      </c>
      <c r="J962" s="619">
        <f t="shared" si="737"/>
        <v>0</v>
      </c>
      <c r="K962" s="619">
        <f t="shared" si="737"/>
        <v>-1438330</v>
      </c>
      <c r="L962" s="317">
        <f t="shared" si="688"/>
        <v>24527016.34</v>
      </c>
      <c r="M962" s="317"/>
      <c r="N962" s="372">
        <f t="shared" si="691"/>
        <v>1438330</v>
      </c>
      <c r="O962" s="619">
        <f t="shared" si="737"/>
        <v>26484717.973999999</v>
      </c>
      <c r="P962" s="619">
        <f t="shared" si="737"/>
        <v>29133189.771400005</v>
      </c>
      <c r="R962" s="317"/>
      <c r="U962" s="320"/>
    </row>
    <row r="963" spans="1:21" s="446" customFormat="1" outlineLevel="2">
      <c r="A963" s="617"/>
      <c r="B963" s="617"/>
      <c r="C963" s="314"/>
      <c r="D963" s="447"/>
      <c r="E963" s="619"/>
      <c r="F963" s="438"/>
      <c r="G963" s="438"/>
      <c r="H963" s="438"/>
      <c r="I963" s="324">
        <f t="shared" si="690"/>
        <v>0</v>
      </c>
      <c r="J963" s="315"/>
      <c r="K963" s="595"/>
      <c r="L963" s="317">
        <f t="shared" si="688"/>
        <v>0</v>
      </c>
      <c r="M963" s="317"/>
      <c r="N963" s="372">
        <f t="shared" si="691"/>
        <v>0</v>
      </c>
      <c r="O963" s="319">
        <f>L963*1.1</f>
        <v>0</v>
      </c>
      <c r="P963" s="319">
        <f t="shared" ref="P963:P973" si="738">O963*1.1</f>
        <v>0</v>
      </c>
      <c r="R963" s="317"/>
      <c r="U963" s="320"/>
    </row>
    <row r="964" spans="1:21" s="312" customFormat="1" outlineLevel="2">
      <c r="A964" s="617"/>
      <c r="B964" s="617"/>
      <c r="C964" s="314"/>
      <c r="D964" s="447" t="s">
        <v>217</v>
      </c>
      <c r="E964" s="619"/>
      <c r="F964" s="438"/>
      <c r="G964" s="438"/>
      <c r="H964" s="438"/>
      <c r="I964" s="324">
        <f t="shared" si="690"/>
        <v>0</v>
      </c>
      <c r="J964" s="315"/>
      <c r="K964" s="595"/>
      <c r="L964" s="317">
        <f t="shared" ref="L964:L1027" si="739">I964+J964+K964</f>
        <v>0</v>
      </c>
      <c r="M964" s="317"/>
      <c r="N964" s="372">
        <f t="shared" si="691"/>
        <v>0</v>
      </c>
      <c r="O964" s="319">
        <f>L964*1.1</f>
        <v>0</v>
      </c>
      <c r="P964" s="319">
        <f t="shared" si="738"/>
        <v>0</v>
      </c>
      <c r="R964" s="317"/>
      <c r="U964" s="320"/>
    </row>
    <row r="965" spans="1:21" s="597" customFormat="1" outlineLevel="3">
      <c r="A965" s="611"/>
      <c r="B965" s="611"/>
      <c r="C965" s="332">
        <v>3110504</v>
      </c>
      <c r="D965" s="332" t="s">
        <v>1517</v>
      </c>
      <c r="E965" s="593">
        <f>2727261-200000</f>
        <v>2527261</v>
      </c>
      <c r="F965" s="334"/>
      <c r="G965" s="334"/>
      <c r="H965" s="593">
        <v>-500000</v>
      </c>
      <c r="I965" s="324">
        <f t="shared" si="690"/>
        <v>2027261</v>
      </c>
      <c r="J965" s="315"/>
      <c r="K965" s="595">
        <v>-1000000</v>
      </c>
      <c r="L965" s="317">
        <f t="shared" si="739"/>
        <v>1027261</v>
      </c>
      <c r="M965" s="317"/>
      <c r="N965" s="372">
        <f t="shared" si="691"/>
        <v>1000000</v>
      </c>
      <c r="O965" s="319">
        <f>L965*1.1</f>
        <v>1129987.1000000001</v>
      </c>
      <c r="P965" s="319">
        <f t="shared" si="738"/>
        <v>1242985.8100000003</v>
      </c>
      <c r="R965" s="317"/>
      <c r="U965" s="320"/>
    </row>
    <row r="966" spans="1:21" s="337" customFormat="1" outlineLevel="2">
      <c r="A966" s="339"/>
      <c r="B966" s="340"/>
      <c r="C966" s="340"/>
      <c r="D966" s="620" t="s">
        <v>175</v>
      </c>
      <c r="E966" s="621">
        <f>E965</f>
        <v>2527261</v>
      </c>
      <c r="F966" s="621">
        <f t="shared" ref="F966:P966" si="740">F965</f>
        <v>0</v>
      </c>
      <c r="G966" s="621">
        <f t="shared" si="740"/>
        <v>0</v>
      </c>
      <c r="H966" s="621">
        <f t="shared" si="740"/>
        <v>-500000</v>
      </c>
      <c r="I966" s="621">
        <f t="shared" si="740"/>
        <v>2027261</v>
      </c>
      <c r="J966" s="621">
        <f t="shared" si="740"/>
        <v>0</v>
      </c>
      <c r="K966" s="621">
        <f t="shared" si="740"/>
        <v>-1000000</v>
      </c>
      <c r="L966" s="317">
        <f t="shared" si="739"/>
        <v>1027261</v>
      </c>
      <c r="M966" s="317"/>
      <c r="N966" s="372">
        <f t="shared" si="691"/>
        <v>1000000</v>
      </c>
      <c r="O966" s="621">
        <f t="shared" si="740"/>
        <v>1129987.1000000001</v>
      </c>
      <c r="P966" s="621">
        <f t="shared" si="740"/>
        <v>1242985.8100000003</v>
      </c>
      <c r="R966" s="317"/>
      <c r="U966" s="320"/>
    </row>
    <row r="967" spans="1:21" s="446" customFormat="1" outlineLevel="1">
      <c r="A967" s="617"/>
      <c r="B967" s="617"/>
      <c r="C967" s="314"/>
      <c r="D967" s="447" t="s">
        <v>218</v>
      </c>
      <c r="E967" s="619">
        <f>E962+E966</f>
        <v>26731996.34</v>
      </c>
      <c r="F967" s="619">
        <f t="shared" ref="F967:P967" si="741">F962+F966</f>
        <v>2224940</v>
      </c>
      <c r="G967" s="619">
        <f t="shared" si="741"/>
        <v>0</v>
      </c>
      <c r="H967" s="619">
        <f t="shared" si="741"/>
        <v>-964329</v>
      </c>
      <c r="I967" s="619">
        <f t="shared" si="741"/>
        <v>27992607.34</v>
      </c>
      <c r="J967" s="619">
        <f t="shared" si="741"/>
        <v>0</v>
      </c>
      <c r="K967" s="619">
        <f t="shared" si="741"/>
        <v>-2438330</v>
      </c>
      <c r="L967" s="317">
        <f t="shared" si="739"/>
        <v>25554277.34</v>
      </c>
      <c r="M967" s="317"/>
      <c r="N967" s="372">
        <f t="shared" si="691"/>
        <v>2438330</v>
      </c>
      <c r="O967" s="619">
        <f t="shared" si="741"/>
        <v>27614705.074000001</v>
      </c>
      <c r="P967" s="619">
        <f t="shared" si="741"/>
        <v>30376175.581400003</v>
      </c>
      <c r="R967" s="317"/>
      <c r="U967" s="320"/>
    </row>
    <row r="968" spans="1:21" outlineLevel="1">
      <c r="A968" s="611"/>
      <c r="B968" s="611"/>
      <c r="C968" s="332"/>
      <c r="D968" s="330"/>
      <c r="E968" s="422"/>
      <c r="F968" s="389"/>
      <c r="G968" s="389"/>
      <c r="H968" s="389"/>
      <c r="I968" s="324">
        <f t="shared" ref="I968:I1029" si="742">E968+F968+G968+H968</f>
        <v>0</v>
      </c>
      <c r="J968" s="315"/>
      <c r="K968" s="595"/>
      <c r="L968" s="317">
        <f t="shared" si="739"/>
        <v>0</v>
      </c>
      <c r="M968" s="317"/>
      <c r="N968" s="372">
        <f t="shared" ref="N968:N1031" si="743">M968-K968</f>
        <v>0</v>
      </c>
      <c r="O968" s="319">
        <f>L968*1.1</f>
        <v>0</v>
      </c>
      <c r="P968" s="319">
        <f t="shared" si="738"/>
        <v>0</v>
      </c>
      <c r="R968" s="317"/>
      <c r="U968" s="320"/>
    </row>
    <row r="969" spans="1:21" outlineLevel="1">
      <c r="A969" s="611"/>
      <c r="B969" s="611"/>
      <c r="C969" s="332"/>
      <c r="D969" s="330"/>
      <c r="E969" s="422"/>
      <c r="F969" s="389"/>
      <c r="G969" s="389"/>
      <c r="H969" s="389"/>
      <c r="I969" s="324">
        <f t="shared" si="742"/>
        <v>0</v>
      </c>
      <c r="J969" s="315"/>
      <c r="K969" s="595"/>
      <c r="L969" s="317">
        <f t="shared" si="739"/>
        <v>0</v>
      </c>
      <c r="M969" s="317"/>
      <c r="N969" s="372">
        <f t="shared" si="743"/>
        <v>0</v>
      </c>
      <c r="O969" s="319">
        <f>L969*1.1</f>
        <v>0</v>
      </c>
      <c r="P969" s="319">
        <f t="shared" si="738"/>
        <v>0</v>
      </c>
      <c r="R969" s="317"/>
      <c r="U969" s="320"/>
    </row>
    <row r="970" spans="1:21" s="597" customFormat="1" outlineLevel="1">
      <c r="A970" s="611"/>
      <c r="B970" s="611"/>
      <c r="C970" s="340" t="s">
        <v>219</v>
      </c>
      <c r="D970" s="338"/>
      <c r="E970" s="422"/>
      <c r="F970" s="397"/>
      <c r="G970" s="397"/>
      <c r="H970" s="397"/>
      <c r="I970" s="324">
        <f t="shared" si="742"/>
        <v>0</v>
      </c>
      <c r="J970" s="315"/>
      <c r="K970" s="595"/>
      <c r="L970" s="317">
        <f t="shared" si="739"/>
        <v>0</v>
      </c>
      <c r="M970" s="317"/>
      <c r="N970" s="372">
        <f t="shared" si="743"/>
        <v>0</v>
      </c>
      <c r="O970" s="319">
        <f>L970*1.1</f>
        <v>0</v>
      </c>
      <c r="P970" s="319">
        <f t="shared" si="738"/>
        <v>0</v>
      </c>
      <c r="R970" s="317"/>
      <c r="U970" s="320"/>
    </row>
    <row r="971" spans="1:21" outlineLevel="1">
      <c r="A971" s="612"/>
      <c r="B971" s="612" t="s">
        <v>146</v>
      </c>
      <c r="C971" s="340" t="s">
        <v>220</v>
      </c>
      <c r="D971" s="338"/>
      <c r="E971" s="622"/>
      <c r="F971" s="397"/>
      <c r="G971" s="397"/>
      <c r="H971" s="397"/>
      <c r="I971" s="324">
        <f t="shared" si="742"/>
        <v>0</v>
      </c>
      <c r="J971" s="315"/>
      <c r="K971" s="595"/>
      <c r="L971" s="317">
        <f t="shared" si="739"/>
        <v>0</v>
      </c>
      <c r="M971" s="317"/>
      <c r="N971" s="372">
        <f t="shared" si="743"/>
        <v>0</v>
      </c>
      <c r="O971" s="319">
        <f>L971*1.1</f>
        <v>0</v>
      </c>
      <c r="P971" s="319">
        <f t="shared" si="738"/>
        <v>0</v>
      </c>
      <c r="R971" s="317"/>
      <c r="U971" s="320"/>
    </row>
    <row r="972" spans="1:21" s="337" customFormat="1" outlineLevel="3">
      <c r="A972" s="612"/>
      <c r="B972" s="612"/>
      <c r="C972" s="340">
        <v>2110100</v>
      </c>
      <c r="D972" s="340" t="s">
        <v>221</v>
      </c>
      <c r="E972" s="590">
        <f>E973</f>
        <v>28687549.34</v>
      </c>
      <c r="F972" s="590">
        <f t="shared" ref="F972:K972" si="744">F973</f>
        <v>0</v>
      </c>
      <c r="G972" s="590">
        <f t="shared" si="744"/>
        <v>0</v>
      </c>
      <c r="H972" s="590">
        <f t="shared" si="744"/>
        <v>0</v>
      </c>
      <c r="I972" s="590">
        <f t="shared" si="744"/>
        <v>28687549.34</v>
      </c>
      <c r="J972" s="590">
        <f t="shared" si="744"/>
        <v>0</v>
      </c>
      <c r="K972" s="590">
        <f t="shared" si="744"/>
        <v>0</v>
      </c>
      <c r="L972" s="317">
        <f t="shared" si="739"/>
        <v>28687549.34</v>
      </c>
      <c r="M972" s="317"/>
      <c r="N972" s="372">
        <f t="shared" si="743"/>
        <v>0</v>
      </c>
      <c r="O972" s="590">
        <f t="shared" ref="O972:P972" si="745">O973</f>
        <v>31556304.274000004</v>
      </c>
      <c r="P972" s="590">
        <f t="shared" si="745"/>
        <v>34711934.701400004</v>
      </c>
      <c r="R972" s="317"/>
      <c r="U972" s="320"/>
    </row>
    <row r="973" spans="1:21" s="597" customFormat="1" outlineLevel="3">
      <c r="A973" s="611" t="s">
        <v>144</v>
      </c>
      <c r="B973" s="611"/>
      <c r="C973" s="332">
        <v>2110101</v>
      </c>
      <c r="D973" s="332" t="s">
        <v>222</v>
      </c>
      <c r="E973" s="593">
        <v>28687549.34</v>
      </c>
      <c r="F973" s="334"/>
      <c r="G973" s="334"/>
      <c r="H973" s="334"/>
      <c r="I973" s="324">
        <f t="shared" si="742"/>
        <v>28687549.34</v>
      </c>
      <c r="J973" s="315"/>
      <c r="K973" s="595"/>
      <c r="L973" s="317">
        <f t="shared" si="739"/>
        <v>28687549.34</v>
      </c>
      <c r="M973" s="317"/>
      <c r="N973" s="372">
        <f t="shared" si="743"/>
        <v>0</v>
      </c>
      <c r="O973" s="319">
        <f>L973*1.1</f>
        <v>31556304.274000004</v>
      </c>
      <c r="P973" s="319">
        <f t="shared" si="738"/>
        <v>34711934.701400004</v>
      </c>
      <c r="R973" s="317"/>
      <c r="U973" s="320"/>
    </row>
    <row r="974" spans="1:21" s="337" customFormat="1" outlineLevel="3">
      <c r="A974" s="612"/>
      <c r="B974" s="612"/>
      <c r="C974" s="340">
        <v>2210300</v>
      </c>
      <c r="D974" s="340" t="s">
        <v>24</v>
      </c>
      <c r="E974" s="590">
        <f>E975+E976+E977</f>
        <v>1204160</v>
      </c>
      <c r="F974" s="590">
        <f t="shared" ref="F974:P974" si="746">F975+F976+F977</f>
        <v>0</v>
      </c>
      <c r="G974" s="590">
        <f t="shared" si="746"/>
        <v>0</v>
      </c>
      <c r="H974" s="590">
        <f t="shared" si="746"/>
        <v>0</v>
      </c>
      <c r="I974" s="590">
        <f t="shared" si="746"/>
        <v>1204160</v>
      </c>
      <c r="J974" s="590">
        <f t="shared" si="746"/>
        <v>0</v>
      </c>
      <c r="K974" s="590">
        <f t="shared" si="746"/>
        <v>1095840</v>
      </c>
      <c r="L974" s="317">
        <f t="shared" si="739"/>
        <v>2300000</v>
      </c>
      <c r="M974" s="317"/>
      <c r="N974" s="372">
        <f t="shared" si="743"/>
        <v>-1095840</v>
      </c>
      <c r="O974" s="590">
        <f t="shared" si="746"/>
        <v>2530000</v>
      </c>
      <c r="P974" s="590">
        <f t="shared" si="746"/>
        <v>2783000</v>
      </c>
      <c r="R974" s="317"/>
      <c r="U974" s="320"/>
    </row>
    <row r="975" spans="1:21" outlineLevel="3">
      <c r="A975" s="611"/>
      <c r="B975" s="611"/>
      <c r="C975" s="332">
        <v>2210302</v>
      </c>
      <c r="D975" s="332" t="s">
        <v>26</v>
      </c>
      <c r="E975" s="593">
        <f>450000-100000</f>
        <v>350000</v>
      </c>
      <c r="F975" s="334"/>
      <c r="G975" s="334"/>
      <c r="H975" s="334"/>
      <c r="I975" s="324">
        <f t="shared" si="742"/>
        <v>350000</v>
      </c>
      <c r="J975" s="315"/>
      <c r="K975" s="595">
        <v>800000</v>
      </c>
      <c r="L975" s="317">
        <f t="shared" si="739"/>
        <v>1150000</v>
      </c>
      <c r="M975" s="317"/>
      <c r="N975" s="372">
        <f t="shared" si="743"/>
        <v>-800000</v>
      </c>
      <c r="O975" s="319">
        <f>L975*1.1</f>
        <v>1265000</v>
      </c>
      <c r="P975" s="319">
        <f t="shared" ref="P975:P1008" si="747">O975*1.1</f>
        <v>1391500</v>
      </c>
      <c r="R975" s="317"/>
      <c r="U975" s="320"/>
    </row>
    <row r="976" spans="1:21" outlineLevel="3">
      <c r="A976" s="611"/>
      <c r="B976" s="611"/>
      <c r="C976" s="332">
        <v>2210303</v>
      </c>
      <c r="D976" s="332" t="s">
        <v>223</v>
      </c>
      <c r="E976" s="593">
        <f>750000-100000</f>
        <v>650000</v>
      </c>
      <c r="F976" s="334"/>
      <c r="G976" s="334"/>
      <c r="H976" s="334"/>
      <c r="I976" s="324">
        <f t="shared" si="742"/>
        <v>650000</v>
      </c>
      <c r="J976" s="315"/>
      <c r="K976" s="595">
        <v>500000</v>
      </c>
      <c r="L976" s="317">
        <f t="shared" si="739"/>
        <v>1150000</v>
      </c>
      <c r="M976" s="317"/>
      <c r="N976" s="372">
        <f t="shared" si="743"/>
        <v>-500000</v>
      </c>
      <c r="O976" s="319">
        <f t="shared" ref="O976:O977" si="748">L976*1.1</f>
        <v>1265000</v>
      </c>
      <c r="P976" s="319">
        <f t="shared" ref="P976:P977" si="749">O976*1.1</f>
        <v>1391500</v>
      </c>
      <c r="R976" s="317"/>
      <c r="U976" s="320"/>
    </row>
    <row r="977" spans="1:21" outlineLevel="3">
      <c r="A977" s="611"/>
      <c r="B977" s="611"/>
      <c r="C977" s="332">
        <v>2210304</v>
      </c>
      <c r="D977" s="332" t="s">
        <v>28</v>
      </c>
      <c r="E977" s="593">
        <v>204160.00000000003</v>
      </c>
      <c r="F977" s="334"/>
      <c r="G977" s="334"/>
      <c r="H977" s="334"/>
      <c r="I977" s="324">
        <f t="shared" si="742"/>
        <v>204160.00000000003</v>
      </c>
      <c r="J977" s="315"/>
      <c r="K977" s="595">
        <v>-204160</v>
      </c>
      <c r="L977" s="317">
        <f t="shared" si="739"/>
        <v>0</v>
      </c>
      <c r="M977" s="317"/>
      <c r="N977" s="372">
        <f t="shared" si="743"/>
        <v>204160</v>
      </c>
      <c r="O977" s="319">
        <f t="shared" si="748"/>
        <v>0</v>
      </c>
      <c r="P977" s="319">
        <f t="shared" si="749"/>
        <v>0</v>
      </c>
      <c r="R977" s="317"/>
      <c r="U977" s="320"/>
    </row>
    <row r="978" spans="1:21" outlineLevel="3">
      <c r="A978" s="611"/>
      <c r="B978" s="611"/>
      <c r="C978" s="340">
        <v>2210500</v>
      </c>
      <c r="D978" s="340" t="s">
        <v>31</v>
      </c>
      <c r="E978" s="590">
        <f>E979+E980+E981+E982</f>
        <v>1288000</v>
      </c>
      <c r="F978" s="590">
        <f t="shared" ref="F978:P978" si="750">F979+F980+F981+F982</f>
        <v>0</v>
      </c>
      <c r="G978" s="590">
        <f t="shared" si="750"/>
        <v>0</v>
      </c>
      <c r="H978" s="590">
        <f t="shared" si="750"/>
        <v>-400000</v>
      </c>
      <c r="I978" s="590">
        <f t="shared" si="750"/>
        <v>888000</v>
      </c>
      <c r="J978" s="590">
        <f t="shared" si="750"/>
        <v>0</v>
      </c>
      <c r="K978" s="590">
        <f t="shared" si="750"/>
        <v>-250000</v>
      </c>
      <c r="L978" s="317">
        <f t="shared" si="739"/>
        <v>638000</v>
      </c>
      <c r="M978" s="317"/>
      <c r="N978" s="372">
        <f t="shared" si="743"/>
        <v>250000</v>
      </c>
      <c r="O978" s="590">
        <f t="shared" si="750"/>
        <v>701800</v>
      </c>
      <c r="P978" s="590">
        <f t="shared" si="750"/>
        <v>771980.00000000012</v>
      </c>
      <c r="R978" s="317"/>
      <c r="U978" s="320"/>
    </row>
    <row r="979" spans="1:21" outlineLevel="3">
      <c r="A979" s="611"/>
      <c r="B979" s="611"/>
      <c r="C979" s="405">
        <v>2210502</v>
      </c>
      <c r="D979" s="332" t="s">
        <v>105</v>
      </c>
      <c r="E979" s="593">
        <v>150000</v>
      </c>
      <c r="F979" s="334"/>
      <c r="G979" s="334"/>
      <c r="H979" s="334"/>
      <c r="I979" s="324">
        <f t="shared" si="742"/>
        <v>150000</v>
      </c>
      <c r="J979" s="315"/>
      <c r="K979" s="595"/>
      <c r="L979" s="317">
        <f t="shared" si="739"/>
        <v>150000</v>
      </c>
      <c r="M979" s="317"/>
      <c r="N979" s="372">
        <f t="shared" si="743"/>
        <v>0</v>
      </c>
      <c r="O979" s="319">
        <f t="shared" ref="O979:O982" si="751">L979*1.1</f>
        <v>165000</v>
      </c>
      <c r="P979" s="319">
        <f t="shared" ref="P979:P982" si="752">O979*1.1</f>
        <v>181500.00000000003</v>
      </c>
      <c r="R979" s="317"/>
      <c r="U979" s="320"/>
    </row>
    <row r="980" spans="1:21" outlineLevel="3">
      <c r="A980" s="611"/>
      <c r="B980" s="611"/>
      <c r="C980" s="405">
        <v>2210504</v>
      </c>
      <c r="D980" s="332" t="s">
        <v>224</v>
      </c>
      <c r="E980" s="593">
        <v>574200</v>
      </c>
      <c r="F980" s="334"/>
      <c r="G980" s="334"/>
      <c r="H980" s="593">
        <v>-200000</v>
      </c>
      <c r="I980" s="324">
        <f t="shared" si="742"/>
        <v>374200</v>
      </c>
      <c r="J980" s="315"/>
      <c r="K980" s="595"/>
      <c r="L980" s="317">
        <f t="shared" si="739"/>
        <v>374200</v>
      </c>
      <c r="M980" s="317"/>
      <c r="N980" s="372">
        <f t="shared" si="743"/>
        <v>0</v>
      </c>
      <c r="O980" s="319">
        <f t="shared" si="751"/>
        <v>411620.00000000006</v>
      </c>
      <c r="P980" s="319">
        <f t="shared" si="752"/>
        <v>452782.00000000012</v>
      </c>
      <c r="R980" s="317"/>
      <c r="U980" s="320"/>
    </row>
    <row r="981" spans="1:21" outlineLevel="3">
      <c r="A981" s="611"/>
      <c r="B981" s="611"/>
      <c r="C981" s="332">
        <v>2210505</v>
      </c>
      <c r="D981" s="332" t="s">
        <v>225</v>
      </c>
      <c r="E981" s="593">
        <f>1200000-700000</f>
        <v>500000</v>
      </c>
      <c r="F981" s="334"/>
      <c r="G981" s="334"/>
      <c r="H981" s="593">
        <v>-200000</v>
      </c>
      <c r="I981" s="324">
        <f t="shared" si="742"/>
        <v>300000</v>
      </c>
      <c r="J981" s="315"/>
      <c r="K981" s="595">
        <v>-250000</v>
      </c>
      <c r="L981" s="317">
        <f t="shared" si="739"/>
        <v>50000</v>
      </c>
      <c r="M981" s="317"/>
      <c r="N981" s="372">
        <f t="shared" si="743"/>
        <v>250000</v>
      </c>
      <c r="O981" s="319">
        <f t="shared" si="751"/>
        <v>55000.000000000007</v>
      </c>
      <c r="P981" s="319">
        <f t="shared" si="752"/>
        <v>60500.000000000015</v>
      </c>
      <c r="R981" s="317"/>
      <c r="U981" s="320"/>
    </row>
    <row r="982" spans="1:21" outlineLevel="3">
      <c r="A982" s="611"/>
      <c r="B982" s="611"/>
      <c r="C982" s="405">
        <v>2210599</v>
      </c>
      <c r="D982" s="332" t="s">
        <v>226</v>
      </c>
      <c r="E982" s="593">
        <v>63800.000000000007</v>
      </c>
      <c r="F982" s="334"/>
      <c r="G982" s="334"/>
      <c r="H982" s="593"/>
      <c r="I982" s="324">
        <f t="shared" si="742"/>
        <v>63800.000000000007</v>
      </c>
      <c r="J982" s="315"/>
      <c r="K982" s="595"/>
      <c r="L982" s="317">
        <f t="shared" si="739"/>
        <v>63800.000000000007</v>
      </c>
      <c r="M982" s="317"/>
      <c r="N982" s="372">
        <f t="shared" si="743"/>
        <v>0</v>
      </c>
      <c r="O982" s="319">
        <f t="shared" si="751"/>
        <v>70180.000000000015</v>
      </c>
      <c r="P982" s="319">
        <f t="shared" si="752"/>
        <v>77198.000000000029</v>
      </c>
      <c r="R982" s="317"/>
      <c r="U982" s="320"/>
    </row>
    <row r="983" spans="1:21" outlineLevel="3">
      <c r="A983" s="611"/>
      <c r="B983" s="611"/>
      <c r="C983" s="340">
        <v>2210800</v>
      </c>
      <c r="D983" s="340" t="s">
        <v>227</v>
      </c>
      <c r="E983" s="590">
        <f>E984+E985+E986+E987</f>
        <v>1135840</v>
      </c>
      <c r="F983" s="590">
        <f t="shared" ref="F983:K983" si="753">F984+F985+F986+F987</f>
        <v>0</v>
      </c>
      <c r="G983" s="590">
        <f t="shared" si="753"/>
        <v>0</v>
      </c>
      <c r="H983" s="590">
        <f t="shared" si="753"/>
        <v>-200000</v>
      </c>
      <c r="I983" s="590">
        <f t="shared" si="753"/>
        <v>935840</v>
      </c>
      <c r="J983" s="590">
        <f t="shared" si="753"/>
        <v>0</v>
      </c>
      <c r="K983" s="590">
        <f t="shared" si="753"/>
        <v>310000</v>
      </c>
      <c r="L983" s="317">
        <f t="shared" si="739"/>
        <v>1245840</v>
      </c>
      <c r="M983" s="317"/>
      <c r="N983" s="372">
        <f t="shared" si="743"/>
        <v>-310000</v>
      </c>
      <c r="O983" s="590">
        <f t="shared" ref="O983:P983" si="754">O984+O985+O986+O987</f>
        <v>1370424</v>
      </c>
      <c r="P983" s="590">
        <f t="shared" si="754"/>
        <v>1507466.4000000004</v>
      </c>
      <c r="R983" s="317"/>
      <c r="U983" s="320"/>
    </row>
    <row r="984" spans="1:21" outlineLevel="3">
      <c r="A984" s="611"/>
      <c r="B984" s="611"/>
      <c r="C984" s="405">
        <v>2210801</v>
      </c>
      <c r="D984" s="332" t="s">
        <v>2421</v>
      </c>
      <c r="E984" s="593">
        <f>430000-95000</f>
        <v>335000</v>
      </c>
      <c r="F984" s="334"/>
      <c r="G984" s="334"/>
      <c r="H984" s="593"/>
      <c r="I984" s="324">
        <f t="shared" si="742"/>
        <v>335000</v>
      </c>
      <c r="J984" s="315"/>
      <c r="K984" s="595">
        <v>350000</v>
      </c>
      <c r="L984" s="317">
        <f t="shared" si="739"/>
        <v>685000</v>
      </c>
      <c r="M984" s="317"/>
      <c r="N984" s="372">
        <f t="shared" si="743"/>
        <v>-350000</v>
      </c>
      <c r="O984" s="319">
        <f t="shared" ref="O984:O987" si="755">L984*1.1</f>
        <v>753500.00000000012</v>
      </c>
      <c r="P984" s="319">
        <f t="shared" ref="P984:P987" si="756">O984*1.1</f>
        <v>828850.00000000023</v>
      </c>
      <c r="R984" s="317"/>
      <c r="U984" s="320"/>
    </row>
    <row r="985" spans="1:21" outlineLevel="3">
      <c r="A985" s="611"/>
      <c r="B985" s="611"/>
      <c r="C985" s="405">
        <v>2210802</v>
      </c>
      <c r="D985" s="332" t="s">
        <v>97</v>
      </c>
      <c r="E985" s="593">
        <f>500000-200000</f>
        <v>300000</v>
      </c>
      <c r="F985" s="334"/>
      <c r="G985" s="334"/>
      <c r="H985" s="593">
        <v>-100000</v>
      </c>
      <c r="I985" s="324">
        <f t="shared" si="742"/>
        <v>200000</v>
      </c>
      <c r="J985" s="315"/>
      <c r="K985" s="595"/>
      <c r="L985" s="317">
        <f t="shared" si="739"/>
        <v>200000</v>
      </c>
      <c r="M985" s="317"/>
      <c r="N985" s="372">
        <f t="shared" si="743"/>
        <v>0</v>
      </c>
      <c r="O985" s="319">
        <f t="shared" si="755"/>
        <v>220000.00000000003</v>
      </c>
      <c r="P985" s="319">
        <f t="shared" si="756"/>
        <v>242000.00000000006</v>
      </c>
      <c r="R985" s="317"/>
      <c r="U985" s="320"/>
    </row>
    <row r="986" spans="1:21" outlineLevel="3">
      <c r="A986" s="611"/>
      <c r="B986" s="611"/>
      <c r="C986" s="405">
        <v>2210805</v>
      </c>
      <c r="D986" s="332" t="s">
        <v>229</v>
      </c>
      <c r="E986" s="593">
        <f>350000-70000</f>
        <v>280000</v>
      </c>
      <c r="F986" s="334"/>
      <c r="G986" s="334"/>
      <c r="H986" s="593">
        <v>-100000</v>
      </c>
      <c r="I986" s="324">
        <f t="shared" si="742"/>
        <v>180000</v>
      </c>
      <c r="J986" s="315"/>
      <c r="K986" s="595">
        <v>-40000</v>
      </c>
      <c r="L986" s="317">
        <f t="shared" si="739"/>
        <v>140000</v>
      </c>
      <c r="M986" s="317"/>
      <c r="N986" s="372">
        <f t="shared" si="743"/>
        <v>40000</v>
      </c>
      <c r="O986" s="319">
        <f t="shared" si="755"/>
        <v>154000</v>
      </c>
      <c r="P986" s="319">
        <f t="shared" si="756"/>
        <v>169400</v>
      </c>
      <c r="R986" s="317"/>
      <c r="U986" s="320"/>
    </row>
    <row r="987" spans="1:21" outlineLevel="3">
      <c r="A987" s="611"/>
      <c r="B987" s="611"/>
      <c r="C987" s="405">
        <v>2210899</v>
      </c>
      <c r="D987" s="332" t="s">
        <v>230</v>
      </c>
      <c r="E987" s="593">
        <f>270840-50000</f>
        <v>220840</v>
      </c>
      <c r="F987" s="334"/>
      <c r="G987" s="334"/>
      <c r="H987" s="593"/>
      <c r="I987" s="324">
        <f t="shared" si="742"/>
        <v>220840</v>
      </c>
      <c r="J987" s="315"/>
      <c r="K987" s="595"/>
      <c r="L987" s="317">
        <f t="shared" si="739"/>
        <v>220840</v>
      </c>
      <c r="M987" s="317"/>
      <c r="N987" s="372">
        <f t="shared" si="743"/>
        <v>0</v>
      </c>
      <c r="O987" s="319">
        <f t="shared" si="755"/>
        <v>242924.00000000003</v>
      </c>
      <c r="P987" s="319">
        <f t="shared" si="756"/>
        <v>267216.40000000008</v>
      </c>
      <c r="R987" s="317"/>
      <c r="U987" s="320"/>
    </row>
    <row r="988" spans="1:21" outlineLevel="3">
      <c r="A988" s="611"/>
      <c r="B988" s="611"/>
      <c r="C988" s="340">
        <v>2210200</v>
      </c>
      <c r="D988" s="340" t="s">
        <v>20</v>
      </c>
      <c r="E988" s="590">
        <f>E989+E990</f>
        <v>243000</v>
      </c>
      <c r="F988" s="590">
        <f t="shared" ref="F988:P988" si="757">F989+F990</f>
        <v>0</v>
      </c>
      <c r="G988" s="590">
        <f t="shared" si="757"/>
        <v>0</v>
      </c>
      <c r="H988" s="590">
        <f t="shared" si="757"/>
        <v>0</v>
      </c>
      <c r="I988" s="590">
        <f t="shared" si="757"/>
        <v>243000</v>
      </c>
      <c r="J988" s="590">
        <f t="shared" si="757"/>
        <v>0</v>
      </c>
      <c r="K988" s="590">
        <f t="shared" si="757"/>
        <v>0</v>
      </c>
      <c r="L988" s="317">
        <f t="shared" si="739"/>
        <v>243000</v>
      </c>
      <c r="M988" s="317"/>
      <c r="N988" s="372">
        <f t="shared" si="743"/>
        <v>0</v>
      </c>
      <c r="O988" s="590">
        <f t="shared" si="757"/>
        <v>267300</v>
      </c>
      <c r="P988" s="590">
        <f t="shared" si="757"/>
        <v>294030</v>
      </c>
      <c r="R988" s="317"/>
      <c r="U988" s="320"/>
    </row>
    <row r="989" spans="1:21" outlineLevel="3">
      <c r="A989" s="611"/>
      <c r="B989" s="611"/>
      <c r="C989" s="332">
        <v>2210201</v>
      </c>
      <c r="D989" s="332" t="s">
        <v>187</v>
      </c>
      <c r="E989" s="593">
        <v>100000</v>
      </c>
      <c r="F989" s="334"/>
      <c r="G989" s="334"/>
      <c r="H989" s="593"/>
      <c r="I989" s="324">
        <f t="shared" si="742"/>
        <v>100000</v>
      </c>
      <c r="J989" s="315"/>
      <c r="K989" s="595"/>
      <c r="L989" s="317">
        <f t="shared" si="739"/>
        <v>100000</v>
      </c>
      <c r="M989" s="317"/>
      <c r="N989" s="372">
        <f t="shared" si="743"/>
        <v>0</v>
      </c>
      <c r="O989" s="319">
        <f t="shared" ref="O989:O990" si="758">L989*1.1</f>
        <v>110000.00000000001</v>
      </c>
      <c r="P989" s="319">
        <f t="shared" ref="P989:P990" si="759">O989*1.1</f>
        <v>121000.00000000003</v>
      </c>
      <c r="R989" s="317"/>
      <c r="U989" s="320"/>
    </row>
    <row r="990" spans="1:21" outlineLevel="3">
      <c r="A990" s="611"/>
      <c r="B990" s="611"/>
      <c r="C990" s="331">
        <v>2210202</v>
      </c>
      <c r="D990" s="341" t="s">
        <v>22</v>
      </c>
      <c r="E990" s="593">
        <v>143000</v>
      </c>
      <c r="F990" s="334"/>
      <c r="G990" s="334"/>
      <c r="H990" s="593"/>
      <c r="I990" s="324">
        <f t="shared" si="742"/>
        <v>143000</v>
      </c>
      <c r="J990" s="315"/>
      <c r="K990" s="595"/>
      <c r="L990" s="317">
        <f t="shared" si="739"/>
        <v>143000</v>
      </c>
      <c r="M990" s="317"/>
      <c r="N990" s="372">
        <f t="shared" si="743"/>
        <v>0</v>
      </c>
      <c r="O990" s="319">
        <f t="shared" si="758"/>
        <v>157300</v>
      </c>
      <c r="P990" s="319">
        <f t="shared" si="759"/>
        <v>173030</v>
      </c>
      <c r="R990" s="317"/>
      <c r="U990" s="320"/>
    </row>
    <row r="991" spans="1:21" s="597" customFormat="1" outlineLevel="3">
      <c r="A991" s="611"/>
      <c r="B991" s="611"/>
      <c r="C991" s="339">
        <v>2211200</v>
      </c>
      <c r="D991" s="343" t="s">
        <v>55</v>
      </c>
      <c r="E991" s="590">
        <f>E992+E993</f>
        <v>1016666.6699999999</v>
      </c>
      <c r="F991" s="590">
        <f t="shared" ref="F991:K991" si="760">F992+F993</f>
        <v>0</v>
      </c>
      <c r="G991" s="590">
        <f t="shared" si="760"/>
        <v>0</v>
      </c>
      <c r="H991" s="590">
        <f t="shared" si="760"/>
        <v>0</v>
      </c>
      <c r="I991" s="590">
        <f t="shared" si="760"/>
        <v>1016666.6699999999</v>
      </c>
      <c r="J991" s="590">
        <f t="shared" si="760"/>
        <v>0</v>
      </c>
      <c r="K991" s="590">
        <f t="shared" si="760"/>
        <v>0</v>
      </c>
      <c r="L991" s="317">
        <f t="shared" si="739"/>
        <v>1016666.6699999999</v>
      </c>
      <c r="M991" s="317"/>
      <c r="N991" s="372">
        <f t="shared" si="743"/>
        <v>0</v>
      </c>
      <c r="O991" s="590">
        <f t="shared" ref="O991:P991" si="761">O992+O993</f>
        <v>1118333.3370000001</v>
      </c>
      <c r="P991" s="590">
        <f t="shared" si="761"/>
        <v>1230166.6707000001</v>
      </c>
      <c r="R991" s="317"/>
      <c r="U991" s="320"/>
    </row>
    <row r="992" spans="1:21" s="337" customFormat="1" outlineLevel="3">
      <c r="A992" s="612"/>
      <c r="B992" s="612"/>
      <c r="C992" s="331">
        <v>2211201</v>
      </c>
      <c r="D992" s="341" t="s">
        <v>56</v>
      </c>
      <c r="E992" s="593">
        <v>350000</v>
      </c>
      <c r="F992" s="334"/>
      <c r="G992" s="334"/>
      <c r="H992" s="593"/>
      <c r="I992" s="324">
        <f t="shared" si="742"/>
        <v>350000</v>
      </c>
      <c r="J992" s="315"/>
      <c r="K992" s="595"/>
      <c r="L992" s="317">
        <f t="shared" si="739"/>
        <v>350000</v>
      </c>
      <c r="M992" s="317"/>
      <c r="N992" s="372">
        <f t="shared" si="743"/>
        <v>0</v>
      </c>
      <c r="O992" s="319">
        <f>L992*1.1</f>
        <v>385000.00000000006</v>
      </c>
      <c r="P992" s="319">
        <f t="shared" si="747"/>
        <v>423500.00000000012</v>
      </c>
      <c r="R992" s="317"/>
      <c r="U992" s="320"/>
    </row>
    <row r="993" spans="1:108" s="597" customFormat="1" outlineLevel="3">
      <c r="A993" s="611"/>
      <c r="B993" s="611"/>
      <c r="C993" s="331" t="s">
        <v>247</v>
      </c>
      <c r="D993" s="341" t="s">
        <v>248</v>
      </c>
      <c r="E993" s="593">
        <v>666666.66999999993</v>
      </c>
      <c r="F993" s="334"/>
      <c r="G993" s="334"/>
      <c r="H993" s="593"/>
      <c r="I993" s="324">
        <f t="shared" si="742"/>
        <v>666666.66999999993</v>
      </c>
      <c r="J993" s="315"/>
      <c r="K993" s="595"/>
      <c r="L993" s="317">
        <f t="shared" si="739"/>
        <v>666666.66999999993</v>
      </c>
      <c r="M993" s="317"/>
      <c r="N993" s="372">
        <f t="shared" si="743"/>
        <v>0</v>
      </c>
      <c r="O993" s="319">
        <f>L993*1.1</f>
        <v>733333.33699999994</v>
      </c>
      <c r="P993" s="319">
        <f t="shared" si="747"/>
        <v>806666.67070000002</v>
      </c>
      <c r="R993" s="317"/>
      <c r="U993" s="320"/>
    </row>
    <row r="994" spans="1:108" outlineLevel="3">
      <c r="A994" s="611"/>
      <c r="B994" s="611"/>
      <c r="C994" s="340">
        <v>2220100</v>
      </c>
      <c r="D994" s="589" t="s">
        <v>199</v>
      </c>
      <c r="E994" s="590">
        <f>E995</f>
        <v>750000</v>
      </c>
      <c r="F994" s="590">
        <f t="shared" ref="F994:K994" si="762">F995</f>
        <v>0</v>
      </c>
      <c r="G994" s="590">
        <f t="shared" si="762"/>
        <v>0</v>
      </c>
      <c r="H994" s="590">
        <f t="shared" si="762"/>
        <v>-270000</v>
      </c>
      <c r="I994" s="590">
        <f t="shared" si="762"/>
        <v>480000</v>
      </c>
      <c r="J994" s="590">
        <f t="shared" si="762"/>
        <v>0</v>
      </c>
      <c r="K994" s="590">
        <f t="shared" si="762"/>
        <v>-480000</v>
      </c>
      <c r="L994" s="317">
        <f t="shared" si="739"/>
        <v>0</v>
      </c>
      <c r="M994" s="317"/>
      <c r="N994" s="372">
        <f t="shared" si="743"/>
        <v>480000</v>
      </c>
      <c r="O994" s="590">
        <f t="shared" ref="O994:P994" si="763">O995</f>
        <v>0</v>
      </c>
      <c r="P994" s="590">
        <f t="shared" si="763"/>
        <v>0</v>
      </c>
      <c r="R994" s="317"/>
      <c r="U994" s="320"/>
    </row>
    <row r="995" spans="1:108" s="337" customFormat="1" outlineLevel="3">
      <c r="A995" s="612"/>
      <c r="B995" s="612"/>
      <c r="C995" s="398">
        <v>2220101</v>
      </c>
      <c r="D995" s="398" t="s">
        <v>200</v>
      </c>
      <c r="E995" s="593">
        <f>550000+200000</f>
        <v>750000</v>
      </c>
      <c r="F995" s="399"/>
      <c r="G995" s="399"/>
      <c r="H995" s="593">
        <v>-270000</v>
      </c>
      <c r="I995" s="324">
        <f t="shared" si="742"/>
        <v>480000</v>
      </c>
      <c r="J995" s="315"/>
      <c r="K995" s="595">
        <v>-480000</v>
      </c>
      <c r="L995" s="317">
        <f t="shared" si="739"/>
        <v>0</v>
      </c>
      <c r="M995" s="317"/>
      <c r="N995" s="372">
        <f t="shared" si="743"/>
        <v>480000</v>
      </c>
      <c r="O995" s="319">
        <f>L995*1.1</f>
        <v>0</v>
      </c>
      <c r="P995" s="319">
        <f t="shared" si="747"/>
        <v>0</v>
      </c>
      <c r="R995" s="317"/>
      <c r="U995" s="320"/>
    </row>
    <row r="996" spans="1:108" s="623" customFormat="1" outlineLevel="3">
      <c r="A996" s="611"/>
      <c r="B996" s="611"/>
      <c r="C996" s="339">
        <v>2220200</v>
      </c>
      <c r="D996" s="343" t="s">
        <v>86</v>
      </c>
      <c r="E996" s="590">
        <f>E997+E998</f>
        <v>92510</v>
      </c>
      <c r="F996" s="590">
        <f t="shared" ref="F996:K996" si="764">F997+F998</f>
        <v>0</v>
      </c>
      <c r="G996" s="590">
        <f t="shared" si="764"/>
        <v>0</v>
      </c>
      <c r="H996" s="590">
        <f t="shared" si="764"/>
        <v>0</v>
      </c>
      <c r="I996" s="590">
        <f t="shared" si="764"/>
        <v>92510</v>
      </c>
      <c r="J996" s="590">
        <f t="shared" si="764"/>
        <v>0</v>
      </c>
      <c r="K996" s="590">
        <f t="shared" si="764"/>
        <v>-92510</v>
      </c>
      <c r="L996" s="317">
        <f t="shared" si="739"/>
        <v>0</v>
      </c>
      <c r="M996" s="317"/>
      <c r="N996" s="372">
        <f t="shared" si="743"/>
        <v>92510</v>
      </c>
      <c r="O996" s="590">
        <f t="shared" ref="O996:P996" si="765">O997+O998</f>
        <v>0</v>
      </c>
      <c r="P996" s="590">
        <f t="shared" si="765"/>
        <v>0</v>
      </c>
      <c r="R996" s="317"/>
      <c r="U996" s="320"/>
    </row>
    <row r="997" spans="1:108" s="337" customFormat="1" outlineLevel="3">
      <c r="A997" s="611"/>
      <c r="B997" s="611"/>
      <c r="C997" s="331">
        <v>2220202</v>
      </c>
      <c r="D997" s="341" t="s">
        <v>87</v>
      </c>
      <c r="E997" s="593">
        <v>51040.000000000007</v>
      </c>
      <c r="F997" s="334"/>
      <c r="G997" s="334"/>
      <c r="H997" s="334"/>
      <c r="I997" s="324">
        <f t="shared" si="742"/>
        <v>51040.000000000007</v>
      </c>
      <c r="J997" s="315"/>
      <c r="K997" s="595">
        <v>-51040</v>
      </c>
      <c r="L997" s="317">
        <f t="shared" si="739"/>
        <v>0</v>
      </c>
      <c r="M997" s="317"/>
      <c r="N997" s="372">
        <f t="shared" si="743"/>
        <v>51040</v>
      </c>
      <c r="O997" s="319">
        <f>L997*1.1</f>
        <v>0</v>
      </c>
      <c r="P997" s="319">
        <f t="shared" si="747"/>
        <v>0</v>
      </c>
      <c r="R997" s="317"/>
      <c r="U997" s="320"/>
    </row>
    <row r="998" spans="1:108" s="337" customFormat="1" outlineLevel="3">
      <c r="A998" s="612"/>
      <c r="B998" s="612"/>
      <c r="C998" s="331">
        <v>2220205</v>
      </c>
      <c r="D998" s="341" t="s">
        <v>125</v>
      </c>
      <c r="E998" s="593">
        <v>41470</v>
      </c>
      <c r="F998" s="334"/>
      <c r="G998" s="334"/>
      <c r="H998" s="334"/>
      <c r="I998" s="324">
        <f t="shared" si="742"/>
        <v>41470</v>
      </c>
      <c r="J998" s="315"/>
      <c r="K998" s="595">
        <v>-41470</v>
      </c>
      <c r="L998" s="317">
        <f t="shared" si="739"/>
        <v>0</v>
      </c>
      <c r="M998" s="317"/>
      <c r="N998" s="372">
        <f t="shared" si="743"/>
        <v>41470</v>
      </c>
      <c r="O998" s="319">
        <f>L998*1.1</f>
        <v>0</v>
      </c>
      <c r="P998" s="319">
        <f t="shared" si="747"/>
        <v>0</v>
      </c>
      <c r="R998" s="317"/>
      <c r="U998" s="320"/>
    </row>
    <row r="999" spans="1:108" outlineLevel="3">
      <c r="A999" s="611"/>
      <c r="B999" s="611"/>
      <c r="C999" s="396"/>
      <c r="D999" s="396"/>
      <c r="E999" s="590">
        <f>E1000</f>
        <v>0</v>
      </c>
      <c r="F999" s="601"/>
      <c r="G999" s="601"/>
      <c r="H999" s="601"/>
      <c r="I999" s="324">
        <f t="shared" si="742"/>
        <v>0</v>
      </c>
      <c r="J999" s="315"/>
      <c r="K999" s="595"/>
      <c r="L999" s="317">
        <f t="shared" si="739"/>
        <v>0</v>
      </c>
      <c r="M999" s="317"/>
      <c r="N999" s="372">
        <f t="shared" si="743"/>
        <v>0</v>
      </c>
      <c r="O999" s="624">
        <f t="shared" ref="O999:P999" si="766">O1000</f>
        <v>0</v>
      </c>
      <c r="P999" s="624">
        <f t="shared" si="766"/>
        <v>0</v>
      </c>
      <c r="R999" s="317"/>
      <c r="U999" s="320"/>
    </row>
    <row r="1000" spans="1:108" s="337" customFormat="1" outlineLevel="3">
      <c r="A1000" s="611"/>
      <c r="B1000" s="611"/>
      <c r="C1000" s="398"/>
      <c r="D1000" s="398"/>
      <c r="E1000" s="593">
        <v>0</v>
      </c>
      <c r="F1000" s="399"/>
      <c r="G1000" s="399"/>
      <c r="H1000" s="399"/>
      <c r="I1000" s="324">
        <f t="shared" si="742"/>
        <v>0</v>
      </c>
      <c r="J1000" s="315"/>
      <c r="K1000" s="595"/>
      <c r="L1000" s="317">
        <f t="shared" si="739"/>
        <v>0</v>
      </c>
      <c r="M1000" s="317"/>
      <c r="N1000" s="372">
        <f t="shared" si="743"/>
        <v>0</v>
      </c>
      <c r="O1000" s="319">
        <f>L1000*1.1</f>
        <v>0</v>
      </c>
      <c r="P1000" s="319">
        <f t="shared" si="747"/>
        <v>0</v>
      </c>
      <c r="R1000" s="317"/>
      <c r="U1000" s="320"/>
    </row>
    <row r="1001" spans="1:108" s="337" customFormat="1" outlineLevel="3">
      <c r="A1001" s="611"/>
      <c r="B1001" s="611"/>
      <c r="C1001" s="340">
        <v>3111000</v>
      </c>
      <c r="D1001" s="340" t="s">
        <v>216</v>
      </c>
      <c r="E1001" s="590">
        <f>E1002+E1004+E1006+E1003+E1005</f>
        <v>471490</v>
      </c>
      <c r="F1001" s="590">
        <f t="shared" ref="F1001:P1001" si="767">F1002+F1004+F1006+F1003+F1005</f>
        <v>0</v>
      </c>
      <c r="G1001" s="590">
        <f t="shared" si="767"/>
        <v>0</v>
      </c>
      <c r="H1001" s="590">
        <f t="shared" si="767"/>
        <v>1511700</v>
      </c>
      <c r="I1001" s="590">
        <f t="shared" si="767"/>
        <v>1983190</v>
      </c>
      <c r="J1001" s="590">
        <f t="shared" si="767"/>
        <v>0</v>
      </c>
      <c r="K1001" s="590">
        <f t="shared" si="767"/>
        <v>500000</v>
      </c>
      <c r="L1001" s="317">
        <f t="shared" si="739"/>
        <v>2483190</v>
      </c>
      <c r="M1001" s="317"/>
      <c r="N1001" s="372">
        <f t="shared" si="743"/>
        <v>-500000</v>
      </c>
      <c r="O1001" s="590">
        <f t="shared" si="767"/>
        <v>518639</v>
      </c>
      <c r="P1001" s="590">
        <f t="shared" si="767"/>
        <v>570502.90000000014</v>
      </c>
      <c r="R1001" s="317"/>
      <c r="U1001" s="320"/>
    </row>
    <row r="1002" spans="1:108" outlineLevel="3">
      <c r="A1002" s="611"/>
      <c r="B1002" s="611"/>
      <c r="C1002" s="332">
        <v>3111001</v>
      </c>
      <c r="D1002" s="332" t="s">
        <v>234</v>
      </c>
      <c r="E1002" s="593">
        <v>158200</v>
      </c>
      <c r="F1002" s="334"/>
      <c r="G1002" s="334"/>
      <c r="H1002" s="334"/>
      <c r="I1002" s="324">
        <f t="shared" si="742"/>
        <v>158200</v>
      </c>
      <c r="J1002" s="315"/>
      <c r="K1002" s="595"/>
      <c r="L1002" s="317">
        <f t="shared" si="739"/>
        <v>158200</v>
      </c>
      <c r="M1002" s="317"/>
      <c r="N1002" s="372">
        <f t="shared" si="743"/>
        <v>0</v>
      </c>
      <c r="O1002" s="319">
        <f>L1002*1.1</f>
        <v>174020</v>
      </c>
      <c r="P1002" s="319">
        <f t="shared" si="747"/>
        <v>191422.00000000003</v>
      </c>
      <c r="R1002" s="317"/>
      <c r="U1002" s="320"/>
    </row>
    <row r="1003" spans="1:108" outlineLevel="3">
      <c r="A1003" s="611"/>
      <c r="B1003" s="611"/>
      <c r="C1003" s="332">
        <v>3111001</v>
      </c>
      <c r="D1003" s="332" t="s">
        <v>2067</v>
      </c>
      <c r="E1003" s="593">
        <v>0</v>
      </c>
      <c r="F1003" s="593"/>
      <c r="G1003" s="593"/>
      <c r="H1003" s="593">
        <v>270000</v>
      </c>
      <c r="I1003" s="324">
        <f t="shared" si="742"/>
        <v>270000</v>
      </c>
      <c r="J1003" s="523"/>
      <c r="K1003" s="595"/>
      <c r="L1003" s="317">
        <f t="shared" si="739"/>
        <v>270000</v>
      </c>
      <c r="M1003" s="317"/>
      <c r="N1003" s="372">
        <f t="shared" si="743"/>
        <v>0</v>
      </c>
      <c r="O1003" s="319"/>
      <c r="P1003" s="319"/>
      <c r="R1003" s="317"/>
      <c r="U1003" s="320"/>
      <c r="DD1003" s="614"/>
    </row>
    <row r="1004" spans="1:108" s="337" customFormat="1" outlineLevel="3">
      <c r="A1004" s="612"/>
      <c r="B1004" s="612"/>
      <c r="C1004" s="331">
        <v>3111002</v>
      </c>
      <c r="D1004" s="341" t="s">
        <v>71</v>
      </c>
      <c r="E1004" s="593">
        <v>173370</v>
      </c>
      <c r="F1004" s="593"/>
      <c r="G1004" s="593"/>
      <c r="H1004" s="593"/>
      <c r="I1004" s="324">
        <f t="shared" si="742"/>
        <v>173370</v>
      </c>
      <c r="J1004" s="523"/>
      <c r="K1004" s="595"/>
      <c r="L1004" s="317">
        <f t="shared" si="739"/>
        <v>173370</v>
      </c>
      <c r="M1004" s="317"/>
      <c r="N1004" s="372">
        <f t="shared" si="743"/>
        <v>0</v>
      </c>
      <c r="O1004" s="319">
        <f>E1004*1.1</f>
        <v>190707.00000000003</v>
      </c>
      <c r="P1004" s="319">
        <f t="shared" ref="P1004" si="768">O1004*1.1</f>
        <v>209777.70000000004</v>
      </c>
      <c r="R1004" s="317"/>
      <c r="U1004" s="320"/>
      <c r="DD1004" s="614"/>
    </row>
    <row r="1005" spans="1:108" s="337" customFormat="1" outlineLevel="3">
      <c r="A1005" s="612"/>
      <c r="B1005" s="612"/>
      <c r="C1005" s="331">
        <v>3111002</v>
      </c>
      <c r="D1005" s="341" t="s">
        <v>2068</v>
      </c>
      <c r="E1005" s="593">
        <v>0</v>
      </c>
      <c r="F1005" s="593"/>
      <c r="G1005" s="593"/>
      <c r="H1005" s="593">
        <v>1241700</v>
      </c>
      <c r="I1005" s="324">
        <f t="shared" si="742"/>
        <v>1241700</v>
      </c>
      <c r="J1005" s="523"/>
      <c r="K1005" s="595">
        <v>500000</v>
      </c>
      <c r="L1005" s="317">
        <f t="shared" si="739"/>
        <v>1741700</v>
      </c>
      <c r="M1005" s="317"/>
      <c r="N1005" s="372">
        <f t="shared" si="743"/>
        <v>-500000</v>
      </c>
      <c r="O1005" s="319"/>
      <c r="P1005" s="319"/>
      <c r="R1005" s="317"/>
      <c r="U1005" s="320"/>
      <c r="DD1005" s="614"/>
    </row>
    <row r="1006" spans="1:108" s="625" customFormat="1" outlineLevel="3">
      <c r="A1006" s="611"/>
      <c r="B1006" s="611"/>
      <c r="C1006" s="331">
        <v>3111009</v>
      </c>
      <c r="D1006" s="341" t="s">
        <v>253</v>
      </c>
      <c r="E1006" s="593">
        <v>139920</v>
      </c>
      <c r="F1006" s="334"/>
      <c r="G1006" s="334"/>
      <c r="H1006" s="334"/>
      <c r="I1006" s="324">
        <f t="shared" si="742"/>
        <v>139920</v>
      </c>
      <c r="J1006" s="315"/>
      <c r="K1006" s="595"/>
      <c r="L1006" s="317">
        <f t="shared" si="739"/>
        <v>139920</v>
      </c>
      <c r="M1006" s="317"/>
      <c r="N1006" s="372">
        <f t="shared" si="743"/>
        <v>0</v>
      </c>
      <c r="O1006" s="319">
        <f>L1006*1.1</f>
        <v>153912</v>
      </c>
      <c r="P1006" s="319">
        <f t="shared" si="747"/>
        <v>169303.2</v>
      </c>
      <c r="R1006" s="317"/>
      <c r="U1006" s="320"/>
    </row>
    <row r="1007" spans="1:108" s="312" customFormat="1" outlineLevel="3">
      <c r="A1007" s="617"/>
      <c r="B1007" s="617"/>
      <c r="C1007" s="626"/>
      <c r="D1007" s="447" t="s">
        <v>99</v>
      </c>
      <c r="E1007" s="619">
        <f>E972+E974+E978+E983+E988+E991+E994+E996+E999+E1001</f>
        <v>34889216.009999998</v>
      </c>
      <c r="F1007" s="619">
        <f t="shared" ref="F1007:K1007" si="769">F972+F974+F978+F983+F988+F991+F994+F996+F999+F1001</f>
        <v>0</v>
      </c>
      <c r="G1007" s="619">
        <f t="shared" si="769"/>
        <v>0</v>
      </c>
      <c r="H1007" s="619">
        <f t="shared" si="769"/>
        <v>641700</v>
      </c>
      <c r="I1007" s="619">
        <f t="shared" si="769"/>
        <v>35530916.009999998</v>
      </c>
      <c r="J1007" s="619">
        <f t="shared" si="769"/>
        <v>0</v>
      </c>
      <c r="K1007" s="619">
        <f t="shared" si="769"/>
        <v>1083330</v>
      </c>
      <c r="L1007" s="317">
        <f t="shared" si="739"/>
        <v>36614246.009999998</v>
      </c>
      <c r="M1007" s="317"/>
      <c r="N1007" s="372">
        <f t="shared" si="743"/>
        <v>-1083330</v>
      </c>
      <c r="O1007" s="619">
        <f t="shared" ref="O1007:P1007" si="770">O972+O974+O978+O983+O988+O991+O994+O996+O999+O1001</f>
        <v>38062800.611000001</v>
      </c>
      <c r="P1007" s="619">
        <f t="shared" si="770"/>
        <v>41869080.6721</v>
      </c>
      <c r="R1007" s="317"/>
      <c r="U1007" s="320"/>
    </row>
    <row r="1008" spans="1:108" outlineLevel="3">
      <c r="A1008" s="611"/>
      <c r="B1008" s="611"/>
      <c r="C1008" s="332"/>
      <c r="D1008" s="330"/>
      <c r="E1008" s="422"/>
      <c r="F1008" s="389"/>
      <c r="G1008" s="389"/>
      <c r="H1008" s="389"/>
      <c r="I1008" s="324">
        <f t="shared" si="742"/>
        <v>0</v>
      </c>
      <c r="J1008" s="315"/>
      <c r="K1008" s="595"/>
      <c r="L1008" s="317">
        <f t="shared" si="739"/>
        <v>0</v>
      </c>
      <c r="M1008" s="317"/>
      <c r="N1008" s="372">
        <f t="shared" si="743"/>
        <v>0</v>
      </c>
      <c r="O1008" s="319">
        <f>L1008*1.1</f>
        <v>0</v>
      </c>
      <c r="P1008" s="319">
        <f t="shared" si="747"/>
        <v>0</v>
      </c>
      <c r="R1008" s="317"/>
      <c r="U1008" s="320"/>
    </row>
    <row r="1009" spans="1:21" outlineLevel="3">
      <c r="A1009" s="612"/>
      <c r="B1009" s="612"/>
      <c r="C1009" s="340"/>
      <c r="D1009" s="338" t="s">
        <v>217</v>
      </c>
      <c r="E1009" s="622"/>
      <c r="F1009" s="397"/>
      <c r="G1009" s="397"/>
      <c r="H1009" s="397"/>
      <c r="I1009" s="324">
        <f t="shared" si="742"/>
        <v>0</v>
      </c>
      <c r="J1009" s="315"/>
      <c r="K1009" s="595"/>
      <c r="L1009" s="317">
        <f t="shared" si="739"/>
        <v>0</v>
      </c>
      <c r="M1009" s="317"/>
      <c r="N1009" s="372">
        <f t="shared" si="743"/>
        <v>0</v>
      </c>
      <c r="O1009" s="319">
        <f>L1009*1.1</f>
        <v>0</v>
      </c>
      <c r="P1009" s="319">
        <f t="shared" ref="P1009:P1035" si="771">O1009*1.1</f>
        <v>0</v>
      </c>
      <c r="R1009" s="317"/>
      <c r="U1009" s="320"/>
    </row>
    <row r="1010" spans="1:21" outlineLevel="3">
      <c r="A1010" s="611"/>
      <c r="B1010" s="611"/>
      <c r="C1010" s="332">
        <v>3111404</v>
      </c>
      <c r="D1010" s="332" t="s">
        <v>1518</v>
      </c>
      <c r="E1010" s="593">
        <v>2000000</v>
      </c>
      <c r="F1010" s="334"/>
      <c r="G1010" s="334"/>
      <c r="H1010" s="593">
        <v>-500000</v>
      </c>
      <c r="I1010" s="324">
        <f t="shared" si="742"/>
        <v>1500000</v>
      </c>
      <c r="J1010" s="315"/>
      <c r="K1010" s="595">
        <v>1000000</v>
      </c>
      <c r="L1010" s="317">
        <f t="shared" si="739"/>
        <v>2500000</v>
      </c>
      <c r="M1010" s="317"/>
      <c r="N1010" s="372">
        <f t="shared" si="743"/>
        <v>-1000000</v>
      </c>
      <c r="O1010" s="319">
        <f>L1010*1.1</f>
        <v>2750000</v>
      </c>
      <c r="P1010" s="319">
        <f t="shared" si="771"/>
        <v>3025000.0000000005</v>
      </c>
      <c r="R1010" s="317"/>
      <c r="U1010" s="320"/>
    </row>
    <row r="1011" spans="1:21" s="627" customFormat="1" outlineLevel="3">
      <c r="A1011" s="612"/>
      <c r="B1011" s="612"/>
      <c r="C1011" s="340"/>
      <c r="D1011" s="338" t="s">
        <v>175</v>
      </c>
      <c r="E1011" s="622">
        <f>E1010</f>
        <v>2000000</v>
      </c>
      <c r="F1011" s="622">
        <f t="shared" ref="F1011:P1011" si="772">F1010</f>
        <v>0</v>
      </c>
      <c r="G1011" s="622">
        <f t="shared" si="772"/>
        <v>0</v>
      </c>
      <c r="H1011" s="622">
        <f t="shared" si="772"/>
        <v>-500000</v>
      </c>
      <c r="I1011" s="622">
        <f t="shared" si="772"/>
        <v>1500000</v>
      </c>
      <c r="J1011" s="622">
        <f t="shared" si="772"/>
        <v>0</v>
      </c>
      <c r="K1011" s="622">
        <f t="shared" si="772"/>
        <v>1000000</v>
      </c>
      <c r="L1011" s="317">
        <f t="shared" si="739"/>
        <v>2500000</v>
      </c>
      <c r="M1011" s="317"/>
      <c r="N1011" s="372">
        <f t="shared" si="743"/>
        <v>-1000000</v>
      </c>
      <c r="O1011" s="622">
        <f t="shared" si="772"/>
        <v>2750000</v>
      </c>
      <c r="P1011" s="622">
        <f t="shared" si="772"/>
        <v>3025000.0000000005</v>
      </c>
      <c r="R1011" s="317"/>
      <c r="U1011" s="320"/>
    </row>
    <row r="1012" spans="1:21" s="312" customFormat="1" outlineLevel="3">
      <c r="A1012" s="617"/>
      <c r="B1012" s="617"/>
      <c r="C1012" s="314"/>
      <c r="D1012" s="447" t="s">
        <v>231</v>
      </c>
      <c r="E1012" s="619">
        <f>E1007+E1011</f>
        <v>36889216.009999998</v>
      </c>
      <c r="F1012" s="619">
        <f t="shared" ref="F1012:P1012" si="773">F1007+F1011</f>
        <v>0</v>
      </c>
      <c r="G1012" s="619">
        <f t="shared" si="773"/>
        <v>0</v>
      </c>
      <c r="H1012" s="619">
        <f t="shared" si="773"/>
        <v>141700</v>
      </c>
      <c r="I1012" s="619">
        <f t="shared" si="773"/>
        <v>37030916.009999998</v>
      </c>
      <c r="J1012" s="619">
        <f t="shared" si="773"/>
        <v>0</v>
      </c>
      <c r="K1012" s="619">
        <f t="shared" si="773"/>
        <v>2083330</v>
      </c>
      <c r="L1012" s="317">
        <f t="shared" si="739"/>
        <v>39114246.009999998</v>
      </c>
      <c r="M1012" s="317"/>
      <c r="N1012" s="372">
        <f t="shared" si="743"/>
        <v>-2083330</v>
      </c>
      <c r="O1012" s="619">
        <f t="shared" si="773"/>
        <v>40812800.611000001</v>
      </c>
      <c r="P1012" s="619">
        <f t="shared" si="773"/>
        <v>44894080.6721</v>
      </c>
      <c r="R1012" s="317"/>
      <c r="U1012" s="320"/>
    </row>
    <row r="1013" spans="1:21" s="625" customFormat="1" outlineLevel="3">
      <c r="A1013" s="628"/>
      <c r="B1013" s="628"/>
      <c r="C1013" s="629"/>
      <c r="D1013" s="630"/>
      <c r="E1013" s="631"/>
      <c r="F1013" s="632"/>
      <c r="G1013" s="632"/>
      <c r="H1013" s="632"/>
      <c r="I1013" s="324">
        <f t="shared" si="742"/>
        <v>0</v>
      </c>
      <c r="J1013" s="315"/>
      <c r="K1013" s="595"/>
      <c r="L1013" s="317">
        <f t="shared" si="739"/>
        <v>0</v>
      </c>
      <c r="M1013" s="317"/>
      <c r="N1013" s="372">
        <f t="shared" si="743"/>
        <v>0</v>
      </c>
      <c r="O1013" s="319">
        <f>L1013*1.1</f>
        <v>0</v>
      </c>
      <c r="P1013" s="319">
        <f t="shared" si="771"/>
        <v>0</v>
      </c>
      <c r="R1013" s="317"/>
      <c r="U1013" s="320"/>
    </row>
    <row r="1014" spans="1:21" outlineLevel="3">
      <c r="A1014" s="611"/>
      <c r="B1014" s="611"/>
      <c r="C1014" s="332"/>
      <c r="D1014" s="330"/>
      <c r="E1014" s="422"/>
      <c r="F1014" s="389"/>
      <c r="G1014" s="389"/>
      <c r="H1014" s="389"/>
      <c r="I1014" s="324">
        <f t="shared" si="742"/>
        <v>0</v>
      </c>
      <c r="J1014" s="315"/>
      <c r="K1014" s="595"/>
      <c r="L1014" s="317">
        <f t="shared" si="739"/>
        <v>0</v>
      </c>
      <c r="M1014" s="317"/>
      <c r="N1014" s="372">
        <f t="shared" si="743"/>
        <v>0</v>
      </c>
      <c r="O1014" s="319">
        <f>L1014*1.1</f>
        <v>0</v>
      </c>
      <c r="P1014" s="319">
        <f t="shared" si="771"/>
        <v>0</v>
      </c>
      <c r="R1014" s="317"/>
      <c r="U1014" s="320"/>
    </row>
    <row r="1015" spans="1:21" outlineLevel="3">
      <c r="A1015" s="611"/>
      <c r="B1015" s="611" t="s">
        <v>146</v>
      </c>
      <c r="C1015" s="340" t="s">
        <v>232</v>
      </c>
      <c r="D1015" s="338"/>
      <c r="E1015" s="422"/>
      <c r="F1015" s="397"/>
      <c r="G1015" s="397"/>
      <c r="H1015" s="397"/>
      <c r="I1015" s="324">
        <f t="shared" si="742"/>
        <v>0</v>
      </c>
      <c r="J1015" s="315"/>
      <c r="K1015" s="595"/>
      <c r="L1015" s="317">
        <f t="shared" si="739"/>
        <v>0</v>
      </c>
      <c r="M1015" s="317"/>
      <c r="N1015" s="372">
        <f t="shared" si="743"/>
        <v>0</v>
      </c>
      <c r="O1015" s="319">
        <f>L1015*1.1</f>
        <v>0</v>
      </c>
      <c r="P1015" s="319">
        <f t="shared" si="771"/>
        <v>0</v>
      </c>
      <c r="R1015" s="317"/>
      <c r="U1015" s="320"/>
    </row>
    <row r="1016" spans="1:21" s="337" customFormat="1" outlineLevel="3">
      <c r="A1016" s="612"/>
      <c r="B1016" s="612"/>
      <c r="C1016" s="340">
        <v>2110100</v>
      </c>
      <c r="D1016" s="340" t="s">
        <v>233</v>
      </c>
      <c r="E1016" s="590">
        <f>E1017</f>
        <v>3538458</v>
      </c>
      <c r="F1016" s="590">
        <f t="shared" ref="F1016:P1016" si="774">F1017</f>
        <v>0</v>
      </c>
      <c r="G1016" s="590">
        <f t="shared" si="774"/>
        <v>0</v>
      </c>
      <c r="H1016" s="590">
        <f t="shared" si="774"/>
        <v>0</v>
      </c>
      <c r="I1016" s="590">
        <f t="shared" si="774"/>
        <v>3538458</v>
      </c>
      <c r="J1016" s="590">
        <f t="shared" si="774"/>
        <v>0</v>
      </c>
      <c r="K1016" s="590">
        <f t="shared" si="774"/>
        <v>0</v>
      </c>
      <c r="L1016" s="317">
        <f t="shared" si="739"/>
        <v>3538458</v>
      </c>
      <c r="M1016" s="317"/>
      <c r="N1016" s="372">
        <f t="shared" si="743"/>
        <v>0</v>
      </c>
      <c r="O1016" s="590">
        <f t="shared" si="774"/>
        <v>3892303.8000000003</v>
      </c>
      <c r="P1016" s="590">
        <f t="shared" si="774"/>
        <v>4281534.1800000006</v>
      </c>
      <c r="R1016" s="317"/>
      <c r="U1016" s="320"/>
    </row>
    <row r="1017" spans="1:21" outlineLevel="3">
      <c r="A1017" s="611"/>
      <c r="B1017" s="611"/>
      <c r="C1017" s="332">
        <v>2110101</v>
      </c>
      <c r="D1017" s="332" t="s">
        <v>233</v>
      </c>
      <c r="E1017" s="593">
        <v>3538458</v>
      </c>
      <c r="F1017" s="334"/>
      <c r="G1017" s="334"/>
      <c r="H1017" s="334"/>
      <c r="I1017" s="324">
        <f t="shared" si="742"/>
        <v>3538458</v>
      </c>
      <c r="J1017" s="315"/>
      <c r="K1017" s="595"/>
      <c r="L1017" s="317">
        <f t="shared" si="739"/>
        <v>3538458</v>
      </c>
      <c r="M1017" s="317"/>
      <c r="N1017" s="372">
        <f t="shared" si="743"/>
        <v>0</v>
      </c>
      <c r="O1017" s="319">
        <f>L1017*1.1</f>
        <v>3892303.8000000003</v>
      </c>
      <c r="P1017" s="319">
        <f t="shared" si="771"/>
        <v>4281534.1800000006</v>
      </c>
      <c r="R1017" s="317"/>
      <c r="U1017" s="320"/>
    </row>
    <row r="1018" spans="1:21" s="337" customFormat="1" outlineLevel="3">
      <c r="A1018" s="612" t="s">
        <v>144</v>
      </c>
      <c r="B1018" s="612"/>
      <c r="C1018" s="340">
        <v>2210200</v>
      </c>
      <c r="D1018" s="340" t="s">
        <v>20</v>
      </c>
      <c r="E1018" s="590">
        <f>E1019+E1020</f>
        <v>343000</v>
      </c>
      <c r="F1018" s="590">
        <f t="shared" ref="F1018:K1018" si="775">F1019+F1020</f>
        <v>0</v>
      </c>
      <c r="G1018" s="590">
        <f t="shared" si="775"/>
        <v>0</v>
      </c>
      <c r="H1018" s="590">
        <f t="shared" si="775"/>
        <v>0</v>
      </c>
      <c r="I1018" s="590">
        <f t="shared" si="775"/>
        <v>343000</v>
      </c>
      <c r="J1018" s="590">
        <f t="shared" si="775"/>
        <v>0</v>
      </c>
      <c r="K1018" s="590">
        <f t="shared" si="775"/>
        <v>0</v>
      </c>
      <c r="L1018" s="317">
        <f t="shared" si="739"/>
        <v>343000</v>
      </c>
      <c r="M1018" s="317"/>
      <c r="N1018" s="372">
        <f t="shared" si="743"/>
        <v>0</v>
      </c>
      <c r="O1018" s="590">
        <f t="shared" ref="O1018:P1018" si="776">O1019+O1020</f>
        <v>377300</v>
      </c>
      <c r="P1018" s="590">
        <f t="shared" si="776"/>
        <v>415030.00000000006</v>
      </c>
      <c r="R1018" s="317"/>
      <c r="U1018" s="320"/>
    </row>
    <row r="1019" spans="1:21" outlineLevel="3">
      <c r="A1019" s="611"/>
      <c r="B1019" s="611"/>
      <c r="C1019" s="332">
        <v>2210201</v>
      </c>
      <c r="D1019" s="332" t="s">
        <v>187</v>
      </c>
      <c r="E1019" s="593">
        <v>200000</v>
      </c>
      <c r="F1019" s="334"/>
      <c r="G1019" s="334"/>
      <c r="H1019" s="334"/>
      <c r="I1019" s="324">
        <f t="shared" si="742"/>
        <v>200000</v>
      </c>
      <c r="J1019" s="315"/>
      <c r="K1019" s="595"/>
      <c r="L1019" s="317">
        <f t="shared" si="739"/>
        <v>200000</v>
      </c>
      <c r="M1019" s="317"/>
      <c r="N1019" s="372">
        <f t="shared" si="743"/>
        <v>0</v>
      </c>
      <c r="O1019" s="319">
        <f>L1019*1.1</f>
        <v>220000.00000000003</v>
      </c>
      <c r="P1019" s="319">
        <f t="shared" si="771"/>
        <v>242000.00000000006</v>
      </c>
      <c r="R1019" s="317"/>
      <c r="U1019" s="320"/>
    </row>
    <row r="1020" spans="1:21" outlineLevel="3">
      <c r="A1020" s="611"/>
      <c r="B1020" s="611"/>
      <c r="C1020" s="331">
        <v>2210202</v>
      </c>
      <c r="D1020" s="341" t="s">
        <v>22</v>
      </c>
      <c r="E1020" s="593">
        <v>143000</v>
      </c>
      <c r="F1020" s="334"/>
      <c r="G1020" s="334"/>
      <c r="H1020" s="334"/>
      <c r="I1020" s="324">
        <f t="shared" si="742"/>
        <v>143000</v>
      </c>
      <c r="J1020" s="315"/>
      <c r="K1020" s="595"/>
      <c r="L1020" s="317">
        <f t="shared" si="739"/>
        <v>143000</v>
      </c>
      <c r="M1020" s="317"/>
      <c r="N1020" s="372">
        <f t="shared" si="743"/>
        <v>0</v>
      </c>
      <c r="O1020" s="319">
        <f>L1020*1.1</f>
        <v>157300</v>
      </c>
      <c r="P1020" s="319">
        <f t="shared" si="771"/>
        <v>173030</v>
      </c>
      <c r="R1020" s="317"/>
      <c r="U1020" s="320"/>
    </row>
    <row r="1021" spans="1:21" s="337" customFormat="1" outlineLevel="3">
      <c r="A1021" s="612"/>
      <c r="B1021" s="612"/>
      <c r="C1021" s="340">
        <v>2210300</v>
      </c>
      <c r="D1021" s="340" t="s">
        <v>24</v>
      </c>
      <c r="E1021" s="590">
        <f>E1022+E1023+E1024</f>
        <v>2050000</v>
      </c>
      <c r="F1021" s="590">
        <f t="shared" ref="F1021:P1021" si="777">F1022+F1023+F1024</f>
        <v>0</v>
      </c>
      <c r="G1021" s="590">
        <f t="shared" si="777"/>
        <v>0</v>
      </c>
      <c r="H1021" s="590">
        <f t="shared" si="777"/>
        <v>0</v>
      </c>
      <c r="I1021" s="590">
        <f t="shared" si="777"/>
        <v>2050000</v>
      </c>
      <c r="J1021" s="590">
        <f t="shared" si="777"/>
        <v>0</v>
      </c>
      <c r="K1021" s="590">
        <f t="shared" si="777"/>
        <v>1000000</v>
      </c>
      <c r="L1021" s="317">
        <f t="shared" si="739"/>
        <v>3050000</v>
      </c>
      <c r="M1021" s="317"/>
      <c r="N1021" s="372">
        <f t="shared" si="743"/>
        <v>-1000000</v>
      </c>
      <c r="O1021" s="590">
        <f t="shared" si="777"/>
        <v>3355000</v>
      </c>
      <c r="P1021" s="590">
        <f t="shared" si="777"/>
        <v>3690500.0000000009</v>
      </c>
      <c r="R1021" s="317"/>
      <c r="U1021" s="320"/>
    </row>
    <row r="1022" spans="1:21" outlineLevel="3">
      <c r="A1022" s="611"/>
      <c r="B1022" s="611"/>
      <c r="C1022" s="332">
        <v>2210302</v>
      </c>
      <c r="D1022" s="332" t="s">
        <v>26</v>
      </c>
      <c r="E1022" s="593">
        <v>750000</v>
      </c>
      <c r="F1022" s="334"/>
      <c r="G1022" s="334"/>
      <c r="H1022" s="334"/>
      <c r="I1022" s="324">
        <f t="shared" si="742"/>
        <v>750000</v>
      </c>
      <c r="J1022" s="315"/>
      <c r="K1022" s="595">
        <v>500000</v>
      </c>
      <c r="L1022" s="317">
        <f t="shared" si="739"/>
        <v>1250000</v>
      </c>
      <c r="M1022" s="317"/>
      <c r="N1022" s="372">
        <f t="shared" si="743"/>
        <v>-500000</v>
      </c>
      <c r="O1022" s="319">
        <f>L1022*1.1</f>
        <v>1375000</v>
      </c>
      <c r="P1022" s="319">
        <f t="shared" si="771"/>
        <v>1512500.0000000002</v>
      </c>
      <c r="R1022" s="317"/>
      <c r="U1022" s="320"/>
    </row>
    <row r="1023" spans="1:21" outlineLevel="3">
      <c r="A1023" s="611"/>
      <c r="B1023" s="611"/>
      <c r="C1023" s="332">
        <v>2210303</v>
      </c>
      <c r="D1023" s="332" t="s">
        <v>223</v>
      </c>
      <c r="E1023" s="593">
        <v>950000</v>
      </c>
      <c r="F1023" s="334"/>
      <c r="G1023" s="334"/>
      <c r="H1023" s="334"/>
      <c r="I1023" s="324">
        <f t="shared" si="742"/>
        <v>950000</v>
      </c>
      <c r="J1023" s="315"/>
      <c r="K1023" s="595">
        <v>500000</v>
      </c>
      <c r="L1023" s="317">
        <f t="shared" si="739"/>
        <v>1450000</v>
      </c>
      <c r="M1023" s="317"/>
      <c r="N1023" s="372">
        <f t="shared" si="743"/>
        <v>-500000</v>
      </c>
      <c r="O1023" s="319">
        <f>L1023*1.1</f>
        <v>1595000.0000000002</v>
      </c>
      <c r="P1023" s="319">
        <f t="shared" si="771"/>
        <v>1754500.0000000005</v>
      </c>
      <c r="R1023" s="317"/>
      <c r="U1023" s="320"/>
    </row>
    <row r="1024" spans="1:21" s="337" customFormat="1" outlineLevel="3">
      <c r="A1024" s="612"/>
      <c r="B1024" s="612"/>
      <c r="C1024" s="332">
        <v>2210304</v>
      </c>
      <c r="D1024" s="332" t="s">
        <v>28</v>
      </c>
      <c r="E1024" s="593">
        <v>350000</v>
      </c>
      <c r="F1024" s="334"/>
      <c r="G1024" s="334"/>
      <c r="H1024" s="334"/>
      <c r="I1024" s="324">
        <f t="shared" si="742"/>
        <v>350000</v>
      </c>
      <c r="J1024" s="315"/>
      <c r="K1024" s="595"/>
      <c r="L1024" s="317">
        <f t="shared" si="739"/>
        <v>350000</v>
      </c>
      <c r="M1024" s="317"/>
      <c r="N1024" s="372">
        <f t="shared" si="743"/>
        <v>0</v>
      </c>
      <c r="O1024" s="319">
        <f>L1024*1.1</f>
        <v>385000.00000000006</v>
      </c>
      <c r="P1024" s="319">
        <f t="shared" si="771"/>
        <v>423500.00000000012</v>
      </c>
      <c r="R1024" s="317"/>
      <c r="U1024" s="320"/>
    </row>
    <row r="1025" spans="1:21" outlineLevel="3">
      <c r="A1025" s="611"/>
      <c r="B1025" s="611"/>
      <c r="C1025" s="589">
        <v>2210500</v>
      </c>
      <c r="D1025" s="589" t="s">
        <v>31</v>
      </c>
      <c r="E1025" s="590">
        <f>E1026</f>
        <v>1000000</v>
      </c>
      <c r="F1025" s="590">
        <f t="shared" ref="F1025:K1025" si="778">F1026</f>
        <v>0</v>
      </c>
      <c r="G1025" s="590">
        <f t="shared" si="778"/>
        <v>0</v>
      </c>
      <c r="H1025" s="590">
        <f t="shared" si="778"/>
        <v>-241700</v>
      </c>
      <c r="I1025" s="590">
        <f t="shared" si="778"/>
        <v>758300</v>
      </c>
      <c r="J1025" s="590">
        <f t="shared" si="778"/>
        <v>0</v>
      </c>
      <c r="K1025" s="590">
        <f t="shared" si="778"/>
        <v>-708000</v>
      </c>
      <c r="L1025" s="317">
        <f t="shared" si="739"/>
        <v>50300</v>
      </c>
      <c r="M1025" s="317"/>
      <c r="N1025" s="372">
        <f t="shared" si="743"/>
        <v>708000</v>
      </c>
      <c r="O1025" s="590">
        <f t="shared" ref="O1025:P1025" si="779">O1026</f>
        <v>55330.000000000007</v>
      </c>
      <c r="P1025" s="590">
        <f t="shared" si="779"/>
        <v>60863.000000000015</v>
      </c>
      <c r="R1025" s="317"/>
      <c r="U1025" s="320"/>
    </row>
    <row r="1026" spans="1:21" s="337" customFormat="1" outlineLevel="3">
      <c r="A1026" s="612"/>
      <c r="B1026" s="612"/>
      <c r="C1026" s="398">
        <v>2210505</v>
      </c>
      <c r="D1026" s="398" t="s">
        <v>192</v>
      </c>
      <c r="E1026" s="593">
        <v>1000000</v>
      </c>
      <c r="F1026" s="399"/>
      <c r="G1026" s="399"/>
      <c r="H1026" s="593">
        <v>-241700</v>
      </c>
      <c r="I1026" s="324">
        <f t="shared" si="742"/>
        <v>758300</v>
      </c>
      <c r="J1026" s="315"/>
      <c r="K1026" s="595">
        <v>-708000</v>
      </c>
      <c r="L1026" s="317">
        <f t="shared" si="739"/>
        <v>50300</v>
      </c>
      <c r="M1026" s="317"/>
      <c r="N1026" s="372">
        <f t="shared" si="743"/>
        <v>708000</v>
      </c>
      <c r="O1026" s="319">
        <f>L1026*1.1</f>
        <v>55330.000000000007</v>
      </c>
      <c r="P1026" s="319">
        <f t="shared" si="771"/>
        <v>60863.000000000015</v>
      </c>
      <c r="R1026" s="317"/>
      <c r="U1026" s="320"/>
    </row>
    <row r="1027" spans="1:21" s="337" customFormat="1" outlineLevel="3">
      <c r="A1027" s="612"/>
      <c r="B1027" s="612"/>
      <c r="C1027" s="340">
        <v>2210800</v>
      </c>
      <c r="D1027" s="340" t="s">
        <v>42</v>
      </c>
      <c r="E1027" s="590">
        <f>E1028+E1029</f>
        <v>850000</v>
      </c>
      <c r="F1027" s="590">
        <f t="shared" ref="F1027:P1027" si="780">F1028+F1029</f>
        <v>0</v>
      </c>
      <c r="G1027" s="590">
        <f t="shared" si="780"/>
        <v>0</v>
      </c>
      <c r="H1027" s="590">
        <f t="shared" si="780"/>
        <v>0</v>
      </c>
      <c r="I1027" s="590">
        <f t="shared" si="780"/>
        <v>850000</v>
      </c>
      <c r="J1027" s="590">
        <f t="shared" si="780"/>
        <v>0</v>
      </c>
      <c r="K1027" s="590">
        <f t="shared" si="780"/>
        <v>200000</v>
      </c>
      <c r="L1027" s="317">
        <f t="shared" si="739"/>
        <v>1050000</v>
      </c>
      <c r="M1027" s="317"/>
      <c r="N1027" s="372">
        <f t="shared" si="743"/>
        <v>-200000</v>
      </c>
      <c r="O1027" s="590">
        <f t="shared" si="780"/>
        <v>1155000</v>
      </c>
      <c r="P1027" s="590">
        <f t="shared" si="780"/>
        <v>1270500</v>
      </c>
      <c r="R1027" s="317"/>
      <c r="U1027" s="320"/>
    </row>
    <row r="1028" spans="1:21" s="337" customFormat="1" outlineLevel="3">
      <c r="A1028" s="612"/>
      <c r="B1028" s="612"/>
      <c r="C1028" s="332">
        <v>2210801</v>
      </c>
      <c r="D1028" s="332" t="s">
        <v>2421</v>
      </c>
      <c r="E1028" s="593">
        <f>800000-300000</f>
        <v>500000</v>
      </c>
      <c r="F1028" s="334"/>
      <c r="G1028" s="334"/>
      <c r="H1028" s="334"/>
      <c r="I1028" s="324">
        <f t="shared" si="742"/>
        <v>500000</v>
      </c>
      <c r="J1028" s="315"/>
      <c r="K1028" s="595"/>
      <c r="L1028" s="317">
        <f t="shared" ref="L1028:L1091" si="781">I1028+J1028+K1028</f>
        <v>500000</v>
      </c>
      <c r="M1028" s="317"/>
      <c r="N1028" s="372">
        <f t="shared" si="743"/>
        <v>0</v>
      </c>
      <c r="O1028" s="319">
        <f t="shared" ref="O1028:O1029" si="782">L1028*1.1</f>
        <v>550000</v>
      </c>
      <c r="P1028" s="319">
        <f t="shared" ref="P1028:P1029" si="783">O1028*1.1</f>
        <v>605000</v>
      </c>
      <c r="R1028" s="317"/>
      <c r="U1028" s="320"/>
    </row>
    <row r="1029" spans="1:21" s="337" customFormat="1" outlineLevel="3">
      <c r="A1029" s="612"/>
      <c r="B1029" s="612"/>
      <c r="C1029" s="332">
        <v>2210802</v>
      </c>
      <c r="D1029" s="332" t="s">
        <v>97</v>
      </c>
      <c r="E1029" s="593">
        <v>350000</v>
      </c>
      <c r="F1029" s="334"/>
      <c r="G1029" s="334"/>
      <c r="H1029" s="334"/>
      <c r="I1029" s="324">
        <f t="shared" si="742"/>
        <v>350000</v>
      </c>
      <c r="J1029" s="315"/>
      <c r="K1029" s="595">
        <v>200000</v>
      </c>
      <c r="L1029" s="317">
        <f t="shared" si="781"/>
        <v>550000</v>
      </c>
      <c r="M1029" s="317"/>
      <c r="N1029" s="372">
        <f t="shared" si="743"/>
        <v>-200000</v>
      </c>
      <c r="O1029" s="319">
        <f t="shared" si="782"/>
        <v>605000</v>
      </c>
      <c r="P1029" s="319">
        <f t="shared" si="783"/>
        <v>665500</v>
      </c>
      <c r="R1029" s="317"/>
      <c r="U1029" s="320"/>
    </row>
    <row r="1030" spans="1:21" s="337" customFormat="1" outlineLevel="3">
      <c r="A1030" s="612"/>
      <c r="B1030" s="612"/>
      <c r="C1030" s="340">
        <v>2211100</v>
      </c>
      <c r="D1030" s="340" t="s">
        <v>51</v>
      </c>
      <c r="E1030" s="590">
        <f>E1031+E1032</f>
        <v>600000</v>
      </c>
      <c r="F1030" s="590">
        <f t="shared" ref="F1030:K1030" si="784">F1031+F1032</f>
        <v>0</v>
      </c>
      <c r="G1030" s="590">
        <f t="shared" si="784"/>
        <v>0</v>
      </c>
      <c r="H1030" s="590">
        <f t="shared" si="784"/>
        <v>0</v>
      </c>
      <c r="I1030" s="590">
        <f t="shared" si="784"/>
        <v>600000</v>
      </c>
      <c r="J1030" s="590">
        <f t="shared" si="784"/>
        <v>0</v>
      </c>
      <c r="K1030" s="590">
        <f t="shared" si="784"/>
        <v>500000</v>
      </c>
      <c r="L1030" s="317">
        <f t="shared" si="781"/>
        <v>1100000</v>
      </c>
      <c r="M1030" s="317"/>
      <c r="N1030" s="372">
        <f t="shared" si="743"/>
        <v>-500000</v>
      </c>
      <c r="O1030" s="590">
        <f t="shared" ref="O1030:P1030" si="785">O1031+O1032</f>
        <v>1210000</v>
      </c>
      <c r="P1030" s="590">
        <f t="shared" si="785"/>
        <v>1331000.0000000002</v>
      </c>
      <c r="R1030" s="317"/>
      <c r="U1030" s="320"/>
    </row>
    <row r="1031" spans="1:21" s="337" customFormat="1" outlineLevel="3">
      <c r="A1031" s="612"/>
      <c r="B1031" s="612"/>
      <c r="C1031" s="332">
        <v>2211101</v>
      </c>
      <c r="D1031" s="332" t="s">
        <v>197</v>
      </c>
      <c r="E1031" s="593">
        <v>350000</v>
      </c>
      <c r="F1031" s="334"/>
      <c r="G1031" s="334"/>
      <c r="H1031" s="334"/>
      <c r="I1031" s="324">
        <f t="shared" ref="I1031:I1093" si="786">E1031+F1031+G1031+H1031</f>
        <v>350000</v>
      </c>
      <c r="J1031" s="315"/>
      <c r="K1031" s="595">
        <v>500000</v>
      </c>
      <c r="L1031" s="317">
        <f t="shared" si="781"/>
        <v>850000</v>
      </c>
      <c r="M1031" s="317"/>
      <c r="N1031" s="372">
        <f t="shared" si="743"/>
        <v>-500000</v>
      </c>
      <c r="O1031" s="319">
        <f t="shared" ref="O1031:O1032" si="787">L1031*1.1</f>
        <v>935000.00000000012</v>
      </c>
      <c r="P1031" s="319">
        <f t="shared" ref="P1031:P1032" si="788">O1031*1.1</f>
        <v>1028500.0000000002</v>
      </c>
      <c r="R1031" s="317"/>
      <c r="U1031" s="320"/>
    </row>
    <row r="1032" spans="1:21" s="337" customFormat="1" outlineLevel="3">
      <c r="A1032" s="612"/>
      <c r="B1032" s="612"/>
      <c r="C1032" s="332">
        <v>2211102</v>
      </c>
      <c r="D1032" s="332" t="s">
        <v>213</v>
      </c>
      <c r="E1032" s="593">
        <v>250000</v>
      </c>
      <c r="F1032" s="334"/>
      <c r="G1032" s="334"/>
      <c r="H1032" s="334"/>
      <c r="I1032" s="324">
        <f t="shared" si="786"/>
        <v>250000</v>
      </c>
      <c r="J1032" s="315"/>
      <c r="K1032" s="595"/>
      <c r="L1032" s="317">
        <f t="shared" si="781"/>
        <v>250000</v>
      </c>
      <c r="M1032" s="317"/>
      <c r="N1032" s="372">
        <f t="shared" ref="N1032:N1095" si="789">M1032-K1032</f>
        <v>0</v>
      </c>
      <c r="O1032" s="319">
        <f t="shared" si="787"/>
        <v>275000</v>
      </c>
      <c r="P1032" s="319">
        <f t="shared" si="788"/>
        <v>302500</v>
      </c>
      <c r="R1032" s="317"/>
      <c r="U1032" s="320"/>
    </row>
    <row r="1033" spans="1:21" s="337" customFormat="1" outlineLevel="3">
      <c r="A1033" s="612"/>
      <c r="B1033" s="612"/>
      <c r="C1033" s="340">
        <v>2211200</v>
      </c>
      <c r="D1033" s="340" t="s">
        <v>55</v>
      </c>
      <c r="E1033" s="590">
        <f>E1034+E1035</f>
        <v>1066666.67</v>
      </c>
      <c r="F1033" s="590">
        <f t="shared" ref="F1033:K1033" si="790">F1034+F1035</f>
        <v>0</v>
      </c>
      <c r="G1033" s="590">
        <f t="shared" si="790"/>
        <v>0</v>
      </c>
      <c r="H1033" s="590">
        <f t="shared" si="790"/>
        <v>0</v>
      </c>
      <c r="I1033" s="590">
        <f t="shared" si="790"/>
        <v>1066666.67</v>
      </c>
      <c r="J1033" s="590">
        <f t="shared" si="790"/>
        <v>0</v>
      </c>
      <c r="K1033" s="590">
        <f t="shared" si="790"/>
        <v>0</v>
      </c>
      <c r="L1033" s="317">
        <f t="shared" si="781"/>
        <v>1066666.67</v>
      </c>
      <c r="M1033" s="317"/>
      <c r="N1033" s="372">
        <f t="shared" si="789"/>
        <v>0</v>
      </c>
      <c r="O1033" s="590">
        <f t="shared" ref="O1033:P1033" si="791">O1034+O1035</f>
        <v>1173333.3370000001</v>
      </c>
      <c r="P1033" s="590">
        <f t="shared" si="791"/>
        <v>1290666.6707000001</v>
      </c>
      <c r="R1033" s="317"/>
      <c r="U1033" s="320"/>
    </row>
    <row r="1034" spans="1:21" s="337" customFormat="1" outlineLevel="3">
      <c r="A1034" s="612"/>
      <c r="B1034" s="612"/>
      <c r="C1034" s="332">
        <v>2211201</v>
      </c>
      <c r="D1034" s="332" t="s">
        <v>56</v>
      </c>
      <c r="E1034" s="593">
        <v>350000</v>
      </c>
      <c r="F1034" s="334"/>
      <c r="G1034" s="334"/>
      <c r="H1034" s="334"/>
      <c r="I1034" s="324">
        <f t="shared" si="786"/>
        <v>350000</v>
      </c>
      <c r="J1034" s="315"/>
      <c r="K1034" s="595"/>
      <c r="L1034" s="317">
        <f t="shared" si="781"/>
        <v>350000</v>
      </c>
      <c r="M1034" s="317"/>
      <c r="N1034" s="372">
        <f t="shared" si="789"/>
        <v>0</v>
      </c>
      <c r="O1034" s="319">
        <f t="shared" ref="O1034" si="792">L1034*1.1</f>
        <v>385000.00000000006</v>
      </c>
      <c r="P1034" s="319">
        <f t="shared" ref="P1034" si="793">O1034*1.1</f>
        <v>423500.00000000012</v>
      </c>
      <c r="R1034" s="317"/>
      <c r="U1034" s="320"/>
    </row>
    <row r="1035" spans="1:21" outlineLevel="3">
      <c r="A1035" s="611"/>
      <c r="B1035" s="611"/>
      <c r="C1035" s="331" t="s">
        <v>247</v>
      </c>
      <c r="D1035" s="341" t="s">
        <v>248</v>
      </c>
      <c r="E1035" s="593">
        <f>200000+516666.67</f>
        <v>716666.66999999993</v>
      </c>
      <c r="F1035" s="334"/>
      <c r="G1035" s="334"/>
      <c r="H1035" s="334"/>
      <c r="I1035" s="324">
        <f t="shared" si="786"/>
        <v>716666.66999999993</v>
      </c>
      <c r="J1035" s="315"/>
      <c r="K1035" s="595"/>
      <c r="L1035" s="317">
        <f t="shared" si="781"/>
        <v>716666.66999999993</v>
      </c>
      <c r="M1035" s="317"/>
      <c r="N1035" s="372">
        <f t="shared" si="789"/>
        <v>0</v>
      </c>
      <c r="O1035" s="319">
        <f>L1035*1.1</f>
        <v>788333.33699999994</v>
      </c>
      <c r="P1035" s="319">
        <f t="shared" si="771"/>
        <v>867166.67070000002</v>
      </c>
      <c r="R1035" s="317"/>
      <c r="U1035" s="320"/>
    </row>
    <row r="1036" spans="1:21" outlineLevel="3">
      <c r="A1036" s="611"/>
      <c r="B1036" s="611"/>
      <c r="C1036" s="340">
        <v>2220100</v>
      </c>
      <c r="D1036" s="340" t="s">
        <v>63</v>
      </c>
      <c r="E1036" s="590">
        <f>E1037</f>
        <v>550000</v>
      </c>
      <c r="F1036" s="590">
        <f t="shared" ref="F1036:P1036" si="794">F1037</f>
        <v>0</v>
      </c>
      <c r="G1036" s="590">
        <f t="shared" si="794"/>
        <v>0</v>
      </c>
      <c r="H1036" s="590">
        <f t="shared" si="794"/>
        <v>0</v>
      </c>
      <c r="I1036" s="590">
        <f t="shared" si="794"/>
        <v>550000</v>
      </c>
      <c r="J1036" s="590">
        <f t="shared" si="794"/>
        <v>0</v>
      </c>
      <c r="K1036" s="590">
        <f t="shared" si="794"/>
        <v>-500000</v>
      </c>
      <c r="L1036" s="317">
        <f t="shared" si="781"/>
        <v>50000</v>
      </c>
      <c r="M1036" s="317"/>
      <c r="N1036" s="372">
        <f t="shared" si="789"/>
        <v>500000</v>
      </c>
      <c r="O1036" s="590">
        <f t="shared" si="794"/>
        <v>55000.000000000007</v>
      </c>
      <c r="P1036" s="590">
        <f t="shared" si="794"/>
        <v>60500.000000000015</v>
      </c>
      <c r="R1036" s="317"/>
      <c r="U1036" s="320"/>
    </row>
    <row r="1037" spans="1:21" s="337" customFormat="1" outlineLevel="3">
      <c r="A1037" s="612"/>
      <c r="B1037" s="612"/>
      <c r="C1037" s="332">
        <v>2220101</v>
      </c>
      <c r="D1037" s="332" t="s">
        <v>63</v>
      </c>
      <c r="E1037" s="593">
        <v>550000</v>
      </c>
      <c r="F1037" s="334"/>
      <c r="G1037" s="334"/>
      <c r="H1037" s="334"/>
      <c r="I1037" s="324">
        <f t="shared" si="786"/>
        <v>550000</v>
      </c>
      <c r="J1037" s="315"/>
      <c r="K1037" s="595">
        <v>-500000</v>
      </c>
      <c r="L1037" s="317">
        <f t="shared" si="781"/>
        <v>50000</v>
      </c>
      <c r="M1037" s="317"/>
      <c r="N1037" s="372">
        <f t="shared" si="789"/>
        <v>500000</v>
      </c>
      <c r="O1037" s="319">
        <f>L1037*1.1</f>
        <v>55000.000000000007</v>
      </c>
      <c r="P1037" s="319">
        <f t="shared" ref="P1037:P1052" si="795">O1037*1.1</f>
        <v>60500.000000000015</v>
      </c>
      <c r="R1037" s="317"/>
      <c r="U1037" s="320"/>
    </row>
    <row r="1038" spans="1:21" outlineLevel="3">
      <c r="A1038" s="611"/>
      <c r="B1038" s="611"/>
      <c r="C1038" s="339">
        <v>2220200</v>
      </c>
      <c r="D1038" s="343" t="s">
        <v>86</v>
      </c>
      <c r="E1038" s="590">
        <f>E1039+E1040</f>
        <v>287000</v>
      </c>
      <c r="F1038" s="590">
        <f t="shared" ref="F1038:P1038" si="796">F1039+F1040</f>
        <v>0</v>
      </c>
      <c r="G1038" s="590">
        <f t="shared" si="796"/>
        <v>0</v>
      </c>
      <c r="H1038" s="590">
        <f t="shared" si="796"/>
        <v>0</v>
      </c>
      <c r="I1038" s="590">
        <f t="shared" si="796"/>
        <v>287000</v>
      </c>
      <c r="J1038" s="590">
        <f t="shared" si="796"/>
        <v>0</v>
      </c>
      <c r="K1038" s="590">
        <f t="shared" si="796"/>
        <v>-137000</v>
      </c>
      <c r="L1038" s="317">
        <f t="shared" si="781"/>
        <v>150000</v>
      </c>
      <c r="M1038" s="317"/>
      <c r="N1038" s="372">
        <f t="shared" si="789"/>
        <v>137000</v>
      </c>
      <c r="O1038" s="590">
        <f t="shared" si="796"/>
        <v>165000</v>
      </c>
      <c r="P1038" s="590">
        <f t="shared" si="796"/>
        <v>181500.00000000003</v>
      </c>
      <c r="R1038" s="317"/>
      <c r="U1038" s="320"/>
    </row>
    <row r="1039" spans="1:21" outlineLevel="3">
      <c r="A1039" s="611"/>
      <c r="B1039" s="611"/>
      <c r="C1039" s="331">
        <v>2220202</v>
      </c>
      <c r="D1039" s="341" t="s">
        <v>87</v>
      </c>
      <c r="E1039" s="593">
        <v>150000</v>
      </c>
      <c r="F1039" s="334"/>
      <c r="G1039" s="334"/>
      <c r="H1039" s="334"/>
      <c r="I1039" s="324">
        <f t="shared" si="786"/>
        <v>150000</v>
      </c>
      <c r="J1039" s="315"/>
      <c r="K1039" s="595"/>
      <c r="L1039" s="317">
        <f t="shared" si="781"/>
        <v>150000</v>
      </c>
      <c r="M1039" s="317"/>
      <c r="N1039" s="372">
        <f t="shared" si="789"/>
        <v>0</v>
      </c>
      <c r="O1039" s="319">
        <f>L1039*1.1</f>
        <v>165000</v>
      </c>
      <c r="P1039" s="319">
        <f t="shared" si="795"/>
        <v>181500.00000000003</v>
      </c>
      <c r="R1039" s="317"/>
      <c r="U1039" s="320"/>
    </row>
    <row r="1040" spans="1:21" s="337" customFormat="1" outlineLevel="3">
      <c r="A1040" s="612"/>
      <c r="B1040" s="612"/>
      <c r="C1040" s="331">
        <v>2220205</v>
      </c>
      <c r="D1040" s="341" t="s">
        <v>125</v>
      </c>
      <c r="E1040" s="593">
        <v>137000</v>
      </c>
      <c r="F1040" s="334"/>
      <c r="G1040" s="334"/>
      <c r="H1040" s="334"/>
      <c r="I1040" s="324">
        <f t="shared" si="786"/>
        <v>137000</v>
      </c>
      <c r="J1040" s="315"/>
      <c r="K1040" s="595">
        <v>-137000</v>
      </c>
      <c r="L1040" s="317">
        <f t="shared" si="781"/>
        <v>0</v>
      </c>
      <c r="M1040" s="317"/>
      <c r="N1040" s="372">
        <f t="shared" si="789"/>
        <v>137000</v>
      </c>
      <c r="O1040" s="319">
        <f>L1040*1.1</f>
        <v>0</v>
      </c>
      <c r="P1040" s="319">
        <f t="shared" si="795"/>
        <v>0</v>
      </c>
      <c r="R1040" s="317"/>
      <c r="U1040" s="320"/>
    </row>
    <row r="1041" spans="1:108" outlineLevel="3">
      <c r="A1041" s="611"/>
      <c r="B1041" s="611"/>
      <c r="C1041" s="340">
        <v>3111000</v>
      </c>
      <c r="D1041" s="340" t="s">
        <v>216</v>
      </c>
      <c r="E1041" s="590">
        <f>E1042+E1043+E1044</f>
        <v>669999.98</v>
      </c>
      <c r="F1041" s="590">
        <f t="shared" ref="F1041:P1041" si="797">F1042+F1043+F1044</f>
        <v>0</v>
      </c>
      <c r="G1041" s="590">
        <f t="shared" si="797"/>
        <v>0</v>
      </c>
      <c r="H1041" s="590">
        <f t="shared" si="797"/>
        <v>0</v>
      </c>
      <c r="I1041" s="590">
        <f t="shared" si="797"/>
        <v>669999.98</v>
      </c>
      <c r="J1041" s="590">
        <f t="shared" si="797"/>
        <v>0</v>
      </c>
      <c r="K1041" s="590">
        <f t="shared" si="797"/>
        <v>0</v>
      </c>
      <c r="L1041" s="317">
        <f t="shared" si="781"/>
        <v>669999.98</v>
      </c>
      <c r="M1041" s="317"/>
      <c r="N1041" s="372">
        <f t="shared" si="789"/>
        <v>0</v>
      </c>
      <c r="O1041" s="590">
        <f t="shared" si="797"/>
        <v>736999.978</v>
      </c>
      <c r="P1041" s="590">
        <f t="shared" si="797"/>
        <v>810699.97580000013</v>
      </c>
      <c r="R1041" s="317"/>
      <c r="U1041" s="320"/>
    </row>
    <row r="1042" spans="1:108" outlineLevel="3">
      <c r="A1042" s="611"/>
      <c r="B1042" s="611"/>
      <c r="C1042" s="332">
        <v>3111001</v>
      </c>
      <c r="D1042" s="332" t="s">
        <v>234</v>
      </c>
      <c r="E1042" s="593">
        <f>150000+99999.98</f>
        <v>249999.97999999998</v>
      </c>
      <c r="F1042" s="334"/>
      <c r="G1042" s="334"/>
      <c r="H1042" s="334"/>
      <c r="I1042" s="324">
        <f t="shared" si="786"/>
        <v>249999.97999999998</v>
      </c>
      <c r="J1042" s="315"/>
      <c r="K1042" s="595"/>
      <c r="L1042" s="317">
        <f t="shared" si="781"/>
        <v>249999.97999999998</v>
      </c>
      <c r="M1042" s="317"/>
      <c r="N1042" s="372">
        <f t="shared" si="789"/>
        <v>0</v>
      </c>
      <c r="O1042" s="319">
        <f>L1042*1.1</f>
        <v>274999.978</v>
      </c>
      <c r="P1042" s="319">
        <f t="shared" si="795"/>
        <v>302499.97580000001</v>
      </c>
      <c r="R1042" s="317"/>
      <c r="U1042" s="320"/>
    </row>
    <row r="1043" spans="1:108" s="337" customFormat="1" outlineLevel="3">
      <c r="A1043" s="612"/>
      <c r="B1043" s="612"/>
      <c r="C1043" s="331">
        <v>3111002</v>
      </c>
      <c r="D1043" s="341" t="s">
        <v>71</v>
      </c>
      <c r="E1043" s="593">
        <f>70000+170000</f>
        <v>240000</v>
      </c>
      <c r="F1043" s="334"/>
      <c r="G1043" s="334"/>
      <c r="H1043" s="334"/>
      <c r="I1043" s="324">
        <f t="shared" si="786"/>
        <v>240000</v>
      </c>
      <c r="J1043" s="315"/>
      <c r="K1043" s="595"/>
      <c r="L1043" s="317">
        <f t="shared" si="781"/>
        <v>240000</v>
      </c>
      <c r="M1043" s="317"/>
      <c r="N1043" s="372">
        <f t="shared" si="789"/>
        <v>0</v>
      </c>
      <c r="O1043" s="319">
        <f>L1043*1.1</f>
        <v>264000</v>
      </c>
      <c r="P1043" s="319">
        <f t="shared" si="795"/>
        <v>290400</v>
      </c>
      <c r="R1043" s="317"/>
      <c r="U1043" s="320"/>
    </row>
    <row r="1044" spans="1:108" s="625" customFormat="1" outlineLevel="3">
      <c r="A1044" s="611"/>
      <c r="B1044" s="611"/>
      <c r="C1044" s="331">
        <v>3111009</v>
      </c>
      <c r="D1044" s="341" t="s">
        <v>253</v>
      </c>
      <c r="E1044" s="593">
        <f>50000+130000</f>
        <v>180000</v>
      </c>
      <c r="F1044" s="334"/>
      <c r="G1044" s="334"/>
      <c r="H1044" s="334"/>
      <c r="I1044" s="324">
        <f t="shared" si="786"/>
        <v>180000</v>
      </c>
      <c r="J1044" s="315"/>
      <c r="K1044" s="595"/>
      <c r="L1044" s="317">
        <f t="shared" si="781"/>
        <v>180000</v>
      </c>
      <c r="M1044" s="317"/>
      <c r="N1044" s="372">
        <f t="shared" si="789"/>
        <v>0</v>
      </c>
      <c r="O1044" s="319">
        <f>L1044*1.1</f>
        <v>198000.00000000003</v>
      </c>
      <c r="P1044" s="319">
        <f t="shared" si="795"/>
        <v>217800.00000000006</v>
      </c>
      <c r="R1044" s="317"/>
      <c r="U1044" s="320"/>
    </row>
    <row r="1045" spans="1:108" s="337" customFormat="1" outlineLevel="3">
      <c r="A1045" s="612"/>
      <c r="B1045" s="612"/>
      <c r="C1045" s="396"/>
      <c r="D1045" s="396"/>
      <c r="E1045" s="590">
        <f>E1046</f>
        <v>0</v>
      </c>
      <c r="F1045" s="601"/>
      <c r="G1045" s="601"/>
      <c r="H1045" s="601"/>
      <c r="I1045" s="324">
        <f t="shared" si="786"/>
        <v>0</v>
      </c>
      <c r="J1045" s="315"/>
      <c r="K1045" s="595"/>
      <c r="L1045" s="317">
        <f t="shared" si="781"/>
        <v>0</v>
      </c>
      <c r="M1045" s="317"/>
      <c r="N1045" s="372">
        <f t="shared" si="789"/>
        <v>0</v>
      </c>
      <c r="O1045" s="624">
        <f t="shared" ref="O1045:P1045" si="798">O1046</f>
        <v>0</v>
      </c>
      <c r="P1045" s="624">
        <f t="shared" si="798"/>
        <v>0</v>
      </c>
      <c r="R1045" s="317"/>
      <c r="U1045" s="320"/>
    </row>
    <row r="1046" spans="1:108" s="597" customFormat="1" outlineLevel="3">
      <c r="A1046" s="611"/>
      <c r="B1046" s="611"/>
      <c r="C1046" s="398"/>
      <c r="D1046" s="398"/>
      <c r="E1046" s="593">
        <v>0</v>
      </c>
      <c r="F1046" s="399"/>
      <c r="G1046" s="399"/>
      <c r="H1046" s="399"/>
      <c r="I1046" s="324">
        <f t="shared" si="786"/>
        <v>0</v>
      </c>
      <c r="J1046" s="315"/>
      <c r="K1046" s="595"/>
      <c r="L1046" s="317">
        <f t="shared" si="781"/>
        <v>0</v>
      </c>
      <c r="M1046" s="317"/>
      <c r="N1046" s="372">
        <f t="shared" si="789"/>
        <v>0</v>
      </c>
      <c r="O1046" s="319">
        <f>L1046*1.1</f>
        <v>0</v>
      </c>
      <c r="P1046" s="319">
        <f t="shared" si="795"/>
        <v>0</v>
      </c>
      <c r="R1046" s="317"/>
      <c r="U1046" s="320"/>
    </row>
    <row r="1047" spans="1:108" s="337" customFormat="1" outlineLevel="2">
      <c r="A1047" s="612"/>
      <c r="B1047" s="612"/>
      <c r="C1047" s="633"/>
      <c r="D1047" s="338" t="s">
        <v>201</v>
      </c>
      <c r="E1047" s="622">
        <f>E1045+E1041+E1038+E1036+E1033+E1030+E1027+E1025+E1021+E1018+E1016</f>
        <v>10955124.65</v>
      </c>
      <c r="F1047" s="622">
        <f t="shared" ref="F1047:P1047" si="799">F1045+F1041+F1038+F1036+F1033+F1030+F1027+F1025+F1021+F1018+F1016</f>
        <v>0</v>
      </c>
      <c r="G1047" s="622">
        <f t="shared" si="799"/>
        <v>0</v>
      </c>
      <c r="H1047" s="622">
        <f t="shared" si="799"/>
        <v>-241700</v>
      </c>
      <c r="I1047" s="622">
        <f t="shared" si="799"/>
        <v>10713424.65</v>
      </c>
      <c r="J1047" s="622">
        <f t="shared" si="799"/>
        <v>0</v>
      </c>
      <c r="K1047" s="622">
        <f t="shared" si="799"/>
        <v>355000</v>
      </c>
      <c r="L1047" s="317">
        <f t="shared" si="781"/>
        <v>11068424.65</v>
      </c>
      <c r="M1047" s="317"/>
      <c r="N1047" s="372">
        <f t="shared" si="789"/>
        <v>-355000</v>
      </c>
      <c r="O1047" s="622">
        <f t="shared" si="799"/>
        <v>12175267.115</v>
      </c>
      <c r="P1047" s="622">
        <f t="shared" si="799"/>
        <v>13392793.826500002</v>
      </c>
      <c r="R1047" s="317"/>
      <c r="U1047" s="320"/>
    </row>
    <row r="1048" spans="1:108" outlineLevel="2">
      <c r="A1048" s="628"/>
      <c r="B1048" s="628"/>
      <c r="C1048" s="629"/>
      <c r="D1048" s="630"/>
      <c r="E1048" s="631"/>
      <c r="F1048" s="632"/>
      <c r="G1048" s="632"/>
      <c r="H1048" s="632"/>
      <c r="I1048" s="324">
        <f t="shared" si="786"/>
        <v>0</v>
      </c>
      <c r="J1048" s="315"/>
      <c r="K1048" s="595"/>
      <c r="L1048" s="317">
        <f t="shared" si="781"/>
        <v>0</v>
      </c>
      <c r="M1048" s="317"/>
      <c r="N1048" s="372">
        <f t="shared" si="789"/>
        <v>0</v>
      </c>
      <c r="O1048" s="319">
        <f>L1048*1.1</f>
        <v>0</v>
      </c>
      <c r="P1048" s="319">
        <f t="shared" si="795"/>
        <v>0</v>
      </c>
      <c r="R1048" s="317"/>
      <c r="U1048" s="320"/>
    </row>
    <row r="1049" spans="1:108" outlineLevel="2">
      <c r="A1049" s="612"/>
      <c r="B1049" s="612"/>
      <c r="C1049" s="340"/>
      <c r="D1049" s="338" t="s">
        <v>217</v>
      </c>
      <c r="E1049" s="622"/>
      <c r="F1049" s="397"/>
      <c r="G1049" s="397"/>
      <c r="H1049" s="397"/>
      <c r="I1049" s="324">
        <f t="shared" si="786"/>
        <v>0</v>
      </c>
      <c r="J1049" s="315"/>
      <c r="K1049" s="595"/>
      <c r="L1049" s="317">
        <f t="shared" si="781"/>
        <v>0</v>
      </c>
      <c r="M1049" s="317"/>
      <c r="N1049" s="372">
        <f t="shared" si="789"/>
        <v>0</v>
      </c>
      <c r="O1049" s="319">
        <f>L1049*1.1</f>
        <v>0</v>
      </c>
      <c r="P1049" s="319">
        <f t="shared" si="795"/>
        <v>0</v>
      </c>
      <c r="R1049" s="317"/>
      <c r="U1049" s="320"/>
    </row>
    <row r="1050" spans="1:108" outlineLevel="3">
      <c r="A1050" s="611"/>
      <c r="B1050" s="634"/>
      <c r="C1050" s="332">
        <v>3110504</v>
      </c>
      <c r="D1050" s="332" t="s">
        <v>235</v>
      </c>
      <c r="E1050" s="593">
        <v>1000000</v>
      </c>
      <c r="F1050" s="334"/>
      <c r="G1050" s="334"/>
      <c r="H1050" s="334"/>
      <c r="I1050" s="324">
        <f t="shared" si="786"/>
        <v>1000000</v>
      </c>
      <c r="J1050" s="315"/>
      <c r="K1050" s="595"/>
      <c r="L1050" s="317">
        <f t="shared" si="781"/>
        <v>1000000</v>
      </c>
      <c r="M1050" s="317"/>
      <c r="N1050" s="372">
        <f t="shared" si="789"/>
        <v>0</v>
      </c>
      <c r="O1050" s="319">
        <f>L1050*1.1</f>
        <v>1100000</v>
      </c>
      <c r="P1050" s="319">
        <f t="shared" si="795"/>
        <v>1210000</v>
      </c>
      <c r="R1050" s="317"/>
      <c r="U1050" s="320"/>
    </row>
    <row r="1051" spans="1:108" outlineLevel="3">
      <c r="A1051" s="611"/>
      <c r="B1051" s="634"/>
      <c r="C1051" s="332">
        <v>3110504</v>
      </c>
      <c r="D1051" s="332" t="s">
        <v>1519</v>
      </c>
      <c r="E1051" s="593">
        <f>6542546-1000000</f>
        <v>5542546</v>
      </c>
      <c r="F1051" s="334"/>
      <c r="G1051" s="334"/>
      <c r="H1051" s="593">
        <v>-500000</v>
      </c>
      <c r="I1051" s="324">
        <f t="shared" si="786"/>
        <v>5042546</v>
      </c>
      <c r="J1051" s="315">
        <v>-2500000</v>
      </c>
      <c r="K1051" s="595">
        <v>0</v>
      </c>
      <c r="L1051" s="317">
        <f t="shared" si="781"/>
        <v>2542546</v>
      </c>
      <c r="M1051" s="317"/>
      <c r="N1051" s="372">
        <f t="shared" si="789"/>
        <v>0</v>
      </c>
      <c r="O1051" s="319">
        <f>L1051*1.1</f>
        <v>2796800.6</v>
      </c>
      <c r="P1051" s="319">
        <f t="shared" si="795"/>
        <v>3076480.66</v>
      </c>
      <c r="R1051" s="317"/>
      <c r="U1051" s="320" t="s">
        <v>1803</v>
      </c>
    </row>
    <row r="1052" spans="1:108" outlineLevel="3">
      <c r="A1052" s="611"/>
      <c r="B1052" s="634"/>
      <c r="C1052" s="332">
        <v>3110504</v>
      </c>
      <c r="D1052" s="332" t="s">
        <v>236</v>
      </c>
      <c r="E1052" s="593">
        <f>1100000-16999</f>
        <v>1083001</v>
      </c>
      <c r="F1052" s="334"/>
      <c r="G1052" s="334"/>
      <c r="H1052" s="593"/>
      <c r="I1052" s="324">
        <f t="shared" si="786"/>
        <v>1083001</v>
      </c>
      <c r="J1052" s="315"/>
      <c r="K1052" s="595"/>
      <c r="L1052" s="317">
        <f t="shared" si="781"/>
        <v>1083001</v>
      </c>
      <c r="M1052" s="317"/>
      <c r="N1052" s="372">
        <f t="shared" si="789"/>
        <v>0</v>
      </c>
      <c r="O1052" s="319">
        <f>L1052*1.1</f>
        <v>1191301.1000000001</v>
      </c>
      <c r="P1052" s="319">
        <f t="shared" si="795"/>
        <v>1310431.2100000002</v>
      </c>
      <c r="R1052" s="317"/>
      <c r="U1052" s="320"/>
    </row>
    <row r="1053" spans="1:108" outlineLevel="3">
      <c r="A1053" s="611"/>
      <c r="B1053" s="634"/>
      <c r="C1053" s="332">
        <v>3110504</v>
      </c>
      <c r="D1053" s="332" t="s">
        <v>2031</v>
      </c>
      <c r="E1053" s="593">
        <v>10000000</v>
      </c>
      <c r="F1053" s="334"/>
      <c r="G1053" s="334"/>
      <c r="H1053" s="593">
        <v>-500000</v>
      </c>
      <c r="I1053" s="324">
        <f t="shared" si="786"/>
        <v>9500000</v>
      </c>
      <c r="J1053" s="315"/>
      <c r="K1053" s="595"/>
      <c r="L1053" s="317">
        <f t="shared" si="781"/>
        <v>9500000</v>
      </c>
      <c r="M1053" s="317"/>
      <c r="N1053" s="372">
        <f t="shared" si="789"/>
        <v>0</v>
      </c>
      <c r="O1053" s="319"/>
      <c r="P1053" s="319"/>
      <c r="R1053" s="317"/>
      <c r="U1053" s="320"/>
    </row>
    <row r="1054" spans="1:108" outlineLevel="3">
      <c r="A1054" s="611"/>
      <c r="B1054" s="634"/>
      <c r="C1054" s="332">
        <v>3110504</v>
      </c>
      <c r="D1054" s="332" t="s">
        <v>2069</v>
      </c>
      <c r="E1054" s="593">
        <v>0</v>
      </c>
      <c r="F1054" s="593"/>
      <c r="G1054" s="593">
        <v>2000000</v>
      </c>
      <c r="H1054" s="593">
        <v>0</v>
      </c>
      <c r="I1054" s="324">
        <f t="shared" si="786"/>
        <v>2000000</v>
      </c>
      <c r="J1054" s="523"/>
      <c r="K1054" s="595"/>
      <c r="L1054" s="317">
        <f t="shared" si="781"/>
        <v>2000000</v>
      </c>
      <c r="M1054" s="317"/>
      <c r="N1054" s="372">
        <f t="shared" si="789"/>
        <v>0</v>
      </c>
      <c r="O1054" s="319"/>
      <c r="P1054" s="319"/>
      <c r="R1054" s="317"/>
      <c r="U1054" s="320"/>
      <c r="DD1054" s="614"/>
    </row>
    <row r="1055" spans="1:108" s="337" customFormat="1" outlineLevel="2">
      <c r="A1055" s="612"/>
      <c r="B1055" s="612"/>
      <c r="C1055" s="340"/>
      <c r="D1055" s="338" t="s">
        <v>175</v>
      </c>
      <c r="E1055" s="622">
        <f>E1050+E1051+E1052+E1053+E1054</f>
        <v>17625547</v>
      </c>
      <c r="F1055" s="622">
        <f t="shared" ref="F1055:K1055" si="800">F1050+F1051+F1052+F1053+F1054</f>
        <v>0</v>
      </c>
      <c r="G1055" s="622">
        <f t="shared" si="800"/>
        <v>2000000</v>
      </c>
      <c r="H1055" s="622">
        <f t="shared" si="800"/>
        <v>-1000000</v>
      </c>
      <c r="I1055" s="622">
        <f t="shared" si="800"/>
        <v>18625547</v>
      </c>
      <c r="J1055" s="622">
        <f t="shared" si="800"/>
        <v>-2500000</v>
      </c>
      <c r="K1055" s="622">
        <f t="shared" si="800"/>
        <v>0</v>
      </c>
      <c r="L1055" s="317">
        <f t="shared" si="781"/>
        <v>16125547</v>
      </c>
      <c r="M1055" s="317"/>
      <c r="N1055" s="372">
        <f t="shared" si="789"/>
        <v>0</v>
      </c>
      <c r="O1055" s="622">
        <f t="shared" ref="O1055:P1055" si="801">O1050+O1051+O1052+O1053+O1054</f>
        <v>5088101.7</v>
      </c>
      <c r="P1055" s="622">
        <f t="shared" si="801"/>
        <v>5596911.8700000001</v>
      </c>
      <c r="R1055" s="317"/>
      <c r="U1055" s="320"/>
    </row>
    <row r="1056" spans="1:108" s="337" customFormat="1" outlineLevel="1">
      <c r="A1056" s="612"/>
      <c r="B1056" s="612"/>
      <c r="C1056" s="340"/>
      <c r="D1056" s="338" t="s">
        <v>237</v>
      </c>
      <c r="E1056" s="622">
        <f>E1055+E1047</f>
        <v>28580671.649999999</v>
      </c>
      <c r="F1056" s="622">
        <f t="shared" ref="F1056:K1056" si="802">F1055+F1047</f>
        <v>0</v>
      </c>
      <c r="G1056" s="622">
        <f t="shared" si="802"/>
        <v>2000000</v>
      </c>
      <c r="H1056" s="622">
        <f t="shared" si="802"/>
        <v>-1241700</v>
      </c>
      <c r="I1056" s="622">
        <f t="shared" si="802"/>
        <v>29338971.649999999</v>
      </c>
      <c r="J1056" s="622">
        <f t="shared" si="802"/>
        <v>-2500000</v>
      </c>
      <c r="K1056" s="622">
        <f t="shared" si="802"/>
        <v>355000</v>
      </c>
      <c r="L1056" s="317">
        <f t="shared" si="781"/>
        <v>27193971.649999999</v>
      </c>
      <c r="M1056" s="317"/>
      <c r="N1056" s="372">
        <f t="shared" si="789"/>
        <v>-355000</v>
      </c>
      <c r="O1056" s="622">
        <f t="shared" ref="O1056:P1056" si="803">O1055+O1047</f>
        <v>17263368.815000001</v>
      </c>
      <c r="P1056" s="622">
        <f t="shared" si="803"/>
        <v>18989705.696500003</v>
      </c>
      <c r="R1056" s="317"/>
      <c r="U1056" s="320"/>
    </row>
    <row r="1057" spans="1:21" s="337" customFormat="1" outlineLevel="1">
      <c r="A1057" s="612"/>
      <c r="B1057" s="612"/>
      <c r="C1057" s="340"/>
      <c r="D1057" s="338" t="s">
        <v>238</v>
      </c>
      <c r="E1057" s="622">
        <f>E1047+E1007+E962+E906</f>
        <v>95489218.002000004</v>
      </c>
      <c r="F1057" s="622">
        <f t="shared" ref="F1057:P1057" si="804">F1047+F1007+F962+F906</f>
        <v>2886610</v>
      </c>
      <c r="G1057" s="622">
        <f t="shared" si="804"/>
        <v>1300000</v>
      </c>
      <c r="H1057" s="622">
        <f t="shared" si="804"/>
        <v>-128658</v>
      </c>
      <c r="I1057" s="622">
        <f t="shared" si="804"/>
        <v>99547170.002000004</v>
      </c>
      <c r="J1057" s="622">
        <f t="shared" si="804"/>
        <v>0</v>
      </c>
      <c r="K1057" s="622">
        <f t="shared" si="804"/>
        <v>0</v>
      </c>
      <c r="L1057" s="317">
        <f t="shared" si="781"/>
        <v>99547170.002000004</v>
      </c>
      <c r="M1057" s="317"/>
      <c r="N1057" s="372">
        <f t="shared" si="789"/>
        <v>0</v>
      </c>
      <c r="O1057" s="622">
        <f t="shared" si="804"/>
        <v>106794017.00220001</v>
      </c>
      <c r="P1057" s="622">
        <f t="shared" si="804"/>
        <v>117473418.70242001</v>
      </c>
      <c r="R1057" s="317"/>
      <c r="U1057" s="320"/>
    </row>
    <row r="1058" spans="1:21" s="337" customFormat="1" outlineLevel="1">
      <c r="A1058" s="612"/>
      <c r="B1058" s="612"/>
      <c r="C1058" s="340"/>
      <c r="D1058" s="338" t="s">
        <v>239</v>
      </c>
      <c r="E1058" s="622">
        <f>E1055+E1011+E966</f>
        <v>22152808</v>
      </c>
      <c r="F1058" s="622">
        <f t="shared" ref="F1058:P1058" si="805">F1055+F1011+F966</f>
        <v>0</v>
      </c>
      <c r="G1058" s="622">
        <f t="shared" si="805"/>
        <v>2000000</v>
      </c>
      <c r="H1058" s="622">
        <f t="shared" si="805"/>
        <v>-2000000</v>
      </c>
      <c r="I1058" s="622">
        <f t="shared" si="805"/>
        <v>22152808</v>
      </c>
      <c r="J1058" s="622">
        <f t="shared" si="805"/>
        <v>-2500000</v>
      </c>
      <c r="K1058" s="622">
        <f t="shared" si="805"/>
        <v>0</v>
      </c>
      <c r="L1058" s="317">
        <f t="shared" si="781"/>
        <v>19652808</v>
      </c>
      <c r="M1058" s="317"/>
      <c r="N1058" s="372">
        <f t="shared" si="789"/>
        <v>0</v>
      </c>
      <c r="O1058" s="622">
        <f t="shared" si="805"/>
        <v>8968088.8000000007</v>
      </c>
      <c r="P1058" s="622">
        <f t="shared" si="805"/>
        <v>9864897.6800000016</v>
      </c>
      <c r="R1058" s="317"/>
      <c r="U1058" s="320"/>
    </row>
    <row r="1059" spans="1:21" s="337" customFormat="1" outlineLevel="1">
      <c r="A1059" s="612"/>
      <c r="B1059" s="612"/>
      <c r="C1059" s="635" t="s">
        <v>240</v>
      </c>
      <c r="D1059" s="636"/>
      <c r="E1059" s="622">
        <f>E1058+E1057</f>
        <v>117642026.002</v>
      </c>
      <c r="F1059" s="622">
        <f t="shared" ref="F1059:P1059" si="806">F1058+F1057</f>
        <v>2886610</v>
      </c>
      <c r="G1059" s="622">
        <f t="shared" si="806"/>
        <v>3300000</v>
      </c>
      <c r="H1059" s="622">
        <f t="shared" si="806"/>
        <v>-2128658</v>
      </c>
      <c r="I1059" s="622">
        <f t="shared" si="806"/>
        <v>121699978.002</v>
      </c>
      <c r="J1059" s="622">
        <f t="shared" si="806"/>
        <v>-2500000</v>
      </c>
      <c r="K1059" s="622">
        <f t="shared" si="806"/>
        <v>0</v>
      </c>
      <c r="L1059" s="317">
        <f t="shared" si="781"/>
        <v>119199978.002</v>
      </c>
      <c r="M1059" s="317"/>
      <c r="N1059" s="372">
        <f t="shared" si="789"/>
        <v>0</v>
      </c>
      <c r="O1059" s="622">
        <f t="shared" si="806"/>
        <v>115762105.8022</v>
      </c>
      <c r="P1059" s="622">
        <f t="shared" si="806"/>
        <v>127338316.38242002</v>
      </c>
      <c r="R1059" s="317"/>
      <c r="U1059" s="320"/>
    </row>
    <row r="1060" spans="1:21" s="625" customFormat="1" outlineLevel="1">
      <c r="A1060" s="630"/>
      <c r="B1060" s="630"/>
      <c r="C1060" s="629"/>
      <c r="D1060" s="630"/>
      <c r="E1060" s="631"/>
      <c r="F1060" s="632"/>
      <c r="G1060" s="632"/>
      <c r="H1060" s="632"/>
      <c r="I1060" s="324">
        <f t="shared" si="786"/>
        <v>0</v>
      </c>
      <c r="J1060" s="315"/>
      <c r="K1060" s="595"/>
      <c r="L1060" s="317">
        <f t="shared" si="781"/>
        <v>0</v>
      </c>
      <c r="M1060" s="317"/>
      <c r="N1060" s="372">
        <f t="shared" si="789"/>
        <v>0</v>
      </c>
      <c r="O1060" s="319">
        <f>L1060*1.1</f>
        <v>0</v>
      </c>
      <c r="P1060" s="319">
        <f t="shared" ref="P1060:P1077" si="807">O1060*1.1</f>
        <v>0</v>
      </c>
      <c r="R1060" s="317"/>
      <c r="U1060" s="320"/>
    </row>
    <row r="1061" spans="1:21" outlineLevel="1">
      <c r="A1061" s="612"/>
      <c r="B1061" s="612"/>
      <c r="C1061" s="314" t="s">
        <v>241</v>
      </c>
      <c r="D1061" s="314"/>
      <c r="E1061" s="575"/>
      <c r="F1061" s="316"/>
      <c r="G1061" s="316"/>
      <c r="H1061" s="316"/>
      <c r="I1061" s="324">
        <f t="shared" si="786"/>
        <v>0</v>
      </c>
      <c r="J1061" s="315"/>
      <c r="K1061" s="595"/>
      <c r="L1061" s="317">
        <f t="shared" si="781"/>
        <v>0</v>
      </c>
      <c r="M1061" s="317"/>
      <c r="N1061" s="372">
        <f t="shared" si="789"/>
        <v>0</v>
      </c>
      <c r="O1061" s="319">
        <f>L1061*1.1</f>
        <v>0</v>
      </c>
      <c r="P1061" s="319">
        <f t="shared" si="807"/>
        <v>0</v>
      </c>
      <c r="R1061" s="317"/>
      <c r="U1061" s="320"/>
    </row>
    <row r="1062" spans="1:21" outlineLevel="1">
      <c r="A1062" s="612"/>
      <c r="B1062" s="612"/>
      <c r="C1062" s="314" t="s">
        <v>242</v>
      </c>
      <c r="D1062" s="314"/>
      <c r="E1062" s="575"/>
      <c r="F1062" s="316"/>
      <c r="G1062" s="316"/>
      <c r="H1062" s="316"/>
      <c r="I1062" s="324">
        <f t="shared" si="786"/>
        <v>0</v>
      </c>
      <c r="J1062" s="315"/>
      <c r="K1062" s="595"/>
      <c r="L1062" s="317">
        <f t="shared" si="781"/>
        <v>0</v>
      </c>
      <c r="M1062" s="317"/>
      <c r="N1062" s="372">
        <f t="shared" si="789"/>
        <v>0</v>
      </c>
      <c r="O1062" s="319">
        <f>L1062*1.1</f>
        <v>0</v>
      </c>
      <c r="P1062" s="319">
        <f t="shared" si="807"/>
        <v>0</v>
      </c>
      <c r="R1062" s="317"/>
      <c r="U1062" s="320"/>
    </row>
    <row r="1063" spans="1:21" s="337" customFormat="1" outlineLevel="2">
      <c r="A1063" s="326"/>
      <c r="B1063" s="326"/>
      <c r="C1063" s="339">
        <v>2110100</v>
      </c>
      <c r="D1063" s="340" t="s">
        <v>13</v>
      </c>
      <c r="E1063" s="590">
        <f>E1064+E1065</f>
        <v>8261946</v>
      </c>
      <c r="F1063" s="590">
        <f t="shared" ref="F1063:P1063" si="808">F1064+F1065</f>
        <v>0</v>
      </c>
      <c r="G1063" s="590">
        <f t="shared" si="808"/>
        <v>0</v>
      </c>
      <c r="H1063" s="590">
        <f t="shared" si="808"/>
        <v>0</v>
      </c>
      <c r="I1063" s="590">
        <f t="shared" si="808"/>
        <v>8261946</v>
      </c>
      <c r="J1063" s="590">
        <f t="shared" si="808"/>
        <v>0</v>
      </c>
      <c r="K1063" s="590">
        <f t="shared" si="808"/>
        <v>0</v>
      </c>
      <c r="L1063" s="317">
        <f t="shared" si="781"/>
        <v>8261946</v>
      </c>
      <c r="M1063" s="317"/>
      <c r="N1063" s="372">
        <f t="shared" si="789"/>
        <v>0</v>
      </c>
      <c r="O1063" s="590">
        <f t="shared" si="808"/>
        <v>9088140.6000000015</v>
      </c>
      <c r="P1063" s="590">
        <f t="shared" si="808"/>
        <v>9996954.660000002</v>
      </c>
      <c r="R1063" s="317"/>
      <c r="U1063" s="320"/>
    </row>
    <row r="1064" spans="1:21" outlineLevel="2">
      <c r="A1064" s="345"/>
      <c r="B1064" s="345"/>
      <c r="C1064" s="331">
        <v>2110101</v>
      </c>
      <c r="D1064" s="332" t="s">
        <v>14</v>
      </c>
      <c r="E1064" s="593">
        <v>8261946</v>
      </c>
      <c r="F1064" s="334"/>
      <c r="G1064" s="334"/>
      <c r="H1064" s="334"/>
      <c r="I1064" s="324">
        <f t="shared" si="786"/>
        <v>8261946</v>
      </c>
      <c r="J1064" s="315"/>
      <c r="K1064" s="595">
        <v>0</v>
      </c>
      <c r="L1064" s="317">
        <f t="shared" si="781"/>
        <v>8261946</v>
      </c>
      <c r="M1064" s="317"/>
      <c r="N1064" s="372">
        <f t="shared" si="789"/>
        <v>0</v>
      </c>
      <c r="O1064" s="319">
        <f>L1064*1.1</f>
        <v>9088140.6000000015</v>
      </c>
      <c r="P1064" s="319">
        <f t="shared" si="807"/>
        <v>9996954.660000002</v>
      </c>
      <c r="R1064" s="317"/>
      <c r="U1064" s="320"/>
    </row>
    <row r="1065" spans="1:21" s="350" customFormat="1" outlineLevel="2">
      <c r="A1065" s="356"/>
      <c r="B1065" s="356"/>
      <c r="C1065" s="331">
        <v>2110101</v>
      </c>
      <c r="D1065" s="332" t="s">
        <v>243</v>
      </c>
      <c r="E1065" s="593">
        <v>0</v>
      </c>
      <c r="F1065" s="334"/>
      <c r="G1065" s="334"/>
      <c r="H1065" s="334"/>
      <c r="I1065" s="324">
        <f t="shared" si="786"/>
        <v>0</v>
      </c>
      <c r="J1065" s="315"/>
      <c r="K1065" s="595"/>
      <c r="L1065" s="317">
        <f t="shared" si="781"/>
        <v>0</v>
      </c>
      <c r="M1065" s="317"/>
      <c r="N1065" s="372">
        <f t="shared" si="789"/>
        <v>0</v>
      </c>
      <c r="O1065" s="319">
        <f>L1065*1.1</f>
        <v>0</v>
      </c>
      <c r="P1065" s="319">
        <f t="shared" si="807"/>
        <v>0</v>
      </c>
      <c r="R1065" s="317"/>
      <c r="U1065" s="320"/>
    </row>
    <row r="1066" spans="1:21" s="627" customFormat="1" outlineLevel="2">
      <c r="A1066" s="326"/>
      <c r="B1066" s="326"/>
      <c r="C1066" s="339" t="s">
        <v>244</v>
      </c>
      <c r="D1066" s="340" t="s">
        <v>16</v>
      </c>
      <c r="E1066" s="590">
        <f>E1067+E1068+E1069</f>
        <v>26699</v>
      </c>
      <c r="F1066" s="590">
        <f t="shared" ref="F1066:K1066" si="809">F1067+F1068+F1069</f>
        <v>0</v>
      </c>
      <c r="G1066" s="590">
        <f t="shared" si="809"/>
        <v>0</v>
      </c>
      <c r="H1066" s="590">
        <f t="shared" si="809"/>
        <v>0</v>
      </c>
      <c r="I1066" s="590">
        <f t="shared" si="809"/>
        <v>26699</v>
      </c>
      <c r="J1066" s="590">
        <f t="shared" si="809"/>
        <v>0</v>
      </c>
      <c r="K1066" s="590">
        <f t="shared" si="809"/>
        <v>-25800</v>
      </c>
      <c r="L1066" s="317">
        <f t="shared" si="781"/>
        <v>899</v>
      </c>
      <c r="M1066" s="317"/>
      <c r="N1066" s="372">
        <f t="shared" si="789"/>
        <v>25800</v>
      </c>
      <c r="O1066" s="590">
        <f t="shared" ref="O1066:P1066" si="810">O1067+O1068+O1069</f>
        <v>988.90000000000111</v>
      </c>
      <c r="P1066" s="590">
        <f t="shared" si="810"/>
        <v>1087.7900000000013</v>
      </c>
      <c r="R1066" s="317"/>
      <c r="U1066" s="320"/>
    </row>
    <row r="1067" spans="1:21" outlineLevel="2">
      <c r="A1067" s="345"/>
      <c r="B1067" s="345"/>
      <c r="C1067" s="331">
        <v>2210101</v>
      </c>
      <c r="D1067" s="332" t="s">
        <v>17</v>
      </c>
      <c r="E1067" s="593">
        <v>10000</v>
      </c>
      <c r="F1067" s="334"/>
      <c r="G1067" s="334"/>
      <c r="H1067" s="334"/>
      <c r="I1067" s="324">
        <f t="shared" si="786"/>
        <v>10000</v>
      </c>
      <c r="J1067" s="315"/>
      <c r="K1067" s="595">
        <v>-10000</v>
      </c>
      <c r="L1067" s="317">
        <f t="shared" si="781"/>
        <v>0</v>
      </c>
      <c r="M1067" s="317"/>
      <c r="N1067" s="372">
        <f t="shared" si="789"/>
        <v>10000</v>
      </c>
      <c r="O1067" s="319">
        <f>L1067*1.1</f>
        <v>0</v>
      </c>
      <c r="P1067" s="319">
        <f t="shared" si="807"/>
        <v>0</v>
      </c>
      <c r="R1067" s="317"/>
      <c r="U1067" s="320"/>
    </row>
    <row r="1068" spans="1:21" outlineLevel="2">
      <c r="A1068" s="345"/>
      <c r="B1068" s="345"/>
      <c r="C1068" s="331">
        <v>2210102</v>
      </c>
      <c r="D1068" s="332" t="s">
        <v>18</v>
      </c>
      <c r="E1068" s="593">
        <v>10000</v>
      </c>
      <c r="F1068" s="334"/>
      <c r="G1068" s="334"/>
      <c r="H1068" s="334"/>
      <c r="I1068" s="324">
        <f t="shared" si="786"/>
        <v>10000</v>
      </c>
      <c r="J1068" s="315"/>
      <c r="K1068" s="595">
        <v>-9800</v>
      </c>
      <c r="L1068" s="317">
        <f t="shared" si="781"/>
        <v>200</v>
      </c>
      <c r="M1068" s="317"/>
      <c r="N1068" s="372">
        <f t="shared" si="789"/>
        <v>9800</v>
      </c>
      <c r="O1068" s="319">
        <f>L1068*1.1</f>
        <v>220.00000000000003</v>
      </c>
      <c r="P1068" s="319">
        <f t="shared" si="807"/>
        <v>242.00000000000006</v>
      </c>
      <c r="R1068" s="317"/>
      <c r="U1068" s="320"/>
    </row>
    <row r="1069" spans="1:21" outlineLevel="2">
      <c r="A1069" s="345"/>
      <c r="B1069" s="345"/>
      <c r="C1069" s="331">
        <v>2210103</v>
      </c>
      <c r="D1069" s="332" t="s">
        <v>23</v>
      </c>
      <c r="E1069" s="593">
        <v>6699.0000000000009</v>
      </c>
      <c r="F1069" s="334"/>
      <c r="G1069" s="334"/>
      <c r="H1069" s="334"/>
      <c r="I1069" s="324">
        <f t="shared" si="786"/>
        <v>6699.0000000000009</v>
      </c>
      <c r="J1069" s="315"/>
      <c r="K1069" s="595">
        <v>-6000</v>
      </c>
      <c r="L1069" s="317">
        <f t="shared" si="781"/>
        <v>699.00000000000091</v>
      </c>
      <c r="M1069" s="317"/>
      <c r="N1069" s="372">
        <f t="shared" si="789"/>
        <v>6000</v>
      </c>
      <c r="O1069" s="319">
        <f>L1069*1.1</f>
        <v>768.90000000000111</v>
      </c>
      <c r="P1069" s="319">
        <f t="shared" si="807"/>
        <v>845.79000000000133</v>
      </c>
      <c r="R1069" s="317"/>
      <c r="U1069" s="320"/>
    </row>
    <row r="1070" spans="1:21" s="627" customFormat="1" outlineLevel="2">
      <c r="A1070" s="326"/>
      <c r="B1070" s="326"/>
      <c r="C1070" s="339">
        <v>2210200</v>
      </c>
      <c r="D1070" s="343" t="s">
        <v>20</v>
      </c>
      <c r="E1070" s="590">
        <f>E1071+E1072</f>
        <v>167500</v>
      </c>
      <c r="F1070" s="590">
        <f t="shared" ref="F1070:P1070" si="811">F1071+F1072</f>
        <v>0</v>
      </c>
      <c r="G1070" s="590">
        <f t="shared" si="811"/>
        <v>0</v>
      </c>
      <c r="H1070" s="590">
        <f t="shared" si="811"/>
        <v>0</v>
      </c>
      <c r="I1070" s="590">
        <f t="shared" si="811"/>
        <v>167500</v>
      </c>
      <c r="J1070" s="590">
        <f t="shared" si="811"/>
        <v>0</v>
      </c>
      <c r="K1070" s="590">
        <f t="shared" si="811"/>
        <v>-10000</v>
      </c>
      <c r="L1070" s="317">
        <f t="shared" si="781"/>
        <v>157500</v>
      </c>
      <c r="M1070" s="317"/>
      <c r="N1070" s="372">
        <f t="shared" si="789"/>
        <v>10000</v>
      </c>
      <c r="O1070" s="590">
        <f t="shared" si="811"/>
        <v>173250</v>
      </c>
      <c r="P1070" s="590">
        <f t="shared" si="811"/>
        <v>190575.00000000003</v>
      </c>
      <c r="R1070" s="317"/>
      <c r="U1070" s="320"/>
    </row>
    <row r="1071" spans="1:21" outlineLevel="2">
      <c r="A1071" s="345"/>
      <c r="B1071" s="345"/>
      <c r="C1071" s="331">
        <v>2210201</v>
      </c>
      <c r="D1071" s="341" t="s">
        <v>21</v>
      </c>
      <c r="E1071" s="593">
        <v>157500</v>
      </c>
      <c r="F1071" s="334"/>
      <c r="G1071" s="334"/>
      <c r="H1071" s="334"/>
      <c r="I1071" s="324">
        <f t="shared" si="786"/>
        <v>157500</v>
      </c>
      <c r="J1071" s="315"/>
      <c r="K1071" s="595"/>
      <c r="L1071" s="317">
        <f t="shared" si="781"/>
        <v>157500</v>
      </c>
      <c r="M1071" s="317"/>
      <c r="N1071" s="372">
        <f t="shared" si="789"/>
        <v>0</v>
      </c>
      <c r="O1071" s="319">
        <f>L1071*1.1</f>
        <v>173250</v>
      </c>
      <c r="P1071" s="319">
        <f t="shared" si="807"/>
        <v>190575.00000000003</v>
      </c>
      <c r="R1071" s="317"/>
      <c r="U1071" s="320"/>
    </row>
    <row r="1072" spans="1:21" outlineLevel="2">
      <c r="A1072" s="345"/>
      <c r="B1072" s="345"/>
      <c r="C1072" s="331">
        <v>2210202</v>
      </c>
      <c r="D1072" s="341" t="s">
        <v>22</v>
      </c>
      <c r="E1072" s="593">
        <v>10000</v>
      </c>
      <c r="F1072" s="334"/>
      <c r="G1072" s="334"/>
      <c r="H1072" s="334"/>
      <c r="I1072" s="324">
        <f t="shared" si="786"/>
        <v>10000</v>
      </c>
      <c r="J1072" s="315"/>
      <c r="K1072" s="595">
        <v>-10000</v>
      </c>
      <c r="L1072" s="317">
        <f t="shared" si="781"/>
        <v>0</v>
      </c>
      <c r="M1072" s="317"/>
      <c r="N1072" s="372">
        <f t="shared" si="789"/>
        <v>10000</v>
      </c>
      <c r="O1072" s="319">
        <f>L1072*1.1</f>
        <v>0</v>
      </c>
      <c r="P1072" s="319">
        <f t="shared" si="807"/>
        <v>0</v>
      </c>
      <c r="R1072" s="317"/>
      <c r="U1072" s="320"/>
    </row>
    <row r="1073" spans="1:21" s="627" customFormat="1" outlineLevel="2">
      <c r="A1073" s="326"/>
      <c r="B1073" s="326"/>
      <c r="C1073" s="339">
        <v>2210300</v>
      </c>
      <c r="D1073" s="343" t="s">
        <v>24</v>
      </c>
      <c r="E1073" s="590">
        <f>E1074+E1075+E1076+E1077</f>
        <v>2373360</v>
      </c>
      <c r="F1073" s="590">
        <f t="shared" ref="F1073:K1073" si="812">F1074+F1075+F1076+F1077</f>
        <v>0</v>
      </c>
      <c r="G1073" s="590">
        <f t="shared" si="812"/>
        <v>0</v>
      </c>
      <c r="H1073" s="590">
        <f t="shared" si="812"/>
        <v>0</v>
      </c>
      <c r="I1073" s="590">
        <f t="shared" si="812"/>
        <v>2373360</v>
      </c>
      <c r="J1073" s="590">
        <f t="shared" si="812"/>
        <v>0</v>
      </c>
      <c r="K1073" s="590">
        <f t="shared" si="812"/>
        <v>419800</v>
      </c>
      <c r="L1073" s="317">
        <f t="shared" si="781"/>
        <v>2793160</v>
      </c>
      <c r="M1073" s="317"/>
      <c r="N1073" s="372">
        <f t="shared" si="789"/>
        <v>-419800</v>
      </c>
      <c r="O1073" s="590">
        <f t="shared" ref="O1073:P1073" si="813">O1074+O1075+O1076+O1077</f>
        <v>3072476</v>
      </c>
      <c r="P1073" s="590">
        <f t="shared" si="813"/>
        <v>3379723.6</v>
      </c>
      <c r="R1073" s="317"/>
      <c r="U1073" s="320"/>
    </row>
    <row r="1074" spans="1:21" outlineLevel="2">
      <c r="A1074" s="345"/>
      <c r="B1074" s="345"/>
      <c r="C1074" s="331">
        <v>2210301</v>
      </c>
      <c r="D1074" s="341" t="s">
        <v>25</v>
      </c>
      <c r="E1074" s="593">
        <v>510400.00000000006</v>
      </c>
      <c r="F1074" s="334"/>
      <c r="G1074" s="334"/>
      <c r="H1074" s="334"/>
      <c r="I1074" s="324">
        <f t="shared" si="786"/>
        <v>510400.00000000006</v>
      </c>
      <c r="J1074" s="315">
        <v>0</v>
      </c>
      <c r="K1074" s="595">
        <v>19800</v>
      </c>
      <c r="L1074" s="317">
        <f t="shared" si="781"/>
        <v>530200</v>
      </c>
      <c r="M1074" s="317"/>
      <c r="N1074" s="372">
        <f t="shared" si="789"/>
        <v>-19800</v>
      </c>
      <c r="O1074" s="319">
        <f>L1074*1.1</f>
        <v>583220</v>
      </c>
      <c r="P1074" s="319">
        <f t="shared" si="807"/>
        <v>641542</v>
      </c>
      <c r="R1074" s="317"/>
      <c r="U1074" s="320"/>
    </row>
    <row r="1075" spans="1:21" outlineLevel="2">
      <c r="A1075" s="345"/>
      <c r="B1075" s="345"/>
      <c r="C1075" s="331">
        <v>2210302</v>
      </c>
      <c r="D1075" s="341" t="s">
        <v>26</v>
      </c>
      <c r="E1075" s="593">
        <v>669900</v>
      </c>
      <c r="F1075" s="334"/>
      <c r="G1075" s="334"/>
      <c r="H1075" s="334"/>
      <c r="I1075" s="324">
        <f t="shared" si="786"/>
        <v>669900</v>
      </c>
      <c r="J1075" s="315"/>
      <c r="K1075" s="595">
        <v>200000</v>
      </c>
      <c r="L1075" s="317">
        <f t="shared" si="781"/>
        <v>869900</v>
      </c>
      <c r="M1075" s="317"/>
      <c r="N1075" s="372">
        <f t="shared" si="789"/>
        <v>-200000</v>
      </c>
      <c r="O1075" s="319">
        <f>L1075*1.1</f>
        <v>956890.00000000012</v>
      </c>
      <c r="P1075" s="319">
        <f t="shared" si="807"/>
        <v>1052579.0000000002</v>
      </c>
      <c r="R1075" s="317"/>
      <c r="U1075" s="320"/>
    </row>
    <row r="1076" spans="1:21" outlineLevel="2">
      <c r="A1076" s="345"/>
      <c r="B1076" s="345"/>
      <c r="C1076" s="331">
        <v>2210303</v>
      </c>
      <c r="D1076" s="341" t="s">
        <v>27</v>
      </c>
      <c r="E1076" s="593">
        <v>988900.00000000012</v>
      </c>
      <c r="F1076" s="334"/>
      <c r="G1076" s="334"/>
      <c r="H1076" s="334"/>
      <c r="I1076" s="324">
        <f t="shared" si="786"/>
        <v>988900.00000000012</v>
      </c>
      <c r="J1076" s="315"/>
      <c r="K1076" s="595">
        <v>200000</v>
      </c>
      <c r="L1076" s="317">
        <f t="shared" si="781"/>
        <v>1188900</v>
      </c>
      <c r="M1076" s="317"/>
      <c r="N1076" s="372">
        <f t="shared" si="789"/>
        <v>-200000</v>
      </c>
      <c r="O1076" s="319">
        <f>L1076*1.1</f>
        <v>1307790</v>
      </c>
      <c r="P1076" s="319">
        <f t="shared" si="807"/>
        <v>1438569</v>
      </c>
      <c r="R1076" s="317"/>
      <c r="U1076" s="320"/>
    </row>
    <row r="1077" spans="1:21" s="625" customFormat="1" outlineLevel="2">
      <c r="A1077" s="345"/>
      <c r="B1077" s="345"/>
      <c r="C1077" s="332">
        <v>2210304</v>
      </c>
      <c r="D1077" s="332" t="s">
        <v>28</v>
      </c>
      <c r="E1077" s="593">
        <v>204160.00000000003</v>
      </c>
      <c r="F1077" s="334"/>
      <c r="G1077" s="334"/>
      <c r="H1077" s="334"/>
      <c r="I1077" s="324">
        <f t="shared" si="786"/>
        <v>204160.00000000003</v>
      </c>
      <c r="J1077" s="315"/>
      <c r="K1077" s="595"/>
      <c r="L1077" s="317">
        <f t="shared" si="781"/>
        <v>204160.00000000003</v>
      </c>
      <c r="M1077" s="317"/>
      <c r="N1077" s="372">
        <f t="shared" si="789"/>
        <v>0</v>
      </c>
      <c r="O1077" s="319">
        <f>L1077*1.1</f>
        <v>224576.00000000006</v>
      </c>
      <c r="P1077" s="319">
        <f t="shared" si="807"/>
        <v>247033.60000000009</v>
      </c>
      <c r="R1077" s="317"/>
      <c r="U1077" s="320"/>
    </row>
    <row r="1078" spans="1:21" s="337" customFormat="1" outlineLevel="2">
      <c r="A1078" s="326"/>
      <c r="B1078" s="326"/>
      <c r="C1078" s="339">
        <v>2210500</v>
      </c>
      <c r="D1078" s="343" t="s">
        <v>31</v>
      </c>
      <c r="E1078" s="590">
        <f>E1079+E1080+E1081</f>
        <v>455515</v>
      </c>
      <c r="F1078" s="590">
        <f t="shared" ref="F1078:P1078" si="814">F1079+F1080+F1081</f>
        <v>0</v>
      </c>
      <c r="G1078" s="590">
        <f t="shared" si="814"/>
        <v>0</v>
      </c>
      <c r="H1078" s="590">
        <f t="shared" si="814"/>
        <v>-3000</v>
      </c>
      <c r="I1078" s="590">
        <f t="shared" si="814"/>
        <v>452515</v>
      </c>
      <c r="J1078" s="590">
        <f t="shared" si="814"/>
        <v>0</v>
      </c>
      <c r="K1078" s="590">
        <f t="shared" si="814"/>
        <v>400000</v>
      </c>
      <c r="L1078" s="317">
        <f t="shared" si="781"/>
        <v>852515</v>
      </c>
      <c r="M1078" s="317"/>
      <c r="N1078" s="372">
        <f t="shared" si="789"/>
        <v>-400000</v>
      </c>
      <c r="O1078" s="590">
        <f t="shared" si="814"/>
        <v>937766.50000000012</v>
      </c>
      <c r="P1078" s="590">
        <f t="shared" si="814"/>
        <v>1031543.1500000003</v>
      </c>
      <c r="R1078" s="317"/>
      <c r="U1078" s="320"/>
    </row>
    <row r="1079" spans="1:21" s="312" customFormat="1" outlineLevel="2">
      <c r="A1079" s="313"/>
      <c r="B1079" s="313"/>
      <c r="C1079" s="331">
        <v>2210502</v>
      </c>
      <c r="D1079" s="341" t="s">
        <v>245</v>
      </c>
      <c r="E1079" s="593">
        <v>102080.00000000001</v>
      </c>
      <c r="F1079" s="334"/>
      <c r="G1079" s="334"/>
      <c r="H1079" s="334"/>
      <c r="I1079" s="324">
        <f t="shared" si="786"/>
        <v>102080.00000000001</v>
      </c>
      <c r="J1079" s="315"/>
      <c r="K1079" s="595"/>
      <c r="L1079" s="317">
        <f t="shared" si="781"/>
        <v>102080.00000000001</v>
      </c>
      <c r="M1079" s="317"/>
      <c r="N1079" s="372">
        <f t="shared" si="789"/>
        <v>0</v>
      </c>
      <c r="O1079" s="319">
        <f>L1079*1.1</f>
        <v>112288.00000000003</v>
      </c>
      <c r="P1079" s="319">
        <f t="shared" ref="P1079:P1099" si="815">O1079*1.1</f>
        <v>123516.80000000005</v>
      </c>
      <c r="R1079" s="317"/>
      <c r="U1079" s="320"/>
    </row>
    <row r="1080" spans="1:21" s="625" customFormat="1" outlineLevel="2">
      <c r="A1080" s="345"/>
      <c r="B1080" s="345"/>
      <c r="C1080" s="331">
        <v>2210503</v>
      </c>
      <c r="D1080" s="341" t="s">
        <v>32</v>
      </c>
      <c r="E1080" s="593">
        <v>15000</v>
      </c>
      <c r="F1080" s="593"/>
      <c r="G1080" s="593"/>
      <c r="H1080" s="593">
        <v>35000</v>
      </c>
      <c r="I1080" s="324">
        <f t="shared" si="786"/>
        <v>50000</v>
      </c>
      <c r="J1080" s="315"/>
      <c r="K1080" s="595"/>
      <c r="L1080" s="317">
        <f t="shared" si="781"/>
        <v>50000</v>
      </c>
      <c r="M1080" s="317"/>
      <c r="N1080" s="372">
        <f t="shared" si="789"/>
        <v>0</v>
      </c>
      <c r="O1080" s="319">
        <f>L1080*1.1</f>
        <v>55000.000000000007</v>
      </c>
      <c r="P1080" s="319">
        <f t="shared" si="815"/>
        <v>60500.000000000015</v>
      </c>
      <c r="R1080" s="317"/>
      <c r="U1080" s="320"/>
    </row>
    <row r="1081" spans="1:21" outlineLevel="2">
      <c r="A1081" s="345"/>
      <c r="B1081" s="345"/>
      <c r="C1081" s="332">
        <v>2210504</v>
      </c>
      <c r="D1081" s="332" t="s">
        <v>171</v>
      </c>
      <c r="E1081" s="593">
        <f>478500-140065</f>
        <v>338435</v>
      </c>
      <c r="F1081" s="593"/>
      <c r="G1081" s="593"/>
      <c r="H1081" s="593">
        <v>-38000</v>
      </c>
      <c r="I1081" s="324">
        <f t="shared" si="786"/>
        <v>300435</v>
      </c>
      <c r="J1081" s="315"/>
      <c r="K1081" s="595">
        <v>400000</v>
      </c>
      <c r="L1081" s="317">
        <f t="shared" si="781"/>
        <v>700435</v>
      </c>
      <c r="M1081" s="317"/>
      <c r="N1081" s="372">
        <f t="shared" si="789"/>
        <v>-400000</v>
      </c>
      <c r="O1081" s="319">
        <f>L1081*1.1</f>
        <v>770478.50000000012</v>
      </c>
      <c r="P1081" s="319">
        <f t="shared" si="815"/>
        <v>847526.35000000021</v>
      </c>
      <c r="R1081" s="317"/>
      <c r="U1081" s="320"/>
    </row>
    <row r="1082" spans="1:21" s="446" customFormat="1" outlineLevel="2">
      <c r="A1082" s="447"/>
      <c r="B1082" s="447"/>
      <c r="C1082" s="339">
        <v>2210700</v>
      </c>
      <c r="D1082" s="343" t="s">
        <v>35</v>
      </c>
      <c r="E1082" s="590">
        <f>E1083+E1084+E1085+E1086+E1087+E1088+E1089</f>
        <v>949221</v>
      </c>
      <c r="F1082" s="590">
        <f t="shared" ref="F1082:K1082" si="816">F1083+F1084+F1085+F1086+F1087+F1088+F1089</f>
        <v>121298</v>
      </c>
      <c r="G1082" s="590">
        <f t="shared" si="816"/>
        <v>0</v>
      </c>
      <c r="H1082" s="590">
        <f t="shared" si="816"/>
        <v>0</v>
      </c>
      <c r="I1082" s="590">
        <f t="shared" si="816"/>
        <v>1070519</v>
      </c>
      <c r="J1082" s="590">
        <f t="shared" si="816"/>
        <v>0</v>
      </c>
      <c r="K1082" s="590">
        <f t="shared" si="816"/>
        <v>606994</v>
      </c>
      <c r="L1082" s="317">
        <f t="shared" si="781"/>
        <v>1677513</v>
      </c>
      <c r="M1082" s="317"/>
      <c r="N1082" s="372">
        <f t="shared" si="789"/>
        <v>-606994</v>
      </c>
      <c r="O1082" s="590">
        <f t="shared" ref="O1082:P1082" si="817">O1083+O1084+O1085+O1086+O1087+O1088+O1089</f>
        <v>1845264.3000000003</v>
      </c>
      <c r="P1082" s="590">
        <f t="shared" si="817"/>
        <v>2029790.7300000002</v>
      </c>
      <c r="R1082" s="317"/>
      <c r="U1082" s="320"/>
    </row>
    <row r="1083" spans="1:21" outlineLevel="2">
      <c r="A1083" s="345"/>
      <c r="B1083" s="345"/>
      <c r="C1083" s="331">
        <v>2210701</v>
      </c>
      <c r="D1083" s="341" t="s">
        <v>36</v>
      </c>
      <c r="E1083" s="593">
        <v>350000</v>
      </c>
      <c r="F1083" s="593"/>
      <c r="G1083" s="593"/>
      <c r="H1083" s="593"/>
      <c r="I1083" s="324">
        <f t="shared" si="786"/>
        <v>350000</v>
      </c>
      <c r="J1083" s="315"/>
      <c r="K1083" s="595">
        <v>98600</v>
      </c>
      <c r="L1083" s="317">
        <f t="shared" si="781"/>
        <v>448600</v>
      </c>
      <c r="M1083" s="317"/>
      <c r="N1083" s="372">
        <f t="shared" si="789"/>
        <v>-98600</v>
      </c>
      <c r="O1083" s="319">
        <f t="shared" ref="O1083:O1089" si="818">L1083*1.1</f>
        <v>493460.00000000006</v>
      </c>
      <c r="P1083" s="319">
        <f t="shared" si="815"/>
        <v>542806.00000000012</v>
      </c>
      <c r="R1083" s="317"/>
      <c r="U1083" s="320"/>
    </row>
    <row r="1084" spans="1:21" outlineLevel="2">
      <c r="A1084" s="345"/>
      <c r="B1084" s="345"/>
      <c r="C1084" s="331">
        <v>2210702</v>
      </c>
      <c r="D1084" s="341" t="s">
        <v>95</v>
      </c>
      <c r="E1084" s="593">
        <v>100000</v>
      </c>
      <c r="F1084" s="593"/>
      <c r="G1084" s="593"/>
      <c r="H1084" s="593"/>
      <c r="I1084" s="324">
        <f t="shared" si="786"/>
        <v>100000</v>
      </c>
      <c r="J1084" s="315"/>
      <c r="K1084" s="595"/>
      <c r="L1084" s="317">
        <f t="shared" si="781"/>
        <v>100000</v>
      </c>
      <c r="M1084" s="317"/>
      <c r="N1084" s="372">
        <f t="shared" si="789"/>
        <v>0</v>
      </c>
      <c r="O1084" s="319">
        <f t="shared" si="818"/>
        <v>110000.00000000001</v>
      </c>
      <c r="P1084" s="319">
        <f t="shared" si="815"/>
        <v>121000.00000000003</v>
      </c>
      <c r="R1084" s="317"/>
      <c r="U1084" s="320"/>
    </row>
    <row r="1085" spans="1:21" outlineLevel="2">
      <c r="A1085" s="345"/>
      <c r="B1085" s="345"/>
      <c r="C1085" s="331">
        <v>2210703</v>
      </c>
      <c r="D1085" s="341" t="s">
        <v>107</v>
      </c>
      <c r="E1085" s="593">
        <f>149221-50000</f>
        <v>99221</v>
      </c>
      <c r="F1085" s="593"/>
      <c r="G1085" s="593"/>
      <c r="H1085" s="593"/>
      <c r="I1085" s="324">
        <f t="shared" si="786"/>
        <v>99221</v>
      </c>
      <c r="J1085" s="315"/>
      <c r="K1085" s="595"/>
      <c r="L1085" s="317">
        <f t="shared" si="781"/>
        <v>99221</v>
      </c>
      <c r="M1085" s="317"/>
      <c r="N1085" s="372">
        <f t="shared" si="789"/>
        <v>0</v>
      </c>
      <c r="O1085" s="319">
        <f t="shared" si="818"/>
        <v>109143.1</v>
      </c>
      <c r="P1085" s="319">
        <f t="shared" si="815"/>
        <v>120057.41000000002</v>
      </c>
      <c r="R1085" s="317"/>
      <c r="U1085" s="320"/>
    </row>
    <row r="1086" spans="1:21" s="625" customFormat="1" outlineLevel="2">
      <c r="A1086" s="345"/>
      <c r="B1086" s="345"/>
      <c r="C1086" s="331">
        <v>2210704</v>
      </c>
      <c r="D1086" s="341" t="s">
        <v>38</v>
      </c>
      <c r="E1086" s="593">
        <v>100000</v>
      </c>
      <c r="F1086" s="593"/>
      <c r="G1086" s="593"/>
      <c r="H1086" s="593"/>
      <c r="I1086" s="324">
        <f t="shared" si="786"/>
        <v>100000</v>
      </c>
      <c r="J1086" s="315"/>
      <c r="K1086" s="595"/>
      <c r="L1086" s="317">
        <f t="shared" si="781"/>
        <v>100000</v>
      </c>
      <c r="M1086" s="317"/>
      <c r="N1086" s="372">
        <f t="shared" si="789"/>
        <v>0</v>
      </c>
      <c r="O1086" s="319">
        <f t="shared" si="818"/>
        <v>110000.00000000001</v>
      </c>
      <c r="P1086" s="319">
        <f t="shared" si="815"/>
        <v>121000.00000000003</v>
      </c>
      <c r="R1086" s="317"/>
      <c r="U1086" s="320"/>
    </row>
    <row r="1087" spans="1:21" outlineLevel="2">
      <c r="A1087" s="345"/>
      <c r="B1087" s="345"/>
      <c r="C1087" s="331">
        <v>2210710</v>
      </c>
      <c r="D1087" s="341" t="s">
        <v>39</v>
      </c>
      <c r="E1087" s="593">
        <v>100000</v>
      </c>
      <c r="F1087" s="593"/>
      <c r="G1087" s="593"/>
      <c r="H1087" s="593"/>
      <c r="I1087" s="324">
        <f t="shared" si="786"/>
        <v>100000</v>
      </c>
      <c r="J1087" s="315"/>
      <c r="K1087" s="595">
        <f>24545+27500</f>
        <v>52045</v>
      </c>
      <c r="L1087" s="317">
        <f t="shared" si="781"/>
        <v>152045</v>
      </c>
      <c r="M1087" s="317"/>
      <c r="N1087" s="372">
        <f t="shared" si="789"/>
        <v>-52045</v>
      </c>
      <c r="O1087" s="319">
        <f t="shared" si="818"/>
        <v>167249.5</v>
      </c>
      <c r="P1087" s="319">
        <f t="shared" si="815"/>
        <v>183974.45</v>
      </c>
      <c r="R1087" s="317"/>
      <c r="U1087" s="320"/>
    </row>
    <row r="1088" spans="1:21" outlineLevel="2">
      <c r="A1088" s="345"/>
      <c r="B1088" s="345"/>
      <c r="C1088" s="331" t="s">
        <v>1240</v>
      </c>
      <c r="D1088" s="341" t="s">
        <v>1241</v>
      </c>
      <c r="E1088" s="593">
        <v>100000</v>
      </c>
      <c r="F1088" s="593"/>
      <c r="G1088" s="593"/>
      <c r="H1088" s="593"/>
      <c r="I1088" s="324">
        <f t="shared" si="786"/>
        <v>100000</v>
      </c>
      <c r="J1088" s="315"/>
      <c r="K1088" s="595">
        <f>221298+395000+21349</f>
        <v>637647</v>
      </c>
      <c r="L1088" s="317">
        <f t="shared" si="781"/>
        <v>737647</v>
      </c>
      <c r="M1088" s="317"/>
      <c r="N1088" s="372">
        <f t="shared" si="789"/>
        <v>-637647</v>
      </c>
      <c r="O1088" s="319">
        <f t="shared" si="818"/>
        <v>811411.70000000007</v>
      </c>
      <c r="P1088" s="319">
        <f t="shared" si="815"/>
        <v>892552.87000000011</v>
      </c>
      <c r="R1088" s="317"/>
      <c r="U1088" s="320"/>
    </row>
    <row r="1089" spans="1:21" s="625" customFormat="1" outlineLevel="2">
      <c r="A1089" s="345"/>
      <c r="B1089" s="345"/>
      <c r="C1089" s="331">
        <v>2210715</v>
      </c>
      <c r="D1089" s="341" t="s">
        <v>40</v>
      </c>
      <c r="E1089" s="593">
        <v>100000</v>
      </c>
      <c r="F1089" s="616">
        <v>121298</v>
      </c>
      <c r="G1089" s="616"/>
      <c r="H1089" s="593"/>
      <c r="I1089" s="324">
        <f t="shared" si="786"/>
        <v>221298</v>
      </c>
      <c r="J1089" s="315"/>
      <c r="K1089" s="595">
        <v>-181298</v>
      </c>
      <c r="L1089" s="317">
        <f t="shared" si="781"/>
        <v>40000</v>
      </c>
      <c r="M1089" s="317"/>
      <c r="N1089" s="372">
        <f t="shared" si="789"/>
        <v>181298</v>
      </c>
      <c r="O1089" s="319">
        <f t="shared" si="818"/>
        <v>44000</v>
      </c>
      <c r="P1089" s="319">
        <f t="shared" si="815"/>
        <v>48400.000000000007</v>
      </c>
      <c r="R1089" s="317"/>
      <c r="U1089" s="320"/>
    </row>
    <row r="1090" spans="1:21" s="625" customFormat="1" outlineLevel="2">
      <c r="A1090" s="345"/>
      <c r="B1090" s="345"/>
      <c r="C1090" s="339">
        <v>2210800</v>
      </c>
      <c r="D1090" s="343" t="s">
        <v>42</v>
      </c>
      <c r="E1090" s="590">
        <f>E1091+E1092+E1093+E1094</f>
        <v>30500000</v>
      </c>
      <c r="F1090" s="590">
        <f t="shared" ref="F1090:K1090" si="819">F1091+F1092+F1093+F1094</f>
        <v>0</v>
      </c>
      <c r="G1090" s="590">
        <f t="shared" si="819"/>
        <v>500000</v>
      </c>
      <c r="H1090" s="590">
        <f t="shared" si="819"/>
        <v>-50000</v>
      </c>
      <c r="I1090" s="590">
        <f t="shared" si="819"/>
        <v>30950000</v>
      </c>
      <c r="J1090" s="590">
        <f t="shared" si="819"/>
        <v>-832345</v>
      </c>
      <c r="K1090" s="590">
        <f t="shared" si="819"/>
        <v>-8291116</v>
      </c>
      <c r="L1090" s="317">
        <f t="shared" si="781"/>
        <v>21826539</v>
      </c>
      <c r="M1090" s="317"/>
      <c r="N1090" s="372">
        <f t="shared" si="789"/>
        <v>8291116</v>
      </c>
      <c r="O1090" s="590">
        <f t="shared" ref="O1090:P1090" si="820">O1091+O1092+O1093</f>
        <v>21963192.900000002</v>
      </c>
      <c r="P1090" s="590">
        <f t="shared" si="820"/>
        <v>24159512.190000005</v>
      </c>
      <c r="R1090" s="317"/>
      <c r="U1090" s="320"/>
    </row>
    <row r="1091" spans="1:21" s="446" customFormat="1" outlineLevel="2">
      <c r="A1091" s="447"/>
      <c r="B1091" s="447"/>
      <c r="C1091" s="331">
        <v>2210801</v>
      </c>
      <c r="D1091" s="341" t="s">
        <v>2421</v>
      </c>
      <c r="E1091" s="593">
        <v>200000</v>
      </c>
      <c r="F1091" s="593"/>
      <c r="G1091" s="593">
        <v>500000</v>
      </c>
      <c r="H1091" s="593"/>
      <c r="I1091" s="324">
        <f t="shared" si="786"/>
        <v>700000</v>
      </c>
      <c r="J1091" s="315">
        <v>0</v>
      </c>
      <c r="K1091" s="595">
        <f>200000+200000+1500000</f>
        <v>1900000</v>
      </c>
      <c r="L1091" s="317">
        <f t="shared" si="781"/>
        <v>2600000</v>
      </c>
      <c r="M1091" s="317"/>
      <c r="N1091" s="372">
        <f t="shared" si="789"/>
        <v>-1900000</v>
      </c>
      <c r="O1091" s="319">
        <f>L1091*1.1</f>
        <v>2860000</v>
      </c>
      <c r="P1091" s="319">
        <f t="shared" si="815"/>
        <v>3146000.0000000005</v>
      </c>
      <c r="R1091" s="317"/>
      <c r="U1091" s="320"/>
    </row>
    <row r="1092" spans="1:21" s="625" customFormat="1" outlineLevel="2">
      <c r="A1092" s="483"/>
      <c r="B1092" s="483"/>
      <c r="C1092" s="353">
        <v>2210802</v>
      </c>
      <c r="D1092" s="354" t="s">
        <v>246</v>
      </c>
      <c r="E1092" s="637">
        <f>400000-100000</f>
        <v>300000</v>
      </c>
      <c r="F1092" s="637"/>
      <c r="G1092" s="637"/>
      <c r="H1092" s="637">
        <v>-50000</v>
      </c>
      <c r="I1092" s="324">
        <f t="shared" si="786"/>
        <v>250000</v>
      </c>
      <c r="J1092" s="315">
        <v>0</v>
      </c>
      <c r="K1092" s="595">
        <f>217858+200000+1500000</f>
        <v>1917858</v>
      </c>
      <c r="L1092" s="317">
        <f t="shared" ref="L1092:L1155" si="821">I1092+J1092+K1092</f>
        <v>2167858</v>
      </c>
      <c r="M1092" s="317"/>
      <c r="N1092" s="372">
        <f t="shared" si="789"/>
        <v>-1917858</v>
      </c>
      <c r="O1092" s="319">
        <f>L1092*1.1</f>
        <v>2384643.8000000003</v>
      </c>
      <c r="P1092" s="319">
        <f t="shared" si="815"/>
        <v>2623108.1800000006</v>
      </c>
      <c r="R1092" s="317"/>
      <c r="U1092" s="320"/>
    </row>
    <row r="1093" spans="1:21" s="312" customFormat="1" outlineLevel="2">
      <c r="A1093" s="313"/>
      <c r="B1093" s="313"/>
      <c r="C1093" s="331" t="s">
        <v>1520</v>
      </c>
      <c r="D1093" s="341" t="s">
        <v>1521</v>
      </c>
      <c r="E1093" s="593">
        <v>30000000</v>
      </c>
      <c r="F1093" s="593"/>
      <c r="G1093" s="593">
        <f>-5000000+1500000+3500000</f>
        <v>0</v>
      </c>
      <c r="H1093" s="593"/>
      <c r="I1093" s="324">
        <f t="shared" si="786"/>
        <v>30000000</v>
      </c>
      <c r="J1093" s="317">
        <v>-832345</v>
      </c>
      <c r="K1093" s="595">
        <f>-8663679.25+239955+1600000+30000-428929+40000+40000+73679.25-6900000</f>
        <v>-13968974</v>
      </c>
      <c r="L1093" s="317">
        <f t="shared" si="821"/>
        <v>15198681</v>
      </c>
      <c r="M1093" s="2210"/>
      <c r="N1093" s="372">
        <f t="shared" si="789"/>
        <v>13968974</v>
      </c>
      <c r="O1093" s="318">
        <f>L1093*1.1</f>
        <v>16718549.100000001</v>
      </c>
      <c r="P1093" s="319">
        <f t="shared" si="815"/>
        <v>18390404.010000002</v>
      </c>
      <c r="R1093" s="317"/>
      <c r="U1093" s="320" t="s">
        <v>1803</v>
      </c>
    </row>
    <row r="1094" spans="1:21" s="312" customFormat="1" outlineLevel="2">
      <c r="A1094" s="321"/>
      <c r="B1094" s="321"/>
      <c r="C1094" s="331" t="s">
        <v>1243</v>
      </c>
      <c r="D1094" s="341" t="s">
        <v>1244</v>
      </c>
      <c r="E1094" s="638"/>
      <c r="F1094" s="638"/>
      <c r="G1094" s="638"/>
      <c r="H1094" s="638"/>
      <c r="I1094" s="324"/>
      <c r="J1094" s="317">
        <v>0</v>
      </c>
      <c r="K1094" s="595">
        <f>200000+200000-40000+1500000</f>
        <v>1860000</v>
      </c>
      <c r="L1094" s="317">
        <f t="shared" si="821"/>
        <v>1860000</v>
      </c>
      <c r="M1094" s="2214"/>
      <c r="N1094" s="372">
        <f t="shared" si="789"/>
        <v>-1860000</v>
      </c>
      <c r="O1094" s="639"/>
      <c r="P1094" s="640"/>
      <c r="R1094" s="317"/>
      <c r="U1094" s="320"/>
    </row>
    <row r="1095" spans="1:21" s="350" customFormat="1" outlineLevel="2">
      <c r="A1095" s="641"/>
      <c r="B1095" s="641"/>
      <c r="C1095" s="359">
        <v>2211000</v>
      </c>
      <c r="D1095" s="360" t="s">
        <v>118</v>
      </c>
      <c r="E1095" s="642">
        <f>E1096+E1097</f>
        <v>20000</v>
      </c>
      <c r="F1095" s="642">
        <f t="shared" ref="F1095:K1095" si="822">F1096+F1097</f>
        <v>0</v>
      </c>
      <c r="G1095" s="642">
        <f t="shared" si="822"/>
        <v>0</v>
      </c>
      <c r="H1095" s="642">
        <f t="shared" si="822"/>
        <v>201000</v>
      </c>
      <c r="I1095" s="642">
        <f t="shared" si="822"/>
        <v>221000</v>
      </c>
      <c r="J1095" s="642">
        <f t="shared" si="822"/>
        <v>0</v>
      </c>
      <c r="K1095" s="642">
        <f t="shared" si="822"/>
        <v>-20000</v>
      </c>
      <c r="L1095" s="317">
        <f t="shared" si="821"/>
        <v>201000</v>
      </c>
      <c r="M1095" s="2211"/>
      <c r="N1095" s="372">
        <f t="shared" si="789"/>
        <v>20000</v>
      </c>
      <c r="O1095" s="642">
        <f t="shared" ref="O1095:P1095" si="823">O1096+O1097</f>
        <v>0</v>
      </c>
      <c r="P1095" s="642">
        <f t="shared" si="823"/>
        <v>0</v>
      </c>
      <c r="R1095" s="317"/>
      <c r="U1095" s="320"/>
    </row>
    <row r="1096" spans="1:21" s="337" customFormat="1" outlineLevel="2">
      <c r="A1096" s="326"/>
      <c r="B1096" s="326"/>
      <c r="C1096" s="331">
        <v>2211011</v>
      </c>
      <c r="D1096" s="341" t="s">
        <v>119</v>
      </c>
      <c r="E1096" s="593">
        <v>20000</v>
      </c>
      <c r="F1096" s="593">
        <v>0</v>
      </c>
      <c r="G1096" s="593"/>
      <c r="H1096" s="593">
        <v>0</v>
      </c>
      <c r="I1096" s="324">
        <f t="shared" ref="I1096:I1159" si="824">E1096+F1096+G1096+H1096</f>
        <v>20000</v>
      </c>
      <c r="J1096" s="315"/>
      <c r="K1096" s="595">
        <v>-20000</v>
      </c>
      <c r="L1096" s="317">
        <f t="shared" si="821"/>
        <v>0</v>
      </c>
      <c r="M1096" s="317"/>
      <c r="N1096" s="372">
        <f t="shared" ref="N1096:N1159" si="825">M1096-K1096</f>
        <v>20000</v>
      </c>
      <c r="O1096" s="319">
        <f>L1096*1.1</f>
        <v>0</v>
      </c>
      <c r="P1096" s="319">
        <f t="shared" si="815"/>
        <v>0</v>
      </c>
      <c r="R1096" s="317"/>
      <c r="U1096" s="320"/>
    </row>
    <row r="1097" spans="1:21" s="337" customFormat="1" outlineLevel="2">
      <c r="A1097" s="326"/>
      <c r="B1097" s="326"/>
      <c r="C1097" s="398">
        <v>2211016</v>
      </c>
      <c r="D1097" s="398" t="s">
        <v>196</v>
      </c>
      <c r="E1097" s="593"/>
      <c r="F1097" s="593"/>
      <c r="G1097" s="593"/>
      <c r="H1097" s="593">
        <v>201000</v>
      </c>
      <c r="I1097" s="324">
        <f t="shared" si="824"/>
        <v>201000</v>
      </c>
      <c r="J1097" s="315"/>
      <c r="K1097" s="595"/>
      <c r="L1097" s="317">
        <f t="shared" si="821"/>
        <v>201000</v>
      </c>
      <c r="M1097" s="317"/>
      <c r="N1097" s="372">
        <f t="shared" si="825"/>
        <v>0</v>
      </c>
      <c r="O1097" s="319"/>
      <c r="P1097" s="319"/>
      <c r="R1097" s="317"/>
      <c r="U1097" s="320"/>
    </row>
    <row r="1098" spans="1:21" outlineLevel="2">
      <c r="A1098" s="345"/>
      <c r="B1098" s="345"/>
      <c r="C1098" s="339">
        <v>2211100</v>
      </c>
      <c r="D1098" s="343" t="s">
        <v>51</v>
      </c>
      <c r="E1098" s="590">
        <f>E1099+E1100+E1101</f>
        <v>270000</v>
      </c>
      <c r="F1098" s="590">
        <f t="shared" ref="F1098:P1098" si="826">F1099+F1100+F1101</f>
        <v>0</v>
      </c>
      <c r="G1098" s="590">
        <f t="shared" si="826"/>
        <v>0</v>
      </c>
      <c r="H1098" s="590">
        <f t="shared" si="826"/>
        <v>105000</v>
      </c>
      <c r="I1098" s="590">
        <f t="shared" si="826"/>
        <v>375000</v>
      </c>
      <c r="J1098" s="590">
        <f t="shared" si="826"/>
        <v>0</v>
      </c>
      <c r="K1098" s="590">
        <f t="shared" si="826"/>
        <v>-21349</v>
      </c>
      <c r="L1098" s="317">
        <f t="shared" si="821"/>
        <v>353651</v>
      </c>
      <c r="M1098" s="317"/>
      <c r="N1098" s="372">
        <f t="shared" si="825"/>
        <v>21349</v>
      </c>
      <c r="O1098" s="590">
        <f t="shared" si="826"/>
        <v>389016.10000000003</v>
      </c>
      <c r="P1098" s="590">
        <f t="shared" si="826"/>
        <v>427917.71</v>
      </c>
      <c r="R1098" s="317"/>
      <c r="U1098" s="320"/>
    </row>
    <row r="1099" spans="1:21" s="337" customFormat="1" outlineLevel="2">
      <c r="A1099" s="326"/>
      <c r="B1099" s="326"/>
      <c r="C1099" s="331">
        <v>2211101</v>
      </c>
      <c r="D1099" s="341" t="s">
        <v>52</v>
      </c>
      <c r="E1099" s="593">
        <v>115000</v>
      </c>
      <c r="F1099" s="590"/>
      <c r="G1099" s="590"/>
      <c r="H1099" s="593">
        <v>70000</v>
      </c>
      <c r="I1099" s="324">
        <f t="shared" si="824"/>
        <v>185000</v>
      </c>
      <c r="J1099" s="315"/>
      <c r="K1099" s="595">
        <v>-13388</v>
      </c>
      <c r="L1099" s="317">
        <f t="shared" si="821"/>
        <v>171612</v>
      </c>
      <c r="M1099" s="317"/>
      <c r="N1099" s="372">
        <f t="shared" si="825"/>
        <v>13388</v>
      </c>
      <c r="O1099" s="319">
        <f>L1099*1.1</f>
        <v>188773.2</v>
      </c>
      <c r="P1099" s="319">
        <f t="shared" si="815"/>
        <v>207650.52000000002</v>
      </c>
      <c r="R1099" s="317"/>
      <c r="U1099" s="320"/>
    </row>
    <row r="1100" spans="1:21" s="312" customFormat="1" outlineLevel="2">
      <c r="A1100" s="313"/>
      <c r="B1100" s="313"/>
      <c r="C1100" s="331">
        <v>2211102</v>
      </c>
      <c r="D1100" s="341" t="s">
        <v>53</v>
      </c>
      <c r="E1100" s="593">
        <v>75000</v>
      </c>
      <c r="F1100" s="593"/>
      <c r="G1100" s="593"/>
      <c r="H1100" s="593">
        <v>35000</v>
      </c>
      <c r="I1100" s="324">
        <f t="shared" si="824"/>
        <v>110000</v>
      </c>
      <c r="J1100" s="315"/>
      <c r="K1100" s="595">
        <v>-7961</v>
      </c>
      <c r="L1100" s="317">
        <f t="shared" si="821"/>
        <v>102039</v>
      </c>
      <c r="M1100" s="317"/>
      <c r="N1100" s="372">
        <f t="shared" si="825"/>
        <v>7961</v>
      </c>
      <c r="O1100" s="319">
        <f>L1100*1.1</f>
        <v>112242.90000000001</v>
      </c>
      <c r="P1100" s="319">
        <f t="shared" ref="P1100:P1119" si="827">O1100*1.1</f>
        <v>123467.19000000002</v>
      </c>
      <c r="R1100" s="317"/>
      <c r="U1100" s="320"/>
    </row>
    <row r="1101" spans="1:21" outlineLevel="2">
      <c r="A1101" s="345"/>
      <c r="B1101" s="345"/>
      <c r="C1101" s="331">
        <v>2211103</v>
      </c>
      <c r="D1101" s="341" t="s">
        <v>54</v>
      </c>
      <c r="E1101" s="593">
        <v>80000</v>
      </c>
      <c r="F1101" s="593"/>
      <c r="G1101" s="593"/>
      <c r="H1101" s="593"/>
      <c r="I1101" s="324">
        <f t="shared" si="824"/>
        <v>80000</v>
      </c>
      <c r="J1101" s="315"/>
      <c r="K1101" s="595">
        <v>0</v>
      </c>
      <c r="L1101" s="317">
        <f t="shared" si="821"/>
        <v>80000</v>
      </c>
      <c r="M1101" s="317"/>
      <c r="N1101" s="372">
        <f t="shared" si="825"/>
        <v>0</v>
      </c>
      <c r="O1101" s="319">
        <f>L1101*1.1</f>
        <v>88000</v>
      </c>
      <c r="P1101" s="319">
        <f t="shared" si="827"/>
        <v>96800.000000000015</v>
      </c>
      <c r="R1101" s="317"/>
      <c r="U1101" s="320"/>
    </row>
    <row r="1102" spans="1:21" outlineLevel="2">
      <c r="A1102" s="345"/>
      <c r="B1102" s="345"/>
      <c r="C1102" s="339">
        <v>2211200</v>
      </c>
      <c r="D1102" s="343" t="s">
        <v>55</v>
      </c>
      <c r="E1102" s="590">
        <f>E1103+E1104</f>
        <v>800000</v>
      </c>
      <c r="F1102" s="590">
        <f t="shared" ref="F1102:P1102" si="828">F1103+F1104</f>
        <v>0</v>
      </c>
      <c r="G1102" s="590">
        <f t="shared" si="828"/>
        <v>0</v>
      </c>
      <c r="H1102" s="590">
        <f t="shared" si="828"/>
        <v>-100000</v>
      </c>
      <c r="I1102" s="590">
        <f t="shared" si="828"/>
        <v>700000</v>
      </c>
      <c r="J1102" s="590">
        <f t="shared" si="828"/>
        <v>0</v>
      </c>
      <c r="K1102" s="590">
        <f t="shared" si="828"/>
        <v>1700000</v>
      </c>
      <c r="L1102" s="317">
        <f t="shared" si="821"/>
        <v>2400000</v>
      </c>
      <c r="M1102" s="317"/>
      <c r="N1102" s="372">
        <f t="shared" si="825"/>
        <v>-1700000</v>
      </c>
      <c r="O1102" s="590">
        <f t="shared" si="828"/>
        <v>2640000</v>
      </c>
      <c r="P1102" s="590">
        <f t="shared" si="828"/>
        <v>2904000</v>
      </c>
      <c r="R1102" s="317"/>
      <c r="U1102" s="320"/>
    </row>
    <row r="1103" spans="1:21" s="337" customFormat="1" outlineLevel="2">
      <c r="A1103" s="326"/>
      <c r="B1103" s="326"/>
      <c r="C1103" s="331">
        <v>2211201</v>
      </c>
      <c r="D1103" s="341" t="s">
        <v>56</v>
      </c>
      <c r="E1103" s="593">
        <f>400000+150000</f>
        <v>550000</v>
      </c>
      <c r="F1103" s="590"/>
      <c r="G1103" s="590"/>
      <c r="H1103" s="593">
        <v>-50000</v>
      </c>
      <c r="I1103" s="324">
        <f t="shared" si="824"/>
        <v>500000</v>
      </c>
      <c r="J1103" s="315"/>
      <c r="K1103" s="595">
        <f>500000+1200000</f>
        <v>1700000</v>
      </c>
      <c r="L1103" s="317">
        <f t="shared" si="821"/>
        <v>2200000</v>
      </c>
      <c r="M1103" s="317"/>
      <c r="N1103" s="372">
        <f t="shared" si="825"/>
        <v>-1700000</v>
      </c>
      <c r="O1103" s="319">
        <f>L1103*1.1</f>
        <v>2420000</v>
      </c>
      <c r="P1103" s="319">
        <f t="shared" si="827"/>
        <v>2662000</v>
      </c>
      <c r="R1103" s="317"/>
      <c r="U1103" s="320"/>
    </row>
    <row r="1104" spans="1:21" outlineLevel="2">
      <c r="A1104" s="345"/>
      <c r="B1104" s="345"/>
      <c r="C1104" s="331" t="s">
        <v>247</v>
      </c>
      <c r="D1104" s="341" t="s">
        <v>248</v>
      </c>
      <c r="E1104" s="593">
        <f>200000+100000-50000</f>
        <v>250000</v>
      </c>
      <c r="F1104" s="593"/>
      <c r="G1104" s="593"/>
      <c r="H1104" s="593">
        <v>-50000</v>
      </c>
      <c r="I1104" s="324">
        <f t="shared" si="824"/>
        <v>200000</v>
      </c>
      <c r="J1104" s="315"/>
      <c r="K1104" s="595"/>
      <c r="L1104" s="317">
        <f t="shared" si="821"/>
        <v>200000</v>
      </c>
      <c r="M1104" s="317"/>
      <c r="N1104" s="372">
        <f t="shared" si="825"/>
        <v>0</v>
      </c>
      <c r="O1104" s="319">
        <f>L1104*1.1</f>
        <v>220000.00000000003</v>
      </c>
      <c r="P1104" s="319">
        <f t="shared" si="827"/>
        <v>242000.00000000006</v>
      </c>
      <c r="R1104" s="317"/>
      <c r="U1104" s="320"/>
    </row>
    <row r="1105" spans="1:21" s="625" customFormat="1" outlineLevel="2">
      <c r="A1105" s="345"/>
      <c r="B1105" s="345"/>
      <c r="C1105" s="339">
        <v>2211300</v>
      </c>
      <c r="D1105" s="343" t="s">
        <v>57</v>
      </c>
      <c r="E1105" s="590">
        <f>E1106+E1107+E1108</f>
        <v>480000</v>
      </c>
      <c r="F1105" s="590">
        <f t="shared" ref="F1105:K1105" si="829">F1106+F1107+F1108</f>
        <v>0</v>
      </c>
      <c r="G1105" s="590">
        <f t="shared" si="829"/>
        <v>0</v>
      </c>
      <c r="H1105" s="590">
        <f t="shared" si="829"/>
        <v>0</v>
      </c>
      <c r="I1105" s="590">
        <f t="shared" si="829"/>
        <v>480000</v>
      </c>
      <c r="J1105" s="590">
        <f t="shared" si="829"/>
        <v>0</v>
      </c>
      <c r="K1105" s="590">
        <f t="shared" si="829"/>
        <v>2077022</v>
      </c>
      <c r="L1105" s="317">
        <f t="shared" si="821"/>
        <v>2557022</v>
      </c>
      <c r="M1105" s="317"/>
      <c r="N1105" s="372">
        <f t="shared" si="825"/>
        <v>-2077022</v>
      </c>
      <c r="O1105" s="590">
        <f t="shared" ref="O1105:P1105" si="830">O1106+O1107+O1108</f>
        <v>2812724.2</v>
      </c>
      <c r="P1105" s="590">
        <f t="shared" si="830"/>
        <v>3093996.6200000006</v>
      </c>
      <c r="R1105" s="317"/>
      <c r="U1105" s="320"/>
    </row>
    <row r="1106" spans="1:21" s="627" customFormat="1" outlineLevel="2">
      <c r="A1106" s="326"/>
      <c r="B1106" s="326"/>
      <c r="C1106" s="331">
        <v>2211301</v>
      </c>
      <c r="D1106" s="341" t="s">
        <v>198</v>
      </c>
      <c r="E1106" s="593"/>
      <c r="F1106" s="590"/>
      <c r="G1106" s="590"/>
      <c r="H1106" s="593"/>
      <c r="I1106" s="324">
        <f t="shared" si="824"/>
        <v>0</v>
      </c>
      <c r="J1106" s="315"/>
      <c r="K1106" s="595"/>
      <c r="L1106" s="317">
        <f t="shared" si="821"/>
        <v>0</v>
      </c>
      <c r="M1106" s="317"/>
      <c r="N1106" s="372">
        <f t="shared" si="825"/>
        <v>0</v>
      </c>
      <c r="O1106" s="319">
        <f>L1106*1.1</f>
        <v>0</v>
      </c>
      <c r="P1106" s="319">
        <f>O1106*1.1</f>
        <v>0</v>
      </c>
      <c r="R1106" s="317"/>
      <c r="U1106" s="320"/>
    </row>
    <row r="1107" spans="1:21" s="625" customFormat="1" outlineLevel="2">
      <c r="A1107" s="345"/>
      <c r="B1107" s="345"/>
      <c r="C1107" s="331">
        <v>2211310</v>
      </c>
      <c r="D1107" s="341" t="s">
        <v>1522</v>
      </c>
      <c r="E1107" s="593">
        <f>500000-100000-100000</f>
        <v>300000</v>
      </c>
      <c r="F1107" s="593"/>
      <c r="G1107" s="593"/>
      <c r="H1107" s="593"/>
      <c r="I1107" s="324">
        <f t="shared" si="824"/>
        <v>300000</v>
      </c>
      <c r="J1107" s="315"/>
      <c r="K1107" s="595">
        <f>650000-69978-200000</f>
        <v>380022</v>
      </c>
      <c r="L1107" s="317">
        <f t="shared" si="821"/>
        <v>680022</v>
      </c>
      <c r="M1107" s="317"/>
      <c r="N1107" s="372">
        <f t="shared" si="825"/>
        <v>-380022</v>
      </c>
      <c r="O1107" s="319">
        <f>L1107*1.1</f>
        <v>748024.20000000007</v>
      </c>
      <c r="P1107" s="319">
        <f t="shared" si="827"/>
        <v>822826.62000000011</v>
      </c>
      <c r="R1107" s="317"/>
      <c r="U1107" s="320"/>
    </row>
    <row r="1108" spans="1:21" s="625" customFormat="1" outlineLevel="2">
      <c r="A1108" s="345"/>
      <c r="B1108" s="345"/>
      <c r="C1108" s="331" t="s">
        <v>121</v>
      </c>
      <c r="D1108" s="643" t="s">
        <v>1523</v>
      </c>
      <c r="E1108" s="644">
        <f>250000-70000</f>
        <v>180000</v>
      </c>
      <c r="F1108" s="593"/>
      <c r="G1108" s="593"/>
      <c r="H1108" s="644"/>
      <c r="I1108" s="324">
        <f t="shared" si="824"/>
        <v>180000</v>
      </c>
      <c r="J1108" s="315">
        <v>0</v>
      </c>
      <c r="K1108" s="595">
        <f>570000-163000+1200000+90000</f>
        <v>1697000</v>
      </c>
      <c r="L1108" s="317">
        <f t="shared" si="821"/>
        <v>1877000</v>
      </c>
      <c r="M1108" s="317"/>
      <c r="N1108" s="372">
        <f t="shared" si="825"/>
        <v>-1697000</v>
      </c>
      <c r="O1108" s="319">
        <f>L1108*1.1</f>
        <v>2064700.0000000002</v>
      </c>
      <c r="P1108" s="319">
        <f t="shared" si="827"/>
        <v>2271170.0000000005</v>
      </c>
      <c r="R1108" s="317"/>
      <c r="U1108" s="320"/>
    </row>
    <row r="1109" spans="1:21" s="337" customFormat="1" outlineLevel="2">
      <c r="A1109" s="326"/>
      <c r="B1109" s="326"/>
      <c r="C1109" s="339" t="s">
        <v>249</v>
      </c>
      <c r="D1109" s="343" t="s">
        <v>62</v>
      </c>
      <c r="E1109" s="590">
        <f>E1110+E1111</f>
        <v>219000</v>
      </c>
      <c r="F1109" s="590">
        <f t="shared" ref="F1109:P1109" si="831">F1110+F1111</f>
        <v>119000</v>
      </c>
      <c r="G1109" s="590">
        <f t="shared" si="831"/>
        <v>0</v>
      </c>
      <c r="H1109" s="590">
        <f t="shared" si="831"/>
        <v>-70000</v>
      </c>
      <c r="I1109" s="590">
        <f t="shared" si="831"/>
        <v>268000</v>
      </c>
      <c r="J1109" s="590">
        <f t="shared" si="831"/>
        <v>0</v>
      </c>
      <c r="K1109" s="590">
        <f t="shared" si="831"/>
        <v>-98600</v>
      </c>
      <c r="L1109" s="317">
        <f t="shared" si="821"/>
        <v>169400</v>
      </c>
      <c r="M1109" s="317"/>
      <c r="N1109" s="372">
        <f t="shared" si="825"/>
        <v>98600</v>
      </c>
      <c r="O1109" s="590">
        <f t="shared" si="831"/>
        <v>186340</v>
      </c>
      <c r="P1109" s="590">
        <f t="shared" si="831"/>
        <v>204974</v>
      </c>
      <c r="R1109" s="317"/>
      <c r="U1109" s="320"/>
    </row>
    <row r="1110" spans="1:21" outlineLevel="2">
      <c r="A1110" s="345"/>
      <c r="B1110" s="345"/>
      <c r="C1110" s="332">
        <v>2220101</v>
      </c>
      <c r="D1110" s="332" t="s">
        <v>250</v>
      </c>
      <c r="E1110" s="593">
        <v>119000</v>
      </c>
      <c r="F1110" s="616">
        <v>119000</v>
      </c>
      <c r="G1110" s="590">
        <f t="shared" ref="G1110" si="832">G1111+G1112</f>
        <v>0</v>
      </c>
      <c r="H1110" s="593">
        <v>-20000</v>
      </c>
      <c r="I1110" s="324">
        <f t="shared" si="824"/>
        <v>218000</v>
      </c>
      <c r="J1110" s="315"/>
      <c r="K1110" s="595">
        <v>-98600</v>
      </c>
      <c r="L1110" s="317">
        <f t="shared" si="821"/>
        <v>119400</v>
      </c>
      <c r="M1110" s="317"/>
      <c r="N1110" s="372">
        <f t="shared" si="825"/>
        <v>98600</v>
      </c>
      <c r="O1110" s="319">
        <f>L1110*1.1</f>
        <v>131340</v>
      </c>
      <c r="P1110" s="319">
        <f t="shared" si="827"/>
        <v>144474</v>
      </c>
      <c r="R1110" s="317"/>
      <c r="U1110" s="320"/>
    </row>
    <row r="1111" spans="1:21" s="625" customFormat="1" outlineLevel="2">
      <c r="A1111" s="345"/>
      <c r="B1111" s="345"/>
      <c r="C1111" s="332">
        <v>2220105</v>
      </c>
      <c r="D1111" s="332" t="s">
        <v>64</v>
      </c>
      <c r="E1111" s="593">
        <v>100000</v>
      </c>
      <c r="F1111" s="616"/>
      <c r="G1111" s="616"/>
      <c r="H1111" s="593">
        <v>-50000</v>
      </c>
      <c r="I1111" s="324">
        <f t="shared" si="824"/>
        <v>50000</v>
      </c>
      <c r="J1111" s="315"/>
      <c r="K1111" s="595"/>
      <c r="L1111" s="317">
        <f t="shared" si="821"/>
        <v>50000</v>
      </c>
      <c r="M1111" s="317"/>
      <c r="N1111" s="372">
        <f t="shared" si="825"/>
        <v>0</v>
      </c>
      <c r="O1111" s="319">
        <f>L1111*1.1</f>
        <v>55000.000000000007</v>
      </c>
      <c r="P1111" s="319">
        <f t="shared" si="827"/>
        <v>60500.000000000015</v>
      </c>
      <c r="R1111" s="317"/>
      <c r="U1111" s="320"/>
    </row>
    <row r="1112" spans="1:21" s="627" customFormat="1" outlineLevel="2">
      <c r="A1112" s="326"/>
      <c r="B1112" s="326"/>
      <c r="C1112" s="339">
        <v>2220200</v>
      </c>
      <c r="D1112" s="343" t="s">
        <v>86</v>
      </c>
      <c r="E1112" s="590">
        <f>E1113+E1114</f>
        <v>60000</v>
      </c>
      <c r="F1112" s="590">
        <f t="shared" ref="F1112:P1112" si="833">F1113+F1114</f>
        <v>0</v>
      </c>
      <c r="G1112" s="590">
        <f t="shared" si="833"/>
        <v>0</v>
      </c>
      <c r="H1112" s="590">
        <f t="shared" si="833"/>
        <v>0</v>
      </c>
      <c r="I1112" s="590">
        <f t="shared" si="833"/>
        <v>60000</v>
      </c>
      <c r="J1112" s="590">
        <f t="shared" si="833"/>
        <v>0</v>
      </c>
      <c r="K1112" s="590">
        <f t="shared" si="833"/>
        <v>-60000</v>
      </c>
      <c r="L1112" s="317">
        <f t="shared" si="821"/>
        <v>0</v>
      </c>
      <c r="M1112" s="317"/>
      <c r="N1112" s="372">
        <f t="shared" si="825"/>
        <v>60000</v>
      </c>
      <c r="O1112" s="590">
        <f t="shared" si="833"/>
        <v>0</v>
      </c>
      <c r="P1112" s="590">
        <f t="shared" si="833"/>
        <v>0</v>
      </c>
      <c r="R1112" s="317"/>
      <c r="U1112" s="320"/>
    </row>
    <row r="1113" spans="1:21" s="625" customFormat="1" outlineLevel="2">
      <c r="A1113" s="345"/>
      <c r="B1113" s="345"/>
      <c r="C1113" s="331">
        <v>2220202</v>
      </c>
      <c r="D1113" s="341" t="s">
        <v>87</v>
      </c>
      <c r="E1113" s="593">
        <v>30000</v>
      </c>
      <c r="F1113" s="590"/>
      <c r="G1113" s="590"/>
      <c r="H1113" s="593"/>
      <c r="I1113" s="324">
        <f t="shared" si="824"/>
        <v>30000</v>
      </c>
      <c r="J1113" s="315"/>
      <c r="K1113" s="595">
        <v>-30000</v>
      </c>
      <c r="L1113" s="317">
        <f t="shared" si="821"/>
        <v>0</v>
      </c>
      <c r="M1113" s="317"/>
      <c r="N1113" s="372">
        <f t="shared" si="825"/>
        <v>30000</v>
      </c>
      <c r="O1113" s="319">
        <f>L1113*1.1</f>
        <v>0</v>
      </c>
      <c r="P1113" s="319">
        <f t="shared" si="827"/>
        <v>0</v>
      </c>
      <c r="R1113" s="317"/>
      <c r="U1113" s="320"/>
    </row>
    <row r="1114" spans="1:21" s="625" customFormat="1" outlineLevel="2">
      <c r="A1114" s="345"/>
      <c r="B1114" s="345"/>
      <c r="C1114" s="331">
        <v>2220205</v>
      </c>
      <c r="D1114" s="341" t="s">
        <v>125</v>
      </c>
      <c r="E1114" s="593">
        <v>30000</v>
      </c>
      <c r="F1114" s="593"/>
      <c r="G1114" s="593"/>
      <c r="H1114" s="593"/>
      <c r="I1114" s="324">
        <f t="shared" si="824"/>
        <v>30000</v>
      </c>
      <c r="J1114" s="315"/>
      <c r="K1114" s="595">
        <v>-30000</v>
      </c>
      <c r="L1114" s="317">
        <f t="shared" si="821"/>
        <v>0</v>
      </c>
      <c r="M1114" s="317"/>
      <c r="N1114" s="372">
        <f t="shared" si="825"/>
        <v>30000</v>
      </c>
      <c r="O1114" s="319">
        <f>L1114*1.1</f>
        <v>0</v>
      </c>
      <c r="P1114" s="319">
        <f t="shared" si="827"/>
        <v>0</v>
      </c>
      <c r="R1114" s="317"/>
      <c r="U1114" s="320"/>
    </row>
    <row r="1115" spans="1:21" s="337" customFormat="1" outlineLevel="2">
      <c r="A1115" s="326"/>
      <c r="B1115" s="326"/>
      <c r="C1115" s="339">
        <v>3110300</v>
      </c>
      <c r="D1115" s="343" t="s">
        <v>251</v>
      </c>
      <c r="E1115" s="590">
        <f>E1116</f>
        <v>35000</v>
      </c>
      <c r="F1115" s="590">
        <f t="shared" ref="F1115:K1115" si="834">F1116</f>
        <v>0</v>
      </c>
      <c r="G1115" s="590">
        <f t="shared" si="834"/>
        <v>0</v>
      </c>
      <c r="H1115" s="590">
        <f t="shared" si="834"/>
        <v>0</v>
      </c>
      <c r="I1115" s="590">
        <f t="shared" si="834"/>
        <v>35000</v>
      </c>
      <c r="J1115" s="590">
        <f t="shared" si="834"/>
        <v>0</v>
      </c>
      <c r="K1115" s="590">
        <f t="shared" si="834"/>
        <v>-35000</v>
      </c>
      <c r="L1115" s="317">
        <f t="shared" si="821"/>
        <v>0</v>
      </c>
      <c r="M1115" s="317"/>
      <c r="N1115" s="372">
        <f t="shared" si="825"/>
        <v>35000</v>
      </c>
      <c r="O1115" s="590">
        <f t="shared" ref="O1115:P1115" si="835">O1116</f>
        <v>0</v>
      </c>
      <c r="P1115" s="590">
        <f t="shared" si="835"/>
        <v>0</v>
      </c>
      <c r="R1115" s="317"/>
      <c r="U1115" s="320"/>
    </row>
    <row r="1116" spans="1:21" outlineLevel="2">
      <c r="A1116" s="345"/>
      <c r="B1116" s="345"/>
      <c r="C1116" s="331">
        <v>3110302</v>
      </c>
      <c r="D1116" s="341" t="s">
        <v>252</v>
      </c>
      <c r="E1116" s="593">
        <v>35000</v>
      </c>
      <c r="F1116" s="590"/>
      <c r="G1116" s="590"/>
      <c r="H1116" s="593"/>
      <c r="I1116" s="324">
        <f t="shared" si="824"/>
        <v>35000</v>
      </c>
      <c r="J1116" s="315"/>
      <c r="K1116" s="595">
        <v>-35000</v>
      </c>
      <c r="L1116" s="317">
        <f t="shared" si="821"/>
        <v>0</v>
      </c>
      <c r="M1116" s="317"/>
      <c r="N1116" s="372">
        <f t="shared" si="825"/>
        <v>35000</v>
      </c>
      <c r="O1116" s="319">
        <f>L1116*1.1</f>
        <v>0</v>
      </c>
      <c r="P1116" s="319">
        <f t="shared" si="827"/>
        <v>0</v>
      </c>
      <c r="R1116" s="317"/>
      <c r="U1116" s="320"/>
    </row>
    <row r="1117" spans="1:21" s="337" customFormat="1" outlineLevel="2">
      <c r="A1117" s="326"/>
      <c r="B1117" s="326"/>
      <c r="C1117" s="339">
        <v>3111000</v>
      </c>
      <c r="D1117" s="343" t="s">
        <v>69</v>
      </c>
      <c r="E1117" s="590">
        <f>E1118+E1119+E1120</f>
        <v>588705</v>
      </c>
      <c r="F1117" s="590">
        <f t="shared" ref="F1117:K1117" si="836">F1118+F1119+F1120</f>
        <v>0</v>
      </c>
      <c r="G1117" s="590">
        <f t="shared" si="836"/>
        <v>0</v>
      </c>
      <c r="H1117" s="590">
        <f t="shared" si="836"/>
        <v>-52000</v>
      </c>
      <c r="I1117" s="590">
        <f t="shared" si="836"/>
        <v>536705</v>
      </c>
      <c r="J1117" s="590">
        <f t="shared" si="836"/>
        <v>0</v>
      </c>
      <c r="K1117" s="590">
        <f t="shared" si="836"/>
        <v>-3775</v>
      </c>
      <c r="L1117" s="317">
        <f t="shared" si="821"/>
        <v>532930</v>
      </c>
      <c r="M1117" s="317"/>
      <c r="N1117" s="372">
        <f t="shared" si="825"/>
        <v>3775</v>
      </c>
      <c r="O1117" s="590">
        <f t="shared" ref="O1117:P1117" si="837">O1118+O1119+O1120</f>
        <v>586223</v>
      </c>
      <c r="P1117" s="590">
        <f t="shared" si="837"/>
        <v>644845.30000000005</v>
      </c>
      <c r="R1117" s="317"/>
      <c r="U1117" s="320"/>
    </row>
    <row r="1118" spans="1:21" outlineLevel="2">
      <c r="A1118" s="345"/>
      <c r="B1118" s="345"/>
      <c r="C1118" s="331">
        <v>3111001</v>
      </c>
      <c r="D1118" s="341" t="s">
        <v>70</v>
      </c>
      <c r="E1118" s="593">
        <v>54230.000000000007</v>
      </c>
      <c r="F1118" s="590"/>
      <c r="G1118" s="590"/>
      <c r="H1118" s="593"/>
      <c r="I1118" s="324">
        <f t="shared" si="824"/>
        <v>54230.000000000007</v>
      </c>
      <c r="J1118" s="315"/>
      <c r="K1118" s="595">
        <v>-54230</v>
      </c>
      <c r="L1118" s="317">
        <f t="shared" si="821"/>
        <v>0</v>
      </c>
      <c r="M1118" s="317"/>
      <c r="N1118" s="372">
        <f t="shared" si="825"/>
        <v>54230</v>
      </c>
      <c r="O1118" s="319">
        <f>L1118*1.1</f>
        <v>0</v>
      </c>
      <c r="P1118" s="319">
        <f t="shared" si="827"/>
        <v>0</v>
      </c>
      <c r="R1118" s="317"/>
      <c r="U1118" s="320"/>
    </row>
    <row r="1119" spans="1:21" s="625" customFormat="1" outlineLevel="2">
      <c r="A1119" s="330"/>
      <c r="B1119" s="330"/>
      <c r="C1119" s="331">
        <v>3111002</v>
      </c>
      <c r="D1119" s="341" t="s">
        <v>71</v>
      </c>
      <c r="E1119" s="593">
        <v>483435</v>
      </c>
      <c r="F1119" s="593"/>
      <c r="G1119" s="593"/>
      <c r="H1119" s="593">
        <v>-52000</v>
      </c>
      <c r="I1119" s="324">
        <f t="shared" si="824"/>
        <v>431435</v>
      </c>
      <c r="J1119" s="315"/>
      <c r="K1119" s="595">
        <v>-24545</v>
      </c>
      <c r="L1119" s="317">
        <f t="shared" si="821"/>
        <v>406890</v>
      </c>
      <c r="M1119" s="317"/>
      <c r="N1119" s="372">
        <f t="shared" si="825"/>
        <v>24545</v>
      </c>
      <c r="O1119" s="319">
        <f>L1119*1.1</f>
        <v>447579.00000000006</v>
      </c>
      <c r="P1119" s="319">
        <f t="shared" si="827"/>
        <v>492336.90000000008</v>
      </c>
      <c r="R1119" s="317"/>
      <c r="U1119" s="320"/>
    </row>
    <row r="1120" spans="1:21" outlineLevel="2">
      <c r="A1120" s="645"/>
      <c r="B1120" s="645"/>
      <c r="C1120" s="331">
        <v>3111009</v>
      </c>
      <c r="D1120" s="341" t="s">
        <v>253</v>
      </c>
      <c r="E1120" s="593">
        <v>51040.000000000007</v>
      </c>
      <c r="F1120" s="593"/>
      <c r="G1120" s="593"/>
      <c r="H1120" s="593"/>
      <c r="I1120" s="324">
        <f t="shared" si="824"/>
        <v>51040.000000000007</v>
      </c>
      <c r="J1120" s="315"/>
      <c r="K1120" s="595">
        <v>75000</v>
      </c>
      <c r="L1120" s="317">
        <f t="shared" si="821"/>
        <v>126040</v>
      </c>
      <c r="M1120" s="317"/>
      <c r="N1120" s="372">
        <f t="shared" si="825"/>
        <v>-75000</v>
      </c>
      <c r="O1120" s="319">
        <f>L1120*1.1</f>
        <v>138644</v>
      </c>
      <c r="P1120" s="319">
        <f t="shared" ref="P1120:P1139" si="838">O1120*1.1</f>
        <v>152508.40000000002</v>
      </c>
      <c r="R1120" s="317"/>
      <c r="U1120" s="320"/>
    </row>
    <row r="1121" spans="1:21" s="337" customFormat="1" outlineLevel="2">
      <c r="A1121" s="338"/>
      <c r="B1121" s="338"/>
      <c r="C1121" s="340">
        <v>3111400</v>
      </c>
      <c r="D1121" s="340" t="s">
        <v>254</v>
      </c>
      <c r="E1121" s="590">
        <f>E1122</f>
        <v>55000</v>
      </c>
      <c r="F1121" s="590">
        <f t="shared" ref="F1121:P1121" si="839">F1122</f>
        <v>0</v>
      </c>
      <c r="G1121" s="590">
        <f t="shared" si="839"/>
        <v>0</v>
      </c>
      <c r="H1121" s="590">
        <f t="shared" si="839"/>
        <v>0</v>
      </c>
      <c r="I1121" s="590">
        <f t="shared" si="839"/>
        <v>55000</v>
      </c>
      <c r="J1121" s="590">
        <f t="shared" si="839"/>
        <v>0</v>
      </c>
      <c r="K1121" s="590">
        <f t="shared" si="839"/>
        <v>-27500</v>
      </c>
      <c r="L1121" s="317">
        <f t="shared" si="821"/>
        <v>27500</v>
      </c>
      <c r="M1121" s="317"/>
      <c r="N1121" s="372">
        <f t="shared" si="825"/>
        <v>27500</v>
      </c>
      <c r="O1121" s="590">
        <f t="shared" si="839"/>
        <v>30250.000000000004</v>
      </c>
      <c r="P1121" s="590">
        <f t="shared" si="839"/>
        <v>33275.000000000007</v>
      </c>
      <c r="R1121" s="317"/>
      <c r="U1121" s="320"/>
    </row>
    <row r="1122" spans="1:21" outlineLevel="2">
      <c r="A1122" s="645"/>
      <c r="B1122" s="645"/>
      <c r="C1122" s="332">
        <v>3111401</v>
      </c>
      <c r="D1122" s="332" t="s">
        <v>255</v>
      </c>
      <c r="E1122" s="593">
        <v>55000</v>
      </c>
      <c r="F1122" s="590"/>
      <c r="G1122" s="590"/>
      <c r="H1122" s="590"/>
      <c r="I1122" s="324">
        <f t="shared" si="824"/>
        <v>55000</v>
      </c>
      <c r="J1122" s="315"/>
      <c r="K1122" s="595">
        <v>-27500</v>
      </c>
      <c r="L1122" s="317">
        <f t="shared" si="821"/>
        <v>27500</v>
      </c>
      <c r="M1122" s="317"/>
      <c r="N1122" s="372">
        <f t="shared" si="825"/>
        <v>27500</v>
      </c>
      <c r="O1122" s="319">
        <f>L1122*1.1</f>
        <v>30250.000000000004</v>
      </c>
      <c r="P1122" s="319">
        <f t="shared" si="838"/>
        <v>33275.000000000007</v>
      </c>
      <c r="R1122" s="317"/>
      <c r="U1122" s="320"/>
    </row>
    <row r="1123" spans="1:21" s="337" customFormat="1" outlineLevel="1">
      <c r="A1123" s="338"/>
      <c r="B1123" s="338"/>
      <c r="C1123" s="383"/>
      <c r="D1123" s="383" t="s">
        <v>128</v>
      </c>
      <c r="E1123" s="575">
        <f>E1121+E1117+E1115+E1112+E1109+E1102+E1098+E1095+E1090+E1082+E1078+E1073+E1070+E1066+E1063+E1105</f>
        <v>45261946</v>
      </c>
      <c r="F1123" s="575">
        <f t="shared" ref="F1123:P1123" si="840">F1121+F1117+F1115+F1112+F1109+F1102+F1098+F1095+F1090+F1082+F1078+F1073+F1070+F1066+F1063+F1105</f>
        <v>240298</v>
      </c>
      <c r="G1123" s="575">
        <f t="shared" si="840"/>
        <v>500000</v>
      </c>
      <c r="H1123" s="575">
        <f t="shared" si="840"/>
        <v>31000</v>
      </c>
      <c r="I1123" s="575">
        <f t="shared" si="840"/>
        <v>46033244</v>
      </c>
      <c r="J1123" s="575">
        <f t="shared" si="840"/>
        <v>-832345</v>
      </c>
      <c r="K1123" s="575">
        <f t="shared" si="840"/>
        <v>-3389324</v>
      </c>
      <c r="L1123" s="317">
        <f t="shared" si="821"/>
        <v>41811575</v>
      </c>
      <c r="M1123" s="317"/>
      <c r="N1123" s="372">
        <f t="shared" si="825"/>
        <v>3389324</v>
      </c>
      <c r="O1123" s="575">
        <f t="shared" si="840"/>
        <v>43725632.500000007</v>
      </c>
      <c r="P1123" s="575">
        <f t="shared" si="840"/>
        <v>48098195.75</v>
      </c>
      <c r="R1123" s="317"/>
      <c r="U1123" s="320"/>
    </row>
    <row r="1124" spans="1:21" outlineLevel="1">
      <c r="A1124" s="330"/>
      <c r="B1124" s="330"/>
      <c r="C1124" s="407"/>
      <c r="D1124" s="340"/>
      <c r="E1124" s="575"/>
      <c r="F1124" s="386"/>
      <c r="G1124" s="386"/>
      <c r="H1124" s="386"/>
      <c r="I1124" s="324">
        <f t="shared" si="824"/>
        <v>0</v>
      </c>
      <c r="J1124" s="315"/>
      <c r="K1124" s="595"/>
      <c r="L1124" s="317">
        <f t="shared" si="821"/>
        <v>0</v>
      </c>
      <c r="M1124" s="317"/>
      <c r="N1124" s="372">
        <f t="shared" si="825"/>
        <v>0</v>
      </c>
      <c r="O1124" s="319">
        <f>L1124*1.1</f>
        <v>0</v>
      </c>
      <c r="P1124" s="319">
        <f t="shared" si="838"/>
        <v>0</v>
      </c>
      <c r="R1124" s="317"/>
      <c r="U1124" s="320"/>
    </row>
    <row r="1125" spans="1:21" outlineLevel="1">
      <c r="A1125" s="645"/>
      <c r="B1125" s="338"/>
      <c r="C1125" s="646" t="s">
        <v>256</v>
      </c>
      <c r="D1125" s="464"/>
      <c r="E1125" s="647"/>
      <c r="F1125" s="333"/>
      <c r="G1125" s="333"/>
      <c r="H1125" s="333"/>
      <c r="I1125" s="324">
        <f t="shared" si="824"/>
        <v>0</v>
      </c>
      <c r="J1125" s="315"/>
      <c r="K1125" s="595"/>
      <c r="L1125" s="317">
        <f t="shared" si="821"/>
        <v>0</v>
      </c>
      <c r="M1125" s="317"/>
      <c r="N1125" s="372">
        <f t="shared" si="825"/>
        <v>0</v>
      </c>
      <c r="O1125" s="319">
        <f>L1125*1.1</f>
        <v>0</v>
      </c>
      <c r="P1125" s="319">
        <f t="shared" si="838"/>
        <v>0</v>
      </c>
      <c r="R1125" s="317"/>
      <c r="U1125" s="320"/>
    </row>
    <row r="1126" spans="1:21" outlineLevel="3">
      <c r="A1126" s="645"/>
      <c r="B1126" s="338"/>
      <c r="C1126" s="339">
        <v>2110100</v>
      </c>
      <c r="D1126" s="340" t="s">
        <v>13</v>
      </c>
      <c r="E1126" s="590">
        <f>E1127</f>
        <v>5454142</v>
      </c>
      <c r="F1126" s="590">
        <f t="shared" ref="F1126:P1126" si="841">F1127</f>
        <v>0</v>
      </c>
      <c r="G1126" s="590">
        <f t="shared" si="841"/>
        <v>0</v>
      </c>
      <c r="H1126" s="590">
        <f t="shared" si="841"/>
        <v>0</v>
      </c>
      <c r="I1126" s="590">
        <f t="shared" si="841"/>
        <v>5454142</v>
      </c>
      <c r="J1126" s="590">
        <f t="shared" si="841"/>
        <v>0</v>
      </c>
      <c r="K1126" s="590">
        <f t="shared" si="841"/>
        <v>0</v>
      </c>
      <c r="L1126" s="317">
        <f t="shared" si="821"/>
        <v>5454142</v>
      </c>
      <c r="M1126" s="317"/>
      <c r="N1126" s="372">
        <f t="shared" si="825"/>
        <v>0</v>
      </c>
      <c r="O1126" s="590">
        <f t="shared" si="841"/>
        <v>5999556.2000000002</v>
      </c>
      <c r="P1126" s="590">
        <f t="shared" si="841"/>
        <v>6599511.8200000003</v>
      </c>
      <c r="R1126" s="317"/>
      <c r="U1126" s="320"/>
    </row>
    <row r="1127" spans="1:21" outlineLevel="3">
      <c r="A1127" s="645"/>
      <c r="B1127" s="338"/>
      <c r="C1127" s="331">
        <v>2110101</v>
      </c>
      <c r="D1127" s="332" t="s">
        <v>14</v>
      </c>
      <c r="E1127" s="593">
        <v>5454142</v>
      </c>
      <c r="F1127" s="334"/>
      <c r="G1127" s="334"/>
      <c r="H1127" s="334"/>
      <c r="I1127" s="324">
        <f t="shared" si="824"/>
        <v>5454142</v>
      </c>
      <c r="J1127" s="315"/>
      <c r="K1127" s="595"/>
      <c r="L1127" s="317">
        <f t="shared" si="821"/>
        <v>5454142</v>
      </c>
      <c r="M1127" s="317"/>
      <c r="N1127" s="372">
        <f t="shared" si="825"/>
        <v>0</v>
      </c>
      <c r="O1127" s="319">
        <f>L1127*1.1</f>
        <v>5999556.2000000002</v>
      </c>
      <c r="P1127" s="319">
        <f t="shared" si="838"/>
        <v>6599511.8200000003</v>
      </c>
      <c r="R1127" s="317"/>
      <c r="U1127" s="320"/>
    </row>
    <row r="1128" spans="1:21" outlineLevel="3">
      <c r="A1128" s="645"/>
      <c r="B1128" s="338"/>
      <c r="C1128" s="339" t="s">
        <v>244</v>
      </c>
      <c r="D1128" s="340" t="s">
        <v>16</v>
      </c>
      <c r="E1128" s="590">
        <f>E1129+E1130+E1131</f>
        <v>103911</v>
      </c>
      <c r="F1128" s="590">
        <f t="shared" ref="F1128:K1128" si="842">F1129+F1130+F1131</f>
        <v>0</v>
      </c>
      <c r="G1128" s="590">
        <f t="shared" si="842"/>
        <v>0</v>
      </c>
      <c r="H1128" s="590">
        <f t="shared" si="842"/>
        <v>0</v>
      </c>
      <c r="I1128" s="590">
        <f t="shared" si="842"/>
        <v>103911</v>
      </c>
      <c r="J1128" s="590">
        <f t="shared" si="842"/>
        <v>0</v>
      </c>
      <c r="K1128" s="590">
        <f t="shared" si="842"/>
        <v>-81581</v>
      </c>
      <c r="L1128" s="317">
        <f t="shared" si="821"/>
        <v>22330</v>
      </c>
      <c r="M1128" s="317"/>
      <c r="N1128" s="372">
        <f t="shared" si="825"/>
        <v>81581</v>
      </c>
      <c r="O1128" s="590">
        <f t="shared" ref="O1128:P1128" si="843">O1129+O1130+O1131</f>
        <v>24563.000000000004</v>
      </c>
      <c r="P1128" s="590">
        <f t="shared" si="843"/>
        <v>27019.300000000007</v>
      </c>
      <c r="R1128" s="317"/>
      <c r="U1128" s="320"/>
    </row>
    <row r="1129" spans="1:21" outlineLevel="3">
      <c r="A1129" s="645"/>
      <c r="B1129" s="338"/>
      <c r="C1129" s="331">
        <v>2210101</v>
      </c>
      <c r="D1129" s="332" t="s">
        <v>17</v>
      </c>
      <c r="E1129" s="593">
        <f>25520+100000-100000</f>
        <v>25520</v>
      </c>
      <c r="F1129" s="334"/>
      <c r="G1129" s="334"/>
      <c r="H1129" s="334"/>
      <c r="I1129" s="324">
        <f t="shared" si="824"/>
        <v>25520</v>
      </c>
      <c r="J1129" s="315"/>
      <c r="K1129" s="595">
        <v>-25520</v>
      </c>
      <c r="L1129" s="317">
        <f t="shared" si="821"/>
        <v>0</v>
      </c>
      <c r="M1129" s="317"/>
      <c r="N1129" s="372">
        <f t="shared" si="825"/>
        <v>25520</v>
      </c>
      <c r="O1129" s="319">
        <f>L1129*1.1</f>
        <v>0</v>
      </c>
      <c r="P1129" s="319">
        <f t="shared" si="838"/>
        <v>0</v>
      </c>
      <c r="R1129" s="317"/>
      <c r="U1129" s="320"/>
    </row>
    <row r="1130" spans="1:21" outlineLevel="3">
      <c r="A1130" s="645"/>
      <c r="B1130" s="338"/>
      <c r="C1130" s="331">
        <v>2210102</v>
      </c>
      <c r="D1130" s="332" t="s">
        <v>18</v>
      </c>
      <c r="E1130" s="593">
        <f>22330+150000-150000</f>
        <v>22330</v>
      </c>
      <c r="F1130" s="334"/>
      <c r="G1130" s="334"/>
      <c r="H1130" s="334"/>
      <c r="I1130" s="324">
        <f t="shared" si="824"/>
        <v>22330</v>
      </c>
      <c r="J1130" s="315"/>
      <c r="K1130" s="595">
        <v>0</v>
      </c>
      <c r="L1130" s="317">
        <f t="shared" si="821"/>
        <v>22330</v>
      </c>
      <c r="M1130" s="317"/>
      <c r="N1130" s="372">
        <f t="shared" si="825"/>
        <v>0</v>
      </c>
      <c r="O1130" s="319">
        <f>L1130*1.1</f>
        <v>24563.000000000004</v>
      </c>
      <c r="P1130" s="319">
        <f t="shared" si="838"/>
        <v>27019.300000000007</v>
      </c>
      <c r="R1130" s="317"/>
      <c r="U1130" s="320"/>
    </row>
    <row r="1131" spans="1:21" outlineLevel="3">
      <c r="A1131" s="645"/>
      <c r="B1131" s="338"/>
      <c r="C1131" s="331">
        <v>2210103</v>
      </c>
      <c r="D1131" s="332" t="s">
        <v>23</v>
      </c>
      <c r="E1131" s="593">
        <f>6061+50000</f>
        <v>56061</v>
      </c>
      <c r="F1131" s="334"/>
      <c r="G1131" s="334"/>
      <c r="H1131" s="334"/>
      <c r="I1131" s="324">
        <f t="shared" si="824"/>
        <v>56061</v>
      </c>
      <c r="J1131" s="315"/>
      <c r="K1131" s="595">
        <v>-56061</v>
      </c>
      <c r="L1131" s="317">
        <f t="shared" si="821"/>
        <v>0</v>
      </c>
      <c r="M1131" s="317"/>
      <c r="N1131" s="372">
        <f t="shared" si="825"/>
        <v>56061</v>
      </c>
      <c r="O1131" s="319">
        <f>L1131*1.1</f>
        <v>0</v>
      </c>
      <c r="P1131" s="319">
        <f t="shared" si="838"/>
        <v>0</v>
      </c>
      <c r="R1131" s="317"/>
      <c r="U1131" s="320"/>
    </row>
    <row r="1132" spans="1:21" outlineLevel="3">
      <c r="A1132" s="645"/>
      <c r="B1132" s="338"/>
      <c r="C1132" s="339">
        <v>2210200</v>
      </c>
      <c r="D1132" s="343" t="s">
        <v>20</v>
      </c>
      <c r="E1132" s="590">
        <f>E1133+E1134</f>
        <v>167500</v>
      </c>
      <c r="F1132" s="590">
        <f t="shared" ref="F1132:P1132" si="844">F1133+F1134</f>
        <v>0</v>
      </c>
      <c r="G1132" s="590">
        <f t="shared" si="844"/>
        <v>0</v>
      </c>
      <c r="H1132" s="590">
        <f t="shared" si="844"/>
        <v>0</v>
      </c>
      <c r="I1132" s="590">
        <f t="shared" si="844"/>
        <v>167500</v>
      </c>
      <c r="J1132" s="590">
        <f t="shared" si="844"/>
        <v>0</v>
      </c>
      <c r="K1132" s="590">
        <f t="shared" si="844"/>
        <v>0</v>
      </c>
      <c r="L1132" s="317">
        <f t="shared" si="821"/>
        <v>167500</v>
      </c>
      <c r="M1132" s="317"/>
      <c r="N1132" s="372">
        <f t="shared" si="825"/>
        <v>0</v>
      </c>
      <c r="O1132" s="590">
        <f t="shared" si="844"/>
        <v>184250</v>
      </c>
      <c r="P1132" s="590">
        <f t="shared" si="844"/>
        <v>202675.00000000003</v>
      </c>
      <c r="R1132" s="317"/>
      <c r="U1132" s="320"/>
    </row>
    <row r="1133" spans="1:21" outlineLevel="3">
      <c r="A1133" s="645"/>
      <c r="B1133" s="338"/>
      <c r="C1133" s="331">
        <v>2210201</v>
      </c>
      <c r="D1133" s="341" t="s">
        <v>21</v>
      </c>
      <c r="E1133" s="593">
        <v>157500</v>
      </c>
      <c r="F1133" s="334"/>
      <c r="G1133" s="334"/>
      <c r="H1133" s="334"/>
      <c r="I1133" s="324">
        <f t="shared" si="824"/>
        <v>157500</v>
      </c>
      <c r="J1133" s="315"/>
      <c r="K1133" s="595"/>
      <c r="L1133" s="317">
        <f t="shared" si="821"/>
        <v>157500</v>
      </c>
      <c r="M1133" s="317"/>
      <c r="N1133" s="372">
        <f t="shared" si="825"/>
        <v>0</v>
      </c>
      <c r="O1133" s="319">
        <f>L1133*1.1</f>
        <v>173250</v>
      </c>
      <c r="P1133" s="319">
        <f t="shared" si="838"/>
        <v>190575.00000000003</v>
      </c>
      <c r="R1133" s="317"/>
      <c r="U1133" s="320"/>
    </row>
    <row r="1134" spans="1:21" outlineLevel="3">
      <c r="A1134" s="645"/>
      <c r="B1134" s="338"/>
      <c r="C1134" s="331">
        <v>2210202</v>
      </c>
      <c r="D1134" s="341" t="s">
        <v>22</v>
      </c>
      <c r="E1134" s="593">
        <v>10000</v>
      </c>
      <c r="F1134" s="334"/>
      <c r="G1134" s="334"/>
      <c r="H1134" s="334"/>
      <c r="I1134" s="324">
        <f t="shared" si="824"/>
        <v>10000</v>
      </c>
      <c r="J1134" s="315"/>
      <c r="K1134" s="595"/>
      <c r="L1134" s="317">
        <f t="shared" si="821"/>
        <v>10000</v>
      </c>
      <c r="M1134" s="317"/>
      <c r="N1134" s="372">
        <f t="shared" si="825"/>
        <v>0</v>
      </c>
      <c r="O1134" s="319">
        <f>L1134*1.1</f>
        <v>11000</v>
      </c>
      <c r="P1134" s="319">
        <f t="shared" si="838"/>
        <v>12100.000000000002</v>
      </c>
      <c r="R1134" s="317"/>
      <c r="U1134" s="320"/>
    </row>
    <row r="1135" spans="1:21" outlineLevel="3">
      <c r="A1135" s="645"/>
      <c r="B1135" s="338"/>
      <c r="C1135" s="339">
        <v>2210300</v>
      </c>
      <c r="D1135" s="343" t="s">
        <v>24</v>
      </c>
      <c r="E1135" s="590">
        <f>E1136+E1137+E1138+E1139</f>
        <v>915000</v>
      </c>
      <c r="F1135" s="590">
        <f t="shared" ref="F1135:K1135" si="845">F1136+F1137+F1138+F1139</f>
        <v>0</v>
      </c>
      <c r="G1135" s="590">
        <f t="shared" si="845"/>
        <v>0</v>
      </c>
      <c r="H1135" s="590">
        <f t="shared" si="845"/>
        <v>0</v>
      </c>
      <c r="I1135" s="590">
        <f t="shared" si="845"/>
        <v>915000</v>
      </c>
      <c r="J1135" s="590">
        <f t="shared" si="845"/>
        <v>0</v>
      </c>
      <c r="K1135" s="590">
        <f t="shared" si="845"/>
        <v>691351</v>
      </c>
      <c r="L1135" s="317">
        <f t="shared" si="821"/>
        <v>1606351</v>
      </c>
      <c r="M1135" s="317"/>
      <c r="N1135" s="372">
        <f t="shared" si="825"/>
        <v>-691351</v>
      </c>
      <c r="O1135" s="590">
        <f t="shared" ref="O1135:P1135" si="846">O1136+O1137+O1138+O1139</f>
        <v>1766986.1</v>
      </c>
      <c r="P1135" s="590">
        <f t="shared" si="846"/>
        <v>1943684.7100000004</v>
      </c>
      <c r="R1135" s="317"/>
      <c r="U1135" s="320"/>
    </row>
    <row r="1136" spans="1:21" outlineLevel="3">
      <c r="A1136" s="645"/>
      <c r="B1136" s="338"/>
      <c r="C1136" s="331">
        <v>2210301</v>
      </c>
      <c r="D1136" s="341" t="s">
        <v>25</v>
      </c>
      <c r="E1136" s="593">
        <f>250000-100000</f>
        <v>150000</v>
      </c>
      <c r="F1136" s="334"/>
      <c r="G1136" s="334"/>
      <c r="H1136" s="334"/>
      <c r="I1136" s="324">
        <f t="shared" si="824"/>
        <v>150000</v>
      </c>
      <c r="J1136" s="315">
        <v>0</v>
      </c>
      <c r="K1136" s="595">
        <v>44660</v>
      </c>
      <c r="L1136" s="317">
        <f t="shared" si="821"/>
        <v>194660</v>
      </c>
      <c r="M1136" s="317"/>
      <c r="N1136" s="372">
        <f t="shared" si="825"/>
        <v>-44660</v>
      </c>
      <c r="O1136" s="319">
        <f>L1136*1.1</f>
        <v>214126.00000000003</v>
      </c>
      <c r="P1136" s="319">
        <f t="shared" si="838"/>
        <v>235538.60000000006</v>
      </c>
      <c r="R1136" s="317"/>
      <c r="U1136" s="320"/>
    </row>
    <row r="1137" spans="1:21" outlineLevel="3">
      <c r="A1137" s="645"/>
      <c r="B1137" s="338"/>
      <c r="C1137" s="331">
        <v>2210302</v>
      </c>
      <c r="D1137" s="341" t="s">
        <v>26</v>
      </c>
      <c r="E1137" s="593">
        <f>350000-100000</f>
        <v>250000</v>
      </c>
      <c r="F1137" s="334"/>
      <c r="G1137" s="334"/>
      <c r="H1137" s="334"/>
      <c r="I1137" s="324">
        <f t="shared" si="824"/>
        <v>250000</v>
      </c>
      <c r="J1137" s="315"/>
      <c r="K1137" s="595">
        <f>158691+400000+88000</f>
        <v>646691</v>
      </c>
      <c r="L1137" s="317">
        <f t="shared" si="821"/>
        <v>896691</v>
      </c>
      <c r="M1137" s="317"/>
      <c r="N1137" s="372">
        <f t="shared" si="825"/>
        <v>-646691</v>
      </c>
      <c r="O1137" s="319">
        <f>L1137*1.1</f>
        <v>986360.10000000009</v>
      </c>
      <c r="P1137" s="319">
        <f t="shared" si="838"/>
        <v>1084996.1100000001</v>
      </c>
      <c r="R1137" s="317"/>
      <c r="U1137" s="320"/>
    </row>
    <row r="1138" spans="1:21" outlineLevel="3">
      <c r="A1138" s="645"/>
      <c r="B1138" s="338"/>
      <c r="C1138" s="331">
        <v>2210303</v>
      </c>
      <c r="D1138" s="341" t="s">
        <v>27</v>
      </c>
      <c r="E1138" s="593">
        <f>450000-100000</f>
        <v>350000</v>
      </c>
      <c r="F1138" s="334"/>
      <c r="G1138" s="334"/>
      <c r="H1138" s="334"/>
      <c r="I1138" s="324">
        <f t="shared" si="824"/>
        <v>350000</v>
      </c>
      <c r="J1138" s="315">
        <v>0</v>
      </c>
      <c r="K1138" s="595">
        <v>0</v>
      </c>
      <c r="L1138" s="317">
        <f t="shared" si="821"/>
        <v>350000</v>
      </c>
      <c r="M1138" s="317"/>
      <c r="N1138" s="372">
        <f t="shared" si="825"/>
        <v>0</v>
      </c>
      <c r="O1138" s="319">
        <f>L1138*1.1</f>
        <v>385000.00000000006</v>
      </c>
      <c r="P1138" s="319">
        <f t="shared" si="838"/>
        <v>423500.00000000012</v>
      </c>
      <c r="R1138" s="317"/>
      <c r="U1138" s="320"/>
    </row>
    <row r="1139" spans="1:21" outlineLevel="3">
      <c r="A1139" s="645"/>
      <c r="B1139" s="338"/>
      <c r="C1139" s="332">
        <v>2210304</v>
      </c>
      <c r="D1139" s="332" t="s">
        <v>28</v>
      </c>
      <c r="E1139" s="593">
        <v>165000</v>
      </c>
      <c r="F1139" s="334"/>
      <c r="G1139" s="334"/>
      <c r="H1139" s="334"/>
      <c r="I1139" s="324">
        <f t="shared" si="824"/>
        <v>165000</v>
      </c>
      <c r="J1139" s="315"/>
      <c r="K1139" s="595"/>
      <c r="L1139" s="317">
        <f t="shared" si="821"/>
        <v>165000</v>
      </c>
      <c r="M1139" s="317"/>
      <c r="N1139" s="372">
        <f t="shared" si="825"/>
        <v>0</v>
      </c>
      <c r="O1139" s="319">
        <f>L1139*1.1</f>
        <v>181500.00000000003</v>
      </c>
      <c r="P1139" s="319">
        <f t="shared" si="838"/>
        <v>199650.00000000006</v>
      </c>
      <c r="R1139" s="317"/>
      <c r="U1139" s="320"/>
    </row>
    <row r="1140" spans="1:21" outlineLevel="3">
      <c r="A1140" s="645"/>
      <c r="B1140" s="338"/>
      <c r="C1140" s="339">
        <v>2210500</v>
      </c>
      <c r="D1140" s="343" t="s">
        <v>31</v>
      </c>
      <c r="E1140" s="590">
        <f>E1141+E1142+E1143</f>
        <v>315000</v>
      </c>
      <c r="F1140" s="590">
        <f t="shared" ref="F1140:K1140" si="847">F1141+F1142+F1143</f>
        <v>0</v>
      </c>
      <c r="G1140" s="590">
        <f t="shared" si="847"/>
        <v>0</v>
      </c>
      <c r="H1140" s="590">
        <f t="shared" si="847"/>
        <v>35000</v>
      </c>
      <c r="I1140" s="590">
        <f t="shared" si="847"/>
        <v>350000</v>
      </c>
      <c r="J1140" s="590">
        <f t="shared" si="847"/>
        <v>0</v>
      </c>
      <c r="K1140" s="590">
        <f t="shared" si="847"/>
        <v>0</v>
      </c>
      <c r="L1140" s="317">
        <f t="shared" si="821"/>
        <v>350000</v>
      </c>
      <c r="M1140" s="317"/>
      <c r="N1140" s="372">
        <f t="shared" si="825"/>
        <v>0</v>
      </c>
      <c r="O1140" s="590">
        <f t="shared" ref="O1140:P1140" si="848">O1141+O1142+O1143</f>
        <v>385000.00000000006</v>
      </c>
      <c r="P1140" s="590">
        <f t="shared" si="848"/>
        <v>423500.00000000012</v>
      </c>
      <c r="R1140" s="317"/>
      <c r="U1140" s="320"/>
    </row>
    <row r="1141" spans="1:21" outlineLevel="3">
      <c r="A1141" s="645"/>
      <c r="B1141" s="338"/>
      <c r="C1141" s="331">
        <v>2210502</v>
      </c>
      <c r="D1141" s="341" t="s">
        <v>245</v>
      </c>
      <c r="E1141" s="593">
        <v>100000</v>
      </c>
      <c r="F1141" s="334"/>
      <c r="G1141" s="334"/>
      <c r="H1141" s="334"/>
      <c r="I1141" s="324">
        <f t="shared" si="824"/>
        <v>100000</v>
      </c>
      <c r="J1141" s="315"/>
      <c r="K1141" s="595"/>
      <c r="L1141" s="317">
        <f t="shared" si="821"/>
        <v>100000</v>
      </c>
      <c r="M1141" s="317"/>
      <c r="N1141" s="372">
        <f t="shared" si="825"/>
        <v>0</v>
      </c>
      <c r="O1141" s="319">
        <f>L1141*1.1</f>
        <v>110000.00000000001</v>
      </c>
      <c r="P1141" s="319">
        <f t="shared" ref="P1141:P1159" si="849">O1141*1.1</f>
        <v>121000.00000000003</v>
      </c>
      <c r="R1141" s="317"/>
      <c r="U1141" s="320"/>
    </row>
    <row r="1142" spans="1:21" outlineLevel="3">
      <c r="A1142" s="645"/>
      <c r="B1142" s="338"/>
      <c r="C1142" s="331">
        <v>2210503</v>
      </c>
      <c r="D1142" s="341" t="s">
        <v>32</v>
      </c>
      <c r="E1142" s="593">
        <v>15000</v>
      </c>
      <c r="F1142" s="593"/>
      <c r="G1142" s="593"/>
      <c r="H1142" s="593">
        <v>35000</v>
      </c>
      <c r="I1142" s="324">
        <f t="shared" si="824"/>
        <v>50000</v>
      </c>
      <c r="J1142" s="315"/>
      <c r="K1142" s="595"/>
      <c r="L1142" s="317">
        <f t="shared" si="821"/>
        <v>50000</v>
      </c>
      <c r="M1142" s="317"/>
      <c r="N1142" s="372">
        <f t="shared" si="825"/>
        <v>0</v>
      </c>
      <c r="O1142" s="319">
        <f>L1142*1.1</f>
        <v>55000.000000000007</v>
      </c>
      <c r="P1142" s="319">
        <f t="shared" si="849"/>
        <v>60500.000000000015</v>
      </c>
      <c r="R1142" s="317"/>
      <c r="U1142" s="320"/>
    </row>
    <row r="1143" spans="1:21" outlineLevel="3">
      <c r="A1143" s="645"/>
      <c r="B1143" s="338"/>
      <c r="C1143" s="332">
        <v>2210504</v>
      </c>
      <c r="D1143" s="332" t="s">
        <v>171</v>
      </c>
      <c r="E1143" s="593">
        <v>200000</v>
      </c>
      <c r="F1143" s="593"/>
      <c r="G1143" s="593"/>
      <c r="H1143" s="593"/>
      <c r="I1143" s="324">
        <f t="shared" si="824"/>
        <v>200000</v>
      </c>
      <c r="J1143" s="315"/>
      <c r="K1143" s="595">
        <v>0</v>
      </c>
      <c r="L1143" s="317">
        <f t="shared" si="821"/>
        <v>200000</v>
      </c>
      <c r="M1143" s="317"/>
      <c r="N1143" s="372">
        <f t="shared" si="825"/>
        <v>0</v>
      </c>
      <c r="O1143" s="319">
        <f>L1143*1.1</f>
        <v>220000.00000000003</v>
      </c>
      <c r="P1143" s="319">
        <f t="shared" si="849"/>
        <v>242000.00000000006</v>
      </c>
      <c r="R1143" s="317"/>
      <c r="U1143" s="320"/>
    </row>
    <row r="1144" spans="1:21" outlineLevel="3">
      <c r="A1144" s="645"/>
      <c r="B1144" s="338"/>
      <c r="C1144" s="339">
        <v>2210700</v>
      </c>
      <c r="D1144" s="343" t="s">
        <v>35</v>
      </c>
      <c r="E1144" s="590">
        <f>E1145+E1146+E1147+E1148+E1149+E1150+E1151</f>
        <v>1181760</v>
      </c>
      <c r="F1144" s="590">
        <f t="shared" ref="F1144:K1144" si="850">F1145+F1146+F1147+F1148+F1149+F1150+F1151</f>
        <v>0</v>
      </c>
      <c r="G1144" s="590">
        <f t="shared" si="850"/>
        <v>0</v>
      </c>
      <c r="H1144" s="590">
        <f t="shared" si="850"/>
        <v>0</v>
      </c>
      <c r="I1144" s="590">
        <f t="shared" si="850"/>
        <v>1181760</v>
      </c>
      <c r="J1144" s="590">
        <f t="shared" si="850"/>
        <v>0</v>
      </c>
      <c r="K1144" s="590">
        <f t="shared" si="850"/>
        <v>682689</v>
      </c>
      <c r="L1144" s="317">
        <f t="shared" si="821"/>
        <v>1864449</v>
      </c>
      <c r="M1144" s="317"/>
      <c r="N1144" s="372">
        <f t="shared" si="825"/>
        <v>-682689</v>
      </c>
      <c r="O1144" s="590">
        <f t="shared" ref="O1144:P1144" si="851">O1145+O1146+O1147+O1148+O1149+O1150+O1151</f>
        <v>2050893.9000000001</v>
      </c>
      <c r="P1144" s="590">
        <f t="shared" si="851"/>
        <v>2255983.29</v>
      </c>
      <c r="R1144" s="317"/>
      <c r="U1144" s="320"/>
    </row>
    <row r="1145" spans="1:21" outlineLevel="3">
      <c r="A1145" s="645"/>
      <c r="B1145" s="338"/>
      <c r="C1145" s="331">
        <v>2210701</v>
      </c>
      <c r="D1145" s="341" t="s">
        <v>36</v>
      </c>
      <c r="E1145" s="593">
        <v>200000</v>
      </c>
      <c r="F1145" s="593"/>
      <c r="G1145" s="593"/>
      <c r="H1145" s="593"/>
      <c r="I1145" s="324">
        <f t="shared" si="824"/>
        <v>200000</v>
      </c>
      <c r="J1145" s="315"/>
      <c r="K1145" s="595">
        <v>13388</v>
      </c>
      <c r="L1145" s="317">
        <f t="shared" si="821"/>
        <v>213388</v>
      </c>
      <c r="M1145" s="317"/>
      <c r="N1145" s="372">
        <f t="shared" si="825"/>
        <v>-13388</v>
      </c>
      <c r="O1145" s="319">
        <f t="shared" ref="O1145:O1151" si="852">L1145*1.1</f>
        <v>234726.80000000002</v>
      </c>
      <c r="P1145" s="319">
        <f t="shared" si="849"/>
        <v>258199.48000000004</v>
      </c>
      <c r="R1145" s="317"/>
      <c r="U1145" s="320"/>
    </row>
    <row r="1146" spans="1:21" outlineLevel="3">
      <c r="A1146" s="645"/>
      <c r="B1146" s="338"/>
      <c r="C1146" s="331">
        <v>2210702</v>
      </c>
      <c r="D1146" s="341" t="s">
        <v>95</v>
      </c>
      <c r="E1146" s="593">
        <v>200000</v>
      </c>
      <c r="F1146" s="593"/>
      <c r="G1146" s="593"/>
      <c r="H1146" s="593"/>
      <c r="I1146" s="324">
        <f t="shared" si="824"/>
        <v>200000</v>
      </c>
      <c r="J1146" s="315"/>
      <c r="K1146" s="595"/>
      <c r="L1146" s="317">
        <f t="shared" si="821"/>
        <v>200000</v>
      </c>
      <c r="M1146" s="317"/>
      <c r="N1146" s="372">
        <f t="shared" si="825"/>
        <v>0</v>
      </c>
      <c r="O1146" s="319">
        <f t="shared" si="852"/>
        <v>220000.00000000003</v>
      </c>
      <c r="P1146" s="319">
        <f t="shared" si="849"/>
        <v>242000.00000000006</v>
      </c>
      <c r="R1146" s="317"/>
      <c r="U1146" s="320"/>
    </row>
    <row r="1147" spans="1:21" outlineLevel="3">
      <c r="A1147" s="645"/>
      <c r="B1147" s="338"/>
      <c r="C1147" s="331">
        <v>2210703</v>
      </c>
      <c r="D1147" s="341" t="s">
        <v>107</v>
      </c>
      <c r="E1147" s="593">
        <v>44660</v>
      </c>
      <c r="F1147" s="593"/>
      <c r="G1147" s="593"/>
      <c r="H1147" s="593"/>
      <c r="I1147" s="324">
        <f t="shared" si="824"/>
        <v>44660</v>
      </c>
      <c r="J1147" s="315"/>
      <c r="K1147" s="595">
        <v>0</v>
      </c>
      <c r="L1147" s="317">
        <f t="shared" si="821"/>
        <v>44660</v>
      </c>
      <c r="M1147" s="317"/>
      <c r="N1147" s="372">
        <f t="shared" si="825"/>
        <v>0</v>
      </c>
      <c r="O1147" s="319">
        <f t="shared" si="852"/>
        <v>49126.000000000007</v>
      </c>
      <c r="P1147" s="319">
        <f t="shared" si="849"/>
        <v>54038.600000000013</v>
      </c>
      <c r="R1147" s="317"/>
      <c r="U1147" s="320"/>
    </row>
    <row r="1148" spans="1:21" outlineLevel="3">
      <c r="A1148" s="645"/>
      <c r="B1148" s="338"/>
      <c r="C1148" s="331">
        <v>2210704</v>
      </c>
      <c r="D1148" s="341" t="s">
        <v>38</v>
      </c>
      <c r="E1148" s="593">
        <v>127600.00000000001</v>
      </c>
      <c r="F1148" s="593"/>
      <c r="G1148" s="593"/>
      <c r="H1148" s="593"/>
      <c r="I1148" s="324">
        <f t="shared" si="824"/>
        <v>127600.00000000001</v>
      </c>
      <c r="J1148" s="315"/>
      <c r="K1148" s="595"/>
      <c r="L1148" s="317">
        <f t="shared" si="821"/>
        <v>127600.00000000001</v>
      </c>
      <c r="M1148" s="317"/>
      <c r="N1148" s="372">
        <f t="shared" si="825"/>
        <v>0</v>
      </c>
      <c r="O1148" s="319">
        <f t="shared" si="852"/>
        <v>140360.00000000003</v>
      </c>
      <c r="P1148" s="319">
        <f t="shared" si="849"/>
        <v>154396.00000000006</v>
      </c>
      <c r="R1148" s="317"/>
      <c r="U1148" s="320"/>
    </row>
    <row r="1149" spans="1:21" outlineLevel="3">
      <c r="A1149" s="645"/>
      <c r="B1149" s="338"/>
      <c r="C1149" s="331">
        <v>2210710</v>
      </c>
      <c r="D1149" s="341" t="s">
        <v>39</v>
      </c>
      <c r="E1149" s="593">
        <v>159500</v>
      </c>
      <c r="F1149" s="593"/>
      <c r="G1149" s="593"/>
      <c r="H1149" s="593"/>
      <c r="I1149" s="324">
        <f t="shared" si="824"/>
        <v>159500</v>
      </c>
      <c r="J1149" s="315"/>
      <c r="K1149" s="595">
        <v>355191</v>
      </c>
      <c r="L1149" s="317">
        <f t="shared" si="821"/>
        <v>514691</v>
      </c>
      <c r="M1149" s="317"/>
      <c r="N1149" s="372">
        <f t="shared" si="825"/>
        <v>-355191</v>
      </c>
      <c r="O1149" s="319">
        <f t="shared" si="852"/>
        <v>566160.10000000009</v>
      </c>
      <c r="P1149" s="319">
        <f t="shared" si="849"/>
        <v>622776.1100000001</v>
      </c>
      <c r="R1149" s="317"/>
      <c r="U1149" s="320"/>
    </row>
    <row r="1150" spans="1:21" outlineLevel="3">
      <c r="A1150" s="645"/>
      <c r="B1150" s="338"/>
      <c r="C1150" s="331">
        <v>2210715</v>
      </c>
      <c r="D1150" s="341" t="s">
        <v>40</v>
      </c>
      <c r="E1150" s="593">
        <v>150000</v>
      </c>
      <c r="F1150" s="593"/>
      <c r="G1150" s="593"/>
      <c r="H1150" s="593"/>
      <c r="I1150" s="324">
        <f t="shared" si="824"/>
        <v>150000</v>
      </c>
      <c r="J1150" s="315"/>
      <c r="K1150" s="595">
        <v>0</v>
      </c>
      <c r="L1150" s="317">
        <f t="shared" si="821"/>
        <v>150000</v>
      </c>
      <c r="M1150" s="317"/>
      <c r="N1150" s="372">
        <f t="shared" si="825"/>
        <v>0</v>
      </c>
      <c r="O1150" s="319">
        <f t="shared" si="852"/>
        <v>165000</v>
      </c>
      <c r="P1150" s="319">
        <f t="shared" si="849"/>
        <v>181500.00000000003</v>
      </c>
      <c r="R1150" s="317"/>
      <c r="U1150" s="320"/>
    </row>
    <row r="1151" spans="1:21" outlineLevel="3">
      <c r="A1151" s="645"/>
      <c r="B1151" s="338"/>
      <c r="C1151" s="331" t="s">
        <v>651</v>
      </c>
      <c r="D1151" s="341" t="s">
        <v>1242</v>
      </c>
      <c r="E1151" s="593">
        <f>600000-300000</f>
        <v>300000</v>
      </c>
      <c r="F1151" s="593"/>
      <c r="G1151" s="593"/>
      <c r="H1151" s="593"/>
      <c r="I1151" s="324">
        <f t="shared" si="824"/>
        <v>300000</v>
      </c>
      <c r="J1151" s="315"/>
      <c r="K1151" s="595">
        <f>300000-47560+70000+13800-22130</f>
        <v>314110</v>
      </c>
      <c r="L1151" s="317">
        <f t="shared" si="821"/>
        <v>614110</v>
      </c>
      <c r="M1151" s="317"/>
      <c r="N1151" s="372">
        <f t="shared" si="825"/>
        <v>-314110</v>
      </c>
      <c r="O1151" s="319">
        <f t="shared" si="852"/>
        <v>675521</v>
      </c>
      <c r="P1151" s="319">
        <f t="shared" si="849"/>
        <v>743073.10000000009</v>
      </c>
      <c r="R1151" s="317"/>
      <c r="U1151" s="320"/>
    </row>
    <row r="1152" spans="1:21" outlineLevel="3">
      <c r="A1152" s="645"/>
      <c r="B1152" s="338"/>
      <c r="C1152" s="339">
        <v>2210800</v>
      </c>
      <c r="D1152" s="343" t="s">
        <v>42</v>
      </c>
      <c r="E1152" s="590">
        <f>E1153+E1154+E1155</f>
        <v>1150000</v>
      </c>
      <c r="F1152" s="590">
        <f t="shared" ref="F1152:K1152" si="853">F1153+F1154+F1155</f>
        <v>0</v>
      </c>
      <c r="G1152" s="590">
        <f t="shared" si="853"/>
        <v>500000</v>
      </c>
      <c r="H1152" s="590">
        <f t="shared" si="853"/>
        <v>0</v>
      </c>
      <c r="I1152" s="590">
        <f t="shared" si="853"/>
        <v>1650000</v>
      </c>
      <c r="J1152" s="590">
        <f t="shared" si="853"/>
        <v>0</v>
      </c>
      <c r="K1152" s="590">
        <f t="shared" si="853"/>
        <v>770000</v>
      </c>
      <c r="L1152" s="317">
        <f t="shared" si="821"/>
        <v>2420000</v>
      </c>
      <c r="M1152" s="317"/>
      <c r="N1152" s="372">
        <f t="shared" si="825"/>
        <v>-770000</v>
      </c>
      <c r="O1152" s="590">
        <f t="shared" ref="O1152:P1152" si="854">O1153+O1154+O1155</f>
        <v>2662000</v>
      </c>
      <c r="P1152" s="590">
        <f t="shared" si="854"/>
        <v>2928200</v>
      </c>
      <c r="R1152" s="317"/>
      <c r="U1152" s="320"/>
    </row>
    <row r="1153" spans="1:21" outlineLevel="3">
      <c r="A1153" s="645"/>
      <c r="B1153" s="338"/>
      <c r="C1153" s="331">
        <v>2210801</v>
      </c>
      <c r="D1153" s="341" t="s">
        <v>43</v>
      </c>
      <c r="E1153" s="593">
        <v>350000</v>
      </c>
      <c r="F1153" s="593"/>
      <c r="G1153" s="593">
        <v>500000</v>
      </c>
      <c r="H1153" s="593"/>
      <c r="I1153" s="324">
        <f t="shared" si="824"/>
        <v>850000</v>
      </c>
      <c r="J1153" s="315">
        <v>0</v>
      </c>
      <c r="K1153" s="595">
        <v>300000</v>
      </c>
      <c r="L1153" s="317">
        <f t="shared" si="821"/>
        <v>1150000</v>
      </c>
      <c r="M1153" s="317"/>
      <c r="N1153" s="372">
        <f t="shared" si="825"/>
        <v>-300000</v>
      </c>
      <c r="O1153" s="319">
        <f>L1153*1.1</f>
        <v>1265000</v>
      </c>
      <c r="P1153" s="319">
        <f t="shared" si="849"/>
        <v>1391500</v>
      </c>
      <c r="R1153" s="317"/>
      <c r="U1153" s="320"/>
    </row>
    <row r="1154" spans="1:21" outlineLevel="3">
      <c r="A1154" s="645"/>
      <c r="B1154" s="338"/>
      <c r="C1154" s="331">
        <v>2210802</v>
      </c>
      <c r="D1154" s="341" t="s">
        <v>257</v>
      </c>
      <c r="E1154" s="593">
        <f>350000-25000</f>
        <v>325000</v>
      </c>
      <c r="F1154" s="593"/>
      <c r="G1154" s="593"/>
      <c r="H1154" s="593"/>
      <c r="I1154" s="324">
        <f t="shared" si="824"/>
        <v>325000</v>
      </c>
      <c r="J1154" s="315">
        <v>0</v>
      </c>
      <c r="K1154" s="595">
        <f>400000-30000-170000</f>
        <v>200000</v>
      </c>
      <c r="L1154" s="317">
        <f t="shared" si="821"/>
        <v>525000</v>
      </c>
      <c r="M1154" s="317"/>
      <c r="N1154" s="372">
        <f t="shared" si="825"/>
        <v>-200000</v>
      </c>
      <c r="O1154" s="319">
        <f>L1154*1.1</f>
        <v>577500</v>
      </c>
      <c r="P1154" s="319">
        <f t="shared" si="849"/>
        <v>635250</v>
      </c>
      <c r="R1154" s="317"/>
      <c r="U1154" s="320"/>
    </row>
    <row r="1155" spans="1:21" outlineLevel="3">
      <c r="A1155" s="645"/>
      <c r="B1155" s="338"/>
      <c r="C1155" s="331" t="s">
        <v>1243</v>
      </c>
      <c r="D1155" s="341" t="s">
        <v>1244</v>
      </c>
      <c r="E1155" s="593">
        <f>950000-400000-75000</f>
        <v>475000</v>
      </c>
      <c r="F1155" s="593"/>
      <c r="G1155" s="593"/>
      <c r="H1155" s="593"/>
      <c r="I1155" s="324">
        <f t="shared" si="824"/>
        <v>475000</v>
      </c>
      <c r="J1155" s="315">
        <v>0</v>
      </c>
      <c r="K1155" s="595">
        <v>270000</v>
      </c>
      <c r="L1155" s="317">
        <f t="shared" si="821"/>
        <v>745000</v>
      </c>
      <c r="M1155" s="317"/>
      <c r="N1155" s="372">
        <f t="shared" si="825"/>
        <v>-270000</v>
      </c>
      <c r="O1155" s="319">
        <f>L1155*1.1</f>
        <v>819500.00000000012</v>
      </c>
      <c r="P1155" s="319">
        <f t="shared" si="849"/>
        <v>901450.00000000023</v>
      </c>
      <c r="R1155" s="317"/>
      <c r="U1155" s="320"/>
    </row>
    <row r="1156" spans="1:21" outlineLevel="3">
      <c r="A1156" s="645"/>
      <c r="B1156" s="338"/>
      <c r="C1156" s="339">
        <v>2211000</v>
      </c>
      <c r="D1156" s="343" t="s">
        <v>118</v>
      </c>
      <c r="E1156" s="590">
        <f>E1157</f>
        <v>38280</v>
      </c>
      <c r="F1156" s="590">
        <f t="shared" ref="F1156:P1156" si="855">F1157</f>
        <v>0</v>
      </c>
      <c r="G1156" s="590">
        <f t="shared" si="855"/>
        <v>0</v>
      </c>
      <c r="H1156" s="590">
        <f t="shared" si="855"/>
        <v>0</v>
      </c>
      <c r="I1156" s="590">
        <f t="shared" si="855"/>
        <v>38280</v>
      </c>
      <c r="J1156" s="590">
        <f t="shared" si="855"/>
        <v>0</v>
      </c>
      <c r="K1156" s="590">
        <f t="shared" si="855"/>
        <v>-38280</v>
      </c>
      <c r="L1156" s="317">
        <f t="shared" ref="L1156:L1219" si="856">I1156+J1156+K1156</f>
        <v>0</v>
      </c>
      <c r="M1156" s="317"/>
      <c r="N1156" s="372">
        <f t="shared" si="825"/>
        <v>38280</v>
      </c>
      <c r="O1156" s="590">
        <f t="shared" si="855"/>
        <v>0</v>
      </c>
      <c r="P1156" s="590">
        <f t="shared" si="855"/>
        <v>0</v>
      </c>
      <c r="R1156" s="317"/>
      <c r="U1156" s="320"/>
    </row>
    <row r="1157" spans="1:21" outlineLevel="3">
      <c r="A1157" s="645"/>
      <c r="B1157" s="338"/>
      <c r="C1157" s="331">
        <v>2211011</v>
      </c>
      <c r="D1157" s="341" t="s">
        <v>119</v>
      </c>
      <c r="E1157" s="593">
        <v>38280</v>
      </c>
      <c r="F1157" s="593"/>
      <c r="G1157" s="593"/>
      <c r="H1157" s="593"/>
      <c r="I1157" s="324">
        <f t="shared" si="824"/>
        <v>38280</v>
      </c>
      <c r="J1157" s="315"/>
      <c r="K1157" s="595">
        <v>-38280</v>
      </c>
      <c r="L1157" s="317">
        <f t="shared" si="856"/>
        <v>0</v>
      </c>
      <c r="M1157" s="317"/>
      <c r="N1157" s="372">
        <f t="shared" si="825"/>
        <v>38280</v>
      </c>
      <c r="O1157" s="319">
        <f>L1157*1.1</f>
        <v>0</v>
      </c>
      <c r="P1157" s="319">
        <f t="shared" si="849"/>
        <v>0</v>
      </c>
      <c r="R1157" s="317"/>
      <c r="U1157" s="320"/>
    </row>
    <row r="1158" spans="1:21" outlineLevel="3">
      <c r="A1158" s="645"/>
      <c r="B1158" s="338"/>
      <c r="C1158" s="339">
        <v>2211100</v>
      </c>
      <c r="D1158" s="343" t="s">
        <v>51</v>
      </c>
      <c r="E1158" s="590">
        <f>E1159+E1160+E1161</f>
        <v>313800</v>
      </c>
      <c r="F1158" s="590">
        <f t="shared" ref="F1158:P1158" si="857">F1159+F1160+F1161</f>
        <v>0</v>
      </c>
      <c r="G1158" s="590">
        <f t="shared" si="857"/>
        <v>0</v>
      </c>
      <c r="H1158" s="590">
        <f t="shared" si="857"/>
        <v>105000</v>
      </c>
      <c r="I1158" s="590">
        <f t="shared" si="857"/>
        <v>418800</v>
      </c>
      <c r="J1158" s="590">
        <f t="shared" si="857"/>
        <v>0</v>
      </c>
      <c r="K1158" s="590">
        <f t="shared" si="857"/>
        <v>-27188</v>
      </c>
      <c r="L1158" s="317">
        <f t="shared" si="856"/>
        <v>391612</v>
      </c>
      <c r="M1158" s="317"/>
      <c r="N1158" s="372">
        <f t="shared" si="825"/>
        <v>27188</v>
      </c>
      <c r="O1158" s="590">
        <f t="shared" si="857"/>
        <v>430773.20000000007</v>
      </c>
      <c r="P1158" s="590">
        <f t="shared" si="857"/>
        <v>473850.52000000008</v>
      </c>
      <c r="R1158" s="317"/>
      <c r="U1158" s="320"/>
    </row>
    <row r="1159" spans="1:21" outlineLevel="3">
      <c r="A1159" s="645"/>
      <c r="B1159" s="338"/>
      <c r="C1159" s="331">
        <v>2211101</v>
      </c>
      <c r="D1159" s="341" t="s">
        <v>52</v>
      </c>
      <c r="E1159" s="593">
        <v>100000</v>
      </c>
      <c r="F1159" s="593"/>
      <c r="G1159" s="593"/>
      <c r="H1159" s="593">
        <v>70000</v>
      </c>
      <c r="I1159" s="324">
        <f t="shared" si="824"/>
        <v>170000</v>
      </c>
      <c r="J1159" s="315"/>
      <c r="K1159" s="595">
        <f>375000-129809+110000-355191</f>
        <v>0</v>
      </c>
      <c r="L1159" s="317">
        <f t="shared" si="856"/>
        <v>170000</v>
      </c>
      <c r="M1159" s="317"/>
      <c r="N1159" s="372">
        <f t="shared" si="825"/>
        <v>0</v>
      </c>
      <c r="O1159" s="319">
        <f>L1159*1.1</f>
        <v>187000.00000000003</v>
      </c>
      <c r="P1159" s="319">
        <f t="shared" si="849"/>
        <v>205700.00000000006</v>
      </c>
      <c r="R1159" s="317"/>
      <c r="U1159" s="320"/>
    </row>
    <row r="1160" spans="1:21" outlineLevel="3">
      <c r="A1160" s="645"/>
      <c r="B1160" s="338"/>
      <c r="C1160" s="331">
        <v>2211102</v>
      </c>
      <c r="D1160" s="341" t="s">
        <v>53</v>
      </c>
      <c r="E1160" s="593">
        <v>150000</v>
      </c>
      <c r="F1160" s="593"/>
      <c r="G1160" s="593"/>
      <c r="H1160" s="593">
        <v>35000</v>
      </c>
      <c r="I1160" s="324">
        <f t="shared" ref="I1160:I1224" si="858">E1160+F1160+G1160+H1160</f>
        <v>185000</v>
      </c>
      <c r="J1160" s="315"/>
      <c r="K1160" s="595">
        <v>-13388</v>
      </c>
      <c r="L1160" s="317">
        <f t="shared" si="856"/>
        <v>171612</v>
      </c>
      <c r="M1160" s="317"/>
      <c r="N1160" s="372">
        <f t="shared" ref="N1160:N1223" si="859">M1160-K1160</f>
        <v>13388</v>
      </c>
      <c r="O1160" s="319">
        <f>L1160*1.1</f>
        <v>188773.2</v>
      </c>
      <c r="P1160" s="319">
        <f t="shared" ref="P1160:P1177" si="860">O1160*1.1</f>
        <v>207650.52000000002</v>
      </c>
      <c r="R1160" s="317"/>
      <c r="U1160" s="320"/>
    </row>
    <row r="1161" spans="1:21" outlineLevel="3">
      <c r="A1161" s="645"/>
      <c r="B1161" s="338"/>
      <c r="C1161" s="331">
        <v>2211103</v>
      </c>
      <c r="D1161" s="341" t="s">
        <v>54</v>
      </c>
      <c r="E1161" s="593">
        <v>63800.000000000007</v>
      </c>
      <c r="F1161" s="593"/>
      <c r="G1161" s="593"/>
      <c r="H1161" s="593"/>
      <c r="I1161" s="324">
        <f t="shared" si="858"/>
        <v>63800.000000000007</v>
      </c>
      <c r="J1161" s="315"/>
      <c r="K1161" s="595">
        <v>-13800</v>
      </c>
      <c r="L1161" s="317">
        <f t="shared" si="856"/>
        <v>50000.000000000007</v>
      </c>
      <c r="M1161" s="317"/>
      <c r="N1161" s="372">
        <f t="shared" si="859"/>
        <v>13800</v>
      </c>
      <c r="O1161" s="319">
        <f>L1161*1.1</f>
        <v>55000.000000000015</v>
      </c>
      <c r="P1161" s="319">
        <f t="shared" si="860"/>
        <v>60500.000000000022</v>
      </c>
      <c r="R1161" s="317"/>
      <c r="U1161" s="320"/>
    </row>
    <row r="1162" spans="1:21" outlineLevel="3">
      <c r="A1162" s="645"/>
      <c r="B1162" s="338"/>
      <c r="C1162" s="339">
        <v>2211200</v>
      </c>
      <c r="D1162" s="343" t="s">
        <v>55</v>
      </c>
      <c r="E1162" s="590">
        <f>E1163+E1164</f>
        <v>1200000</v>
      </c>
      <c r="F1162" s="590">
        <f t="shared" ref="F1162:K1162" si="861">F1163+F1164</f>
        <v>0</v>
      </c>
      <c r="G1162" s="590">
        <f t="shared" si="861"/>
        <v>0</v>
      </c>
      <c r="H1162" s="590">
        <f t="shared" si="861"/>
        <v>-70000</v>
      </c>
      <c r="I1162" s="590">
        <f t="shared" si="861"/>
        <v>1130000</v>
      </c>
      <c r="J1162" s="590">
        <f t="shared" si="861"/>
        <v>0</v>
      </c>
      <c r="K1162" s="590">
        <f t="shared" si="861"/>
        <v>600000</v>
      </c>
      <c r="L1162" s="317">
        <f t="shared" si="856"/>
        <v>1730000</v>
      </c>
      <c r="M1162" s="317"/>
      <c r="N1162" s="372">
        <f t="shared" si="859"/>
        <v>-600000</v>
      </c>
      <c r="O1162" s="590">
        <f t="shared" ref="O1162:P1162" si="862">O1163+O1164</f>
        <v>1903000</v>
      </c>
      <c r="P1162" s="590">
        <f t="shared" si="862"/>
        <v>2093300.0000000002</v>
      </c>
      <c r="R1162" s="317"/>
      <c r="U1162" s="320"/>
    </row>
    <row r="1163" spans="1:21" outlineLevel="3">
      <c r="A1163" s="645"/>
      <c r="B1163" s="338"/>
      <c r="C1163" s="331">
        <v>2211201</v>
      </c>
      <c r="D1163" s="341" t="s">
        <v>56</v>
      </c>
      <c r="E1163" s="593">
        <f>127600+542400</f>
        <v>670000</v>
      </c>
      <c r="F1163" s="593"/>
      <c r="G1163" s="593"/>
      <c r="H1163" s="593">
        <v>-70000</v>
      </c>
      <c r="I1163" s="324">
        <f t="shared" si="858"/>
        <v>600000</v>
      </c>
      <c r="J1163" s="315"/>
      <c r="K1163" s="595">
        <v>600000</v>
      </c>
      <c r="L1163" s="317">
        <f t="shared" si="856"/>
        <v>1200000</v>
      </c>
      <c r="M1163" s="317"/>
      <c r="N1163" s="372">
        <f t="shared" si="859"/>
        <v>-600000</v>
      </c>
      <c r="O1163" s="319">
        <f>L1163*1.1</f>
        <v>1320000</v>
      </c>
      <c r="P1163" s="319">
        <f t="shared" si="860"/>
        <v>1452000.0000000002</v>
      </c>
      <c r="R1163" s="317"/>
      <c r="U1163" s="320"/>
    </row>
    <row r="1164" spans="1:21" outlineLevel="3">
      <c r="A1164" s="645"/>
      <c r="B1164" s="338"/>
      <c r="C1164" s="331" t="s">
        <v>247</v>
      </c>
      <c r="D1164" s="341" t="s">
        <v>248</v>
      </c>
      <c r="E1164" s="593">
        <v>530000</v>
      </c>
      <c r="F1164" s="593"/>
      <c r="G1164" s="593"/>
      <c r="H1164" s="593"/>
      <c r="I1164" s="324">
        <f t="shared" si="858"/>
        <v>530000</v>
      </c>
      <c r="J1164" s="315"/>
      <c r="K1164" s="595"/>
      <c r="L1164" s="317">
        <f t="shared" si="856"/>
        <v>530000</v>
      </c>
      <c r="M1164" s="317"/>
      <c r="N1164" s="372">
        <f t="shared" si="859"/>
        <v>0</v>
      </c>
      <c r="O1164" s="319">
        <f>L1164*1.1</f>
        <v>583000</v>
      </c>
      <c r="P1164" s="319">
        <f t="shared" si="860"/>
        <v>641300</v>
      </c>
      <c r="R1164" s="317"/>
      <c r="U1164" s="320"/>
    </row>
    <row r="1165" spans="1:21" outlineLevel="3">
      <c r="A1165" s="645"/>
      <c r="B1165" s="338"/>
      <c r="C1165" s="339">
        <v>2211300</v>
      </c>
      <c r="D1165" s="343" t="s">
        <v>57</v>
      </c>
      <c r="E1165" s="590">
        <f>E1166+E1167+E1168</f>
        <v>150000</v>
      </c>
      <c r="F1165" s="590">
        <f t="shared" ref="F1165:P1165" si="863">F1166+F1167+F1168</f>
        <v>0</v>
      </c>
      <c r="G1165" s="590">
        <f t="shared" si="863"/>
        <v>0</v>
      </c>
      <c r="H1165" s="590">
        <f t="shared" si="863"/>
        <v>0</v>
      </c>
      <c r="I1165" s="590">
        <f t="shared" si="863"/>
        <v>150000</v>
      </c>
      <c r="J1165" s="590">
        <f t="shared" si="863"/>
        <v>0</v>
      </c>
      <c r="K1165" s="590">
        <f t="shared" si="863"/>
        <v>880023</v>
      </c>
      <c r="L1165" s="317">
        <f t="shared" si="856"/>
        <v>1030023</v>
      </c>
      <c r="M1165" s="317"/>
      <c r="N1165" s="372">
        <f t="shared" si="859"/>
        <v>-880023</v>
      </c>
      <c r="O1165" s="590">
        <f t="shared" si="863"/>
        <v>693025.3</v>
      </c>
      <c r="P1165" s="590">
        <f t="shared" si="863"/>
        <v>762327.83000000007</v>
      </c>
      <c r="R1165" s="317"/>
      <c r="U1165" s="320"/>
    </row>
    <row r="1166" spans="1:21" outlineLevel="3">
      <c r="A1166" s="645"/>
      <c r="B1166" s="338"/>
      <c r="C1166" s="331">
        <v>2211301</v>
      </c>
      <c r="D1166" s="341" t="s">
        <v>198</v>
      </c>
      <c r="E1166" s="593">
        <v>0</v>
      </c>
      <c r="F1166" s="593"/>
      <c r="G1166" s="593"/>
      <c r="H1166" s="593"/>
      <c r="I1166" s="324">
        <f t="shared" si="858"/>
        <v>0</v>
      </c>
      <c r="J1166" s="315"/>
      <c r="K1166" s="595"/>
      <c r="L1166" s="317">
        <f t="shared" si="856"/>
        <v>0</v>
      </c>
      <c r="M1166" s="317"/>
      <c r="N1166" s="372">
        <f t="shared" si="859"/>
        <v>0</v>
      </c>
      <c r="O1166" s="319">
        <f>L1166*1.1</f>
        <v>0</v>
      </c>
      <c r="P1166" s="319">
        <f t="shared" si="860"/>
        <v>0</v>
      </c>
      <c r="R1166" s="317"/>
      <c r="U1166" s="320"/>
    </row>
    <row r="1167" spans="1:21" outlineLevel="3">
      <c r="A1167" s="645"/>
      <c r="B1167" s="338"/>
      <c r="C1167" s="331">
        <v>2211310</v>
      </c>
      <c r="D1167" s="341" t="s">
        <v>258</v>
      </c>
      <c r="E1167" s="593">
        <v>150000</v>
      </c>
      <c r="F1167" s="593"/>
      <c r="G1167" s="593"/>
      <c r="H1167" s="593"/>
      <c r="I1167" s="324">
        <f t="shared" si="858"/>
        <v>150000</v>
      </c>
      <c r="J1167" s="315">
        <v>0</v>
      </c>
      <c r="K1167" s="595">
        <f>750000-69977-200000</f>
        <v>480023</v>
      </c>
      <c r="L1167" s="317">
        <f t="shared" si="856"/>
        <v>630023</v>
      </c>
      <c r="M1167" s="317"/>
      <c r="N1167" s="372">
        <f t="shared" si="859"/>
        <v>-480023</v>
      </c>
      <c r="O1167" s="319">
        <f>L1167*1.1</f>
        <v>693025.3</v>
      </c>
      <c r="P1167" s="319">
        <f t="shared" si="860"/>
        <v>762327.83000000007</v>
      </c>
      <c r="R1167" s="317"/>
      <c r="U1167" s="320"/>
    </row>
    <row r="1168" spans="1:21" outlineLevel="3">
      <c r="A1168" s="645"/>
      <c r="B1168" s="338"/>
      <c r="C1168" s="331" t="s">
        <v>121</v>
      </c>
      <c r="D1168" s="643" t="s">
        <v>2561</v>
      </c>
      <c r="E1168" s="593"/>
      <c r="F1168" s="593"/>
      <c r="G1168" s="593"/>
      <c r="H1168" s="593"/>
      <c r="I1168" s="324"/>
      <c r="J1168" s="315">
        <v>0</v>
      </c>
      <c r="K1168" s="595">
        <v>400000</v>
      </c>
      <c r="L1168" s="317">
        <f t="shared" si="856"/>
        <v>400000</v>
      </c>
      <c r="M1168" s="317"/>
      <c r="N1168" s="372">
        <f t="shared" si="859"/>
        <v>-400000</v>
      </c>
      <c r="O1168" s="319"/>
      <c r="P1168" s="319"/>
      <c r="R1168" s="317"/>
      <c r="U1168" s="320"/>
    </row>
    <row r="1169" spans="1:21" outlineLevel="3">
      <c r="A1169" s="645"/>
      <c r="B1169" s="338"/>
      <c r="C1169" s="339" t="s">
        <v>249</v>
      </c>
      <c r="D1169" s="343" t="s">
        <v>62</v>
      </c>
      <c r="E1169" s="590">
        <f>E1170+E1171</f>
        <v>495700</v>
      </c>
      <c r="F1169" s="590">
        <f t="shared" ref="F1169:K1169" si="864">F1170+F1171</f>
        <v>0</v>
      </c>
      <c r="G1169" s="590">
        <f t="shared" si="864"/>
        <v>0</v>
      </c>
      <c r="H1169" s="590">
        <f t="shared" si="864"/>
        <v>-40000</v>
      </c>
      <c r="I1169" s="590">
        <f t="shared" si="864"/>
        <v>455700</v>
      </c>
      <c r="J1169" s="590">
        <f t="shared" si="864"/>
        <v>0</v>
      </c>
      <c r="K1169" s="590">
        <f t="shared" si="864"/>
        <v>0</v>
      </c>
      <c r="L1169" s="317">
        <f t="shared" si="856"/>
        <v>455700</v>
      </c>
      <c r="M1169" s="317"/>
      <c r="N1169" s="372">
        <f t="shared" si="859"/>
        <v>0</v>
      </c>
      <c r="O1169" s="590">
        <f t="shared" ref="O1169:P1169" si="865">O1170+O1171</f>
        <v>501270.00000000012</v>
      </c>
      <c r="P1169" s="590">
        <f t="shared" si="865"/>
        <v>551397.00000000012</v>
      </c>
      <c r="R1169" s="317"/>
      <c r="U1169" s="320"/>
    </row>
    <row r="1170" spans="1:21" outlineLevel="3">
      <c r="A1170" s="645"/>
      <c r="B1170" s="338"/>
      <c r="C1170" s="332">
        <v>2220101</v>
      </c>
      <c r="D1170" s="332" t="s">
        <v>250</v>
      </c>
      <c r="E1170" s="593">
        <f>100000+400000-100000</f>
        <v>400000</v>
      </c>
      <c r="F1170" s="593"/>
      <c r="G1170" s="593"/>
      <c r="H1170" s="593">
        <v>-40000</v>
      </c>
      <c r="I1170" s="324">
        <f t="shared" si="858"/>
        <v>360000</v>
      </c>
      <c r="J1170" s="315"/>
      <c r="K1170" s="595"/>
      <c r="L1170" s="317">
        <f t="shared" si="856"/>
        <v>360000</v>
      </c>
      <c r="M1170" s="317"/>
      <c r="N1170" s="372">
        <f t="shared" si="859"/>
        <v>0</v>
      </c>
      <c r="O1170" s="319">
        <f>L1170*1.1</f>
        <v>396000.00000000006</v>
      </c>
      <c r="P1170" s="319">
        <f t="shared" si="860"/>
        <v>435600.00000000012</v>
      </c>
      <c r="R1170" s="317"/>
      <c r="U1170" s="320"/>
    </row>
    <row r="1171" spans="1:21" outlineLevel="3">
      <c r="A1171" s="645"/>
      <c r="B1171" s="338"/>
      <c r="C1171" s="332">
        <v>2220105</v>
      </c>
      <c r="D1171" s="332" t="s">
        <v>64</v>
      </c>
      <c r="E1171" s="593">
        <v>95700.000000000015</v>
      </c>
      <c r="F1171" s="593"/>
      <c r="G1171" s="593"/>
      <c r="H1171" s="593"/>
      <c r="I1171" s="324">
        <f t="shared" si="858"/>
        <v>95700.000000000015</v>
      </c>
      <c r="J1171" s="315"/>
      <c r="K1171" s="595"/>
      <c r="L1171" s="317">
        <f t="shared" si="856"/>
        <v>95700.000000000015</v>
      </c>
      <c r="M1171" s="317"/>
      <c r="N1171" s="372">
        <f t="shared" si="859"/>
        <v>0</v>
      </c>
      <c r="O1171" s="319">
        <f>L1171*1.1</f>
        <v>105270.00000000003</v>
      </c>
      <c r="P1171" s="319">
        <f t="shared" si="860"/>
        <v>115797.00000000004</v>
      </c>
      <c r="R1171" s="317"/>
      <c r="U1171" s="320"/>
    </row>
    <row r="1172" spans="1:21" outlineLevel="3">
      <c r="A1172" s="645"/>
      <c r="B1172" s="338"/>
      <c r="C1172" s="339">
        <v>2220200</v>
      </c>
      <c r="D1172" s="343" t="s">
        <v>86</v>
      </c>
      <c r="E1172" s="590">
        <f>E1173+E1174+E1175</f>
        <v>179750</v>
      </c>
      <c r="F1172" s="590">
        <f t="shared" ref="F1172:Q1172" si="866">F1173+F1174+F1175</f>
        <v>0</v>
      </c>
      <c r="G1172" s="590">
        <f t="shared" si="866"/>
        <v>0</v>
      </c>
      <c r="H1172" s="590">
        <f t="shared" si="866"/>
        <v>0</v>
      </c>
      <c r="I1172" s="590">
        <f t="shared" si="866"/>
        <v>179750</v>
      </c>
      <c r="J1172" s="590">
        <f t="shared" si="866"/>
        <v>0</v>
      </c>
      <c r="K1172" s="590">
        <f t="shared" si="866"/>
        <v>-79750</v>
      </c>
      <c r="L1172" s="317">
        <f t="shared" si="856"/>
        <v>100000</v>
      </c>
      <c r="M1172" s="317"/>
      <c r="N1172" s="372">
        <f t="shared" si="859"/>
        <v>79750</v>
      </c>
      <c r="O1172" s="590">
        <f t="shared" si="866"/>
        <v>110000.00000000001</v>
      </c>
      <c r="P1172" s="590">
        <f t="shared" si="866"/>
        <v>121000.00000000003</v>
      </c>
      <c r="Q1172" s="590">
        <f t="shared" si="866"/>
        <v>0</v>
      </c>
      <c r="R1172" s="317"/>
      <c r="U1172" s="320"/>
    </row>
    <row r="1173" spans="1:21" outlineLevel="3">
      <c r="A1173" s="645"/>
      <c r="B1173" s="338"/>
      <c r="C1173" s="331">
        <v>2220201</v>
      </c>
      <c r="D1173" s="341" t="s">
        <v>259</v>
      </c>
      <c r="E1173" s="593">
        <v>100000</v>
      </c>
      <c r="F1173" s="593"/>
      <c r="G1173" s="593"/>
      <c r="H1173" s="593"/>
      <c r="I1173" s="324">
        <f t="shared" si="858"/>
        <v>100000</v>
      </c>
      <c r="J1173" s="315"/>
      <c r="K1173" s="595">
        <v>0</v>
      </c>
      <c r="L1173" s="317">
        <f t="shared" si="856"/>
        <v>100000</v>
      </c>
      <c r="M1173" s="317"/>
      <c r="N1173" s="372">
        <f t="shared" si="859"/>
        <v>0</v>
      </c>
      <c r="O1173" s="319">
        <f>L1173*1.1</f>
        <v>110000.00000000001</v>
      </c>
      <c r="P1173" s="319">
        <f t="shared" si="860"/>
        <v>121000.00000000003</v>
      </c>
      <c r="R1173" s="317"/>
      <c r="U1173" s="320"/>
    </row>
    <row r="1174" spans="1:21" outlineLevel="3">
      <c r="A1174" s="645"/>
      <c r="B1174" s="338"/>
      <c r="C1174" s="331">
        <v>2220202</v>
      </c>
      <c r="D1174" s="341" t="s">
        <v>87</v>
      </c>
      <c r="E1174" s="593">
        <v>44660</v>
      </c>
      <c r="F1174" s="593"/>
      <c r="G1174" s="593"/>
      <c r="H1174" s="593"/>
      <c r="I1174" s="324">
        <f t="shared" si="858"/>
        <v>44660</v>
      </c>
      <c r="J1174" s="315"/>
      <c r="K1174" s="595">
        <v>-44660</v>
      </c>
      <c r="L1174" s="317">
        <f t="shared" si="856"/>
        <v>0</v>
      </c>
      <c r="M1174" s="317"/>
      <c r="N1174" s="372">
        <f t="shared" si="859"/>
        <v>44660</v>
      </c>
      <c r="O1174" s="319">
        <f>L1174*1.1</f>
        <v>0</v>
      </c>
      <c r="P1174" s="319">
        <f t="shared" si="860"/>
        <v>0</v>
      </c>
      <c r="R1174" s="317"/>
      <c r="U1174" s="320"/>
    </row>
    <row r="1175" spans="1:21" outlineLevel="3">
      <c r="A1175" s="645"/>
      <c r="B1175" s="338"/>
      <c r="C1175" s="331">
        <v>2220205</v>
      </c>
      <c r="D1175" s="341" t="s">
        <v>125</v>
      </c>
      <c r="E1175" s="593">
        <v>35090</v>
      </c>
      <c r="F1175" s="593"/>
      <c r="G1175" s="593"/>
      <c r="H1175" s="593"/>
      <c r="I1175" s="324">
        <f t="shared" si="858"/>
        <v>35090</v>
      </c>
      <c r="J1175" s="315"/>
      <c r="K1175" s="595">
        <v>-35090</v>
      </c>
      <c r="L1175" s="317">
        <f t="shared" si="856"/>
        <v>0</v>
      </c>
      <c r="M1175" s="317"/>
      <c r="N1175" s="372">
        <f t="shared" si="859"/>
        <v>35090</v>
      </c>
      <c r="O1175" s="319">
        <f>L1175*1.1</f>
        <v>0</v>
      </c>
      <c r="P1175" s="319">
        <f t="shared" si="860"/>
        <v>0</v>
      </c>
      <c r="R1175" s="317"/>
      <c r="U1175" s="320"/>
    </row>
    <row r="1176" spans="1:21" outlineLevel="3">
      <c r="A1176" s="645"/>
      <c r="B1176" s="338"/>
      <c r="C1176" s="339">
        <v>3110300</v>
      </c>
      <c r="D1176" s="343" t="s">
        <v>251</v>
      </c>
      <c r="E1176" s="590">
        <f>E1177</f>
        <v>41470</v>
      </c>
      <c r="F1176" s="590">
        <f t="shared" ref="F1176:P1176" si="867">F1177</f>
        <v>0</v>
      </c>
      <c r="G1176" s="590">
        <f t="shared" si="867"/>
        <v>0</v>
      </c>
      <c r="H1176" s="590">
        <f t="shared" si="867"/>
        <v>0</v>
      </c>
      <c r="I1176" s="590">
        <f t="shared" si="867"/>
        <v>41470</v>
      </c>
      <c r="J1176" s="590">
        <f t="shared" si="867"/>
        <v>0</v>
      </c>
      <c r="K1176" s="590">
        <f t="shared" si="867"/>
        <v>-41470</v>
      </c>
      <c r="L1176" s="317">
        <f t="shared" si="856"/>
        <v>0</v>
      </c>
      <c r="M1176" s="317"/>
      <c r="N1176" s="372">
        <f t="shared" si="859"/>
        <v>41470</v>
      </c>
      <c r="O1176" s="590">
        <f t="shared" si="867"/>
        <v>0</v>
      </c>
      <c r="P1176" s="590">
        <f t="shared" si="867"/>
        <v>0</v>
      </c>
      <c r="R1176" s="317"/>
      <c r="U1176" s="320"/>
    </row>
    <row r="1177" spans="1:21" outlineLevel="3">
      <c r="A1177" s="645"/>
      <c r="B1177" s="338"/>
      <c r="C1177" s="331">
        <v>3110302</v>
      </c>
      <c r="D1177" s="341" t="s">
        <v>252</v>
      </c>
      <c r="E1177" s="593">
        <v>41470</v>
      </c>
      <c r="F1177" s="593"/>
      <c r="G1177" s="593"/>
      <c r="H1177" s="593"/>
      <c r="I1177" s="324">
        <f t="shared" si="858"/>
        <v>41470</v>
      </c>
      <c r="J1177" s="315"/>
      <c r="K1177" s="595">
        <v>-41470</v>
      </c>
      <c r="L1177" s="317">
        <f t="shared" si="856"/>
        <v>0</v>
      </c>
      <c r="M1177" s="317"/>
      <c r="N1177" s="372">
        <f t="shared" si="859"/>
        <v>41470</v>
      </c>
      <c r="O1177" s="319">
        <f>L1177*1.1</f>
        <v>0</v>
      </c>
      <c r="P1177" s="319">
        <f t="shared" si="860"/>
        <v>0</v>
      </c>
      <c r="R1177" s="317"/>
      <c r="U1177" s="320"/>
    </row>
    <row r="1178" spans="1:21" outlineLevel="3">
      <c r="A1178" s="645"/>
      <c r="B1178" s="338"/>
      <c r="C1178" s="339">
        <v>3111000</v>
      </c>
      <c r="D1178" s="343" t="s">
        <v>69</v>
      </c>
      <c r="E1178" s="590">
        <f>E1179+E1180+E1181</f>
        <v>347829</v>
      </c>
      <c r="F1178" s="590">
        <f t="shared" ref="F1178:P1178" si="868">F1179+F1180+F1181</f>
        <v>0</v>
      </c>
      <c r="G1178" s="590">
        <f t="shared" si="868"/>
        <v>0</v>
      </c>
      <c r="H1178" s="590">
        <f t="shared" si="868"/>
        <v>-61000</v>
      </c>
      <c r="I1178" s="590">
        <f t="shared" si="868"/>
        <v>286829</v>
      </c>
      <c r="J1178" s="590">
        <f t="shared" si="868"/>
        <v>0</v>
      </c>
      <c r="K1178" s="590">
        <f t="shared" si="868"/>
        <v>33530</v>
      </c>
      <c r="L1178" s="317">
        <f t="shared" si="856"/>
        <v>320359</v>
      </c>
      <c r="M1178" s="317"/>
      <c r="N1178" s="372">
        <f t="shared" si="859"/>
        <v>-33530</v>
      </c>
      <c r="O1178" s="590">
        <f t="shared" si="868"/>
        <v>352394.9</v>
      </c>
      <c r="P1178" s="590">
        <f t="shared" si="868"/>
        <v>387634.39000000013</v>
      </c>
      <c r="R1178" s="317"/>
      <c r="U1178" s="320"/>
    </row>
    <row r="1179" spans="1:21" outlineLevel="3">
      <c r="A1179" s="645"/>
      <c r="B1179" s="338"/>
      <c r="C1179" s="331">
        <v>3111001</v>
      </c>
      <c r="D1179" s="341" t="s">
        <v>70</v>
      </c>
      <c r="E1179" s="593">
        <v>41470</v>
      </c>
      <c r="F1179" s="593"/>
      <c r="G1179" s="593"/>
      <c r="H1179" s="593"/>
      <c r="I1179" s="324">
        <f t="shared" si="858"/>
        <v>41470</v>
      </c>
      <c r="J1179" s="315"/>
      <c r="K1179" s="595">
        <v>-41470</v>
      </c>
      <c r="L1179" s="317">
        <f t="shared" si="856"/>
        <v>0</v>
      </c>
      <c r="M1179" s="317"/>
      <c r="N1179" s="372">
        <f t="shared" si="859"/>
        <v>41470</v>
      </c>
      <c r="O1179" s="319">
        <f>L1179*1.1</f>
        <v>0</v>
      </c>
      <c r="P1179" s="319">
        <f t="shared" ref="P1179:P1190" si="869">O1179*1.1</f>
        <v>0</v>
      </c>
      <c r="R1179" s="317"/>
      <c r="U1179" s="320"/>
    </row>
    <row r="1180" spans="1:21" outlineLevel="3">
      <c r="A1180" s="645"/>
      <c r="B1180" s="338"/>
      <c r="C1180" s="331">
        <v>3111002</v>
      </c>
      <c r="D1180" s="341" t="s">
        <v>71</v>
      </c>
      <c r="E1180" s="593">
        <f>354000-92400</f>
        <v>261600</v>
      </c>
      <c r="F1180" s="593"/>
      <c r="G1180" s="593"/>
      <c r="H1180" s="593">
        <v>-61000</v>
      </c>
      <c r="I1180" s="324">
        <f t="shared" si="858"/>
        <v>200600</v>
      </c>
      <c r="J1180" s="315"/>
      <c r="K1180" s="595"/>
      <c r="L1180" s="317">
        <f t="shared" si="856"/>
        <v>200600</v>
      </c>
      <c r="M1180" s="317"/>
      <c r="N1180" s="372">
        <f t="shared" si="859"/>
        <v>0</v>
      </c>
      <c r="O1180" s="319">
        <f>L1180*1.1</f>
        <v>220660.00000000003</v>
      </c>
      <c r="P1180" s="319">
        <f t="shared" si="869"/>
        <v>242726.00000000006</v>
      </c>
      <c r="R1180" s="317"/>
      <c r="U1180" s="320"/>
    </row>
    <row r="1181" spans="1:21" outlineLevel="3">
      <c r="A1181" s="645"/>
      <c r="B1181" s="338"/>
      <c r="C1181" s="331">
        <v>3111009</v>
      </c>
      <c r="D1181" s="341" t="s">
        <v>253</v>
      </c>
      <c r="E1181" s="593">
        <v>44759</v>
      </c>
      <c r="F1181" s="593"/>
      <c r="G1181" s="593"/>
      <c r="H1181" s="593"/>
      <c r="I1181" s="324">
        <f t="shared" si="858"/>
        <v>44759</v>
      </c>
      <c r="J1181" s="315"/>
      <c r="K1181" s="595">
        <v>75000</v>
      </c>
      <c r="L1181" s="317">
        <f t="shared" si="856"/>
        <v>119759</v>
      </c>
      <c r="M1181" s="317"/>
      <c r="N1181" s="372">
        <f t="shared" si="859"/>
        <v>-75000</v>
      </c>
      <c r="O1181" s="319">
        <f>L1181*1.1</f>
        <v>131734.90000000002</v>
      </c>
      <c r="P1181" s="319">
        <f t="shared" si="869"/>
        <v>144908.39000000004</v>
      </c>
      <c r="R1181" s="317"/>
      <c r="U1181" s="320"/>
    </row>
    <row r="1182" spans="1:21" outlineLevel="3">
      <c r="A1182" s="645"/>
      <c r="B1182" s="338"/>
      <c r="C1182" s="340">
        <v>3111400</v>
      </c>
      <c r="D1182" s="340" t="s">
        <v>254</v>
      </c>
      <c r="E1182" s="590">
        <f>E1183</f>
        <v>100000</v>
      </c>
      <c r="F1182" s="590">
        <f t="shared" ref="F1182:K1182" si="870">F1183</f>
        <v>0</v>
      </c>
      <c r="G1182" s="590">
        <f t="shared" si="870"/>
        <v>0</v>
      </c>
      <c r="H1182" s="590">
        <f t="shared" si="870"/>
        <v>0</v>
      </c>
      <c r="I1182" s="590">
        <f t="shared" si="870"/>
        <v>100000</v>
      </c>
      <c r="J1182" s="590">
        <f t="shared" si="870"/>
        <v>0</v>
      </c>
      <c r="K1182" s="590">
        <f t="shared" si="870"/>
        <v>0</v>
      </c>
      <c r="L1182" s="317">
        <f t="shared" si="856"/>
        <v>100000</v>
      </c>
      <c r="M1182" s="317"/>
      <c r="N1182" s="372">
        <f t="shared" si="859"/>
        <v>0</v>
      </c>
      <c r="O1182" s="590">
        <f t="shared" ref="O1182:P1182" si="871">O1183</f>
        <v>110000.00000000001</v>
      </c>
      <c r="P1182" s="590">
        <f t="shared" si="871"/>
        <v>121000.00000000003</v>
      </c>
      <c r="R1182" s="317"/>
      <c r="U1182" s="320"/>
    </row>
    <row r="1183" spans="1:21" outlineLevel="3">
      <c r="A1183" s="645"/>
      <c r="B1183" s="338"/>
      <c r="C1183" s="332">
        <v>3111401</v>
      </c>
      <c r="D1183" s="332" t="s">
        <v>255</v>
      </c>
      <c r="E1183" s="593">
        <v>100000</v>
      </c>
      <c r="F1183" s="593"/>
      <c r="G1183" s="593"/>
      <c r="H1183" s="593"/>
      <c r="I1183" s="324">
        <f t="shared" si="858"/>
        <v>100000</v>
      </c>
      <c r="J1183" s="315"/>
      <c r="K1183" s="595"/>
      <c r="L1183" s="317">
        <f t="shared" si="856"/>
        <v>100000</v>
      </c>
      <c r="M1183" s="317"/>
      <c r="N1183" s="372">
        <f t="shared" si="859"/>
        <v>0</v>
      </c>
      <c r="O1183" s="319">
        <f>L1183*1.1</f>
        <v>110000.00000000001</v>
      </c>
      <c r="P1183" s="319">
        <f t="shared" si="869"/>
        <v>121000.00000000003</v>
      </c>
      <c r="R1183" s="317"/>
      <c r="U1183" s="320"/>
    </row>
    <row r="1184" spans="1:21" outlineLevel="2">
      <c r="A1184" s="645"/>
      <c r="B1184" s="338"/>
      <c r="C1184" s="383"/>
      <c r="D1184" s="383" t="s">
        <v>128</v>
      </c>
      <c r="E1184" s="575">
        <f>E1182+E1178+E1176+E1172+E1169+E1165+E1162+E1158+E1156+E1152+E1144+E1140+E1135+E1132+E1128+E1126</f>
        <v>12154142</v>
      </c>
      <c r="F1184" s="575">
        <f t="shared" ref="F1184:P1184" si="872">F1182+F1178+F1176+F1172+F1169+F1165+F1162+F1158+F1156+F1152+F1144+F1140+F1135+F1132+F1128+F1126</f>
        <v>0</v>
      </c>
      <c r="G1184" s="575">
        <f t="shared" si="872"/>
        <v>500000</v>
      </c>
      <c r="H1184" s="575">
        <f t="shared" si="872"/>
        <v>-31000</v>
      </c>
      <c r="I1184" s="575">
        <f t="shared" si="872"/>
        <v>12623142</v>
      </c>
      <c r="J1184" s="575">
        <f t="shared" si="872"/>
        <v>0</v>
      </c>
      <c r="K1184" s="575">
        <f t="shared" si="872"/>
        <v>3389324</v>
      </c>
      <c r="L1184" s="317">
        <f t="shared" si="856"/>
        <v>16012466</v>
      </c>
      <c r="M1184" s="317"/>
      <c r="N1184" s="372">
        <f t="shared" si="859"/>
        <v>-3389324</v>
      </c>
      <c r="O1184" s="575">
        <f t="shared" si="872"/>
        <v>17173712.600000001</v>
      </c>
      <c r="P1184" s="575">
        <f t="shared" si="872"/>
        <v>18891083.860000003</v>
      </c>
      <c r="R1184" s="317"/>
      <c r="U1184" s="320"/>
    </row>
    <row r="1185" spans="1:21" outlineLevel="2">
      <c r="A1185" s="645"/>
      <c r="B1185" s="338"/>
      <c r="C1185" s="383"/>
      <c r="D1185" s="383"/>
      <c r="E1185" s="575"/>
      <c r="F1185" s="316"/>
      <c r="G1185" s="316"/>
      <c r="H1185" s="316"/>
      <c r="I1185" s="324">
        <f t="shared" si="858"/>
        <v>0</v>
      </c>
      <c r="J1185" s="315"/>
      <c r="K1185" s="595"/>
      <c r="L1185" s="317">
        <f t="shared" si="856"/>
        <v>0</v>
      </c>
      <c r="M1185" s="317"/>
      <c r="N1185" s="372">
        <f t="shared" si="859"/>
        <v>0</v>
      </c>
      <c r="O1185" s="319">
        <f>L1185*1.1</f>
        <v>0</v>
      </c>
      <c r="P1185" s="319">
        <f t="shared" si="869"/>
        <v>0</v>
      </c>
      <c r="R1185" s="317"/>
      <c r="U1185" s="320"/>
    </row>
    <row r="1186" spans="1:21" outlineLevel="2">
      <c r="A1186" s="645"/>
      <c r="B1186" s="338"/>
      <c r="C1186" s="407"/>
      <c r="D1186" s="340" t="s">
        <v>92</v>
      </c>
      <c r="E1186" s="575">
        <v>0</v>
      </c>
      <c r="F1186" s="386"/>
      <c r="G1186" s="386"/>
      <c r="H1186" s="386"/>
      <c r="I1186" s="324">
        <f t="shared" si="858"/>
        <v>0</v>
      </c>
      <c r="J1186" s="315"/>
      <c r="K1186" s="595"/>
      <c r="L1186" s="317">
        <f t="shared" si="856"/>
        <v>0</v>
      </c>
      <c r="M1186" s="317"/>
      <c r="N1186" s="372">
        <f t="shared" si="859"/>
        <v>0</v>
      </c>
      <c r="O1186" s="319">
        <f>L1186*1.1</f>
        <v>0</v>
      </c>
      <c r="P1186" s="319">
        <f t="shared" si="869"/>
        <v>0</v>
      </c>
      <c r="R1186" s="317"/>
      <c r="U1186" s="320"/>
    </row>
    <row r="1187" spans="1:21" outlineLevel="3">
      <c r="A1187" s="645"/>
      <c r="B1187" s="338"/>
      <c r="C1187" s="340">
        <v>3110500</v>
      </c>
      <c r="D1187" s="340" t="s">
        <v>260</v>
      </c>
      <c r="E1187" s="590">
        <f>E1188+E1190+E1189</f>
        <v>19350000</v>
      </c>
      <c r="F1187" s="590">
        <f t="shared" ref="F1187:K1187" si="873">F1188+F1190+F1189</f>
        <v>2167013</v>
      </c>
      <c r="G1187" s="590">
        <f t="shared" si="873"/>
        <v>-8500000</v>
      </c>
      <c r="H1187" s="590">
        <f t="shared" si="873"/>
        <v>-1181842</v>
      </c>
      <c r="I1187" s="590">
        <f t="shared" si="873"/>
        <v>11835171</v>
      </c>
      <c r="J1187" s="590">
        <f t="shared" si="873"/>
        <v>-2401692</v>
      </c>
      <c r="K1187" s="590">
        <f t="shared" si="873"/>
        <v>0</v>
      </c>
      <c r="L1187" s="317">
        <f t="shared" si="856"/>
        <v>9433479</v>
      </c>
      <c r="M1187" s="317"/>
      <c r="N1187" s="372">
        <f t="shared" si="859"/>
        <v>0</v>
      </c>
      <c r="O1187" s="590">
        <f t="shared" ref="O1187:P1187" si="874">O1188+O1190+O1189</f>
        <v>10376826.9</v>
      </c>
      <c r="P1187" s="590">
        <f t="shared" si="874"/>
        <v>11414509.590000002</v>
      </c>
      <c r="R1187" s="317"/>
      <c r="U1187" s="320"/>
    </row>
    <row r="1188" spans="1:21" outlineLevel="3">
      <c r="A1188" s="645"/>
      <c r="B1188" s="330"/>
      <c r="C1188" s="401">
        <v>3110504</v>
      </c>
      <c r="D1188" s="464" t="s">
        <v>1524</v>
      </c>
      <c r="E1188" s="593">
        <v>5000000</v>
      </c>
      <c r="F1188" s="593">
        <v>2167013</v>
      </c>
      <c r="G1188" s="333">
        <v>0</v>
      </c>
      <c r="H1188" s="593">
        <f>37737-1000000</f>
        <v>-962263</v>
      </c>
      <c r="I1188" s="324">
        <f t="shared" si="858"/>
        <v>6204750</v>
      </c>
      <c r="J1188" s="315">
        <v>-2382436</v>
      </c>
      <c r="K1188" s="595">
        <v>0</v>
      </c>
      <c r="L1188" s="317">
        <f t="shared" si="856"/>
        <v>3822314</v>
      </c>
      <c r="M1188" s="317"/>
      <c r="N1188" s="372">
        <f t="shared" si="859"/>
        <v>0</v>
      </c>
      <c r="O1188" s="319">
        <f t="shared" ref="O1188" si="875">L1188*1.1</f>
        <v>4204545.4000000004</v>
      </c>
      <c r="P1188" s="319">
        <f t="shared" ref="P1188" si="876">O1188*1.1</f>
        <v>4624999.9400000004</v>
      </c>
      <c r="R1188" s="317"/>
      <c r="U1188" s="320" t="s">
        <v>1803</v>
      </c>
    </row>
    <row r="1189" spans="1:21" outlineLevel="3">
      <c r="A1189" s="648"/>
      <c r="B1189" s="376"/>
      <c r="C1189" s="649">
        <v>3110504</v>
      </c>
      <c r="D1189" s="650" t="s">
        <v>1525</v>
      </c>
      <c r="E1189" s="637">
        <v>2350000</v>
      </c>
      <c r="F1189" s="355"/>
      <c r="G1189" s="355"/>
      <c r="H1189" s="637">
        <v>-64329</v>
      </c>
      <c r="I1189" s="324">
        <f t="shared" si="858"/>
        <v>2285671</v>
      </c>
      <c r="J1189" s="315"/>
      <c r="K1189" s="595"/>
      <c r="L1189" s="317">
        <f t="shared" si="856"/>
        <v>2285671</v>
      </c>
      <c r="M1189" s="317"/>
      <c r="N1189" s="372">
        <f t="shared" si="859"/>
        <v>0</v>
      </c>
      <c r="O1189" s="319">
        <f>L1189*1.1</f>
        <v>2514238.1</v>
      </c>
      <c r="P1189" s="319">
        <f t="shared" si="869"/>
        <v>2765661.91</v>
      </c>
      <c r="R1189" s="317"/>
      <c r="U1189" s="320" t="s">
        <v>1803</v>
      </c>
    </row>
    <row r="1190" spans="1:21" outlineLevel="3">
      <c r="A1190" s="645"/>
      <c r="B1190" s="338"/>
      <c r="C1190" s="401">
        <v>3110599</v>
      </c>
      <c r="D1190" s="464" t="s">
        <v>1526</v>
      </c>
      <c r="E1190" s="593">
        <f>3000000+9000000</f>
        <v>12000000</v>
      </c>
      <c r="F1190" s="333"/>
      <c r="G1190" s="333">
        <f>-7000000-1500000</f>
        <v>-8500000</v>
      </c>
      <c r="H1190" s="333">
        <f>-155250</f>
        <v>-155250</v>
      </c>
      <c r="I1190" s="324">
        <f t="shared" si="858"/>
        <v>3344750</v>
      </c>
      <c r="J1190" s="317">
        <v>-19256</v>
      </c>
      <c r="K1190" s="595">
        <v>0</v>
      </c>
      <c r="L1190" s="317">
        <f t="shared" si="856"/>
        <v>3325494</v>
      </c>
      <c r="M1190" s="2210"/>
      <c r="N1190" s="372">
        <f t="shared" si="859"/>
        <v>0</v>
      </c>
      <c r="O1190" s="318">
        <f>L1190*1.1</f>
        <v>3658043.4000000004</v>
      </c>
      <c r="P1190" s="319">
        <f t="shared" si="869"/>
        <v>4023847.7400000007</v>
      </c>
      <c r="R1190" s="317"/>
      <c r="U1190" s="320" t="s">
        <v>1803</v>
      </c>
    </row>
    <row r="1191" spans="1:21" s="337" customFormat="1" outlineLevel="3">
      <c r="A1191" s="651"/>
      <c r="B1191" s="358"/>
      <c r="C1191" s="652">
        <v>3111400</v>
      </c>
      <c r="D1191" s="653" t="s">
        <v>254</v>
      </c>
      <c r="E1191" s="642">
        <f>E1192+E1193</f>
        <v>0</v>
      </c>
      <c r="F1191" s="642">
        <f t="shared" ref="F1191:K1191" si="877">F1192+F1193</f>
        <v>0</v>
      </c>
      <c r="G1191" s="642">
        <f t="shared" si="877"/>
        <v>0</v>
      </c>
      <c r="H1191" s="642">
        <f t="shared" si="877"/>
        <v>310500</v>
      </c>
      <c r="I1191" s="642">
        <f t="shared" si="877"/>
        <v>310500</v>
      </c>
      <c r="J1191" s="642">
        <f t="shared" si="877"/>
        <v>-72796</v>
      </c>
      <c r="K1191" s="642">
        <f t="shared" si="877"/>
        <v>0</v>
      </c>
      <c r="L1191" s="317">
        <f t="shared" si="856"/>
        <v>237704</v>
      </c>
      <c r="M1191" s="2211"/>
      <c r="N1191" s="372">
        <f t="shared" si="859"/>
        <v>0</v>
      </c>
      <c r="O1191" s="642">
        <f t="shared" ref="O1191:P1191" si="878">O1192+O1193</f>
        <v>0</v>
      </c>
      <c r="P1191" s="642">
        <f t="shared" si="878"/>
        <v>0</v>
      </c>
      <c r="R1191" s="317"/>
      <c r="U1191" s="320"/>
    </row>
    <row r="1192" spans="1:21" outlineLevel="3">
      <c r="A1192" s="645"/>
      <c r="B1192" s="338"/>
      <c r="C1192" s="401">
        <v>3111401</v>
      </c>
      <c r="D1192" s="654" t="s">
        <v>2070</v>
      </c>
      <c r="E1192" s="593"/>
      <c r="F1192" s="593"/>
      <c r="G1192" s="593"/>
      <c r="H1192" s="593">
        <v>155250</v>
      </c>
      <c r="I1192" s="324">
        <f t="shared" si="858"/>
        <v>155250</v>
      </c>
      <c r="J1192" s="523">
        <v>-72796</v>
      </c>
      <c r="K1192" s="595">
        <v>0</v>
      </c>
      <c r="L1192" s="317">
        <f t="shared" si="856"/>
        <v>82454</v>
      </c>
      <c r="M1192" s="317"/>
      <c r="N1192" s="372">
        <f t="shared" si="859"/>
        <v>0</v>
      </c>
      <c r="O1192" s="319"/>
      <c r="P1192" s="319"/>
      <c r="R1192" s="317"/>
      <c r="U1192" s="320" t="s">
        <v>1803</v>
      </c>
    </row>
    <row r="1193" spans="1:21" outlineLevel="3">
      <c r="A1193" s="645"/>
      <c r="B1193" s="338"/>
      <c r="C1193" s="401">
        <v>3111404</v>
      </c>
      <c r="D1193" s="464" t="s">
        <v>2071</v>
      </c>
      <c r="E1193" s="593"/>
      <c r="F1193" s="593"/>
      <c r="G1193" s="593"/>
      <c r="H1193" s="593">
        <v>155250</v>
      </c>
      <c r="I1193" s="324">
        <f t="shared" si="858"/>
        <v>155250</v>
      </c>
      <c r="J1193" s="523"/>
      <c r="K1193" s="595">
        <v>0</v>
      </c>
      <c r="L1193" s="317">
        <f t="shared" si="856"/>
        <v>155250</v>
      </c>
      <c r="M1193" s="317"/>
      <c r="N1193" s="372">
        <f t="shared" si="859"/>
        <v>0</v>
      </c>
      <c r="O1193" s="319"/>
      <c r="P1193" s="319"/>
      <c r="R1193" s="317"/>
      <c r="U1193" s="320"/>
    </row>
    <row r="1194" spans="1:21" s="337" customFormat="1" outlineLevel="2">
      <c r="A1194" s="608"/>
      <c r="B1194" s="338"/>
      <c r="C1194" s="403"/>
      <c r="D1194" s="655" t="s">
        <v>261</v>
      </c>
      <c r="E1194" s="656">
        <f>E1187+E1191</f>
        <v>19350000</v>
      </c>
      <c r="F1194" s="656">
        <f t="shared" ref="F1194:K1194" si="879">F1187+F1191</f>
        <v>2167013</v>
      </c>
      <c r="G1194" s="656">
        <f t="shared" si="879"/>
        <v>-8500000</v>
      </c>
      <c r="H1194" s="656">
        <f t="shared" si="879"/>
        <v>-871342</v>
      </c>
      <c r="I1194" s="656">
        <f t="shared" si="879"/>
        <v>12145671</v>
      </c>
      <c r="J1194" s="656">
        <f t="shared" si="879"/>
        <v>-2474488</v>
      </c>
      <c r="K1194" s="656">
        <f t="shared" si="879"/>
        <v>0</v>
      </c>
      <c r="L1194" s="317">
        <f t="shared" si="856"/>
        <v>9671183</v>
      </c>
      <c r="M1194" s="317"/>
      <c r="N1194" s="372">
        <f t="shared" si="859"/>
        <v>0</v>
      </c>
      <c r="O1194" s="656">
        <f t="shared" ref="O1194:P1194" si="880">O1187+O1191</f>
        <v>10376826.9</v>
      </c>
      <c r="P1194" s="656">
        <f t="shared" si="880"/>
        <v>11414509.590000002</v>
      </c>
      <c r="R1194" s="317"/>
      <c r="U1194" s="320"/>
    </row>
    <row r="1195" spans="1:21" s="337" customFormat="1" outlineLevel="1">
      <c r="A1195" s="608"/>
      <c r="B1195" s="338"/>
      <c r="C1195" s="403"/>
      <c r="D1195" s="655" t="s">
        <v>84</v>
      </c>
      <c r="E1195" s="656">
        <f>E1184+E1194</f>
        <v>31504142</v>
      </c>
      <c r="F1195" s="656">
        <f t="shared" ref="F1195:K1195" si="881">F1184+F1194</f>
        <v>2167013</v>
      </c>
      <c r="G1195" s="656">
        <f t="shared" si="881"/>
        <v>-8000000</v>
      </c>
      <c r="H1195" s="656">
        <f t="shared" si="881"/>
        <v>-902342</v>
      </c>
      <c r="I1195" s="656">
        <f t="shared" si="881"/>
        <v>24768813</v>
      </c>
      <c r="J1195" s="656">
        <f t="shared" si="881"/>
        <v>-2474488</v>
      </c>
      <c r="K1195" s="656">
        <f t="shared" si="881"/>
        <v>3389324</v>
      </c>
      <c r="L1195" s="317">
        <f t="shared" si="856"/>
        <v>25683649</v>
      </c>
      <c r="M1195" s="317"/>
      <c r="N1195" s="372">
        <f t="shared" si="859"/>
        <v>-3389324</v>
      </c>
      <c r="O1195" s="656">
        <f t="shared" ref="O1195:P1195" si="882">O1184+O1194</f>
        <v>27550539.5</v>
      </c>
      <c r="P1195" s="656">
        <f t="shared" si="882"/>
        <v>30305593.450000003</v>
      </c>
      <c r="R1195" s="317"/>
      <c r="U1195" s="320"/>
    </row>
    <row r="1196" spans="1:21" s="337" customFormat="1" outlineLevel="1">
      <c r="A1196" s="608"/>
      <c r="B1196" s="338"/>
      <c r="C1196" s="403"/>
      <c r="D1196" s="655" t="s">
        <v>262</v>
      </c>
      <c r="E1196" s="656">
        <f>E1195+E1123</f>
        <v>76766088</v>
      </c>
      <c r="F1196" s="656">
        <f t="shared" ref="F1196:P1196" si="883">F1195+F1123</f>
        <v>2407311</v>
      </c>
      <c r="G1196" s="656">
        <f t="shared" si="883"/>
        <v>-7500000</v>
      </c>
      <c r="H1196" s="656">
        <f t="shared" si="883"/>
        <v>-871342</v>
      </c>
      <c r="I1196" s="656">
        <f t="shared" si="883"/>
        <v>70802057</v>
      </c>
      <c r="J1196" s="656">
        <f t="shared" si="883"/>
        <v>-3306833</v>
      </c>
      <c r="K1196" s="656">
        <f t="shared" si="883"/>
        <v>0</v>
      </c>
      <c r="L1196" s="317">
        <f t="shared" si="856"/>
        <v>67495224</v>
      </c>
      <c r="M1196" s="317"/>
      <c r="N1196" s="372">
        <f t="shared" si="859"/>
        <v>0</v>
      </c>
      <c r="O1196" s="656">
        <f t="shared" si="883"/>
        <v>71276172</v>
      </c>
      <c r="P1196" s="656">
        <f t="shared" si="883"/>
        <v>78403789.200000003</v>
      </c>
      <c r="R1196" s="317"/>
      <c r="U1196" s="320"/>
    </row>
    <row r="1197" spans="1:21">
      <c r="A1197" s="330"/>
      <c r="B1197" s="330"/>
      <c r="C1197" s="382"/>
      <c r="D1197" s="314" t="s">
        <v>99</v>
      </c>
      <c r="E1197" s="575">
        <f>E1184+E1123+E1057</f>
        <v>152905306.002</v>
      </c>
      <c r="F1197" s="575">
        <f t="shared" ref="F1197:L1197" si="884">F1184+F1123+F1057</f>
        <v>3126908</v>
      </c>
      <c r="G1197" s="575">
        <f t="shared" si="884"/>
        <v>2300000</v>
      </c>
      <c r="H1197" s="575">
        <f t="shared" si="884"/>
        <v>-128658</v>
      </c>
      <c r="I1197" s="575">
        <f t="shared" si="884"/>
        <v>158203556.002</v>
      </c>
      <c r="J1197" s="575">
        <f t="shared" si="884"/>
        <v>-832345</v>
      </c>
      <c r="K1197" s="575">
        <f t="shared" si="884"/>
        <v>0</v>
      </c>
      <c r="L1197" s="575">
        <f t="shared" si="884"/>
        <v>157371211.002</v>
      </c>
      <c r="M1197" s="575"/>
      <c r="N1197" s="372">
        <f t="shared" si="859"/>
        <v>0</v>
      </c>
      <c r="O1197" s="575">
        <f t="shared" ref="O1197:P1197" si="885">O1184+O1123+O1057</f>
        <v>167693362.10220003</v>
      </c>
      <c r="P1197" s="575">
        <f t="shared" si="885"/>
        <v>184462698.31242001</v>
      </c>
      <c r="R1197" s="575"/>
      <c r="U1197" s="657"/>
    </row>
    <row r="1198" spans="1:21">
      <c r="A1198" s="330"/>
      <c r="B1198" s="330"/>
      <c r="C1198" s="382"/>
      <c r="D1198" s="314" t="s">
        <v>175</v>
      </c>
      <c r="E1198" s="575">
        <f>E1194+E1058</f>
        <v>41502808</v>
      </c>
      <c r="F1198" s="575">
        <f t="shared" ref="F1198:L1198" si="886">F1194+F1058</f>
        <v>2167013</v>
      </c>
      <c r="G1198" s="575">
        <f t="shared" si="886"/>
        <v>-6500000</v>
      </c>
      <c r="H1198" s="575">
        <f t="shared" si="886"/>
        <v>-2871342</v>
      </c>
      <c r="I1198" s="575">
        <f t="shared" si="886"/>
        <v>34298479</v>
      </c>
      <c r="J1198" s="575">
        <f t="shared" si="886"/>
        <v>-4974488</v>
      </c>
      <c r="K1198" s="575">
        <f t="shared" si="886"/>
        <v>0</v>
      </c>
      <c r="L1198" s="575">
        <f t="shared" si="886"/>
        <v>29323991</v>
      </c>
      <c r="M1198" s="575"/>
      <c r="N1198" s="372">
        <f t="shared" si="859"/>
        <v>0</v>
      </c>
      <c r="O1198" s="575">
        <f t="shared" ref="O1198:P1198" si="887">O1194+O1058</f>
        <v>19344915.700000003</v>
      </c>
      <c r="P1198" s="575">
        <f t="shared" si="887"/>
        <v>21279407.270000003</v>
      </c>
      <c r="R1198" s="575"/>
      <c r="U1198" s="657"/>
    </row>
    <row r="1199" spans="1:21">
      <c r="A1199" s="330"/>
      <c r="B1199" s="330"/>
      <c r="C1199" s="572" t="s">
        <v>263</v>
      </c>
      <c r="D1199" s="573"/>
      <c r="E1199" s="575">
        <f>E1198+E1197</f>
        <v>194408114.002</v>
      </c>
      <c r="F1199" s="575">
        <f t="shared" ref="F1199:L1199" si="888">F1198+F1197</f>
        <v>5293921</v>
      </c>
      <c r="G1199" s="575">
        <f t="shared" si="888"/>
        <v>-4200000</v>
      </c>
      <c r="H1199" s="575">
        <f t="shared" si="888"/>
        <v>-3000000</v>
      </c>
      <c r="I1199" s="575">
        <f t="shared" si="888"/>
        <v>192502035.002</v>
      </c>
      <c r="J1199" s="575">
        <f t="shared" si="888"/>
        <v>-5806833</v>
      </c>
      <c r="K1199" s="575">
        <f t="shared" si="888"/>
        <v>0</v>
      </c>
      <c r="L1199" s="575">
        <f t="shared" si="888"/>
        <v>186695202.002</v>
      </c>
      <c r="M1199" s="575"/>
      <c r="N1199" s="372">
        <f t="shared" si="859"/>
        <v>0</v>
      </c>
      <c r="O1199" s="575">
        <f t="shared" ref="O1199:P1199" si="889">O1198+O1197</f>
        <v>187038277.80220002</v>
      </c>
      <c r="P1199" s="575">
        <f t="shared" si="889"/>
        <v>205742105.58242002</v>
      </c>
      <c r="R1199" s="575"/>
      <c r="U1199" s="571" t="s">
        <v>1803</v>
      </c>
    </row>
    <row r="1200" spans="1:21">
      <c r="A1200" s="330"/>
      <c r="B1200" s="330"/>
      <c r="C1200" s="314"/>
      <c r="D1200" s="574"/>
      <c r="E1200" s="575"/>
      <c r="F1200" s="576"/>
      <c r="G1200" s="576"/>
      <c r="H1200" s="576"/>
      <c r="I1200" s="324">
        <f t="shared" si="858"/>
        <v>0</v>
      </c>
      <c r="J1200" s="576"/>
      <c r="K1200" s="576"/>
      <c r="L1200" s="317"/>
      <c r="M1200" s="317"/>
      <c r="N1200" s="372">
        <f t="shared" si="859"/>
        <v>0</v>
      </c>
      <c r="O1200" s="319"/>
      <c r="P1200" s="319"/>
      <c r="R1200" s="317"/>
      <c r="U1200" s="320"/>
    </row>
    <row r="1201" spans="1:21">
      <c r="A1201" s="658"/>
      <c r="B1201" s="658"/>
      <c r="C1201" s="659"/>
      <c r="D1201" s="352"/>
      <c r="E1201" s="660"/>
      <c r="F1201" s="661"/>
      <c r="G1201" s="661"/>
      <c r="H1201" s="661"/>
      <c r="I1201" s="324">
        <f t="shared" si="858"/>
        <v>0</v>
      </c>
      <c r="J1201" s="661"/>
      <c r="K1201" s="661"/>
      <c r="L1201" s="317"/>
      <c r="M1201" s="317"/>
      <c r="N1201" s="372">
        <f t="shared" si="859"/>
        <v>0</v>
      </c>
      <c r="O1201" s="319"/>
      <c r="P1201" s="319"/>
      <c r="R1201" s="317"/>
      <c r="U1201" s="320"/>
    </row>
    <row r="1202" spans="1:21" s="344" customFormat="1">
      <c r="A1202" s="345"/>
      <c r="B1202" s="345"/>
      <c r="C1202" s="314" t="s">
        <v>1251</v>
      </c>
      <c r="D1202" s="313"/>
      <c r="E1202" s="662"/>
      <c r="F1202" s="514"/>
      <c r="G1202" s="514"/>
      <c r="H1202" s="514"/>
      <c r="I1202" s="324">
        <f t="shared" si="858"/>
        <v>0</v>
      </c>
      <c r="J1202" s="514"/>
      <c r="K1202" s="514"/>
      <c r="L1202" s="317"/>
      <c r="M1202" s="2210"/>
      <c r="N1202" s="372">
        <f t="shared" si="859"/>
        <v>0</v>
      </c>
      <c r="O1202" s="318"/>
      <c r="P1202" s="319"/>
      <c r="R1202" s="317"/>
      <c r="U1202" s="320" t="s">
        <v>1803</v>
      </c>
    </row>
    <row r="1203" spans="1:21" s="344" customFormat="1" outlineLevel="1">
      <c r="A1203" s="506"/>
      <c r="B1203" s="506"/>
      <c r="C1203" s="322" t="s">
        <v>264</v>
      </c>
      <c r="D1203" s="663"/>
      <c r="E1203" s="664"/>
      <c r="F1203" s="665"/>
      <c r="G1203" s="665"/>
      <c r="H1203" s="665"/>
      <c r="I1203" s="324">
        <f t="shared" si="858"/>
        <v>0</v>
      </c>
      <c r="J1203" s="665"/>
      <c r="K1203" s="665"/>
      <c r="L1203" s="317">
        <f t="shared" si="856"/>
        <v>0</v>
      </c>
      <c r="M1203" s="317"/>
      <c r="N1203" s="372">
        <f t="shared" si="859"/>
        <v>0</v>
      </c>
      <c r="O1203" s="319">
        <f>L1203*1.1</f>
        <v>0</v>
      </c>
      <c r="P1203" s="319">
        <f t="shared" ref="P1203:P1223" si="890">O1203*1.1</f>
        <v>0</v>
      </c>
      <c r="R1203" s="317"/>
      <c r="U1203" s="320"/>
    </row>
    <row r="1204" spans="1:21" s="344" customFormat="1" outlineLevel="1">
      <c r="A1204" s="345"/>
      <c r="B1204" s="345"/>
      <c r="C1204" s="314" t="s">
        <v>265</v>
      </c>
      <c r="D1204" s="447"/>
      <c r="E1204" s="666"/>
      <c r="F1204" s="438"/>
      <c r="G1204" s="438"/>
      <c r="H1204" s="438"/>
      <c r="I1204" s="324">
        <f t="shared" si="858"/>
        <v>0</v>
      </c>
      <c r="J1204" s="438"/>
      <c r="K1204" s="438"/>
      <c r="L1204" s="317">
        <f t="shared" si="856"/>
        <v>0</v>
      </c>
      <c r="M1204" s="317"/>
      <c r="N1204" s="372">
        <f t="shared" si="859"/>
        <v>0</v>
      </c>
      <c r="O1204" s="319">
        <f>L1204*1.1</f>
        <v>0</v>
      </c>
      <c r="P1204" s="319">
        <f t="shared" si="890"/>
        <v>0</v>
      </c>
      <c r="R1204" s="317"/>
      <c r="U1204" s="320"/>
    </row>
    <row r="1205" spans="1:21" s="344" customFormat="1" outlineLevel="2">
      <c r="A1205" s="345"/>
      <c r="B1205" s="345"/>
      <c r="C1205" s="340">
        <v>2110100</v>
      </c>
      <c r="D1205" s="338" t="s">
        <v>13</v>
      </c>
      <c r="E1205" s="518">
        <f>E1206</f>
        <v>92191299</v>
      </c>
      <c r="F1205" s="518">
        <f t="shared" ref="F1205:K1205" si="891">F1206</f>
        <v>0</v>
      </c>
      <c r="G1205" s="518">
        <f t="shared" si="891"/>
        <v>0</v>
      </c>
      <c r="H1205" s="518">
        <f t="shared" si="891"/>
        <v>0</v>
      </c>
      <c r="I1205" s="518">
        <f t="shared" si="891"/>
        <v>92191299</v>
      </c>
      <c r="J1205" s="518">
        <f t="shared" si="891"/>
        <v>0</v>
      </c>
      <c r="K1205" s="518">
        <f t="shared" si="891"/>
        <v>0</v>
      </c>
      <c r="L1205" s="317">
        <f t="shared" si="856"/>
        <v>92191299</v>
      </c>
      <c r="M1205" s="317"/>
      <c r="N1205" s="372">
        <f t="shared" si="859"/>
        <v>0</v>
      </c>
      <c r="O1205" s="518">
        <f t="shared" ref="O1205:P1205" si="892">O1206</f>
        <v>101410428.90000001</v>
      </c>
      <c r="P1205" s="518">
        <f t="shared" si="892"/>
        <v>111551471.79000002</v>
      </c>
      <c r="R1205" s="317"/>
      <c r="U1205" s="320"/>
    </row>
    <row r="1206" spans="1:21" s="344" customFormat="1" outlineLevel="2">
      <c r="A1206" s="345"/>
      <c r="B1206" s="345"/>
      <c r="C1206" s="332">
        <v>2110101</v>
      </c>
      <c r="D1206" s="330" t="s">
        <v>266</v>
      </c>
      <c r="E1206" s="529">
        <v>92191299</v>
      </c>
      <c r="F1206" s="389"/>
      <c r="G1206" s="389"/>
      <c r="H1206" s="389"/>
      <c r="I1206" s="324">
        <f t="shared" si="858"/>
        <v>92191299</v>
      </c>
      <c r="J1206" s="389"/>
      <c r="K1206" s="389"/>
      <c r="L1206" s="317">
        <f t="shared" si="856"/>
        <v>92191299</v>
      </c>
      <c r="M1206" s="317"/>
      <c r="N1206" s="372">
        <f t="shared" si="859"/>
        <v>0</v>
      </c>
      <c r="O1206" s="319">
        <f>L1206*1.1</f>
        <v>101410428.90000001</v>
      </c>
      <c r="P1206" s="319">
        <f t="shared" si="890"/>
        <v>111551471.79000002</v>
      </c>
      <c r="R1206" s="317"/>
      <c r="U1206" s="320"/>
    </row>
    <row r="1207" spans="1:21" s="344" customFormat="1" outlineLevel="2">
      <c r="A1207" s="345"/>
      <c r="B1207" s="345"/>
      <c r="C1207" s="332">
        <v>2210120</v>
      </c>
      <c r="D1207" s="330" t="s">
        <v>315</v>
      </c>
      <c r="E1207" s="389"/>
      <c r="F1207" s="389"/>
      <c r="G1207" s="389"/>
      <c r="H1207" s="389"/>
      <c r="I1207" s="324">
        <f t="shared" si="858"/>
        <v>0</v>
      </c>
      <c r="J1207" s="389"/>
      <c r="K1207" s="389"/>
      <c r="L1207" s="317">
        <f t="shared" si="856"/>
        <v>0</v>
      </c>
      <c r="M1207" s="317"/>
      <c r="N1207" s="372">
        <f t="shared" si="859"/>
        <v>0</v>
      </c>
      <c r="O1207" s="319">
        <f>L1207*1.1</f>
        <v>0</v>
      </c>
      <c r="P1207" s="319">
        <f t="shared" si="890"/>
        <v>0</v>
      </c>
      <c r="R1207" s="317"/>
      <c r="U1207" s="320"/>
    </row>
    <row r="1208" spans="1:21" s="344" customFormat="1" outlineLevel="2">
      <c r="A1208" s="345"/>
      <c r="B1208" s="345"/>
      <c r="C1208" s="340">
        <v>2210100</v>
      </c>
      <c r="D1208" s="338" t="s">
        <v>16</v>
      </c>
      <c r="E1208" s="518">
        <f>E1209+E1210</f>
        <v>16918</v>
      </c>
      <c r="F1208" s="518">
        <f t="shared" ref="F1208:K1208" si="893">F1209+F1210</f>
        <v>0</v>
      </c>
      <c r="G1208" s="518">
        <f t="shared" si="893"/>
        <v>0</v>
      </c>
      <c r="H1208" s="518">
        <f t="shared" si="893"/>
        <v>0</v>
      </c>
      <c r="I1208" s="518">
        <f t="shared" si="893"/>
        <v>16918</v>
      </c>
      <c r="J1208" s="518">
        <f t="shared" si="893"/>
        <v>0</v>
      </c>
      <c r="K1208" s="518">
        <f t="shared" si="893"/>
        <v>0</v>
      </c>
      <c r="L1208" s="317">
        <f t="shared" si="856"/>
        <v>16918</v>
      </c>
      <c r="M1208" s="317"/>
      <c r="N1208" s="372">
        <f t="shared" si="859"/>
        <v>0</v>
      </c>
      <c r="O1208" s="518">
        <f t="shared" ref="O1208:P1208" si="894">O1209+O1210</f>
        <v>18609.800000000003</v>
      </c>
      <c r="P1208" s="518">
        <f t="shared" si="894"/>
        <v>20470.780000000006</v>
      </c>
      <c r="R1208" s="317"/>
      <c r="U1208" s="320"/>
    </row>
    <row r="1209" spans="1:21" s="344" customFormat="1" outlineLevel="2">
      <c r="A1209" s="345"/>
      <c r="B1209" s="345"/>
      <c r="C1209" s="667">
        <v>2210101</v>
      </c>
      <c r="D1209" s="668" t="s">
        <v>17</v>
      </c>
      <c r="E1209" s="529">
        <v>5400</v>
      </c>
      <c r="F1209" s="669"/>
      <c r="G1209" s="669"/>
      <c r="H1209" s="669"/>
      <c r="I1209" s="324">
        <f t="shared" si="858"/>
        <v>5400</v>
      </c>
      <c r="J1209" s="669"/>
      <c r="K1209" s="669"/>
      <c r="L1209" s="317">
        <f t="shared" si="856"/>
        <v>5400</v>
      </c>
      <c r="M1209" s="317"/>
      <c r="N1209" s="372">
        <f t="shared" si="859"/>
        <v>0</v>
      </c>
      <c r="O1209" s="319">
        <f>L1209*1.1</f>
        <v>5940.0000000000009</v>
      </c>
      <c r="P1209" s="319">
        <f t="shared" si="890"/>
        <v>6534.0000000000018</v>
      </c>
      <c r="R1209" s="317"/>
      <c r="U1209" s="320"/>
    </row>
    <row r="1210" spans="1:21" s="344" customFormat="1" outlineLevel="2">
      <c r="A1210" s="345"/>
      <c r="B1210" s="345"/>
      <c r="C1210" s="667">
        <v>2210102</v>
      </c>
      <c r="D1210" s="668" t="s">
        <v>18</v>
      </c>
      <c r="E1210" s="529">
        <v>11518</v>
      </c>
      <c r="F1210" s="669"/>
      <c r="G1210" s="669"/>
      <c r="H1210" s="669"/>
      <c r="I1210" s="324">
        <f t="shared" si="858"/>
        <v>11518</v>
      </c>
      <c r="J1210" s="669"/>
      <c r="K1210" s="669"/>
      <c r="L1210" s="317">
        <f t="shared" si="856"/>
        <v>11518</v>
      </c>
      <c r="M1210" s="317"/>
      <c r="N1210" s="372">
        <f t="shared" si="859"/>
        <v>0</v>
      </c>
      <c r="O1210" s="319">
        <f>L1210*1.1</f>
        <v>12669.800000000001</v>
      </c>
      <c r="P1210" s="319">
        <f t="shared" si="890"/>
        <v>13936.780000000002</v>
      </c>
      <c r="R1210" s="317"/>
      <c r="U1210" s="320"/>
    </row>
    <row r="1211" spans="1:21" s="344" customFormat="1" outlineLevel="2">
      <c r="A1211" s="345"/>
      <c r="B1211" s="345"/>
      <c r="C1211" s="340">
        <v>2210200</v>
      </c>
      <c r="D1211" s="338" t="s">
        <v>20</v>
      </c>
      <c r="E1211" s="518">
        <f>E1212+E1213</f>
        <v>145073</v>
      </c>
      <c r="F1211" s="518">
        <f t="shared" ref="F1211:K1211" si="895">F1212+F1213</f>
        <v>0</v>
      </c>
      <c r="G1211" s="518">
        <f t="shared" si="895"/>
        <v>0</v>
      </c>
      <c r="H1211" s="518">
        <f t="shared" si="895"/>
        <v>0</v>
      </c>
      <c r="I1211" s="518">
        <f t="shared" si="895"/>
        <v>145073</v>
      </c>
      <c r="J1211" s="518">
        <f t="shared" si="895"/>
        <v>0</v>
      </c>
      <c r="K1211" s="518">
        <f t="shared" si="895"/>
        <v>0</v>
      </c>
      <c r="L1211" s="317">
        <f t="shared" si="856"/>
        <v>145073</v>
      </c>
      <c r="M1211" s="317"/>
      <c r="N1211" s="372">
        <f t="shared" si="859"/>
        <v>0</v>
      </c>
      <c r="O1211" s="518">
        <f t="shared" ref="O1211:P1211" si="896">O1212+O1213</f>
        <v>159580.30000000002</v>
      </c>
      <c r="P1211" s="518">
        <f t="shared" si="896"/>
        <v>175538.33000000002</v>
      </c>
      <c r="R1211" s="317"/>
      <c r="U1211" s="320"/>
    </row>
    <row r="1212" spans="1:21" s="344" customFormat="1" outlineLevel="2">
      <c r="A1212" s="345"/>
      <c r="B1212" s="345"/>
      <c r="C1212" s="667">
        <v>2210201</v>
      </c>
      <c r="D1212" s="668" t="s">
        <v>21</v>
      </c>
      <c r="E1212" s="529">
        <v>117247</v>
      </c>
      <c r="F1212" s="669"/>
      <c r="G1212" s="669"/>
      <c r="H1212" s="669"/>
      <c r="I1212" s="324">
        <f t="shared" si="858"/>
        <v>117247</v>
      </c>
      <c r="J1212" s="669"/>
      <c r="K1212" s="669"/>
      <c r="L1212" s="317">
        <f t="shared" si="856"/>
        <v>117247</v>
      </c>
      <c r="M1212" s="317"/>
      <c r="N1212" s="372">
        <f t="shared" si="859"/>
        <v>0</v>
      </c>
      <c r="O1212" s="319">
        <f>L1212*1.1</f>
        <v>128971.70000000001</v>
      </c>
      <c r="P1212" s="319">
        <f t="shared" si="890"/>
        <v>141868.87000000002</v>
      </c>
      <c r="R1212" s="317"/>
      <c r="U1212" s="320"/>
    </row>
    <row r="1213" spans="1:21" s="344" customFormat="1" outlineLevel="2">
      <c r="A1213" s="345"/>
      <c r="B1213" s="345"/>
      <c r="C1213" s="667">
        <v>2210203</v>
      </c>
      <c r="D1213" s="668" t="s">
        <v>23</v>
      </c>
      <c r="E1213" s="529">
        <v>27826</v>
      </c>
      <c r="F1213" s="669"/>
      <c r="G1213" s="669"/>
      <c r="H1213" s="669"/>
      <c r="I1213" s="324">
        <f t="shared" si="858"/>
        <v>27826</v>
      </c>
      <c r="J1213" s="669"/>
      <c r="K1213" s="669"/>
      <c r="L1213" s="317">
        <f t="shared" si="856"/>
        <v>27826</v>
      </c>
      <c r="M1213" s="317"/>
      <c r="N1213" s="372">
        <f t="shared" si="859"/>
        <v>0</v>
      </c>
      <c r="O1213" s="319">
        <f>L1213*1.1</f>
        <v>30608.600000000002</v>
      </c>
      <c r="P1213" s="319">
        <f t="shared" si="890"/>
        <v>33669.460000000006</v>
      </c>
      <c r="R1213" s="317"/>
      <c r="U1213" s="320"/>
    </row>
    <row r="1214" spans="1:21" s="344" customFormat="1" outlineLevel="2">
      <c r="A1214" s="345"/>
      <c r="B1214" s="345"/>
      <c r="C1214" s="340">
        <v>2210300</v>
      </c>
      <c r="D1214" s="338" t="s">
        <v>267</v>
      </c>
      <c r="E1214" s="518">
        <f>E1215+E1216+E1217</f>
        <v>593467</v>
      </c>
      <c r="F1214" s="518">
        <f t="shared" ref="F1214:K1214" si="897">F1215+F1216+F1217</f>
        <v>0</v>
      </c>
      <c r="G1214" s="518">
        <f t="shared" si="897"/>
        <v>0</v>
      </c>
      <c r="H1214" s="518">
        <f t="shared" si="897"/>
        <v>0</v>
      </c>
      <c r="I1214" s="518">
        <f t="shared" si="897"/>
        <v>593467</v>
      </c>
      <c r="J1214" s="518">
        <f t="shared" si="897"/>
        <v>0</v>
      </c>
      <c r="K1214" s="518">
        <f t="shared" si="897"/>
        <v>0</v>
      </c>
      <c r="L1214" s="317">
        <f t="shared" si="856"/>
        <v>593467</v>
      </c>
      <c r="M1214" s="317"/>
      <c r="N1214" s="372">
        <f t="shared" si="859"/>
        <v>0</v>
      </c>
      <c r="O1214" s="518">
        <f t="shared" ref="O1214:P1214" si="898">O1215+O1216+O1217</f>
        <v>652813.70000000007</v>
      </c>
      <c r="P1214" s="518">
        <f t="shared" si="898"/>
        <v>718095.07000000018</v>
      </c>
      <c r="R1214" s="317"/>
      <c r="U1214" s="320"/>
    </row>
    <row r="1215" spans="1:21" s="344" customFormat="1" outlineLevel="2">
      <c r="A1215" s="345"/>
      <c r="B1215" s="345"/>
      <c r="C1215" s="667">
        <v>2210301</v>
      </c>
      <c r="D1215" s="668" t="s">
        <v>268</v>
      </c>
      <c r="E1215" s="529">
        <v>263768</v>
      </c>
      <c r="F1215" s="669"/>
      <c r="G1215" s="669"/>
      <c r="H1215" s="669"/>
      <c r="I1215" s="324">
        <f t="shared" si="858"/>
        <v>263768</v>
      </c>
      <c r="J1215" s="669"/>
      <c r="K1215" s="669"/>
      <c r="L1215" s="317">
        <f t="shared" si="856"/>
        <v>263768</v>
      </c>
      <c r="M1215" s="317"/>
      <c r="N1215" s="372">
        <f t="shared" si="859"/>
        <v>0</v>
      </c>
      <c r="O1215" s="319">
        <f>L1215*1.1</f>
        <v>290144.80000000005</v>
      </c>
      <c r="P1215" s="319">
        <f t="shared" si="890"/>
        <v>319159.28000000009</v>
      </c>
      <c r="R1215" s="317"/>
      <c r="U1215" s="320"/>
    </row>
    <row r="1216" spans="1:21" s="344" customFormat="1" outlineLevel="2">
      <c r="A1216" s="345"/>
      <c r="B1216" s="345"/>
      <c r="C1216" s="667">
        <v>2210302</v>
      </c>
      <c r="D1216" s="668" t="s">
        <v>269</v>
      </c>
      <c r="E1216" s="529">
        <v>122464</v>
      </c>
      <c r="F1216" s="669"/>
      <c r="G1216" s="669"/>
      <c r="H1216" s="669"/>
      <c r="I1216" s="324">
        <f t="shared" si="858"/>
        <v>122464</v>
      </c>
      <c r="J1216" s="669"/>
      <c r="K1216" s="669"/>
      <c r="L1216" s="317">
        <f t="shared" si="856"/>
        <v>122464</v>
      </c>
      <c r="M1216" s="317"/>
      <c r="N1216" s="372">
        <f t="shared" si="859"/>
        <v>0</v>
      </c>
      <c r="O1216" s="319">
        <f>L1216*1.1</f>
        <v>134710.40000000002</v>
      </c>
      <c r="P1216" s="319">
        <f t="shared" si="890"/>
        <v>148181.44000000003</v>
      </c>
      <c r="R1216" s="317"/>
      <c r="U1216" s="320"/>
    </row>
    <row r="1217" spans="1:21" s="344" customFormat="1" outlineLevel="2">
      <c r="A1217" s="345"/>
      <c r="B1217" s="345"/>
      <c r="C1217" s="667">
        <v>2210303</v>
      </c>
      <c r="D1217" s="668" t="s">
        <v>27</v>
      </c>
      <c r="E1217" s="529">
        <v>207235</v>
      </c>
      <c r="F1217" s="669"/>
      <c r="G1217" s="669"/>
      <c r="H1217" s="669"/>
      <c r="I1217" s="324">
        <f t="shared" si="858"/>
        <v>207235</v>
      </c>
      <c r="J1217" s="669"/>
      <c r="K1217" s="669"/>
      <c r="L1217" s="317">
        <f t="shared" si="856"/>
        <v>207235</v>
      </c>
      <c r="M1217" s="317"/>
      <c r="N1217" s="372">
        <f t="shared" si="859"/>
        <v>0</v>
      </c>
      <c r="O1217" s="319">
        <f>L1217*1.1</f>
        <v>227958.50000000003</v>
      </c>
      <c r="P1217" s="319">
        <f t="shared" si="890"/>
        <v>250754.35000000006</v>
      </c>
      <c r="R1217" s="317"/>
      <c r="U1217" s="320"/>
    </row>
    <row r="1218" spans="1:21" s="344" customFormat="1" outlineLevel="2">
      <c r="A1218" s="345"/>
      <c r="B1218" s="345"/>
      <c r="C1218" s="340">
        <v>2210400</v>
      </c>
      <c r="D1218" s="338" t="s">
        <v>189</v>
      </c>
      <c r="E1218" s="518">
        <f>E1219+E1220+E1221</f>
        <v>517638</v>
      </c>
      <c r="F1218" s="518">
        <f t="shared" ref="F1218:K1218" si="899">F1219+F1220+F1221</f>
        <v>0</v>
      </c>
      <c r="G1218" s="518">
        <f t="shared" si="899"/>
        <v>0</v>
      </c>
      <c r="H1218" s="518">
        <f t="shared" si="899"/>
        <v>-476453</v>
      </c>
      <c r="I1218" s="518">
        <f t="shared" si="899"/>
        <v>41185</v>
      </c>
      <c r="J1218" s="518">
        <f t="shared" si="899"/>
        <v>0</v>
      </c>
      <c r="K1218" s="518">
        <f t="shared" si="899"/>
        <v>0</v>
      </c>
      <c r="L1218" s="317">
        <f t="shared" si="856"/>
        <v>41185</v>
      </c>
      <c r="M1218" s="317"/>
      <c r="N1218" s="372">
        <f t="shared" si="859"/>
        <v>0</v>
      </c>
      <c r="O1218" s="518">
        <f t="shared" ref="O1218:P1218" si="900">O1219+O1220+O1221</f>
        <v>45303.500000000007</v>
      </c>
      <c r="P1218" s="518">
        <f t="shared" si="900"/>
        <v>49833.850000000013</v>
      </c>
      <c r="R1218" s="317"/>
      <c r="U1218" s="320"/>
    </row>
    <row r="1219" spans="1:21" s="344" customFormat="1" outlineLevel="2">
      <c r="A1219" s="345"/>
      <c r="B1219" s="345"/>
      <c r="C1219" s="667">
        <v>2210401</v>
      </c>
      <c r="D1219" s="668" t="s">
        <v>190</v>
      </c>
      <c r="E1219" s="529">
        <v>205154</v>
      </c>
      <c r="F1219" s="669"/>
      <c r="G1219" s="669"/>
      <c r="H1219" s="669">
        <v>-205154</v>
      </c>
      <c r="I1219" s="324">
        <f t="shared" si="858"/>
        <v>0</v>
      </c>
      <c r="J1219" s="669"/>
      <c r="K1219" s="669"/>
      <c r="L1219" s="317">
        <f t="shared" si="856"/>
        <v>0</v>
      </c>
      <c r="M1219" s="317"/>
      <c r="N1219" s="372">
        <f t="shared" si="859"/>
        <v>0</v>
      </c>
      <c r="O1219" s="319">
        <f>L1219*1.1</f>
        <v>0</v>
      </c>
      <c r="P1219" s="319">
        <f t="shared" si="890"/>
        <v>0</v>
      </c>
      <c r="R1219" s="317"/>
      <c r="U1219" s="320"/>
    </row>
    <row r="1220" spans="1:21" s="344" customFormat="1" outlineLevel="2">
      <c r="A1220" s="345"/>
      <c r="B1220" s="345"/>
      <c r="C1220" s="667">
        <v>2210402</v>
      </c>
      <c r="D1220" s="668" t="s">
        <v>270</v>
      </c>
      <c r="E1220" s="529">
        <v>149250</v>
      </c>
      <c r="F1220" s="669"/>
      <c r="G1220" s="669"/>
      <c r="H1220" s="669">
        <v>-149250</v>
      </c>
      <c r="I1220" s="324">
        <f t="shared" si="858"/>
        <v>0</v>
      </c>
      <c r="J1220" s="669"/>
      <c r="K1220" s="669"/>
      <c r="L1220" s="317">
        <f t="shared" ref="L1220:L1283" si="901">I1220+J1220+K1220</f>
        <v>0</v>
      </c>
      <c r="M1220" s="317"/>
      <c r="N1220" s="372">
        <f t="shared" si="859"/>
        <v>0</v>
      </c>
      <c r="O1220" s="319">
        <f>L1220*1.1</f>
        <v>0</v>
      </c>
      <c r="P1220" s="319">
        <f t="shared" si="890"/>
        <v>0</v>
      </c>
      <c r="R1220" s="317"/>
      <c r="U1220" s="320"/>
    </row>
    <row r="1221" spans="1:21" s="344" customFormat="1" outlineLevel="2">
      <c r="A1221" s="345"/>
      <c r="B1221" s="345"/>
      <c r="C1221" s="667">
        <v>2210403</v>
      </c>
      <c r="D1221" s="668" t="s">
        <v>28</v>
      </c>
      <c r="E1221" s="529">
        <v>163234</v>
      </c>
      <c r="F1221" s="669"/>
      <c r="G1221" s="669"/>
      <c r="H1221" s="669">
        <v>-122049</v>
      </c>
      <c r="I1221" s="324">
        <f t="shared" si="858"/>
        <v>41185</v>
      </c>
      <c r="J1221" s="669"/>
      <c r="K1221" s="669"/>
      <c r="L1221" s="317">
        <f t="shared" si="901"/>
        <v>41185</v>
      </c>
      <c r="M1221" s="317"/>
      <c r="N1221" s="372">
        <f t="shared" si="859"/>
        <v>0</v>
      </c>
      <c r="O1221" s="319">
        <f>L1221*1.1</f>
        <v>45303.500000000007</v>
      </c>
      <c r="P1221" s="319">
        <f t="shared" si="890"/>
        <v>49833.850000000013</v>
      </c>
      <c r="R1221" s="317"/>
      <c r="U1221" s="320"/>
    </row>
    <row r="1222" spans="1:21" s="344" customFormat="1" outlineLevel="2">
      <c r="A1222" s="345"/>
      <c r="B1222" s="345"/>
      <c r="C1222" s="340">
        <v>2210500</v>
      </c>
      <c r="D1222" s="338" t="s">
        <v>31</v>
      </c>
      <c r="E1222" s="518">
        <f>E1223+E1224+E1225</f>
        <v>366818</v>
      </c>
      <c r="F1222" s="518">
        <f t="shared" ref="F1222:K1222" si="902">F1223+F1224+F1225</f>
        <v>0</v>
      </c>
      <c r="G1222" s="518">
        <f t="shared" si="902"/>
        <v>0</v>
      </c>
      <c r="H1222" s="518">
        <f t="shared" si="902"/>
        <v>0</v>
      </c>
      <c r="I1222" s="518">
        <f t="shared" si="902"/>
        <v>366818</v>
      </c>
      <c r="J1222" s="518">
        <f t="shared" si="902"/>
        <v>0</v>
      </c>
      <c r="K1222" s="518">
        <f t="shared" si="902"/>
        <v>-328000</v>
      </c>
      <c r="L1222" s="317">
        <f t="shared" si="901"/>
        <v>38818</v>
      </c>
      <c r="M1222" s="317"/>
      <c r="N1222" s="372">
        <f t="shared" si="859"/>
        <v>328000</v>
      </c>
      <c r="O1222" s="518">
        <f t="shared" ref="O1222:P1222" si="903">O1223+O1224+O1225</f>
        <v>42699.8</v>
      </c>
      <c r="P1222" s="518">
        <f t="shared" si="903"/>
        <v>46969.780000000006</v>
      </c>
      <c r="R1222" s="317"/>
      <c r="U1222" s="320"/>
    </row>
    <row r="1223" spans="1:21" s="344" customFormat="1" outlineLevel="2">
      <c r="A1223" s="345"/>
      <c r="B1223" s="345"/>
      <c r="C1223" s="667">
        <v>2210502</v>
      </c>
      <c r="D1223" s="668" t="s">
        <v>105</v>
      </c>
      <c r="E1223" s="670">
        <v>178000</v>
      </c>
      <c r="F1223" s="669"/>
      <c r="G1223" s="669"/>
      <c r="H1223" s="669"/>
      <c r="I1223" s="324">
        <f t="shared" si="858"/>
        <v>178000</v>
      </c>
      <c r="J1223" s="669"/>
      <c r="K1223" s="669">
        <v>-178000</v>
      </c>
      <c r="L1223" s="317">
        <f t="shared" si="901"/>
        <v>0</v>
      </c>
      <c r="M1223" s="317"/>
      <c r="N1223" s="372">
        <f t="shared" si="859"/>
        <v>178000</v>
      </c>
      <c r="O1223" s="319">
        <f>L1223*1.1</f>
        <v>0</v>
      </c>
      <c r="P1223" s="319">
        <f t="shared" si="890"/>
        <v>0</v>
      </c>
      <c r="R1223" s="317"/>
      <c r="U1223" s="320"/>
    </row>
    <row r="1224" spans="1:21" s="344" customFormat="1" outlineLevel="2">
      <c r="A1224" s="345"/>
      <c r="B1224" s="345"/>
      <c r="C1224" s="667">
        <v>2210503</v>
      </c>
      <c r="D1224" s="668" t="s">
        <v>32</v>
      </c>
      <c r="E1224" s="529">
        <v>38818</v>
      </c>
      <c r="F1224" s="669"/>
      <c r="G1224" s="669"/>
      <c r="H1224" s="669"/>
      <c r="I1224" s="324">
        <f t="shared" si="858"/>
        <v>38818</v>
      </c>
      <c r="J1224" s="669"/>
      <c r="K1224" s="669"/>
      <c r="L1224" s="317">
        <f t="shared" si="901"/>
        <v>38818</v>
      </c>
      <c r="M1224" s="317"/>
      <c r="N1224" s="372">
        <f t="shared" ref="N1224:N1287" si="904">M1224-K1224</f>
        <v>0</v>
      </c>
      <c r="O1224" s="319">
        <f>L1224*1.1</f>
        <v>42699.8</v>
      </c>
      <c r="P1224" s="319">
        <f t="shared" ref="P1224:P1242" si="905">O1224*1.1</f>
        <v>46969.780000000006</v>
      </c>
      <c r="R1224" s="317"/>
      <c r="U1224" s="320"/>
    </row>
    <row r="1225" spans="1:21" s="344" customFormat="1" outlineLevel="2">
      <c r="A1225" s="345"/>
      <c r="B1225" s="345"/>
      <c r="C1225" s="667">
        <v>2210504</v>
      </c>
      <c r="D1225" s="668" t="s">
        <v>33</v>
      </c>
      <c r="E1225" s="529">
        <v>150000</v>
      </c>
      <c r="F1225" s="669"/>
      <c r="G1225" s="669"/>
      <c r="H1225" s="669"/>
      <c r="I1225" s="324">
        <f t="shared" ref="I1225:I1288" si="906">E1225+F1225+G1225+H1225</f>
        <v>150000</v>
      </c>
      <c r="J1225" s="669"/>
      <c r="K1225" s="669">
        <v>-150000</v>
      </c>
      <c r="L1225" s="317">
        <f t="shared" si="901"/>
        <v>0</v>
      </c>
      <c r="M1225" s="317"/>
      <c r="N1225" s="372">
        <f t="shared" si="904"/>
        <v>150000</v>
      </c>
      <c r="O1225" s="319">
        <f>L1225*1.1</f>
        <v>0</v>
      </c>
      <c r="P1225" s="319">
        <f t="shared" si="905"/>
        <v>0</v>
      </c>
      <c r="R1225" s="317"/>
      <c r="U1225" s="320"/>
    </row>
    <row r="1226" spans="1:21" s="344" customFormat="1" outlineLevel="2">
      <c r="A1226" s="345"/>
      <c r="B1226" s="345"/>
      <c r="C1226" s="340">
        <v>2210700</v>
      </c>
      <c r="D1226" s="338" t="s">
        <v>271</v>
      </c>
      <c r="E1226" s="518">
        <f>E1227+E1228+E1229+E1230</f>
        <v>700000</v>
      </c>
      <c r="F1226" s="518">
        <f t="shared" ref="F1226:K1226" si="907">F1227+F1228+F1229+F1230</f>
        <v>0</v>
      </c>
      <c r="G1226" s="518">
        <f t="shared" si="907"/>
        <v>0</v>
      </c>
      <c r="H1226" s="518">
        <f t="shared" si="907"/>
        <v>0</v>
      </c>
      <c r="I1226" s="518">
        <f t="shared" si="907"/>
        <v>700000</v>
      </c>
      <c r="J1226" s="518">
        <f t="shared" si="907"/>
        <v>0</v>
      </c>
      <c r="K1226" s="518">
        <f t="shared" si="907"/>
        <v>-46043</v>
      </c>
      <c r="L1226" s="317">
        <f t="shared" si="901"/>
        <v>653957</v>
      </c>
      <c r="M1226" s="317"/>
      <c r="N1226" s="372">
        <f t="shared" si="904"/>
        <v>46043</v>
      </c>
      <c r="O1226" s="518">
        <f t="shared" ref="O1226:P1226" si="908">O1227+O1228+O1229+O1230</f>
        <v>719352.70000000007</v>
      </c>
      <c r="P1226" s="518">
        <f t="shared" si="908"/>
        <v>791287.97000000009</v>
      </c>
      <c r="R1226" s="317"/>
      <c r="U1226" s="320"/>
    </row>
    <row r="1227" spans="1:21" s="344" customFormat="1" outlineLevel="2">
      <c r="A1227" s="345"/>
      <c r="B1227" s="345"/>
      <c r="C1227" s="667">
        <v>2210701</v>
      </c>
      <c r="D1227" s="668" t="s">
        <v>272</v>
      </c>
      <c r="E1227" s="529">
        <v>329267</v>
      </c>
      <c r="F1227" s="669"/>
      <c r="G1227" s="669"/>
      <c r="H1227" s="669"/>
      <c r="I1227" s="324">
        <f t="shared" si="906"/>
        <v>329267</v>
      </c>
      <c r="J1227" s="669"/>
      <c r="K1227" s="669"/>
      <c r="L1227" s="317">
        <f t="shared" si="901"/>
        <v>329267</v>
      </c>
      <c r="M1227" s="317"/>
      <c r="N1227" s="372">
        <f t="shared" si="904"/>
        <v>0</v>
      </c>
      <c r="O1227" s="319">
        <f>L1227*1.1</f>
        <v>362193.7</v>
      </c>
      <c r="P1227" s="319">
        <f t="shared" si="905"/>
        <v>398413.07000000007</v>
      </c>
      <c r="R1227" s="317"/>
      <c r="U1227" s="320"/>
    </row>
    <row r="1228" spans="1:21" s="344" customFormat="1" outlineLevel="2">
      <c r="A1228" s="345"/>
      <c r="B1228" s="345"/>
      <c r="C1228" s="667">
        <v>2210703</v>
      </c>
      <c r="D1228" s="668" t="s">
        <v>273</v>
      </c>
      <c r="E1228" s="529">
        <v>105540</v>
      </c>
      <c r="F1228" s="669"/>
      <c r="G1228" s="669"/>
      <c r="H1228" s="669"/>
      <c r="I1228" s="324">
        <f t="shared" si="906"/>
        <v>105540</v>
      </c>
      <c r="J1228" s="669"/>
      <c r="K1228" s="669">
        <v>-5540</v>
      </c>
      <c r="L1228" s="317">
        <f t="shared" si="901"/>
        <v>100000</v>
      </c>
      <c r="M1228" s="317"/>
      <c r="N1228" s="372">
        <f t="shared" si="904"/>
        <v>5540</v>
      </c>
      <c r="O1228" s="319">
        <f>L1228*1.1</f>
        <v>110000.00000000001</v>
      </c>
      <c r="P1228" s="319">
        <f t="shared" si="905"/>
        <v>121000.00000000003</v>
      </c>
      <c r="R1228" s="317"/>
      <c r="U1228" s="320"/>
    </row>
    <row r="1229" spans="1:21" s="344" customFormat="1" outlineLevel="2">
      <c r="A1229" s="345"/>
      <c r="B1229" s="345"/>
      <c r="C1229" s="667">
        <v>2210704</v>
      </c>
      <c r="D1229" s="668" t="s">
        <v>274</v>
      </c>
      <c r="E1229" s="529">
        <v>78003</v>
      </c>
      <c r="F1229" s="669"/>
      <c r="G1229" s="669"/>
      <c r="H1229" s="669"/>
      <c r="I1229" s="324">
        <f t="shared" si="906"/>
        <v>78003</v>
      </c>
      <c r="J1229" s="669"/>
      <c r="K1229" s="669">
        <v>-40503</v>
      </c>
      <c r="L1229" s="317">
        <f t="shared" si="901"/>
        <v>37500</v>
      </c>
      <c r="M1229" s="317"/>
      <c r="N1229" s="372">
        <f t="shared" si="904"/>
        <v>40503</v>
      </c>
      <c r="O1229" s="319">
        <f>L1229*1.1</f>
        <v>41250</v>
      </c>
      <c r="P1229" s="319">
        <f t="shared" si="905"/>
        <v>45375.000000000007</v>
      </c>
      <c r="R1229" s="317"/>
      <c r="U1229" s="320"/>
    </row>
    <row r="1230" spans="1:21" s="344" customFormat="1" outlineLevel="2">
      <c r="A1230" s="345"/>
      <c r="B1230" s="345"/>
      <c r="C1230" s="667">
        <v>2210710</v>
      </c>
      <c r="D1230" s="668" t="s">
        <v>39</v>
      </c>
      <c r="E1230" s="529">
        <v>187190</v>
      </c>
      <c r="F1230" s="669"/>
      <c r="G1230" s="669"/>
      <c r="H1230" s="669"/>
      <c r="I1230" s="324">
        <f t="shared" si="906"/>
        <v>187190</v>
      </c>
      <c r="J1230" s="669"/>
      <c r="K1230" s="669"/>
      <c r="L1230" s="317">
        <f t="shared" si="901"/>
        <v>187190</v>
      </c>
      <c r="M1230" s="317"/>
      <c r="N1230" s="372">
        <f t="shared" si="904"/>
        <v>0</v>
      </c>
      <c r="O1230" s="319">
        <f>L1230*1.1</f>
        <v>205909.00000000003</v>
      </c>
      <c r="P1230" s="319">
        <f t="shared" si="905"/>
        <v>226499.90000000005</v>
      </c>
      <c r="R1230" s="317"/>
      <c r="U1230" s="320"/>
    </row>
    <row r="1231" spans="1:21" s="344" customFormat="1" outlineLevel="2">
      <c r="A1231" s="345"/>
      <c r="B1231" s="345"/>
      <c r="C1231" s="340">
        <v>2210800</v>
      </c>
      <c r="D1231" s="338" t="s">
        <v>42</v>
      </c>
      <c r="E1231" s="518">
        <f>E1232+E1233</f>
        <v>307042</v>
      </c>
      <c r="F1231" s="518">
        <f t="shared" ref="F1231:P1231" si="909">F1232+F1233</f>
        <v>0</v>
      </c>
      <c r="G1231" s="518">
        <f t="shared" si="909"/>
        <v>0</v>
      </c>
      <c r="H1231" s="518">
        <f t="shared" si="909"/>
        <v>0</v>
      </c>
      <c r="I1231" s="518">
        <f t="shared" si="909"/>
        <v>307042</v>
      </c>
      <c r="J1231" s="518">
        <f t="shared" si="909"/>
        <v>0</v>
      </c>
      <c r="K1231" s="518">
        <f t="shared" si="909"/>
        <v>0</v>
      </c>
      <c r="L1231" s="317">
        <f t="shared" si="901"/>
        <v>307042</v>
      </c>
      <c r="M1231" s="317"/>
      <c r="N1231" s="372">
        <f t="shared" si="904"/>
        <v>0</v>
      </c>
      <c r="O1231" s="518">
        <f t="shared" si="909"/>
        <v>337746.2</v>
      </c>
      <c r="P1231" s="518">
        <f t="shared" si="909"/>
        <v>371520.82000000007</v>
      </c>
      <c r="R1231" s="317"/>
      <c r="U1231" s="320"/>
    </row>
    <row r="1232" spans="1:21" s="344" customFormat="1" outlineLevel="2">
      <c r="A1232" s="345"/>
      <c r="B1232" s="345"/>
      <c r="C1232" s="667">
        <v>2210801</v>
      </c>
      <c r="D1232" s="668" t="s">
        <v>2421</v>
      </c>
      <c r="E1232" s="529">
        <v>150000</v>
      </c>
      <c r="F1232" s="669"/>
      <c r="G1232" s="669"/>
      <c r="H1232" s="669"/>
      <c r="I1232" s="324">
        <f t="shared" si="906"/>
        <v>150000</v>
      </c>
      <c r="J1232" s="669"/>
      <c r="K1232" s="669"/>
      <c r="L1232" s="317">
        <f t="shared" si="901"/>
        <v>150000</v>
      </c>
      <c r="M1232" s="317"/>
      <c r="N1232" s="372">
        <f t="shared" si="904"/>
        <v>0</v>
      </c>
      <c r="O1232" s="319">
        <f>L1232*1.1</f>
        <v>165000</v>
      </c>
      <c r="P1232" s="319">
        <f t="shared" si="905"/>
        <v>181500.00000000003</v>
      </c>
      <c r="R1232" s="317"/>
      <c r="U1232" s="320"/>
    </row>
    <row r="1233" spans="1:21" s="344" customFormat="1" outlineLevel="2">
      <c r="A1233" s="345"/>
      <c r="B1233" s="345"/>
      <c r="C1233" s="667">
        <v>2210802</v>
      </c>
      <c r="D1233" s="668" t="s">
        <v>97</v>
      </c>
      <c r="E1233" s="529">
        <v>157042</v>
      </c>
      <c r="F1233" s="669"/>
      <c r="G1233" s="669"/>
      <c r="H1233" s="669"/>
      <c r="I1233" s="324">
        <f t="shared" si="906"/>
        <v>157042</v>
      </c>
      <c r="J1233" s="669"/>
      <c r="K1233" s="669"/>
      <c r="L1233" s="317">
        <f t="shared" si="901"/>
        <v>157042</v>
      </c>
      <c r="M1233" s="317"/>
      <c r="N1233" s="372">
        <f t="shared" si="904"/>
        <v>0</v>
      </c>
      <c r="O1233" s="319">
        <f>L1233*1.1</f>
        <v>172746.2</v>
      </c>
      <c r="P1233" s="319">
        <f t="shared" si="905"/>
        <v>190020.82000000004</v>
      </c>
      <c r="R1233" s="317"/>
      <c r="U1233" s="320"/>
    </row>
    <row r="1234" spans="1:21" s="344" customFormat="1" outlineLevel="2">
      <c r="A1234" s="345"/>
      <c r="B1234" s="345"/>
      <c r="C1234" s="340">
        <v>2211000</v>
      </c>
      <c r="D1234" s="338" t="s">
        <v>118</v>
      </c>
      <c r="E1234" s="518">
        <f>E1235</f>
        <v>100000</v>
      </c>
      <c r="F1234" s="518">
        <f t="shared" ref="F1234:K1234" si="910">F1235</f>
        <v>0</v>
      </c>
      <c r="G1234" s="518">
        <f t="shared" si="910"/>
        <v>0</v>
      </c>
      <c r="H1234" s="518">
        <f t="shared" si="910"/>
        <v>0</v>
      </c>
      <c r="I1234" s="518">
        <f t="shared" si="910"/>
        <v>100000</v>
      </c>
      <c r="J1234" s="518">
        <f t="shared" si="910"/>
        <v>0</v>
      </c>
      <c r="K1234" s="518">
        <f t="shared" si="910"/>
        <v>639043</v>
      </c>
      <c r="L1234" s="317">
        <f t="shared" si="901"/>
        <v>739043</v>
      </c>
      <c r="M1234" s="317"/>
      <c r="N1234" s="372">
        <f t="shared" si="904"/>
        <v>-639043</v>
      </c>
      <c r="O1234" s="518">
        <f t="shared" ref="O1234:P1234" si="911">O1235</f>
        <v>812947.3</v>
      </c>
      <c r="P1234" s="518">
        <f t="shared" si="911"/>
        <v>894242.03000000014</v>
      </c>
      <c r="R1234" s="317"/>
      <c r="U1234" s="320"/>
    </row>
    <row r="1235" spans="1:21" s="344" customFormat="1" outlineLevel="2">
      <c r="A1235" s="345"/>
      <c r="B1235" s="345"/>
      <c r="C1235" s="667">
        <v>2211016</v>
      </c>
      <c r="D1235" s="671" t="s">
        <v>196</v>
      </c>
      <c r="E1235" s="529">
        <v>100000</v>
      </c>
      <c r="F1235" s="672"/>
      <c r="G1235" s="672"/>
      <c r="H1235" s="672"/>
      <c r="I1235" s="324">
        <f t="shared" si="906"/>
        <v>100000</v>
      </c>
      <c r="J1235" s="672"/>
      <c r="K1235" s="672">
        <v>639043</v>
      </c>
      <c r="L1235" s="317">
        <f t="shared" si="901"/>
        <v>739043</v>
      </c>
      <c r="M1235" s="317"/>
      <c r="N1235" s="372">
        <f t="shared" si="904"/>
        <v>-639043</v>
      </c>
      <c r="O1235" s="319">
        <f>L1235*1.1</f>
        <v>812947.3</v>
      </c>
      <c r="P1235" s="319">
        <f t="shared" si="905"/>
        <v>894242.03000000014</v>
      </c>
      <c r="R1235" s="317"/>
      <c r="U1235" s="320"/>
    </row>
    <row r="1236" spans="1:21" s="344" customFormat="1" outlineLevel="2">
      <c r="A1236" s="345"/>
      <c r="B1236" s="345"/>
      <c r="C1236" s="340">
        <v>2211100</v>
      </c>
      <c r="D1236" s="338" t="s">
        <v>276</v>
      </c>
      <c r="E1236" s="518">
        <f>E1237+E1238</f>
        <v>334631</v>
      </c>
      <c r="F1236" s="518">
        <f t="shared" ref="F1236:K1236" si="912">F1237+F1238</f>
        <v>0</v>
      </c>
      <c r="G1236" s="518">
        <f t="shared" si="912"/>
        <v>0</v>
      </c>
      <c r="H1236" s="518">
        <f t="shared" si="912"/>
        <v>0</v>
      </c>
      <c r="I1236" s="518">
        <f t="shared" si="912"/>
        <v>334631</v>
      </c>
      <c r="J1236" s="518">
        <f t="shared" si="912"/>
        <v>0</v>
      </c>
      <c r="K1236" s="518">
        <f t="shared" si="912"/>
        <v>0</v>
      </c>
      <c r="L1236" s="317">
        <f t="shared" si="901"/>
        <v>334631</v>
      </c>
      <c r="M1236" s="317"/>
      <c r="N1236" s="372">
        <f t="shared" si="904"/>
        <v>0</v>
      </c>
      <c r="O1236" s="518">
        <f t="shared" ref="O1236:P1236" si="913">O1237+O1238</f>
        <v>368094.1</v>
      </c>
      <c r="P1236" s="518">
        <f t="shared" si="913"/>
        <v>404903.51000000007</v>
      </c>
      <c r="R1236" s="317"/>
      <c r="U1236" s="320"/>
    </row>
    <row r="1237" spans="1:21" s="344" customFormat="1" outlineLevel="2">
      <c r="A1237" s="345"/>
      <c r="B1237" s="345"/>
      <c r="C1237" s="667">
        <v>2211101</v>
      </c>
      <c r="D1237" s="668" t="s">
        <v>277</v>
      </c>
      <c r="E1237" s="529">
        <v>150000</v>
      </c>
      <c r="F1237" s="669"/>
      <c r="G1237" s="669"/>
      <c r="H1237" s="669"/>
      <c r="I1237" s="324">
        <f t="shared" si="906"/>
        <v>150000</v>
      </c>
      <c r="J1237" s="669"/>
      <c r="K1237" s="669"/>
      <c r="L1237" s="317">
        <f t="shared" si="901"/>
        <v>150000</v>
      </c>
      <c r="M1237" s="317"/>
      <c r="N1237" s="372">
        <f t="shared" si="904"/>
        <v>0</v>
      </c>
      <c r="O1237" s="319">
        <f>L1237*1.1</f>
        <v>165000</v>
      </c>
      <c r="P1237" s="319">
        <f t="shared" si="905"/>
        <v>181500.00000000003</v>
      </c>
      <c r="R1237" s="317"/>
      <c r="U1237" s="320"/>
    </row>
    <row r="1238" spans="1:21" s="344" customFormat="1" outlineLevel="2">
      <c r="A1238" s="345"/>
      <c r="B1238" s="345"/>
      <c r="C1238" s="667">
        <v>2211103</v>
      </c>
      <c r="D1238" s="668" t="s">
        <v>54</v>
      </c>
      <c r="E1238" s="529">
        <v>184631</v>
      </c>
      <c r="F1238" s="669"/>
      <c r="G1238" s="669"/>
      <c r="H1238" s="669"/>
      <c r="I1238" s="324">
        <f t="shared" si="906"/>
        <v>184631</v>
      </c>
      <c r="J1238" s="669"/>
      <c r="K1238" s="669"/>
      <c r="L1238" s="317">
        <f t="shared" si="901"/>
        <v>184631</v>
      </c>
      <c r="M1238" s="317"/>
      <c r="N1238" s="372">
        <f t="shared" si="904"/>
        <v>0</v>
      </c>
      <c r="O1238" s="319">
        <f>L1238*1.1</f>
        <v>203094.1</v>
      </c>
      <c r="P1238" s="319">
        <f t="shared" si="905"/>
        <v>223403.51000000004</v>
      </c>
      <c r="R1238" s="317"/>
      <c r="U1238" s="320"/>
    </row>
    <row r="1239" spans="1:21" s="344" customFormat="1" outlineLevel="2">
      <c r="A1239" s="345"/>
      <c r="B1239" s="345"/>
      <c r="C1239" s="340">
        <v>2211200</v>
      </c>
      <c r="D1239" s="338" t="s">
        <v>55</v>
      </c>
      <c r="E1239" s="518">
        <f>E1240</f>
        <v>1587297</v>
      </c>
      <c r="F1239" s="518">
        <f t="shared" ref="F1239:K1239" si="914">F1240</f>
        <v>0</v>
      </c>
      <c r="G1239" s="518">
        <f t="shared" si="914"/>
        <v>0</v>
      </c>
      <c r="H1239" s="518">
        <f t="shared" si="914"/>
        <v>0</v>
      </c>
      <c r="I1239" s="518">
        <f t="shared" si="914"/>
        <v>1587297</v>
      </c>
      <c r="J1239" s="518">
        <f t="shared" si="914"/>
        <v>0</v>
      </c>
      <c r="K1239" s="518">
        <f t="shared" si="914"/>
        <v>0</v>
      </c>
      <c r="L1239" s="317">
        <f t="shared" si="901"/>
        <v>1587297</v>
      </c>
      <c r="M1239" s="317"/>
      <c r="N1239" s="372">
        <f t="shared" si="904"/>
        <v>0</v>
      </c>
      <c r="O1239" s="518">
        <f t="shared" ref="O1239:P1239" si="915">O1240</f>
        <v>1746026.7000000002</v>
      </c>
      <c r="P1239" s="518">
        <f t="shared" si="915"/>
        <v>1920629.3700000003</v>
      </c>
      <c r="R1239" s="317"/>
      <c r="U1239" s="320"/>
    </row>
    <row r="1240" spans="1:21" s="344" customFormat="1" outlineLevel="2">
      <c r="A1240" s="345"/>
      <c r="B1240" s="345"/>
      <c r="C1240" s="667">
        <v>2211201</v>
      </c>
      <c r="D1240" s="668" t="s">
        <v>56</v>
      </c>
      <c r="E1240" s="529">
        <f>1787297-200000</f>
        <v>1587297</v>
      </c>
      <c r="F1240" s="669"/>
      <c r="G1240" s="669"/>
      <c r="H1240" s="669"/>
      <c r="I1240" s="324">
        <f t="shared" si="906"/>
        <v>1587297</v>
      </c>
      <c r="J1240" s="669"/>
      <c r="K1240" s="669"/>
      <c r="L1240" s="317">
        <f t="shared" si="901"/>
        <v>1587297</v>
      </c>
      <c r="M1240" s="317"/>
      <c r="N1240" s="372">
        <f t="shared" si="904"/>
        <v>0</v>
      </c>
      <c r="O1240" s="319">
        <f>L1240*1.1</f>
        <v>1746026.7000000002</v>
      </c>
      <c r="P1240" s="319">
        <f t="shared" si="905"/>
        <v>1920629.3700000003</v>
      </c>
      <c r="R1240" s="317"/>
      <c r="U1240" s="320"/>
    </row>
    <row r="1241" spans="1:21" s="344" customFormat="1" outlineLevel="2">
      <c r="A1241" s="345"/>
      <c r="B1241" s="345"/>
      <c r="C1241" s="340">
        <v>2220100</v>
      </c>
      <c r="D1241" s="338" t="s">
        <v>200</v>
      </c>
      <c r="E1241" s="518">
        <f>E1242</f>
        <v>265000</v>
      </c>
      <c r="F1241" s="518">
        <f t="shared" ref="F1241:K1241" si="916">F1242</f>
        <v>0</v>
      </c>
      <c r="G1241" s="518">
        <f t="shared" si="916"/>
        <v>0</v>
      </c>
      <c r="H1241" s="518">
        <f t="shared" si="916"/>
        <v>0</v>
      </c>
      <c r="I1241" s="518">
        <f t="shared" si="916"/>
        <v>265000</v>
      </c>
      <c r="J1241" s="518">
        <f t="shared" si="916"/>
        <v>0</v>
      </c>
      <c r="K1241" s="518">
        <f t="shared" si="916"/>
        <v>-265000</v>
      </c>
      <c r="L1241" s="317">
        <f t="shared" si="901"/>
        <v>0</v>
      </c>
      <c r="M1241" s="317"/>
      <c r="N1241" s="372">
        <f t="shared" si="904"/>
        <v>265000</v>
      </c>
      <c r="O1241" s="518">
        <f t="shared" ref="O1241:P1241" si="917">O1242</f>
        <v>0</v>
      </c>
      <c r="P1241" s="518">
        <f t="shared" si="917"/>
        <v>0</v>
      </c>
      <c r="R1241" s="317"/>
      <c r="U1241" s="320"/>
    </row>
    <row r="1242" spans="1:21" s="344" customFormat="1" outlineLevel="2">
      <c r="A1242" s="345"/>
      <c r="B1242" s="345"/>
      <c r="C1242" s="667">
        <v>2220101</v>
      </c>
      <c r="D1242" s="668" t="s">
        <v>200</v>
      </c>
      <c r="E1242" s="529">
        <v>265000</v>
      </c>
      <c r="F1242" s="669"/>
      <c r="G1242" s="669"/>
      <c r="H1242" s="669"/>
      <c r="I1242" s="324">
        <f t="shared" si="906"/>
        <v>265000</v>
      </c>
      <c r="J1242" s="669"/>
      <c r="K1242" s="669">
        <v>-265000</v>
      </c>
      <c r="L1242" s="317">
        <f t="shared" si="901"/>
        <v>0</v>
      </c>
      <c r="M1242" s="317"/>
      <c r="N1242" s="372">
        <f t="shared" si="904"/>
        <v>265000</v>
      </c>
      <c r="O1242" s="319">
        <f>L1242*1.1</f>
        <v>0</v>
      </c>
      <c r="P1242" s="319">
        <f t="shared" si="905"/>
        <v>0</v>
      </c>
      <c r="R1242" s="317"/>
      <c r="U1242" s="320"/>
    </row>
    <row r="1243" spans="1:21" s="344" customFormat="1" outlineLevel="2">
      <c r="A1243" s="345"/>
      <c r="B1243" s="345"/>
      <c r="C1243" s="340">
        <v>2220200</v>
      </c>
      <c r="D1243" s="338" t="s">
        <v>124</v>
      </c>
      <c r="E1243" s="518">
        <f>E1244</f>
        <v>17122</v>
      </c>
      <c r="F1243" s="518">
        <f t="shared" ref="F1243:P1243" si="918">F1244</f>
        <v>0</v>
      </c>
      <c r="G1243" s="518">
        <f t="shared" si="918"/>
        <v>0</v>
      </c>
      <c r="H1243" s="518">
        <f t="shared" si="918"/>
        <v>0</v>
      </c>
      <c r="I1243" s="518">
        <f t="shared" si="918"/>
        <v>17122</v>
      </c>
      <c r="J1243" s="518">
        <f t="shared" si="918"/>
        <v>0</v>
      </c>
      <c r="K1243" s="518">
        <f t="shared" si="918"/>
        <v>0</v>
      </c>
      <c r="L1243" s="317">
        <f t="shared" si="901"/>
        <v>17122</v>
      </c>
      <c r="M1243" s="317"/>
      <c r="N1243" s="372">
        <f t="shared" si="904"/>
        <v>0</v>
      </c>
      <c r="O1243" s="518">
        <f t="shared" si="918"/>
        <v>18834.2</v>
      </c>
      <c r="P1243" s="518">
        <f t="shared" si="918"/>
        <v>20717.620000000003</v>
      </c>
      <c r="R1243" s="317"/>
      <c r="U1243" s="320"/>
    </row>
    <row r="1244" spans="1:21" s="344" customFormat="1" outlineLevel="2">
      <c r="A1244" s="345"/>
      <c r="B1244" s="345"/>
      <c r="C1244" s="667">
        <v>2220210</v>
      </c>
      <c r="D1244" s="668" t="s">
        <v>163</v>
      </c>
      <c r="E1244" s="529">
        <v>17122</v>
      </c>
      <c r="F1244" s="669"/>
      <c r="G1244" s="669"/>
      <c r="H1244" s="669"/>
      <c r="I1244" s="324">
        <f t="shared" si="906"/>
        <v>17122</v>
      </c>
      <c r="J1244" s="669"/>
      <c r="K1244" s="669"/>
      <c r="L1244" s="317">
        <f t="shared" si="901"/>
        <v>17122</v>
      </c>
      <c r="M1244" s="317"/>
      <c r="N1244" s="372">
        <f t="shared" si="904"/>
        <v>0</v>
      </c>
      <c r="O1244" s="319">
        <f>L1244*1.1</f>
        <v>18834.2</v>
      </c>
      <c r="P1244" s="319">
        <f t="shared" ref="P1244:P1263" si="919">O1244*1.1</f>
        <v>20717.620000000003</v>
      </c>
      <c r="R1244" s="317"/>
      <c r="U1244" s="320"/>
    </row>
    <row r="1245" spans="1:21" s="344" customFormat="1" outlineLevel="2">
      <c r="A1245" s="345"/>
      <c r="B1245" s="345"/>
      <c r="C1245" s="340">
        <v>3111000</v>
      </c>
      <c r="D1245" s="338" t="s">
        <v>69</v>
      </c>
      <c r="E1245" s="518">
        <f>E1246</f>
        <v>200000</v>
      </c>
      <c r="F1245" s="518">
        <f t="shared" ref="F1245:P1245" si="920">F1246</f>
        <v>0</v>
      </c>
      <c r="G1245" s="518">
        <f t="shared" si="920"/>
        <v>0</v>
      </c>
      <c r="H1245" s="518">
        <f t="shared" si="920"/>
        <v>0</v>
      </c>
      <c r="I1245" s="518">
        <f t="shared" si="920"/>
        <v>200000</v>
      </c>
      <c r="J1245" s="518">
        <f t="shared" si="920"/>
        <v>0</v>
      </c>
      <c r="K1245" s="518">
        <f t="shared" si="920"/>
        <v>0</v>
      </c>
      <c r="L1245" s="317">
        <f t="shared" si="901"/>
        <v>200000</v>
      </c>
      <c r="M1245" s="317"/>
      <c r="N1245" s="372">
        <f t="shared" si="904"/>
        <v>0</v>
      </c>
      <c r="O1245" s="518">
        <f t="shared" si="920"/>
        <v>220000.00000000003</v>
      </c>
      <c r="P1245" s="518">
        <f t="shared" si="920"/>
        <v>242000.00000000006</v>
      </c>
      <c r="R1245" s="317"/>
      <c r="U1245" s="320"/>
    </row>
    <row r="1246" spans="1:21" s="344" customFormat="1" outlineLevel="2">
      <c r="A1246" s="345"/>
      <c r="B1246" s="345"/>
      <c r="C1246" s="667">
        <v>3111002</v>
      </c>
      <c r="D1246" s="668" t="s">
        <v>71</v>
      </c>
      <c r="E1246" s="529">
        <v>200000</v>
      </c>
      <c r="F1246" s="669"/>
      <c r="G1246" s="669"/>
      <c r="H1246" s="669"/>
      <c r="I1246" s="324">
        <f t="shared" si="906"/>
        <v>200000</v>
      </c>
      <c r="J1246" s="669"/>
      <c r="K1246" s="669"/>
      <c r="L1246" s="317">
        <f t="shared" si="901"/>
        <v>200000</v>
      </c>
      <c r="M1246" s="317"/>
      <c r="N1246" s="372">
        <f t="shared" si="904"/>
        <v>0</v>
      </c>
      <c r="O1246" s="319">
        <f>L1246*1.1</f>
        <v>220000.00000000003</v>
      </c>
      <c r="P1246" s="319">
        <f t="shared" si="919"/>
        <v>242000.00000000006</v>
      </c>
      <c r="R1246" s="317"/>
      <c r="U1246" s="320"/>
    </row>
    <row r="1247" spans="1:21" s="344" customFormat="1" outlineLevel="1">
      <c r="A1247" s="345"/>
      <c r="B1247" s="345"/>
      <c r="C1247" s="382"/>
      <c r="D1247" s="447" t="s">
        <v>278</v>
      </c>
      <c r="E1247" s="515">
        <f>E1245+E1243+E1241+E1239+E1236+E1231+E1226+E1222+E1218+E1214+E1211+E1208+E1205+E1234</f>
        <v>97342305</v>
      </c>
      <c r="F1247" s="515">
        <f t="shared" ref="F1247:K1247" si="921">F1245+F1243+F1241+F1239+F1236+F1231+F1226+F1222+F1218+F1214+F1211+F1208+F1205+F1234</f>
        <v>0</v>
      </c>
      <c r="G1247" s="515">
        <f t="shared" si="921"/>
        <v>0</v>
      </c>
      <c r="H1247" s="515">
        <f t="shared" si="921"/>
        <v>-476453</v>
      </c>
      <c r="I1247" s="515">
        <f t="shared" si="921"/>
        <v>96865852</v>
      </c>
      <c r="J1247" s="515">
        <f t="shared" si="921"/>
        <v>0</v>
      </c>
      <c r="K1247" s="515">
        <f t="shared" si="921"/>
        <v>0</v>
      </c>
      <c r="L1247" s="317">
        <f t="shared" si="901"/>
        <v>96865852</v>
      </c>
      <c r="M1247" s="317"/>
      <c r="N1247" s="372">
        <f t="shared" si="904"/>
        <v>0</v>
      </c>
      <c r="O1247" s="515">
        <f t="shared" ref="O1247:P1247" si="922">O1245+O1243+O1241+O1239+O1236+O1231+O1226+O1222+O1218+O1214+O1211+O1208+O1205+O1234</f>
        <v>106552437.2</v>
      </c>
      <c r="P1247" s="515">
        <f t="shared" si="922"/>
        <v>117207680.92000002</v>
      </c>
      <c r="R1247" s="317"/>
      <c r="U1247" s="320"/>
    </row>
    <row r="1248" spans="1:21" s="344" customFormat="1" outlineLevel="1">
      <c r="A1248" s="345"/>
      <c r="B1248" s="345"/>
      <c r="C1248" s="340"/>
      <c r="D1248" s="330"/>
      <c r="E1248" s="518"/>
      <c r="F1248" s="389"/>
      <c r="G1248" s="389"/>
      <c r="H1248" s="389"/>
      <c r="I1248" s="324">
        <f t="shared" si="906"/>
        <v>0</v>
      </c>
      <c r="J1248" s="389"/>
      <c r="K1248" s="389"/>
      <c r="L1248" s="317">
        <f t="shared" si="901"/>
        <v>0</v>
      </c>
      <c r="M1248" s="317"/>
      <c r="N1248" s="372">
        <f t="shared" si="904"/>
        <v>0</v>
      </c>
      <c r="O1248" s="319">
        <f>L1248*1.1</f>
        <v>0</v>
      </c>
      <c r="P1248" s="319">
        <f t="shared" si="919"/>
        <v>0</v>
      </c>
      <c r="R1248" s="317"/>
      <c r="U1248" s="320"/>
    </row>
    <row r="1249" spans="1:21" s="344" customFormat="1" outlineLevel="1">
      <c r="A1249" s="345"/>
      <c r="B1249" s="345"/>
      <c r="C1249" s="340" t="s">
        <v>9</v>
      </c>
      <c r="D1249" s="338" t="s">
        <v>279</v>
      </c>
      <c r="E1249" s="622"/>
      <c r="F1249" s="397"/>
      <c r="G1249" s="397"/>
      <c r="H1249" s="397"/>
      <c r="I1249" s="324">
        <f t="shared" si="906"/>
        <v>0</v>
      </c>
      <c r="J1249" s="397"/>
      <c r="K1249" s="397"/>
      <c r="L1249" s="317">
        <f t="shared" si="901"/>
        <v>0</v>
      </c>
      <c r="M1249" s="317"/>
      <c r="N1249" s="372">
        <f t="shared" si="904"/>
        <v>0</v>
      </c>
      <c r="O1249" s="319">
        <f>L1249*1.1</f>
        <v>0</v>
      </c>
      <c r="P1249" s="319">
        <f t="shared" si="919"/>
        <v>0</v>
      </c>
      <c r="R1249" s="317"/>
      <c r="U1249" s="320"/>
    </row>
    <row r="1250" spans="1:21" s="344" customFormat="1" outlineLevel="1">
      <c r="A1250" s="345"/>
      <c r="B1250" s="345"/>
      <c r="C1250" s="314" t="s">
        <v>280</v>
      </c>
      <c r="D1250" s="447"/>
      <c r="E1250" s="619"/>
      <c r="F1250" s="438"/>
      <c r="G1250" s="438"/>
      <c r="H1250" s="438"/>
      <c r="I1250" s="324">
        <f t="shared" si="906"/>
        <v>0</v>
      </c>
      <c r="J1250" s="438"/>
      <c r="K1250" s="438"/>
      <c r="L1250" s="317">
        <f t="shared" si="901"/>
        <v>0</v>
      </c>
      <c r="M1250" s="317"/>
      <c r="N1250" s="372">
        <f t="shared" si="904"/>
        <v>0</v>
      </c>
      <c r="O1250" s="319">
        <f>L1250*1.1</f>
        <v>0</v>
      </c>
      <c r="P1250" s="319">
        <f t="shared" si="919"/>
        <v>0</v>
      </c>
      <c r="R1250" s="317"/>
      <c r="U1250" s="320"/>
    </row>
    <row r="1251" spans="1:21" s="344" customFormat="1" outlineLevel="2">
      <c r="A1251" s="345"/>
      <c r="B1251" s="345"/>
      <c r="C1251" s="340">
        <v>2210100</v>
      </c>
      <c r="D1251" s="338" t="s">
        <v>16</v>
      </c>
      <c r="E1251" s="622">
        <f>SUM(E1252:E1253)</f>
        <v>221040</v>
      </c>
      <c r="F1251" s="622">
        <f t="shared" ref="F1251:K1251" si="923">SUM(F1252:F1253)</f>
        <v>0</v>
      </c>
      <c r="G1251" s="622">
        <f t="shared" si="923"/>
        <v>0</v>
      </c>
      <c r="H1251" s="622">
        <f t="shared" si="923"/>
        <v>0</v>
      </c>
      <c r="I1251" s="622">
        <f t="shared" si="923"/>
        <v>221040</v>
      </c>
      <c r="J1251" s="622">
        <f t="shared" si="923"/>
        <v>0</v>
      </c>
      <c r="K1251" s="622">
        <f t="shared" si="923"/>
        <v>0</v>
      </c>
      <c r="L1251" s="317">
        <f t="shared" si="901"/>
        <v>221040</v>
      </c>
      <c r="M1251" s="317"/>
      <c r="N1251" s="372">
        <f t="shared" si="904"/>
        <v>0</v>
      </c>
      <c r="O1251" s="622">
        <f t="shared" ref="O1251:P1251" si="924">SUM(O1252:O1253)</f>
        <v>243144</v>
      </c>
      <c r="P1251" s="622">
        <f t="shared" si="924"/>
        <v>267458.40000000002</v>
      </c>
      <c r="R1251" s="317"/>
      <c r="U1251" s="320"/>
    </row>
    <row r="1252" spans="1:21" s="344" customFormat="1" outlineLevel="2">
      <c r="A1252" s="345"/>
      <c r="B1252" s="345"/>
      <c r="C1252" s="332">
        <v>2210101</v>
      </c>
      <c r="D1252" s="330" t="s">
        <v>17</v>
      </c>
      <c r="E1252" s="616">
        <v>94400</v>
      </c>
      <c r="F1252" s="577"/>
      <c r="G1252" s="577"/>
      <c r="H1252" s="577"/>
      <c r="I1252" s="324">
        <f t="shared" si="906"/>
        <v>94400</v>
      </c>
      <c r="J1252" s="577"/>
      <c r="K1252" s="577"/>
      <c r="L1252" s="317">
        <f t="shared" si="901"/>
        <v>94400</v>
      </c>
      <c r="M1252" s="317"/>
      <c r="N1252" s="372">
        <f t="shared" si="904"/>
        <v>0</v>
      </c>
      <c r="O1252" s="319">
        <f>L1252*1.1</f>
        <v>103840.00000000001</v>
      </c>
      <c r="P1252" s="319">
        <f t="shared" si="919"/>
        <v>114224.00000000003</v>
      </c>
      <c r="R1252" s="317"/>
      <c r="U1252" s="320"/>
    </row>
    <row r="1253" spans="1:21" s="344" customFormat="1" outlineLevel="2">
      <c r="A1253" s="345"/>
      <c r="B1253" s="345"/>
      <c r="C1253" s="332">
        <v>2210102</v>
      </c>
      <c r="D1253" s="330" t="s">
        <v>18</v>
      </c>
      <c r="E1253" s="616">
        <v>126640</v>
      </c>
      <c r="F1253" s="577"/>
      <c r="G1253" s="577"/>
      <c r="H1253" s="577"/>
      <c r="I1253" s="324">
        <f t="shared" si="906"/>
        <v>126640</v>
      </c>
      <c r="J1253" s="577"/>
      <c r="K1253" s="577"/>
      <c r="L1253" s="317">
        <f t="shared" si="901"/>
        <v>126640</v>
      </c>
      <c r="M1253" s="317"/>
      <c r="N1253" s="372">
        <f t="shared" si="904"/>
        <v>0</v>
      </c>
      <c r="O1253" s="319">
        <f>L1253*1.1</f>
        <v>139304</v>
      </c>
      <c r="P1253" s="319">
        <f t="shared" si="919"/>
        <v>153234.40000000002</v>
      </c>
      <c r="R1253" s="317"/>
      <c r="U1253" s="320"/>
    </row>
    <row r="1254" spans="1:21" s="344" customFormat="1" outlineLevel="2">
      <c r="A1254" s="345"/>
      <c r="B1254" s="345"/>
      <c r="C1254" s="340">
        <v>2210200</v>
      </c>
      <c r="D1254" s="338" t="s">
        <v>20</v>
      </c>
      <c r="E1254" s="622">
        <f>SUM(E1255:E1256)</f>
        <v>488066</v>
      </c>
      <c r="F1254" s="622">
        <f t="shared" ref="F1254:K1254" si="925">SUM(F1255:F1256)</f>
        <v>0</v>
      </c>
      <c r="G1254" s="622">
        <f t="shared" si="925"/>
        <v>0</v>
      </c>
      <c r="H1254" s="622">
        <f t="shared" si="925"/>
        <v>0</v>
      </c>
      <c r="I1254" s="622">
        <f t="shared" si="925"/>
        <v>488066</v>
      </c>
      <c r="J1254" s="622">
        <f t="shared" si="925"/>
        <v>0</v>
      </c>
      <c r="K1254" s="622">
        <f t="shared" si="925"/>
        <v>-309033</v>
      </c>
      <c r="L1254" s="317">
        <f t="shared" si="901"/>
        <v>179033</v>
      </c>
      <c r="M1254" s="317"/>
      <c r="N1254" s="372">
        <f t="shared" si="904"/>
        <v>309033</v>
      </c>
      <c r="O1254" s="622">
        <f t="shared" ref="O1254:P1254" si="926">SUM(O1255:O1256)</f>
        <v>196936.30000000002</v>
      </c>
      <c r="P1254" s="622">
        <f t="shared" si="926"/>
        <v>216629.93000000005</v>
      </c>
      <c r="R1254" s="317"/>
      <c r="U1254" s="320"/>
    </row>
    <row r="1255" spans="1:21" s="344" customFormat="1" outlineLevel="2">
      <c r="A1255" s="345"/>
      <c r="B1255" s="345"/>
      <c r="C1255" s="667">
        <v>2210201</v>
      </c>
      <c r="D1255" s="668" t="s">
        <v>21</v>
      </c>
      <c r="E1255" s="673">
        <v>179033</v>
      </c>
      <c r="F1255" s="669"/>
      <c r="G1255" s="669"/>
      <c r="H1255" s="669"/>
      <c r="I1255" s="324">
        <f t="shared" si="906"/>
        <v>179033</v>
      </c>
      <c r="J1255" s="669"/>
      <c r="K1255" s="669"/>
      <c r="L1255" s="317">
        <f t="shared" si="901"/>
        <v>179033</v>
      </c>
      <c r="M1255" s="317"/>
      <c r="N1255" s="372">
        <f t="shared" si="904"/>
        <v>0</v>
      </c>
      <c r="O1255" s="319">
        <f>L1255*1.1</f>
        <v>196936.30000000002</v>
      </c>
      <c r="P1255" s="319">
        <f t="shared" si="919"/>
        <v>216629.93000000005</v>
      </c>
      <c r="R1255" s="317"/>
      <c r="U1255" s="320"/>
    </row>
    <row r="1256" spans="1:21" s="344" customFormat="1" outlineLevel="2">
      <c r="A1256" s="345"/>
      <c r="B1256" s="345"/>
      <c r="C1256" s="667">
        <v>2210202</v>
      </c>
      <c r="D1256" s="668" t="s">
        <v>22</v>
      </c>
      <c r="E1256" s="673">
        <v>309033</v>
      </c>
      <c r="F1256" s="669"/>
      <c r="G1256" s="669"/>
      <c r="H1256" s="669"/>
      <c r="I1256" s="324">
        <f t="shared" si="906"/>
        <v>309033</v>
      </c>
      <c r="J1256" s="669"/>
      <c r="K1256" s="669">
        <v>-309033</v>
      </c>
      <c r="L1256" s="317">
        <f t="shared" si="901"/>
        <v>0</v>
      </c>
      <c r="M1256" s="317"/>
      <c r="N1256" s="372">
        <f t="shared" si="904"/>
        <v>309033</v>
      </c>
      <c r="O1256" s="319">
        <f>L1256*1.1</f>
        <v>0</v>
      </c>
      <c r="P1256" s="319">
        <f t="shared" si="919"/>
        <v>0</v>
      </c>
      <c r="R1256" s="317"/>
      <c r="U1256" s="320"/>
    </row>
    <row r="1257" spans="1:21" s="344" customFormat="1" outlineLevel="2">
      <c r="A1257" s="345"/>
      <c r="B1257" s="345"/>
      <c r="C1257" s="340">
        <v>2210300</v>
      </c>
      <c r="D1257" s="338" t="s">
        <v>267</v>
      </c>
      <c r="E1257" s="622">
        <f>SUM(E1258:E1260)</f>
        <v>1632385</v>
      </c>
      <c r="F1257" s="622">
        <f t="shared" ref="F1257:K1257" si="927">SUM(F1258:F1260)</f>
        <v>0</v>
      </c>
      <c r="G1257" s="622">
        <f t="shared" si="927"/>
        <v>0</v>
      </c>
      <c r="H1257" s="622">
        <f t="shared" si="927"/>
        <v>0</v>
      </c>
      <c r="I1257" s="622">
        <f t="shared" si="927"/>
        <v>1632385</v>
      </c>
      <c r="J1257" s="622">
        <f t="shared" si="927"/>
        <v>0</v>
      </c>
      <c r="K1257" s="622">
        <f t="shared" si="927"/>
        <v>4724295</v>
      </c>
      <c r="L1257" s="317">
        <f t="shared" si="901"/>
        <v>6356680</v>
      </c>
      <c r="M1257" s="317"/>
      <c r="N1257" s="372">
        <f t="shared" si="904"/>
        <v>-4724295</v>
      </c>
      <c r="O1257" s="622">
        <f t="shared" ref="O1257:P1257" si="928">SUM(O1258:O1260)</f>
        <v>6992348</v>
      </c>
      <c r="P1257" s="622">
        <f t="shared" si="928"/>
        <v>7691582.8000000007</v>
      </c>
      <c r="R1257" s="317"/>
      <c r="U1257" s="320"/>
    </row>
    <row r="1258" spans="1:21" s="344" customFormat="1" outlineLevel="2">
      <c r="A1258" s="345"/>
      <c r="B1258" s="345"/>
      <c r="C1258" s="667">
        <v>2210301</v>
      </c>
      <c r="D1258" s="668" t="s">
        <v>268</v>
      </c>
      <c r="E1258" s="673">
        <f>734472-200000</f>
        <v>534472</v>
      </c>
      <c r="F1258" s="669"/>
      <c r="G1258" s="669"/>
      <c r="H1258" s="669"/>
      <c r="I1258" s="324">
        <f t="shared" si="906"/>
        <v>534472</v>
      </c>
      <c r="J1258" s="669"/>
      <c r="K1258" s="669"/>
      <c r="L1258" s="317">
        <f t="shared" si="901"/>
        <v>534472</v>
      </c>
      <c r="M1258" s="317"/>
      <c r="N1258" s="372">
        <f t="shared" si="904"/>
        <v>0</v>
      </c>
      <c r="O1258" s="319">
        <f>L1258*1.1</f>
        <v>587919.20000000007</v>
      </c>
      <c r="P1258" s="319">
        <f t="shared" si="919"/>
        <v>646711.12000000011</v>
      </c>
      <c r="R1258" s="317"/>
      <c r="U1258" s="320"/>
    </row>
    <row r="1259" spans="1:21" s="344" customFormat="1" outlineLevel="2">
      <c r="A1259" s="345"/>
      <c r="B1259" s="345"/>
      <c r="C1259" s="667">
        <v>2210302</v>
      </c>
      <c r="D1259" s="668" t="s">
        <v>269</v>
      </c>
      <c r="E1259" s="673">
        <f>794639-200000</f>
        <v>594639</v>
      </c>
      <c r="F1259" s="669"/>
      <c r="G1259" s="669"/>
      <c r="H1259" s="669"/>
      <c r="I1259" s="324">
        <f t="shared" si="906"/>
        <v>594639</v>
      </c>
      <c r="J1259" s="669"/>
      <c r="K1259" s="669">
        <v>3278446</v>
      </c>
      <c r="L1259" s="317">
        <f t="shared" si="901"/>
        <v>3873085</v>
      </c>
      <c r="M1259" s="317"/>
      <c r="N1259" s="372">
        <f t="shared" si="904"/>
        <v>-3278446</v>
      </c>
      <c r="O1259" s="319">
        <f>L1259*1.1</f>
        <v>4260393.5</v>
      </c>
      <c r="P1259" s="319">
        <f t="shared" si="919"/>
        <v>4686432.8500000006</v>
      </c>
      <c r="R1259" s="317"/>
      <c r="U1259" s="320"/>
    </row>
    <row r="1260" spans="1:21" s="344" customFormat="1" outlineLevel="2">
      <c r="A1260" s="345"/>
      <c r="B1260" s="345"/>
      <c r="C1260" s="667">
        <v>2210303</v>
      </c>
      <c r="D1260" s="668" t="s">
        <v>27</v>
      </c>
      <c r="E1260" s="673">
        <f>703274-200000</f>
        <v>503274</v>
      </c>
      <c r="F1260" s="669"/>
      <c r="G1260" s="669"/>
      <c r="H1260" s="669"/>
      <c r="I1260" s="324">
        <f t="shared" si="906"/>
        <v>503274</v>
      </c>
      <c r="J1260" s="669"/>
      <c r="K1260" s="669">
        <v>1445849</v>
      </c>
      <c r="L1260" s="317">
        <f t="shared" si="901"/>
        <v>1949123</v>
      </c>
      <c r="M1260" s="317"/>
      <c r="N1260" s="372">
        <f t="shared" si="904"/>
        <v>-1445849</v>
      </c>
      <c r="O1260" s="319">
        <f>L1260*1.1</f>
        <v>2144035.3000000003</v>
      </c>
      <c r="P1260" s="319">
        <f t="shared" si="919"/>
        <v>2358438.8300000005</v>
      </c>
      <c r="R1260" s="317"/>
      <c r="U1260" s="320"/>
    </row>
    <row r="1261" spans="1:21" s="344" customFormat="1" outlineLevel="2">
      <c r="A1261" s="345"/>
      <c r="B1261" s="345"/>
      <c r="C1261" s="340">
        <v>2210700</v>
      </c>
      <c r="D1261" s="338" t="s">
        <v>271</v>
      </c>
      <c r="E1261" s="622">
        <f>SUM(E1262:E1266)</f>
        <v>1363319.85</v>
      </c>
      <c r="F1261" s="622">
        <f t="shared" ref="F1261:P1261" si="929">SUM(F1262:F1266)</f>
        <v>0</v>
      </c>
      <c r="G1261" s="622">
        <f t="shared" si="929"/>
        <v>0</v>
      </c>
      <c r="H1261" s="622">
        <f t="shared" si="929"/>
        <v>0</v>
      </c>
      <c r="I1261" s="622">
        <f t="shared" si="929"/>
        <v>1363319.85</v>
      </c>
      <c r="J1261" s="622">
        <f t="shared" si="929"/>
        <v>0</v>
      </c>
      <c r="K1261" s="622">
        <f t="shared" si="929"/>
        <v>-282947</v>
      </c>
      <c r="L1261" s="317">
        <f t="shared" si="901"/>
        <v>1080372.8500000001</v>
      </c>
      <c r="M1261" s="317"/>
      <c r="N1261" s="372">
        <f t="shared" si="904"/>
        <v>282947</v>
      </c>
      <c r="O1261" s="622">
        <f t="shared" si="929"/>
        <v>1188410.135</v>
      </c>
      <c r="P1261" s="622">
        <f t="shared" si="929"/>
        <v>1307251.1485000001</v>
      </c>
      <c r="R1261" s="317"/>
      <c r="U1261" s="320"/>
    </row>
    <row r="1262" spans="1:21" s="344" customFormat="1" outlineLevel="2">
      <c r="A1262" s="345"/>
      <c r="B1262" s="345"/>
      <c r="C1262" s="667">
        <v>2210701</v>
      </c>
      <c r="D1262" s="668" t="s">
        <v>272</v>
      </c>
      <c r="E1262" s="673">
        <v>400000</v>
      </c>
      <c r="F1262" s="669"/>
      <c r="G1262" s="669"/>
      <c r="H1262" s="669"/>
      <c r="I1262" s="324">
        <f t="shared" si="906"/>
        <v>400000</v>
      </c>
      <c r="J1262" s="669"/>
      <c r="K1262" s="669"/>
      <c r="L1262" s="317">
        <f t="shared" si="901"/>
        <v>400000</v>
      </c>
      <c r="M1262" s="317"/>
      <c r="N1262" s="372">
        <f t="shared" si="904"/>
        <v>0</v>
      </c>
      <c r="O1262" s="319">
        <f>L1262*1.1</f>
        <v>440000.00000000006</v>
      </c>
      <c r="P1262" s="319">
        <f t="shared" si="919"/>
        <v>484000.00000000012</v>
      </c>
      <c r="R1262" s="317"/>
      <c r="U1262" s="320"/>
    </row>
    <row r="1263" spans="1:21" s="344" customFormat="1" outlineLevel="2">
      <c r="A1263" s="345"/>
      <c r="B1263" s="345"/>
      <c r="C1263" s="667">
        <v>2210703</v>
      </c>
      <c r="D1263" s="668" t="s">
        <v>273</v>
      </c>
      <c r="E1263" s="673">
        <v>206660</v>
      </c>
      <c r="F1263" s="669"/>
      <c r="G1263" s="669"/>
      <c r="H1263" s="669"/>
      <c r="I1263" s="324">
        <f t="shared" si="906"/>
        <v>206660</v>
      </c>
      <c r="J1263" s="669"/>
      <c r="K1263" s="669">
        <v>-206660</v>
      </c>
      <c r="L1263" s="317">
        <f t="shared" si="901"/>
        <v>0</v>
      </c>
      <c r="M1263" s="317"/>
      <c r="N1263" s="372">
        <f t="shared" si="904"/>
        <v>206660</v>
      </c>
      <c r="O1263" s="319">
        <f>L1263*1.1</f>
        <v>0</v>
      </c>
      <c r="P1263" s="319">
        <f t="shared" si="919"/>
        <v>0</v>
      </c>
      <c r="R1263" s="317"/>
      <c r="U1263" s="320"/>
    </row>
    <row r="1264" spans="1:21" s="344" customFormat="1" outlineLevel="2">
      <c r="A1264" s="345"/>
      <c r="B1264" s="345"/>
      <c r="C1264" s="667">
        <v>2210704</v>
      </c>
      <c r="D1264" s="668" t="s">
        <v>274</v>
      </c>
      <c r="E1264" s="673">
        <v>76287</v>
      </c>
      <c r="F1264" s="669"/>
      <c r="G1264" s="669"/>
      <c r="H1264" s="669"/>
      <c r="I1264" s="324">
        <f t="shared" si="906"/>
        <v>76287</v>
      </c>
      <c r="J1264" s="669"/>
      <c r="K1264" s="669">
        <v>-76287</v>
      </c>
      <c r="L1264" s="317">
        <f t="shared" si="901"/>
        <v>0</v>
      </c>
      <c r="M1264" s="317"/>
      <c r="N1264" s="372">
        <f t="shared" si="904"/>
        <v>76287</v>
      </c>
      <c r="O1264" s="319">
        <f>L1264*1.1</f>
        <v>0</v>
      </c>
      <c r="P1264" s="319">
        <f t="shared" ref="P1264:P1282" si="930">O1264*1.1</f>
        <v>0</v>
      </c>
      <c r="R1264" s="317"/>
      <c r="U1264" s="320"/>
    </row>
    <row r="1265" spans="1:21" s="344" customFormat="1" outlineLevel="2">
      <c r="A1265" s="345"/>
      <c r="B1265" s="345"/>
      <c r="C1265" s="667">
        <v>2210710</v>
      </c>
      <c r="D1265" s="668" t="s">
        <v>39</v>
      </c>
      <c r="E1265" s="673">
        <v>330372.84999999998</v>
      </c>
      <c r="F1265" s="669"/>
      <c r="G1265" s="669"/>
      <c r="H1265" s="669"/>
      <c r="I1265" s="324">
        <f t="shared" si="906"/>
        <v>330372.84999999998</v>
      </c>
      <c r="J1265" s="669"/>
      <c r="K1265" s="669"/>
      <c r="L1265" s="317">
        <f t="shared" si="901"/>
        <v>330372.84999999998</v>
      </c>
      <c r="M1265" s="317"/>
      <c r="N1265" s="372">
        <f t="shared" si="904"/>
        <v>0</v>
      </c>
      <c r="O1265" s="319">
        <f>L1265*1.1</f>
        <v>363410.13500000001</v>
      </c>
      <c r="P1265" s="319">
        <f t="shared" si="930"/>
        <v>399751.14850000007</v>
      </c>
      <c r="R1265" s="317"/>
      <c r="U1265" s="320"/>
    </row>
    <row r="1266" spans="1:21" s="344" customFormat="1" outlineLevel="2">
      <c r="A1266" s="345"/>
      <c r="B1266" s="345"/>
      <c r="C1266" s="667">
        <v>2210711</v>
      </c>
      <c r="D1266" s="668" t="s">
        <v>281</v>
      </c>
      <c r="E1266" s="673">
        <v>350000</v>
      </c>
      <c r="F1266" s="669"/>
      <c r="G1266" s="669"/>
      <c r="H1266" s="669"/>
      <c r="I1266" s="324">
        <f t="shared" si="906"/>
        <v>350000</v>
      </c>
      <c r="J1266" s="669"/>
      <c r="K1266" s="669"/>
      <c r="L1266" s="317">
        <f t="shared" si="901"/>
        <v>350000</v>
      </c>
      <c r="M1266" s="317"/>
      <c r="N1266" s="372">
        <f t="shared" si="904"/>
        <v>0</v>
      </c>
      <c r="O1266" s="319">
        <f>L1266*1.1</f>
        <v>385000.00000000006</v>
      </c>
      <c r="P1266" s="319">
        <f t="shared" si="930"/>
        <v>423500.00000000012</v>
      </c>
      <c r="R1266" s="317"/>
      <c r="U1266" s="320"/>
    </row>
    <row r="1267" spans="1:21" s="344" customFormat="1" outlineLevel="2">
      <c r="A1267" s="345"/>
      <c r="B1267" s="345"/>
      <c r="C1267" s="340">
        <v>2210800</v>
      </c>
      <c r="D1267" s="338" t="s">
        <v>42</v>
      </c>
      <c r="E1267" s="622">
        <f>E1268</f>
        <v>445299</v>
      </c>
      <c r="F1267" s="622">
        <f t="shared" ref="F1267:K1267" si="931">F1268</f>
        <v>0</v>
      </c>
      <c r="G1267" s="622">
        <f t="shared" si="931"/>
        <v>0</v>
      </c>
      <c r="H1267" s="622">
        <f t="shared" si="931"/>
        <v>0</v>
      </c>
      <c r="I1267" s="622">
        <f t="shared" si="931"/>
        <v>445299</v>
      </c>
      <c r="J1267" s="622">
        <f t="shared" si="931"/>
        <v>0</v>
      </c>
      <c r="K1267" s="622">
        <f t="shared" si="931"/>
        <v>0</v>
      </c>
      <c r="L1267" s="317">
        <f t="shared" si="901"/>
        <v>445299</v>
      </c>
      <c r="M1267" s="317"/>
      <c r="N1267" s="372">
        <f t="shared" si="904"/>
        <v>0</v>
      </c>
      <c r="O1267" s="622">
        <f t="shared" ref="O1267:P1267" si="932">O1268</f>
        <v>489828.9</v>
      </c>
      <c r="P1267" s="622">
        <f t="shared" si="932"/>
        <v>538811.79</v>
      </c>
      <c r="R1267" s="317"/>
      <c r="U1267" s="320"/>
    </row>
    <row r="1268" spans="1:21" s="344" customFormat="1" outlineLevel="2">
      <c r="A1268" s="345"/>
      <c r="B1268" s="345"/>
      <c r="C1268" s="667">
        <v>2210801</v>
      </c>
      <c r="D1268" s="668" t="s">
        <v>2421</v>
      </c>
      <c r="E1268" s="673">
        <v>445299</v>
      </c>
      <c r="F1268" s="669"/>
      <c r="G1268" s="669"/>
      <c r="H1268" s="669"/>
      <c r="I1268" s="324">
        <f t="shared" si="906"/>
        <v>445299</v>
      </c>
      <c r="J1268" s="669"/>
      <c r="K1268" s="669"/>
      <c r="L1268" s="317">
        <f t="shared" si="901"/>
        <v>445299</v>
      </c>
      <c r="M1268" s="317"/>
      <c r="N1268" s="372">
        <f t="shared" si="904"/>
        <v>0</v>
      </c>
      <c r="O1268" s="319">
        <f>L1268*1.1</f>
        <v>489828.9</v>
      </c>
      <c r="P1268" s="319">
        <f t="shared" si="930"/>
        <v>538811.79</v>
      </c>
      <c r="R1268" s="317"/>
      <c r="U1268" s="320"/>
    </row>
    <row r="1269" spans="1:21" s="344" customFormat="1" outlineLevel="2">
      <c r="A1269" s="345"/>
      <c r="B1269" s="345"/>
      <c r="C1269" s="340">
        <v>2211100</v>
      </c>
      <c r="D1269" s="338" t="s">
        <v>276</v>
      </c>
      <c r="E1269" s="622">
        <f>SUM(E1270:E1272)</f>
        <v>681479</v>
      </c>
      <c r="F1269" s="622">
        <f t="shared" ref="F1269:K1269" si="933">SUM(F1270:F1272)</f>
        <v>0</v>
      </c>
      <c r="G1269" s="622">
        <f t="shared" si="933"/>
        <v>0</v>
      </c>
      <c r="H1269" s="622">
        <f t="shared" si="933"/>
        <v>0</v>
      </c>
      <c r="I1269" s="622">
        <f t="shared" si="933"/>
        <v>681479</v>
      </c>
      <c r="J1269" s="622">
        <f t="shared" si="933"/>
        <v>0</v>
      </c>
      <c r="K1269" s="622">
        <f t="shared" si="933"/>
        <v>0</v>
      </c>
      <c r="L1269" s="317">
        <f t="shared" si="901"/>
        <v>681479</v>
      </c>
      <c r="M1269" s="317"/>
      <c r="N1269" s="372">
        <f t="shared" si="904"/>
        <v>0</v>
      </c>
      <c r="O1269" s="622">
        <f t="shared" ref="O1269:P1269" si="934">SUM(O1270:O1272)</f>
        <v>749626.90000000014</v>
      </c>
      <c r="P1269" s="622">
        <f t="shared" si="934"/>
        <v>824589.5900000002</v>
      </c>
      <c r="R1269" s="317"/>
      <c r="U1269" s="320"/>
    </row>
    <row r="1270" spans="1:21" s="344" customFormat="1" outlineLevel="2">
      <c r="A1270" s="345"/>
      <c r="B1270" s="345"/>
      <c r="C1270" s="667">
        <v>2211101</v>
      </c>
      <c r="D1270" s="668" t="s">
        <v>277</v>
      </c>
      <c r="E1270" s="673">
        <v>418825</v>
      </c>
      <c r="F1270" s="669"/>
      <c r="G1270" s="669"/>
      <c r="H1270" s="669"/>
      <c r="I1270" s="324">
        <f t="shared" si="906"/>
        <v>418825</v>
      </c>
      <c r="J1270" s="669"/>
      <c r="K1270" s="669"/>
      <c r="L1270" s="317">
        <f t="shared" si="901"/>
        <v>418825</v>
      </c>
      <c r="M1270" s="317"/>
      <c r="N1270" s="372">
        <f t="shared" si="904"/>
        <v>0</v>
      </c>
      <c r="O1270" s="319">
        <f>L1270*1.1</f>
        <v>460707.50000000006</v>
      </c>
      <c r="P1270" s="319">
        <f t="shared" si="930"/>
        <v>506778.25000000012</v>
      </c>
      <c r="R1270" s="317"/>
      <c r="U1270" s="320"/>
    </row>
    <row r="1271" spans="1:21" s="344" customFormat="1" outlineLevel="2">
      <c r="A1271" s="345"/>
      <c r="B1271" s="345"/>
      <c r="C1271" s="667">
        <v>2211102</v>
      </c>
      <c r="D1271" s="668" t="s">
        <v>53</v>
      </c>
      <c r="E1271" s="673">
        <v>133526</v>
      </c>
      <c r="F1271" s="669"/>
      <c r="G1271" s="669"/>
      <c r="H1271" s="669"/>
      <c r="I1271" s="324">
        <f t="shared" si="906"/>
        <v>133526</v>
      </c>
      <c r="J1271" s="669"/>
      <c r="K1271" s="669"/>
      <c r="L1271" s="317">
        <f t="shared" si="901"/>
        <v>133526</v>
      </c>
      <c r="M1271" s="317"/>
      <c r="N1271" s="372">
        <f t="shared" si="904"/>
        <v>0</v>
      </c>
      <c r="O1271" s="319">
        <f>L1271*1.1</f>
        <v>146878.6</v>
      </c>
      <c r="P1271" s="319">
        <f t="shared" si="930"/>
        <v>161566.46000000002</v>
      </c>
      <c r="R1271" s="317"/>
      <c r="U1271" s="320"/>
    </row>
    <row r="1272" spans="1:21" s="344" customFormat="1" outlineLevel="2">
      <c r="A1272" s="345"/>
      <c r="B1272" s="345"/>
      <c r="C1272" s="667">
        <v>2211103</v>
      </c>
      <c r="D1272" s="668" t="s">
        <v>54</v>
      </c>
      <c r="E1272" s="673">
        <v>129128</v>
      </c>
      <c r="F1272" s="669"/>
      <c r="G1272" s="669"/>
      <c r="H1272" s="669"/>
      <c r="I1272" s="324">
        <f t="shared" si="906"/>
        <v>129128</v>
      </c>
      <c r="J1272" s="669"/>
      <c r="K1272" s="669"/>
      <c r="L1272" s="317">
        <f t="shared" si="901"/>
        <v>129128</v>
      </c>
      <c r="M1272" s="317"/>
      <c r="N1272" s="372">
        <f t="shared" si="904"/>
        <v>0</v>
      </c>
      <c r="O1272" s="319">
        <f>L1272*1.1</f>
        <v>142040.80000000002</v>
      </c>
      <c r="P1272" s="319">
        <f t="shared" si="930"/>
        <v>156244.88000000003</v>
      </c>
      <c r="R1272" s="317"/>
      <c r="U1272" s="320"/>
    </row>
    <row r="1273" spans="1:21" s="344" customFormat="1" outlineLevel="2">
      <c r="A1273" s="345"/>
      <c r="B1273" s="345"/>
      <c r="C1273" s="340">
        <v>2211200</v>
      </c>
      <c r="D1273" s="338" t="s">
        <v>55</v>
      </c>
      <c r="E1273" s="622">
        <f>E1274</f>
        <v>7873569</v>
      </c>
      <c r="F1273" s="622">
        <f t="shared" ref="F1273:K1273" si="935">F1274</f>
        <v>0</v>
      </c>
      <c r="G1273" s="622">
        <f t="shared" si="935"/>
        <v>0</v>
      </c>
      <c r="H1273" s="622">
        <f t="shared" si="935"/>
        <v>0</v>
      </c>
      <c r="I1273" s="622">
        <f t="shared" si="935"/>
        <v>7873569</v>
      </c>
      <c r="J1273" s="622">
        <f t="shared" si="935"/>
        <v>0</v>
      </c>
      <c r="K1273" s="622">
        <f t="shared" si="935"/>
        <v>-437213</v>
      </c>
      <c r="L1273" s="317">
        <f t="shared" si="901"/>
        <v>7436356</v>
      </c>
      <c r="M1273" s="317"/>
      <c r="N1273" s="372">
        <f t="shared" si="904"/>
        <v>437213</v>
      </c>
      <c r="O1273" s="622">
        <f t="shared" ref="O1273:P1273" si="936">O1274</f>
        <v>8179991.6000000006</v>
      </c>
      <c r="P1273" s="622">
        <f t="shared" si="936"/>
        <v>8997990.7600000016</v>
      </c>
      <c r="R1273" s="317"/>
      <c r="U1273" s="320"/>
    </row>
    <row r="1274" spans="1:21" s="344" customFormat="1" outlineLevel="2">
      <c r="A1274" s="345"/>
      <c r="B1274" s="345"/>
      <c r="C1274" s="667">
        <v>2211201</v>
      </c>
      <c r="D1274" s="668" t="s">
        <v>56</v>
      </c>
      <c r="E1274" s="673">
        <f>2873569+5000000</f>
        <v>7873569</v>
      </c>
      <c r="F1274" s="669"/>
      <c r="G1274" s="669"/>
      <c r="H1274" s="669"/>
      <c r="I1274" s="324">
        <f t="shared" si="906"/>
        <v>7873569</v>
      </c>
      <c r="J1274" s="669"/>
      <c r="K1274" s="669">
        <v>-437213</v>
      </c>
      <c r="L1274" s="317">
        <f t="shared" si="901"/>
        <v>7436356</v>
      </c>
      <c r="M1274" s="317"/>
      <c r="N1274" s="372">
        <f t="shared" si="904"/>
        <v>437213</v>
      </c>
      <c r="O1274" s="319">
        <f>L1274*1.1</f>
        <v>8179991.6000000006</v>
      </c>
      <c r="P1274" s="319">
        <f t="shared" si="930"/>
        <v>8997990.7600000016</v>
      </c>
      <c r="R1274" s="317"/>
      <c r="U1274" s="320"/>
    </row>
    <row r="1275" spans="1:21" s="344" customFormat="1" outlineLevel="2">
      <c r="A1275" s="345"/>
      <c r="B1275" s="345"/>
      <c r="C1275" s="340">
        <v>2220100</v>
      </c>
      <c r="D1275" s="338" t="s">
        <v>200</v>
      </c>
      <c r="E1275" s="622">
        <f>E1276</f>
        <v>294576</v>
      </c>
      <c r="F1275" s="622">
        <f t="shared" ref="F1275:K1275" si="937">F1276</f>
        <v>0</v>
      </c>
      <c r="G1275" s="622">
        <f t="shared" si="937"/>
        <v>0</v>
      </c>
      <c r="H1275" s="622">
        <f t="shared" si="937"/>
        <v>0</v>
      </c>
      <c r="I1275" s="622">
        <f t="shared" si="937"/>
        <v>294576</v>
      </c>
      <c r="J1275" s="622">
        <f t="shared" si="937"/>
        <v>0</v>
      </c>
      <c r="K1275" s="622">
        <f t="shared" si="937"/>
        <v>-294576</v>
      </c>
      <c r="L1275" s="317">
        <f t="shared" si="901"/>
        <v>0</v>
      </c>
      <c r="M1275" s="317"/>
      <c r="N1275" s="372">
        <f t="shared" si="904"/>
        <v>294576</v>
      </c>
      <c r="O1275" s="622">
        <f t="shared" ref="O1275:P1275" si="938">O1276</f>
        <v>0</v>
      </c>
      <c r="P1275" s="622">
        <f t="shared" si="938"/>
        <v>0</v>
      </c>
      <c r="R1275" s="317"/>
      <c r="U1275" s="320"/>
    </row>
    <row r="1276" spans="1:21" s="344" customFormat="1" outlineLevel="2">
      <c r="A1276" s="345"/>
      <c r="B1276" s="345"/>
      <c r="C1276" s="667">
        <v>2220101</v>
      </c>
      <c r="D1276" s="668" t="s">
        <v>200</v>
      </c>
      <c r="E1276" s="673">
        <v>294576</v>
      </c>
      <c r="F1276" s="669"/>
      <c r="G1276" s="669"/>
      <c r="H1276" s="669"/>
      <c r="I1276" s="324">
        <f t="shared" si="906"/>
        <v>294576</v>
      </c>
      <c r="J1276" s="669"/>
      <c r="K1276" s="669">
        <v>-294576</v>
      </c>
      <c r="L1276" s="317">
        <f t="shared" si="901"/>
        <v>0</v>
      </c>
      <c r="M1276" s="317"/>
      <c r="N1276" s="372">
        <f t="shared" si="904"/>
        <v>294576</v>
      </c>
      <c r="O1276" s="319">
        <f>L1276*1.1</f>
        <v>0</v>
      </c>
      <c r="P1276" s="319">
        <f t="shared" si="930"/>
        <v>0</v>
      </c>
      <c r="R1276" s="317"/>
      <c r="U1276" s="320"/>
    </row>
    <row r="1277" spans="1:21" s="344" customFormat="1" outlineLevel="2">
      <c r="A1277" s="345"/>
      <c r="B1277" s="345"/>
      <c r="C1277" s="340">
        <v>3110200</v>
      </c>
      <c r="D1277" s="449" t="s">
        <v>282</v>
      </c>
      <c r="E1277" s="622">
        <f>E1278</f>
        <v>225000</v>
      </c>
      <c r="F1277" s="622">
        <f t="shared" ref="F1277:I1277" si="939">F1278</f>
        <v>0</v>
      </c>
      <c r="G1277" s="622">
        <f t="shared" si="939"/>
        <v>0</v>
      </c>
      <c r="H1277" s="622">
        <f t="shared" si="939"/>
        <v>0</v>
      </c>
      <c r="I1277" s="622">
        <f t="shared" si="939"/>
        <v>225000</v>
      </c>
      <c r="J1277" s="622">
        <f t="shared" ref="J1277" si="940">J1278</f>
        <v>0</v>
      </c>
      <c r="K1277" s="622">
        <f t="shared" ref="K1277" si="941">K1278</f>
        <v>-225000</v>
      </c>
      <c r="L1277" s="317">
        <f t="shared" si="901"/>
        <v>0</v>
      </c>
      <c r="M1277" s="317"/>
      <c r="N1277" s="372">
        <f t="shared" si="904"/>
        <v>225000</v>
      </c>
      <c r="O1277" s="622">
        <f t="shared" ref="O1277" si="942">O1278</f>
        <v>0</v>
      </c>
      <c r="P1277" s="622">
        <f t="shared" ref="P1277" si="943">P1278</f>
        <v>0</v>
      </c>
      <c r="R1277" s="317"/>
      <c r="U1277" s="320"/>
    </row>
    <row r="1278" spans="1:21" s="344" customFormat="1" outlineLevel="2">
      <c r="A1278" s="345"/>
      <c r="B1278" s="345"/>
      <c r="C1278" s="667">
        <v>3110201</v>
      </c>
      <c r="D1278" s="668" t="s">
        <v>252</v>
      </c>
      <c r="E1278" s="673">
        <v>225000</v>
      </c>
      <c r="F1278" s="669"/>
      <c r="G1278" s="669"/>
      <c r="H1278" s="669"/>
      <c r="I1278" s="324">
        <f t="shared" si="906"/>
        <v>225000</v>
      </c>
      <c r="J1278" s="669"/>
      <c r="K1278" s="669">
        <v>-225000</v>
      </c>
      <c r="L1278" s="317">
        <f t="shared" si="901"/>
        <v>0</v>
      </c>
      <c r="M1278" s="317"/>
      <c r="N1278" s="372">
        <f t="shared" si="904"/>
        <v>225000</v>
      </c>
      <c r="O1278" s="319">
        <f>L1278*1.1</f>
        <v>0</v>
      </c>
      <c r="P1278" s="319">
        <f t="shared" si="930"/>
        <v>0</v>
      </c>
      <c r="R1278" s="317"/>
      <c r="U1278" s="320"/>
    </row>
    <row r="1279" spans="1:21" s="325" customFormat="1" outlineLevel="2">
      <c r="A1279" s="326"/>
      <c r="B1279" s="326"/>
      <c r="C1279" s="340">
        <v>3110700</v>
      </c>
      <c r="D1279" s="338" t="s">
        <v>65</v>
      </c>
      <c r="E1279" s="622">
        <f>E1280</f>
        <v>5500000</v>
      </c>
      <c r="F1279" s="622">
        <f t="shared" ref="F1279:P1279" si="944">F1280</f>
        <v>0</v>
      </c>
      <c r="G1279" s="622">
        <f t="shared" si="944"/>
        <v>8500000</v>
      </c>
      <c r="H1279" s="622">
        <f t="shared" si="944"/>
        <v>-14000000</v>
      </c>
      <c r="I1279" s="622">
        <f t="shared" si="944"/>
        <v>0</v>
      </c>
      <c r="J1279" s="622">
        <f t="shared" si="944"/>
        <v>0</v>
      </c>
      <c r="K1279" s="622">
        <f t="shared" si="944"/>
        <v>0</v>
      </c>
      <c r="L1279" s="317">
        <f t="shared" si="901"/>
        <v>0</v>
      </c>
      <c r="M1279" s="317"/>
      <c r="N1279" s="372">
        <f t="shared" si="904"/>
        <v>0</v>
      </c>
      <c r="O1279" s="622">
        <f t="shared" si="944"/>
        <v>0</v>
      </c>
      <c r="P1279" s="622">
        <f t="shared" si="944"/>
        <v>0</v>
      </c>
      <c r="R1279" s="317"/>
      <c r="U1279" s="320"/>
    </row>
    <row r="1280" spans="1:21" s="344" customFormat="1" outlineLevel="2">
      <c r="A1280" s="345"/>
      <c r="B1280" s="345"/>
      <c r="C1280" s="332">
        <v>3110701</v>
      </c>
      <c r="D1280" s="330" t="s">
        <v>1773</v>
      </c>
      <c r="E1280" s="422">
        <v>5500000</v>
      </c>
      <c r="F1280" s="389"/>
      <c r="G1280" s="389">
        <v>8500000</v>
      </c>
      <c r="H1280" s="389">
        <v>-14000000</v>
      </c>
      <c r="I1280" s="324">
        <f t="shared" si="906"/>
        <v>0</v>
      </c>
      <c r="J1280" s="389"/>
      <c r="K1280" s="389"/>
      <c r="L1280" s="317">
        <f t="shared" si="901"/>
        <v>0</v>
      </c>
      <c r="M1280" s="317"/>
      <c r="N1280" s="372">
        <f t="shared" si="904"/>
        <v>0</v>
      </c>
      <c r="O1280" s="319">
        <f>L1280*1.1</f>
        <v>0</v>
      </c>
      <c r="P1280" s="319">
        <f t="shared" si="930"/>
        <v>0</v>
      </c>
      <c r="R1280" s="317"/>
      <c r="U1280" s="320"/>
    </row>
    <row r="1281" spans="1:21" s="344" customFormat="1" outlineLevel="2">
      <c r="A1281" s="345"/>
      <c r="B1281" s="345"/>
      <c r="C1281" s="340">
        <v>3111000</v>
      </c>
      <c r="D1281" s="338" t="s">
        <v>69</v>
      </c>
      <c r="E1281" s="622">
        <f>E1282</f>
        <v>374632</v>
      </c>
      <c r="F1281" s="622">
        <f t="shared" ref="F1281:K1281" si="945">F1282</f>
        <v>0</v>
      </c>
      <c r="G1281" s="622">
        <f t="shared" si="945"/>
        <v>0</v>
      </c>
      <c r="H1281" s="622">
        <f t="shared" si="945"/>
        <v>0</v>
      </c>
      <c r="I1281" s="622">
        <f t="shared" si="945"/>
        <v>374632</v>
      </c>
      <c r="J1281" s="622">
        <f t="shared" si="945"/>
        <v>0</v>
      </c>
      <c r="K1281" s="622">
        <f t="shared" si="945"/>
        <v>0</v>
      </c>
      <c r="L1281" s="317">
        <f t="shared" si="901"/>
        <v>374632</v>
      </c>
      <c r="M1281" s="317"/>
      <c r="N1281" s="372">
        <f t="shared" si="904"/>
        <v>0</v>
      </c>
      <c r="O1281" s="622">
        <f t="shared" ref="O1281:P1281" si="946">O1282</f>
        <v>412095.2</v>
      </c>
      <c r="P1281" s="622">
        <f t="shared" si="946"/>
        <v>453304.72000000003</v>
      </c>
      <c r="R1281" s="317"/>
      <c r="U1281" s="320"/>
    </row>
    <row r="1282" spans="1:21" s="344" customFormat="1" outlineLevel="2">
      <c r="A1282" s="345"/>
      <c r="B1282" s="345"/>
      <c r="C1282" s="667">
        <v>3111002</v>
      </c>
      <c r="D1282" s="668" t="s">
        <v>71</v>
      </c>
      <c r="E1282" s="673">
        <f>874632-500000</f>
        <v>374632</v>
      </c>
      <c r="F1282" s="669"/>
      <c r="G1282" s="669"/>
      <c r="H1282" s="669"/>
      <c r="I1282" s="324">
        <f t="shared" si="906"/>
        <v>374632</v>
      </c>
      <c r="J1282" s="669"/>
      <c r="K1282" s="669"/>
      <c r="L1282" s="317">
        <f t="shared" si="901"/>
        <v>374632</v>
      </c>
      <c r="M1282" s="317"/>
      <c r="N1282" s="372">
        <f t="shared" si="904"/>
        <v>0</v>
      </c>
      <c r="O1282" s="319">
        <f>L1282*1.1</f>
        <v>412095.2</v>
      </c>
      <c r="P1282" s="319">
        <f t="shared" si="930"/>
        <v>453304.72000000003</v>
      </c>
      <c r="R1282" s="317"/>
      <c r="U1282" s="320"/>
    </row>
    <row r="1283" spans="1:21" s="344" customFormat="1" outlineLevel="1">
      <c r="A1283" s="345"/>
      <c r="B1283" s="345"/>
      <c r="C1283" s="314"/>
      <c r="D1283" s="447" t="s">
        <v>278</v>
      </c>
      <c r="E1283" s="619">
        <f>SUM(E1281,E1277,E1275,E1273,E1269,E1267,E1261,E1257,E1254,E1251,E1279)</f>
        <v>19099365.850000001</v>
      </c>
      <c r="F1283" s="619">
        <f t="shared" ref="F1283:K1283" si="947">SUM(F1281,F1277,F1275,F1273,F1269,F1267,F1261,F1257,F1254,F1251,F1279)</f>
        <v>0</v>
      </c>
      <c r="G1283" s="619">
        <f t="shared" si="947"/>
        <v>8500000</v>
      </c>
      <c r="H1283" s="619">
        <f t="shared" si="947"/>
        <v>-14000000</v>
      </c>
      <c r="I1283" s="619">
        <f t="shared" si="947"/>
        <v>13599365.85</v>
      </c>
      <c r="J1283" s="619">
        <f t="shared" si="947"/>
        <v>0</v>
      </c>
      <c r="K1283" s="619">
        <f t="shared" si="947"/>
        <v>3175526</v>
      </c>
      <c r="L1283" s="317">
        <f t="shared" si="901"/>
        <v>16774891.85</v>
      </c>
      <c r="M1283" s="317"/>
      <c r="N1283" s="372">
        <f t="shared" si="904"/>
        <v>-3175526</v>
      </c>
      <c r="O1283" s="619">
        <f t="shared" ref="O1283:P1283" si="948">SUM(O1281,O1277,O1275,O1273,O1269,O1267,O1261,O1257,O1254,O1251,O1279)</f>
        <v>18452381.035</v>
      </c>
      <c r="P1283" s="619">
        <f t="shared" si="948"/>
        <v>20297619.138500001</v>
      </c>
      <c r="R1283" s="317"/>
      <c r="U1283" s="320"/>
    </row>
    <row r="1284" spans="1:21" s="344" customFormat="1" outlineLevel="1">
      <c r="A1284" s="345"/>
      <c r="B1284" s="345"/>
      <c r="C1284" s="340"/>
      <c r="D1284" s="338"/>
      <c r="E1284" s="622"/>
      <c r="F1284" s="397"/>
      <c r="G1284" s="397"/>
      <c r="H1284" s="397"/>
      <c r="I1284" s="324">
        <f t="shared" si="906"/>
        <v>0</v>
      </c>
      <c r="J1284" s="397"/>
      <c r="K1284" s="397"/>
      <c r="L1284" s="317">
        <f t="shared" ref="L1284:L1347" si="949">I1284+J1284+K1284</f>
        <v>0</v>
      </c>
      <c r="M1284" s="317"/>
      <c r="N1284" s="372">
        <f t="shared" si="904"/>
        <v>0</v>
      </c>
      <c r="O1284" s="319">
        <f>L1284*1.1</f>
        <v>0</v>
      </c>
      <c r="P1284" s="319">
        <f t="shared" ref="P1284:P1302" si="950">O1284*1.1</f>
        <v>0</v>
      </c>
      <c r="R1284" s="317"/>
      <c r="U1284" s="320"/>
    </row>
    <row r="1285" spans="1:21" s="344" customFormat="1" outlineLevel="1">
      <c r="A1285" s="345"/>
      <c r="B1285" s="345"/>
      <c r="C1285" s="314" t="s">
        <v>283</v>
      </c>
      <c r="D1285" s="447"/>
      <c r="E1285" s="619"/>
      <c r="F1285" s="438"/>
      <c r="G1285" s="438"/>
      <c r="H1285" s="438"/>
      <c r="I1285" s="324">
        <f t="shared" si="906"/>
        <v>0</v>
      </c>
      <c r="J1285" s="438"/>
      <c r="K1285" s="438"/>
      <c r="L1285" s="317">
        <f t="shared" si="949"/>
        <v>0</v>
      </c>
      <c r="M1285" s="317"/>
      <c r="N1285" s="372">
        <f t="shared" si="904"/>
        <v>0</v>
      </c>
      <c r="O1285" s="319">
        <f>L1285*1.1</f>
        <v>0</v>
      </c>
      <c r="P1285" s="319">
        <f t="shared" si="950"/>
        <v>0</v>
      </c>
      <c r="R1285" s="317"/>
      <c r="U1285" s="320"/>
    </row>
    <row r="1286" spans="1:21" s="344" customFormat="1" outlineLevel="1">
      <c r="A1286" s="345"/>
      <c r="B1286" s="345"/>
      <c r="C1286" s="314" t="s">
        <v>284</v>
      </c>
      <c r="D1286" s="447"/>
      <c r="E1286" s="662"/>
      <c r="F1286" s="438"/>
      <c r="G1286" s="438"/>
      <c r="H1286" s="438"/>
      <c r="I1286" s="324">
        <f t="shared" si="906"/>
        <v>0</v>
      </c>
      <c r="J1286" s="438"/>
      <c r="K1286" s="438"/>
      <c r="L1286" s="317">
        <f t="shared" si="949"/>
        <v>0</v>
      </c>
      <c r="M1286" s="317"/>
      <c r="N1286" s="372">
        <f t="shared" si="904"/>
        <v>0</v>
      </c>
      <c r="O1286" s="319">
        <f>L1286*1.1</f>
        <v>0</v>
      </c>
      <c r="P1286" s="319">
        <f t="shared" si="950"/>
        <v>0</v>
      </c>
      <c r="R1286" s="317"/>
      <c r="U1286" s="320"/>
    </row>
    <row r="1287" spans="1:21" s="344" customFormat="1" outlineLevel="3">
      <c r="A1287" s="345"/>
      <c r="B1287" s="345"/>
      <c r="C1287" s="340">
        <v>2210100</v>
      </c>
      <c r="D1287" s="338" t="s">
        <v>285</v>
      </c>
      <c r="E1287" s="622">
        <f>E1288+E1289</f>
        <v>64200</v>
      </c>
      <c r="F1287" s="622">
        <f t="shared" ref="F1287:K1287" si="951">F1288+F1289</f>
        <v>0</v>
      </c>
      <c r="G1287" s="622">
        <f t="shared" si="951"/>
        <v>0</v>
      </c>
      <c r="H1287" s="622">
        <f t="shared" si="951"/>
        <v>0</v>
      </c>
      <c r="I1287" s="622">
        <f t="shared" si="951"/>
        <v>64200</v>
      </c>
      <c r="J1287" s="622">
        <f t="shared" si="951"/>
        <v>0</v>
      </c>
      <c r="K1287" s="622">
        <f t="shared" si="951"/>
        <v>0</v>
      </c>
      <c r="L1287" s="317">
        <f t="shared" si="949"/>
        <v>64200</v>
      </c>
      <c r="M1287" s="317"/>
      <c r="N1287" s="372">
        <f t="shared" si="904"/>
        <v>0</v>
      </c>
      <c r="O1287" s="622">
        <f t="shared" ref="O1287:P1287" si="952">O1288+O1289</f>
        <v>70620</v>
      </c>
      <c r="P1287" s="622">
        <f t="shared" si="952"/>
        <v>77682.000000000015</v>
      </c>
      <c r="R1287" s="317"/>
      <c r="U1287" s="320"/>
    </row>
    <row r="1288" spans="1:21" s="344" customFormat="1" outlineLevel="3">
      <c r="A1288" s="345"/>
      <c r="B1288" s="345"/>
      <c r="C1288" s="667">
        <v>2210101</v>
      </c>
      <c r="D1288" s="668" t="s">
        <v>17</v>
      </c>
      <c r="E1288" s="673">
        <v>38520</v>
      </c>
      <c r="F1288" s="669"/>
      <c r="G1288" s="669"/>
      <c r="H1288" s="669"/>
      <c r="I1288" s="324">
        <f t="shared" si="906"/>
        <v>38520</v>
      </c>
      <c r="J1288" s="669"/>
      <c r="K1288" s="669"/>
      <c r="L1288" s="317">
        <f t="shared" si="949"/>
        <v>38520</v>
      </c>
      <c r="M1288" s="317"/>
      <c r="N1288" s="372">
        <f t="shared" ref="N1288:N1351" si="953">M1288-K1288</f>
        <v>0</v>
      </c>
      <c r="O1288" s="319">
        <f>L1288*1.1</f>
        <v>42372</v>
      </c>
      <c r="P1288" s="319">
        <f t="shared" si="950"/>
        <v>46609.200000000004</v>
      </c>
      <c r="R1288" s="317"/>
      <c r="U1288" s="320"/>
    </row>
    <row r="1289" spans="1:21" s="344" customFormat="1" outlineLevel="3">
      <c r="A1289" s="345"/>
      <c r="B1289" s="345"/>
      <c r="C1289" s="667">
        <v>2210102</v>
      </c>
      <c r="D1289" s="668" t="s">
        <v>18</v>
      </c>
      <c r="E1289" s="673">
        <v>25680</v>
      </c>
      <c r="F1289" s="669"/>
      <c r="G1289" s="669"/>
      <c r="H1289" s="669"/>
      <c r="I1289" s="324">
        <f t="shared" ref="I1289:I1351" si="954">E1289+F1289+G1289+H1289</f>
        <v>25680</v>
      </c>
      <c r="J1289" s="669"/>
      <c r="K1289" s="669"/>
      <c r="L1289" s="317">
        <f t="shared" si="949"/>
        <v>25680</v>
      </c>
      <c r="M1289" s="317"/>
      <c r="N1289" s="372">
        <f t="shared" si="953"/>
        <v>0</v>
      </c>
      <c r="O1289" s="319">
        <f>L1289*1.1</f>
        <v>28248.000000000004</v>
      </c>
      <c r="P1289" s="319">
        <f t="shared" si="950"/>
        <v>31072.800000000007</v>
      </c>
      <c r="R1289" s="317"/>
      <c r="U1289" s="320"/>
    </row>
    <row r="1290" spans="1:21" s="344" customFormat="1" outlineLevel="3">
      <c r="A1290" s="345"/>
      <c r="B1290" s="345"/>
      <c r="C1290" s="340">
        <v>2210200</v>
      </c>
      <c r="D1290" s="338" t="s">
        <v>286</v>
      </c>
      <c r="E1290" s="622">
        <f>E1291+E1292</f>
        <v>150000</v>
      </c>
      <c r="F1290" s="622">
        <f t="shared" ref="F1290:K1290" si="955">F1291+F1292</f>
        <v>0</v>
      </c>
      <c r="G1290" s="622">
        <f t="shared" si="955"/>
        <v>0</v>
      </c>
      <c r="H1290" s="622">
        <f t="shared" si="955"/>
        <v>0</v>
      </c>
      <c r="I1290" s="622">
        <f t="shared" si="955"/>
        <v>150000</v>
      </c>
      <c r="J1290" s="622">
        <f t="shared" si="955"/>
        <v>0</v>
      </c>
      <c r="K1290" s="622">
        <f t="shared" si="955"/>
        <v>0</v>
      </c>
      <c r="L1290" s="317">
        <f t="shared" si="949"/>
        <v>150000</v>
      </c>
      <c r="M1290" s="317"/>
      <c r="N1290" s="372">
        <f t="shared" si="953"/>
        <v>0</v>
      </c>
      <c r="O1290" s="622">
        <f t="shared" ref="O1290:P1290" si="956">O1291+O1292</f>
        <v>165000</v>
      </c>
      <c r="P1290" s="622">
        <f t="shared" si="956"/>
        <v>181500.00000000003</v>
      </c>
      <c r="R1290" s="317"/>
      <c r="U1290" s="320"/>
    </row>
    <row r="1291" spans="1:21" s="344" customFormat="1" outlineLevel="3">
      <c r="A1291" s="345"/>
      <c r="B1291" s="345"/>
      <c r="C1291" s="667">
        <v>2210201</v>
      </c>
      <c r="D1291" s="668" t="s">
        <v>21</v>
      </c>
      <c r="E1291" s="673">
        <v>85000</v>
      </c>
      <c r="F1291" s="669"/>
      <c r="G1291" s="669"/>
      <c r="H1291" s="669"/>
      <c r="I1291" s="324">
        <f t="shared" si="954"/>
        <v>85000</v>
      </c>
      <c r="J1291" s="669"/>
      <c r="K1291" s="669"/>
      <c r="L1291" s="317">
        <f t="shared" si="949"/>
        <v>85000</v>
      </c>
      <c r="M1291" s="317"/>
      <c r="N1291" s="372">
        <f t="shared" si="953"/>
        <v>0</v>
      </c>
      <c r="O1291" s="319">
        <f>L1291*1.1</f>
        <v>93500.000000000015</v>
      </c>
      <c r="P1291" s="319">
        <f t="shared" si="950"/>
        <v>102850.00000000003</v>
      </c>
      <c r="R1291" s="317"/>
      <c r="U1291" s="320"/>
    </row>
    <row r="1292" spans="1:21" s="344" customFormat="1" outlineLevel="3">
      <c r="A1292" s="345"/>
      <c r="B1292" s="345"/>
      <c r="C1292" s="667">
        <v>2210202</v>
      </c>
      <c r="D1292" s="668" t="s">
        <v>22</v>
      </c>
      <c r="E1292" s="673">
        <v>65000</v>
      </c>
      <c r="F1292" s="669"/>
      <c r="G1292" s="669"/>
      <c r="H1292" s="669"/>
      <c r="I1292" s="324">
        <f t="shared" si="954"/>
        <v>65000</v>
      </c>
      <c r="J1292" s="669"/>
      <c r="K1292" s="669"/>
      <c r="L1292" s="317">
        <f t="shared" si="949"/>
        <v>65000</v>
      </c>
      <c r="M1292" s="317"/>
      <c r="N1292" s="372">
        <f t="shared" si="953"/>
        <v>0</v>
      </c>
      <c r="O1292" s="319">
        <f>L1292*1.1</f>
        <v>71500</v>
      </c>
      <c r="P1292" s="319">
        <f t="shared" si="950"/>
        <v>78650</v>
      </c>
      <c r="R1292" s="317"/>
      <c r="U1292" s="320"/>
    </row>
    <row r="1293" spans="1:21" s="344" customFormat="1" outlineLevel="3">
      <c r="A1293" s="345"/>
      <c r="B1293" s="345"/>
      <c r="C1293" s="340">
        <v>2210300</v>
      </c>
      <c r="D1293" s="338" t="s">
        <v>267</v>
      </c>
      <c r="E1293" s="622">
        <f>E1294+E1295+E1296</f>
        <v>1373526</v>
      </c>
      <c r="F1293" s="622">
        <f t="shared" ref="F1293:K1293" si="957">F1294+F1295+F1296</f>
        <v>0</v>
      </c>
      <c r="G1293" s="622">
        <f t="shared" si="957"/>
        <v>0</v>
      </c>
      <c r="H1293" s="622">
        <f t="shared" si="957"/>
        <v>0</v>
      </c>
      <c r="I1293" s="622">
        <f t="shared" si="957"/>
        <v>1373526</v>
      </c>
      <c r="J1293" s="622">
        <f t="shared" si="957"/>
        <v>0</v>
      </c>
      <c r="K1293" s="622">
        <f t="shared" si="957"/>
        <v>0</v>
      </c>
      <c r="L1293" s="317">
        <f t="shared" si="949"/>
        <v>1373526</v>
      </c>
      <c r="M1293" s="317"/>
      <c r="N1293" s="372">
        <f t="shared" si="953"/>
        <v>0</v>
      </c>
      <c r="O1293" s="622">
        <f t="shared" ref="O1293:P1293" si="958">O1294+O1295+O1296</f>
        <v>1510878.6</v>
      </c>
      <c r="P1293" s="622">
        <f t="shared" si="958"/>
        <v>1661966.4600000004</v>
      </c>
      <c r="R1293" s="317"/>
      <c r="U1293" s="320"/>
    </row>
    <row r="1294" spans="1:21" s="344" customFormat="1" outlineLevel="3">
      <c r="A1294" s="345"/>
      <c r="B1294" s="345"/>
      <c r="C1294" s="667">
        <v>2210301</v>
      </c>
      <c r="D1294" s="668" t="s">
        <v>25</v>
      </c>
      <c r="E1294" s="673">
        <f>963828-400000</f>
        <v>563828</v>
      </c>
      <c r="F1294" s="669"/>
      <c r="G1294" s="669"/>
      <c r="H1294" s="669"/>
      <c r="I1294" s="324">
        <f t="shared" si="954"/>
        <v>563828</v>
      </c>
      <c r="J1294" s="669"/>
      <c r="K1294" s="669"/>
      <c r="L1294" s="317">
        <f t="shared" si="949"/>
        <v>563828</v>
      </c>
      <c r="M1294" s="317"/>
      <c r="N1294" s="372">
        <f t="shared" si="953"/>
        <v>0</v>
      </c>
      <c r="O1294" s="319">
        <f>L1294*1.1</f>
        <v>620210.80000000005</v>
      </c>
      <c r="P1294" s="319">
        <f t="shared" si="950"/>
        <v>682231.88000000012</v>
      </c>
      <c r="R1294" s="317"/>
      <c r="U1294" s="320"/>
    </row>
    <row r="1295" spans="1:21" s="344" customFormat="1" outlineLevel="3">
      <c r="A1295" s="345"/>
      <c r="B1295" s="345"/>
      <c r="C1295" s="667">
        <v>2210302</v>
      </c>
      <c r="D1295" s="668" t="s">
        <v>269</v>
      </c>
      <c r="E1295" s="673">
        <v>306440</v>
      </c>
      <c r="F1295" s="669"/>
      <c r="G1295" s="669"/>
      <c r="H1295" s="669"/>
      <c r="I1295" s="324">
        <f t="shared" si="954"/>
        <v>306440</v>
      </c>
      <c r="J1295" s="669"/>
      <c r="K1295" s="669"/>
      <c r="L1295" s="317">
        <f t="shared" si="949"/>
        <v>306440</v>
      </c>
      <c r="M1295" s="317"/>
      <c r="N1295" s="372">
        <f t="shared" si="953"/>
        <v>0</v>
      </c>
      <c r="O1295" s="319">
        <f>L1295*1.1</f>
        <v>337084</v>
      </c>
      <c r="P1295" s="319">
        <f t="shared" si="950"/>
        <v>370792.4</v>
      </c>
      <c r="R1295" s="317"/>
      <c r="U1295" s="320"/>
    </row>
    <row r="1296" spans="1:21" s="344" customFormat="1" outlineLevel="3">
      <c r="A1296" s="345"/>
      <c r="B1296" s="345"/>
      <c r="C1296" s="667">
        <v>2210303</v>
      </c>
      <c r="D1296" s="668" t="s">
        <v>27</v>
      </c>
      <c r="E1296" s="673">
        <v>503258</v>
      </c>
      <c r="F1296" s="669"/>
      <c r="G1296" s="669"/>
      <c r="H1296" s="669"/>
      <c r="I1296" s="324">
        <f t="shared" si="954"/>
        <v>503258</v>
      </c>
      <c r="J1296" s="669"/>
      <c r="K1296" s="669"/>
      <c r="L1296" s="317">
        <f t="shared" si="949"/>
        <v>503258</v>
      </c>
      <c r="M1296" s="317"/>
      <c r="N1296" s="372">
        <f t="shared" si="953"/>
        <v>0</v>
      </c>
      <c r="O1296" s="319">
        <f>L1296*1.1</f>
        <v>553583.80000000005</v>
      </c>
      <c r="P1296" s="319">
        <f t="shared" si="950"/>
        <v>608942.18000000005</v>
      </c>
      <c r="R1296" s="317"/>
      <c r="U1296" s="320"/>
    </row>
    <row r="1297" spans="1:21" s="344" customFormat="1" outlineLevel="3">
      <c r="A1297" s="345"/>
      <c r="B1297" s="345"/>
      <c r="C1297" s="340">
        <v>2210500</v>
      </c>
      <c r="D1297" s="338" t="s">
        <v>31</v>
      </c>
      <c r="E1297" s="622">
        <f>E1298</f>
        <v>26269</v>
      </c>
      <c r="F1297" s="622">
        <f t="shared" ref="F1297:K1297" si="959">F1298</f>
        <v>0</v>
      </c>
      <c r="G1297" s="622">
        <f t="shared" si="959"/>
        <v>0</v>
      </c>
      <c r="H1297" s="622">
        <f t="shared" si="959"/>
        <v>0</v>
      </c>
      <c r="I1297" s="622">
        <f t="shared" si="959"/>
        <v>26269</v>
      </c>
      <c r="J1297" s="622">
        <f t="shared" si="959"/>
        <v>0</v>
      </c>
      <c r="K1297" s="622">
        <f t="shared" si="959"/>
        <v>0</v>
      </c>
      <c r="L1297" s="317">
        <f t="shared" si="949"/>
        <v>26269</v>
      </c>
      <c r="M1297" s="317"/>
      <c r="N1297" s="372">
        <f t="shared" si="953"/>
        <v>0</v>
      </c>
      <c r="O1297" s="622">
        <f t="shared" ref="O1297:P1297" si="960">O1298</f>
        <v>28895.9</v>
      </c>
      <c r="P1297" s="622">
        <f t="shared" si="960"/>
        <v>31785.490000000005</v>
      </c>
      <c r="R1297" s="317"/>
      <c r="U1297" s="320"/>
    </row>
    <row r="1298" spans="1:21" s="344" customFormat="1" outlineLevel="3">
      <c r="A1298" s="345"/>
      <c r="B1298" s="345"/>
      <c r="C1298" s="667">
        <v>2210502</v>
      </c>
      <c r="D1298" s="668" t="s">
        <v>105</v>
      </c>
      <c r="E1298" s="673">
        <v>26269</v>
      </c>
      <c r="F1298" s="669"/>
      <c r="G1298" s="669"/>
      <c r="H1298" s="669"/>
      <c r="I1298" s="324">
        <f t="shared" si="954"/>
        <v>26269</v>
      </c>
      <c r="J1298" s="669"/>
      <c r="K1298" s="669"/>
      <c r="L1298" s="317">
        <f t="shared" si="949"/>
        <v>26269</v>
      </c>
      <c r="M1298" s="317"/>
      <c r="N1298" s="372">
        <f t="shared" si="953"/>
        <v>0</v>
      </c>
      <c r="O1298" s="319">
        <f>L1298*1.1</f>
        <v>28895.9</v>
      </c>
      <c r="P1298" s="319">
        <f t="shared" si="950"/>
        <v>31785.490000000005</v>
      </c>
      <c r="R1298" s="317"/>
      <c r="U1298" s="320"/>
    </row>
    <row r="1299" spans="1:21" s="344" customFormat="1" outlineLevel="3">
      <c r="A1299" s="345"/>
      <c r="B1299" s="345"/>
      <c r="C1299" s="340">
        <v>2210700</v>
      </c>
      <c r="D1299" s="338" t="s">
        <v>271</v>
      </c>
      <c r="E1299" s="622">
        <f>E1300+E1301+E1302</f>
        <v>1222990.6499999999</v>
      </c>
      <c r="F1299" s="622">
        <f t="shared" ref="F1299:K1299" si="961">F1300+F1301+F1302</f>
        <v>0</v>
      </c>
      <c r="G1299" s="622">
        <f t="shared" si="961"/>
        <v>0</v>
      </c>
      <c r="H1299" s="622">
        <f t="shared" si="961"/>
        <v>0</v>
      </c>
      <c r="I1299" s="622">
        <f t="shared" si="961"/>
        <v>1222990.6499999999</v>
      </c>
      <c r="J1299" s="622">
        <f t="shared" si="961"/>
        <v>0</v>
      </c>
      <c r="K1299" s="622">
        <f t="shared" si="961"/>
        <v>-303500</v>
      </c>
      <c r="L1299" s="317">
        <f t="shared" si="949"/>
        <v>919490.64999999991</v>
      </c>
      <c r="M1299" s="317"/>
      <c r="N1299" s="372">
        <f t="shared" si="953"/>
        <v>303500</v>
      </c>
      <c r="O1299" s="622">
        <f t="shared" ref="O1299:P1299" si="962">O1300+O1301+O1302</f>
        <v>1011439.7150000001</v>
      </c>
      <c r="P1299" s="622">
        <f t="shared" si="962"/>
        <v>1112583.6865000003</v>
      </c>
      <c r="R1299" s="317"/>
      <c r="U1299" s="320"/>
    </row>
    <row r="1300" spans="1:21" s="344" customFormat="1" outlineLevel="3">
      <c r="A1300" s="345"/>
      <c r="B1300" s="345"/>
      <c r="C1300" s="667">
        <v>2210701</v>
      </c>
      <c r="D1300" s="668" t="s">
        <v>287</v>
      </c>
      <c r="E1300" s="673">
        <v>519490.65</v>
      </c>
      <c r="F1300" s="669"/>
      <c r="G1300" s="669"/>
      <c r="H1300" s="669"/>
      <c r="I1300" s="324">
        <f t="shared" si="954"/>
        <v>519490.65</v>
      </c>
      <c r="J1300" s="669"/>
      <c r="K1300" s="669"/>
      <c r="L1300" s="317">
        <f t="shared" si="949"/>
        <v>519490.65</v>
      </c>
      <c r="M1300" s="317"/>
      <c r="N1300" s="372">
        <f t="shared" si="953"/>
        <v>0</v>
      </c>
      <c r="O1300" s="319">
        <f>L1300*1.1</f>
        <v>571439.71500000008</v>
      </c>
      <c r="P1300" s="319">
        <f t="shared" si="950"/>
        <v>628583.68650000019</v>
      </c>
      <c r="R1300" s="317"/>
      <c r="U1300" s="320"/>
    </row>
    <row r="1301" spans="1:21" s="344" customFormat="1" outlineLevel="3">
      <c r="A1301" s="345"/>
      <c r="B1301" s="345"/>
      <c r="C1301" s="667">
        <v>2210704</v>
      </c>
      <c r="D1301" s="668" t="s">
        <v>38</v>
      </c>
      <c r="E1301" s="673">
        <v>303500</v>
      </c>
      <c r="F1301" s="669"/>
      <c r="G1301" s="669"/>
      <c r="H1301" s="669"/>
      <c r="I1301" s="324">
        <f t="shared" si="954"/>
        <v>303500</v>
      </c>
      <c r="J1301" s="669"/>
      <c r="K1301" s="669">
        <v>-303500</v>
      </c>
      <c r="L1301" s="317">
        <f t="shared" si="949"/>
        <v>0</v>
      </c>
      <c r="M1301" s="317"/>
      <c r="N1301" s="372">
        <f t="shared" si="953"/>
        <v>303500</v>
      </c>
      <c r="O1301" s="319">
        <f>L1301*1.1</f>
        <v>0</v>
      </c>
      <c r="P1301" s="319">
        <f t="shared" si="950"/>
        <v>0</v>
      </c>
      <c r="R1301" s="317"/>
      <c r="U1301" s="320"/>
    </row>
    <row r="1302" spans="1:21" s="344" customFormat="1" outlineLevel="3">
      <c r="A1302" s="345"/>
      <c r="B1302" s="345"/>
      <c r="C1302" s="667">
        <v>2210710</v>
      </c>
      <c r="D1302" s="668" t="s">
        <v>288</v>
      </c>
      <c r="E1302" s="673">
        <v>400000</v>
      </c>
      <c r="F1302" s="669"/>
      <c r="G1302" s="669"/>
      <c r="H1302" s="669"/>
      <c r="I1302" s="324">
        <f t="shared" si="954"/>
        <v>400000</v>
      </c>
      <c r="J1302" s="669"/>
      <c r="K1302" s="669"/>
      <c r="L1302" s="317">
        <f t="shared" si="949"/>
        <v>400000</v>
      </c>
      <c r="M1302" s="317"/>
      <c r="N1302" s="372">
        <f t="shared" si="953"/>
        <v>0</v>
      </c>
      <c r="O1302" s="319">
        <f>L1302*1.1</f>
        <v>440000.00000000006</v>
      </c>
      <c r="P1302" s="319">
        <f t="shared" si="950"/>
        <v>484000.00000000012</v>
      </c>
      <c r="R1302" s="317"/>
      <c r="U1302" s="320"/>
    </row>
    <row r="1303" spans="1:21" s="344" customFormat="1" outlineLevel="3">
      <c r="A1303" s="345"/>
      <c r="B1303" s="345"/>
      <c r="C1303" s="340">
        <v>2211100</v>
      </c>
      <c r="D1303" s="338" t="s">
        <v>51</v>
      </c>
      <c r="E1303" s="622">
        <f>E1304+E1305+E1306</f>
        <v>499800</v>
      </c>
      <c r="F1303" s="622">
        <f t="shared" ref="F1303:P1303" si="963">F1304+F1305+F1306</f>
        <v>0</v>
      </c>
      <c r="G1303" s="622">
        <f t="shared" si="963"/>
        <v>0</v>
      </c>
      <c r="H1303" s="622">
        <f t="shared" si="963"/>
        <v>0</v>
      </c>
      <c r="I1303" s="622">
        <f t="shared" si="963"/>
        <v>499800</v>
      </c>
      <c r="J1303" s="622">
        <f t="shared" si="963"/>
        <v>0</v>
      </c>
      <c r="K1303" s="622">
        <f t="shared" si="963"/>
        <v>0</v>
      </c>
      <c r="L1303" s="317">
        <f t="shared" si="949"/>
        <v>499800</v>
      </c>
      <c r="M1303" s="317"/>
      <c r="N1303" s="372">
        <f t="shared" si="953"/>
        <v>0</v>
      </c>
      <c r="O1303" s="622">
        <f t="shared" si="963"/>
        <v>549780</v>
      </c>
      <c r="P1303" s="622">
        <f t="shared" si="963"/>
        <v>604758.00000000012</v>
      </c>
      <c r="R1303" s="317"/>
      <c r="U1303" s="320"/>
    </row>
    <row r="1304" spans="1:21" s="344" customFormat="1" outlineLevel="3">
      <c r="A1304" s="345"/>
      <c r="B1304" s="345"/>
      <c r="C1304" s="667">
        <v>2211101</v>
      </c>
      <c r="D1304" s="668" t="s">
        <v>289</v>
      </c>
      <c r="E1304" s="673">
        <v>300000</v>
      </c>
      <c r="F1304" s="669"/>
      <c r="G1304" s="669"/>
      <c r="H1304" s="669"/>
      <c r="I1304" s="324">
        <f t="shared" si="954"/>
        <v>300000</v>
      </c>
      <c r="J1304" s="669"/>
      <c r="K1304" s="669"/>
      <c r="L1304" s="317">
        <f t="shared" si="949"/>
        <v>300000</v>
      </c>
      <c r="M1304" s="317"/>
      <c r="N1304" s="372">
        <f t="shared" si="953"/>
        <v>0</v>
      </c>
      <c r="O1304" s="319">
        <f>L1304*1.1</f>
        <v>330000</v>
      </c>
      <c r="P1304" s="319">
        <f t="shared" ref="P1304:P1323" si="964">O1304*1.1</f>
        <v>363000.00000000006</v>
      </c>
      <c r="R1304" s="317"/>
      <c r="U1304" s="320"/>
    </row>
    <row r="1305" spans="1:21" s="344" customFormat="1" outlineLevel="3">
      <c r="A1305" s="345"/>
      <c r="B1305" s="345"/>
      <c r="C1305" s="667">
        <v>2211102</v>
      </c>
      <c r="D1305" s="668" t="s">
        <v>53</v>
      </c>
      <c r="E1305" s="673">
        <v>107000</v>
      </c>
      <c r="F1305" s="669"/>
      <c r="G1305" s="669"/>
      <c r="H1305" s="669"/>
      <c r="I1305" s="324">
        <f t="shared" si="954"/>
        <v>107000</v>
      </c>
      <c r="J1305" s="669"/>
      <c r="K1305" s="669"/>
      <c r="L1305" s="317">
        <f t="shared" si="949"/>
        <v>107000</v>
      </c>
      <c r="M1305" s="317"/>
      <c r="N1305" s="372">
        <f t="shared" si="953"/>
        <v>0</v>
      </c>
      <c r="O1305" s="319">
        <f>L1305*1.1</f>
        <v>117700.00000000001</v>
      </c>
      <c r="P1305" s="319">
        <f t="shared" si="964"/>
        <v>129470.00000000003</v>
      </c>
      <c r="R1305" s="317"/>
      <c r="U1305" s="320"/>
    </row>
    <row r="1306" spans="1:21" s="344" customFormat="1" outlineLevel="3">
      <c r="A1306" s="345"/>
      <c r="B1306" s="345"/>
      <c r="C1306" s="667">
        <v>2211103</v>
      </c>
      <c r="D1306" s="668" t="s">
        <v>54</v>
      </c>
      <c r="E1306" s="673">
        <v>92800</v>
      </c>
      <c r="F1306" s="669"/>
      <c r="G1306" s="669"/>
      <c r="H1306" s="669"/>
      <c r="I1306" s="324">
        <f t="shared" si="954"/>
        <v>92800</v>
      </c>
      <c r="J1306" s="669"/>
      <c r="K1306" s="669"/>
      <c r="L1306" s="317">
        <f t="shared" si="949"/>
        <v>92800</v>
      </c>
      <c r="M1306" s="317"/>
      <c r="N1306" s="372">
        <f t="shared" si="953"/>
        <v>0</v>
      </c>
      <c r="O1306" s="319">
        <f>L1306*1.1</f>
        <v>102080.00000000001</v>
      </c>
      <c r="P1306" s="319">
        <f t="shared" si="964"/>
        <v>112288.00000000003</v>
      </c>
      <c r="R1306" s="317"/>
      <c r="U1306" s="320"/>
    </row>
    <row r="1307" spans="1:21" s="344" customFormat="1" outlineLevel="3">
      <c r="A1307" s="345"/>
      <c r="B1307" s="345"/>
      <c r="C1307" s="340">
        <v>2211200</v>
      </c>
      <c r="D1307" s="338" t="s">
        <v>55</v>
      </c>
      <c r="E1307" s="622">
        <f>E1308</f>
        <v>1501667</v>
      </c>
      <c r="F1307" s="622">
        <f t="shared" ref="F1307:K1307" si="965">F1308</f>
        <v>0</v>
      </c>
      <c r="G1307" s="622">
        <f t="shared" si="965"/>
        <v>0</v>
      </c>
      <c r="H1307" s="622">
        <f t="shared" si="965"/>
        <v>0</v>
      </c>
      <c r="I1307" s="622">
        <f t="shared" si="965"/>
        <v>1501667</v>
      </c>
      <c r="J1307" s="622">
        <f t="shared" si="965"/>
        <v>0</v>
      </c>
      <c r="K1307" s="622">
        <f t="shared" si="965"/>
        <v>0</v>
      </c>
      <c r="L1307" s="317">
        <f t="shared" si="949"/>
        <v>1501667</v>
      </c>
      <c r="M1307" s="317"/>
      <c r="N1307" s="372">
        <f t="shared" si="953"/>
        <v>0</v>
      </c>
      <c r="O1307" s="622">
        <f t="shared" ref="O1307:P1307" si="966">O1308</f>
        <v>1651833.7000000002</v>
      </c>
      <c r="P1307" s="622">
        <f t="shared" si="966"/>
        <v>1817017.0700000003</v>
      </c>
      <c r="R1307" s="317"/>
      <c r="U1307" s="320"/>
    </row>
    <row r="1308" spans="1:21" s="344" customFormat="1" outlineLevel="3">
      <c r="A1308" s="345"/>
      <c r="B1308" s="345"/>
      <c r="C1308" s="667">
        <v>2211201</v>
      </c>
      <c r="D1308" s="668" t="s">
        <v>56</v>
      </c>
      <c r="E1308" s="673">
        <v>1501667</v>
      </c>
      <c r="F1308" s="669"/>
      <c r="G1308" s="669"/>
      <c r="H1308" s="669"/>
      <c r="I1308" s="324">
        <f t="shared" si="954"/>
        <v>1501667</v>
      </c>
      <c r="J1308" s="669"/>
      <c r="K1308" s="669"/>
      <c r="L1308" s="317">
        <f t="shared" si="949"/>
        <v>1501667</v>
      </c>
      <c r="M1308" s="317"/>
      <c r="N1308" s="372">
        <f t="shared" si="953"/>
        <v>0</v>
      </c>
      <c r="O1308" s="319">
        <f>L1308*1.1</f>
        <v>1651833.7000000002</v>
      </c>
      <c r="P1308" s="319">
        <f t="shared" si="964"/>
        <v>1817017.0700000003</v>
      </c>
      <c r="R1308" s="317"/>
      <c r="U1308" s="320"/>
    </row>
    <row r="1309" spans="1:21" s="344" customFormat="1" outlineLevel="3">
      <c r="A1309" s="345"/>
      <c r="B1309" s="345"/>
      <c r="C1309" s="340">
        <v>2220100</v>
      </c>
      <c r="D1309" s="338" t="s">
        <v>290</v>
      </c>
      <c r="E1309" s="622">
        <f>E1310</f>
        <v>725466</v>
      </c>
      <c r="F1309" s="622">
        <f t="shared" ref="F1309:K1309" si="967">F1310</f>
        <v>0</v>
      </c>
      <c r="G1309" s="622">
        <f t="shared" si="967"/>
        <v>0</v>
      </c>
      <c r="H1309" s="622">
        <f t="shared" si="967"/>
        <v>0</v>
      </c>
      <c r="I1309" s="622">
        <f t="shared" si="967"/>
        <v>725466</v>
      </c>
      <c r="J1309" s="622">
        <f t="shared" si="967"/>
        <v>0</v>
      </c>
      <c r="K1309" s="622">
        <f t="shared" si="967"/>
        <v>0</v>
      </c>
      <c r="L1309" s="317">
        <f t="shared" si="949"/>
        <v>725466</v>
      </c>
      <c r="M1309" s="317"/>
      <c r="N1309" s="372">
        <f t="shared" si="953"/>
        <v>0</v>
      </c>
      <c r="O1309" s="622">
        <f t="shared" ref="O1309:P1309" si="968">O1310</f>
        <v>798012.60000000009</v>
      </c>
      <c r="P1309" s="622">
        <f t="shared" si="968"/>
        <v>877813.86000000022</v>
      </c>
      <c r="R1309" s="317"/>
      <c r="U1309" s="320"/>
    </row>
    <row r="1310" spans="1:21" s="344" customFormat="1" outlineLevel="3">
      <c r="A1310" s="345"/>
      <c r="B1310" s="345"/>
      <c r="C1310" s="667">
        <v>2220101</v>
      </c>
      <c r="D1310" s="668" t="s">
        <v>200</v>
      </c>
      <c r="E1310" s="673">
        <v>725466</v>
      </c>
      <c r="F1310" s="669"/>
      <c r="G1310" s="669"/>
      <c r="H1310" s="669"/>
      <c r="I1310" s="324">
        <f t="shared" si="954"/>
        <v>725466</v>
      </c>
      <c r="J1310" s="669"/>
      <c r="K1310" s="669"/>
      <c r="L1310" s="317">
        <f t="shared" si="949"/>
        <v>725466</v>
      </c>
      <c r="M1310" s="317"/>
      <c r="N1310" s="372">
        <f t="shared" si="953"/>
        <v>0</v>
      </c>
      <c r="O1310" s="319">
        <f>L1310*1.1</f>
        <v>798012.60000000009</v>
      </c>
      <c r="P1310" s="319">
        <f t="shared" si="964"/>
        <v>877813.86000000022</v>
      </c>
      <c r="R1310" s="317"/>
      <c r="U1310" s="320"/>
    </row>
    <row r="1311" spans="1:21" s="344" customFormat="1" outlineLevel="3">
      <c r="A1311" s="345"/>
      <c r="B1311" s="345"/>
      <c r="C1311" s="340">
        <v>2220200</v>
      </c>
      <c r="D1311" s="338" t="s">
        <v>291</v>
      </c>
      <c r="E1311" s="622">
        <f>E1312+E1313+E1314+E1315</f>
        <v>2070267</v>
      </c>
      <c r="F1311" s="622">
        <f t="shared" ref="F1311:K1311" si="969">F1312+F1313+F1314+F1315</f>
        <v>0</v>
      </c>
      <c r="G1311" s="622">
        <f t="shared" si="969"/>
        <v>0</v>
      </c>
      <c r="H1311" s="622">
        <f t="shared" si="969"/>
        <v>0</v>
      </c>
      <c r="I1311" s="622">
        <f t="shared" si="969"/>
        <v>2070267</v>
      </c>
      <c r="J1311" s="622">
        <f t="shared" si="969"/>
        <v>0</v>
      </c>
      <c r="K1311" s="622">
        <f t="shared" si="969"/>
        <v>-1054717</v>
      </c>
      <c r="L1311" s="317">
        <f t="shared" si="949"/>
        <v>1015550</v>
      </c>
      <c r="M1311" s="317"/>
      <c r="N1311" s="372">
        <f t="shared" si="953"/>
        <v>1054717</v>
      </c>
      <c r="O1311" s="622">
        <f t="shared" ref="O1311:P1311" si="970">O1312+O1313+O1314+O1315</f>
        <v>1117105.0000000002</v>
      </c>
      <c r="P1311" s="622">
        <f t="shared" si="970"/>
        <v>1228815.5000000002</v>
      </c>
      <c r="R1311" s="317"/>
      <c r="U1311" s="320"/>
    </row>
    <row r="1312" spans="1:21" s="344" customFormat="1" outlineLevel="3">
      <c r="A1312" s="345"/>
      <c r="B1312" s="345"/>
      <c r="C1312" s="667">
        <v>2220201</v>
      </c>
      <c r="D1312" s="668" t="s">
        <v>292</v>
      </c>
      <c r="E1312" s="673">
        <f>2004667-200000</f>
        <v>1804667</v>
      </c>
      <c r="F1312" s="669"/>
      <c r="G1312" s="669"/>
      <c r="H1312" s="669"/>
      <c r="I1312" s="324">
        <f t="shared" si="954"/>
        <v>1804667</v>
      </c>
      <c r="J1312" s="669"/>
      <c r="K1312" s="669">
        <v>-924717</v>
      </c>
      <c r="L1312" s="317">
        <f t="shared" si="949"/>
        <v>879950</v>
      </c>
      <c r="M1312" s="317"/>
      <c r="N1312" s="372">
        <f t="shared" si="953"/>
        <v>924717</v>
      </c>
      <c r="O1312" s="319">
        <f>L1312*1.1</f>
        <v>967945.00000000012</v>
      </c>
      <c r="P1312" s="319">
        <f t="shared" si="964"/>
        <v>1064739.5000000002</v>
      </c>
      <c r="R1312" s="317"/>
      <c r="U1312" s="320"/>
    </row>
    <row r="1313" spans="1:21" s="344" customFormat="1" outlineLevel="3">
      <c r="A1313" s="345"/>
      <c r="B1313" s="345"/>
      <c r="C1313" s="667">
        <v>2220202</v>
      </c>
      <c r="D1313" s="668" t="s">
        <v>87</v>
      </c>
      <c r="E1313" s="673">
        <v>50000</v>
      </c>
      <c r="F1313" s="669"/>
      <c r="G1313" s="669"/>
      <c r="H1313" s="669"/>
      <c r="I1313" s="324">
        <f t="shared" si="954"/>
        <v>50000</v>
      </c>
      <c r="J1313" s="669"/>
      <c r="K1313" s="669"/>
      <c r="L1313" s="317">
        <f t="shared" si="949"/>
        <v>50000</v>
      </c>
      <c r="M1313" s="317"/>
      <c r="N1313" s="372">
        <f t="shared" si="953"/>
        <v>0</v>
      </c>
      <c r="O1313" s="319">
        <f>L1313*1.1</f>
        <v>55000.000000000007</v>
      </c>
      <c r="P1313" s="319">
        <f t="shared" si="964"/>
        <v>60500.000000000015</v>
      </c>
      <c r="R1313" s="317"/>
      <c r="U1313" s="320"/>
    </row>
    <row r="1314" spans="1:21" s="344" customFormat="1" outlineLevel="3">
      <c r="A1314" s="345"/>
      <c r="B1314" s="345"/>
      <c r="C1314" s="667">
        <v>2220205</v>
      </c>
      <c r="D1314" s="668" t="s">
        <v>125</v>
      </c>
      <c r="E1314" s="673">
        <v>85600</v>
      </c>
      <c r="F1314" s="669"/>
      <c r="G1314" s="669"/>
      <c r="H1314" s="669"/>
      <c r="I1314" s="324">
        <f t="shared" si="954"/>
        <v>85600</v>
      </c>
      <c r="J1314" s="669"/>
      <c r="K1314" s="669"/>
      <c r="L1314" s="317">
        <f t="shared" si="949"/>
        <v>85600</v>
      </c>
      <c r="M1314" s="317"/>
      <c r="N1314" s="372">
        <f t="shared" si="953"/>
        <v>0</v>
      </c>
      <c r="O1314" s="319">
        <f>L1314*1.1</f>
        <v>94160.000000000015</v>
      </c>
      <c r="P1314" s="319">
        <f t="shared" si="964"/>
        <v>103576.00000000003</v>
      </c>
      <c r="R1314" s="317"/>
      <c r="U1314" s="320"/>
    </row>
    <row r="1315" spans="1:21" s="344" customFormat="1" outlineLevel="3">
      <c r="A1315" s="345"/>
      <c r="B1315" s="345"/>
      <c r="C1315" s="667">
        <v>2220210</v>
      </c>
      <c r="D1315" s="668" t="s">
        <v>163</v>
      </c>
      <c r="E1315" s="673">
        <v>130000</v>
      </c>
      <c r="F1315" s="669"/>
      <c r="G1315" s="669"/>
      <c r="H1315" s="669"/>
      <c r="I1315" s="324">
        <f t="shared" si="954"/>
        <v>130000</v>
      </c>
      <c r="J1315" s="669"/>
      <c r="K1315" s="669">
        <v>-130000</v>
      </c>
      <c r="L1315" s="317">
        <f t="shared" si="949"/>
        <v>0</v>
      </c>
      <c r="M1315" s="317"/>
      <c r="N1315" s="372">
        <f t="shared" si="953"/>
        <v>130000</v>
      </c>
      <c r="O1315" s="319">
        <f>L1315*1.1</f>
        <v>0</v>
      </c>
      <c r="P1315" s="319">
        <f t="shared" si="964"/>
        <v>0</v>
      </c>
      <c r="R1315" s="317"/>
      <c r="U1315" s="320"/>
    </row>
    <row r="1316" spans="1:21" s="344" customFormat="1" outlineLevel="3">
      <c r="A1316" s="345"/>
      <c r="B1316" s="345"/>
      <c r="C1316" s="340">
        <v>3110300</v>
      </c>
      <c r="D1316" s="338" t="s">
        <v>293</v>
      </c>
      <c r="E1316" s="622">
        <f>E1317</f>
        <v>269260</v>
      </c>
      <c r="F1316" s="622">
        <f t="shared" ref="F1316:P1316" si="971">F1317</f>
        <v>0</v>
      </c>
      <c r="G1316" s="622">
        <f t="shared" si="971"/>
        <v>0</v>
      </c>
      <c r="H1316" s="622">
        <f t="shared" si="971"/>
        <v>0</v>
      </c>
      <c r="I1316" s="622">
        <f t="shared" si="971"/>
        <v>269260</v>
      </c>
      <c r="J1316" s="622">
        <f t="shared" si="971"/>
        <v>0</v>
      </c>
      <c r="K1316" s="622">
        <f t="shared" si="971"/>
        <v>-269260</v>
      </c>
      <c r="L1316" s="317">
        <f t="shared" si="949"/>
        <v>0</v>
      </c>
      <c r="M1316" s="317"/>
      <c r="N1316" s="372">
        <f t="shared" si="953"/>
        <v>269260</v>
      </c>
      <c r="O1316" s="622">
        <f t="shared" si="971"/>
        <v>0</v>
      </c>
      <c r="P1316" s="622">
        <f t="shared" si="971"/>
        <v>0</v>
      </c>
      <c r="R1316" s="317"/>
      <c r="U1316" s="320"/>
    </row>
    <row r="1317" spans="1:21" s="344" customFormat="1" outlineLevel="3">
      <c r="A1317" s="345"/>
      <c r="B1317" s="345"/>
      <c r="C1317" s="667">
        <v>3110302</v>
      </c>
      <c r="D1317" s="668" t="s">
        <v>252</v>
      </c>
      <c r="E1317" s="673">
        <v>269260</v>
      </c>
      <c r="F1317" s="669"/>
      <c r="G1317" s="669"/>
      <c r="H1317" s="669"/>
      <c r="I1317" s="324">
        <f t="shared" si="954"/>
        <v>269260</v>
      </c>
      <c r="J1317" s="669"/>
      <c r="K1317" s="669">
        <v>-269260</v>
      </c>
      <c r="L1317" s="317">
        <f t="shared" si="949"/>
        <v>0</v>
      </c>
      <c r="M1317" s="317"/>
      <c r="N1317" s="372">
        <f t="shared" si="953"/>
        <v>269260</v>
      </c>
      <c r="O1317" s="319">
        <f>L1317*1.1</f>
        <v>0</v>
      </c>
      <c r="P1317" s="319">
        <f t="shared" si="964"/>
        <v>0</v>
      </c>
      <c r="R1317" s="317"/>
      <c r="U1317" s="320"/>
    </row>
    <row r="1318" spans="1:21" s="344" customFormat="1" outlineLevel="3">
      <c r="A1318" s="345"/>
      <c r="B1318" s="345"/>
      <c r="C1318" s="340">
        <v>3111000</v>
      </c>
      <c r="D1318" s="338" t="s">
        <v>69</v>
      </c>
      <c r="E1318" s="622">
        <f>E1319</f>
        <v>600350</v>
      </c>
      <c r="F1318" s="622">
        <f t="shared" ref="F1318:P1318" si="972">F1319</f>
        <v>0</v>
      </c>
      <c r="G1318" s="622">
        <f t="shared" si="972"/>
        <v>0</v>
      </c>
      <c r="H1318" s="622">
        <f t="shared" si="972"/>
        <v>0</v>
      </c>
      <c r="I1318" s="622">
        <f t="shared" si="972"/>
        <v>600350</v>
      </c>
      <c r="J1318" s="622">
        <f t="shared" si="972"/>
        <v>0</v>
      </c>
      <c r="K1318" s="622">
        <f t="shared" si="972"/>
        <v>0</v>
      </c>
      <c r="L1318" s="317">
        <f t="shared" si="949"/>
        <v>600350</v>
      </c>
      <c r="M1318" s="317"/>
      <c r="N1318" s="372">
        <f t="shared" si="953"/>
        <v>0</v>
      </c>
      <c r="O1318" s="622">
        <f t="shared" si="972"/>
        <v>660385</v>
      </c>
      <c r="P1318" s="622">
        <f t="shared" si="972"/>
        <v>726423.50000000012</v>
      </c>
      <c r="R1318" s="317"/>
      <c r="U1318" s="320"/>
    </row>
    <row r="1319" spans="1:21" s="344" customFormat="1" outlineLevel="3">
      <c r="A1319" s="345"/>
      <c r="B1319" s="345"/>
      <c r="C1319" s="667">
        <v>3111002</v>
      </c>
      <c r="D1319" s="668" t="s">
        <v>71</v>
      </c>
      <c r="E1319" s="673">
        <v>600350</v>
      </c>
      <c r="F1319" s="669"/>
      <c r="G1319" s="669"/>
      <c r="H1319" s="669"/>
      <c r="I1319" s="324">
        <f t="shared" si="954"/>
        <v>600350</v>
      </c>
      <c r="J1319" s="669"/>
      <c r="K1319" s="669"/>
      <c r="L1319" s="317">
        <f t="shared" si="949"/>
        <v>600350</v>
      </c>
      <c r="M1319" s="317"/>
      <c r="N1319" s="372">
        <f t="shared" si="953"/>
        <v>0</v>
      </c>
      <c r="O1319" s="319">
        <f>L1319*1.1</f>
        <v>660385</v>
      </c>
      <c r="P1319" s="319">
        <f t="shared" si="964"/>
        <v>726423.50000000012</v>
      </c>
      <c r="R1319" s="317"/>
      <c r="U1319" s="320"/>
    </row>
    <row r="1320" spans="1:21" s="344" customFormat="1" outlineLevel="3">
      <c r="A1320" s="345"/>
      <c r="B1320" s="345"/>
      <c r="C1320" s="340">
        <v>3111400</v>
      </c>
      <c r="D1320" s="338" t="s">
        <v>294</v>
      </c>
      <c r="E1320" s="622">
        <f>E1321</f>
        <v>350000</v>
      </c>
      <c r="F1320" s="622">
        <f t="shared" ref="F1320:K1320" si="973">F1321</f>
        <v>0</v>
      </c>
      <c r="G1320" s="622">
        <f t="shared" si="973"/>
        <v>0</v>
      </c>
      <c r="H1320" s="622">
        <f t="shared" si="973"/>
        <v>0</v>
      </c>
      <c r="I1320" s="622">
        <f t="shared" si="973"/>
        <v>350000</v>
      </c>
      <c r="J1320" s="622">
        <f t="shared" si="973"/>
        <v>0</v>
      </c>
      <c r="K1320" s="622">
        <f t="shared" si="973"/>
        <v>-102200</v>
      </c>
      <c r="L1320" s="317">
        <f t="shared" si="949"/>
        <v>247800</v>
      </c>
      <c r="M1320" s="317"/>
      <c r="N1320" s="372">
        <f t="shared" si="953"/>
        <v>102200</v>
      </c>
      <c r="O1320" s="622">
        <f t="shared" ref="O1320:P1320" si="974">O1321</f>
        <v>272580</v>
      </c>
      <c r="P1320" s="622">
        <f t="shared" si="974"/>
        <v>299838</v>
      </c>
      <c r="R1320" s="317"/>
      <c r="U1320" s="320"/>
    </row>
    <row r="1321" spans="1:21" s="344" customFormat="1" outlineLevel="3">
      <c r="A1321" s="345"/>
      <c r="B1321" s="345"/>
      <c r="C1321" s="667">
        <v>3111401</v>
      </c>
      <c r="D1321" s="668" t="s">
        <v>1316</v>
      </c>
      <c r="E1321" s="673">
        <f>500000-150000</f>
        <v>350000</v>
      </c>
      <c r="F1321" s="669"/>
      <c r="G1321" s="669"/>
      <c r="H1321" s="669"/>
      <c r="I1321" s="324">
        <f t="shared" si="954"/>
        <v>350000</v>
      </c>
      <c r="J1321" s="669"/>
      <c r="K1321" s="669">
        <v>-102200</v>
      </c>
      <c r="L1321" s="317">
        <f t="shared" si="949"/>
        <v>247800</v>
      </c>
      <c r="M1321" s="317"/>
      <c r="N1321" s="372">
        <f t="shared" si="953"/>
        <v>102200</v>
      </c>
      <c r="O1321" s="319">
        <f>L1321*1.1</f>
        <v>272580</v>
      </c>
      <c r="P1321" s="319">
        <f t="shared" si="964"/>
        <v>299838</v>
      </c>
      <c r="R1321" s="317"/>
      <c r="U1321" s="320"/>
    </row>
    <row r="1322" spans="1:21" s="344" customFormat="1" outlineLevel="2">
      <c r="A1322" s="345"/>
      <c r="B1322" s="345"/>
      <c r="C1322" s="314"/>
      <c r="D1322" s="447" t="s">
        <v>295</v>
      </c>
      <c r="E1322" s="619">
        <f>SUM(E1320,E1318,E1316,E1311,E1309,E1307,E1303,E1299,E1297,E1293,E1290,E1287)</f>
        <v>8853795.6500000004</v>
      </c>
      <c r="F1322" s="619">
        <f t="shared" ref="F1322:P1322" si="975">SUM(F1320,F1318,F1316,F1311,F1309,F1307,F1303,F1299,F1297,F1293,F1290,F1287)</f>
        <v>0</v>
      </c>
      <c r="G1322" s="619">
        <f t="shared" si="975"/>
        <v>0</v>
      </c>
      <c r="H1322" s="619">
        <f t="shared" si="975"/>
        <v>0</v>
      </c>
      <c r="I1322" s="619">
        <f t="shared" si="975"/>
        <v>8853795.6500000004</v>
      </c>
      <c r="J1322" s="619">
        <f t="shared" si="975"/>
        <v>0</v>
      </c>
      <c r="K1322" s="619">
        <f t="shared" si="975"/>
        <v>-1729677</v>
      </c>
      <c r="L1322" s="317">
        <f t="shared" si="949"/>
        <v>7124118.6500000004</v>
      </c>
      <c r="M1322" s="317"/>
      <c r="N1322" s="372">
        <f t="shared" si="953"/>
        <v>1729677</v>
      </c>
      <c r="O1322" s="619">
        <f t="shared" si="975"/>
        <v>7836530.5150000006</v>
      </c>
      <c r="P1322" s="619">
        <f t="shared" si="975"/>
        <v>8620183.5665000025</v>
      </c>
      <c r="R1322" s="317"/>
      <c r="U1322" s="320"/>
    </row>
    <row r="1323" spans="1:21" s="344" customFormat="1" outlineLevel="2">
      <c r="A1323" s="345"/>
      <c r="B1323" s="345"/>
      <c r="C1323" s="340"/>
      <c r="D1323" s="338"/>
      <c r="E1323" s="622"/>
      <c r="F1323" s="397"/>
      <c r="G1323" s="397"/>
      <c r="H1323" s="397"/>
      <c r="I1323" s="324">
        <f t="shared" si="954"/>
        <v>0</v>
      </c>
      <c r="J1323" s="397"/>
      <c r="K1323" s="397"/>
      <c r="L1323" s="317">
        <f t="shared" si="949"/>
        <v>0</v>
      </c>
      <c r="M1323" s="317"/>
      <c r="N1323" s="372">
        <f t="shared" si="953"/>
        <v>0</v>
      </c>
      <c r="O1323" s="319">
        <f>L1323*1.1</f>
        <v>0</v>
      </c>
      <c r="P1323" s="319">
        <f t="shared" si="964"/>
        <v>0</v>
      </c>
      <c r="R1323" s="317"/>
      <c r="U1323" s="320"/>
    </row>
    <row r="1324" spans="1:21" s="344" customFormat="1" outlineLevel="2">
      <c r="A1324" s="345"/>
      <c r="B1324" s="345"/>
      <c r="C1324" s="340"/>
      <c r="D1324" s="338" t="s">
        <v>92</v>
      </c>
      <c r="E1324" s="622"/>
      <c r="F1324" s="397"/>
      <c r="G1324" s="397"/>
      <c r="H1324" s="397"/>
      <c r="I1324" s="324">
        <f t="shared" si="954"/>
        <v>0</v>
      </c>
      <c r="J1324" s="397"/>
      <c r="K1324" s="397"/>
      <c r="L1324" s="317">
        <f t="shared" si="949"/>
        <v>0</v>
      </c>
      <c r="M1324" s="317"/>
      <c r="N1324" s="372">
        <f t="shared" si="953"/>
        <v>0</v>
      </c>
      <c r="O1324" s="319">
        <f>L1324*1.1</f>
        <v>0</v>
      </c>
      <c r="P1324" s="319">
        <f t="shared" ref="P1324:P1343" si="976">O1324*1.1</f>
        <v>0</v>
      </c>
      <c r="R1324" s="317"/>
      <c r="U1324" s="320"/>
    </row>
    <row r="1325" spans="1:21" s="344" customFormat="1" outlineLevel="3">
      <c r="A1325" s="345"/>
      <c r="B1325" s="345"/>
      <c r="C1325" s="340">
        <v>3110500</v>
      </c>
      <c r="D1325" s="338" t="s">
        <v>296</v>
      </c>
      <c r="E1325" s="622">
        <f>E1326</f>
        <v>308227045</v>
      </c>
      <c r="F1325" s="622">
        <f t="shared" ref="F1325:K1325" si="977">F1326</f>
        <v>30000000</v>
      </c>
      <c r="G1325" s="622">
        <f t="shared" si="977"/>
        <v>-8500000</v>
      </c>
      <c r="H1325" s="622">
        <f t="shared" si="977"/>
        <v>0</v>
      </c>
      <c r="I1325" s="622">
        <f t="shared" si="977"/>
        <v>329727045</v>
      </c>
      <c r="J1325" s="622">
        <f t="shared" si="977"/>
        <v>-3777656</v>
      </c>
      <c r="K1325" s="622">
        <f t="shared" si="977"/>
        <v>0</v>
      </c>
      <c r="L1325" s="317">
        <f t="shared" si="949"/>
        <v>325949389</v>
      </c>
      <c r="M1325" s="317"/>
      <c r="N1325" s="372">
        <f t="shared" si="953"/>
        <v>0</v>
      </c>
      <c r="O1325" s="622">
        <f t="shared" ref="O1325:P1325" si="978">O1326</f>
        <v>358544327.90000004</v>
      </c>
      <c r="P1325" s="622">
        <f t="shared" si="978"/>
        <v>394398760.69000006</v>
      </c>
      <c r="R1325" s="317"/>
      <c r="U1325" s="320"/>
    </row>
    <row r="1326" spans="1:21" s="344" customFormat="1" outlineLevel="3">
      <c r="A1326" s="345"/>
      <c r="B1326" s="345"/>
      <c r="C1326" s="667">
        <v>3110504</v>
      </c>
      <c r="D1326" s="668" t="s">
        <v>297</v>
      </c>
      <c r="E1326" s="673">
        <f>262727045+12500000+33000000</f>
        <v>308227045</v>
      </c>
      <c r="F1326" s="669">
        <v>30000000</v>
      </c>
      <c r="G1326" s="669">
        <v>-8500000</v>
      </c>
      <c r="H1326" s="669">
        <v>0</v>
      </c>
      <c r="I1326" s="324">
        <f t="shared" si="954"/>
        <v>329727045</v>
      </c>
      <c r="J1326" s="669">
        <f>-6000000-1777656+4000000</f>
        <v>-3777656</v>
      </c>
      <c r="K1326" s="669"/>
      <c r="L1326" s="317">
        <f t="shared" si="949"/>
        <v>325949389</v>
      </c>
      <c r="M1326" s="317"/>
      <c r="N1326" s="372">
        <f t="shared" si="953"/>
        <v>0</v>
      </c>
      <c r="O1326" s="319">
        <f>L1326*1.1</f>
        <v>358544327.90000004</v>
      </c>
      <c r="P1326" s="319">
        <f t="shared" si="976"/>
        <v>394398760.69000006</v>
      </c>
      <c r="Q1326" s="344">
        <v>1777656</v>
      </c>
      <c r="R1326" s="317"/>
      <c r="U1326" s="320" t="s">
        <v>1803</v>
      </c>
    </row>
    <row r="1327" spans="1:21" s="344" customFormat="1" outlineLevel="2">
      <c r="A1327" s="345"/>
      <c r="B1327" s="345"/>
      <c r="C1327" s="314"/>
      <c r="D1327" s="447" t="s">
        <v>261</v>
      </c>
      <c r="E1327" s="619">
        <f>E1325</f>
        <v>308227045</v>
      </c>
      <c r="F1327" s="619">
        <f t="shared" ref="F1327:K1327" si="979">F1325</f>
        <v>30000000</v>
      </c>
      <c r="G1327" s="619">
        <f t="shared" si="979"/>
        <v>-8500000</v>
      </c>
      <c r="H1327" s="619">
        <f t="shared" si="979"/>
        <v>0</v>
      </c>
      <c r="I1327" s="619">
        <f t="shared" si="979"/>
        <v>329727045</v>
      </c>
      <c r="J1327" s="619">
        <f t="shared" si="979"/>
        <v>-3777656</v>
      </c>
      <c r="K1327" s="619">
        <f t="shared" si="979"/>
        <v>0</v>
      </c>
      <c r="L1327" s="317">
        <f t="shared" si="949"/>
        <v>325949389</v>
      </c>
      <c r="M1327" s="317"/>
      <c r="N1327" s="372">
        <f t="shared" si="953"/>
        <v>0</v>
      </c>
      <c r="O1327" s="619">
        <f t="shared" ref="O1327:P1327" si="980">O1325</f>
        <v>358544327.90000004</v>
      </c>
      <c r="P1327" s="619">
        <f t="shared" si="980"/>
        <v>394398760.69000006</v>
      </c>
      <c r="R1327" s="317"/>
      <c r="U1327" s="320"/>
    </row>
    <row r="1328" spans="1:21" s="344" customFormat="1" outlineLevel="1">
      <c r="A1328" s="345"/>
      <c r="B1328" s="345"/>
      <c r="C1328" s="314"/>
      <c r="D1328" s="447" t="s">
        <v>84</v>
      </c>
      <c r="E1328" s="619">
        <f>E1327+E1322</f>
        <v>317080840.64999998</v>
      </c>
      <c r="F1328" s="619">
        <f t="shared" ref="F1328:K1328" si="981">F1327+F1322</f>
        <v>30000000</v>
      </c>
      <c r="G1328" s="619">
        <f t="shared" si="981"/>
        <v>-8500000</v>
      </c>
      <c r="H1328" s="619">
        <f t="shared" si="981"/>
        <v>0</v>
      </c>
      <c r="I1328" s="619">
        <f t="shared" si="981"/>
        <v>338580840.64999998</v>
      </c>
      <c r="J1328" s="619">
        <f t="shared" si="981"/>
        <v>-3777656</v>
      </c>
      <c r="K1328" s="619">
        <f t="shared" si="981"/>
        <v>-1729677</v>
      </c>
      <c r="L1328" s="317">
        <f t="shared" si="949"/>
        <v>333073507.64999998</v>
      </c>
      <c r="M1328" s="317"/>
      <c r="N1328" s="372">
        <f t="shared" si="953"/>
        <v>1729677</v>
      </c>
      <c r="O1328" s="619">
        <f t="shared" ref="O1328:P1328" si="982">O1327+O1322</f>
        <v>366380858.41500002</v>
      </c>
      <c r="P1328" s="619">
        <f t="shared" si="982"/>
        <v>403018944.25650007</v>
      </c>
      <c r="R1328" s="317"/>
      <c r="U1328" s="320"/>
    </row>
    <row r="1329" spans="1:21" s="344" customFormat="1" outlineLevel="1">
      <c r="A1329" s="345"/>
      <c r="B1329" s="345"/>
      <c r="C1329" s="340"/>
      <c r="D1329" s="338"/>
      <c r="E1329" s="622"/>
      <c r="F1329" s="397"/>
      <c r="G1329" s="397"/>
      <c r="H1329" s="397"/>
      <c r="I1329" s="324">
        <f t="shared" si="954"/>
        <v>0</v>
      </c>
      <c r="J1329" s="397"/>
      <c r="K1329" s="397"/>
      <c r="L1329" s="317">
        <f t="shared" si="949"/>
        <v>0</v>
      </c>
      <c r="M1329" s="317"/>
      <c r="N1329" s="372">
        <f t="shared" si="953"/>
        <v>0</v>
      </c>
      <c r="O1329" s="319">
        <f>L1329*1.1</f>
        <v>0</v>
      </c>
      <c r="P1329" s="319">
        <f t="shared" si="976"/>
        <v>0</v>
      </c>
      <c r="R1329" s="317"/>
      <c r="U1329" s="320"/>
    </row>
    <row r="1330" spans="1:21" s="344" customFormat="1" outlineLevel="1">
      <c r="A1330" s="345"/>
      <c r="B1330" s="345"/>
      <c r="C1330" s="314" t="s">
        <v>298</v>
      </c>
      <c r="D1330" s="447"/>
      <c r="E1330" s="619"/>
      <c r="F1330" s="438"/>
      <c r="G1330" s="438"/>
      <c r="H1330" s="438"/>
      <c r="I1330" s="324">
        <f t="shared" si="954"/>
        <v>0</v>
      </c>
      <c r="J1330" s="438"/>
      <c r="K1330" s="438"/>
      <c r="L1330" s="317">
        <f t="shared" si="949"/>
        <v>0</v>
      </c>
      <c r="M1330" s="317"/>
      <c r="N1330" s="372">
        <f t="shared" si="953"/>
        <v>0</v>
      </c>
      <c r="O1330" s="319">
        <f>L1330*1.1</f>
        <v>0</v>
      </c>
      <c r="P1330" s="319">
        <f t="shared" si="976"/>
        <v>0</v>
      </c>
      <c r="R1330" s="317"/>
      <c r="U1330" s="320"/>
    </row>
    <row r="1331" spans="1:21" s="344" customFormat="1" outlineLevel="1">
      <c r="A1331" s="345"/>
      <c r="B1331" s="345"/>
      <c r="C1331" s="314" t="s">
        <v>299</v>
      </c>
      <c r="D1331" s="447"/>
      <c r="E1331" s="662"/>
      <c r="F1331" s="438"/>
      <c r="G1331" s="438"/>
      <c r="H1331" s="438"/>
      <c r="I1331" s="324">
        <f t="shared" si="954"/>
        <v>0</v>
      </c>
      <c r="J1331" s="438"/>
      <c r="K1331" s="438"/>
      <c r="L1331" s="317">
        <f t="shared" si="949"/>
        <v>0</v>
      </c>
      <c r="M1331" s="317"/>
      <c r="N1331" s="372">
        <f t="shared" si="953"/>
        <v>0</v>
      </c>
      <c r="O1331" s="319">
        <f>L1331*1.1</f>
        <v>0</v>
      </c>
      <c r="P1331" s="319">
        <f t="shared" si="976"/>
        <v>0</v>
      </c>
      <c r="R1331" s="317"/>
      <c r="U1331" s="320"/>
    </row>
    <row r="1332" spans="1:21" s="344" customFormat="1" outlineLevel="3">
      <c r="A1332" s="345"/>
      <c r="B1332" s="345"/>
      <c r="C1332" s="340">
        <v>2210100</v>
      </c>
      <c r="D1332" s="338" t="s">
        <v>285</v>
      </c>
      <c r="E1332" s="622">
        <f>E1333+E1334</f>
        <v>2122884</v>
      </c>
      <c r="F1332" s="622">
        <f t="shared" ref="F1332:K1332" si="983">F1333+F1334</f>
        <v>0</v>
      </c>
      <c r="G1332" s="622">
        <f t="shared" si="983"/>
        <v>0</v>
      </c>
      <c r="H1332" s="622">
        <f t="shared" si="983"/>
        <v>0</v>
      </c>
      <c r="I1332" s="622">
        <f t="shared" si="983"/>
        <v>2122884</v>
      </c>
      <c r="J1332" s="622">
        <f t="shared" si="983"/>
        <v>0</v>
      </c>
      <c r="K1332" s="622">
        <f t="shared" si="983"/>
        <v>-697814</v>
      </c>
      <c r="L1332" s="317">
        <f t="shared" si="949"/>
        <v>1425070</v>
      </c>
      <c r="M1332" s="317"/>
      <c r="N1332" s="372">
        <f t="shared" si="953"/>
        <v>697814</v>
      </c>
      <c r="O1332" s="622">
        <f t="shared" ref="O1332:P1332" si="984">O1333+O1334</f>
        <v>1567577.0000000002</v>
      </c>
      <c r="P1332" s="622">
        <f t="shared" si="984"/>
        <v>1724334.7000000004</v>
      </c>
      <c r="R1332" s="317"/>
      <c r="U1332" s="320"/>
    </row>
    <row r="1333" spans="1:21" s="344" customFormat="1" outlineLevel="3">
      <c r="A1333" s="345"/>
      <c r="B1333" s="345"/>
      <c r="C1333" s="667">
        <v>2210101</v>
      </c>
      <c r="D1333" s="668" t="s">
        <v>17</v>
      </c>
      <c r="E1333" s="673">
        <v>2090884</v>
      </c>
      <c r="F1333" s="669"/>
      <c r="G1333" s="669"/>
      <c r="H1333" s="669"/>
      <c r="I1333" s="324">
        <f t="shared" si="954"/>
        <v>2090884</v>
      </c>
      <c r="J1333" s="669"/>
      <c r="K1333" s="669">
        <v>-697814</v>
      </c>
      <c r="L1333" s="317">
        <f t="shared" si="949"/>
        <v>1393070</v>
      </c>
      <c r="M1333" s="317"/>
      <c r="N1333" s="372">
        <f t="shared" si="953"/>
        <v>697814</v>
      </c>
      <c r="O1333" s="319">
        <f>L1333*1.1</f>
        <v>1532377.0000000002</v>
      </c>
      <c r="P1333" s="319">
        <f t="shared" si="976"/>
        <v>1685614.7000000004</v>
      </c>
      <c r="R1333" s="317"/>
      <c r="U1333" s="320"/>
    </row>
    <row r="1334" spans="1:21" s="344" customFormat="1" outlineLevel="3">
      <c r="A1334" s="345"/>
      <c r="B1334" s="345"/>
      <c r="C1334" s="667">
        <v>2210102</v>
      </c>
      <c r="D1334" s="668" t="s">
        <v>18</v>
      </c>
      <c r="E1334" s="673">
        <v>32000</v>
      </c>
      <c r="F1334" s="669"/>
      <c r="G1334" s="669"/>
      <c r="H1334" s="669"/>
      <c r="I1334" s="324">
        <f t="shared" si="954"/>
        <v>32000</v>
      </c>
      <c r="J1334" s="669"/>
      <c r="K1334" s="669"/>
      <c r="L1334" s="317">
        <f t="shared" si="949"/>
        <v>32000</v>
      </c>
      <c r="M1334" s="317"/>
      <c r="N1334" s="372">
        <f t="shared" si="953"/>
        <v>0</v>
      </c>
      <c r="O1334" s="319">
        <f>L1334*1.1</f>
        <v>35200</v>
      </c>
      <c r="P1334" s="319">
        <f t="shared" si="976"/>
        <v>38720</v>
      </c>
      <c r="R1334" s="317"/>
      <c r="U1334" s="320"/>
    </row>
    <row r="1335" spans="1:21" s="344" customFormat="1" outlineLevel="3">
      <c r="A1335" s="345"/>
      <c r="B1335" s="345"/>
      <c r="C1335" s="340">
        <v>2210200</v>
      </c>
      <c r="D1335" s="338" t="s">
        <v>286</v>
      </c>
      <c r="E1335" s="622">
        <f>E1336+E1337</f>
        <v>100000</v>
      </c>
      <c r="F1335" s="622">
        <f t="shared" ref="F1335:K1335" si="985">F1336+F1337</f>
        <v>0</v>
      </c>
      <c r="G1335" s="622">
        <f t="shared" si="985"/>
        <v>0</v>
      </c>
      <c r="H1335" s="622">
        <f t="shared" si="985"/>
        <v>0</v>
      </c>
      <c r="I1335" s="622">
        <f t="shared" si="985"/>
        <v>100000</v>
      </c>
      <c r="J1335" s="622">
        <f t="shared" si="985"/>
        <v>0</v>
      </c>
      <c r="K1335" s="622">
        <f t="shared" si="985"/>
        <v>0</v>
      </c>
      <c r="L1335" s="317">
        <f t="shared" si="949"/>
        <v>100000</v>
      </c>
      <c r="M1335" s="317"/>
      <c r="N1335" s="372">
        <f t="shared" si="953"/>
        <v>0</v>
      </c>
      <c r="O1335" s="622">
        <f t="shared" ref="O1335:P1335" si="986">O1336+O1337</f>
        <v>110000.00000000001</v>
      </c>
      <c r="P1335" s="622">
        <f t="shared" si="986"/>
        <v>121000.00000000003</v>
      </c>
      <c r="R1335" s="317"/>
      <c r="U1335" s="320"/>
    </row>
    <row r="1336" spans="1:21" s="344" customFormat="1" outlineLevel="3">
      <c r="A1336" s="345"/>
      <c r="B1336" s="345"/>
      <c r="C1336" s="667">
        <v>2210201</v>
      </c>
      <c r="D1336" s="668" t="s">
        <v>21</v>
      </c>
      <c r="E1336" s="673">
        <v>85000</v>
      </c>
      <c r="F1336" s="669"/>
      <c r="G1336" s="669"/>
      <c r="H1336" s="669"/>
      <c r="I1336" s="324">
        <f t="shared" si="954"/>
        <v>85000</v>
      </c>
      <c r="J1336" s="669"/>
      <c r="K1336" s="669"/>
      <c r="L1336" s="317">
        <f t="shared" si="949"/>
        <v>85000</v>
      </c>
      <c r="M1336" s="317"/>
      <c r="N1336" s="372">
        <f t="shared" si="953"/>
        <v>0</v>
      </c>
      <c r="O1336" s="319">
        <f>L1336*1.1</f>
        <v>93500.000000000015</v>
      </c>
      <c r="P1336" s="319">
        <f t="shared" si="976"/>
        <v>102850.00000000003</v>
      </c>
      <c r="R1336" s="317"/>
      <c r="U1336" s="320"/>
    </row>
    <row r="1337" spans="1:21" s="344" customFormat="1" outlineLevel="3">
      <c r="A1337" s="345"/>
      <c r="B1337" s="345"/>
      <c r="C1337" s="667">
        <v>2210202</v>
      </c>
      <c r="D1337" s="668" t="s">
        <v>22</v>
      </c>
      <c r="E1337" s="673">
        <v>15000</v>
      </c>
      <c r="F1337" s="669"/>
      <c r="G1337" s="669"/>
      <c r="H1337" s="669"/>
      <c r="I1337" s="324">
        <f t="shared" si="954"/>
        <v>15000</v>
      </c>
      <c r="J1337" s="669"/>
      <c r="K1337" s="669"/>
      <c r="L1337" s="317">
        <f t="shared" si="949"/>
        <v>15000</v>
      </c>
      <c r="M1337" s="317"/>
      <c r="N1337" s="372">
        <f t="shared" si="953"/>
        <v>0</v>
      </c>
      <c r="O1337" s="319">
        <f>L1337*1.1</f>
        <v>16500</v>
      </c>
      <c r="P1337" s="319">
        <f t="shared" si="976"/>
        <v>18150</v>
      </c>
      <c r="R1337" s="317"/>
      <c r="U1337" s="320"/>
    </row>
    <row r="1338" spans="1:21" s="344" customFormat="1" outlineLevel="3">
      <c r="A1338" s="345"/>
      <c r="B1338" s="345"/>
      <c r="C1338" s="340">
        <v>2210300</v>
      </c>
      <c r="D1338" s="338" t="s">
        <v>267</v>
      </c>
      <c r="E1338" s="622">
        <f>E1339+E1340+E1341</f>
        <v>1037887</v>
      </c>
      <c r="F1338" s="622">
        <f t="shared" ref="F1338:K1338" si="987">F1339+F1340+F1341</f>
        <v>0</v>
      </c>
      <c r="G1338" s="622">
        <f t="shared" si="987"/>
        <v>0</v>
      </c>
      <c r="H1338" s="622">
        <f t="shared" si="987"/>
        <v>0</v>
      </c>
      <c r="I1338" s="622">
        <f t="shared" si="987"/>
        <v>1037887</v>
      </c>
      <c r="J1338" s="622">
        <f t="shared" si="987"/>
        <v>0</v>
      </c>
      <c r="K1338" s="622">
        <f t="shared" si="987"/>
        <v>0</v>
      </c>
      <c r="L1338" s="317">
        <f t="shared" si="949"/>
        <v>1037887</v>
      </c>
      <c r="M1338" s="317"/>
      <c r="N1338" s="372">
        <f t="shared" si="953"/>
        <v>0</v>
      </c>
      <c r="O1338" s="622">
        <f t="shared" ref="O1338:P1338" si="988">O1339+O1340+O1341</f>
        <v>1141675.7</v>
      </c>
      <c r="P1338" s="622">
        <f t="shared" si="988"/>
        <v>1255843.2700000003</v>
      </c>
      <c r="R1338" s="317"/>
      <c r="U1338" s="320"/>
    </row>
    <row r="1339" spans="1:21" s="344" customFormat="1" outlineLevel="3">
      <c r="A1339" s="345"/>
      <c r="B1339" s="345"/>
      <c r="C1339" s="667">
        <v>2210301</v>
      </c>
      <c r="D1339" s="668" t="s">
        <v>25</v>
      </c>
      <c r="E1339" s="673">
        <f>825899-325000</f>
        <v>500899</v>
      </c>
      <c r="F1339" s="669"/>
      <c r="G1339" s="669"/>
      <c r="H1339" s="669"/>
      <c r="I1339" s="324">
        <f t="shared" si="954"/>
        <v>500899</v>
      </c>
      <c r="J1339" s="669"/>
      <c r="K1339" s="669"/>
      <c r="L1339" s="317">
        <f t="shared" si="949"/>
        <v>500899</v>
      </c>
      <c r="M1339" s="317"/>
      <c r="N1339" s="372">
        <f t="shared" si="953"/>
        <v>0</v>
      </c>
      <c r="O1339" s="319">
        <f>L1339*1.1</f>
        <v>550988.9</v>
      </c>
      <c r="P1339" s="319">
        <f t="shared" si="976"/>
        <v>606087.79</v>
      </c>
      <c r="R1339" s="317"/>
      <c r="U1339" s="320"/>
    </row>
    <row r="1340" spans="1:21" s="344" customFormat="1" outlineLevel="3">
      <c r="A1340" s="345"/>
      <c r="B1340" s="345"/>
      <c r="C1340" s="667">
        <v>2210302</v>
      </c>
      <c r="D1340" s="668" t="s">
        <v>269</v>
      </c>
      <c r="E1340" s="673">
        <v>291471</v>
      </c>
      <c r="F1340" s="669"/>
      <c r="G1340" s="669"/>
      <c r="H1340" s="669"/>
      <c r="I1340" s="324">
        <f t="shared" si="954"/>
        <v>291471</v>
      </c>
      <c r="J1340" s="669"/>
      <c r="K1340" s="669"/>
      <c r="L1340" s="317">
        <f t="shared" si="949"/>
        <v>291471</v>
      </c>
      <c r="M1340" s="317"/>
      <c r="N1340" s="372">
        <f t="shared" si="953"/>
        <v>0</v>
      </c>
      <c r="O1340" s="319">
        <f>L1340*1.1</f>
        <v>320618.10000000003</v>
      </c>
      <c r="P1340" s="319">
        <f t="shared" si="976"/>
        <v>352679.91000000009</v>
      </c>
      <c r="R1340" s="317"/>
      <c r="U1340" s="320"/>
    </row>
    <row r="1341" spans="1:21" s="344" customFormat="1" outlineLevel="3">
      <c r="A1341" s="345"/>
      <c r="B1341" s="345"/>
      <c r="C1341" s="667">
        <v>2210303</v>
      </c>
      <c r="D1341" s="668" t="s">
        <v>27</v>
      </c>
      <c r="E1341" s="673">
        <v>245517</v>
      </c>
      <c r="F1341" s="669"/>
      <c r="G1341" s="669"/>
      <c r="H1341" s="669"/>
      <c r="I1341" s="324">
        <f t="shared" si="954"/>
        <v>245517</v>
      </c>
      <c r="J1341" s="669"/>
      <c r="K1341" s="669"/>
      <c r="L1341" s="317">
        <f t="shared" si="949"/>
        <v>245517</v>
      </c>
      <c r="M1341" s="317"/>
      <c r="N1341" s="372">
        <f t="shared" si="953"/>
        <v>0</v>
      </c>
      <c r="O1341" s="319">
        <f>L1341*1.1</f>
        <v>270068.7</v>
      </c>
      <c r="P1341" s="319">
        <f t="shared" si="976"/>
        <v>297075.57000000007</v>
      </c>
      <c r="R1341" s="317"/>
      <c r="U1341" s="320"/>
    </row>
    <row r="1342" spans="1:21" s="344" customFormat="1" outlineLevel="3">
      <c r="A1342" s="345"/>
      <c r="B1342" s="345"/>
      <c r="C1342" s="340">
        <v>2210700</v>
      </c>
      <c r="D1342" s="338" t="s">
        <v>271</v>
      </c>
      <c r="E1342" s="622">
        <f>E1343+E1344+E1345</f>
        <v>854523</v>
      </c>
      <c r="F1342" s="622">
        <f t="shared" ref="F1342:K1342" si="989">F1343+F1344+F1345</f>
        <v>0</v>
      </c>
      <c r="G1342" s="622">
        <f t="shared" si="989"/>
        <v>0</v>
      </c>
      <c r="H1342" s="622">
        <f t="shared" si="989"/>
        <v>0</v>
      </c>
      <c r="I1342" s="622">
        <f t="shared" si="989"/>
        <v>854523</v>
      </c>
      <c r="J1342" s="622">
        <f t="shared" si="989"/>
        <v>0</v>
      </c>
      <c r="K1342" s="622">
        <f t="shared" si="989"/>
        <v>0</v>
      </c>
      <c r="L1342" s="317">
        <f t="shared" si="949"/>
        <v>854523</v>
      </c>
      <c r="M1342" s="317"/>
      <c r="N1342" s="372">
        <f t="shared" si="953"/>
        <v>0</v>
      </c>
      <c r="O1342" s="622">
        <f t="shared" ref="O1342:P1342" si="990">O1343+O1344+O1345</f>
        <v>939975.3</v>
      </c>
      <c r="P1342" s="622">
        <f t="shared" si="990"/>
        <v>1033972.8300000002</v>
      </c>
      <c r="R1342" s="317"/>
      <c r="U1342" s="320"/>
    </row>
    <row r="1343" spans="1:21" s="344" customFormat="1" outlineLevel="3">
      <c r="A1343" s="345"/>
      <c r="B1343" s="345"/>
      <c r="C1343" s="667">
        <v>2210701</v>
      </c>
      <c r="D1343" s="668" t="s">
        <v>287</v>
      </c>
      <c r="E1343" s="673">
        <v>340254</v>
      </c>
      <c r="F1343" s="669"/>
      <c r="G1343" s="669"/>
      <c r="H1343" s="669"/>
      <c r="I1343" s="324">
        <f t="shared" si="954"/>
        <v>340254</v>
      </c>
      <c r="J1343" s="669"/>
      <c r="K1343" s="669"/>
      <c r="L1343" s="317">
        <f t="shared" si="949"/>
        <v>340254</v>
      </c>
      <c r="M1343" s="317"/>
      <c r="N1343" s="372">
        <f t="shared" si="953"/>
        <v>0</v>
      </c>
      <c r="O1343" s="319">
        <f>L1343*1.1</f>
        <v>374279.4</v>
      </c>
      <c r="P1343" s="319">
        <f t="shared" si="976"/>
        <v>411707.34000000008</v>
      </c>
      <c r="R1343" s="317"/>
      <c r="U1343" s="320"/>
    </row>
    <row r="1344" spans="1:21" s="344" customFormat="1" outlineLevel="3">
      <c r="A1344" s="345"/>
      <c r="B1344" s="345"/>
      <c r="C1344" s="667">
        <v>2210704</v>
      </c>
      <c r="D1344" s="668" t="s">
        <v>38</v>
      </c>
      <c r="E1344" s="673">
        <v>308454</v>
      </c>
      <c r="F1344" s="669"/>
      <c r="G1344" s="669"/>
      <c r="H1344" s="669"/>
      <c r="I1344" s="324">
        <f t="shared" si="954"/>
        <v>308454</v>
      </c>
      <c r="J1344" s="669"/>
      <c r="K1344" s="669"/>
      <c r="L1344" s="317">
        <f t="shared" si="949"/>
        <v>308454</v>
      </c>
      <c r="M1344" s="317"/>
      <c r="N1344" s="372">
        <f t="shared" si="953"/>
        <v>0</v>
      </c>
      <c r="O1344" s="319">
        <f>L1344*1.1</f>
        <v>339299.4</v>
      </c>
      <c r="P1344" s="319">
        <f t="shared" ref="P1344:P1364" si="991">O1344*1.1</f>
        <v>373229.34000000008</v>
      </c>
      <c r="R1344" s="317"/>
      <c r="U1344" s="320"/>
    </row>
    <row r="1345" spans="1:21" s="344" customFormat="1" outlineLevel="3">
      <c r="A1345" s="345"/>
      <c r="B1345" s="345"/>
      <c r="C1345" s="667">
        <v>2210710</v>
      </c>
      <c r="D1345" s="668" t="s">
        <v>288</v>
      </c>
      <c r="E1345" s="673">
        <v>205815</v>
      </c>
      <c r="F1345" s="669"/>
      <c r="G1345" s="669"/>
      <c r="H1345" s="669"/>
      <c r="I1345" s="324">
        <f t="shared" si="954"/>
        <v>205815</v>
      </c>
      <c r="J1345" s="669"/>
      <c r="K1345" s="669"/>
      <c r="L1345" s="317">
        <f t="shared" si="949"/>
        <v>205815</v>
      </c>
      <c r="M1345" s="317"/>
      <c r="N1345" s="372">
        <f t="shared" si="953"/>
        <v>0</v>
      </c>
      <c r="O1345" s="319">
        <f>L1345*1.1</f>
        <v>226396.50000000003</v>
      </c>
      <c r="P1345" s="319">
        <f t="shared" si="991"/>
        <v>249036.15000000005</v>
      </c>
      <c r="R1345" s="317"/>
      <c r="U1345" s="320"/>
    </row>
    <row r="1346" spans="1:21" s="344" customFormat="1" outlineLevel="3">
      <c r="A1346" s="345"/>
      <c r="B1346" s="345"/>
      <c r="C1346" s="340">
        <v>2211200</v>
      </c>
      <c r="D1346" s="338" t="s">
        <v>55</v>
      </c>
      <c r="E1346" s="622">
        <f>E1347</f>
        <v>709639</v>
      </c>
      <c r="F1346" s="622">
        <f t="shared" ref="F1346:K1346" si="992">F1347</f>
        <v>0</v>
      </c>
      <c r="G1346" s="622">
        <f t="shared" si="992"/>
        <v>0</v>
      </c>
      <c r="H1346" s="622">
        <f t="shared" si="992"/>
        <v>0</v>
      </c>
      <c r="I1346" s="622">
        <f t="shared" si="992"/>
        <v>709639</v>
      </c>
      <c r="J1346" s="622">
        <f t="shared" si="992"/>
        <v>0</v>
      </c>
      <c r="K1346" s="622">
        <f t="shared" si="992"/>
        <v>-709639</v>
      </c>
      <c r="L1346" s="317">
        <f t="shared" si="949"/>
        <v>0</v>
      </c>
      <c r="M1346" s="317"/>
      <c r="N1346" s="372">
        <f t="shared" si="953"/>
        <v>709639</v>
      </c>
      <c r="O1346" s="622">
        <f t="shared" ref="O1346:P1346" si="993">O1347</f>
        <v>0</v>
      </c>
      <c r="P1346" s="622">
        <f t="shared" si="993"/>
        <v>0</v>
      </c>
      <c r="R1346" s="317"/>
      <c r="U1346" s="320"/>
    </row>
    <row r="1347" spans="1:21" s="344" customFormat="1" outlineLevel="3">
      <c r="A1347" s="345"/>
      <c r="B1347" s="345"/>
      <c r="C1347" s="667">
        <v>2211201</v>
      </c>
      <c r="D1347" s="668" t="s">
        <v>56</v>
      </c>
      <c r="E1347" s="673">
        <v>709639</v>
      </c>
      <c r="F1347" s="669"/>
      <c r="G1347" s="669"/>
      <c r="H1347" s="669"/>
      <c r="I1347" s="324">
        <f t="shared" si="954"/>
        <v>709639</v>
      </c>
      <c r="J1347" s="669"/>
      <c r="K1347" s="669">
        <v>-709639</v>
      </c>
      <c r="L1347" s="317">
        <f t="shared" si="949"/>
        <v>0</v>
      </c>
      <c r="M1347" s="317"/>
      <c r="N1347" s="372">
        <f t="shared" si="953"/>
        <v>709639</v>
      </c>
      <c r="O1347" s="319">
        <f>L1347*1.1</f>
        <v>0</v>
      </c>
      <c r="P1347" s="319">
        <f t="shared" si="991"/>
        <v>0</v>
      </c>
      <c r="R1347" s="317"/>
      <c r="U1347" s="320"/>
    </row>
    <row r="1348" spans="1:21" s="344" customFormat="1" outlineLevel="3">
      <c r="A1348" s="345"/>
      <c r="B1348" s="345"/>
      <c r="C1348" s="340">
        <v>2220100</v>
      </c>
      <c r="D1348" s="338" t="s">
        <v>290</v>
      </c>
      <c r="E1348" s="622">
        <f>E1349</f>
        <v>1687396</v>
      </c>
      <c r="F1348" s="622">
        <f t="shared" ref="F1348:K1348" si="994">F1349</f>
        <v>0</v>
      </c>
      <c r="G1348" s="622">
        <f t="shared" si="994"/>
        <v>0</v>
      </c>
      <c r="H1348" s="622">
        <f t="shared" si="994"/>
        <v>0</v>
      </c>
      <c r="I1348" s="622">
        <f t="shared" si="994"/>
        <v>1687396</v>
      </c>
      <c r="J1348" s="622">
        <f t="shared" si="994"/>
        <v>0</v>
      </c>
      <c r="K1348" s="622">
        <f t="shared" si="994"/>
        <v>-38396</v>
      </c>
      <c r="L1348" s="317">
        <f t="shared" ref="L1348:L1411" si="995">I1348+J1348+K1348</f>
        <v>1649000</v>
      </c>
      <c r="M1348" s="317"/>
      <c r="N1348" s="372">
        <f t="shared" si="953"/>
        <v>38396</v>
      </c>
      <c r="O1348" s="622">
        <f t="shared" ref="O1348:P1348" si="996">O1349</f>
        <v>1813900.0000000002</v>
      </c>
      <c r="P1348" s="622">
        <f t="shared" si="996"/>
        <v>1995290.0000000005</v>
      </c>
      <c r="R1348" s="317"/>
      <c r="U1348" s="320"/>
    </row>
    <row r="1349" spans="1:21" outlineLevel="3">
      <c r="A1349" s="330"/>
      <c r="B1349" s="330"/>
      <c r="C1349" s="667">
        <v>2220101</v>
      </c>
      <c r="D1349" s="668" t="s">
        <v>200</v>
      </c>
      <c r="E1349" s="673">
        <v>1687396</v>
      </c>
      <c r="F1349" s="669"/>
      <c r="G1349" s="669"/>
      <c r="H1349" s="669"/>
      <c r="I1349" s="324">
        <f t="shared" si="954"/>
        <v>1687396</v>
      </c>
      <c r="J1349" s="669"/>
      <c r="K1349" s="669">
        <v>-38396</v>
      </c>
      <c r="L1349" s="317">
        <f t="shared" si="995"/>
        <v>1649000</v>
      </c>
      <c r="M1349" s="317"/>
      <c r="N1349" s="372">
        <f t="shared" si="953"/>
        <v>38396</v>
      </c>
      <c r="O1349" s="319">
        <f>L1349*1.1</f>
        <v>1813900.0000000002</v>
      </c>
      <c r="P1349" s="319">
        <f t="shared" si="991"/>
        <v>1995290.0000000005</v>
      </c>
      <c r="R1349" s="317"/>
      <c r="U1349" s="320"/>
    </row>
    <row r="1350" spans="1:21" s="344" customFormat="1" outlineLevel="3">
      <c r="A1350" s="345"/>
      <c r="B1350" s="345"/>
      <c r="C1350" s="340">
        <v>3111000</v>
      </c>
      <c r="D1350" s="338" t="s">
        <v>69</v>
      </c>
      <c r="E1350" s="622">
        <f>E1351</f>
        <v>398866</v>
      </c>
      <c r="F1350" s="622">
        <f t="shared" ref="F1350:K1350" si="997">F1351</f>
        <v>0</v>
      </c>
      <c r="G1350" s="622">
        <f t="shared" si="997"/>
        <v>0</v>
      </c>
      <c r="H1350" s="622">
        <f t="shared" si="997"/>
        <v>0</v>
      </c>
      <c r="I1350" s="622">
        <f t="shared" si="997"/>
        <v>398866</v>
      </c>
      <c r="J1350" s="622">
        <f t="shared" si="997"/>
        <v>0</v>
      </c>
      <c r="K1350" s="622">
        <f t="shared" si="997"/>
        <v>0</v>
      </c>
      <c r="L1350" s="317">
        <f t="shared" si="995"/>
        <v>398866</v>
      </c>
      <c r="M1350" s="317"/>
      <c r="N1350" s="372">
        <f t="shared" si="953"/>
        <v>0</v>
      </c>
      <c r="O1350" s="622">
        <f t="shared" ref="O1350:P1350" si="998">O1351</f>
        <v>438752.60000000003</v>
      </c>
      <c r="P1350" s="622">
        <f t="shared" si="998"/>
        <v>482627.8600000001</v>
      </c>
      <c r="R1350" s="317"/>
      <c r="U1350" s="320"/>
    </row>
    <row r="1351" spans="1:21" s="344" customFormat="1" outlineLevel="3">
      <c r="A1351" s="345"/>
      <c r="B1351" s="345"/>
      <c r="C1351" s="667">
        <v>3111002</v>
      </c>
      <c r="D1351" s="668" t="s">
        <v>71</v>
      </c>
      <c r="E1351" s="673">
        <v>398866</v>
      </c>
      <c r="F1351" s="669"/>
      <c r="G1351" s="669"/>
      <c r="H1351" s="669"/>
      <c r="I1351" s="324">
        <f t="shared" si="954"/>
        <v>398866</v>
      </c>
      <c r="J1351" s="669"/>
      <c r="K1351" s="669"/>
      <c r="L1351" s="317">
        <f t="shared" si="995"/>
        <v>398866</v>
      </c>
      <c r="M1351" s="317"/>
      <c r="N1351" s="372">
        <f t="shared" si="953"/>
        <v>0</v>
      </c>
      <c r="O1351" s="319">
        <f>L1351*1.1</f>
        <v>438752.60000000003</v>
      </c>
      <c r="P1351" s="319">
        <f t="shared" si="991"/>
        <v>482627.8600000001</v>
      </c>
      <c r="R1351" s="317"/>
      <c r="U1351" s="320"/>
    </row>
    <row r="1352" spans="1:21" s="344" customFormat="1" outlineLevel="3">
      <c r="A1352" s="345"/>
      <c r="B1352" s="345"/>
      <c r="C1352" s="340">
        <v>3111400</v>
      </c>
      <c r="D1352" s="338" t="s">
        <v>300</v>
      </c>
      <c r="E1352" s="622">
        <f>E1353</f>
        <v>676000</v>
      </c>
      <c r="F1352" s="622">
        <f t="shared" ref="F1352:K1352" si="999">F1353</f>
        <v>0</v>
      </c>
      <c r="G1352" s="622">
        <f t="shared" si="999"/>
        <v>0</v>
      </c>
      <c r="H1352" s="622">
        <f t="shared" si="999"/>
        <v>0</v>
      </c>
      <c r="I1352" s="622">
        <f t="shared" si="999"/>
        <v>676000</v>
      </c>
      <c r="J1352" s="622">
        <f t="shared" si="999"/>
        <v>0</v>
      </c>
      <c r="K1352" s="622">
        <f t="shared" si="999"/>
        <v>0</v>
      </c>
      <c r="L1352" s="317">
        <f t="shared" si="995"/>
        <v>676000</v>
      </c>
      <c r="M1352" s="317"/>
      <c r="N1352" s="372">
        <f t="shared" ref="N1352:N1415" si="1000">M1352-K1352</f>
        <v>0</v>
      </c>
      <c r="O1352" s="622">
        <f t="shared" ref="O1352:P1352" si="1001">O1353</f>
        <v>743600.00000000012</v>
      </c>
      <c r="P1352" s="622">
        <f t="shared" si="1001"/>
        <v>817960.00000000023</v>
      </c>
      <c r="R1352" s="317"/>
      <c r="U1352" s="320"/>
    </row>
    <row r="1353" spans="1:21" s="344" customFormat="1" outlineLevel="3">
      <c r="A1353" s="345"/>
      <c r="B1353" s="345"/>
      <c r="C1353" s="667">
        <v>3111401</v>
      </c>
      <c r="D1353" s="668" t="s">
        <v>1316</v>
      </c>
      <c r="E1353" s="673">
        <f>1500000-200000-200000-124000-300000</f>
        <v>676000</v>
      </c>
      <c r="F1353" s="669"/>
      <c r="G1353" s="669"/>
      <c r="H1353" s="669"/>
      <c r="I1353" s="324">
        <f t="shared" ref="I1353:I1412" si="1002">E1353+F1353+G1353+H1353</f>
        <v>676000</v>
      </c>
      <c r="J1353" s="669"/>
      <c r="K1353" s="669"/>
      <c r="L1353" s="317">
        <f t="shared" si="995"/>
        <v>676000</v>
      </c>
      <c r="M1353" s="317"/>
      <c r="N1353" s="372">
        <f t="shared" si="1000"/>
        <v>0</v>
      </c>
      <c r="O1353" s="319">
        <f>L1353*1.1</f>
        <v>743600.00000000012</v>
      </c>
      <c r="P1353" s="319">
        <f t="shared" si="991"/>
        <v>817960.00000000023</v>
      </c>
      <c r="R1353" s="317"/>
      <c r="U1353" s="320"/>
    </row>
    <row r="1354" spans="1:21" s="344" customFormat="1" outlineLevel="2">
      <c r="A1354" s="345"/>
      <c r="B1354" s="345"/>
      <c r="C1354" s="314"/>
      <c r="D1354" s="447" t="s">
        <v>295</v>
      </c>
      <c r="E1354" s="619">
        <f>SUM(E1352,E1350,E1348,E1346,E1342,E1338,E1335,E1332)</f>
        <v>7587195</v>
      </c>
      <c r="F1354" s="619">
        <f t="shared" ref="F1354:K1354" si="1003">SUM(F1352,F1350,F1348,F1346,F1342,F1338,F1335,F1332)</f>
        <v>0</v>
      </c>
      <c r="G1354" s="619">
        <f t="shared" si="1003"/>
        <v>0</v>
      </c>
      <c r="H1354" s="619">
        <f t="shared" si="1003"/>
        <v>0</v>
      </c>
      <c r="I1354" s="619">
        <f t="shared" si="1003"/>
        <v>7587195</v>
      </c>
      <c r="J1354" s="619">
        <f t="shared" si="1003"/>
        <v>0</v>
      </c>
      <c r="K1354" s="619">
        <f t="shared" si="1003"/>
        <v>-1445849</v>
      </c>
      <c r="L1354" s="317">
        <f t="shared" si="995"/>
        <v>6141346</v>
      </c>
      <c r="M1354" s="317"/>
      <c r="N1354" s="372">
        <f t="shared" si="1000"/>
        <v>1445849</v>
      </c>
      <c r="O1354" s="619">
        <f t="shared" ref="O1354:P1354" si="1004">SUM(O1352,O1350,O1348,O1346,O1342,O1338,O1335,O1332)</f>
        <v>6755480.6000000006</v>
      </c>
      <c r="P1354" s="619">
        <f t="shared" si="1004"/>
        <v>7431028.660000002</v>
      </c>
      <c r="R1354" s="317"/>
      <c r="U1354" s="320"/>
    </row>
    <row r="1355" spans="1:21" s="344" customFormat="1" outlineLevel="2">
      <c r="A1355" s="345"/>
      <c r="B1355" s="345"/>
      <c r="C1355" s="332"/>
      <c r="D1355" s="330"/>
      <c r="E1355" s="422"/>
      <c r="F1355" s="389"/>
      <c r="G1355" s="389"/>
      <c r="H1355" s="389"/>
      <c r="I1355" s="324">
        <f t="shared" si="1002"/>
        <v>0</v>
      </c>
      <c r="J1355" s="389"/>
      <c r="K1355" s="389"/>
      <c r="L1355" s="317">
        <f t="shared" si="995"/>
        <v>0</v>
      </c>
      <c r="M1355" s="317"/>
      <c r="N1355" s="372">
        <f t="shared" si="1000"/>
        <v>0</v>
      </c>
      <c r="O1355" s="319">
        <f>L1355*1.1</f>
        <v>0</v>
      </c>
      <c r="P1355" s="319">
        <f t="shared" si="991"/>
        <v>0</v>
      </c>
      <c r="R1355" s="317"/>
      <c r="U1355" s="320"/>
    </row>
    <row r="1356" spans="1:21" s="344" customFormat="1" outlineLevel="2">
      <c r="A1356" s="345"/>
      <c r="B1356" s="345"/>
      <c r="C1356" s="340"/>
      <c r="D1356" s="338" t="s">
        <v>92</v>
      </c>
      <c r="E1356" s="622"/>
      <c r="F1356" s="397"/>
      <c r="G1356" s="397"/>
      <c r="H1356" s="397"/>
      <c r="I1356" s="324">
        <f t="shared" si="1002"/>
        <v>0</v>
      </c>
      <c r="J1356" s="397"/>
      <c r="K1356" s="397"/>
      <c r="L1356" s="317">
        <f t="shared" si="995"/>
        <v>0</v>
      </c>
      <c r="M1356" s="317"/>
      <c r="N1356" s="372">
        <f t="shared" si="1000"/>
        <v>0</v>
      </c>
      <c r="O1356" s="319">
        <f>L1356*1.1</f>
        <v>0</v>
      </c>
      <c r="P1356" s="319">
        <f t="shared" si="991"/>
        <v>0</v>
      </c>
      <c r="R1356" s="317"/>
      <c r="U1356" s="320"/>
    </row>
    <row r="1357" spans="1:21" s="344" customFormat="1" outlineLevel="3">
      <c r="A1357" s="345"/>
      <c r="B1357" s="345"/>
      <c r="C1357" s="340">
        <v>2510100</v>
      </c>
      <c r="D1357" s="338" t="s">
        <v>301</v>
      </c>
      <c r="E1357" s="622">
        <f>E1359+E1358</f>
        <v>50000000</v>
      </c>
      <c r="F1357" s="622">
        <f t="shared" ref="F1357:K1357" si="1005">F1359+F1358</f>
        <v>5000000</v>
      </c>
      <c r="G1357" s="622">
        <f t="shared" si="1005"/>
        <v>0</v>
      </c>
      <c r="H1357" s="622">
        <f t="shared" si="1005"/>
        <v>0</v>
      </c>
      <c r="I1357" s="622">
        <f t="shared" si="1005"/>
        <v>55000000</v>
      </c>
      <c r="J1357" s="622">
        <f t="shared" si="1005"/>
        <v>0</v>
      </c>
      <c r="K1357" s="622">
        <f t="shared" si="1005"/>
        <v>0</v>
      </c>
      <c r="L1357" s="317">
        <f t="shared" si="995"/>
        <v>55000000</v>
      </c>
      <c r="M1357" s="317"/>
      <c r="N1357" s="372">
        <f t="shared" si="1000"/>
        <v>0</v>
      </c>
      <c r="O1357" s="622">
        <f t="shared" ref="O1357:P1357" si="1006">O1359+O1358</f>
        <v>55000000.000000007</v>
      </c>
      <c r="P1357" s="622">
        <f t="shared" si="1006"/>
        <v>60500000.000000015</v>
      </c>
      <c r="R1357" s="317"/>
      <c r="U1357" s="320"/>
    </row>
    <row r="1358" spans="1:21" s="344" customFormat="1" outlineLevel="3">
      <c r="A1358" s="345"/>
      <c r="B1358" s="345"/>
      <c r="C1358" s="332">
        <v>2640499</v>
      </c>
      <c r="D1358" s="330" t="s">
        <v>2061</v>
      </c>
      <c r="E1358" s="422"/>
      <c r="F1358" s="673">
        <v>5000000</v>
      </c>
      <c r="G1358" s="389"/>
      <c r="H1358" s="389"/>
      <c r="I1358" s="324">
        <f t="shared" si="1002"/>
        <v>5000000</v>
      </c>
      <c r="J1358" s="389"/>
      <c r="K1358" s="389"/>
      <c r="L1358" s="317">
        <f t="shared" si="995"/>
        <v>5000000</v>
      </c>
      <c r="M1358" s="317"/>
      <c r="N1358" s="372">
        <f t="shared" si="1000"/>
        <v>0</v>
      </c>
      <c r="O1358" s="319"/>
      <c r="P1358" s="319"/>
      <c r="R1358" s="317"/>
      <c r="U1358" s="320"/>
    </row>
    <row r="1359" spans="1:21" s="344" customFormat="1" outlineLevel="3">
      <c r="A1359" s="345"/>
      <c r="B1359" s="345"/>
      <c r="C1359" s="667">
        <v>2510199</v>
      </c>
      <c r="D1359" s="668" t="s">
        <v>1320</v>
      </c>
      <c r="E1359" s="673">
        <v>50000000</v>
      </c>
      <c r="F1359" s="669"/>
      <c r="G1359" s="669"/>
      <c r="H1359" s="669"/>
      <c r="I1359" s="324">
        <f t="shared" si="1002"/>
        <v>50000000</v>
      </c>
      <c r="J1359" s="669"/>
      <c r="K1359" s="669"/>
      <c r="L1359" s="317">
        <f t="shared" si="995"/>
        <v>50000000</v>
      </c>
      <c r="M1359" s="317"/>
      <c r="N1359" s="372">
        <f t="shared" si="1000"/>
        <v>0</v>
      </c>
      <c r="O1359" s="319">
        <f>L1359*1.1</f>
        <v>55000000.000000007</v>
      </c>
      <c r="P1359" s="319">
        <f t="shared" si="991"/>
        <v>60500000.000000015</v>
      </c>
      <c r="R1359" s="317"/>
      <c r="U1359" s="320"/>
    </row>
    <row r="1360" spans="1:21" s="344" customFormat="1" outlineLevel="3">
      <c r="A1360" s="345"/>
      <c r="B1360" s="345"/>
      <c r="C1360" s="340">
        <v>3111500</v>
      </c>
      <c r="D1360" s="338" t="s">
        <v>302</v>
      </c>
      <c r="E1360" s="622">
        <f>E1364+E1361+E1362+E1363</f>
        <v>36401951</v>
      </c>
      <c r="F1360" s="622">
        <f t="shared" ref="F1360:K1360" si="1007">F1364+F1361+F1362+F1363</f>
        <v>26937685</v>
      </c>
      <c r="G1360" s="622">
        <f t="shared" si="1007"/>
        <v>-5000000</v>
      </c>
      <c r="H1360" s="622">
        <f t="shared" si="1007"/>
        <v>0</v>
      </c>
      <c r="I1360" s="622">
        <f t="shared" si="1007"/>
        <v>58339636</v>
      </c>
      <c r="J1360" s="622">
        <f t="shared" si="1007"/>
        <v>-18009137</v>
      </c>
      <c r="K1360" s="622">
        <f t="shared" si="1007"/>
        <v>0</v>
      </c>
      <c r="L1360" s="317">
        <f t="shared" si="995"/>
        <v>40330499</v>
      </c>
      <c r="M1360" s="317"/>
      <c r="N1360" s="372">
        <f t="shared" si="1000"/>
        <v>0</v>
      </c>
      <c r="O1360" s="622">
        <f t="shared" ref="O1360:P1360" si="1008">O1364+O1361+O1362+O1363</f>
        <v>44363548.900000006</v>
      </c>
      <c r="P1360" s="622">
        <f t="shared" si="1008"/>
        <v>48799903.790000007</v>
      </c>
      <c r="R1360" s="317"/>
      <c r="U1360" s="320"/>
    </row>
    <row r="1361" spans="1:21" s="344" customFormat="1" outlineLevel="3">
      <c r="A1361" s="345"/>
      <c r="B1361" s="345"/>
      <c r="C1361" s="667">
        <v>3111504</v>
      </c>
      <c r="D1361" s="668" t="s">
        <v>303</v>
      </c>
      <c r="E1361" s="673">
        <v>24907301</v>
      </c>
      <c r="F1361" s="673">
        <v>26937685</v>
      </c>
      <c r="G1361" s="669"/>
      <c r="H1361" s="669"/>
      <c r="I1361" s="324">
        <f t="shared" si="1002"/>
        <v>51844986</v>
      </c>
      <c r="J1361" s="669">
        <f>-14009137-4000000</f>
        <v>-18009137</v>
      </c>
      <c r="K1361" s="669"/>
      <c r="L1361" s="317">
        <f t="shared" si="995"/>
        <v>33835849</v>
      </c>
      <c r="M1361" s="317"/>
      <c r="N1361" s="372">
        <f t="shared" si="1000"/>
        <v>0</v>
      </c>
      <c r="O1361" s="319">
        <f>L1361*1.1</f>
        <v>37219433.900000006</v>
      </c>
      <c r="P1361" s="319">
        <f t="shared" si="991"/>
        <v>40941377.290000007</v>
      </c>
      <c r="R1361" s="317"/>
      <c r="U1361" s="320" t="s">
        <v>1803</v>
      </c>
    </row>
    <row r="1362" spans="1:21" s="344" customFormat="1" outlineLevel="3">
      <c r="A1362" s="345"/>
      <c r="B1362" s="345"/>
      <c r="C1362" s="667">
        <v>3111505</v>
      </c>
      <c r="D1362" s="668" t="s">
        <v>2426</v>
      </c>
      <c r="E1362" s="673">
        <v>4494650</v>
      </c>
      <c r="F1362" s="669"/>
      <c r="G1362" s="669"/>
      <c r="H1362" s="669"/>
      <c r="I1362" s="324">
        <f t="shared" si="1002"/>
        <v>4494650</v>
      </c>
      <c r="J1362" s="669"/>
      <c r="K1362" s="669"/>
      <c r="L1362" s="317">
        <f t="shared" si="995"/>
        <v>4494650</v>
      </c>
      <c r="M1362" s="317"/>
      <c r="N1362" s="372">
        <f t="shared" si="1000"/>
        <v>0</v>
      </c>
      <c r="O1362" s="319">
        <f t="shared" ref="O1362:O1363" si="1009">L1362*1.1</f>
        <v>4944115</v>
      </c>
      <c r="P1362" s="319">
        <f t="shared" ref="P1362:P1363" si="1010">O1362*1.1</f>
        <v>5438526.5</v>
      </c>
      <c r="R1362" s="317"/>
      <c r="U1362" s="320"/>
    </row>
    <row r="1363" spans="1:21" s="344" customFormat="1" outlineLevel="3">
      <c r="A1363" s="483"/>
      <c r="B1363" s="483"/>
      <c r="C1363" s="674"/>
      <c r="D1363" s="675" t="s">
        <v>1318</v>
      </c>
      <c r="E1363" s="676">
        <v>2000000</v>
      </c>
      <c r="F1363" s="677"/>
      <c r="G1363" s="677"/>
      <c r="H1363" s="677"/>
      <c r="I1363" s="324">
        <f t="shared" si="1002"/>
        <v>2000000</v>
      </c>
      <c r="J1363" s="677"/>
      <c r="K1363" s="677"/>
      <c r="L1363" s="317">
        <f t="shared" si="995"/>
        <v>2000000</v>
      </c>
      <c r="M1363" s="317"/>
      <c r="N1363" s="372">
        <f t="shared" si="1000"/>
        <v>0</v>
      </c>
      <c r="O1363" s="319">
        <f t="shared" si="1009"/>
        <v>2200000</v>
      </c>
      <c r="P1363" s="319">
        <f t="shared" si="1010"/>
        <v>2420000</v>
      </c>
      <c r="R1363" s="317"/>
      <c r="U1363" s="320"/>
    </row>
    <row r="1364" spans="1:21" s="344" customFormat="1" outlineLevel="3">
      <c r="A1364" s="345"/>
      <c r="B1364" s="345"/>
      <c r="C1364" s="667"/>
      <c r="D1364" s="668" t="s">
        <v>1319</v>
      </c>
      <c r="E1364" s="673">
        <f>40000000-35000000</f>
        <v>5000000</v>
      </c>
      <c r="F1364" s="669"/>
      <c r="G1364" s="673">
        <v>-5000000</v>
      </c>
      <c r="H1364" s="669"/>
      <c r="I1364" s="324">
        <f t="shared" si="1002"/>
        <v>0</v>
      </c>
      <c r="J1364" s="669"/>
      <c r="K1364" s="669"/>
      <c r="L1364" s="317">
        <f t="shared" si="995"/>
        <v>0</v>
      </c>
      <c r="M1364" s="2210"/>
      <c r="N1364" s="372">
        <f t="shared" si="1000"/>
        <v>0</v>
      </c>
      <c r="O1364" s="318">
        <f>L1364*1.1</f>
        <v>0</v>
      </c>
      <c r="P1364" s="319">
        <f t="shared" si="991"/>
        <v>0</v>
      </c>
      <c r="R1364" s="317"/>
      <c r="U1364" s="320"/>
    </row>
    <row r="1365" spans="1:21" s="344" customFormat="1" outlineLevel="2">
      <c r="A1365" s="506"/>
      <c r="B1365" s="506"/>
      <c r="C1365" s="322"/>
      <c r="D1365" s="663" t="s">
        <v>261</v>
      </c>
      <c r="E1365" s="678">
        <f>E1360+E1357</f>
        <v>86401951</v>
      </c>
      <c r="F1365" s="678">
        <f t="shared" ref="F1365:K1365" si="1011">F1360+F1357</f>
        <v>31937685</v>
      </c>
      <c r="G1365" s="678">
        <f t="shared" si="1011"/>
        <v>-5000000</v>
      </c>
      <c r="H1365" s="678">
        <f t="shared" si="1011"/>
        <v>0</v>
      </c>
      <c r="I1365" s="678">
        <f t="shared" si="1011"/>
        <v>113339636</v>
      </c>
      <c r="J1365" s="678">
        <f t="shared" si="1011"/>
        <v>-18009137</v>
      </c>
      <c r="K1365" s="678">
        <f t="shared" si="1011"/>
        <v>0</v>
      </c>
      <c r="L1365" s="317">
        <f t="shared" si="995"/>
        <v>95330499</v>
      </c>
      <c r="M1365" s="2211"/>
      <c r="N1365" s="372">
        <f t="shared" si="1000"/>
        <v>0</v>
      </c>
      <c r="O1365" s="678">
        <f t="shared" ref="O1365:P1365" si="1012">O1360+O1357</f>
        <v>99363548.900000006</v>
      </c>
      <c r="P1365" s="678">
        <f t="shared" si="1012"/>
        <v>109299903.79000002</v>
      </c>
      <c r="R1365" s="317"/>
      <c r="U1365" s="320"/>
    </row>
    <row r="1366" spans="1:21" s="344" customFormat="1" outlineLevel="1">
      <c r="A1366" s="345"/>
      <c r="B1366" s="345"/>
      <c r="C1366" s="314"/>
      <c r="D1366" s="447" t="s">
        <v>84</v>
      </c>
      <c r="E1366" s="619">
        <f>E1365+E1354</f>
        <v>93989146</v>
      </c>
      <c r="F1366" s="619">
        <f t="shared" ref="F1366:K1366" si="1013">F1365+F1354</f>
        <v>31937685</v>
      </c>
      <c r="G1366" s="619">
        <f t="shared" si="1013"/>
        <v>-5000000</v>
      </c>
      <c r="H1366" s="619">
        <f t="shared" si="1013"/>
        <v>0</v>
      </c>
      <c r="I1366" s="619">
        <f t="shared" si="1013"/>
        <v>120926831</v>
      </c>
      <c r="J1366" s="619">
        <f t="shared" si="1013"/>
        <v>-18009137</v>
      </c>
      <c r="K1366" s="619">
        <f t="shared" si="1013"/>
        <v>-1445849</v>
      </c>
      <c r="L1366" s="317">
        <f t="shared" si="995"/>
        <v>101471845</v>
      </c>
      <c r="M1366" s="317"/>
      <c r="N1366" s="372">
        <f t="shared" si="1000"/>
        <v>1445849</v>
      </c>
      <c r="O1366" s="619">
        <f t="shared" ref="O1366:P1366" si="1014">O1365+O1354</f>
        <v>106119029.5</v>
      </c>
      <c r="P1366" s="619">
        <f t="shared" si="1014"/>
        <v>116730932.45000002</v>
      </c>
      <c r="R1366" s="317"/>
      <c r="U1366" s="320"/>
    </row>
    <row r="1367" spans="1:21" s="344" customFormat="1" outlineLevel="1">
      <c r="A1367" s="345"/>
      <c r="B1367" s="345"/>
      <c r="C1367" s="328"/>
      <c r="D1367" s="326" t="s">
        <v>304</v>
      </c>
      <c r="E1367" s="605">
        <f>E1366+E1328+E1283</f>
        <v>430169352.5</v>
      </c>
      <c r="F1367" s="605">
        <f t="shared" ref="F1367:K1367" si="1015">F1366+F1328+F1283</f>
        <v>61937685</v>
      </c>
      <c r="G1367" s="605">
        <f t="shared" si="1015"/>
        <v>-5000000</v>
      </c>
      <c r="H1367" s="605">
        <f t="shared" si="1015"/>
        <v>-14000000</v>
      </c>
      <c r="I1367" s="605">
        <f t="shared" si="1015"/>
        <v>473107037.5</v>
      </c>
      <c r="J1367" s="605">
        <f t="shared" si="1015"/>
        <v>-21786793</v>
      </c>
      <c r="K1367" s="605">
        <f t="shared" si="1015"/>
        <v>0</v>
      </c>
      <c r="L1367" s="317">
        <f t="shared" si="995"/>
        <v>451320244.5</v>
      </c>
      <c r="M1367" s="317"/>
      <c r="N1367" s="372">
        <f t="shared" si="1000"/>
        <v>0</v>
      </c>
      <c r="O1367" s="605">
        <f t="shared" ref="O1367:P1367" si="1016">O1366+O1328+O1283</f>
        <v>490952268.95000005</v>
      </c>
      <c r="P1367" s="605">
        <f t="shared" si="1016"/>
        <v>540047495.84500003</v>
      </c>
      <c r="R1367" s="317"/>
      <c r="U1367" s="320" t="s">
        <v>1803</v>
      </c>
    </row>
    <row r="1368" spans="1:21" s="344" customFormat="1" outlineLevel="1">
      <c r="A1368" s="345"/>
      <c r="B1368" s="345"/>
      <c r="C1368" s="314"/>
      <c r="D1368" s="447"/>
      <c r="E1368" s="619"/>
      <c r="F1368" s="438"/>
      <c r="G1368" s="438"/>
      <c r="H1368" s="438"/>
      <c r="I1368" s="324">
        <f t="shared" si="1002"/>
        <v>0</v>
      </c>
      <c r="J1368" s="438"/>
      <c r="K1368" s="438"/>
      <c r="L1368" s="317">
        <f t="shared" si="995"/>
        <v>0</v>
      </c>
      <c r="M1368" s="317"/>
      <c r="N1368" s="372">
        <f t="shared" si="1000"/>
        <v>0</v>
      </c>
      <c r="O1368" s="319">
        <f>L1368*1.1</f>
        <v>0</v>
      </c>
      <c r="P1368" s="319">
        <f t="shared" ref="P1368:P1387" si="1017">O1368*1.1</f>
        <v>0</v>
      </c>
      <c r="R1368" s="317"/>
      <c r="U1368" s="320"/>
    </row>
    <row r="1369" spans="1:21" s="344" customFormat="1" outlineLevel="1">
      <c r="A1369" s="345"/>
      <c r="B1369" s="345"/>
      <c r="C1369" s="340" t="s">
        <v>100</v>
      </c>
      <c r="D1369" s="338" t="s">
        <v>305</v>
      </c>
      <c r="E1369" s="518"/>
      <c r="F1369" s="397"/>
      <c r="G1369" s="397"/>
      <c r="H1369" s="397"/>
      <c r="I1369" s="324">
        <f t="shared" si="1002"/>
        <v>0</v>
      </c>
      <c r="J1369" s="397"/>
      <c r="K1369" s="397"/>
      <c r="L1369" s="317">
        <f t="shared" si="995"/>
        <v>0</v>
      </c>
      <c r="M1369" s="317"/>
      <c r="N1369" s="372">
        <f t="shared" si="1000"/>
        <v>0</v>
      </c>
      <c r="O1369" s="319">
        <f>L1369*1.1</f>
        <v>0</v>
      </c>
      <c r="P1369" s="319">
        <f t="shared" si="1017"/>
        <v>0</v>
      </c>
      <c r="R1369" s="317"/>
      <c r="U1369" s="320"/>
    </row>
    <row r="1370" spans="1:21" s="344" customFormat="1" outlineLevel="1">
      <c r="A1370" s="345"/>
      <c r="B1370" s="345"/>
      <c r="C1370" s="447" t="s">
        <v>306</v>
      </c>
      <c r="D1370" s="447"/>
      <c r="E1370" s="438"/>
      <c r="F1370" s="438"/>
      <c r="G1370" s="438"/>
      <c r="H1370" s="438"/>
      <c r="I1370" s="324">
        <f t="shared" si="1002"/>
        <v>0</v>
      </c>
      <c r="J1370" s="438"/>
      <c r="K1370" s="438"/>
      <c r="L1370" s="317">
        <f t="shared" si="995"/>
        <v>0</v>
      </c>
      <c r="M1370" s="317"/>
      <c r="N1370" s="372">
        <f t="shared" si="1000"/>
        <v>0</v>
      </c>
      <c r="O1370" s="319">
        <f>L1370*1.1</f>
        <v>0</v>
      </c>
      <c r="P1370" s="319">
        <f t="shared" si="1017"/>
        <v>0</v>
      </c>
      <c r="R1370" s="317"/>
      <c r="U1370" s="320"/>
    </row>
    <row r="1371" spans="1:21" s="344" customFormat="1" outlineLevel="1">
      <c r="A1371" s="345"/>
      <c r="B1371" s="345"/>
      <c r="C1371" s="314" t="s">
        <v>307</v>
      </c>
      <c r="D1371" s="447"/>
      <c r="E1371" s="679"/>
      <c r="F1371" s="438"/>
      <c r="G1371" s="438"/>
      <c r="H1371" s="438"/>
      <c r="I1371" s="324">
        <f t="shared" si="1002"/>
        <v>0</v>
      </c>
      <c r="J1371" s="438"/>
      <c r="K1371" s="438"/>
      <c r="L1371" s="317">
        <f t="shared" si="995"/>
        <v>0</v>
      </c>
      <c r="M1371" s="317"/>
      <c r="N1371" s="372">
        <f t="shared" si="1000"/>
        <v>0</v>
      </c>
      <c r="O1371" s="319">
        <f>L1371*1.1</f>
        <v>0</v>
      </c>
      <c r="P1371" s="319">
        <f t="shared" si="1017"/>
        <v>0</v>
      </c>
      <c r="R1371" s="317"/>
      <c r="U1371" s="320"/>
    </row>
    <row r="1372" spans="1:21" s="344" customFormat="1" outlineLevel="3">
      <c r="A1372" s="345"/>
      <c r="B1372" s="345"/>
      <c r="C1372" s="340">
        <v>2210100</v>
      </c>
      <c r="D1372" s="338" t="s">
        <v>285</v>
      </c>
      <c r="E1372" s="622">
        <f>E1373+E1374</f>
        <v>53000</v>
      </c>
      <c r="F1372" s="622">
        <f t="shared" ref="F1372:K1372" si="1018">F1373+F1374</f>
        <v>0</v>
      </c>
      <c r="G1372" s="622">
        <f t="shared" si="1018"/>
        <v>0</v>
      </c>
      <c r="H1372" s="622">
        <f t="shared" si="1018"/>
        <v>0</v>
      </c>
      <c r="I1372" s="622">
        <f t="shared" si="1018"/>
        <v>53000</v>
      </c>
      <c r="J1372" s="622">
        <f t="shared" si="1018"/>
        <v>0</v>
      </c>
      <c r="K1372" s="622">
        <f t="shared" si="1018"/>
        <v>0</v>
      </c>
      <c r="L1372" s="317">
        <f t="shared" si="995"/>
        <v>53000</v>
      </c>
      <c r="M1372" s="317"/>
      <c r="N1372" s="372">
        <f t="shared" si="1000"/>
        <v>0</v>
      </c>
      <c r="O1372" s="622">
        <f t="shared" ref="O1372:P1372" si="1019">O1373+O1374</f>
        <v>58300</v>
      </c>
      <c r="P1372" s="622">
        <f t="shared" si="1019"/>
        <v>64130.000000000007</v>
      </c>
      <c r="R1372" s="317"/>
      <c r="U1372" s="320"/>
    </row>
    <row r="1373" spans="1:21" s="344" customFormat="1" outlineLevel="3">
      <c r="A1373" s="345"/>
      <c r="B1373" s="345"/>
      <c r="C1373" s="667">
        <v>2210101</v>
      </c>
      <c r="D1373" s="668" t="s">
        <v>17</v>
      </c>
      <c r="E1373" s="673">
        <v>38000</v>
      </c>
      <c r="F1373" s="669"/>
      <c r="G1373" s="669"/>
      <c r="H1373" s="669"/>
      <c r="I1373" s="324">
        <f t="shared" si="1002"/>
        <v>38000</v>
      </c>
      <c r="J1373" s="669"/>
      <c r="K1373" s="669"/>
      <c r="L1373" s="317">
        <f t="shared" si="995"/>
        <v>38000</v>
      </c>
      <c r="M1373" s="317"/>
      <c r="N1373" s="372">
        <f t="shared" si="1000"/>
        <v>0</v>
      </c>
      <c r="O1373" s="319">
        <f>L1373*1.1</f>
        <v>41800</v>
      </c>
      <c r="P1373" s="319">
        <f t="shared" si="1017"/>
        <v>45980.000000000007</v>
      </c>
      <c r="R1373" s="317"/>
      <c r="U1373" s="320"/>
    </row>
    <row r="1374" spans="1:21" s="344" customFormat="1" outlineLevel="3">
      <c r="A1374" s="345"/>
      <c r="B1374" s="345"/>
      <c r="C1374" s="667">
        <v>2210102</v>
      </c>
      <c r="D1374" s="668" t="s">
        <v>18</v>
      </c>
      <c r="E1374" s="673">
        <v>15000</v>
      </c>
      <c r="F1374" s="669"/>
      <c r="G1374" s="669"/>
      <c r="H1374" s="669"/>
      <c r="I1374" s="324">
        <f t="shared" si="1002"/>
        <v>15000</v>
      </c>
      <c r="J1374" s="669"/>
      <c r="K1374" s="669"/>
      <c r="L1374" s="317">
        <f t="shared" si="995"/>
        <v>15000</v>
      </c>
      <c r="M1374" s="317"/>
      <c r="N1374" s="372">
        <f t="shared" si="1000"/>
        <v>0</v>
      </c>
      <c r="O1374" s="319">
        <f>L1374*1.1</f>
        <v>16500</v>
      </c>
      <c r="P1374" s="319">
        <f t="shared" si="1017"/>
        <v>18150</v>
      </c>
      <c r="R1374" s="317"/>
      <c r="U1374" s="320"/>
    </row>
    <row r="1375" spans="1:21" s="344" customFormat="1" outlineLevel="3">
      <c r="A1375" s="345"/>
      <c r="B1375" s="345"/>
      <c r="C1375" s="340">
        <v>2210200</v>
      </c>
      <c r="D1375" s="338" t="s">
        <v>286</v>
      </c>
      <c r="E1375" s="622">
        <f>E1376</f>
        <v>50000</v>
      </c>
      <c r="F1375" s="622">
        <f t="shared" ref="F1375:P1375" si="1020">F1376</f>
        <v>0</v>
      </c>
      <c r="G1375" s="622">
        <f t="shared" si="1020"/>
        <v>0</v>
      </c>
      <c r="H1375" s="622">
        <f t="shared" si="1020"/>
        <v>200000</v>
      </c>
      <c r="I1375" s="622">
        <f t="shared" si="1020"/>
        <v>250000</v>
      </c>
      <c r="J1375" s="622">
        <f t="shared" si="1020"/>
        <v>0</v>
      </c>
      <c r="K1375" s="622">
        <f t="shared" si="1020"/>
        <v>0</v>
      </c>
      <c r="L1375" s="317">
        <f t="shared" si="995"/>
        <v>250000</v>
      </c>
      <c r="M1375" s="317"/>
      <c r="N1375" s="372">
        <f t="shared" si="1000"/>
        <v>0</v>
      </c>
      <c r="O1375" s="622">
        <f t="shared" si="1020"/>
        <v>275000</v>
      </c>
      <c r="P1375" s="622">
        <f t="shared" si="1020"/>
        <v>302500</v>
      </c>
      <c r="R1375" s="317"/>
      <c r="U1375" s="320"/>
    </row>
    <row r="1376" spans="1:21" s="344" customFormat="1" outlineLevel="3">
      <c r="A1376" s="345"/>
      <c r="B1376" s="345"/>
      <c r="C1376" s="667">
        <v>2210201</v>
      </c>
      <c r="D1376" s="668" t="s">
        <v>21</v>
      </c>
      <c r="E1376" s="673">
        <v>50000</v>
      </c>
      <c r="F1376" s="669"/>
      <c r="G1376" s="669"/>
      <c r="H1376" s="669">
        <v>200000</v>
      </c>
      <c r="I1376" s="324">
        <f t="shared" si="1002"/>
        <v>250000</v>
      </c>
      <c r="J1376" s="669"/>
      <c r="K1376" s="669"/>
      <c r="L1376" s="317">
        <f t="shared" si="995"/>
        <v>250000</v>
      </c>
      <c r="M1376" s="317"/>
      <c r="N1376" s="372">
        <f t="shared" si="1000"/>
        <v>0</v>
      </c>
      <c r="O1376" s="319">
        <f>L1376*1.1</f>
        <v>275000</v>
      </c>
      <c r="P1376" s="319">
        <f t="shared" si="1017"/>
        <v>302500</v>
      </c>
      <c r="R1376" s="317"/>
      <c r="U1376" s="320"/>
    </row>
    <row r="1377" spans="1:21" s="344" customFormat="1" outlineLevel="3">
      <c r="A1377" s="345"/>
      <c r="B1377" s="345"/>
      <c r="C1377" s="340">
        <v>2210300</v>
      </c>
      <c r="D1377" s="338" t="s">
        <v>267</v>
      </c>
      <c r="E1377" s="622">
        <f>E1378+E1379+E1380</f>
        <v>2763206</v>
      </c>
      <c r="F1377" s="622">
        <f t="shared" ref="F1377:K1377" si="1021">F1378+F1379+F1380</f>
        <v>0</v>
      </c>
      <c r="G1377" s="622">
        <f t="shared" si="1021"/>
        <v>0</v>
      </c>
      <c r="H1377" s="622">
        <f t="shared" si="1021"/>
        <v>0</v>
      </c>
      <c r="I1377" s="622">
        <f t="shared" si="1021"/>
        <v>2763206</v>
      </c>
      <c r="J1377" s="622">
        <f t="shared" si="1021"/>
        <v>0</v>
      </c>
      <c r="K1377" s="622">
        <f t="shared" si="1021"/>
        <v>0</v>
      </c>
      <c r="L1377" s="317">
        <f t="shared" si="995"/>
        <v>2763206</v>
      </c>
      <c r="M1377" s="317"/>
      <c r="N1377" s="372">
        <f t="shared" si="1000"/>
        <v>0</v>
      </c>
      <c r="O1377" s="622">
        <f t="shared" ref="O1377:P1377" si="1022">O1378+O1379+O1380</f>
        <v>3039526.6000000006</v>
      </c>
      <c r="P1377" s="622">
        <f t="shared" si="1022"/>
        <v>3343479.2600000007</v>
      </c>
      <c r="R1377" s="317"/>
      <c r="U1377" s="320"/>
    </row>
    <row r="1378" spans="1:21" s="344" customFormat="1" outlineLevel="3">
      <c r="A1378" s="345"/>
      <c r="B1378" s="345"/>
      <c r="C1378" s="667">
        <v>2210301</v>
      </c>
      <c r="D1378" s="668" t="s">
        <v>25</v>
      </c>
      <c r="E1378" s="673">
        <f>1058000-300000</f>
        <v>758000</v>
      </c>
      <c r="F1378" s="669"/>
      <c r="G1378" s="669"/>
      <c r="H1378" s="669"/>
      <c r="I1378" s="324">
        <f t="shared" si="1002"/>
        <v>758000</v>
      </c>
      <c r="J1378" s="669"/>
      <c r="K1378" s="669"/>
      <c r="L1378" s="317">
        <f t="shared" si="995"/>
        <v>758000</v>
      </c>
      <c r="M1378" s="317"/>
      <c r="N1378" s="372">
        <f t="shared" si="1000"/>
        <v>0</v>
      </c>
      <c r="O1378" s="319">
        <f>L1378*1.1</f>
        <v>833800.00000000012</v>
      </c>
      <c r="P1378" s="319">
        <f t="shared" si="1017"/>
        <v>917180.00000000023</v>
      </c>
      <c r="R1378" s="317"/>
      <c r="U1378" s="320"/>
    </row>
    <row r="1379" spans="1:21" s="344" customFormat="1" outlineLevel="3">
      <c r="A1379" s="345"/>
      <c r="B1379" s="345"/>
      <c r="C1379" s="667">
        <v>2210302</v>
      </c>
      <c r="D1379" s="668" t="s">
        <v>269</v>
      </c>
      <c r="E1379" s="673">
        <v>853400</v>
      </c>
      <c r="F1379" s="669"/>
      <c r="G1379" s="669"/>
      <c r="H1379" s="669"/>
      <c r="I1379" s="324">
        <f t="shared" si="1002"/>
        <v>853400</v>
      </c>
      <c r="J1379" s="669"/>
      <c r="K1379" s="669"/>
      <c r="L1379" s="317">
        <f t="shared" si="995"/>
        <v>853400</v>
      </c>
      <c r="M1379" s="317"/>
      <c r="N1379" s="372">
        <f t="shared" si="1000"/>
        <v>0</v>
      </c>
      <c r="O1379" s="319">
        <f>L1379*1.1</f>
        <v>938740.00000000012</v>
      </c>
      <c r="P1379" s="319">
        <f t="shared" si="1017"/>
        <v>1032614.0000000002</v>
      </c>
      <c r="R1379" s="317"/>
      <c r="U1379" s="320"/>
    </row>
    <row r="1380" spans="1:21" s="344" customFormat="1" outlineLevel="3">
      <c r="A1380" s="345"/>
      <c r="B1380" s="345"/>
      <c r="C1380" s="667">
        <v>2210303</v>
      </c>
      <c r="D1380" s="668" t="s">
        <v>27</v>
      </c>
      <c r="E1380" s="673">
        <f>1351806-200000</f>
        <v>1151806</v>
      </c>
      <c r="F1380" s="669"/>
      <c r="G1380" s="669"/>
      <c r="H1380" s="669"/>
      <c r="I1380" s="324">
        <f t="shared" si="1002"/>
        <v>1151806</v>
      </c>
      <c r="J1380" s="669"/>
      <c r="K1380" s="669"/>
      <c r="L1380" s="317">
        <f t="shared" si="995"/>
        <v>1151806</v>
      </c>
      <c r="M1380" s="317"/>
      <c r="N1380" s="372">
        <f t="shared" si="1000"/>
        <v>0</v>
      </c>
      <c r="O1380" s="319">
        <f>L1380*1.1</f>
        <v>1266986.6000000001</v>
      </c>
      <c r="P1380" s="319">
        <f t="shared" si="1017"/>
        <v>1393685.2600000002</v>
      </c>
      <c r="R1380" s="317"/>
      <c r="U1380" s="320"/>
    </row>
    <row r="1381" spans="1:21" s="344" customFormat="1" outlineLevel="3">
      <c r="A1381" s="345"/>
      <c r="B1381" s="345"/>
      <c r="C1381" s="340">
        <v>2210500</v>
      </c>
      <c r="D1381" s="338" t="s">
        <v>31</v>
      </c>
      <c r="E1381" s="622">
        <f>E1382</f>
        <v>453200</v>
      </c>
      <c r="F1381" s="622">
        <f t="shared" ref="F1381:K1381" si="1023">F1382</f>
        <v>0</v>
      </c>
      <c r="G1381" s="622">
        <f t="shared" si="1023"/>
        <v>0</v>
      </c>
      <c r="H1381" s="622">
        <f t="shared" si="1023"/>
        <v>0</v>
      </c>
      <c r="I1381" s="622">
        <f t="shared" si="1023"/>
        <v>453200</v>
      </c>
      <c r="J1381" s="622">
        <f t="shared" si="1023"/>
        <v>0</v>
      </c>
      <c r="K1381" s="622">
        <f t="shared" si="1023"/>
        <v>0</v>
      </c>
      <c r="L1381" s="317">
        <f t="shared" si="995"/>
        <v>453200</v>
      </c>
      <c r="M1381" s="317"/>
      <c r="N1381" s="372">
        <f t="shared" si="1000"/>
        <v>0</v>
      </c>
      <c r="O1381" s="622">
        <f t="shared" ref="O1381:P1381" si="1024">O1382</f>
        <v>498520.00000000006</v>
      </c>
      <c r="P1381" s="622">
        <f t="shared" si="1024"/>
        <v>548372.00000000012</v>
      </c>
      <c r="R1381" s="317"/>
      <c r="U1381" s="320"/>
    </row>
    <row r="1382" spans="1:21" s="344" customFormat="1" outlineLevel="3">
      <c r="A1382" s="345"/>
      <c r="B1382" s="345"/>
      <c r="C1382" s="667">
        <v>2210502</v>
      </c>
      <c r="D1382" s="668" t="s">
        <v>105</v>
      </c>
      <c r="E1382" s="673">
        <f>753200-300000</f>
        <v>453200</v>
      </c>
      <c r="F1382" s="669"/>
      <c r="G1382" s="669"/>
      <c r="H1382" s="669"/>
      <c r="I1382" s="324">
        <f t="shared" si="1002"/>
        <v>453200</v>
      </c>
      <c r="J1382" s="669"/>
      <c r="K1382" s="669"/>
      <c r="L1382" s="317">
        <f t="shared" si="995"/>
        <v>453200</v>
      </c>
      <c r="M1382" s="317"/>
      <c r="N1382" s="372">
        <f t="shared" si="1000"/>
        <v>0</v>
      </c>
      <c r="O1382" s="319">
        <f>L1382*1.1</f>
        <v>498520.00000000006</v>
      </c>
      <c r="P1382" s="319">
        <f t="shared" si="1017"/>
        <v>548372.00000000012</v>
      </c>
      <c r="R1382" s="317"/>
      <c r="U1382" s="320"/>
    </row>
    <row r="1383" spans="1:21" s="344" customFormat="1" outlineLevel="3">
      <c r="A1383" s="345"/>
      <c r="B1383" s="345"/>
      <c r="C1383" s="340">
        <v>2210700</v>
      </c>
      <c r="D1383" s="338" t="s">
        <v>271</v>
      </c>
      <c r="E1383" s="622">
        <f>E1384+E1385+E1386+E1387</f>
        <v>2709869</v>
      </c>
      <c r="F1383" s="622">
        <f t="shared" ref="F1383:K1383" si="1025">F1384+F1385+F1386+F1387</f>
        <v>0</v>
      </c>
      <c r="G1383" s="622">
        <f t="shared" si="1025"/>
        <v>0</v>
      </c>
      <c r="H1383" s="622">
        <f t="shared" si="1025"/>
        <v>0</v>
      </c>
      <c r="I1383" s="622">
        <f t="shared" si="1025"/>
        <v>2709869</v>
      </c>
      <c r="J1383" s="622">
        <f t="shared" si="1025"/>
        <v>0</v>
      </c>
      <c r="K1383" s="622">
        <f t="shared" si="1025"/>
        <v>0</v>
      </c>
      <c r="L1383" s="317">
        <f t="shared" si="995"/>
        <v>2709869</v>
      </c>
      <c r="M1383" s="317"/>
      <c r="N1383" s="372">
        <f t="shared" si="1000"/>
        <v>0</v>
      </c>
      <c r="O1383" s="622">
        <f t="shared" ref="O1383:P1383" si="1026">O1384+O1385+O1386+O1387</f>
        <v>2980855.9</v>
      </c>
      <c r="P1383" s="622">
        <f t="shared" si="1026"/>
        <v>3278941.49</v>
      </c>
      <c r="R1383" s="317"/>
      <c r="U1383" s="320"/>
    </row>
    <row r="1384" spans="1:21" s="344" customFormat="1" outlineLevel="3">
      <c r="A1384" s="345"/>
      <c r="B1384" s="345"/>
      <c r="C1384" s="667">
        <v>2210701</v>
      </c>
      <c r="D1384" s="668" t="s">
        <v>308</v>
      </c>
      <c r="E1384" s="673">
        <v>1100000</v>
      </c>
      <c r="F1384" s="669"/>
      <c r="G1384" s="669"/>
      <c r="H1384" s="669"/>
      <c r="I1384" s="324">
        <f t="shared" si="1002"/>
        <v>1100000</v>
      </c>
      <c r="J1384" s="669"/>
      <c r="K1384" s="669"/>
      <c r="L1384" s="317">
        <f t="shared" si="995"/>
        <v>1100000</v>
      </c>
      <c r="M1384" s="317"/>
      <c r="N1384" s="372">
        <f t="shared" si="1000"/>
        <v>0</v>
      </c>
      <c r="O1384" s="319">
        <f>L1384*1.1</f>
        <v>1210000</v>
      </c>
      <c r="P1384" s="319">
        <f t="shared" si="1017"/>
        <v>1331000</v>
      </c>
      <c r="R1384" s="317"/>
      <c r="U1384" s="320"/>
    </row>
    <row r="1385" spans="1:21" s="344" customFormat="1" outlineLevel="3">
      <c r="A1385" s="345"/>
      <c r="B1385" s="345"/>
      <c r="C1385" s="667">
        <v>2210704</v>
      </c>
      <c r="D1385" s="668" t="s">
        <v>38</v>
      </c>
      <c r="E1385" s="673">
        <v>220000</v>
      </c>
      <c r="F1385" s="669"/>
      <c r="G1385" s="669"/>
      <c r="H1385" s="669"/>
      <c r="I1385" s="324">
        <f t="shared" si="1002"/>
        <v>220000</v>
      </c>
      <c r="J1385" s="669"/>
      <c r="K1385" s="669"/>
      <c r="L1385" s="317">
        <f t="shared" si="995"/>
        <v>220000</v>
      </c>
      <c r="M1385" s="317"/>
      <c r="N1385" s="372">
        <f t="shared" si="1000"/>
        <v>0</v>
      </c>
      <c r="O1385" s="319">
        <f>L1385*1.1</f>
        <v>242000.00000000003</v>
      </c>
      <c r="P1385" s="319">
        <f t="shared" si="1017"/>
        <v>266200.00000000006</v>
      </c>
      <c r="R1385" s="317"/>
      <c r="U1385" s="320"/>
    </row>
    <row r="1386" spans="1:21" s="344" customFormat="1" outlineLevel="3">
      <c r="A1386" s="345"/>
      <c r="B1386" s="345"/>
      <c r="C1386" s="667">
        <v>2210710</v>
      </c>
      <c r="D1386" s="668" t="s">
        <v>39</v>
      </c>
      <c r="E1386" s="673">
        <v>389639</v>
      </c>
      <c r="F1386" s="669"/>
      <c r="G1386" s="669"/>
      <c r="H1386" s="669"/>
      <c r="I1386" s="324">
        <f t="shared" si="1002"/>
        <v>389639</v>
      </c>
      <c r="J1386" s="669"/>
      <c r="K1386" s="669"/>
      <c r="L1386" s="317">
        <f t="shared" si="995"/>
        <v>389639</v>
      </c>
      <c r="M1386" s="317"/>
      <c r="N1386" s="372">
        <f t="shared" si="1000"/>
        <v>0</v>
      </c>
      <c r="O1386" s="319">
        <f>L1386*1.1</f>
        <v>428602.9</v>
      </c>
      <c r="P1386" s="319">
        <f t="shared" si="1017"/>
        <v>471463.19000000006</v>
      </c>
      <c r="R1386" s="317"/>
      <c r="U1386" s="320"/>
    </row>
    <row r="1387" spans="1:21" s="344" customFormat="1" outlineLevel="3">
      <c r="A1387" s="345"/>
      <c r="B1387" s="345"/>
      <c r="C1387" s="667">
        <v>2210799</v>
      </c>
      <c r="D1387" s="668" t="s">
        <v>1321</v>
      </c>
      <c r="E1387" s="673">
        <v>1000230</v>
      </c>
      <c r="F1387" s="669"/>
      <c r="G1387" s="669"/>
      <c r="H1387" s="669"/>
      <c r="I1387" s="324">
        <f t="shared" si="1002"/>
        <v>1000230</v>
      </c>
      <c r="J1387" s="669"/>
      <c r="K1387" s="669"/>
      <c r="L1387" s="317">
        <f t="shared" si="995"/>
        <v>1000230</v>
      </c>
      <c r="M1387" s="317"/>
      <c r="N1387" s="372">
        <f t="shared" si="1000"/>
        <v>0</v>
      </c>
      <c r="O1387" s="319">
        <f>L1387*1.1</f>
        <v>1100253</v>
      </c>
      <c r="P1387" s="319">
        <f t="shared" si="1017"/>
        <v>1210278.3</v>
      </c>
      <c r="R1387" s="317"/>
      <c r="U1387" s="320"/>
    </row>
    <row r="1388" spans="1:21" s="344" customFormat="1" outlineLevel="3">
      <c r="A1388" s="345"/>
      <c r="B1388" s="345"/>
      <c r="C1388" s="340">
        <v>2210800</v>
      </c>
      <c r="D1388" s="338" t="s">
        <v>42</v>
      </c>
      <c r="E1388" s="622">
        <f>E1389</f>
        <v>565325</v>
      </c>
      <c r="F1388" s="622">
        <f t="shared" ref="F1388:P1388" si="1027">F1389</f>
        <v>0</v>
      </c>
      <c r="G1388" s="622">
        <f t="shared" si="1027"/>
        <v>0</v>
      </c>
      <c r="H1388" s="622">
        <f t="shared" si="1027"/>
        <v>0</v>
      </c>
      <c r="I1388" s="622">
        <f t="shared" si="1027"/>
        <v>565325</v>
      </c>
      <c r="J1388" s="622">
        <f t="shared" si="1027"/>
        <v>0</v>
      </c>
      <c r="K1388" s="622">
        <f t="shared" si="1027"/>
        <v>0</v>
      </c>
      <c r="L1388" s="317">
        <f t="shared" si="995"/>
        <v>565325</v>
      </c>
      <c r="M1388" s="317"/>
      <c r="N1388" s="372">
        <f t="shared" si="1000"/>
        <v>0</v>
      </c>
      <c r="O1388" s="622">
        <f t="shared" si="1027"/>
        <v>621857.5</v>
      </c>
      <c r="P1388" s="622">
        <f t="shared" si="1027"/>
        <v>684043.25</v>
      </c>
      <c r="R1388" s="317"/>
      <c r="U1388" s="320"/>
    </row>
    <row r="1389" spans="1:21" s="344" customFormat="1" outlineLevel="3">
      <c r="A1389" s="345"/>
      <c r="B1389" s="345"/>
      <c r="C1389" s="667">
        <v>2210801</v>
      </c>
      <c r="D1389" s="668" t="s">
        <v>2421</v>
      </c>
      <c r="E1389" s="673">
        <v>565325</v>
      </c>
      <c r="F1389" s="669"/>
      <c r="G1389" s="669"/>
      <c r="H1389" s="669"/>
      <c r="I1389" s="324">
        <f t="shared" si="1002"/>
        <v>565325</v>
      </c>
      <c r="J1389" s="669"/>
      <c r="K1389" s="669"/>
      <c r="L1389" s="317">
        <f t="shared" si="995"/>
        <v>565325</v>
      </c>
      <c r="M1389" s="317"/>
      <c r="N1389" s="372">
        <f t="shared" si="1000"/>
        <v>0</v>
      </c>
      <c r="O1389" s="319">
        <f>L1389*1.1</f>
        <v>621857.5</v>
      </c>
      <c r="P1389" s="319">
        <f t="shared" ref="P1389:P1406" si="1028">O1389*1.1</f>
        <v>684043.25</v>
      </c>
      <c r="R1389" s="317"/>
      <c r="U1389" s="320"/>
    </row>
    <row r="1390" spans="1:21" s="344" customFormat="1" outlineLevel="3">
      <c r="A1390" s="345"/>
      <c r="B1390" s="345"/>
      <c r="C1390" s="340">
        <v>2211000</v>
      </c>
      <c r="D1390" s="338" t="s">
        <v>118</v>
      </c>
      <c r="E1390" s="622">
        <f>E1391</f>
        <v>261901.5</v>
      </c>
      <c r="F1390" s="622">
        <f t="shared" ref="F1390:P1390" si="1029">F1391</f>
        <v>0</v>
      </c>
      <c r="G1390" s="622">
        <f t="shared" si="1029"/>
        <v>0</v>
      </c>
      <c r="H1390" s="622">
        <f t="shared" si="1029"/>
        <v>0</v>
      </c>
      <c r="I1390" s="622">
        <f t="shared" si="1029"/>
        <v>261901.5</v>
      </c>
      <c r="J1390" s="622">
        <f t="shared" si="1029"/>
        <v>0</v>
      </c>
      <c r="K1390" s="622">
        <f t="shared" si="1029"/>
        <v>0</v>
      </c>
      <c r="L1390" s="317">
        <f t="shared" si="995"/>
        <v>261901.5</v>
      </c>
      <c r="M1390" s="317"/>
      <c r="N1390" s="372">
        <f t="shared" si="1000"/>
        <v>0</v>
      </c>
      <c r="O1390" s="622">
        <f t="shared" si="1029"/>
        <v>288091.65000000002</v>
      </c>
      <c r="P1390" s="622">
        <f t="shared" si="1029"/>
        <v>316900.81500000006</v>
      </c>
      <c r="R1390" s="317"/>
      <c r="U1390" s="320"/>
    </row>
    <row r="1391" spans="1:21" s="344" customFormat="1" outlineLevel="3">
      <c r="A1391" s="345"/>
      <c r="B1391" s="345"/>
      <c r="C1391" s="667">
        <v>2211007</v>
      </c>
      <c r="D1391" s="668" t="s">
        <v>309</v>
      </c>
      <c r="E1391" s="673">
        <v>261901.5</v>
      </c>
      <c r="F1391" s="669"/>
      <c r="G1391" s="669"/>
      <c r="H1391" s="669"/>
      <c r="I1391" s="324">
        <f t="shared" si="1002"/>
        <v>261901.5</v>
      </c>
      <c r="J1391" s="669"/>
      <c r="K1391" s="669"/>
      <c r="L1391" s="317">
        <f t="shared" si="995"/>
        <v>261901.5</v>
      </c>
      <c r="M1391" s="317"/>
      <c r="N1391" s="372">
        <f t="shared" si="1000"/>
        <v>0</v>
      </c>
      <c r="O1391" s="319">
        <f>L1391*1.1</f>
        <v>288091.65000000002</v>
      </c>
      <c r="P1391" s="319">
        <f t="shared" si="1028"/>
        <v>316900.81500000006</v>
      </c>
      <c r="R1391" s="317"/>
      <c r="U1391" s="320"/>
    </row>
    <row r="1392" spans="1:21" s="344" customFormat="1" outlineLevel="3">
      <c r="A1392" s="345"/>
      <c r="B1392" s="345"/>
      <c r="C1392" s="340">
        <v>2211100</v>
      </c>
      <c r="D1392" s="338" t="s">
        <v>51</v>
      </c>
      <c r="E1392" s="622">
        <f>E1394+E1395+E1396+E1393</f>
        <v>1796739</v>
      </c>
      <c r="F1392" s="622">
        <f t="shared" ref="F1392:K1392" si="1030">F1394+F1395+F1396+F1393</f>
        <v>0</v>
      </c>
      <c r="G1392" s="622">
        <f t="shared" si="1030"/>
        <v>0</v>
      </c>
      <c r="H1392" s="622">
        <f t="shared" si="1030"/>
        <v>100000</v>
      </c>
      <c r="I1392" s="622">
        <f t="shared" si="1030"/>
        <v>1896739</v>
      </c>
      <c r="J1392" s="622">
        <f t="shared" si="1030"/>
        <v>0</v>
      </c>
      <c r="K1392" s="622">
        <f t="shared" si="1030"/>
        <v>0</v>
      </c>
      <c r="L1392" s="317">
        <f t="shared" si="995"/>
        <v>1896739</v>
      </c>
      <c r="M1392" s="317"/>
      <c r="N1392" s="372">
        <f t="shared" si="1000"/>
        <v>0</v>
      </c>
      <c r="O1392" s="622">
        <f t="shared" ref="O1392:P1392" si="1031">O1394+O1395+O1396+O1393</f>
        <v>2086412.9</v>
      </c>
      <c r="P1392" s="622">
        <f t="shared" si="1031"/>
        <v>2295054.19</v>
      </c>
      <c r="R1392" s="317"/>
      <c r="U1392" s="320"/>
    </row>
    <row r="1393" spans="1:21" s="344" customFormat="1" outlineLevel="3">
      <c r="A1393" s="345"/>
      <c r="B1393" s="345"/>
      <c r="C1393" s="667">
        <v>2211101</v>
      </c>
      <c r="D1393" s="668" t="s">
        <v>289</v>
      </c>
      <c r="E1393" s="673">
        <v>406100</v>
      </c>
      <c r="F1393" s="669"/>
      <c r="G1393" s="669"/>
      <c r="H1393" s="669">
        <v>100000</v>
      </c>
      <c r="I1393" s="324">
        <f t="shared" si="1002"/>
        <v>506100</v>
      </c>
      <c r="J1393" s="669"/>
      <c r="K1393" s="669"/>
      <c r="L1393" s="317">
        <f t="shared" si="995"/>
        <v>506100</v>
      </c>
      <c r="M1393" s="317"/>
      <c r="N1393" s="372">
        <f t="shared" si="1000"/>
        <v>0</v>
      </c>
      <c r="O1393" s="319">
        <f>L1393*1.1</f>
        <v>556710</v>
      </c>
      <c r="P1393" s="319">
        <f t="shared" si="1028"/>
        <v>612381</v>
      </c>
      <c r="R1393" s="317"/>
      <c r="U1393" s="320"/>
    </row>
    <row r="1394" spans="1:21" s="344" customFormat="1" outlineLevel="3">
      <c r="A1394" s="345"/>
      <c r="B1394" s="345"/>
      <c r="C1394" s="667">
        <v>2211102</v>
      </c>
      <c r="D1394" s="668" t="s">
        <v>53</v>
      </c>
      <c r="E1394" s="673">
        <v>481500</v>
      </c>
      <c r="F1394" s="669"/>
      <c r="G1394" s="669"/>
      <c r="H1394" s="669"/>
      <c r="I1394" s="324">
        <f t="shared" si="1002"/>
        <v>481500</v>
      </c>
      <c r="J1394" s="669"/>
      <c r="K1394" s="669"/>
      <c r="L1394" s="317">
        <f t="shared" si="995"/>
        <v>481500</v>
      </c>
      <c r="M1394" s="317"/>
      <c r="N1394" s="372">
        <f t="shared" si="1000"/>
        <v>0</v>
      </c>
      <c r="O1394" s="319">
        <f>L1394*1.1</f>
        <v>529650</v>
      </c>
      <c r="P1394" s="319">
        <f t="shared" si="1028"/>
        <v>582615</v>
      </c>
      <c r="R1394" s="317"/>
      <c r="U1394" s="320"/>
    </row>
    <row r="1395" spans="1:21" s="344" customFormat="1" outlineLevel="3">
      <c r="A1395" s="345"/>
      <c r="B1395" s="345"/>
      <c r="C1395" s="667">
        <v>2211103</v>
      </c>
      <c r="D1395" s="668" t="s">
        <v>54</v>
      </c>
      <c r="E1395" s="673">
        <v>300050</v>
      </c>
      <c r="F1395" s="669"/>
      <c r="G1395" s="669"/>
      <c r="H1395" s="669"/>
      <c r="I1395" s="324">
        <f t="shared" si="1002"/>
        <v>300050</v>
      </c>
      <c r="J1395" s="669"/>
      <c r="K1395" s="669"/>
      <c r="L1395" s="317">
        <f t="shared" si="995"/>
        <v>300050</v>
      </c>
      <c r="M1395" s="317"/>
      <c r="N1395" s="372">
        <f t="shared" si="1000"/>
        <v>0</v>
      </c>
      <c r="O1395" s="319">
        <f>L1395*1.1</f>
        <v>330055</v>
      </c>
      <c r="P1395" s="319">
        <f t="shared" si="1028"/>
        <v>363060.50000000006</v>
      </c>
      <c r="R1395" s="317"/>
      <c r="U1395" s="320"/>
    </row>
    <row r="1396" spans="1:21" s="344" customFormat="1" outlineLevel="3">
      <c r="A1396" s="345"/>
      <c r="B1396" s="345"/>
      <c r="C1396" s="667">
        <v>2211104</v>
      </c>
      <c r="D1396" s="668" t="s">
        <v>71</v>
      </c>
      <c r="E1396" s="673">
        <v>609089</v>
      </c>
      <c r="F1396" s="669"/>
      <c r="G1396" s="669"/>
      <c r="H1396" s="669"/>
      <c r="I1396" s="324">
        <f t="shared" si="1002"/>
        <v>609089</v>
      </c>
      <c r="J1396" s="669"/>
      <c r="K1396" s="669"/>
      <c r="L1396" s="317">
        <f t="shared" si="995"/>
        <v>609089</v>
      </c>
      <c r="M1396" s="317"/>
      <c r="N1396" s="372">
        <f t="shared" si="1000"/>
        <v>0</v>
      </c>
      <c r="O1396" s="319">
        <f>L1396*1.1</f>
        <v>669997.9</v>
      </c>
      <c r="P1396" s="319">
        <f t="shared" si="1028"/>
        <v>736997.69000000006</v>
      </c>
      <c r="R1396" s="317"/>
      <c r="U1396" s="320"/>
    </row>
    <row r="1397" spans="1:21" s="344" customFormat="1" outlineLevel="3">
      <c r="A1397" s="345"/>
      <c r="B1397" s="345"/>
      <c r="C1397" s="340">
        <v>2211200</v>
      </c>
      <c r="D1397" s="338" t="s">
        <v>55</v>
      </c>
      <c r="E1397" s="622">
        <f>E1398</f>
        <v>1834178</v>
      </c>
      <c r="F1397" s="622">
        <f t="shared" ref="F1397:K1397" si="1032">F1398</f>
        <v>0</v>
      </c>
      <c r="G1397" s="622">
        <f t="shared" si="1032"/>
        <v>0</v>
      </c>
      <c r="H1397" s="622">
        <f t="shared" si="1032"/>
        <v>-300000</v>
      </c>
      <c r="I1397" s="622">
        <f t="shared" si="1032"/>
        <v>1534178</v>
      </c>
      <c r="J1397" s="622">
        <f t="shared" si="1032"/>
        <v>0</v>
      </c>
      <c r="K1397" s="622">
        <f t="shared" si="1032"/>
        <v>0</v>
      </c>
      <c r="L1397" s="317">
        <f t="shared" si="995"/>
        <v>1534178</v>
      </c>
      <c r="M1397" s="317"/>
      <c r="N1397" s="372">
        <f t="shared" si="1000"/>
        <v>0</v>
      </c>
      <c r="O1397" s="622">
        <f t="shared" ref="O1397:P1397" si="1033">O1398</f>
        <v>1687595.8</v>
      </c>
      <c r="P1397" s="622">
        <f t="shared" si="1033"/>
        <v>1856355.3800000001</v>
      </c>
      <c r="R1397" s="317"/>
      <c r="U1397" s="320"/>
    </row>
    <row r="1398" spans="1:21" s="344" customFormat="1" outlineLevel="3">
      <c r="A1398" s="345"/>
      <c r="B1398" s="345"/>
      <c r="C1398" s="667">
        <v>2211201</v>
      </c>
      <c r="D1398" s="668" t="s">
        <v>56</v>
      </c>
      <c r="E1398" s="673">
        <v>1834178</v>
      </c>
      <c r="F1398" s="669"/>
      <c r="G1398" s="669"/>
      <c r="H1398" s="669">
        <v>-300000</v>
      </c>
      <c r="I1398" s="324">
        <f t="shared" si="1002"/>
        <v>1534178</v>
      </c>
      <c r="J1398" s="669"/>
      <c r="K1398" s="669"/>
      <c r="L1398" s="317">
        <f t="shared" si="995"/>
        <v>1534178</v>
      </c>
      <c r="M1398" s="317"/>
      <c r="N1398" s="372">
        <f t="shared" si="1000"/>
        <v>0</v>
      </c>
      <c r="O1398" s="319">
        <f>L1398*1.1</f>
        <v>1687595.8</v>
      </c>
      <c r="P1398" s="319">
        <f t="shared" si="1028"/>
        <v>1856355.3800000001</v>
      </c>
      <c r="R1398" s="317"/>
      <c r="U1398" s="320"/>
    </row>
    <row r="1399" spans="1:21" s="344" customFormat="1" outlineLevel="3">
      <c r="A1399" s="345"/>
      <c r="B1399" s="345"/>
      <c r="C1399" s="340">
        <v>2220100</v>
      </c>
      <c r="D1399" s="338" t="s">
        <v>200</v>
      </c>
      <c r="E1399" s="622">
        <f>E1400</f>
        <v>1000000</v>
      </c>
      <c r="F1399" s="622">
        <f t="shared" ref="F1399:P1399" si="1034">F1400</f>
        <v>0</v>
      </c>
      <c r="G1399" s="622">
        <f t="shared" si="1034"/>
        <v>0</v>
      </c>
      <c r="H1399" s="622">
        <f t="shared" si="1034"/>
        <v>0</v>
      </c>
      <c r="I1399" s="622">
        <f t="shared" si="1034"/>
        <v>1000000</v>
      </c>
      <c r="J1399" s="622">
        <f t="shared" si="1034"/>
        <v>0</v>
      </c>
      <c r="K1399" s="622">
        <f t="shared" si="1034"/>
        <v>0</v>
      </c>
      <c r="L1399" s="317">
        <f t="shared" si="995"/>
        <v>1000000</v>
      </c>
      <c r="M1399" s="317"/>
      <c r="N1399" s="372">
        <f t="shared" si="1000"/>
        <v>0</v>
      </c>
      <c r="O1399" s="622">
        <f t="shared" si="1034"/>
        <v>1100000</v>
      </c>
      <c r="P1399" s="622">
        <f t="shared" si="1034"/>
        <v>1210000</v>
      </c>
      <c r="R1399" s="317"/>
      <c r="U1399" s="320"/>
    </row>
    <row r="1400" spans="1:21" s="344" customFormat="1" outlineLevel="3">
      <c r="A1400" s="345"/>
      <c r="B1400" s="345"/>
      <c r="C1400" s="667">
        <v>2220101</v>
      </c>
      <c r="D1400" s="668" t="s">
        <v>200</v>
      </c>
      <c r="E1400" s="673">
        <f>1400000-400000</f>
        <v>1000000</v>
      </c>
      <c r="F1400" s="669"/>
      <c r="G1400" s="669"/>
      <c r="H1400" s="669"/>
      <c r="I1400" s="324">
        <f t="shared" si="1002"/>
        <v>1000000</v>
      </c>
      <c r="J1400" s="669"/>
      <c r="K1400" s="669"/>
      <c r="L1400" s="317">
        <f t="shared" si="995"/>
        <v>1000000</v>
      </c>
      <c r="M1400" s="317"/>
      <c r="N1400" s="372">
        <f t="shared" si="1000"/>
        <v>0</v>
      </c>
      <c r="O1400" s="319">
        <f>L1400*1.1</f>
        <v>1100000</v>
      </c>
      <c r="P1400" s="319">
        <f t="shared" si="1028"/>
        <v>1210000</v>
      </c>
      <c r="R1400" s="317"/>
      <c r="U1400" s="320"/>
    </row>
    <row r="1401" spans="1:21" s="344" customFormat="1" outlineLevel="3">
      <c r="A1401" s="345"/>
      <c r="B1401" s="345"/>
      <c r="C1401" s="340">
        <v>2220200</v>
      </c>
      <c r="D1401" s="338" t="s">
        <v>291</v>
      </c>
      <c r="E1401" s="622">
        <f>E1402</f>
        <v>403167</v>
      </c>
      <c r="F1401" s="622">
        <f t="shared" ref="F1401:K1401" si="1035">F1402</f>
        <v>0</v>
      </c>
      <c r="G1401" s="622">
        <f t="shared" si="1035"/>
        <v>0</v>
      </c>
      <c r="H1401" s="622">
        <f t="shared" si="1035"/>
        <v>0</v>
      </c>
      <c r="I1401" s="622">
        <f t="shared" si="1035"/>
        <v>403167</v>
      </c>
      <c r="J1401" s="622">
        <f t="shared" si="1035"/>
        <v>0</v>
      </c>
      <c r="K1401" s="622">
        <f t="shared" si="1035"/>
        <v>0</v>
      </c>
      <c r="L1401" s="317">
        <f t="shared" si="995"/>
        <v>403167</v>
      </c>
      <c r="M1401" s="317"/>
      <c r="N1401" s="372">
        <f t="shared" si="1000"/>
        <v>0</v>
      </c>
      <c r="O1401" s="622">
        <f t="shared" ref="O1401:P1401" si="1036">O1402</f>
        <v>443483.7</v>
      </c>
      <c r="P1401" s="622">
        <f t="shared" si="1036"/>
        <v>487832.07000000007</v>
      </c>
      <c r="R1401" s="317"/>
      <c r="U1401" s="320"/>
    </row>
    <row r="1402" spans="1:21" s="344" customFormat="1" outlineLevel="3">
      <c r="A1402" s="345"/>
      <c r="B1402" s="345"/>
      <c r="C1402" s="667">
        <v>2220210</v>
      </c>
      <c r="D1402" s="668" t="s">
        <v>163</v>
      </c>
      <c r="E1402" s="673">
        <v>403167</v>
      </c>
      <c r="F1402" s="669"/>
      <c r="G1402" s="669"/>
      <c r="H1402" s="669"/>
      <c r="I1402" s="324">
        <f t="shared" si="1002"/>
        <v>403167</v>
      </c>
      <c r="J1402" s="669"/>
      <c r="K1402" s="669"/>
      <c r="L1402" s="317">
        <f t="shared" si="995"/>
        <v>403167</v>
      </c>
      <c r="M1402" s="317"/>
      <c r="N1402" s="372">
        <f t="shared" si="1000"/>
        <v>0</v>
      </c>
      <c r="O1402" s="319">
        <f>L1402*1.1</f>
        <v>443483.7</v>
      </c>
      <c r="P1402" s="319">
        <f t="shared" si="1028"/>
        <v>487832.07000000007</v>
      </c>
      <c r="R1402" s="317"/>
      <c r="U1402" s="320"/>
    </row>
    <row r="1403" spans="1:21" s="344" customFormat="1" outlineLevel="3">
      <c r="A1403" s="345"/>
      <c r="B1403" s="345"/>
      <c r="C1403" s="340">
        <v>3111400</v>
      </c>
      <c r="D1403" s="338" t="s">
        <v>294</v>
      </c>
      <c r="E1403" s="622">
        <f>E1404</f>
        <v>650000</v>
      </c>
      <c r="F1403" s="622">
        <f t="shared" ref="F1403:K1403" si="1037">F1404</f>
        <v>0</v>
      </c>
      <c r="G1403" s="622">
        <f t="shared" si="1037"/>
        <v>0</v>
      </c>
      <c r="H1403" s="622">
        <f t="shared" si="1037"/>
        <v>0</v>
      </c>
      <c r="I1403" s="622">
        <f t="shared" si="1037"/>
        <v>650000</v>
      </c>
      <c r="J1403" s="622">
        <f t="shared" si="1037"/>
        <v>0</v>
      </c>
      <c r="K1403" s="622">
        <f t="shared" si="1037"/>
        <v>0</v>
      </c>
      <c r="L1403" s="317">
        <f t="shared" si="995"/>
        <v>650000</v>
      </c>
      <c r="M1403" s="317"/>
      <c r="N1403" s="372">
        <f t="shared" si="1000"/>
        <v>0</v>
      </c>
      <c r="O1403" s="622">
        <f t="shared" ref="O1403:P1403" si="1038">O1404</f>
        <v>715000</v>
      </c>
      <c r="P1403" s="622">
        <f t="shared" si="1038"/>
        <v>786500.00000000012</v>
      </c>
      <c r="R1403" s="317"/>
      <c r="U1403" s="320"/>
    </row>
    <row r="1404" spans="1:21" s="344" customFormat="1" outlineLevel="3">
      <c r="A1404" s="345"/>
      <c r="B1404" s="345"/>
      <c r="C1404" s="667">
        <v>3111401</v>
      </c>
      <c r="D1404" s="668" t="s">
        <v>1316</v>
      </c>
      <c r="E1404" s="673">
        <f>950000-300000</f>
        <v>650000</v>
      </c>
      <c r="F1404" s="669"/>
      <c r="G1404" s="669"/>
      <c r="H1404" s="669"/>
      <c r="I1404" s="324">
        <f t="shared" si="1002"/>
        <v>650000</v>
      </c>
      <c r="J1404" s="669"/>
      <c r="K1404" s="669"/>
      <c r="L1404" s="317">
        <f t="shared" si="995"/>
        <v>650000</v>
      </c>
      <c r="M1404" s="317"/>
      <c r="N1404" s="372">
        <f t="shared" si="1000"/>
        <v>0</v>
      </c>
      <c r="O1404" s="319">
        <f>L1404*1.1</f>
        <v>715000</v>
      </c>
      <c r="P1404" s="319">
        <f t="shared" si="1028"/>
        <v>786500.00000000012</v>
      </c>
      <c r="R1404" s="317"/>
      <c r="U1404" s="320"/>
    </row>
    <row r="1405" spans="1:21" s="344" customFormat="1" outlineLevel="2">
      <c r="A1405" s="345"/>
      <c r="B1405" s="345"/>
      <c r="C1405" s="382"/>
      <c r="D1405" s="447" t="s">
        <v>310</v>
      </c>
      <c r="E1405" s="619">
        <f>E1403+E1401+E1399+E1397+E1392+E1390+E1383+E1381+E1377+E1375+E1372+E1388</f>
        <v>12540585.5</v>
      </c>
      <c r="F1405" s="619">
        <f t="shared" ref="F1405:K1405" si="1039">F1403+F1401+F1399+F1397+F1392+F1390+F1383+F1381+F1377+F1375+F1372+F1388</f>
        <v>0</v>
      </c>
      <c r="G1405" s="619">
        <f t="shared" si="1039"/>
        <v>0</v>
      </c>
      <c r="H1405" s="619">
        <f t="shared" si="1039"/>
        <v>0</v>
      </c>
      <c r="I1405" s="619">
        <f t="shared" si="1039"/>
        <v>12540585.5</v>
      </c>
      <c r="J1405" s="619">
        <f t="shared" si="1039"/>
        <v>0</v>
      </c>
      <c r="K1405" s="619">
        <f t="shared" si="1039"/>
        <v>0</v>
      </c>
      <c r="L1405" s="317">
        <f t="shared" si="995"/>
        <v>12540585.5</v>
      </c>
      <c r="M1405" s="317"/>
      <c r="N1405" s="372">
        <f t="shared" si="1000"/>
        <v>0</v>
      </c>
      <c r="O1405" s="619">
        <f t="shared" ref="O1405:P1405" si="1040">O1403+O1401+O1399+O1397+O1392+O1390+O1383+O1381+O1377+O1375+O1372+O1388</f>
        <v>13794644.050000001</v>
      </c>
      <c r="P1405" s="619">
        <f t="shared" si="1040"/>
        <v>15174108.455000002</v>
      </c>
      <c r="R1405" s="317"/>
      <c r="U1405" s="320"/>
    </row>
    <row r="1406" spans="1:21" s="344" customFormat="1" outlineLevel="2">
      <c r="A1406" s="345"/>
      <c r="B1406" s="345"/>
      <c r="C1406" s="340"/>
      <c r="D1406" s="338" t="s">
        <v>92</v>
      </c>
      <c r="E1406" s="622"/>
      <c r="F1406" s="397"/>
      <c r="G1406" s="397"/>
      <c r="H1406" s="397"/>
      <c r="I1406" s="324">
        <f t="shared" si="1002"/>
        <v>0</v>
      </c>
      <c r="J1406" s="397"/>
      <c r="K1406" s="397"/>
      <c r="L1406" s="317">
        <f t="shared" si="995"/>
        <v>0</v>
      </c>
      <c r="M1406" s="317"/>
      <c r="N1406" s="372">
        <f t="shared" si="1000"/>
        <v>0</v>
      </c>
      <c r="O1406" s="319">
        <f>L1406*1.1</f>
        <v>0</v>
      </c>
      <c r="P1406" s="319">
        <f t="shared" si="1028"/>
        <v>0</v>
      </c>
      <c r="R1406" s="317"/>
      <c r="U1406" s="320"/>
    </row>
    <row r="1407" spans="1:21" s="344" customFormat="1" outlineLevel="2">
      <c r="A1407" s="345"/>
      <c r="B1407" s="345"/>
      <c r="C1407" s="340"/>
      <c r="D1407" s="338" t="s">
        <v>311</v>
      </c>
      <c r="E1407" s="622"/>
      <c r="F1407" s="397"/>
      <c r="G1407" s="397"/>
      <c r="H1407" s="397"/>
      <c r="I1407" s="324">
        <f t="shared" si="1002"/>
        <v>0</v>
      </c>
      <c r="J1407" s="397"/>
      <c r="K1407" s="397"/>
      <c r="L1407" s="317">
        <f t="shared" si="995"/>
        <v>0</v>
      </c>
      <c r="M1407" s="317"/>
      <c r="N1407" s="372">
        <f t="shared" si="1000"/>
        <v>0</v>
      </c>
      <c r="O1407" s="319">
        <f>L1407*1.1</f>
        <v>0</v>
      </c>
      <c r="P1407" s="319">
        <f t="shared" ref="P1407:P1412" si="1041">O1407*1.1</f>
        <v>0</v>
      </c>
      <c r="R1407" s="317"/>
      <c r="U1407" s="320"/>
    </row>
    <row r="1408" spans="1:21" s="344" customFormat="1" outlineLevel="3">
      <c r="A1408" s="483"/>
      <c r="B1408" s="483"/>
      <c r="C1408" s="680">
        <v>3110500</v>
      </c>
      <c r="D1408" s="376" t="s">
        <v>260</v>
      </c>
      <c r="E1408" s="681">
        <f>E1412+E1409+E1411+E1410</f>
        <v>175151840</v>
      </c>
      <c r="F1408" s="681">
        <f t="shared" ref="F1408:P1408" si="1042">F1412+F1409+F1411+F1410</f>
        <v>36080205</v>
      </c>
      <c r="G1408" s="681">
        <f t="shared" si="1042"/>
        <v>-20000000</v>
      </c>
      <c r="H1408" s="681">
        <f t="shared" si="1042"/>
        <v>0</v>
      </c>
      <c r="I1408" s="681">
        <f t="shared" si="1042"/>
        <v>191232045</v>
      </c>
      <c r="J1408" s="681">
        <f t="shared" si="1042"/>
        <v>-20000000</v>
      </c>
      <c r="K1408" s="681">
        <f t="shared" si="1042"/>
        <v>0</v>
      </c>
      <c r="L1408" s="317">
        <f t="shared" si="995"/>
        <v>171232045</v>
      </c>
      <c r="M1408" s="2212"/>
      <c r="N1408" s="372">
        <f t="shared" si="1000"/>
        <v>0</v>
      </c>
      <c r="O1408" s="681">
        <f t="shared" si="1042"/>
        <v>188355249.5</v>
      </c>
      <c r="P1408" s="681">
        <f t="shared" si="1042"/>
        <v>207190774.45000005</v>
      </c>
      <c r="R1408" s="317"/>
      <c r="U1408" s="320"/>
    </row>
    <row r="1409" spans="1:21" s="344" customFormat="1" outlineLevel="3">
      <c r="A1409" s="345"/>
      <c r="B1409" s="345"/>
      <c r="C1409" s="667">
        <v>3110504</v>
      </c>
      <c r="D1409" s="682" t="s">
        <v>2454</v>
      </c>
      <c r="E1409" s="673">
        <v>120000000</v>
      </c>
      <c r="F1409" s="673"/>
      <c r="G1409" s="673">
        <f>-20000000+20000000</f>
        <v>0</v>
      </c>
      <c r="H1409" s="683"/>
      <c r="I1409" s="324">
        <f t="shared" si="1002"/>
        <v>120000000</v>
      </c>
      <c r="J1409" s="683"/>
      <c r="K1409" s="683"/>
      <c r="L1409" s="317">
        <f t="shared" si="995"/>
        <v>120000000</v>
      </c>
      <c r="M1409" s="2210"/>
      <c r="N1409" s="372">
        <f t="shared" si="1000"/>
        <v>0</v>
      </c>
      <c r="O1409" s="318">
        <f>L1409*1.1</f>
        <v>132000000.00000001</v>
      </c>
      <c r="P1409" s="319">
        <f t="shared" si="1041"/>
        <v>145200000.00000003</v>
      </c>
      <c r="R1409" s="317"/>
      <c r="U1409" s="320"/>
    </row>
    <row r="1410" spans="1:21" s="684" customFormat="1" outlineLevel="3">
      <c r="A1410" s="685"/>
      <c r="B1410" s="685"/>
      <c r="C1410" s="686">
        <v>3110505</v>
      </c>
      <c r="D1410" s="687" t="s">
        <v>1322</v>
      </c>
      <c r="E1410" s="688">
        <f>42151840+5000000+3000000</f>
        <v>50151840</v>
      </c>
      <c r="F1410" s="689"/>
      <c r="G1410" s="688">
        <v>-20000000</v>
      </c>
      <c r="H1410" s="689"/>
      <c r="I1410" s="690">
        <f t="shared" si="1002"/>
        <v>30151840</v>
      </c>
      <c r="J1410" s="689">
        <v>-20000000</v>
      </c>
      <c r="K1410" s="689"/>
      <c r="L1410" s="317">
        <f t="shared" si="995"/>
        <v>10151840</v>
      </c>
      <c r="M1410" s="2210"/>
      <c r="N1410" s="372">
        <f t="shared" si="1000"/>
        <v>0</v>
      </c>
      <c r="O1410" s="691">
        <f>L1410*1.1</f>
        <v>11167024</v>
      </c>
      <c r="P1410" s="692">
        <f t="shared" si="1041"/>
        <v>12283726.4</v>
      </c>
      <c r="R1410" s="317"/>
      <c r="U1410" s="320" t="s">
        <v>1803</v>
      </c>
    </row>
    <row r="1411" spans="1:21" s="344" customFormat="1" outlineLevel="3">
      <c r="A1411" s="506"/>
      <c r="B1411" s="506"/>
      <c r="C1411" s="693">
        <v>3110599</v>
      </c>
      <c r="D1411" s="694" t="s">
        <v>312</v>
      </c>
      <c r="E1411" s="695">
        <v>5000000</v>
      </c>
      <c r="F1411" s="695"/>
      <c r="G1411" s="696"/>
      <c r="H1411" s="696"/>
      <c r="I1411" s="324">
        <f t="shared" si="1002"/>
        <v>5000000</v>
      </c>
      <c r="J1411" s="696"/>
      <c r="K1411" s="696"/>
      <c r="L1411" s="317">
        <f t="shared" si="995"/>
        <v>5000000</v>
      </c>
      <c r="M1411" s="317"/>
      <c r="N1411" s="372">
        <f t="shared" si="1000"/>
        <v>0</v>
      </c>
      <c r="O1411" s="319">
        <f>L1411*1.1</f>
        <v>5500000</v>
      </c>
      <c r="P1411" s="319">
        <f t="shared" si="1041"/>
        <v>6050000.0000000009</v>
      </c>
      <c r="R1411" s="317"/>
      <c r="U1411" s="320"/>
    </row>
    <row r="1412" spans="1:21" s="344" customFormat="1" outlineLevel="3">
      <c r="A1412" s="345"/>
      <c r="B1412" s="345"/>
      <c r="C1412" s="667">
        <v>3110599</v>
      </c>
      <c r="D1412" s="671" t="s">
        <v>2082</v>
      </c>
      <c r="E1412" s="673">
        <f>5000000-5000000</f>
        <v>0</v>
      </c>
      <c r="F1412" s="673">
        <v>36080205</v>
      </c>
      <c r="G1412" s="672"/>
      <c r="H1412" s="672"/>
      <c r="I1412" s="324">
        <f t="shared" si="1002"/>
        <v>36080205</v>
      </c>
      <c r="J1412" s="672"/>
      <c r="K1412" s="672"/>
      <c r="L1412" s="317">
        <f t="shared" ref="L1412:L1475" si="1043">I1412+J1412+K1412</f>
        <v>36080205</v>
      </c>
      <c r="M1412" s="317"/>
      <c r="N1412" s="372">
        <f t="shared" si="1000"/>
        <v>0</v>
      </c>
      <c r="O1412" s="319">
        <f>L1412*1.1</f>
        <v>39688225.5</v>
      </c>
      <c r="P1412" s="319">
        <f t="shared" si="1041"/>
        <v>43657048.050000004</v>
      </c>
      <c r="R1412" s="317"/>
      <c r="U1412" s="320"/>
    </row>
    <row r="1413" spans="1:21" s="344" customFormat="1" outlineLevel="2">
      <c r="A1413" s="345"/>
      <c r="B1413" s="345"/>
      <c r="C1413" s="314"/>
      <c r="D1413" s="697" t="s">
        <v>167</v>
      </c>
      <c r="E1413" s="619">
        <f>E1408</f>
        <v>175151840</v>
      </c>
      <c r="F1413" s="619">
        <f t="shared" ref="F1413:P1413" si="1044">F1408</f>
        <v>36080205</v>
      </c>
      <c r="G1413" s="619">
        <f t="shared" si="1044"/>
        <v>-20000000</v>
      </c>
      <c r="H1413" s="619">
        <f t="shared" si="1044"/>
        <v>0</v>
      </c>
      <c r="I1413" s="619">
        <f t="shared" si="1044"/>
        <v>191232045</v>
      </c>
      <c r="J1413" s="619">
        <f t="shared" si="1044"/>
        <v>-20000000</v>
      </c>
      <c r="K1413" s="619">
        <f t="shared" si="1044"/>
        <v>0</v>
      </c>
      <c r="L1413" s="317">
        <f t="shared" si="1043"/>
        <v>171232045</v>
      </c>
      <c r="M1413" s="317"/>
      <c r="N1413" s="372">
        <f t="shared" si="1000"/>
        <v>0</v>
      </c>
      <c r="O1413" s="619">
        <f t="shared" si="1044"/>
        <v>188355249.5</v>
      </c>
      <c r="P1413" s="619">
        <f t="shared" si="1044"/>
        <v>207190774.45000005</v>
      </c>
      <c r="R1413" s="317"/>
      <c r="U1413" s="320"/>
    </row>
    <row r="1414" spans="1:21" s="344" customFormat="1" outlineLevel="1">
      <c r="A1414" s="345"/>
      <c r="B1414" s="345"/>
      <c r="C1414" s="314"/>
      <c r="D1414" s="314" t="s">
        <v>84</v>
      </c>
      <c r="E1414" s="619">
        <f>E1413+E1405</f>
        <v>187692425.5</v>
      </c>
      <c r="F1414" s="619">
        <f t="shared" ref="F1414:K1414" si="1045">F1413+F1405</f>
        <v>36080205</v>
      </c>
      <c r="G1414" s="619">
        <f t="shared" si="1045"/>
        <v>-20000000</v>
      </c>
      <c r="H1414" s="619">
        <f t="shared" si="1045"/>
        <v>0</v>
      </c>
      <c r="I1414" s="619">
        <f t="shared" si="1045"/>
        <v>203772630.5</v>
      </c>
      <c r="J1414" s="619">
        <f t="shared" si="1045"/>
        <v>-20000000</v>
      </c>
      <c r="K1414" s="619">
        <f t="shared" si="1045"/>
        <v>0</v>
      </c>
      <c r="L1414" s="317">
        <f t="shared" si="1043"/>
        <v>183772630.5</v>
      </c>
      <c r="M1414" s="317"/>
      <c r="N1414" s="372">
        <f t="shared" si="1000"/>
        <v>0</v>
      </c>
      <c r="O1414" s="619">
        <f t="shared" ref="O1414:P1414" si="1046">O1413+O1405</f>
        <v>202149893.55000001</v>
      </c>
      <c r="P1414" s="619">
        <f t="shared" si="1046"/>
        <v>222364882.90500006</v>
      </c>
      <c r="R1414" s="317"/>
      <c r="U1414" s="320"/>
    </row>
    <row r="1415" spans="1:21" s="344" customFormat="1">
      <c r="A1415" s="345"/>
      <c r="B1415" s="345"/>
      <c r="C1415" s="314"/>
      <c r="D1415" s="314" t="s">
        <v>313</v>
      </c>
      <c r="E1415" s="619">
        <f>E1283+E1322+E1354+E1405+E1247</f>
        <v>145423247</v>
      </c>
      <c r="F1415" s="619">
        <f t="shared" ref="F1415:P1415" si="1047">F1283+F1322+F1354+F1405+F1247</f>
        <v>0</v>
      </c>
      <c r="G1415" s="619">
        <f t="shared" si="1047"/>
        <v>8500000</v>
      </c>
      <c r="H1415" s="619">
        <f t="shared" si="1047"/>
        <v>-14476453</v>
      </c>
      <c r="I1415" s="619">
        <f t="shared" si="1047"/>
        <v>139446794</v>
      </c>
      <c r="J1415" s="619">
        <f t="shared" si="1047"/>
        <v>0</v>
      </c>
      <c r="K1415" s="619">
        <f t="shared" si="1047"/>
        <v>0</v>
      </c>
      <c r="L1415" s="619">
        <f t="shared" si="1047"/>
        <v>139446794</v>
      </c>
      <c r="M1415" s="619"/>
      <c r="N1415" s="372">
        <f t="shared" si="1000"/>
        <v>0</v>
      </c>
      <c r="O1415" s="619">
        <f t="shared" si="1047"/>
        <v>153391473.40000001</v>
      </c>
      <c r="P1415" s="619">
        <f t="shared" si="1047"/>
        <v>168730620.74000001</v>
      </c>
      <c r="R1415" s="619"/>
      <c r="U1415" s="698"/>
    </row>
    <row r="1416" spans="1:21" s="344" customFormat="1">
      <c r="A1416" s="345"/>
      <c r="B1416" s="345"/>
      <c r="C1416" s="314"/>
      <c r="D1416" s="314" t="s">
        <v>175</v>
      </c>
      <c r="E1416" s="619">
        <f>E1413+E1365+E1327</f>
        <v>569780836</v>
      </c>
      <c r="F1416" s="619">
        <f t="shared" ref="F1416:P1416" si="1048">F1413+F1365+F1327</f>
        <v>98017890</v>
      </c>
      <c r="G1416" s="619">
        <f t="shared" si="1048"/>
        <v>-33500000</v>
      </c>
      <c r="H1416" s="619">
        <f t="shared" si="1048"/>
        <v>0</v>
      </c>
      <c r="I1416" s="619">
        <f t="shared" si="1048"/>
        <v>634298726</v>
      </c>
      <c r="J1416" s="619">
        <f t="shared" si="1048"/>
        <v>-41786793</v>
      </c>
      <c r="K1416" s="619">
        <f t="shared" si="1048"/>
        <v>0</v>
      </c>
      <c r="L1416" s="619">
        <f t="shared" si="1048"/>
        <v>592511933</v>
      </c>
      <c r="M1416" s="619"/>
      <c r="N1416" s="372">
        <f t="shared" ref="N1416:N1479" si="1049">M1416-K1416</f>
        <v>0</v>
      </c>
      <c r="O1416" s="619">
        <f t="shared" si="1048"/>
        <v>646263126.29999995</v>
      </c>
      <c r="P1416" s="619">
        <f t="shared" si="1048"/>
        <v>710889438.93000007</v>
      </c>
      <c r="R1416" s="619"/>
      <c r="U1416" s="698"/>
    </row>
    <row r="1417" spans="1:21" s="344" customFormat="1">
      <c r="A1417" s="345"/>
      <c r="B1417" s="345"/>
      <c r="C1417" s="572" t="s">
        <v>1268</v>
      </c>
      <c r="D1417" s="573"/>
      <c r="E1417" s="619">
        <f>E1415+E1416</f>
        <v>715204083</v>
      </c>
      <c r="F1417" s="619">
        <f t="shared" ref="F1417:P1417" si="1050">F1415+F1416</f>
        <v>98017890</v>
      </c>
      <c r="G1417" s="619">
        <f t="shared" si="1050"/>
        <v>-25000000</v>
      </c>
      <c r="H1417" s="619">
        <f t="shared" si="1050"/>
        <v>-14476453</v>
      </c>
      <c r="I1417" s="619">
        <f t="shared" si="1050"/>
        <v>773745520</v>
      </c>
      <c r="J1417" s="619">
        <f t="shared" si="1050"/>
        <v>-41786793</v>
      </c>
      <c r="K1417" s="619">
        <f t="shared" si="1050"/>
        <v>0</v>
      </c>
      <c r="L1417" s="619">
        <f t="shared" si="1050"/>
        <v>731958727</v>
      </c>
      <c r="M1417" s="619"/>
      <c r="N1417" s="372">
        <f t="shared" si="1049"/>
        <v>0</v>
      </c>
      <c r="O1417" s="619">
        <f t="shared" si="1050"/>
        <v>799654599.69999993</v>
      </c>
      <c r="P1417" s="619">
        <f t="shared" si="1050"/>
        <v>879620059.67000008</v>
      </c>
      <c r="Q1417" s="699">
        <v>41786793</v>
      </c>
      <c r="R1417" s="619">
        <f>Q1417+K1417+J1417</f>
        <v>0</v>
      </c>
      <c r="U1417" s="571" t="s">
        <v>1803</v>
      </c>
    </row>
    <row r="1418" spans="1:21" s="344" customFormat="1">
      <c r="A1418" s="345"/>
      <c r="B1418" s="345"/>
      <c r="C1418" s="314"/>
      <c r="D1418" s="574"/>
      <c r="E1418" s="700"/>
      <c r="F1418" s="576"/>
      <c r="G1418" s="576"/>
      <c r="H1418" s="576"/>
      <c r="I1418" s="324">
        <f t="shared" ref="I1418:I1480" si="1051">E1418+F1418+G1418+H1418</f>
        <v>0</v>
      </c>
      <c r="J1418" s="576"/>
      <c r="K1418" s="576"/>
      <c r="L1418" s="317"/>
      <c r="M1418" s="317"/>
      <c r="N1418" s="372">
        <f t="shared" si="1049"/>
        <v>0</v>
      </c>
      <c r="O1418" s="319"/>
      <c r="P1418" s="319"/>
      <c r="R1418" s="317"/>
      <c r="U1418" s="320"/>
    </row>
    <row r="1419" spans="1:21" s="344" customFormat="1">
      <c r="A1419" s="483"/>
      <c r="B1419" s="483"/>
      <c r="C1419" s="578"/>
      <c r="D1419" s="579"/>
      <c r="E1419" s="701"/>
      <c r="F1419" s="581"/>
      <c r="G1419" s="581"/>
      <c r="H1419" s="581"/>
      <c r="I1419" s="324">
        <f t="shared" si="1051"/>
        <v>0</v>
      </c>
      <c r="J1419" s="581"/>
      <c r="K1419" s="581"/>
      <c r="L1419" s="317"/>
      <c r="M1419" s="317"/>
      <c r="N1419" s="372">
        <f t="shared" si="1049"/>
        <v>0</v>
      </c>
      <c r="O1419" s="319"/>
      <c r="P1419" s="319"/>
      <c r="R1419" s="317"/>
      <c r="U1419" s="320"/>
    </row>
    <row r="1420" spans="1:21" s="702" customFormat="1">
      <c r="A1420" s="703"/>
      <c r="B1420" s="703"/>
      <c r="C1420" s="314" t="s">
        <v>1252</v>
      </c>
      <c r="D1420" s="314"/>
      <c r="E1420" s="348"/>
      <c r="F1420" s="316"/>
      <c r="G1420" s="316"/>
      <c r="H1420" s="316"/>
      <c r="I1420" s="324">
        <f t="shared" si="1051"/>
        <v>0</v>
      </c>
      <c r="J1420" s="316"/>
      <c r="K1420" s="316"/>
      <c r="L1420" s="317"/>
      <c r="M1420" s="2210"/>
      <c r="N1420" s="372">
        <f t="shared" si="1049"/>
        <v>0</v>
      </c>
      <c r="O1420" s="318"/>
      <c r="P1420" s="319"/>
      <c r="R1420" s="317"/>
      <c r="U1420" s="320" t="s">
        <v>1803</v>
      </c>
    </row>
    <row r="1421" spans="1:21" s="702" customFormat="1" outlineLevel="1">
      <c r="A1421" s="704" t="s">
        <v>178</v>
      </c>
      <c r="B1421" s="704" t="s">
        <v>146</v>
      </c>
      <c r="C1421" s="705" t="s">
        <v>314</v>
      </c>
      <c r="D1421" s="705"/>
      <c r="E1421" s="706"/>
      <c r="F1421" s="324"/>
      <c r="G1421" s="324"/>
      <c r="H1421" s="324"/>
      <c r="I1421" s="324">
        <f t="shared" si="1051"/>
        <v>0</v>
      </c>
      <c r="J1421" s="324"/>
      <c r="K1421" s="324"/>
      <c r="L1421" s="317">
        <f t="shared" si="1043"/>
        <v>0</v>
      </c>
      <c r="M1421" s="317"/>
      <c r="N1421" s="372">
        <f t="shared" si="1049"/>
        <v>0</v>
      </c>
      <c r="O1421" s="319">
        <f>L1421*1.1</f>
        <v>0</v>
      </c>
      <c r="P1421" s="319">
        <f t="shared" ref="P1421:P1440" si="1052">O1421*1.1</f>
        <v>0</v>
      </c>
      <c r="R1421" s="317"/>
      <c r="U1421" s="320"/>
    </row>
    <row r="1422" spans="1:21" s="702" customFormat="1" outlineLevel="2">
      <c r="A1422" s="339"/>
      <c r="B1422" s="339"/>
      <c r="C1422" s="707">
        <v>2110100</v>
      </c>
      <c r="D1422" s="635" t="s">
        <v>13</v>
      </c>
      <c r="E1422" s="329">
        <f>SUM(E1423:E1424)</f>
        <v>788141583</v>
      </c>
      <c r="F1422" s="329">
        <f t="shared" ref="F1422:P1422" si="1053">SUM(F1423:F1424)</f>
        <v>0</v>
      </c>
      <c r="G1422" s="329">
        <f t="shared" si="1053"/>
        <v>0</v>
      </c>
      <c r="H1422" s="329">
        <f t="shared" si="1053"/>
        <v>0</v>
      </c>
      <c r="I1422" s="329">
        <f t="shared" si="1053"/>
        <v>788141583</v>
      </c>
      <c r="J1422" s="329">
        <f t="shared" si="1053"/>
        <v>0</v>
      </c>
      <c r="K1422" s="329">
        <f t="shared" si="1053"/>
        <v>0</v>
      </c>
      <c r="L1422" s="317">
        <f t="shared" si="1043"/>
        <v>788141583</v>
      </c>
      <c r="M1422" s="317"/>
      <c r="N1422" s="372">
        <f t="shared" si="1049"/>
        <v>0</v>
      </c>
      <c r="O1422" s="329">
        <f t="shared" si="1053"/>
        <v>866955741.30000007</v>
      </c>
      <c r="P1422" s="329">
        <f t="shared" si="1053"/>
        <v>953651315.43000019</v>
      </c>
      <c r="R1422" s="317"/>
      <c r="U1422" s="320"/>
    </row>
    <row r="1423" spans="1:21" s="702" customFormat="1" outlineLevel="2">
      <c r="A1423" s="339"/>
      <c r="B1423" s="339"/>
      <c r="C1423" s="708">
        <v>2110101</v>
      </c>
      <c r="D1423" s="709" t="s">
        <v>14</v>
      </c>
      <c r="E1423" s="348">
        <f>788141583+533000-533000</f>
        <v>788141583</v>
      </c>
      <c r="F1423" s="334"/>
      <c r="G1423" s="334"/>
      <c r="H1423" s="334"/>
      <c r="I1423" s="324">
        <f t="shared" si="1051"/>
        <v>788141583</v>
      </c>
      <c r="J1423" s="334"/>
      <c r="K1423" s="334"/>
      <c r="L1423" s="317">
        <f t="shared" si="1043"/>
        <v>788141583</v>
      </c>
      <c r="M1423" s="317"/>
      <c r="N1423" s="372">
        <f t="shared" si="1049"/>
        <v>0</v>
      </c>
      <c r="O1423" s="710">
        <f>L1423*1.1</f>
        <v>866955741.30000007</v>
      </c>
      <c r="P1423" s="710">
        <f t="shared" si="1052"/>
        <v>953651315.43000019</v>
      </c>
      <c r="R1423" s="317"/>
      <c r="U1423" s="320"/>
    </row>
    <row r="1424" spans="1:21" s="702" customFormat="1" outlineLevel="2">
      <c r="A1424" s="339"/>
      <c r="B1424" s="339"/>
      <c r="C1424" s="708"/>
      <c r="D1424" s="709"/>
      <c r="E1424" s="348">
        <v>0</v>
      </c>
      <c r="F1424" s="334"/>
      <c r="G1424" s="334"/>
      <c r="H1424" s="334"/>
      <c r="I1424" s="324">
        <f t="shared" si="1051"/>
        <v>0</v>
      </c>
      <c r="J1424" s="334"/>
      <c r="K1424" s="334"/>
      <c r="L1424" s="317">
        <f t="shared" si="1043"/>
        <v>0</v>
      </c>
      <c r="M1424" s="317"/>
      <c r="N1424" s="372">
        <f t="shared" si="1049"/>
        <v>0</v>
      </c>
      <c r="O1424" s="710">
        <f>L1424*1.1</f>
        <v>0</v>
      </c>
      <c r="P1424" s="710">
        <f t="shared" si="1052"/>
        <v>0</v>
      </c>
      <c r="R1424" s="317"/>
      <c r="U1424" s="320"/>
    </row>
    <row r="1425" spans="1:21" s="702" customFormat="1" outlineLevel="2">
      <c r="A1425" s="339"/>
      <c r="B1425" s="339"/>
      <c r="C1425" s="707">
        <v>2210100</v>
      </c>
      <c r="D1425" s="635" t="s">
        <v>16</v>
      </c>
      <c r="E1425" s="329">
        <f>SUM(E1426:E1427)</f>
        <v>423689</v>
      </c>
      <c r="F1425" s="329">
        <f t="shared" ref="F1425:K1425" si="1054">SUM(F1426:F1427)</f>
        <v>0</v>
      </c>
      <c r="G1425" s="329">
        <f t="shared" si="1054"/>
        <v>0</v>
      </c>
      <c r="H1425" s="329">
        <f t="shared" si="1054"/>
        <v>0</v>
      </c>
      <c r="I1425" s="329">
        <f t="shared" si="1054"/>
        <v>423689</v>
      </c>
      <c r="J1425" s="329">
        <f t="shared" si="1054"/>
        <v>0</v>
      </c>
      <c r="K1425" s="329">
        <f t="shared" si="1054"/>
        <v>-200000</v>
      </c>
      <c r="L1425" s="317">
        <f t="shared" si="1043"/>
        <v>223689</v>
      </c>
      <c r="M1425" s="317"/>
      <c r="N1425" s="372">
        <f t="shared" si="1049"/>
        <v>200000</v>
      </c>
      <c r="O1425" s="329">
        <f t="shared" ref="O1425:P1425" si="1055">SUM(O1426:O1427)</f>
        <v>246057.90000000002</v>
      </c>
      <c r="P1425" s="329">
        <f t="shared" si="1055"/>
        <v>270663.69000000006</v>
      </c>
      <c r="R1425" s="317"/>
      <c r="U1425" s="320"/>
    </row>
    <row r="1426" spans="1:21" s="702" customFormat="1" outlineLevel="2">
      <c r="A1426" s="339"/>
      <c r="B1426" s="339"/>
      <c r="C1426" s="708">
        <v>2210101</v>
      </c>
      <c r="D1426" s="709" t="s">
        <v>17</v>
      </c>
      <c r="E1426" s="348">
        <v>219126</v>
      </c>
      <c r="F1426" s="334"/>
      <c r="G1426" s="334"/>
      <c r="H1426" s="334"/>
      <c r="I1426" s="324">
        <f t="shared" si="1051"/>
        <v>219126</v>
      </c>
      <c r="J1426" s="334"/>
      <c r="K1426" s="333">
        <v>-100000</v>
      </c>
      <c r="L1426" s="317">
        <f t="shared" si="1043"/>
        <v>119126</v>
      </c>
      <c r="M1426" s="317"/>
      <c r="N1426" s="372">
        <f t="shared" si="1049"/>
        <v>100000</v>
      </c>
      <c r="O1426" s="710">
        <f>L1426*1.1</f>
        <v>131038.6</v>
      </c>
      <c r="P1426" s="710">
        <f t="shared" si="1052"/>
        <v>144142.46000000002</v>
      </c>
      <c r="R1426" s="317"/>
      <c r="U1426" s="320"/>
    </row>
    <row r="1427" spans="1:21" s="702" customFormat="1" outlineLevel="2">
      <c r="A1427" s="339"/>
      <c r="B1427" s="339"/>
      <c r="C1427" s="708">
        <v>2210102</v>
      </c>
      <c r="D1427" s="709" t="s">
        <v>18</v>
      </c>
      <c r="E1427" s="348">
        <v>204563</v>
      </c>
      <c r="F1427" s="334"/>
      <c r="G1427" s="334"/>
      <c r="H1427" s="334"/>
      <c r="I1427" s="324">
        <f t="shared" si="1051"/>
        <v>204563</v>
      </c>
      <c r="J1427" s="334"/>
      <c r="K1427" s="333">
        <v>-100000</v>
      </c>
      <c r="L1427" s="317">
        <f t="shared" si="1043"/>
        <v>104563</v>
      </c>
      <c r="M1427" s="317"/>
      <c r="N1427" s="372">
        <f t="shared" si="1049"/>
        <v>100000</v>
      </c>
      <c r="O1427" s="710">
        <f>L1427*1.1</f>
        <v>115019.3</v>
      </c>
      <c r="P1427" s="710">
        <f t="shared" si="1052"/>
        <v>126521.23000000001</v>
      </c>
      <c r="R1427" s="317"/>
      <c r="U1427" s="320"/>
    </row>
    <row r="1428" spans="1:21" s="702" customFormat="1" outlineLevel="2">
      <c r="A1428" s="339"/>
      <c r="B1428" s="339"/>
      <c r="C1428" s="707">
        <v>2210200</v>
      </c>
      <c r="D1428" s="635" t="s">
        <v>20</v>
      </c>
      <c r="E1428" s="329">
        <f>E1429</f>
        <v>253689</v>
      </c>
      <c r="F1428" s="329">
        <f t="shared" ref="F1428:P1428" si="1056">F1429</f>
        <v>0</v>
      </c>
      <c r="G1428" s="329">
        <f t="shared" si="1056"/>
        <v>0</v>
      </c>
      <c r="H1428" s="329">
        <f t="shared" si="1056"/>
        <v>0</v>
      </c>
      <c r="I1428" s="329">
        <f t="shared" si="1056"/>
        <v>253689</v>
      </c>
      <c r="J1428" s="329">
        <f t="shared" si="1056"/>
        <v>0</v>
      </c>
      <c r="K1428" s="329">
        <f t="shared" si="1056"/>
        <v>0</v>
      </c>
      <c r="L1428" s="317">
        <f t="shared" si="1043"/>
        <v>253689</v>
      </c>
      <c r="M1428" s="317"/>
      <c r="N1428" s="372">
        <f t="shared" si="1049"/>
        <v>0</v>
      </c>
      <c r="O1428" s="329">
        <f t="shared" si="1056"/>
        <v>279057.90000000002</v>
      </c>
      <c r="P1428" s="329">
        <f t="shared" si="1056"/>
        <v>306963.69000000006</v>
      </c>
      <c r="R1428" s="317"/>
      <c r="U1428" s="320"/>
    </row>
    <row r="1429" spans="1:21" s="702" customFormat="1" outlineLevel="2">
      <c r="A1429" s="339"/>
      <c r="B1429" s="339"/>
      <c r="C1429" s="708">
        <v>2210201</v>
      </c>
      <c r="D1429" s="709" t="s">
        <v>187</v>
      </c>
      <c r="E1429" s="348">
        <v>253689</v>
      </c>
      <c r="F1429" s="334"/>
      <c r="G1429" s="334"/>
      <c r="H1429" s="334"/>
      <c r="I1429" s="324">
        <f t="shared" si="1051"/>
        <v>253689</v>
      </c>
      <c r="J1429" s="334"/>
      <c r="K1429" s="334"/>
      <c r="L1429" s="317">
        <f t="shared" si="1043"/>
        <v>253689</v>
      </c>
      <c r="M1429" s="317"/>
      <c r="N1429" s="372">
        <f t="shared" si="1049"/>
        <v>0</v>
      </c>
      <c r="O1429" s="710">
        <f>L1429*1.1</f>
        <v>279057.90000000002</v>
      </c>
      <c r="P1429" s="710">
        <f t="shared" si="1052"/>
        <v>306963.69000000006</v>
      </c>
      <c r="R1429" s="317"/>
      <c r="U1429" s="320"/>
    </row>
    <row r="1430" spans="1:21" s="702" customFormat="1" outlineLevel="2">
      <c r="A1430" s="339"/>
      <c r="B1430" s="339"/>
      <c r="C1430" s="707">
        <v>2210300</v>
      </c>
      <c r="D1430" s="635" t="s">
        <v>24</v>
      </c>
      <c r="E1430" s="329">
        <f>SUM(E1431:E1433)</f>
        <v>1424530</v>
      </c>
      <c r="F1430" s="329">
        <f t="shared" ref="F1430:K1430" si="1057">SUM(F1431:F1433)</f>
        <v>0</v>
      </c>
      <c r="G1430" s="329">
        <f t="shared" si="1057"/>
        <v>0</v>
      </c>
      <c r="H1430" s="329">
        <f t="shared" si="1057"/>
        <v>0</v>
      </c>
      <c r="I1430" s="329">
        <f t="shared" si="1057"/>
        <v>1424530</v>
      </c>
      <c r="J1430" s="329">
        <f t="shared" si="1057"/>
        <v>0</v>
      </c>
      <c r="K1430" s="329">
        <f t="shared" si="1057"/>
        <v>790000</v>
      </c>
      <c r="L1430" s="317">
        <f t="shared" si="1043"/>
        <v>2214530</v>
      </c>
      <c r="M1430" s="317"/>
      <c r="N1430" s="372">
        <f t="shared" si="1049"/>
        <v>-790000</v>
      </c>
      <c r="O1430" s="329">
        <f t="shared" ref="O1430:P1430" si="1058">SUM(O1431:O1433)</f>
        <v>2435983</v>
      </c>
      <c r="P1430" s="329">
        <f t="shared" si="1058"/>
        <v>2679581.3000000003</v>
      </c>
      <c r="R1430" s="317"/>
      <c r="U1430" s="320"/>
    </row>
    <row r="1431" spans="1:21" s="702" customFormat="1" outlineLevel="2">
      <c r="A1431" s="339"/>
      <c r="B1431" s="339"/>
      <c r="C1431" s="708">
        <v>2210301</v>
      </c>
      <c r="D1431" s="709" t="s">
        <v>188</v>
      </c>
      <c r="E1431" s="348">
        <f>300950</f>
        <v>300950</v>
      </c>
      <c r="F1431" s="334"/>
      <c r="G1431" s="334"/>
      <c r="H1431" s="334"/>
      <c r="I1431" s="324">
        <f t="shared" si="1051"/>
        <v>300950</v>
      </c>
      <c r="J1431" s="334"/>
      <c r="K1431" s="333">
        <v>200000</v>
      </c>
      <c r="L1431" s="317">
        <f t="shared" si="1043"/>
        <v>500950</v>
      </c>
      <c r="M1431" s="317"/>
      <c r="N1431" s="372">
        <f t="shared" si="1049"/>
        <v>-200000</v>
      </c>
      <c r="O1431" s="710">
        <f>L1431*1.1</f>
        <v>551045</v>
      </c>
      <c r="P1431" s="710">
        <f t="shared" si="1052"/>
        <v>606149.5</v>
      </c>
      <c r="R1431" s="317"/>
      <c r="U1431" s="320"/>
    </row>
    <row r="1432" spans="1:21" s="702" customFormat="1" outlineLevel="2">
      <c r="A1432" s="339"/>
      <c r="B1432" s="339"/>
      <c r="C1432" s="708">
        <v>2210302</v>
      </c>
      <c r="D1432" s="709" t="s">
        <v>26</v>
      </c>
      <c r="E1432" s="348">
        <f>601215</f>
        <v>601215</v>
      </c>
      <c r="F1432" s="334"/>
      <c r="G1432" s="334"/>
      <c r="H1432" s="334"/>
      <c r="I1432" s="324">
        <f t="shared" si="1051"/>
        <v>601215</v>
      </c>
      <c r="J1432" s="334"/>
      <c r="K1432" s="333">
        <f>100000+233980</f>
        <v>333980</v>
      </c>
      <c r="L1432" s="317">
        <f t="shared" si="1043"/>
        <v>935195</v>
      </c>
      <c r="M1432" s="317"/>
      <c r="N1432" s="372">
        <f t="shared" si="1049"/>
        <v>-333980</v>
      </c>
      <c r="O1432" s="710">
        <f>L1432*1.1</f>
        <v>1028714.5000000001</v>
      </c>
      <c r="P1432" s="710">
        <f t="shared" si="1052"/>
        <v>1131585.9500000002</v>
      </c>
      <c r="R1432" s="317"/>
      <c r="U1432" s="320"/>
    </row>
    <row r="1433" spans="1:21" s="702" customFormat="1" outlineLevel="2">
      <c r="A1433" s="339"/>
      <c r="B1433" s="339"/>
      <c r="C1433" s="708">
        <v>2210303</v>
      </c>
      <c r="D1433" s="709" t="s">
        <v>223</v>
      </c>
      <c r="E1433" s="348">
        <f>822365-300000</f>
        <v>522365</v>
      </c>
      <c r="F1433" s="334"/>
      <c r="G1433" s="334"/>
      <c r="H1433" s="334"/>
      <c r="I1433" s="324">
        <f t="shared" si="1051"/>
        <v>522365</v>
      </c>
      <c r="J1433" s="334"/>
      <c r="K1433" s="333">
        <f>100000+156020</f>
        <v>256020</v>
      </c>
      <c r="L1433" s="317">
        <f t="shared" si="1043"/>
        <v>778385</v>
      </c>
      <c r="M1433" s="317"/>
      <c r="N1433" s="372">
        <f t="shared" si="1049"/>
        <v>-256020</v>
      </c>
      <c r="O1433" s="710">
        <f>L1433*1.1</f>
        <v>856223.50000000012</v>
      </c>
      <c r="P1433" s="710">
        <f t="shared" si="1052"/>
        <v>941845.85000000021</v>
      </c>
      <c r="R1433" s="317"/>
      <c r="U1433" s="320"/>
    </row>
    <row r="1434" spans="1:21" s="702" customFormat="1" outlineLevel="2">
      <c r="A1434" s="339"/>
      <c r="B1434" s="339"/>
      <c r="C1434" s="707">
        <v>2210400</v>
      </c>
      <c r="D1434" s="635" t="s">
        <v>317</v>
      </c>
      <c r="E1434" s="329">
        <f>SUM(E1435:E1436)</f>
        <v>590000</v>
      </c>
      <c r="F1434" s="329">
        <f t="shared" ref="F1434:K1434" si="1059">SUM(F1435:F1436)</f>
        <v>0</v>
      </c>
      <c r="G1434" s="329">
        <f t="shared" si="1059"/>
        <v>0</v>
      </c>
      <c r="H1434" s="329">
        <f t="shared" si="1059"/>
        <v>0</v>
      </c>
      <c r="I1434" s="329">
        <f t="shared" si="1059"/>
        <v>590000</v>
      </c>
      <c r="J1434" s="329">
        <f t="shared" si="1059"/>
        <v>0</v>
      </c>
      <c r="K1434" s="329">
        <f t="shared" si="1059"/>
        <v>-590000</v>
      </c>
      <c r="L1434" s="317">
        <f t="shared" si="1043"/>
        <v>0</v>
      </c>
      <c r="M1434" s="317"/>
      <c r="N1434" s="372">
        <f t="shared" si="1049"/>
        <v>590000</v>
      </c>
      <c r="O1434" s="329">
        <f t="shared" ref="O1434:P1434" si="1060">SUM(O1435:O1436)</f>
        <v>0</v>
      </c>
      <c r="P1434" s="329">
        <f t="shared" si="1060"/>
        <v>0</v>
      </c>
      <c r="R1434" s="317"/>
      <c r="U1434" s="320"/>
    </row>
    <row r="1435" spans="1:21" s="702" customFormat="1" outlineLevel="2">
      <c r="A1435" s="339"/>
      <c r="B1435" s="339"/>
      <c r="C1435" s="708">
        <v>2210401</v>
      </c>
      <c r="D1435" s="709" t="s">
        <v>190</v>
      </c>
      <c r="E1435" s="348">
        <v>233980</v>
      </c>
      <c r="F1435" s="334"/>
      <c r="G1435" s="334"/>
      <c r="H1435" s="334"/>
      <c r="I1435" s="324">
        <f t="shared" si="1051"/>
        <v>233980</v>
      </c>
      <c r="J1435" s="334"/>
      <c r="K1435" s="711">
        <v>-233980</v>
      </c>
      <c r="L1435" s="317">
        <f t="shared" si="1043"/>
        <v>0</v>
      </c>
      <c r="M1435" s="317"/>
      <c r="N1435" s="372">
        <f t="shared" si="1049"/>
        <v>233980</v>
      </c>
      <c r="O1435" s="710">
        <f>L1435*1.1</f>
        <v>0</v>
      </c>
      <c r="P1435" s="710">
        <f t="shared" si="1052"/>
        <v>0</v>
      </c>
      <c r="R1435" s="317"/>
      <c r="U1435" s="320"/>
    </row>
    <row r="1436" spans="1:21" s="702" customFormat="1" outlineLevel="2">
      <c r="A1436" s="339"/>
      <c r="B1436" s="339"/>
      <c r="C1436" s="708">
        <v>2210402</v>
      </c>
      <c r="D1436" s="709" t="s">
        <v>191</v>
      </c>
      <c r="E1436" s="348">
        <v>356020</v>
      </c>
      <c r="F1436" s="334"/>
      <c r="G1436" s="334"/>
      <c r="H1436" s="334"/>
      <c r="I1436" s="324">
        <f t="shared" si="1051"/>
        <v>356020</v>
      </c>
      <c r="J1436" s="334"/>
      <c r="K1436" s="711">
        <v>-356020</v>
      </c>
      <c r="L1436" s="317">
        <f t="shared" si="1043"/>
        <v>0</v>
      </c>
      <c r="M1436" s="317"/>
      <c r="N1436" s="372">
        <f t="shared" si="1049"/>
        <v>356020</v>
      </c>
      <c r="O1436" s="710">
        <f>L1436*1.1</f>
        <v>0</v>
      </c>
      <c r="P1436" s="710">
        <f t="shared" si="1052"/>
        <v>0</v>
      </c>
      <c r="R1436" s="317"/>
      <c r="U1436" s="320"/>
    </row>
    <row r="1437" spans="1:21" s="702" customFormat="1" outlineLevel="2">
      <c r="A1437" s="339"/>
      <c r="B1437" s="339"/>
      <c r="C1437" s="707">
        <v>2210500</v>
      </c>
      <c r="D1437" s="635" t="s">
        <v>31</v>
      </c>
      <c r="E1437" s="329">
        <f>SUM(E1438:E1441)</f>
        <v>1932723</v>
      </c>
      <c r="F1437" s="329">
        <f t="shared" ref="F1437:P1437" si="1061">SUM(F1438:F1441)</f>
        <v>0</v>
      </c>
      <c r="G1437" s="329">
        <f t="shared" si="1061"/>
        <v>0</v>
      </c>
      <c r="H1437" s="329">
        <f t="shared" si="1061"/>
        <v>0</v>
      </c>
      <c r="I1437" s="329">
        <f t="shared" si="1061"/>
        <v>1932723</v>
      </c>
      <c r="J1437" s="329">
        <f t="shared" si="1061"/>
        <v>0</v>
      </c>
      <c r="K1437" s="329">
        <f t="shared" si="1061"/>
        <v>200000</v>
      </c>
      <c r="L1437" s="317">
        <f t="shared" si="1043"/>
        <v>2132723</v>
      </c>
      <c r="M1437" s="317"/>
      <c r="N1437" s="372">
        <f t="shared" si="1049"/>
        <v>-200000</v>
      </c>
      <c r="O1437" s="329">
        <f t="shared" si="1061"/>
        <v>2345995.3000000003</v>
      </c>
      <c r="P1437" s="329">
        <f t="shared" si="1061"/>
        <v>2580594.83</v>
      </c>
      <c r="R1437" s="317"/>
      <c r="U1437" s="320"/>
    </row>
    <row r="1438" spans="1:21" s="702" customFormat="1" outlineLevel="2">
      <c r="A1438" s="339"/>
      <c r="B1438" s="339"/>
      <c r="C1438" s="708">
        <v>2210502</v>
      </c>
      <c r="D1438" s="709" t="s">
        <v>105</v>
      </c>
      <c r="E1438" s="348">
        <v>227281</v>
      </c>
      <c r="F1438" s="334"/>
      <c r="G1438" s="334"/>
      <c r="H1438" s="334"/>
      <c r="I1438" s="324">
        <f t="shared" si="1051"/>
        <v>227281</v>
      </c>
      <c r="J1438" s="334"/>
      <c r="K1438" s="334"/>
      <c r="L1438" s="317">
        <f t="shared" si="1043"/>
        <v>227281</v>
      </c>
      <c r="M1438" s="317"/>
      <c r="N1438" s="372">
        <f t="shared" si="1049"/>
        <v>0</v>
      </c>
      <c r="O1438" s="710">
        <f>L1438*1.1</f>
        <v>250009.1</v>
      </c>
      <c r="P1438" s="710">
        <f t="shared" si="1052"/>
        <v>275010.01</v>
      </c>
      <c r="R1438" s="317"/>
      <c r="U1438" s="320"/>
    </row>
    <row r="1439" spans="1:21" s="702" customFormat="1" outlineLevel="2">
      <c r="A1439" s="339"/>
      <c r="B1439" s="339"/>
      <c r="C1439" s="708">
        <v>2210503</v>
      </c>
      <c r="D1439" s="709" t="s">
        <v>32</v>
      </c>
      <c r="E1439" s="348">
        <v>108058</v>
      </c>
      <c r="F1439" s="334"/>
      <c r="G1439" s="334"/>
      <c r="H1439" s="334"/>
      <c r="I1439" s="324">
        <f t="shared" si="1051"/>
        <v>108058</v>
      </c>
      <c r="J1439" s="334"/>
      <c r="K1439" s="334"/>
      <c r="L1439" s="317">
        <f t="shared" si="1043"/>
        <v>108058</v>
      </c>
      <c r="M1439" s="317"/>
      <c r="N1439" s="372">
        <f t="shared" si="1049"/>
        <v>0</v>
      </c>
      <c r="O1439" s="710">
        <f>L1439*1.1</f>
        <v>118863.8</v>
      </c>
      <c r="P1439" s="710">
        <f t="shared" si="1052"/>
        <v>130750.18000000001</v>
      </c>
      <c r="R1439" s="317"/>
      <c r="U1439" s="320"/>
    </row>
    <row r="1440" spans="1:21" s="702" customFormat="1" outlineLevel="2">
      <c r="A1440" s="339"/>
      <c r="B1440" s="339"/>
      <c r="C1440" s="708">
        <v>2210504</v>
      </c>
      <c r="D1440" s="709" t="s">
        <v>33</v>
      </c>
      <c r="E1440" s="348">
        <v>271105</v>
      </c>
      <c r="F1440" s="334"/>
      <c r="G1440" s="334"/>
      <c r="H1440" s="334"/>
      <c r="I1440" s="324">
        <f t="shared" si="1051"/>
        <v>271105</v>
      </c>
      <c r="J1440" s="334"/>
      <c r="K1440" s="334"/>
      <c r="L1440" s="317">
        <f t="shared" si="1043"/>
        <v>271105</v>
      </c>
      <c r="M1440" s="317"/>
      <c r="N1440" s="372">
        <f t="shared" si="1049"/>
        <v>0</v>
      </c>
      <c r="O1440" s="710">
        <f>L1440*1.1</f>
        <v>298215.5</v>
      </c>
      <c r="P1440" s="710">
        <f t="shared" si="1052"/>
        <v>328037.05000000005</v>
      </c>
      <c r="R1440" s="317"/>
      <c r="U1440" s="320"/>
    </row>
    <row r="1441" spans="1:21" s="702" customFormat="1" outlineLevel="2">
      <c r="A1441" s="339"/>
      <c r="B1441" s="339"/>
      <c r="C1441" s="708">
        <v>2210505</v>
      </c>
      <c r="D1441" s="709" t="s">
        <v>192</v>
      </c>
      <c r="E1441" s="348">
        <v>1326279</v>
      </c>
      <c r="F1441" s="334"/>
      <c r="G1441" s="334"/>
      <c r="H1441" s="334"/>
      <c r="I1441" s="324">
        <f t="shared" si="1051"/>
        <v>1326279</v>
      </c>
      <c r="J1441" s="334"/>
      <c r="K1441" s="333">
        <v>200000</v>
      </c>
      <c r="L1441" s="317">
        <f t="shared" si="1043"/>
        <v>1526279</v>
      </c>
      <c r="M1441" s="317"/>
      <c r="N1441" s="372">
        <f t="shared" si="1049"/>
        <v>-200000</v>
      </c>
      <c r="O1441" s="710">
        <f>L1441*1.1</f>
        <v>1678906.9000000001</v>
      </c>
      <c r="P1441" s="710">
        <f t="shared" ref="P1441:P1463" si="1062">O1441*1.1</f>
        <v>1846797.5900000003</v>
      </c>
      <c r="R1441" s="317"/>
      <c r="U1441" s="320"/>
    </row>
    <row r="1442" spans="1:21" s="702" customFormat="1" outlineLevel="2">
      <c r="A1442" s="339"/>
      <c r="B1442" s="339"/>
      <c r="C1442" s="707">
        <v>2210700</v>
      </c>
      <c r="D1442" s="635" t="s">
        <v>35</v>
      </c>
      <c r="E1442" s="329">
        <f>SUM(E1443:E1446)</f>
        <v>1656157.5</v>
      </c>
      <c r="F1442" s="329">
        <f t="shared" ref="F1442:K1442" si="1063">SUM(F1443:F1446)</f>
        <v>0</v>
      </c>
      <c r="G1442" s="329">
        <f t="shared" si="1063"/>
        <v>0</v>
      </c>
      <c r="H1442" s="329">
        <f t="shared" si="1063"/>
        <v>0</v>
      </c>
      <c r="I1442" s="329">
        <f t="shared" si="1063"/>
        <v>1656157.5</v>
      </c>
      <c r="J1442" s="329">
        <f t="shared" si="1063"/>
        <v>0</v>
      </c>
      <c r="K1442" s="329">
        <f t="shared" si="1063"/>
        <v>0</v>
      </c>
      <c r="L1442" s="317">
        <f t="shared" si="1043"/>
        <v>1656157.5</v>
      </c>
      <c r="M1442" s="317"/>
      <c r="N1442" s="372">
        <f t="shared" si="1049"/>
        <v>0</v>
      </c>
      <c r="O1442" s="329">
        <f t="shared" ref="O1442:P1442" si="1064">SUM(O1443:O1446)</f>
        <v>1821773.25</v>
      </c>
      <c r="P1442" s="329">
        <f t="shared" si="1064"/>
        <v>2003950.5750000004</v>
      </c>
      <c r="R1442" s="317"/>
      <c r="U1442" s="320"/>
    </row>
    <row r="1443" spans="1:21" s="702" customFormat="1" outlineLevel="2">
      <c r="A1443" s="339"/>
      <c r="B1443" s="339"/>
      <c r="C1443" s="708">
        <v>2210701</v>
      </c>
      <c r="D1443" s="709" t="s">
        <v>36</v>
      </c>
      <c r="E1443" s="348">
        <v>326227.5</v>
      </c>
      <c r="F1443" s="334"/>
      <c r="G1443" s="334"/>
      <c r="H1443" s="334"/>
      <c r="I1443" s="324">
        <f t="shared" si="1051"/>
        <v>326227.5</v>
      </c>
      <c r="J1443" s="334"/>
      <c r="K1443" s="334"/>
      <c r="L1443" s="317">
        <f t="shared" si="1043"/>
        <v>326227.5</v>
      </c>
      <c r="M1443" s="317"/>
      <c r="N1443" s="372">
        <f t="shared" si="1049"/>
        <v>0</v>
      </c>
      <c r="O1443" s="710">
        <f>L1443*1.1</f>
        <v>358850.25</v>
      </c>
      <c r="P1443" s="710">
        <f t="shared" si="1062"/>
        <v>394735.27500000002</v>
      </c>
      <c r="R1443" s="317"/>
      <c r="U1443" s="320"/>
    </row>
    <row r="1444" spans="1:21" s="702" customFormat="1" outlineLevel="2">
      <c r="A1444" s="339"/>
      <c r="B1444" s="339"/>
      <c r="C1444" s="708">
        <v>2210704</v>
      </c>
      <c r="D1444" s="709" t="s">
        <v>38</v>
      </c>
      <c r="E1444" s="348">
        <v>443550</v>
      </c>
      <c r="F1444" s="334"/>
      <c r="G1444" s="334"/>
      <c r="H1444" s="334"/>
      <c r="I1444" s="324">
        <f t="shared" si="1051"/>
        <v>443550</v>
      </c>
      <c r="J1444" s="334"/>
      <c r="K1444" s="334"/>
      <c r="L1444" s="317">
        <f t="shared" si="1043"/>
        <v>443550</v>
      </c>
      <c r="M1444" s="317"/>
      <c r="N1444" s="372">
        <f t="shared" si="1049"/>
        <v>0</v>
      </c>
      <c r="O1444" s="710">
        <f>L1444*1.1</f>
        <v>487905.00000000006</v>
      </c>
      <c r="P1444" s="710">
        <f t="shared" si="1062"/>
        <v>536695.50000000012</v>
      </c>
      <c r="R1444" s="317"/>
      <c r="U1444" s="320"/>
    </row>
    <row r="1445" spans="1:21" s="702" customFormat="1" outlineLevel="2">
      <c r="A1445" s="339"/>
      <c r="B1445" s="339"/>
      <c r="C1445" s="708">
        <v>2210708</v>
      </c>
      <c r="D1445" s="709" t="s">
        <v>115</v>
      </c>
      <c r="E1445" s="348">
        <v>375450</v>
      </c>
      <c r="F1445" s="334"/>
      <c r="G1445" s="334"/>
      <c r="H1445" s="334"/>
      <c r="I1445" s="324">
        <f t="shared" si="1051"/>
        <v>375450</v>
      </c>
      <c r="J1445" s="334"/>
      <c r="K1445" s="334"/>
      <c r="L1445" s="317">
        <f t="shared" si="1043"/>
        <v>375450</v>
      </c>
      <c r="M1445" s="317"/>
      <c r="N1445" s="372">
        <f t="shared" si="1049"/>
        <v>0</v>
      </c>
      <c r="O1445" s="710">
        <f>L1445*1.1</f>
        <v>412995.00000000006</v>
      </c>
      <c r="P1445" s="710">
        <f t="shared" si="1062"/>
        <v>454294.50000000012</v>
      </c>
      <c r="R1445" s="317"/>
      <c r="U1445" s="320"/>
    </row>
    <row r="1446" spans="1:21" s="702" customFormat="1" outlineLevel="2">
      <c r="A1446" s="339"/>
      <c r="B1446" s="339"/>
      <c r="C1446" s="708">
        <v>2210710</v>
      </c>
      <c r="D1446" s="709" t="s">
        <v>39</v>
      </c>
      <c r="E1446" s="348">
        <v>510930</v>
      </c>
      <c r="F1446" s="334"/>
      <c r="G1446" s="334"/>
      <c r="H1446" s="334"/>
      <c r="I1446" s="324">
        <f t="shared" si="1051"/>
        <v>510930</v>
      </c>
      <c r="J1446" s="334"/>
      <c r="K1446" s="334"/>
      <c r="L1446" s="317">
        <f t="shared" si="1043"/>
        <v>510930</v>
      </c>
      <c r="M1446" s="317"/>
      <c r="N1446" s="372">
        <f t="shared" si="1049"/>
        <v>0</v>
      </c>
      <c r="O1446" s="710">
        <f>L1446*1.1</f>
        <v>562023</v>
      </c>
      <c r="P1446" s="710">
        <f t="shared" si="1062"/>
        <v>618225.30000000005</v>
      </c>
      <c r="R1446" s="317"/>
      <c r="U1446" s="320"/>
    </row>
    <row r="1447" spans="1:21" s="702" customFormat="1" outlineLevel="2">
      <c r="A1447" s="339"/>
      <c r="B1447" s="339"/>
      <c r="C1447" s="707">
        <v>2210800</v>
      </c>
      <c r="D1447" s="635" t="s">
        <v>42</v>
      </c>
      <c r="E1447" s="329">
        <f>SUM(E1448:E1449)</f>
        <v>637278.6</v>
      </c>
      <c r="F1447" s="329">
        <f t="shared" ref="F1447:K1447" si="1065">SUM(F1448:F1449)</f>
        <v>0</v>
      </c>
      <c r="G1447" s="329">
        <f t="shared" si="1065"/>
        <v>0</v>
      </c>
      <c r="H1447" s="329">
        <f t="shared" si="1065"/>
        <v>0</v>
      </c>
      <c r="I1447" s="329">
        <f t="shared" si="1065"/>
        <v>637278.6</v>
      </c>
      <c r="J1447" s="329">
        <f t="shared" si="1065"/>
        <v>0</v>
      </c>
      <c r="K1447" s="329">
        <f t="shared" si="1065"/>
        <v>0</v>
      </c>
      <c r="L1447" s="317">
        <f t="shared" si="1043"/>
        <v>637278.6</v>
      </c>
      <c r="M1447" s="317"/>
      <c r="N1447" s="372">
        <f t="shared" si="1049"/>
        <v>0</v>
      </c>
      <c r="O1447" s="329">
        <f t="shared" ref="O1447:P1447" si="1066">SUM(O1448:O1449)</f>
        <v>701006.46</v>
      </c>
      <c r="P1447" s="329">
        <f t="shared" si="1066"/>
        <v>771107.10600000015</v>
      </c>
      <c r="R1447" s="317"/>
      <c r="U1447" s="320"/>
    </row>
    <row r="1448" spans="1:21" s="702" customFormat="1" outlineLevel="2">
      <c r="A1448" s="339"/>
      <c r="B1448" s="339"/>
      <c r="C1448" s="708">
        <v>2210801</v>
      </c>
      <c r="D1448" s="709" t="s">
        <v>2421</v>
      </c>
      <c r="E1448" s="348">
        <v>324173.59999999998</v>
      </c>
      <c r="F1448" s="334"/>
      <c r="G1448" s="334"/>
      <c r="H1448" s="334"/>
      <c r="I1448" s="324">
        <f t="shared" si="1051"/>
        <v>324173.59999999998</v>
      </c>
      <c r="J1448" s="334"/>
      <c r="K1448" s="334"/>
      <c r="L1448" s="317">
        <f t="shared" si="1043"/>
        <v>324173.59999999998</v>
      </c>
      <c r="M1448" s="317"/>
      <c r="N1448" s="372">
        <f t="shared" si="1049"/>
        <v>0</v>
      </c>
      <c r="O1448" s="710">
        <f>L1448*1.1</f>
        <v>356590.96</v>
      </c>
      <c r="P1448" s="710">
        <f t="shared" si="1062"/>
        <v>392250.05600000004</v>
      </c>
      <c r="R1448" s="317"/>
      <c r="U1448" s="320"/>
    </row>
    <row r="1449" spans="1:21" s="702" customFormat="1" outlineLevel="2">
      <c r="A1449" s="339"/>
      <c r="B1449" s="339"/>
      <c r="C1449" s="708">
        <v>2210802</v>
      </c>
      <c r="D1449" s="709" t="s">
        <v>97</v>
      </c>
      <c r="E1449" s="348">
        <v>313105</v>
      </c>
      <c r="F1449" s="334"/>
      <c r="G1449" s="334"/>
      <c r="H1449" s="334"/>
      <c r="I1449" s="324">
        <f t="shared" si="1051"/>
        <v>313105</v>
      </c>
      <c r="J1449" s="334"/>
      <c r="K1449" s="334"/>
      <c r="L1449" s="317">
        <f t="shared" si="1043"/>
        <v>313105</v>
      </c>
      <c r="M1449" s="317"/>
      <c r="N1449" s="372">
        <f t="shared" si="1049"/>
        <v>0</v>
      </c>
      <c r="O1449" s="710">
        <f>L1449*1.1</f>
        <v>344415.5</v>
      </c>
      <c r="P1449" s="710">
        <f t="shared" si="1062"/>
        <v>378857.05000000005</v>
      </c>
      <c r="R1449" s="317"/>
      <c r="U1449" s="320"/>
    </row>
    <row r="1450" spans="1:21" s="702" customFormat="1" outlineLevel="2">
      <c r="A1450" s="339"/>
      <c r="B1450" s="339"/>
      <c r="C1450" s="707">
        <v>2211000</v>
      </c>
      <c r="D1450" s="635" t="s">
        <v>103</v>
      </c>
      <c r="E1450" s="329">
        <f>E1451</f>
        <v>58000</v>
      </c>
      <c r="F1450" s="329">
        <f t="shared" ref="F1450:K1450" si="1067">F1451</f>
        <v>0</v>
      </c>
      <c r="G1450" s="329">
        <f t="shared" si="1067"/>
        <v>0</v>
      </c>
      <c r="H1450" s="329">
        <f t="shared" si="1067"/>
        <v>0</v>
      </c>
      <c r="I1450" s="329">
        <f t="shared" si="1067"/>
        <v>58000</v>
      </c>
      <c r="J1450" s="329">
        <f t="shared" si="1067"/>
        <v>0</v>
      </c>
      <c r="K1450" s="329">
        <f t="shared" si="1067"/>
        <v>0</v>
      </c>
      <c r="L1450" s="317">
        <f t="shared" si="1043"/>
        <v>58000</v>
      </c>
      <c r="M1450" s="317"/>
      <c r="N1450" s="372">
        <f t="shared" si="1049"/>
        <v>0</v>
      </c>
      <c r="O1450" s="329">
        <f t="shared" ref="O1450:P1450" si="1068">O1451</f>
        <v>63800.000000000007</v>
      </c>
      <c r="P1450" s="329">
        <f t="shared" si="1068"/>
        <v>70180.000000000015</v>
      </c>
      <c r="R1450" s="317"/>
      <c r="U1450" s="320"/>
    </row>
    <row r="1451" spans="1:21" s="702" customFormat="1" outlineLevel="2">
      <c r="A1451" s="339"/>
      <c r="B1451" s="339"/>
      <c r="C1451" s="708">
        <v>2211016</v>
      </c>
      <c r="D1451" s="709" t="s">
        <v>318</v>
      </c>
      <c r="E1451" s="348">
        <v>58000</v>
      </c>
      <c r="F1451" s="334"/>
      <c r="G1451" s="334"/>
      <c r="H1451" s="334"/>
      <c r="I1451" s="324">
        <f t="shared" si="1051"/>
        <v>58000</v>
      </c>
      <c r="J1451" s="334"/>
      <c r="K1451" s="334"/>
      <c r="L1451" s="317">
        <f t="shared" si="1043"/>
        <v>58000</v>
      </c>
      <c r="M1451" s="317"/>
      <c r="N1451" s="372">
        <f t="shared" si="1049"/>
        <v>0</v>
      </c>
      <c r="O1451" s="710">
        <f>L1451*1.1</f>
        <v>63800.000000000007</v>
      </c>
      <c r="P1451" s="710">
        <f t="shared" si="1062"/>
        <v>70180.000000000015</v>
      </c>
      <c r="R1451" s="317"/>
      <c r="U1451" s="320"/>
    </row>
    <row r="1452" spans="1:21" s="702" customFormat="1" outlineLevel="2">
      <c r="A1452" s="339"/>
      <c r="B1452" s="339"/>
      <c r="C1452" s="707">
        <v>2211100</v>
      </c>
      <c r="D1452" s="635" t="s">
        <v>51</v>
      </c>
      <c r="E1452" s="329">
        <f>E1453</f>
        <v>531862.19999999995</v>
      </c>
      <c r="F1452" s="329">
        <f t="shared" ref="F1452:P1452" si="1069">F1453</f>
        <v>0</v>
      </c>
      <c r="G1452" s="329">
        <f t="shared" si="1069"/>
        <v>0</v>
      </c>
      <c r="H1452" s="329">
        <f t="shared" si="1069"/>
        <v>0</v>
      </c>
      <c r="I1452" s="329">
        <f t="shared" si="1069"/>
        <v>531862.19999999995</v>
      </c>
      <c r="J1452" s="329">
        <f t="shared" si="1069"/>
        <v>0</v>
      </c>
      <c r="K1452" s="329">
        <f t="shared" si="1069"/>
        <v>0</v>
      </c>
      <c r="L1452" s="317">
        <f t="shared" si="1043"/>
        <v>531862.19999999995</v>
      </c>
      <c r="M1452" s="317"/>
      <c r="N1452" s="372">
        <f t="shared" si="1049"/>
        <v>0</v>
      </c>
      <c r="O1452" s="329">
        <f t="shared" si="1069"/>
        <v>585048.42000000004</v>
      </c>
      <c r="P1452" s="329">
        <f t="shared" si="1069"/>
        <v>643553.2620000001</v>
      </c>
      <c r="R1452" s="317"/>
      <c r="U1452" s="320"/>
    </row>
    <row r="1453" spans="1:21" s="702" customFormat="1" outlineLevel="2">
      <c r="A1453" s="339"/>
      <c r="B1453" s="339"/>
      <c r="C1453" s="708">
        <v>2211101</v>
      </c>
      <c r="D1453" s="709" t="s">
        <v>289</v>
      </c>
      <c r="E1453" s="348">
        <v>531862.19999999995</v>
      </c>
      <c r="F1453" s="334"/>
      <c r="G1453" s="334"/>
      <c r="H1453" s="334"/>
      <c r="I1453" s="324">
        <f t="shared" si="1051"/>
        <v>531862.19999999995</v>
      </c>
      <c r="J1453" s="334"/>
      <c r="K1453" s="334"/>
      <c r="L1453" s="317">
        <f t="shared" si="1043"/>
        <v>531862.19999999995</v>
      </c>
      <c r="M1453" s="317"/>
      <c r="N1453" s="372">
        <f t="shared" si="1049"/>
        <v>0</v>
      </c>
      <c r="O1453" s="710">
        <f>L1453*1.1</f>
        <v>585048.42000000004</v>
      </c>
      <c r="P1453" s="710">
        <f t="shared" si="1062"/>
        <v>643553.2620000001</v>
      </c>
      <c r="R1453" s="317"/>
      <c r="U1453" s="320"/>
    </row>
    <row r="1454" spans="1:21" s="702" customFormat="1" outlineLevel="2">
      <c r="A1454" s="339"/>
      <c r="B1454" s="339"/>
      <c r="C1454" s="707">
        <v>2211200</v>
      </c>
      <c r="D1454" s="635" t="s">
        <v>55</v>
      </c>
      <c r="E1454" s="329">
        <f>E1455</f>
        <v>1144803</v>
      </c>
      <c r="F1454" s="329">
        <f t="shared" ref="F1454:K1454" si="1070">F1455</f>
        <v>0</v>
      </c>
      <c r="G1454" s="329">
        <f t="shared" si="1070"/>
        <v>0</v>
      </c>
      <c r="H1454" s="329">
        <f t="shared" si="1070"/>
        <v>0</v>
      </c>
      <c r="I1454" s="329">
        <f t="shared" si="1070"/>
        <v>1144803</v>
      </c>
      <c r="J1454" s="329">
        <f t="shared" si="1070"/>
        <v>0</v>
      </c>
      <c r="K1454" s="329">
        <f t="shared" si="1070"/>
        <v>0</v>
      </c>
      <c r="L1454" s="317">
        <f t="shared" si="1043"/>
        <v>1144803</v>
      </c>
      <c r="M1454" s="317"/>
      <c r="N1454" s="372">
        <f t="shared" si="1049"/>
        <v>0</v>
      </c>
      <c r="O1454" s="329">
        <f t="shared" ref="O1454:P1454" si="1071">O1455</f>
        <v>1259283.3</v>
      </c>
      <c r="P1454" s="329">
        <f t="shared" si="1071"/>
        <v>1385211.6300000001</v>
      </c>
      <c r="R1454" s="317"/>
      <c r="U1454" s="320"/>
    </row>
    <row r="1455" spans="1:21" s="702" customFormat="1" outlineLevel="2">
      <c r="A1455" s="339"/>
      <c r="B1455" s="339"/>
      <c r="C1455" s="708">
        <v>2211201</v>
      </c>
      <c r="D1455" s="709" t="s">
        <v>56</v>
      </c>
      <c r="E1455" s="348">
        <f>1078058+66745</f>
        <v>1144803</v>
      </c>
      <c r="F1455" s="334"/>
      <c r="G1455" s="334"/>
      <c r="H1455" s="334"/>
      <c r="I1455" s="324">
        <f t="shared" si="1051"/>
        <v>1144803</v>
      </c>
      <c r="J1455" s="334"/>
      <c r="K1455" s="334"/>
      <c r="L1455" s="317">
        <f t="shared" si="1043"/>
        <v>1144803</v>
      </c>
      <c r="M1455" s="317"/>
      <c r="N1455" s="372">
        <f t="shared" si="1049"/>
        <v>0</v>
      </c>
      <c r="O1455" s="710">
        <f>L1455*1.1</f>
        <v>1259283.3</v>
      </c>
      <c r="P1455" s="710">
        <f t="shared" si="1062"/>
        <v>1385211.6300000001</v>
      </c>
      <c r="R1455" s="317"/>
      <c r="U1455" s="320"/>
    </row>
    <row r="1456" spans="1:21" s="702" customFormat="1" outlineLevel="2">
      <c r="A1456" s="339"/>
      <c r="B1456" s="339"/>
      <c r="C1456" s="707">
        <v>2211300</v>
      </c>
      <c r="D1456" s="635" t="s">
        <v>57</v>
      </c>
      <c r="E1456" s="329">
        <f>SUM(E1457:E1457)</f>
        <v>1000000</v>
      </c>
      <c r="F1456" s="329">
        <f t="shared" ref="F1456:K1456" si="1072">SUM(F1457:F1457)</f>
        <v>0</v>
      </c>
      <c r="G1456" s="329">
        <f t="shared" si="1072"/>
        <v>0</v>
      </c>
      <c r="H1456" s="329">
        <f t="shared" si="1072"/>
        <v>0</v>
      </c>
      <c r="I1456" s="329">
        <f t="shared" si="1072"/>
        <v>1000000</v>
      </c>
      <c r="J1456" s="329">
        <f t="shared" si="1072"/>
        <v>0</v>
      </c>
      <c r="K1456" s="329">
        <f t="shared" si="1072"/>
        <v>0</v>
      </c>
      <c r="L1456" s="317">
        <f t="shared" si="1043"/>
        <v>1000000</v>
      </c>
      <c r="M1456" s="317"/>
      <c r="N1456" s="372">
        <f t="shared" si="1049"/>
        <v>0</v>
      </c>
      <c r="O1456" s="329">
        <f t="shared" ref="O1456:P1456" si="1073">SUM(O1457:O1457)</f>
        <v>1100000</v>
      </c>
      <c r="P1456" s="329">
        <f t="shared" si="1073"/>
        <v>1210000</v>
      </c>
      <c r="R1456" s="317"/>
      <c r="U1456" s="320"/>
    </row>
    <row r="1457" spans="1:21" s="702" customFormat="1" outlineLevel="2">
      <c r="A1457" s="339"/>
      <c r="B1457" s="339"/>
      <c r="C1457" s="708">
        <v>2211399</v>
      </c>
      <c r="D1457" s="709" t="s">
        <v>316</v>
      </c>
      <c r="E1457" s="348">
        <f>1500000-500000</f>
        <v>1000000</v>
      </c>
      <c r="F1457" s="334"/>
      <c r="G1457" s="334"/>
      <c r="H1457" s="334"/>
      <c r="I1457" s="324">
        <f t="shared" si="1051"/>
        <v>1000000</v>
      </c>
      <c r="J1457" s="334"/>
      <c r="K1457" s="334"/>
      <c r="L1457" s="317">
        <f t="shared" si="1043"/>
        <v>1000000</v>
      </c>
      <c r="M1457" s="317"/>
      <c r="N1457" s="372">
        <f t="shared" si="1049"/>
        <v>0</v>
      </c>
      <c r="O1457" s="710">
        <f>L1457*1.1</f>
        <v>1100000</v>
      </c>
      <c r="P1457" s="710">
        <f t="shared" si="1062"/>
        <v>1210000</v>
      </c>
      <c r="R1457" s="317"/>
      <c r="U1457" s="320"/>
    </row>
    <row r="1458" spans="1:21" s="702" customFormat="1" outlineLevel="2">
      <c r="A1458" s="339"/>
      <c r="B1458" s="339"/>
      <c r="C1458" s="707">
        <v>2220100</v>
      </c>
      <c r="D1458" s="635" t="s">
        <v>62</v>
      </c>
      <c r="E1458" s="329">
        <f>E1459</f>
        <v>947473.6</v>
      </c>
      <c r="F1458" s="329">
        <f t="shared" ref="F1458:K1458" si="1074">F1459</f>
        <v>0</v>
      </c>
      <c r="G1458" s="329">
        <f t="shared" si="1074"/>
        <v>0</v>
      </c>
      <c r="H1458" s="329">
        <f t="shared" si="1074"/>
        <v>0</v>
      </c>
      <c r="I1458" s="329">
        <f t="shared" si="1074"/>
        <v>947473.6</v>
      </c>
      <c r="J1458" s="329">
        <f t="shared" si="1074"/>
        <v>0</v>
      </c>
      <c r="K1458" s="329">
        <f t="shared" si="1074"/>
        <v>0</v>
      </c>
      <c r="L1458" s="317">
        <f t="shared" si="1043"/>
        <v>947473.6</v>
      </c>
      <c r="M1458" s="317"/>
      <c r="N1458" s="372">
        <f t="shared" si="1049"/>
        <v>0</v>
      </c>
      <c r="O1458" s="329">
        <f t="shared" ref="O1458:P1458" si="1075">O1459</f>
        <v>1042220.9600000001</v>
      </c>
      <c r="P1458" s="329">
        <f t="shared" si="1075"/>
        <v>1146443.0560000001</v>
      </c>
      <c r="R1458" s="317"/>
      <c r="U1458" s="320"/>
    </row>
    <row r="1459" spans="1:21" s="702" customFormat="1" outlineLevel="2">
      <c r="A1459" s="339"/>
      <c r="B1459" s="339"/>
      <c r="C1459" s="708">
        <v>2220101</v>
      </c>
      <c r="D1459" s="709" t="s">
        <v>200</v>
      </c>
      <c r="E1459" s="348">
        <v>947473.6</v>
      </c>
      <c r="F1459" s="334"/>
      <c r="G1459" s="334"/>
      <c r="H1459" s="334"/>
      <c r="I1459" s="324">
        <f t="shared" si="1051"/>
        <v>947473.6</v>
      </c>
      <c r="J1459" s="334"/>
      <c r="K1459" s="334"/>
      <c r="L1459" s="317">
        <f t="shared" si="1043"/>
        <v>947473.6</v>
      </c>
      <c r="M1459" s="317"/>
      <c r="N1459" s="372">
        <f t="shared" si="1049"/>
        <v>0</v>
      </c>
      <c r="O1459" s="710">
        <f>L1459*1.1</f>
        <v>1042220.9600000001</v>
      </c>
      <c r="P1459" s="710">
        <f t="shared" si="1062"/>
        <v>1146443.0560000001</v>
      </c>
      <c r="R1459" s="317"/>
      <c r="U1459" s="320"/>
    </row>
    <row r="1460" spans="1:21" s="702" customFormat="1" outlineLevel="2">
      <c r="A1460" s="339"/>
      <c r="B1460" s="339"/>
      <c r="C1460" s="707">
        <v>2220200</v>
      </c>
      <c r="D1460" s="635" t="s">
        <v>124</v>
      </c>
      <c r="E1460" s="329">
        <f>E1461</f>
        <v>685980</v>
      </c>
      <c r="F1460" s="329">
        <f t="shared" ref="F1460:K1460" si="1076">F1461</f>
        <v>0</v>
      </c>
      <c r="G1460" s="329">
        <f t="shared" si="1076"/>
        <v>0</v>
      </c>
      <c r="H1460" s="329">
        <f t="shared" si="1076"/>
        <v>0</v>
      </c>
      <c r="I1460" s="329">
        <f t="shared" si="1076"/>
        <v>685980</v>
      </c>
      <c r="J1460" s="329">
        <f t="shared" si="1076"/>
        <v>0</v>
      </c>
      <c r="K1460" s="329">
        <f t="shared" si="1076"/>
        <v>-200000</v>
      </c>
      <c r="L1460" s="317">
        <f t="shared" si="1043"/>
        <v>485980</v>
      </c>
      <c r="M1460" s="317"/>
      <c r="N1460" s="372">
        <f t="shared" si="1049"/>
        <v>200000</v>
      </c>
      <c r="O1460" s="329">
        <f t="shared" ref="O1460:P1460" si="1077">O1461</f>
        <v>534578</v>
      </c>
      <c r="P1460" s="329">
        <f t="shared" si="1077"/>
        <v>588035.80000000005</v>
      </c>
      <c r="R1460" s="317"/>
      <c r="U1460" s="320"/>
    </row>
    <row r="1461" spans="1:21" s="702" customFormat="1" outlineLevel="2">
      <c r="A1461" s="339"/>
      <c r="B1461" s="339"/>
      <c r="C1461" s="708">
        <v>2220205</v>
      </c>
      <c r="D1461" s="709" t="s">
        <v>125</v>
      </c>
      <c r="E1461" s="348">
        <v>685980</v>
      </c>
      <c r="F1461" s="334"/>
      <c r="G1461" s="334"/>
      <c r="H1461" s="334"/>
      <c r="I1461" s="324">
        <f t="shared" si="1051"/>
        <v>685980</v>
      </c>
      <c r="J1461" s="334"/>
      <c r="K1461" s="711">
        <v>-200000</v>
      </c>
      <c r="L1461" s="317">
        <f t="shared" si="1043"/>
        <v>485980</v>
      </c>
      <c r="M1461" s="317"/>
      <c r="N1461" s="372">
        <f t="shared" si="1049"/>
        <v>200000</v>
      </c>
      <c r="O1461" s="710">
        <f>L1461*1.1</f>
        <v>534578</v>
      </c>
      <c r="P1461" s="710">
        <f t="shared" si="1062"/>
        <v>588035.80000000005</v>
      </c>
      <c r="R1461" s="317"/>
      <c r="U1461" s="320"/>
    </row>
    <row r="1462" spans="1:21" s="702" customFormat="1" outlineLevel="2">
      <c r="A1462" s="339"/>
      <c r="B1462" s="339"/>
      <c r="C1462" s="707">
        <v>3111000</v>
      </c>
      <c r="D1462" s="635" t="s">
        <v>69</v>
      </c>
      <c r="E1462" s="329">
        <f>E1463</f>
        <v>560000</v>
      </c>
      <c r="F1462" s="329">
        <f t="shared" ref="F1462:K1462" si="1078">F1463</f>
        <v>0</v>
      </c>
      <c r="G1462" s="329">
        <f t="shared" si="1078"/>
        <v>0</v>
      </c>
      <c r="H1462" s="329">
        <f t="shared" si="1078"/>
        <v>0</v>
      </c>
      <c r="I1462" s="329">
        <f t="shared" si="1078"/>
        <v>560000</v>
      </c>
      <c r="J1462" s="329">
        <f t="shared" si="1078"/>
        <v>0</v>
      </c>
      <c r="K1462" s="329">
        <f t="shared" si="1078"/>
        <v>0</v>
      </c>
      <c r="L1462" s="317">
        <f t="shared" si="1043"/>
        <v>560000</v>
      </c>
      <c r="M1462" s="317"/>
      <c r="N1462" s="372">
        <f t="shared" si="1049"/>
        <v>0</v>
      </c>
      <c r="O1462" s="329">
        <f t="shared" ref="O1462:P1462" si="1079">O1463</f>
        <v>616000</v>
      </c>
      <c r="P1462" s="329">
        <f t="shared" si="1079"/>
        <v>677600</v>
      </c>
      <c r="R1462" s="317"/>
      <c r="U1462" s="320"/>
    </row>
    <row r="1463" spans="1:21" s="702" customFormat="1" outlineLevel="2">
      <c r="A1463" s="339"/>
      <c r="B1463" s="339"/>
      <c r="C1463" s="708">
        <v>3111001</v>
      </c>
      <c r="D1463" s="709" t="s">
        <v>319</v>
      </c>
      <c r="E1463" s="348">
        <v>560000</v>
      </c>
      <c r="F1463" s="334"/>
      <c r="G1463" s="334"/>
      <c r="H1463" s="334"/>
      <c r="I1463" s="324">
        <f t="shared" si="1051"/>
        <v>560000</v>
      </c>
      <c r="J1463" s="334"/>
      <c r="K1463" s="334"/>
      <c r="L1463" s="317">
        <f t="shared" si="1043"/>
        <v>560000</v>
      </c>
      <c r="M1463" s="317"/>
      <c r="N1463" s="372">
        <f t="shared" si="1049"/>
        <v>0</v>
      </c>
      <c r="O1463" s="710">
        <f>L1463*1.1</f>
        <v>616000</v>
      </c>
      <c r="P1463" s="710">
        <f t="shared" si="1062"/>
        <v>677600</v>
      </c>
      <c r="R1463" s="317"/>
      <c r="U1463" s="320"/>
    </row>
    <row r="1464" spans="1:21" s="702" customFormat="1" outlineLevel="1">
      <c r="A1464" s="703"/>
      <c r="B1464" s="703"/>
      <c r="C1464" s="712" t="s">
        <v>320</v>
      </c>
      <c r="D1464" s="712"/>
      <c r="E1464" s="575">
        <f>E1422+E1425+E1428+E1430+E1434+E1437+E1442+E1447+E1450+E1452+E1454+E1456+E1458+E1460+E1462</f>
        <v>799987768.9000001</v>
      </c>
      <c r="F1464" s="575">
        <f t="shared" ref="F1464:K1464" si="1080">F1422+F1425+F1428+F1430+F1434+F1437+F1442+F1447+F1450+F1452+F1454+F1456+F1458+F1460+F1462</f>
        <v>0</v>
      </c>
      <c r="G1464" s="575">
        <f t="shared" si="1080"/>
        <v>0</v>
      </c>
      <c r="H1464" s="575">
        <f t="shared" si="1080"/>
        <v>0</v>
      </c>
      <c r="I1464" s="575">
        <f t="shared" si="1080"/>
        <v>799987768.9000001</v>
      </c>
      <c r="J1464" s="575">
        <f t="shared" si="1080"/>
        <v>0</v>
      </c>
      <c r="K1464" s="575">
        <f t="shared" si="1080"/>
        <v>0</v>
      </c>
      <c r="L1464" s="317">
        <f t="shared" si="1043"/>
        <v>799987768.9000001</v>
      </c>
      <c r="M1464" s="317"/>
      <c r="N1464" s="372">
        <f t="shared" si="1049"/>
        <v>0</v>
      </c>
      <c r="O1464" s="575">
        <f t="shared" ref="O1464:P1464" si="1081">O1422+O1425+O1428+O1430+O1434+O1437+O1442+O1447+O1450+O1452+O1454+O1456+O1458+O1460+O1462</f>
        <v>879986545.78999996</v>
      </c>
      <c r="P1464" s="575">
        <f t="shared" si="1081"/>
        <v>967985200.3690002</v>
      </c>
      <c r="R1464" s="317"/>
      <c r="U1464" s="320"/>
    </row>
    <row r="1465" spans="1:21" s="702" customFormat="1" outlineLevel="1">
      <c r="A1465" s="703"/>
      <c r="B1465" s="703"/>
      <c r="C1465" s="712" t="s">
        <v>321</v>
      </c>
      <c r="D1465" s="712"/>
      <c r="E1465" s="348"/>
      <c r="F1465" s="316"/>
      <c r="G1465" s="316"/>
      <c r="H1465" s="316"/>
      <c r="I1465" s="324">
        <f t="shared" si="1051"/>
        <v>0</v>
      </c>
      <c r="J1465" s="316"/>
      <c r="K1465" s="316"/>
      <c r="L1465" s="317">
        <f t="shared" si="1043"/>
        <v>0</v>
      </c>
      <c r="M1465" s="317"/>
      <c r="N1465" s="372">
        <f t="shared" si="1049"/>
        <v>0</v>
      </c>
      <c r="O1465" s="319">
        <f>L1465*1.1</f>
        <v>0</v>
      </c>
      <c r="P1465" s="319">
        <f t="shared" ref="P1465:P1480" si="1082">O1465*1.1</f>
        <v>0</v>
      </c>
      <c r="R1465" s="317"/>
      <c r="U1465" s="320"/>
    </row>
    <row r="1466" spans="1:21" s="702" customFormat="1" outlineLevel="1">
      <c r="A1466" s="339"/>
      <c r="B1466" s="339"/>
      <c r="C1466" s="635"/>
      <c r="D1466" s="635"/>
      <c r="E1466" s="348"/>
      <c r="F1466" s="386"/>
      <c r="G1466" s="386"/>
      <c r="H1466" s="386"/>
      <c r="I1466" s="324">
        <f t="shared" si="1051"/>
        <v>0</v>
      </c>
      <c r="J1466" s="386"/>
      <c r="K1466" s="386"/>
      <c r="L1466" s="317">
        <f t="shared" si="1043"/>
        <v>0</v>
      </c>
      <c r="M1466" s="317"/>
      <c r="N1466" s="372">
        <f t="shared" si="1049"/>
        <v>0</v>
      </c>
      <c r="O1466" s="319">
        <f>L1466*1.1</f>
        <v>0</v>
      </c>
      <c r="P1466" s="319">
        <f t="shared" si="1082"/>
        <v>0</v>
      </c>
      <c r="R1466" s="317"/>
      <c r="U1466" s="320"/>
    </row>
    <row r="1467" spans="1:21" s="702" customFormat="1" outlineLevel="1">
      <c r="A1467" s="703"/>
      <c r="B1467" s="703" t="s">
        <v>9</v>
      </c>
      <c r="C1467" s="712" t="s">
        <v>322</v>
      </c>
      <c r="D1467" s="712"/>
      <c r="E1467" s="348"/>
      <c r="F1467" s="316"/>
      <c r="G1467" s="316"/>
      <c r="H1467" s="316"/>
      <c r="I1467" s="324">
        <f t="shared" si="1051"/>
        <v>0</v>
      </c>
      <c r="J1467" s="316"/>
      <c r="K1467" s="316"/>
      <c r="L1467" s="317">
        <f t="shared" si="1043"/>
        <v>0</v>
      </c>
      <c r="M1467" s="317"/>
      <c r="N1467" s="372">
        <f t="shared" si="1049"/>
        <v>0</v>
      </c>
      <c r="O1467" s="319">
        <f>L1467*1.1</f>
        <v>0</v>
      </c>
      <c r="P1467" s="319">
        <f t="shared" si="1082"/>
        <v>0</v>
      </c>
      <c r="R1467" s="317"/>
      <c r="U1467" s="320"/>
    </row>
    <row r="1468" spans="1:21" s="702" customFormat="1" outlineLevel="1">
      <c r="A1468" s="703" t="s">
        <v>144</v>
      </c>
      <c r="B1468" s="703"/>
      <c r="C1468" s="712" t="s">
        <v>323</v>
      </c>
      <c r="D1468" s="712"/>
      <c r="E1468" s="348"/>
      <c r="F1468" s="316"/>
      <c r="G1468" s="316"/>
      <c r="H1468" s="316"/>
      <c r="I1468" s="324">
        <f t="shared" si="1051"/>
        <v>0</v>
      </c>
      <c r="J1468" s="316"/>
      <c r="K1468" s="316"/>
      <c r="L1468" s="317">
        <f t="shared" si="1043"/>
        <v>0</v>
      </c>
      <c r="M1468" s="317"/>
      <c r="N1468" s="372">
        <f t="shared" si="1049"/>
        <v>0</v>
      </c>
      <c r="O1468" s="319">
        <f>L1468*1.1</f>
        <v>0</v>
      </c>
      <c r="P1468" s="319">
        <f t="shared" si="1082"/>
        <v>0</v>
      </c>
      <c r="R1468" s="317"/>
      <c r="U1468" s="320"/>
    </row>
    <row r="1469" spans="1:21" s="702" customFormat="1" outlineLevel="1">
      <c r="A1469" s="703"/>
      <c r="B1469" s="703" t="s">
        <v>146</v>
      </c>
      <c r="C1469" s="712" t="s">
        <v>324</v>
      </c>
      <c r="D1469" s="712"/>
      <c r="E1469" s="348"/>
      <c r="F1469" s="316"/>
      <c r="G1469" s="316"/>
      <c r="H1469" s="316"/>
      <c r="I1469" s="324">
        <f t="shared" si="1051"/>
        <v>0</v>
      </c>
      <c r="J1469" s="316"/>
      <c r="K1469" s="316"/>
      <c r="L1469" s="317">
        <f t="shared" si="1043"/>
        <v>0</v>
      </c>
      <c r="M1469" s="317"/>
      <c r="N1469" s="372">
        <f t="shared" si="1049"/>
        <v>0</v>
      </c>
      <c r="O1469" s="319">
        <f>L1469*1.1</f>
        <v>0</v>
      </c>
      <c r="P1469" s="319">
        <f t="shared" si="1082"/>
        <v>0</v>
      </c>
      <c r="R1469" s="317"/>
      <c r="U1469" s="320"/>
    </row>
    <row r="1470" spans="1:21" s="702" customFormat="1" outlineLevel="3">
      <c r="A1470" s="339"/>
      <c r="B1470" s="339"/>
      <c r="C1470" s="707">
        <v>2110100</v>
      </c>
      <c r="D1470" s="635" t="s">
        <v>13</v>
      </c>
      <c r="E1470" s="329">
        <f>E1471</f>
        <v>0</v>
      </c>
      <c r="F1470" s="329">
        <f t="shared" ref="F1470:P1470" si="1083">F1471</f>
        <v>0</v>
      </c>
      <c r="G1470" s="329">
        <f t="shared" si="1083"/>
        <v>0</v>
      </c>
      <c r="H1470" s="329">
        <f t="shared" si="1083"/>
        <v>0</v>
      </c>
      <c r="I1470" s="329">
        <f t="shared" si="1083"/>
        <v>0</v>
      </c>
      <c r="J1470" s="329"/>
      <c r="K1470" s="333"/>
      <c r="L1470" s="317">
        <f t="shared" si="1043"/>
        <v>0</v>
      </c>
      <c r="M1470" s="317"/>
      <c r="N1470" s="372">
        <f t="shared" si="1049"/>
        <v>0</v>
      </c>
      <c r="O1470" s="329">
        <f t="shared" si="1083"/>
        <v>0</v>
      </c>
      <c r="P1470" s="329">
        <f t="shared" si="1083"/>
        <v>0</v>
      </c>
      <c r="R1470" s="317"/>
      <c r="U1470" s="320"/>
    </row>
    <row r="1471" spans="1:21" s="702" customFormat="1" outlineLevel="3">
      <c r="A1471" s="339"/>
      <c r="B1471" s="339"/>
      <c r="C1471" s="708">
        <v>2110101</v>
      </c>
      <c r="D1471" s="709" t="s">
        <v>14</v>
      </c>
      <c r="E1471" s="348">
        <v>0</v>
      </c>
      <c r="F1471" s="334"/>
      <c r="G1471" s="334"/>
      <c r="H1471" s="334"/>
      <c r="I1471" s="324">
        <f t="shared" si="1051"/>
        <v>0</v>
      </c>
      <c r="J1471" s="334"/>
      <c r="K1471" s="333"/>
      <c r="L1471" s="317">
        <f t="shared" si="1043"/>
        <v>0</v>
      </c>
      <c r="M1471" s="317"/>
      <c r="N1471" s="372">
        <f t="shared" si="1049"/>
        <v>0</v>
      </c>
      <c r="O1471" s="710">
        <f>L1471*1.1</f>
        <v>0</v>
      </c>
      <c r="P1471" s="710">
        <f t="shared" si="1082"/>
        <v>0</v>
      </c>
      <c r="R1471" s="317"/>
      <c r="U1471" s="320"/>
    </row>
    <row r="1472" spans="1:21" s="702" customFormat="1" outlineLevel="3">
      <c r="A1472" s="339"/>
      <c r="B1472" s="339"/>
      <c r="C1472" s="707">
        <v>2210200</v>
      </c>
      <c r="D1472" s="635" t="s">
        <v>20</v>
      </c>
      <c r="E1472" s="329">
        <f>E1473</f>
        <v>423300</v>
      </c>
      <c r="F1472" s="329">
        <f t="shared" ref="F1472:K1472" si="1084">F1473</f>
        <v>0</v>
      </c>
      <c r="G1472" s="329">
        <f t="shared" si="1084"/>
        <v>0</v>
      </c>
      <c r="H1472" s="329">
        <f t="shared" si="1084"/>
        <v>0</v>
      </c>
      <c r="I1472" s="329">
        <f t="shared" si="1084"/>
        <v>423300</v>
      </c>
      <c r="J1472" s="329">
        <f t="shared" si="1084"/>
        <v>0</v>
      </c>
      <c r="K1472" s="329">
        <f t="shared" si="1084"/>
        <v>0</v>
      </c>
      <c r="L1472" s="317">
        <f t="shared" si="1043"/>
        <v>423300</v>
      </c>
      <c r="M1472" s="317"/>
      <c r="N1472" s="372">
        <f t="shared" si="1049"/>
        <v>0</v>
      </c>
      <c r="O1472" s="329">
        <f t="shared" ref="O1472:P1472" si="1085">O1473</f>
        <v>465630.00000000006</v>
      </c>
      <c r="P1472" s="329">
        <f t="shared" si="1085"/>
        <v>512193.00000000012</v>
      </c>
      <c r="R1472" s="317"/>
      <c r="U1472" s="320"/>
    </row>
    <row r="1473" spans="1:21" s="702" customFormat="1" outlineLevel="3">
      <c r="A1473" s="339"/>
      <c r="B1473" s="339"/>
      <c r="C1473" s="708">
        <v>2210201</v>
      </c>
      <c r="D1473" s="709" t="s">
        <v>187</v>
      </c>
      <c r="E1473" s="348">
        <v>423300</v>
      </c>
      <c r="F1473" s="334"/>
      <c r="G1473" s="334"/>
      <c r="H1473" s="334"/>
      <c r="I1473" s="324">
        <f t="shared" si="1051"/>
        <v>423300</v>
      </c>
      <c r="J1473" s="334"/>
      <c r="K1473" s="333"/>
      <c r="L1473" s="317">
        <f t="shared" si="1043"/>
        <v>423300</v>
      </c>
      <c r="M1473" s="317"/>
      <c r="N1473" s="372">
        <f t="shared" si="1049"/>
        <v>0</v>
      </c>
      <c r="O1473" s="710">
        <f>L1473*1.1</f>
        <v>465630.00000000006</v>
      </c>
      <c r="P1473" s="710">
        <f t="shared" si="1082"/>
        <v>512193.00000000012</v>
      </c>
      <c r="R1473" s="317"/>
      <c r="U1473" s="320"/>
    </row>
    <row r="1474" spans="1:21" s="702" customFormat="1" outlineLevel="3">
      <c r="A1474" s="339"/>
      <c r="B1474" s="339"/>
      <c r="C1474" s="707">
        <v>2210300</v>
      </c>
      <c r="D1474" s="635" t="s">
        <v>24</v>
      </c>
      <c r="E1474" s="329">
        <f>SUM(E1475:E1477)</f>
        <v>2551550</v>
      </c>
      <c r="F1474" s="329">
        <f t="shared" ref="F1474:P1474" si="1086">SUM(F1475:F1477)</f>
        <v>0</v>
      </c>
      <c r="G1474" s="329">
        <f t="shared" si="1086"/>
        <v>0</v>
      </c>
      <c r="H1474" s="329">
        <f t="shared" si="1086"/>
        <v>0</v>
      </c>
      <c r="I1474" s="329">
        <f t="shared" si="1086"/>
        <v>2551550</v>
      </c>
      <c r="J1474" s="329">
        <f t="shared" si="1086"/>
        <v>0</v>
      </c>
      <c r="K1474" s="329">
        <f t="shared" si="1086"/>
        <v>2480000</v>
      </c>
      <c r="L1474" s="317">
        <f t="shared" si="1043"/>
        <v>5031550</v>
      </c>
      <c r="M1474" s="317"/>
      <c r="N1474" s="372">
        <f t="shared" si="1049"/>
        <v>-2480000</v>
      </c>
      <c r="O1474" s="329">
        <f t="shared" si="1086"/>
        <v>5534705</v>
      </c>
      <c r="P1474" s="329">
        <f t="shared" si="1086"/>
        <v>6088175.5000000019</v>
      </c>
      <c r="R1474" s="317"/>
      <c r="U1474" s="320"/>
    </row>
    <row r="1475" spans="1:21" s="702" customFormat="1" outlineLevel="3">
      <c r="A1475" s="339"/>
      <c r="B1475" s="339"/>
      <c r="C1475" s="708">
        <v>2210301</v>
      </c>
      <c r="D1475" s="709" t="s">
        <v>188</v>
      </c>
      <c r="E1475" s="348">
        <v>681400</v>
      </c>
      <c r="F1475" s="334"/>
      <c r="G1475" s="334"/>
      <c r="H1475" s="334"/>
      <c r="I1475" s="324">
        <f t="shared" si="1051"/>
        <v>681400</v>
      </c>
      <c r="J1475" s="334"/>
      <c r="K1475" s="333">
        <f>133980+500000-30000</f>
        <v>603980</v>
      </c>
      <c r="L1475" s="317">
        <f t="shared" si="1043"/>
        <v>1285380</v>
      </c>
      <c r="M1475" s="317"/>
      <c r="N1475" s="372">
        <f t="shared" si="1049"/>
        <v>-603980</v>
      </c>
      <c r="O1475" s="710">
        <f>L1475*1.1</f>
        <v>1413918</v>
      </c>
      <c r="P1475" s="710">
        <f t="shared" si="1082"/>
        <v>1555309.8</v>
      </c>
      <c r="R1475" s="317"/>
      <c r="U1475" s="320"/>
    </row>
    <row r="1476" spans="1:21" s="702" customFormat="1" outlineLevel="3">
      <c r="A1476" s="339"/>
      <c r="B1476" s="339"/>
      <c r="C1476" s="708">
        <v>2210302</v>
      </c>
      <c r="D1476" s="709" t="s">
        <v>26</v>
      </c>
      <c r="E1476" s="348">
        <v>903200</v>
      </c>
      <c r="F1476" s="334"/>
      <c r="G1476" s="334"/>
      <c r="H1476" s="334"/>
      <c r="I1476" s="324">
        <f t="shared" si="1051"/>
        <v>903200</v>
      </c>
      <c r="J1476" s="334"/>
      <c r="K1476" s="333">
        <f>456020+500000</f>
        <v>956020</v>
      </c>
      <c r="L1476" s="317">
        <f t="shared" ref="L1476:L1539" si="1087">I1476+J1476+K1476</f>
        <v>1859220</v>
      </c>
      <c r="M1476" s="317"/>
      <c r="N1476" s="372">
        <f t="shared" si="1049"/>
        <v>-956020</v>
      </c>
      <c r="O1476" s="710">
        <f>L1476*1.1</f>
        <v>2045142.0000000002</v>
      </c>
      <c r="P1476" s="710">
        <f t="shared" si="1082"/>
        <v>2249656.2000000007</v>
      </c>
      <c r="R1476" s="317"/>
      <c r="U1476" s="320"/>
    </row>
    <row r="1477" spans="1:21" s="702" customFormat="1" outlineLevel="3">
      <c r="A1477" s="339"/>
      <c r="B1477" s="339"/>
      <c r="C1477" s="708">
        <v>2210303</v>
      </c>
      <c r="D1477" s="709" t="s">
        <v>223</v>
      </c>
      <c r="E1477" s="348">
        <v>966950</v>
      </c>
      <c r="F1477" s="334"/>
      <c r="G1477" s="334"/>
      <c r="H1477" s="334"/>
      <c r="I1477" s="324">
        <f t="shared" si="1051"/>
        <v>966950</v>
      </c>
      <c r="J1477" s="334"/>
      <c r="K1477" s="333">
        <f>200000+70000+650000</f>
        <v>920000</v>
      </c>
      <c r="L1477" s="317">
        <f t="shared" si="1087"/>
        <v>1886950</v>
      </c>
      <c r="M1477" s="317"/>
      <c r="N1477" s="372">
        <f t="shared" si="1049"/>
        <v>-920000</v>
      </c>
      <c r="O1477" s="710">
        <f>L1477*1.1</f>
        <v>2075645.0000000002</v>
      </c>
      <c r="P1477" s="710">
        <f t="shared" si="1082"/>
        <v>2283209.5000000005</v>
      </c>
      <c r="R1477" s="317"/>
      <c r="U1477" s="320"/>
    </row>
    <row r="1478" spans="1:21" s="702" customFormat="1" outlineLevel="3">
      <c r="A1478" s="339"/>
      <c r="B1478" s="339"/>
      <c r="C1478" s="707">
        <v>2210400</v>
      </c>
      <c r="D1478" s="635" t="s">
        <v>317</v>
      </c>
      <c r="E1478" s="329">
        <f>SUM(E1479:E1480)</f>
        <v>790000</v>
      </c>
      <c r="F1478" s="329">
        <f t="shared" ref="F1478:K1478" si="1088">SUM(F1479:F1480)</f>
        <v>0</v>
      </c>
      <c r="G1478" s="329">
        <f t="shared" si="1088"/>
        <v>0</v>
      </c>
      <c r="H1478" s="329">
        <f t="shared" si="1088"/>
        <v>0</v>
      </c>
      <c r="I1478" s="329">
        <f t="shared" si="1088"/>
        <v>790000</v>
      </c>
      <c r="J1478" s="329">
        <f t="shared" si="1088"/>
        <v>0</v>
      </c>
      <c r="K1478" s="329">
        <f t="shared" si="1088"/>
        <v>-790000</v>
      </c>
      <c r="L1478" s="317">
        <f t="shared" si="1087"/>
        <v>0</v>
      </c>
      <c r="M1478" s="317"/>
      <c r="N1478" s="372">
        <f t="shared" si="1049"/>
        <v>790000</v>
      </c>
      <c r="O1478" s="329">
        <f t="shared" ref="O1478:P1478" si="1089">SUM(O1479:O1480)</f>
        <v>0</v>
      </c>
      <c r="P1478" s="329">
        <f t="shared" si="1089"/>
        <v>0</v>
      </c>
      <c r="R1478" s="317"/>
      <c r="U1478" s="320"/>
    </row>
    <row r="1479" spans="1:21" s="702" customFormat="1" outlineLevel="3">
      <c r="A1479" s="339"/>
      <c r="B1479" s="339"/>
      <c r="C1479" s="708">
        <v>2210401</v>
      </c>
      <c r="D1479" s="709" t="s">
        <v>190</v>
      </c>
      <c r="E1479" s="348">
        <v>333980</v>
      </c>
      <c r="F1479" s="334"/>
      <c r="G1479" s="334"/>
      <c r="H1479" s="334"/>
      <c r="I1479" s="324">
        <f t="shared" si="1051"/>
        <v>333980</v>
      </c>
      <c r="J1479" s="334"/>
      <c r="K1479" s="333">
        <v>-333980</v>
      </c>
      <c r="L1479" s="317">
        <f t="shared" si="1087"/>
        <v>0</v>
      </c>
      <c r="M1479" s="317"/>
      <c r="N1479" s="372">
        <f t="shared" si="1049"/>
        <v>333980</v>
      </c>
      <c r="O1479" s="710">
        <f>L1479*1.1</f>
        <v>0</v>
      </c>
      <c r="P1479" s="710">
        <f t="shared" si="1082"/>
        <v>0</v>
      </c>
      <c r="R1479" s="317"/>
      <c r="U1479" s="320"/>
    </row>
    <row r="1480" spans="1:21" s="702" customFormat="1" outlineLevel="3">
      <c r="A1480" s="339"/>
      <c r="B1480" s="339"/>
      <c r="C1480" s="708">
        <v>2210402</v>
      </c>
      <c r="D1480" s="709" t="s">
        <v>191</v>
      </c>
      <c r="E1480" s="348">
        <v>456020</v>
      </c>
      <c r="F1480" s="334"/>
      <c r="G1480" s="334"/>
      <c r="H1480" s="334"/>
      <c r="I1480" s="324">
        <f t="shared" si="1051"/>
        <v>456020</v>
      </c>
      <c r="J1480" s="334"/>
      <c r="K1480" s="333">
        <v>-456020</v>
      </c>
      <c r="L1480" s="317">
        <f t="shared" si="1087"/>
        <v>0</v>
      </c>
      <c r="M1480" s="317"/>
      <c r="N1480" s="372">
        <f t="shared" ref="N1480:N1543" si="1090">M1480-K1480</f>
        <v>456020</v>
      </c>
      <c r="O1480" s="710">
        <f>L1480*1.1</f>
        <v>0</v>
      </c>
      <c r="P1480" s="710">
        <f t="shared" si="1082"/>
        <v>0</v>
      </c>
      <c r="R1480" s="317"/>
      <c r="U1480" s="320"/>
    </row>
    <row r="1481" spans="1:21" s="702" customFormat="1" outlineLevel="3">
      <c r="A1481" s="339"/>
      <c r="B1481" s="339"/>
      <c r="C1481" s="707">
        <v>2210500</v>
      </c>
      <c r="D1481" s="635" t="s">
        <v>31</v>
      </c>
      <c r="E1481" s="329">
        <f>SUM(E1482:E1484)</f>
        <v>877444</v>
      </c>
      <c r="F1481" s="329">
        <f t="shared" ref="F1481:K1481" si="1091">SUM(F1482:F1484)</f>
        <v>0</v>
      </c>
      <c r="G1481" s="329">
        <f t="shared" si="1091"/>
        <v>0</v>
      </c>
      <c r="H1481" s="329">
        <f t="shared" si="1091"/>
        <v>0</v>
      </c>
      <c r="I1481" s="329">
        <f t="shared" si="1091"/>
        <v>877444</v>
      </c>
      <c r="J1481" s="329">
        <f t="shared" si="1091"/>
        <v>0</v>
      </c>
      <c r="K1481" s="329">
        <f t="shared" si="1091"/>
        <v>-40000</v>
      </c>
      <c r="L1481" s="317">
        <f t="shared" si="1087"/>
        <v>837444</v>
      </c>
      <c r="M1481" s="317"/>
      <c r="N1481" s="372">
        <f t="shared" si="1090"/>
        <v>40000</v>
      </c>
      <c r="O1481" s="329">
        <f t="shared" ref="O1481:P1481" si="1092">SUM(O1482:O1484)</f>
        <v>921188.40000000014</v>
      </c>
      <c r="P1481" s="329">
        <f t="shared" si="1092"/>
        <v>1013307.2400000002</v>
      </c>
      <c r="R1481" s="317"/>
      <c r="U1481" s="320"/>
    </row>
    <row r="1482" spans="1:21" s="702" customFormat="1" outlineLevel="3">
      <c r="A1482" s="339"/>
      <c r="B1482" s="339"/>
      <c r="C1482" s="708">
        <v>2210502</v>
      </c>
      <c r="D1482" s="709" t="s">
        <v>105</v>
      </c>
      <c r="E1482" s="348">
        <v>327281</v>
      </c>
      <c r="F1482" s="334"/>
      <c r="G1482" s="334"/>
      <c r="H1482" s="334"/>
      <c r="I1482" s="324">
        <f t="shared" ref="I1482:I1544" si="1093">E1482+F1482+G1482+H1482</f>
        <v>327281</v>
      </c>
      <c r="J1482" s="334"/>
      <c r="K1482" s="333"/>
      <c r="L1482" s="317">
        <f t="shared" si="1087"/>
        <v>327281</v>
      </c>
      <c r="M1482" s="317"/>
      <c r="N1482" s="372">
        <f t="shared" si="1090"/>
        <v>0</v>
      </c>
      <c r="O1482" s="710">
        <f>L1482*1.1</f>
        <v>360009.10000000003</v>
      </c>
      <c r="P1482" s="710">
        <f t="shared" ref="P1482:P1506" si="1094">O1482*1.1</f>
        <v>396010.01000000007</v>
      </c>
      <c r="R1482" s="317"/>
      <c r="U1482" s="320"/>
    </row>
    <row r="1483" spans="1:21" s="702" customFormat="1" outlineLevel="3">
      <c r="A1483" s="339"/>
      <c r="B1483" s="339"/>
      <c r="C1483" s="708">
        <v>2210503</v>
      </c>
      <c r="D1483" s="709" t="s">
        <v>32</v>
      </c>
      <c r="E1483" s="348">
        <v>208058</v>
      </c>
      <c r="F1483" s="334"/>
      <c r="G1483" s="334"/>
      <c r="H1483" s="334"/>
      <c r="I1483" s="324">
        <f t="shared" si="1093"/>
        <v>208058</v>
      </c>
      <c r="J1483" s="334"/>
      <c r="K1483" s="333">
        <v>-40000</v>
      </c>
      <c r="L1483" s="317">
        <f t="shared" si="1087"/>
        <v>168058</v>
      </c>
      <c r="M1483" s="317"/>
      <c r="N1483" s="372">
        <f t="shared" si="1090"/>
        <v>40000</v>
      </c>
      <c r="O1483" s="710">
        <f>L1483*1.1</f>
        <v>184863.80000000002</v>
      </c>
      <c r="P1483" s="710">
        <f t="shared" si="1094"/>
        <v>203350.18000000002</v>
      </c>
      <c r="R1483" s="317"/>
      <c r="U1483" s="320"/>
    </row>
    <row r="1484" spans="1:21" s="702" customFormat="1" outlineLevel="3">
      <c r="A1484" s="339"/>
      <c r="B1484" s="339"/>
      <c r="C1484" s="708">
        <v>2210504</v>
      </c>
      <c r="D1484" s="709" t="s">
        <v>33</v>
      </c>
      <c r="E1484" s="348">
        <v>342105</v>
      </c>
      <c r="F1484" s="334"/>
      <c r="G1484" s="334"/>
      <c r="H1484" s="334"/>
      <c r="I1484" s="324">
        <f t="shared" si="1093"/>
        <v>342105</v>
      </c>
      <c r="J1484" s="334"/>
      <c r="K1484" s="333"/>
      <c r="L1484" s="317">
        <f t="shared" si="1087"/>
        <v>342105</v>
      </c>
      <c r="M1484" s="317"/>
      <c r="N1484" s="372">
        <f t="shared" si="1090"/>
        <v>0</v>
      </c>
      <c r="O1484" s="710">
        <f>L1484*1.1</f>
        <v>376315.50000000006</v>
      </c>
      <c r="P1484" s="710">
        <f t="shared" si="1094"/>
        <v>413947.0500000001</v>
      </c>
      <c r="R1484" s="317"/>
      <c r="U1484" s="320"/>
    </row>
    <row r="1485" spans="1:21" s="702" customFormat="1" outlineLevel="3">
      <c r="A1485" s="339"/>
      <c r="B1485" s="339"/>
      <c r="C1485" s="707">
        <v>2210700</v>
      </c>
      <c r="D1485" s="635" t="s">
        <v>35</v>
      </c>
      <c r="E1485" s="329">
        <f>SUM(E1486:E1490)</f>
        <v>2956335</v>
      </c>
      <c r="F1485" s="329">
        <f t="shared" ref="F1485:K1485" si="1095">SUM(F1486:F1490)</f>
        <v>0</v>
      </c>
      <c r="G1485" s="329">
        <f t="shared" si="1095"/>
        <v>0</v>
      </c>
      <c r="H1485" s="329">
        <f t="shared" si="1095"/>
        <v>0</v>
      </c>
      <c r="I1485" s="329">
        <f t="shared" si="1095"/>
        <v>2956335</v>
      </c>
      <c r="J1485" s="329">
        <f t="shared" si="1095"/>
        <v>0</v>
      </c>
      <c r="K1485" s="329">
        <f t="shared" si="1095"/>
        <v>0</v>
      </c>
      <c r="L1485" s="317">
        <f t="shared" si="1087"/>
        <v>2956335</v>
      </c>
      <c r="M1485" s="317"/>
      <c r="N1485" s="372">
        <f t="shared" si="1090"/>
        <v>0</v>
      </c>
      <c r="O1485" s="329">
        <f t="shared" ref="O1485:P1485" si="1096">SUM(O1486:O1490)</f>
        <v>3251968.5</v>
      </c>
      <c r="P1485" s="329">
        <f t="shared" si="1096"/>
        <v>3577165.3500000006</v>
      </c>
      <c r="R1485" s="317"/>
      <c r="U1485" s="320"/>
    </row>
    <row r="1486" spans="1:21" s="702" customFormat="1" outlineLevel="3">
      <c r="A1486" s="339"/>
      <c r="B1486" s="339"/>
      <c r="C1486" s="708">
        <v>2210701</v>
      </c>
      <c r="D1486" s="709" t="s">
        <v>36</v>
      </c>
      <c r="E1486" s="348">
        <f>619050-100000+100000</f>
        <v>619050</v>
      </c>
      <c r="F1486" s="334"/>
      <c r="G1486" s="334"/>
      <c r="H1486" s="334"/>
      <c r="I1486" s="324">
        <f t="shared" si="1093"/>
        <v>619050</v>
      </c>
      <c r="J1486" s="334"/>
      <c r="K1486" s="333"/>
      <c r="L1486" s="317">
        <f t="shared" si="1087"/>
        <v>619050</v>
      </c>
      <c r="M1486" s="317"/>
      <c r="N1486" s="372">
        <f t="shared" si="1090"/>
        <v>0</v>
      </c>
      <c r="O1486" s="710">
        <f>L1486*1.1</f>
        <v>680955</v>
      </c>
      <c r="P1486" s="710">
        <f t="shared" si="1094"/>
        <v>749050.50000000012</v>
      </c>
      <c r="R1486" s="317"/>
      <c r="U1486" s="320"/>
    </row>
    <row r="1487" spans="1:21" s="702" customFormat="1" outlineLevel="3">
      <c r="A1487" s="339"/>
      <c r="B1487" s="339"/>
      <c r="C1487" s="708">
        <v>2210703</v>
      </c>
      <c r="D1487" s="709" t="s">
        <v>107</v>
      </c>
      <c r="E1487" s="348">
        <v>323350</v>
      </c>
      <c r="F1487" s="334"/>
      <c r="G1487" s="334"/>
      <c r="H1487" s="334"/>
      <c r="I1487" s="324">
        <f t="shared" si="1093"/>
        <v>323350</v>
      </c>
      <c r="J1487" s="334"/>
      <c r="K1487" s="333"/>
      <c r="L1487" s="317">
        <f t="shared" si="1087"/>
        <v>323350</v>
      </c>
      <c r="M1487" s="317"/>
      <c r="N1487" s="372">
        <f t="shared" si="1090"/>
        <v>0</v>
      </c>
      <c r="O1487" s="710">
        <f>L1487*1.1</f>
        <v>355685</v>
      </c>
      <c r="P1487" s="710">
        <f t="shared" si="1094"/>
        <v>391253.50000000006</v>
      </c>
      <c r="R1487" s="317"/>
      <c r="U1487" s="320"/>
    </row>
    <row r="1488" spans="1:21" s="702" customFormat="1" outlineLevel="3">
      <c r="A1488" s="339"/>
      <c r="B1488" s="339"/>
      <c r="C1488" s="708">
        <v>2210704</v>
      </c>
      <c r="D1488" s="709" t="s">
        <v>38</v>
      </c>
      <c r="E1488" s="348">
        <v>440895</v>
      </c>
      <c r="F1488" s="334"/>
      <c r="G1488" s="334"/>
      <c r="H1488" s="334"/>
      <c r="I1488" s="324">
        <f t="shared" si="1093"/>
        <v>440895</v>
      </c>
      <c r="J1488" s="334"/>
      <c r="K1488" s="333"/>
      <c r="L1488" s="317">
        <f t="shared" si="1087"/>
        <v>440895</v>
      </c>
      <c r="M1488" s="317"/>
      <c r="N1488" s="372">
        <f t="shared" si="1090"/>
        <v>0</v>
      </c>
      <c r="O1488" s="710">
        <f>L1488*1.1</f>
        <v>484984.50000000006</v>
      </c>
      <c r="P1488" s="710">
        <f t="shared" si="1094"/>
        <v>533482.95000000007</v>
      </c>
      <c r="R1488" s="317"/>
      <c r="U1488" s="320"/>
    </row>
    <row r="1489" spans="1:21" s="702" customFormat="1" outlineLevel="3">
      <c r="A1489" s="339"/>
      <c r="B1489" s="339"/>
      <c r="C1489" s="708">
        <v>2210710</v>
      </c>
      <c r="D1489" s="709" t="s">
        <v>39</v>
      </c>
      <c r="E1489" s="348">
        <f>773040+200000</f>
        <v>973040</v>
      </c>
      <c r="F1489" s="334"/>
      <c r="G1489" s="334"/>
      <c r="H1489" s="334"/>
      <c r="I1489" s="324">
        <f t="shared" si="1093"/>
        <v>973040</v>
      </c>
      <c r="J1489" s="334"/>
      <c r="K1489" s="333"/>
      <c r="L1489" s="317">
        <f t="shared" si="1087"/>
        <v>973040</v>
      </c>
      <c r="M1489" s="317"/>
      <c r="N1489" s="372">
        <f t="shared" si="1090"/>
        <v>0</v>
      </c>
      <c r="O1489" s="710">
        <f>L1489*1.1</f>
        <v>1070344</v>
      </c>
      <c r="P1489" s="710">
        <f t="shared" si="1094"/>
        <v>1177378.4000000001</v>
      </c>
      <c r="R1489" s="317"/>
      <c r="U1489" s="320"/>
    </row>
    <row r="1490" spans="1:21" s="702" customFormat="1" outlineLevel="3">
      <c r="A1490" s="339"/>
      <c r="B1490" s="339"/>
      <c r="C1490" s="708">
        <v>2210715</v>
      </c>
      <c r="D1490" s="709" t="s">
        <v>1446</v>
      </c>
      <c r="E1490" s="348">
        <v>600000</v>
      </c>
      <c r="F1490" s="334"/>
      <c r="G1490" s="334"/>
      <c r="H1490" s="334"/>
      <c r="I1490" s="324">
        <f t="shared" si="1093"/>
        <v>600000</v>
      </c>
      <c r="J1490" s="334"/>
      <c r="K1490" s="333"/>
      <c r="L1490" s="317">
        <f t="shared" si="1087"/>
        <v>600000</v>
      </c>
      <c r="M1490" s="317"/>
      <c r="N1490" s="372">
        <f t="shared" si="1090"/>
        <v>0</v>
      </c>
      <c r="O1490" s="710">
        <f>L1490*1.1</f>
        <v>660000</v>
      </c>
      <c r="P1490" s="710">
        <f t="shared" si="1094"/>
        <v>726000.00000000012</v>
      </c>
      <c r="R1490" s="317"/>
      <c r="U1490" s="320"/>
    </row>
    <row r="1491" spans="1:21" s="702" customFormat="1" outlineLevel="3">
      <c r="A1491" s="339"/>
      <c r="B1491" s="339"/>
      <c r="C1491" s="707">
        <v>2210800</v>
      </c>
      <c r="D1491" s="635" t="s">
        <v>42</v>
      </c>
      <c r="E1491" s="329">
        <f>SUM(E1492:E1493)</f>
        <v>1125920</v>
      </c>
      <c r="F1491" s="329">
        <f t="shared" ref="F1491:P1491" si="1097">SUM(F1492:F1493)</f>
        <v>0</v>
      </c>
      <c r="G1491" s="329">
        <f t="shared" si="1097"/>
        <v>0</v>
      </c>
      <c r="H1491" s="329">
        <f t="shared" si="1097"/>
        <v>0</v>
      </c>
      <c r="I1491" s="329">
        <f t="shared" si="1097"/>
        <v>1125920</v>
      </c>
      <c r="J1491" s="329">
        <f t="shared" si="1097"/>
        <v>0</v>
      </c>
      <c r="K1491" s="329">
        <f t="shared" si="1097"/>
        <v>0</v>
      </c>
      <c r="L1491" s="317">
        <f t="shared" si="1087"/>
        <v>1125920</v>
      </c>
      <c r="M1491" s="317"/>
      <c r="N1491" s="372">
        <f t="shared" si="1090"/>
        <v>0</v>
      </c>
      <c r="O1491" s="329">
        <f t="shared" si="1097"/>
        <v>1238512</v>
      </c>
      <c r="P1491" s="329">
        <f t="shared" si="1097"/>
        <v>1362363.2000000002</v>
      </c>
      <c r="R1491" s="317"/>
      <c r="U1491" s="320"/>
    </row>
    <row r="1492" spans="1:21" s="702" customFormat="1" outlineLevel="3">
      <c r="A1492" s="339"/>
      <c r="B1492" s="339"/>
      <c r="C1492" s="708">
        <v>2210801</v>
      </c>
      <c r="D1492" s="709" t="s">
        <v>2421</v>
      </c>
      <c r="E1492" s="348">
        <v>548290</v>
      </c>
      <c r="F1492" s="334"/>
      <c r="G1492" s="334"/>
      <c r="H1492" s="334"/>
      <c r="I1492" s="324">
        <f t="shared" si="1093"/>
        <v>548290</v>
      </c>
      <c r="J1492" s="334"/>
      <c r="K1492" s="333"/>
      <c r="L1492" s="317">
        <f t="shared" si="1087"/>
        <v>548290</v>
      </c>
      <c r="M1492" s="317"/>
      <c r="N1492" s="372">
        <f t="shared" si="1090"/>
        <v>0</v>
      </c>
      <c r="O1492" s="710">
        <f>L1492*1.1</f>
        <v>603119</v>
      </c>
      <c r="P1492" s="710">
        <f t="shared" si="1094"/>
        <v>663430.9</v>
      </c>
      <c r="R1492" s="317"/>
      <c r="U1492" s="320"/>
    </row>
    <row r="1493" spans="1:21" s="702" customFormat="1" outlineLevel="3">
      <c r="A1493" s="339"/>
      <c r="B1493" s="339"/>
      <c r="C1493" s="708">
        <v>2210802</v>
      </c>
      <c r="D1493" s="709" t="s">
        <v>45</v>
      </c>
      <c r="E1493" s="348">
        <v>577630</v>
      </c>
      <c r="F1493" s="334"/>
      <c r="G1493" s="334"/>
      <c r="H1493" s="334"/>
      <c r="I1493" s="324">
        <f t="shared" si="1093"/>
        <v>577630</v>
      </c>
      <c r="J1493" s="334"/>
      <c r="K1493" s="333"/>
      <c r="L1493" s="317">
        <f t="shared" si="1087"/>
        <v>577630</v>
      </c>
      <c r="M1493" s="317"/>
      <c r="N1493" s="372">
        <f t="shared" si="1090"/>
        <v>0</v>
      </c>
      <c r="O1493" s="710">
        <f>L1493*1.1</f>
        <v>635393</v>
      </c>
      <c r="P1493" s="710">
        <f t="shared" si="1094"/>
        <v>698932.3</v>
      </c>
      <c r="R1493" s="317"/>
      <c r="U1493" s="320"/>
    </row>
    <row r="1494" spans="1:21" s="702" customFormat="1" outlineLevel="3">
      <c r="A1494" s="339"/>
      <c r="B1494" s="339"/>
      <c r="C1494" s="707">
        <v>2211100</v>
      </c>
      <c r="D1494" s="635" t="s">
        <v>51</v>
      </c>
      <c r="E1494" s="329">
        <f>SUM(E1495:E1497)</f>
        <v>1570638</v>
      </c>
      <c r="F1494" s="329">
        <f t="shared" ref="F1494:K1494" si="1098">SUM(F1495:F1497)</f>
        <v>0</v>
      </c>
      <c r="G1494" s="329">
        <f t="shared" si="1098"/>
        <v>0</v>
      </c>
      <c r="H1494" s="329">
        <f t="shared" si="1098"/>
        <v>0</v>
      </c>
      <c r="I1494" s="329">
        <f t="shared" si="1098"/>
        <v>1570638</v>
      </c>
      <c r="J1494" s="329">
        <f t="shared" si="1098"/>
        <v>0</v>
      </c>
      <c r="K1494" s="329">
        <f t="shared" si="1098"/>
        <v>-200000</v>
      </c>
      <c r="L1494" s="317">
        <f t="shared" si="1087"/>
        <v>1370638</v>
      </c>
      <c r="M1494" s="317"/>
      <c r="N1494" s="372">
        <f t="shared" si="1090"/>
        <v>200000</v>
      </c>
      <c r="O1494" s="329">
        <f t="shared" ref="O1494:P1494" si="1099">SUM(O1495:O1497)</f>
        <v>1507701.8</v>
      </c>
      <c r="P1494" s="329">
        <f t="shared" si="1099"/>
        <v>1658471.9800000004</v>
      </c>
      <c r="R1494" s="317"/>
      <c r="U1494" s="320"/>
    </row>
    <row r="1495" spans="1:21" s="702" customFormat="1" outlineLevel="3">
      <c r="A1495" s="339"/>
      <c r="B1495" s="339"/>
      <c r="C1495" s="708">
        <v>2211101</v>
      </c>
      <c r="D1495" s="709" t="s">
        <v>289</v>
      </c>
      <c r="E1495" s="348">
        <v>639416</v>
      </c>
      <c r="F1495" s="334"/>
      <c r="G1495" s="334"/>
      <c r="H1495" s="334"/>
      <c r="I1495" s="324">
        <f t="shared" si="1093"/>
        <v>639416</v>
      </c>
      <c r="J1495" s="334"/>
      <c r="K1495" s="333"/>
      <c r="L1495" s="317">
        <f t="shared" si="1087"/>
        <v>639416</v>
      </c>
      <c r="M1495" s="317"/>
      <c r="N1495" s="372">
        <f t="shared" si="1090"/>
        <v>0</v>
      </c>
      <c r="O1495" s="710">
        <f>L1495*1.1</f>
        <v>703357.60000000009</v>
      </c>
      <c r="P1495" s="710">
        <f t="shared" si="1094"/>
        <v>773693.36000000022</v>
      </c>
      <c r="R1495" s="317"/>
      <c r="U1495" s="320"/>
    </row>
    <row r="1496" spans="1:21" s="702" customFormat="1" outlineLevel="3">
      <c r="A1496" s="339"/>
      <c r="B1496" s="339"/>
      <c r="C1496" s="708">
        <v>2211102</v>
      </c>
      <c r="D1496" s="709" t="s">
        <v>53</v>
      </c>
      <c r="E1496" s="348">
        <v>674970</v>
      </c>
      <c r="F1496" s="334"/>
      <c r="G1496" s="334"/>
      <c r="H1496" s="334"/>
      <c r="I1496" s="324">
        <f t="shared" si="1093"/>
        <v>674970</v>
      </c>
      <c r="J1496" s="334"/>
      <c r="K1496" s="333">
        <v>-200000</v>
      </c>
      <c r="L1496" s="317">
        <f t="shared" si="1087"/>
        <v>474970</v>
      </c>
      <c r="M1496" s="317"/>
      <c r="N1496" s="372">
        <f t="shared" si="1090"/>
        <v>200000</v>
      </c>
      <c r="O1496" s="710">
        <f>L1496*1.1</f>
        <v>522467.00000000006</v>
      </c>
      <c r="P1496" s="710">
        <f t="shared" si="1094"/>
        <v>574713.70000000007</v>
      </c>
      <c r="R1496" s="317"/>
      <c r="U1496" s="320"/>
    </row>
    <row r="1497" spans="1:21" s="702" customFormat="1" outlineLevel="3">
      <c r="A1497" s="339"/>
      <c r="B1497" s="339"/>
      <c r="C1497" s="708">
        <v>2211103</v>
      </c>
      <c r="D1497" s="709" t="s">
        <v>54</v>
      </c>
      <c r="E1497" s="348">
        <v>256252</v>
      </c>
      <c r="F1497" s="334"/>
      <c r="G1497" s="334"/>
      <c r="H1497" s="334"/>
      <c r="I1497" s="324">
        <f t="shared" si="1093"/>
        <v>256252</v>
      </c>
      <c r="J1497" s="334"/>
      <c r="K1497" s="333"/>
      <c r="L1497" s="317">
        <f t="shared" si="1087"/>
        <v>256252</v>
      </c>
      <c r="M1497" s="317"/>
      <c r="N1497" s="372">
        <f t="shared" si="1090"/>
        <v>0</v>
      </c>
      <c r="O1497" s="710">
        <f>L1497*1.1</f>
        <v>281877.2</v>
      </c>
      <c r="P1497" s="710">
        <f t="shared" si="1094"/>
        <v>310064.92000000004</v>
      </c>
      <c r="R1497" s="317"/>
      <c r="U1497" s="320"/>
    </row>
    <row r="1498" spans="1:21" s="702" customFormat="1" outlineLevel="3">
      <c r="A1498" s="339"/>
      <c r="B1498" s="339"/>
      <c r="C1498" s="707">
        <v>2211200</v>
      </c>
      <c r="D1498" s="635" t="s">
        <v>55</v>
      </c>
      <c r="E1498" s="329">
        <f>E1499</f>
        <v>1829380</v>
      </c>
      <c r="F1498" s="329">
        <f t="shared" ref="F1498:K1498" si="1100">F1499</f>
        <v>0</v>
      </c>
      <c r="G1498" s="329">
        <f t="shared" si="1100"/>
        <v>0</v>
      </c>
      <c r="H1498" s="329">
        <f t="shared" si="1100"/>
        <v>0</v>
      </c>
      <c r="I1498" s="329">
        <f t="shared" si="1100"/>
        <v>1829380</v>
      </c>
      <c r="J1498" s="329">
        <f t="shared" si="1100"/>
        <v>0</v>
      </c>
      <c r="K1498" s="329">
        <f t="shared" si="1100"/>
        <v>-300000</v>
      </c>
      <c r="L1498" s="317">
        <f t="shared" si="1087"/>
        <v>1529380</v>
      </c>
      <c r="M1498" s="317"/>
      <c r="N1498" s="372">
        <f t="shared" si="1090"/>
        <v>300000</v>
      </c>
      <c r="O1498" s="329">
        <f t="shared" ref="O1498:P1498" si="1101">O1499</f>
        <v>1682318.0000000002</v>
      </c>
      <c r="P1498" s="329">
        <f t="shared" si="1101"/>
        <v>1850549.8000000005</v>
      </c>
      <c r="R1498" s="317"/>
      <c r="U1498" s="320"/>
    </row>
    <row r="1499" spans="1:21" s="702" customFormat="1" outlineLevel="3">
      <c r="A1499" s="339"/>
      <c r="B1499" s="339"/>
      <c r="C1499" s="708">
        <v>2211201</v>
      </c>
      <c r="D1499" s="709" t="s">
        <v>56</v>
      </c>
      <c r="E1499" s="348">
        <v>1829380</v>
      </c>
      <c r="F1499" s="334"/>
      <c r="G1499" s="334"/>
      <c r="H1499" s="334"/>
      <c r="I1499" s="324">
        <f t="shared" si="1093"/>
        <v>1829380</v>
      </c>
      <c r="J1499" s="334"/>
      <c r="K1499" s="333">
        <v>-300000</v>
      </c>
      <c r="L1499" s="317">
        <f t="shared" si="1087"/>
        <v>1529380</v>
      </c>
      <c r="M1499" s="317"/>
      <c r="N1499" s="372">
        <f t="shared" si="1090"/>
        <v>300000</v>
      </c>
      <c r="O1499" s="710">
        <f>L1499*1.1</f>
        <v>1682318.0000000002</v>
      </c>
      <c r="P1499" s="710">
        <f t="shared" si="1094"/>
        <v>1850549.8000000005</v>
      </c>
      <c r="R1499" s="317"/>
      <c r="U1499" s="320"/>
    </row>
    <row r="1500" spans="1:21" s="702" customFormat="1" outlineLevel="3">
      <c r="A1500" s="339"/>
      <c r="B1500" s="339"/>
      <c r="C1500" s="707">
        <v>2211300</v>
      </c>
      <c r="D1500" s="635" t="s">
        <v>57</v>
      </c>
      <c r="E1500" s="329">
        <f>E1501+E1502</f>
        <v>2943707</v>
      </c>
      <c r="F1500" s="329">
        <f t="shared" ref="F1500:P1500" si="1102">F1501+F1502</f>
        <v>0</v>
      </c>
      <c r="G1500" s="329">
        <f t="shared" si="1102"/>
        <v>0</v>
      </c>
      <c r="H1500" s="329">
        <f t="shared" si="1102"/>
        <v>0</v>
      </c>
      <c r="I1500" s="329">
        <f t="shared" si="1102"/>
        <v>2943707</v>
      </c>
      <c r="J1500" s="329">
        <f t="shared" si="1102"/>
        <v>0</v>
      </c>
      <c r="K1500" s="329">
        <f t="shared" si="1102"/>
        <v>-100000</v>
      </c>
      <c r="L1500" s="317">
        <f t="shared" si="1087"/>
        <v>2843707</v>
      </c>
      <c r="M1500" s="317"/>
      <c r="N1500" s="372">
        <f t="shared" si="1090"/>
        <v>100000</v>
      </c>
      <c r="O1500" s="329">
        <f t="shared" si="1102"/>
        <v>3128077.7</v>
      </c>
      <c r="P1500" s="329">
        <f t="shared" si="1102"/>
        <v>3440885.4700000007</v>
      </c>
      <c r="R1500" s="317"/>
      <c r="U1500" s="320"/>
    </row>
    <row r="1501" spans="1:21" s="702" customFormat="1" outlineLevel="3">
      <c r="A1501" s="339"/>
      <c r="B1501" s="339"/>
      <c r="C1501" s="708">
        <v>2210399</v>
      </c>
      <c r="D1501" s="709" t="s">
        <v>325</v>
      </c>
      <c r="E1501" s="713">
        <f>2800000-106293</f>
        <v>2693707</v>
      </c>
      <c r="F1501" s="714"/>
      <c r="G1501" s="714"/>
      <c r="H1501" s="714"/>
      <c r="I1501" s="324">
        <f t="shared" si="1093"/>
        <v>2693707</v>
      </c>
      <c r="J1501" s="714"/>
      <c r="K1501" s="333"/>
      <c r="L1501" s="317">
        <f t="shared" si="1087"/>
        <v>2693707</v>
      </c>
      <c r="M1501" s="317"/>
      <c r="N1501" s="372">
        <f t="shared" si="1090"/>
        <v>0</v>
      </c>
      <c r="O1501" s="710">
        <f>L1501*1.1</f>
        <v>2963077.7</v>
      </c>
      <c r="P1501" s="710">
        <f t="shared" si="1094"/>
        <v>3259385.4700000007</v>
      </c>
      <c r="R1501" s="317"/>
      <c r="U1501" s="320"/>
    </row>
    <row r="1502" spans="1:21" s="702" customFormat="1" outlineLevel="3">
      <c r="A1502" s="339"/>
      <c r="B1502" s="339"/>
      <c r="C1502" s="708">
        <v>2211306</v>
      </c>
      <c r="D1502" s="709" t="s">
        <v>1447</v>
      </c>
      <c r="E1502" s="348">
        <v>250000</v>
      </c>
      <c r="F1502" s="334"/>
      <c r="G1502" s="334"/>
      <c r="H1502" s="334"/>
      <c r="I1502" s="324">
        <f t="shared" si="1093"/>
        <v>250000</v>
      </c>
      <c r="J1502" s="334"/>
      <c r="K1502" s="333">
        <v>-100000</v>
      </c>
      <c r="L1502" s="317">
        <f t="shared" si="1087"/>
        <v>150000</v>
      </c>
      <c r="M1502" s="317"/>
      <c r="N1502" s="372">
        <f t="shared" si="1090"/>
        <v>100000</v>
      </c>
      <c r="O1502" s="710">
        <f>L1502*1.1</f>
        <v>165000</v>
      </c>
      <c r="P1502" s="710">
        <f t="shared" si="1094"/>
        <v>181500.00000000003</v>
      </c>
      <c r="R1502" s="317"/>
      <c r="U1502" s="320"/>
    </row>
    <row r="1503" spans="1:21" s="702" customFormat="1" outlineLevel="3">
      <c r="A1503" s="339"/>
      <c r="B1503" s="339"/>
      <c r="C1503" s="707">
        <v>2220100</v>
      </c>
      <c r="D1503" s="635" t="s">
        <v>62</v>
      </c>
      <c r="E1503" s="329">
        <f>E1504</f>
        <v>1300000</v>
      </c>
      <c r="F1503" s="329">
        <f t="shared" ref="F1503:K1503" si="1103">F1504</f>
        <v>0</v>
      </c>
      <c r="G1503" s="329">
        <f t="shared" si="1103"/>
        <v>0</v>
      </c>
      <c r="H1503" s="329">
        <f t="shared" si="1103"/>
        <v>0</v>
      </c>
      <c r="I1503" s="329">
        <f t="shared" si="1103"/>
        <v>1300000</v>
      </c>
      <c r="J1503" s="329">
        <f t="shared" si="1103"/>
        <v>0</v>
      </c>
      <c r="K1503" s="329">
        <f t="shared" si="1103"/>
        <v>-250000</v>
      </c>
      <c r="L1503" s="317">
        <f t="shared" si="1087"/>
        <v>1050000</v>
      </c>
      <c r="M1503" s="317"/>
      <c r="N1503" s="372">
        <f t="shared" si="1090"/>
        <v>250000</v>
      </c>
      <c r="O1503" s="329">
        <f t="shared" ref="O1503:P1503" si="1104">O1504</f>
        <v>1155000</v>
      </c>
      <c r="P1503" s="329">
        <f t="shared" si="1104"/>
        <v>1270500</v>
      </c>
      <c r="R1503" s="317"/>
      <c r="U1503" s="320"/>
    </row>
    <row r="1504" spans="1:21" s="702" customFormat="1" outlineLevel="3">
      <c r="A1504" s="339"/>
      <c r="B1504" s="339"/>
      <c r="C1504" s="708">
        <v>2220101</v>
      </c>
      <c r="D1504" s="709" t="s">
        <v>200</v>
      </c>
      <c r="E1504" s="348">
        <v>1300000</v>
      </c>
      <c r="F1504" s="334"/>
      <c r="G1504" s="334"/>
      <c r="H1504" s="334"/>
      <c r="I1504" s="324">
        <f t="shared" si="1093"/>
        <v>1300000</v>
      </c>
      <c r="J1504" s="334"/>
      <c r="K1504" s="333">
        <v>-250000</v>
      </c>
      <c r="L1504" s="317">
        <f t="shared" si="1087"/>
        <v>1050000</v>
      </c>
      <c r="M1504" s="317"/>
      <c r="N1504" s="372">
        <f t="shared" si="1090"/>
        <v>250000</v>
      </c>
      <c r="O1504" s="710">
        <f>L1504*1.1</f>
        <v>1155000</v>
      </c>
      <c r="P1504" s="710">
        <f t="shared" si="1094"/>
        <v>1270500</v>
      </c>
      <c r="R1504" s="317"/>
      <c r="U1504" s="320"/>
    </row>
    <row r="1505" spans="1:21" s="702" customFormat="1" outlineLevel="3">
      <c r="A1505" s="339"/>
      <c r="B1505" s="339"/>
      <c r="C1505" s="707">
        <v>2220200</v>
      </c>
      <c r="D1505" s="635" t="s">
        <v>124</v>
      </c>
      <c r="E1505" s="329">
        <f>E1506</f>
        <v>800000</v>
      </c>
      <c r="F1505" s="329">
        <f t="shared" ref="F1505:K1505" si="1105">F1506</f>
        <v>0</v>
      </c>
      <c r="G1505" s="329">
        <f t="shared" si="1105"/>
        <v>0</v>
      </c>
      <c r="H1505" s="329">
        <f t="shared" si="1105"/>
        <v>0</v>
      </c>
      <c r="I1505" s="329">
        <f t="shared" si="1105"/>
        <v>800000</v>
      </c>
      <c r="J1505" s="329">
        <f t="shared" si="1105"/>
        <v>0</v>
      </c>
      <c r="K1505" s="329">
        <f t="shared" si="1105"/>
        <v>-800000</v>
      </c>
      <c r="L1505" s="317">
        <f t="shared" si="1087"/>
        <v>0</v>
      </c>
      <c r="M1505" s="317"/>
      <c r="N1505" s="372">
        <f t="shared" si="1090"/>
        <v>800000</v>
      </c>
      <c r="O1505" s="329">
        <f t="shared" ref="O1505:P1505" si="1106">O1506</f>
        <v>0</v>
      </c>
      <c r="P1505" s="329">
        <f t="shared" si="1106"/>
        <v>0</v>
      </c>
      <c r="R1505" s="317"/>
      <c r="U1505" s="320"/>
    </row>
    <row r="1506" spans="1:21" s="702" customFormat="1" outlineLevel="3">
      <c r="A1506" s="339"/>
      <c r="B1506" s="339"/>
      <c r="C1506" s="708">
        <v>2220205</v>
      </c>
      <c r="D1506" s="709" t="s">
        <v>125</v>
      </c>
      <c r="E1506" s="348">
        <v>800000</v>
      </c>
      <c r="F1506" s="334"/>
      <c r="G1506" s="334"/>
      <c r="H1506" s="334"/>
      <c r="I1506" s="324">
        <f t="shared" si="1093"/>
        <v>800000</v>
      </c>
      <c r="J1506" s="334"/>
      <c r="K1506" s="333">
        <v>-800000</v>
      </c>
      <c r="L1506" s="317">
        <f t="shared" si="1087"/>
        <v>0</v>
      </c>
      <c r="M1506" s="317"/>
      <c r="N1506" s="372">
        <f t="shared" si="1090"/>
        <v>800000</v>
      </c>
      <c r="O1506" s="710">
        <f>L1506*1.1</f>
        <v>0</v>
      </c>
      <c r="P1506" s="710">
        <f t="shared" si="1094"/>
        <v>0</v>
      </c>
      <c r="R1506" s="317"/>
      <c r="U1506" s="320"/>
    </row>
    <row r="1507" spans="1:21" s="702" customFormat="1" outlineLevel="3">
      <c r="A1507" s="377"/>
      <c r="B1507" s="377"/>
      <c r="C1507" s="377" t="s">
        <v>88</v>
      </c>
      <c r="D1507" s="378" t="s">
        <v>89</v>
      </c>
      <c r="E1507" s="715">
        <f>SUM(E1508:E1509)</f>
        <v>90000000</v>
      </c>
      <c r="F1507" s="715">
        <f t="shared" ref="F1507:K1507" si="1107">SUM(F1508:F1509)</f>
        <v>0</v>
      </c>
      <c r="G1507" s="715">
        <f t="shared" si="1107"/>
        <v>-15000000</v>
      </c>
      <c r="H1507" s="715">
        <f t="shared" si="1107"/>
        <v>0</v>
      </c>
      <c r="I1507" s="715">
        <f t="shared" si="1107"/>
        <v>75000000</v>
      </c>
      <c r="J1507" s="715">
        <f t="shared" si="1107"/>
        <v>0</v>
      </c>
      <c r="K1507" s="715">
        <f t="shared" si="1107"/>
        <v>0</v>
      </c>
      <c r="L1507" s="317">
        <f t="shared" si="1087"/>
        <v>75000000</v>
      </c>
      <c r="M1507" s="2212"/>
      <c r="N1507" s="372">
        <f t="shared" si="1090"/>
        <v>0</v>
      </c>
      <c r="O1507" s="715">
        <f t="shared" ref="O1507:P1507" si="1108">SUM(O1508:O1509)</f>
        <v>93300000</v>
      </c>
      <c r="P1507" s="715">
        <f t="shared" si="1108"/>
        <v>93630000</v>
      </c>
      <c r="R1507" s="317"/>
      <c r="U1507" s="320"/>
    </row>
    <row r="1508" spans="1:21" s="702" customFormat="1" outlineLevel="3">
      <c r="A1508" s="339"/>
      <c r="B1508" s="339"/>
      <c r="C1508" s="331">
        <v>2640101</v>
      </c>
      <c r="D1508" s="341" t="s">
        <v>2412</v>
      </c>
      <c r="E1508" s="385">
        <f>0.72*120000000</f>
        <v>86400000</v>
      </c>
      <c r="F1508" s="334"/>
      <c r="G1508" s="348">
        <v>-14400000</v>
      </c>
      <c r="H1508" s="334"/>
      <c r="I1508" s="324">
        <f t="shared" si="1093"/>
        <v>72000000</v>
      </c>
      <c r="J1508" s="334"/>
      <c r="K1508" s="716"/>
      <c r="L1508" s="317">
        <f t="shared" si="1087"/>
        <v>72000000</v>
      </c>
      <c r="M1508" s="2210"/>
      <c r="N1508" s="372">
        <f t="shared" si="1090"/>
        <v>0</v>
      </c>
      <c r="O1508" s="717">
        <v>90000000</v>
      </c>
      <c r="P1508" s="710">
        <v>90000000</v>
      </c>
      <c r="R1508" s="317"/>
      <c r="U1508" s="320"/>
    </row>
    <row r="1509" spans="1:21" s="702" customFormat="1" outlineLevel="3">
      <c r="A1509" s="339"/>
      <c r="B1509" s="339"/>
      <c r="C1509" s="331">
        <v>2640101</v>
      </c>
      <c r="D1509" s="341" t="s">
        <v>2411</v>
      </c>
      <c r="E1509" s="385">
        <f>0.03*120000000</f>
        <v>3600000</v>
      </c>
      <c r="F1509" s="334"/>
      <c r="G1509" s="348">
        <v>-600000</v>
      </c>
      <c r="H1509" s="334"/>
      <c r="I1509" s="324">
        <f t="shared" si="1093"/>
        <v>3000000</v>
      </c>
      <c r="J1509" s="334"/>
      <c r="K1509" s="716"/>
      <c r="L1509" s="317">
        <f t="shared" si="1087"/>
        <v>3000000</v>
      </c>
      <c r="M1509" s="2210"/>
      <c r="N1509" s="372">
        <f t="shared" si="1090"/>
        <v>0</v>
      </c>
      <c r="O1509" s="717">
        <f>L1509*1.1</f>
        <v>3300000.0000000005</v>
      </c>
      <c r="P1509" s="710">
        <f t="shared" ref="P1509" si="1109">O1509*1.1</f>
        <v>3630000.0000000009</v>
      </c>
      <c r="R1509" s="317"/>
      <c r="U1509" s="320"/>
    </row>
    <row r="1510" spans="1:21" s="702" customFormat="1" outlineLevel="3">
      <c r="A1510" s="359"/>
      <c r="B1510" s="359"/>
      <c r="C1510" s="718">
        <v>3111400</v>
      </c>
      <c r="D1510" s="719" t="s">
        <v>126</v>
      </c>
      <c r="E1510" s="361">
        <f>SUM(E1511:E1511)</f>
        <v>1631727.1465964832</v>
      </c>
      <c r="F1510" s="361">
        <f t="shared" ref="F1510:P1510" si="1110">SUM(F1511:F1511)</f>
        <v>0</v>
      </c>
      <c r="G1510" s="361">
        <f t="shared" si="1110"/>
        <v>0</v>
      </c>
      <c r="H1510" s="361">
        <f t="shared" si="1110"/>
        <v>0</v>
      </c>
      <c r="I1510" s="361">
        <f t="shared" si="1110"/>
        <v>1631727.1465964832</v>
      </c>
      <c r="J1510" s="361">
        <f t="shared" si="1110"/>
        <v>0</v>
      </c>
      <c r="K1510" s="361">
        <f t="shared" si="1110"/>
        <v>0</v>
      </c>
      <c r="L1510" s="317">
        <f t="shared" si="1087"/>
        <v>1631727.1465964832</v>
      </c>
      <c r="M1510" s="2211"/>
      <c r="N1510" s="372">
        <f t="shared" si="1090"/>
        <v>0</v>
      </c>
      <c r="O1510" s="361">
        <f t="shared" si="1110"/>
        <v>1794899.8612561317</v>
      </c>
      <c r="P1510" s="361">
        <f t="shared" si="1110"/>
        <v>1974389.847381745</v>
      </c>
      <c r="R1510" s="317"/>
      <c r="U1510" s="320"/>
    </row>
    <row r="1511" spans="1:21" s="702" customFormat="1" outlineLevel="3">
      <c r="A1511" s="339"/>
      <c r="B1511" s="339"/>
      <c r="C1511" s="708">
        <v>3111401</v>
      </c>
      <c r="D1511" s="709" t="s">
        <v>1448</v>
      </c>
      <c r="E1511" s="348">
        <v>1631727.1465964832</v>
      </c>
      <c r="F1511" s="334"/>
      <c r="G1511" s="348"/>
      <c r="H1511" s="334"/>
      <c r="I1511" s="324">
        <f t="shared" si="1093"/>
        <v>1631727.1465964832</v>
      </c>
      <c r="J1511" s="334"/>
      <c r="K1511" s="333"/>
      <c r="L1511" s="317">
        <f t="shared" si="1087"/>
        <v>1631727.1465964832</v>
      </c>
      <c r="M1511" s="317"/>
      <c r="N1511" s="372">
        <f t="shared" si="1090"/>
        <v>0</v>
      </c>
      <c r="O1511" s="710">
        <f>L1511*1.1</f>
        <v>1794899.8612561317</v>
      </c>
      <c r="P1511" s="710">
        <f t="shared" ref="P1511:P1513" si="1111">O1511*1.1</f>
        <v>1974389.847381745</v>
      </c>
      <c r="R1511" s="317"/>
      <c r="U1511" s="320"/>
    </row>
    <row r="1512" spans="1:21" s="702" customFormat="1" outlineLevel="3">
      <c r="A1512" s="339"/>
      <c r="B1512" s="339"/>
      <c r="C1512" s="707">
        <v>3111000</v>
      </c>
      <c r="D1512" s="635" t="s">
        <v>69</v>
      </c>
      <c r="E1512" s="459">
        <f>E1513</f>
        <v>2072001</v>
      </c>
      <c r="F1512" s="459">
        <f t="shared" ref="F1512:K1512" si="1112">F1513</f>
        <v>0</v>
      </c>
      <c r="G1512" s="459">
        <f t="shared" si="1112"/>
        <v>0</v>
      </c>
      <c r="H1512" s="459">
        <f t="shared" si="1112"/>
        <v>0</v>
      </c>
      <c r="I1512" s="459">
        <f t="shared" si="1112"/>
        <v>2072001</v>
      </c>
      <c r="J1512" s="459">
        <f t="shared" si="1112"/>
        <v>0</v>
      </c>
      <c r="K1512" s="459">
        <f t="shared" si="1112"/>
        <v>0</v>
      </c>
      <c r="L1512" s="317">
        <f t="shared" si="1087"/>
        <v>2072001</v>
      </c>
      <c r="M1512" s="317"/>
      <c r="N1512" s="372">
        <f t="shared" si="1090"/>
        <v>0</v>
      </c>
      <c r="O1512" s="459">
        <f t="shared" ref="O1512:P1512" si="1113">O1513</f>
        <v>2279201.1</v>
      </c>
      <c r="P1512" s="459">
        <f t="shared" si="1113"/>
        <v>2507121.2100000004</v>
      </c>
      <c r="R1512" s="317"/>
      <c r="U1512" s="320"/>
    </row>
    <row r="1513" spans="1:21" s="702" customFormat="1" outlineLevel="3">
      <c r="A1513" s="339"/>
      <c r="B1513" s="339"/>
      <c r="C1513" s="708">
        <v>3111002</v>
      </c>
      <c r="D1513" s="709" t="s">
        <v>1449</v>
      </c>
      <c r="E1513" s="348">
        <f>2272001-200000</f>
        <v>2072001</v>
      </c>
      <c r="F1513" s="334"/>
      <c r="G1513" s="348"/>
      <c r="H1513" s="334"/>
      <c r="I1513" s="324">
        <f t="shared" si="1093"/>
        <v>2072001</v>
      </c>
      <c r="J1513" s="334"/>
      <c r="K1513" s="333"/>
      <c r="L1513" s="317">
        <f t="shared" si="1087"/>
        <v>2072001</v>
      </c>
      <c r="M1513" s="317"/>
      <c r="N1513" s="372">
        <f t="shared" si="1090"/>
        <v>0</v>
      </c>
      <c r="O1513" s="710">
        <f>L1513*1.1</f>
        <v>2279201.1</v>
      </c>
      <c r="P1513" s="710">
        <f t="shared" si="1111"/>
        <v>2507121.2100000004</v>
      </c>
      <c r="R1513" s="317"/>
      <c r="U1513" s="320"/>
    </row>
    <row r="1514" spans="1:21" s="702" customFormat="1" outlineLevel="2">
      <c r="A1514" s="703"/>
      <c r="B1514" s="703"/>
      <c r="C1514" s="720" t="s">
        <v>295</v>
      </c>
      <c r="D1514" s="712"/>
      <c r="E1514" s="575">
        <f>E1470+E1472+E1474+E1478+E1481+E1485+E1491+E1494+E1498+E1500+E1503+E1505+E1507+E1510+E1512</f>
        <v>110872002.14659648</v>
      </c>
      <c r="F1514" s="575">
        <f t="shared" ref="F1514:P1514" si="1114">F1470+F1472+F1474+F1478+F1481+F1485+F1491+F1494+F1498+F1500+F1503+F1505+F1507+F1510+F1512</f>
        <v>0</v>
      </c>
      <c r="G1514" s="575">
        <f t="shared" si="1114"/>
        <v>-15000000</v>
      </c>
      <c r="H1514" s="575">
        <f t="shared" si="1114"/>
        <v>0</v>
      </c>
      <c r="I1514" s="575">
        <f t="shared" si="1114"/>
        <v>95872002.146596476</v>
      </c>
      <c r="J1514" s="575">
        <f t="shared" si="1114"/>
        <v>0</v>
      </c>
      <c r="K1514" s="575">
        <f t="shared" si="1114"/>
        <v>0</v>
      </c>
      <c r="L1514" s="317">
        <f t="shared" si="1087"/>
        <v>95872002.146596476</v>
      </c>
      <c r="M1514" s="317"/>
      <c r="N1514" s="372">
        <f t="shared" si="1090"/>
        <v>0</v>
      </c>
      <c r="O1514" s="575">
        <f t="shared" si="1114"/>
        <v>116259202.36125614</v>
      </c>
      <c r="P1514" s="575">
        <f t="shared" si="1114"/>
        <v>118885122.59738174</v>
      </c>
      <c r="R1514" s="317"/>
      <c r="U1514" s="320"/>
    </row>
    <row r="1515" spans="1:21" s="702" customFormat="1" outlineLevel="2">
      <c r="A1515" s="339"/>
      <c r="B1515" s="339"/>
      <c r="C1515" s="707"/>
      <c r="D1515" s="635"/>
      <c r="E1515" s="348"/>
      <c r="F1515" s="386"/>
      <c r="G1515" s="348"/>
      <c r="H1515" s="386"/>
      <c r="I1515" s="324">
        <f t="shared" si="1093"/>
        <v>0</v>
      </c>
      <c r="J1515" s="386"/>
      <c r="K1515" s="386"/>
      <c r="L1515" s="317">
        <f t="shared" si="1087"/>
        <v>0</v>
      </c>
      <c r="M1515" s="317"/>
      <c r="N1515" s="372">
        <f t="shared" si="1090"/>
        <v>0</v>
      </c>
      <c r="O1515" s="319">
        <f>L1515*1.1</f>
        <v>0</v>
      </c>
      <c r="P1515" s="319">
        <f t="shared" ref="P1515" si="1115">O1515*1.1</f>
        <v>0</v>
      </c>
      <c r="R1515" s="317"/>
      <c r="U1515" s="320"/>
    </row>
    <row r="1516" spans="1:21" s="702" customFormat="1" outlineLevel="2">
      <c r="A1516" s="339"/>
      <c r="B1516" s="339"/>
      <c r="C1516" s="707" t="s">
        <v>92</v>
      </c>
      <c r="D1516" s="635"/>
      <c r="E1516" s="348"/>
      <c r="F1516" s="386"/>
      <c r="G1516" s="348"/>
      <c r="H1516" s="386"/>
      <c r="I1516" s="324">
        <f t="shared" si="1093"/>
        <v>0</v>
      </c>
      <c r="J1516" s="386"/>
      <c r="K1516" s="386"/>
      <c r="L1516" s="317">
        <f t="shared" si="1087"/>
        <v>0</v>
      </c>
      <c r="M1516" s="317"/>
      <c r="N1516" s="372">
        <f t="shared" si="1090"/>
        <v>0</v>
      </c>
      <c r="O1516" s="319">
        <f>L1516*1.1</f>
        <v>0</v>
      </c>
      <c r="P1516" s="319">
        <f t="shared" ref="P1516:P1532" si="1116">O1516*1.1</f>
        <v>0</v>
      </c>
      <c r="R1516" s="317"/>
      <c r="U1516" s="320"/>
    </row>
    <row r="1517" spans="1:21" s="702" customFormat="1" outlineLevel="2">
      <c r="A1517" s="339"/>
      <c r="B1517" s="339"/>
      <c r="C1517" s="707">
        <v>3110200</v>
      </c>
      <c r="D1517" s="635" t="s">
        <v>79</v>
      </c>
      <c r="E1517" s="329">
        <f>E1518</f>
        <v>4737122.859149212</v>
      </c>
      <c r="F1517" s="329">
        <f t="shared" ref="F1517:K1517" si="1117">F1518</f>
        <v>30827407.085046247</v>
      </c>
      <c r="G1517" s="329">
        <f t="shared" si="1117"/>
        <v>0</v>
      </c>
      <c r="H1517" s="329">
        <f t="shared" si="1117"/>
        <v>0</v>
      </c>
      <c r="I1517" s="329">
        <f t="shared" si="1117"/>
        <v>35564529.944195457</v>
      </c>
      <c r="J1517" s="329">
        <f t="shared" si="1117"/>
        <v>0</v>
      </c>
      <c r="K1517" s="329">
        <f t="shared" si="1117"/>
        <v>0</v>
      </c>
      <c r="L1517" s="317">
        <f t="shared" si="1087"/>
        <v>35564529.944195457</v>
      </c>
      <c r="M1517" s="317"/>
      <c r="N1517" s="372">
        <f t="shared" si="1090"/>
        <v>0</v>
      </c>
      <c r="O1517" s="329">
        <f t="shared" ref="O1517:P1517" si="1118">O1518</f>
        <v>39120982.938615009</v>
      </c>
      <c r="P1517" s="329">
        <f t="shared" si="1118"/>
        <v>43033081.23247651</v>
      </c>
      <c r="R1517" s="317"/>
      <c r="U1517" s="320"/>
    </row>
    <row r="1518" spans="1:21" s="702" customFormat="1" outlineLevel="3">
      <c r="A1518" s="339"/>
      <c r="B1518" s="339"/>
      <c r="C1518" s="708">
        <v>3110203</v>
      </c>
      <c r="D1518" s="709" t="s">
        <v>2427</v>
      </c>
      <c r="E1518" s="721">
        <v>4737122.859149212</v>
      </c>
      <c r="F1518" s="334">
        <v>30827407.085046247</v>
      </c>
      <c r="G1518" s="348"/>
      <c r="H1518" s="334"/>
      <c r="I1518" s="324">
        <f t="shared" si="1093"/>
        <v>35564529.944195457</v>
      </c>
      <c r="J1518" s="334"/>
      <c r="K1518" s="334"/>
      <c r="L1518" s="317">
        <f t="shared" si="1087"/>
        <v>35564529.944195457</v>
      </c>
      <c r="M1518" s="317"/>
      <c r="N1518" s="372">
        <f t="shared" si="1090"/>
        <v>0</v>
      </c>
      <c r="O1518" s="710">
        <f>L1518*1.1</f>
        <v>39120982.938615009</v>
      </c>
      <c r="P1518" s="710">
        <f t="shared" si="1116"/>
        <v>43033081.23247651</v>
      </c>
      <c r="R1518" s="317"/>
      <c r="U1518" s="320"/>
    </row>
    <row r="1519" spans="1:21" s="702" customFormat="1" outlineLevel="3">
      <c r="A1519" s="339"/>
      <c r="B1519" s="339"/>
      <c r="C1519" s="707">
        <v>3111100</v>
      </c>
      <c r="D1519" s="635" t="s">
        <v>326</v>
      </c>
      <c r="E1519" s="329">
        <f>E1520+E1521+E1522+E1523</f>
        <v>12423575</v>
      </c>
      <c r="F1519" s="329">
        <f t="shared" ref="F1519:K1519" si="1119">F1520+F1521+F1522+F1523</f>
        <v>0</v>
      </c>
      <c r="G1519" s="329">
        <f t="shared" si="1119"/>
        <v>0</v>
      </c>
      <c r="H1519" s="329">
        <f t="shared" si="1119"/>
        <v>0</v>
      </c>
      <c r="I1519" s="329">
        <f t="shared" si="1119"/>
        <v>12423575</v>
      </c>
      <c r="J1519" s="329">
        <f t="shared" si="1119"/>
        <v>-4212084</v>
      </c>
      <c r="K1519" s="329">
        <f t="shared" si="1119"/>
        <v>0</v>
      </c>
      <c r="L1519" s="317">
        <f t="shared" si="1087"/>
        <v>8211491</v>
      </c>
      <c r="M1519" s="317"/>
      <c r="N1519" s="372">
        <f t="shared" si="1090"/>
        <v>0</v>
      </c>
      <c r="O1519" s="329">
        <f t="shared" ref="O1519:P1519" si="1120">O1520+O1521+O1522+O1523</f>
        <v>9032640.1000000015</v>
      </c>
      <c r="P1519" s="329">
        <f t="shared" si="1120"/>
        <v>9935904.1100000031</v>
      </c>
      <c r="R1519" s="317"/>
      <c r="U1519" s="320"/>
    </row>
    <row r="1520" spans="1:21" s="722" customFormat="1" outlineLevel="3">
      <c r="A1520" s="723"/>
      <c r="B1520" s="723"/>
      <c r="C1520" s="724">
        <v>3111101</v>
      </c>
      <c r="D1520" s="725" t="s">
        <v>327</v>
      </c>
      <c r="E1520" s="726">
        <v>3600000</v>
      </c>
      <c r="F1520" s="727"/>
      <c r="G1520" s="726"/>
      <c r="H1520" s="727"/>
      <c r="I1520" s="690">
        <f t="shared" si="1093"/>
        <v>3600000</v>
      </c>
      <c r="J1520" s="727">
        <v>-3600000</v>
      </c>
      <c r="K1520" s="727"/>
      <c r="L1520" s="317">
        <f t="shared" si="1087"/>
        <v>0</v>
      </c>
      <c r="M1520" s="317"/>
      <c r="N1520" s="372">
        <f t="shared" si="1090"/>
        <v>0</v>
      </c>
      <c r="O1520" s="728">
        <f>L1520*1.1</f>
        <v>0</v>
      </c>
      <c r="P1520" s="728">
        <f t="shared" si="1116"/>
        <v>0</v>
      </c>
      <c r="R1520" s="317"/>
      <c r="U1520" s="320" t="s">
        <v>1803</v>
      </c>
    </row>
    <row r="1521" spans="1:21" s="722" customFormat="1" outlineLevel="3">
      <c r="A1521" s="723"/>
      <c r="B1521" s="723"/>
      <c r="C1521" s="724">
        <v>3111109</v>
      </c>
      <c r="D1521" s="725" t="s">
        <v>328</v>
      </c>
      <c r="E1521" s="726">
        <f>5823575+4000000-1000000</f>
        <v>8823575</v>
      </c>
      <c r="F1521" s="727"/>
      <c r="G1521" s="726"/>
      <c r="H1521" s="727"/>
      <c r="I1521" s="690">
        <f t="shared" si="1093"/>
        <v>8823575</v>
      </c>
      <c r="J1521" s="727">
        <v>-612084</v>
      </c>
      <c r="K1521" s="727"/>
      <c r="L1521" s="317">
        <f t="shared" si="1087"/>
        <v>8211491</v>
      </c>
      <c r="M1521" s="317"/>
      <c r="N1521" s="372">
        <f t="shared" si="1090"/>
        <v>0</v>
      </c>
      <c r="O1521" s="728">
        <f>L1521*1.1</f>
        <v>9032640.1000000015</v>
      </c>
      <c r="P1521" s="728">
        <f t="shared" si="1116"/>
        <v>9935904.1100000031</v>
      </c>
      <c r="R1521" s="317"/>
      <c r="U1521" s="320" t="s">
        <v>1803</v>
      </c>
    </row>
    <row r="1522" spans="1:21" s="702" customFormat="1" outlineLevel="3">
      <c r="A1522" s="339"/>
      <c r="B1522" s="339"/>
      <c r="C1522" s="708">
        <v>3111120</v>
      </c>
      <c r="D1522" s="709" t="s">
        <v>1451</v>
      </c>
      <c r="E1522" s="348">
        <f>4000000-4000000</f>
        <v>0</v>
      </c>
      <c r="F1522" s="334"/>
      <c r="G1522" s="348"/>
      <c r="H1522" s="334"/>
      <c r="I1522" s="324">
        <f t="shared" si="1093"/>
        <v>0</v>
      </c>
      <c r="J1522" s="334"/>
      <c r="K1522" s="334"/>
      <c r="L1522" s="317">
        <f t="shared" si="1087"/>
        <v>0</v>
      </c>
      <c r="M1522" s="317"/>
      <c r="N1522" s="372">
        <f t="shared" si="1090"/>
        <v>0</v>
      </c>
      <c r="O1522" s="710">
        <f>L1522*1.1</f>
        <v>0</v>
      </c>
      <c r="P1522" s="710">
        <f t="shared" si="1116"/>
        <v>0</v>
      </c>
      <c r="R1522" s="317"/>
      <c r="U1522" s="320"/>
    </row>
    <row r="1523" spans="1:21" s="702" customFormat="1" outlineLevel="3">
      <c r="A1523" s="339"/>
      <c r="B1523" s="339"/>
      <c r="C1523" s="708">
        <v>3111401</v>
      </c>
      <c r="D1523" s="709" t="s">
        <v>1250</v>
      </c>
      <c r="E1523" s="348">
        <f>3000000-3000000</f>
        <v>0</v>
      </c>
      <c r="F1523" s="334"/>
      <c r="G1523" s="348"/>
      <c r="H1523" s="334"/>
      <c r="I1523" s="324">
        <f t="shared" si="1093"/>
        <v>0</v>
      </c>
      <c r="J1523" s="334"/>
      <c r="K1523" s="334"/>
      <c r="L1523" s="317">
        <f t="shared" si="1087"/>
        <v>0</v>
      </c>
      <c r="M1523" s="317"/>
      <c r="N1523" s="372">
        <f t="shared" si="1090"/>
        <v>0</v>
      </c>
      <c r="O1523" s="710">
        <f>L1523*1.1</f>
        <v>0</v>
      </c>
      <c r="P1523" s="710">
        <f t="shared" si="1116"/>
        <v>0</v>
      </c>
      <c r="R1523" s="317"/>
      <c r="U1523" s="320"/>
    </row>
    <row r="1524" spans="1:21" s="702" customFormat="1" outlineLevel="3">
      <c r="A1524" s="377"/>
      <c r="B1524" s="377"/>
      <c r="C1524" s="377" t="s">
        <v>88</v>
      </c>
      <c r="D1524" s="378" t="s">
        <v>89</v>
      </c>
      <c r="E1524" s="715">
        <f>E1525</f>
        <v>30000000</v>
      </c>
      <c r="F1524" s="715">
        <f t="shared" ref="F1524:K1524" si="1121">F1525</f>
        <v>0</v>
      </c>
      <c r="G1524" s="715">
        <f t="shared" si="1121"/>
        <v>-5000000</v>
      </c>
      <c r="H1524" s="715">
        <f t="shared" si="1121"/>
        <v>0</v>
      </c>
      <c r="I1524" s="715">
        <f t="shared" si="1121"/>
        <v>25000000</v>
      </c>
      <c r="J1524" s="715">
        <f t="shared" si="1121"/>
        <v>0</v>
      </c>
      <c r="K1524" s="715">
        <f t="shared" si="1121"/>
        <v>0</v>
      </c>
      <c r="L1524" s="317">
        <f t="shared" si="1087"/>
        <v>25000000</v>
      </c>
      <c r="M1524" s="2212"/>
      <c r="N1524" s="372">
        <f t="shared" si="1090"/>
        <v>0</v>
      </c>
      <c r="O1524" s="715">
        <f t="shared" ref="O1524:P1524" si="1122">O1525</f>
        <v>27500000.000000004</v>
      </c>
      <c r="P1524" s="715">
        <f t="shared" si="1122"/>
        <v>30250000.000000007</v>
      </c>
      <c r="R1524" s="317"/>
      <c r="U1524" s="320"/>
    </row>
    <row r="1525" spans="1:21" s="702" customFormat="1" outlineLevel="3">
      <c r="A1525" s="339"/>
      <c r="B1525" s="339"/>
      <c r="C1525" s="331">
        <v>2640101</v>
      </c>
      <c r="D1525" s="341" t="s">
        <v>1819</v>
      </c>
      <c r="E1525" s="385">
        <f>0.25*120000000</f>
        <v>30000000</v>
      </c>
      <c r="F1525" s="334"/>
      <c r="G1525" s="348">
        <v>-5000000</v>
      </c>
      <c r="H1525" s="334"/>
      <c r="I1525" s="324">
        <f t="shared" si="1093"/>
        <v>25000000</v>
      </c>
      <c r="J1525" s="334"/>
      <c r="K1525" s="334"/>
      <c r="L1525" s="317">
        <f t="shared" si="1087"/>
        <v>25000000</v>
      </c>
      <c r="M1525" s="2210"/>
      <c r="N1525" s="372">
        <f t="shared" si="1090"/>
        <v>0</v>
      </c>
      <c r="O1525" s="717">
        <f>L1525*1.1</f>
        <v>27500000.000000004</v>
      </c>
      <c r="P1525" s="710">
        <f>O1525*1.1</f>
        <v>30250000.000000007</v>
      </c>
      <c r="R1525" s="317"/>
      <c r="U1525" s="320"/>
    </row>
    <row r="1526" spans="1:21" s="702" customFormat="1" outlineLevel="2">
      <c r="A1526" s="704"/>
      <c r="B1526" s="704"/>
      <c r="C1526" s="729" t="s">
        <v>329</v>
      </c>
      <c r="D1526" s="705"/>
      <c r="E1526" s="730">
        <f>E1517+E1519+E1524</f>
        <v>47160697.85914921</v>
      </c>
      <c r="F1526" s="730">
        <f t="shared" ref="F1526:K1526" si="1123">F1517+F1519+F1524</f>
        <v>30827407.085046247</v>
      </c>
      <c r="G1526" s="730">
        <f t="shared" si="1123"/>
        <v>-5000000</v>
      </c>
      <c r="H1526" s="730">
        <f t="shared" si="1123"/>
        <v>0</v>
      </c>
      <c r="I1526" s="730">
        <f t="shared" si="1123"/>
        <v>72988104.944195449</v>
      </c>
      <c r="J1526" s="730">
        <f t="shared" si="1123"/>
        <v>-4212084</v>
      </c>
      <c r="K1526" s="730">
        <f t="shared" si="1123"/>
        <v>0</v>
      </c>
      <c r="L1526" s="317">
        <f t="shared" si="1087"/>
        <v>68776020.944195449</v>
      </c>
      <c r="M1526" s="2211"/>
      <c r="N1526" s="372">
        <f t="shared" si="1090"/>
        <v>0</v>
      </c>
      <c r="O1526" s="730">
        <f t="shared" ref="O1526:P1526" si="1124">O1517+O1519+O1524</f>
        <v>75653623.038615018</v>
      </c>
      <c r="P1526" s="730">
        <f t="shared" si="1124"/>
        <v>83218985.342476517</v>
      </c>
      <c r="R1526" s="317"/>
      <c r="U1526" s="320"/>
    </row>
    <row r="1527" spans="1:21" s="702" customFormat="1" outlineLevel="1">
      <c r="A1527" s="703"/>
      <c r="B1527" s="703"/>
      <c r="C1527" s="712" t="s">
        <v>330</v>
      </c>
      <c r="D1527" s="712"/>
      <c r="E1527" s="575">
        <f>E1514+E1526</f>
        <v>158032700.00574568</v>
      </c>
      <c r="F1527" s="575">
        <f t="shared" ref="F1527:P1527" si="1125">F1514+F1526</f>
        <v>30827407.085046247</v>
      </c>
      <c r="G1527" s="575">
        <f t="shared" si="1125"/>
        <v>-20000000</v>
      </c>
      <c r="H1527" s="575">
        <f t="shared" si="1125"/>
        <v>0</v>
      </c>
      <c r="I1527" s="575">
        <f t="shared" si="1125"/>
        <v>168860107.09079194</v>
      </c>
      <c r="J1527" s="575">
        <f t="shared" si="1125"/>
        <v>-4212084</v>
      </c>
      <c r="K1527" s="575">
        <f t="shared" si="1125"/>
        <v>0</v>
      </c>
      <c r="L1527" s="317">
        <f t="shared" si="1087"/>
        <v>164648023.09079194</v>
      </c>
      <c r="M1527" s="317"/>
      <c r="N1527" s="372">
        <f t="shared" si="1090"/>
        <v>0</v>
      </c>
      <c r="O1527" s="575">
        <f t="shared" si="1125"/>
        <v>191912825.39987117</v>
      </c>
      <c r="P1527" s="575">
        <f t="shared" si="1125"/>
        <v>202104107.93985826</v>
      </c>
      <c r="R1527" s="317"/>
      <c r="U1527" s="320"/>
    </row>
    <row r="1528" spans="1:21" s="702" customFormat="1" outlineLevel="1">
      <c r="A1528" s="339"/>
      <c r="B1528" s="339"/>
      <c r="C1528" s="707"/>
      <c r="D1528" s="635"/>
      <c r="E1528" s="348"/>
      <c r="F1528" s="386"/>
      <c r="G1528" s="386"/>
      <c r="H1528" s="386"/>
      <c r="I1528" s="324">
        <f t="shared" si="1093"/>
        <v>0</v>
      </c>
      <c r="J1528" s="386"/>
      <c r="K1528" s="386"/>
      <c r="L1528" s="317">
        <f t="shared" si="1087"/>
        <v>0</v>
      </c>
      <c r="M1528" s="317"/>
      <c r="N1528" s="372">
        <f t="shared" si="1090"/>
        <v>0</v>
      </c>
      <c r="O1528" s="319">
        <f>L1528*1.1</f>
        <v>0</v>
      </c>
      <c r="P1528" s="319">
        <f t="shared" si="1116"/>
        <v>0</v>
      </c>
      <c r="R1528" s="317"/>
      <c r="U1528" s="320"/>
    </row>
    <row r="1529" spans="1:21" s="702" customFormat="1" outlineLevel="1">
      <c r="A1529" s="703"/>
      <c r="B1529" s="703" t="s">
        <v>100</v>
      </c>
      <c r="C1529" s="720" t="s">
        <v>331</v>
      </c>
      <c r="D1529" s="712"/>
      <c r="E1529" s="348"/>
      <c r="F1529" s="316"/>
      <c r="G1529" s="316"/>
      <c r="H1529" s="316"/>
      <c r="I1529" s="324">
        <f t="shared" si="1093"/>
        <v>0</v>
      </c>
      <c r="J1529" s="316"/>
      <c r="K1529" s="316"/>
      <c r="L1529" s="317">
        <f t="shared" si="1087"/>
        <v>0</v>
      </c>
      <c r="M1529" s="317"/>
      <c r="N1529" s="372">
        <f t="shared" si="1090"/>
        <v>0</v>
      </c>
      <c r="O1529" s="319">
        <f>L1529*1.1</f>
        <v>0</v>
      </c>
      <c r="P1529" s="319">
        <f t="shared" si="1116"/>
        <v>0</v>
      </c>
      <c r="R1529" s="317"/>
      <c r="U1529" s="320"/>
    </row>
    <row r="1530" spans="1:21" s="702" customFormat="1" outlineLevel="1">
      <c r="A1530" s="703"/>
      <c r="B1530" s="703"/>
      <c r="C1530" s="712" t="s">
        <v>332</v>
      </c>
      <c r="D1530" s="712"/>
      <c r="E1530" s="348"/>
      <c r="F1530" s="316"/>
      <c r="G1530" s="316"/>
      <c r="H1530" s="316"/>
      <c r="I1530" s="324">
        <f t="shared" si="1093"/>
        <v>0</v>
      </c>
      <c r="J1530" s="316"/>
      <c r="K1530" s="316"/>
      <c r="L1530" s="317">
        <f t="shared" si="1087"/>
        <v>0</v>
      </c>
      <c r="M1530" s="317"/>
      <c r="N1530" s="372">
        <f t="shared" si="1090"/>
        <v>0</v>
      </c>
      <c r="O1530" s="319">
        <f>L1530*1.1</f>
        <v>0</v>
      </c>
      <c r="P1530" s="319">
        <f t="shared" si="1116"/>
        <v>0</v>
      </c>
      <c r="R1530" s="317"/>
      <c r="U1530" s="320"/>
    </row>
    <row r="1531" spans="1:21" s="702" customFormat="1" outlineLevel="1">
      <c r="A1531" s="703"/>
      <c r="B1531" s="703"/>
      <c r="C1531" s="712" t="s">
        <v>333</v>
      </c>
      <c r="D1531" s="712"/>
      <c r="E1531" s="348"/>
      <c r="F1531" s="316"/>
      <c r="G1531" s="316"/>
      <c r="H1531" s="316"/>
      <c r="I1531" s="324">
        <f t="shared" si="1093"/>
        <v>0</v>
      </c>
      <c r="J1531" s="316"/>
      <c r="K1531" s="316"/>
      <c r="L1531" s="317">
        <f t="shared" si="1087"/>
        <v>0</v>
      </c>
      <c r="M1531" s="317"/>
      <c r="N1531" s="372">
        <f t="shared" si="1090"/>
        <v>0</v>
      </c>
      <c r="O1531" s="319">
        <f>L1531*1.1</f>
        <v>0</v>
      </c>
      <c r="P1531" s="319">
        <f t="shared" si="1116"/>
        <v>0</v>
      </c>
      <c r="R1531" s="317"/>
      <c r="U1531" s="320"/>
    </row>
    <row r="1532" spans="1:21" s="702" customFormat="1" outlineLevel="1">
      <c r="A1532" s="703"/>
      <c r="B1532" s="703"/>
      <c r="C1532" s="712" t="s">
        <v>334</v>
      </c>
      <c r="D1532" s="712"/>
      <c r="E1532" s="348"/>
      <c r="F1532" s="316"/>
      <c r="G1532" s="316"/>
      <c r="H1532" s="316"/>
      <c r="I1532" s="324">
        <f t="shared" si="1093"/>
        <v>0</v>
      </c>
      <c r="J1532" s="316"/>
      <c r="K1532" s="316"/>
      <c r="L1532" s="317">
        <f t="shared" si="1087"/>
        <v>0</v>
      </c>
      <c r="M1532" s="317"/>
      <c r="N1532" s="372">
        <f t="shared" si="1090"/>
        <v>0</v>
      </c>
      <c r="O1532" s="319">
        <f>L1532*1.1</f>
        <v>0</v>
      </c>
      <c r="P1532" s="319">
        <f t="shared" si="1116"/>
        <v>0</v>
      </c>
      <c r="R1532" s="317"/>
      <c r="U1532" s="320"/>
    </row>
    <row r="1533" spans="1:21" s="731" customFormat="1" outlineLevel="3">
      <c r="A1533" s="703"/>
      <c r="B1533" s="703"/>
      <c r="C1533" s="707">
        <v>2110100</v>
      </c>
      <c r="D1533" s="635" t="s">
        <v>13</v>
      </c>
      <c r="E1533" s="459">
        <f>E1534</f>
        <v>4500000</v>
      </c>
      <c r="F1533" s="459">
        <f t="shared" ref="F1533:P1533" si="1126">F1534</f>
        <v>0</v>
      </c>
      <c r="G1533" s="459">
        <f t="shared" si="1126"/>
        <v>0</v>
      </c>
      <c r="H1533" s="459">
        <f t="shared" si="1126"/>
        <v>0</v>
      </c>
      <c r="I1533" s="459">
        <f t="shared" si="1126"/>
        <v>4500000</v>
      </c>
      <c r="J1533" s="459">
        <f t="shared" si="1126"/>
        <v>0</v>
      </c>
      <c r="K1533" s="459">
        <f t="shared" si="1126"/>
        <v>0</v>
      </c>
      <c r="L1533" s="317">
        <f t="shared" si="1087"/>
        <v>4500000</v>
      </c>
      <c r="M1533" s="317"/>
      <c r="N1533" s="372">
        <f t="shared" si="1090"/>
        <v>0</v>
      </c>
      <c r="O1533" s="459">
        <f t="shared" si="1126"/>
        <v>4950000</v>
      </c>
      <c r="P1533" s="459">
        <f t="shared" si="1126"/>
        <v>5445000</v>
      </c>
      <c r="R1533" s="317"/>
      <c r="U1533" s="320"/>
    </row>
    <row r="1534" spans="1:21" s="702" customFormat="1" outlineLevel="3">
      <c r="A1534" s="703"/>
      <c r="B1534" s="703"/>
      <c r="C1534" s="708">
        <v>2110101</v>
      </c>
      <c r="D1534" s="709" t="s">
        <v>1822</v>
      </c>
      <c r="E1534" s="348">
        <v>4500000</v>
      </c>
      <c r="F1534" s="334"/>
      <c r="G1534" s="334"/>
      <c r="H1534" s="334"/>
      <c r="I1534" s="324">
        <f t="shared" si="1093"/>
        <v>4500000</v>
      </c>
      <c r="J1534" s="334"/>
      <c r="K1534" s="333"/>
      <c r="L1534" s="317">
        <f t="shared" si="1087"/>
        <v>4500000</v>
      </c>
      <c r="M1534" s="317"/>
      <c r="N1534" s="372">
        <f t="shared" si="1090"/>
        <v>0</v>
      </c>
      <c r="O1534" s="710">
        <f>L1534*1.1</f>
        <v>4950000</v>
      </c>
      <c r="P1534" s="710">
        <f t="shared" ref="P1534:P1557" si="1127">O1534*1.1</f>
        <v>5445000</v>
      </c>
      <c r="R1534" s="317"/>
      <c r="U1534" s="320"/>
    </row>
    <row r="1535" spans="1:21" s="702" customFormat="1" outlineLevel="3">
      <c r="A1535" s="339"/>
      <c r="B1535" s="339"/>
      <c r="C1535" s="328">
        <v>2110200</v>
      </c>
      <c r="D1535" s="328" t="s">
        <v>335</v>
      </c>
      <c r="E1535" s="459">
        <f>E1536</f>
        <v>0</v>
      </c>
      <c r="F1535" s="459"/>
      <c r="G1535" s="459"/>
      <c r="H1535" s="459"/>
      <c r="I1535" s="324">
        <f t="shared" si="1093"/>
        <v>0</v>
      </c>
      <c r="J1535" s="459"/>
      <c r="K1535" s="333"/>
      <c r="L1535" s="317">
        <f t="shared" si="1087"/>
        <v>0</v>
      </c>
      <c r="M1535" s="317"/>
      <c r="N1535" s="372">
        <f t="shared" si="1090"/>
        <v>0</v>
      </c>
      <c r="O1535" s="710">
        <f>L1535*1.1</f>
        <v>0</v>
      </c>
      <c r="P1535" s="710">
        <f t="shared" si="1127"/>
        <v>0</v>
      </c>
      <c r="R1535" s="317"/>
      <c r="U1535" s="320"/>
    </row>
    <row r="1536" spans="1:21" s="702" customFormat="1" outlineLevel="3">
      <c r="A1536" s="339"/>
      <c r="B1536" s="339"/>
      <c r="C1536" s="732">
        <v>2110202</v>
      </c>
      <c r="D1536" s="510" t="s">
        <v>336</v>
      </c>
      <c r="E1536" s="733"/>
      <c r="F1536" s="734"/>
      <c r="G1536" s="734"/>
      <c r="H1536" s="734"/>
      <c r="I1536" s="324">
        <f t="shared" si="1093"/>
        <v>0</v>
      </c>
      <c r="J1536" s="734"/>
      <c r="K1536" s="333"/>
      <c r="L1536" s="317">
        <f t="shared" si="1087"/>
        <v>0</v>
      </c>
      <c r="M1536" s="317"/>
      <c r="N1536" s="372">
        <f t="shared" si="1090"/>
        <v>0</v>
      </c>
      <c r="O1536" s="710"/>
      <c r="P1536" s="710">
        <f t="shared" si="1127"/>
        <v>0</v>
      </c>
      <c r="R1536" s="317"/>
      <c r="U1536" s="320"/>
    </row>
    <row r="1537" spans="1:21" s="702" customFormat="1" outlineLevel="3">
      <c r="A1537" s="339"/>
      <c r="B1537" s="339"/>
      <c r="C1537" s="707">
        <v>2210200</v>
      </c>
      <c r="D1537" s="635" t="s">
        <v>20</v>
      </c>
      <c r="E1537" s="329">
        <f>SUM(E1538:E1540)</f>
        <v>855160</v>
      </c>
      <c r="F1537" s="329">
        <f t="shared" ref="F1537:P1537" si="1128">SUM(F1538:F1540)</f>
        <v>0</v>
      </c>
      <c r="G1537" s="329">
        <f t="shared" si="1128"/>
        <v>0</v>
      </c>
      <c r="H1537" s="329">
        <f t="shared" si="1128"/>
        <v>0</v>
      </c>
      <c r="I1537" s="329">
        <f t="shared" si="1128"/>
        <v>855160</v>
      </c>
      <c r="J1537" s="329">
        <f t="shared" si="1128"/>
        <v>0</v>
      </c>
      <c r="K1537" s="329">
        <f t="shared" si="1128"/>
        <v>-470000</v>
      </c>
      <c r="L1537" s="317">
        <f t="shared" si="1087"/>
        <v>385160</v>
      </c>
      <c r="M1537" s="317"/>
      <c r="N1537" s="372">
        <f t="shared" si="1090"/>
        <v>470000</v>
      </c>
      <c r="O1537" s="329">
        <f t="shared" si="1128"/>
        <v>423676.00000000006</v>
      </c>
      <c r="P1537" s="329">
        <f t="shared" si="1128"/>
        <v>466043.60000000009</v>
      </c>
      <c r="R1537" s="317"/>
      <c r="U1537" s="320"/>
    </row>
    <row r="1538" spans="1:21" s="702" customFormat="1" outlineLevel="3">
      <c r="A1538" s="339"/>
      <c r="B1538" s="339"/>
      <c r="C1538" s="708">
        <v>2210201</v>
      </c>
      <c r="D1538" s="709" t="s">
        <v>187</v>
      </c>
      <c r="E1538" s="348">
        <v>480000</v>
      </c>
      <c r="F1538" s="334"/>
      <c r="G1538" s="334"/>
      <c r="H1538" s="334"/>
      <c r="I1538" s="324">
        <f t="shared" si="1093"/>
        <v>480000</v>
      </c>
      <c r="J1538" s="334"/>
      <c r="K1538" s="333">
        <v>-100000</v>
      </c>
      <c r="L1538" s="317">
        <f t="shared" si="1087"/>
        <v>380000</v>
      </c>
      <c r="M1538" s="317"/>
      <c r="N1538" s="372">
        <f t="shared" si="1090"/>
        <v>100000</v>
      </c>
      <c r="O1538" s="710">
        <f>L1538*1.1</f>
        <v>418000.00000000006</v>
      </c>
      <c r="P1538" s="710">
        <f t="shared" si="1127"/>
        <v>459800.00000000012</v>
      </c>
      <c r="R1538" s="317"/>
      <c r="U1538" s="320"/>
    </row>
    <row r="1539" spans="1:21" s="702" customFormat="1" outlineLevel="3">
      <c r="A1539" s="339"/>
      <c r="B1539" s="339"/>
      <c r="C1539" s="708">
        <v>2210202</v>
      </c>
      <c r="D1539" s="709" t="s">
        <v>22</v>
      </c>
      <c r="E1539" s="348">
        <v>340360</v>
      </c>
      <c r="F1539" s="334"/>
      <c r="G1539" s="334"/>
      <c r="H1539" s="334"/>
      <c r="I1539" s="324">
        <f t="shared" si="1093"/>
        <v>340360</v>
      </c>
      <c r="J1539" s="334"/>
      <c r="K1539" s="333">
        <v>-340000</v>
      </c>
      <c r="L1539" s="317">
        <f t="shared" si="1087"/>
        <v>360</v>
      </c>
      <c r="M1539" s="317"/>
      <c r="N1539" s="372">
        <f t="shared" si="1090"/>
        <v>340000</v>
      </c>
      <c r="O1539" s="710">
        <f>L1539*1.1</f>
        <v>396.00000000000006</v>
      </c>
      <c r="P1539" s="710">
        <f t="shared" si="1127"/>
        <v>435.60000000000008</v>
      </c>
      <c r="R1539" s="317"/>
      <c r="U1539" s="320"/>
    </row>
    <row r="1540" spans="1:21" s="702" customFormat="1" outlineLevel="3">
      <c r="A1540" s="339"/>
      <c r="B1540" s="339"/>
      <c r="C1540" s="708">
        <v>2210203</v>
      </c>
      <c r="D1540" s="709" t="s">
        <v>23</v>
      </c>
      <c r="E1540" s="348">
        <v>34800</v>
      </c>
      <c r="F1540" s="334"/>
      <c r="G1540" s="334"/>
      <c r="H1540" s="334"/>
      <c r="I1540" s="324">
        <f t="shared" si="1093"/>
        <v>34800</v>
      </c>
      <c r="J1540" s="334"/>
      <c r="K1540" s="333">
        <v>-30000</v>
      </c>
      <c r="L1540" s="317">
        <f t="shared" ref="L1540:L1603" si="1129">I1540+J1540+K1540</f>
        <v>4800</v>
      </c>
      <c r="M1540" s="317"/>
      <c r="N1540" s="372">
        <f t="shared" si="1090"/>
        <v>30000</v>
      </c>
      <c r="O1540" s="710">
        <f>L1540*1.1</f>
        <v>5280</v>
      </c>
      <c r="P1540" s="710">
        <f t="shared" si="1127"/>
        <v>5808.0000000000009</v>
      </c>
      <c r="R1540" s="317"/>
      <c r="U1540" s="320"/>
    </row>
    <row r="1541" spans="1:21" s="702" customFormat="1" outlineLevel="3">
      <c r="A1541" s="339"/>
      <c r="B1541" s="339"/>
      <c r="C1541" s="707">
        <v>2210300</v>
      </c>
      <c r="D1541" s="635" t="s">
        <v>24</v>
      </c>
      <c r="E1541" s="329">
        <f>SUM(E1542:E1545)</f>
        <v>2096463.6800000002</v>
      </c>
      <c r="F1541" s="329">
        <f t="shared" ref="F1541:K1541" si="1130">SUM(F1542:F1545)</f>
        <v>0</v>
      </c>
      <c r="G1541" s="329">
        <f t="shared" si="1130"/>
        <v>0</v>
      </c>
      <c r="H1541" s="329">
        <f t="shared" si="1130"/>
        <v>0</v>
      </c>
      <c r="I1541" s="329">
        <f t="shared" si="1130"/>
        <v>2096463.6800000002</v>
      </c>
      <c r="J1541" s="329">
        <f t="shared" si="1130"/>
        <v>0</v>
      </c>
      <c r="K1541" s="329">
        <f t="shared" si="1130"/>
        <v>620000</v>
      </c>
      <c r="L1541" s="317">
        <f t="shared" si="1129"/>
        <v>2716463.68</v>
      </c>
      <c r="M1541" s="317"/>
      <c r="N1541" s="372">
        <f t="shared" si="1090"/>
        <v>-620000</v>
      </c>
      <c r="O1541" s="329">
        <f t="shared" ref="O1541:P1541" si="1131">SUM(O1542:O1545)</f>
        <v>2988110.048</v>
      </c>
      <c r="P1541" s="329">
        <f t="shared" si="1131"/>
        <v>3286921.0528000006</v>
      </c>
      <c r="R1541" s="317"/>
      <c r="U1541" s="320"/>
    </row>
    <row r="1542" spans="1:21" s="702" customFormat="1" outlineLevel="3">
      <c r="A1542" s="339"/>
      <c r="B1542" s="339"/>
      <c r="C1542" s="708">
        <v>2210301</v>
      </c>
      <c r="D1542" s="709" t="s">
        <v>188</v>
      </c>
      <c r="E1542" s="348">
        <v>591500</v>
      </c>
      <c r="F1542" s="334"/>
      <c r="G1542" s="334"/>
      <c r="H1542" s="334"/>
      <c r="I1542" s="324">
        <f t="shared" si="1093"/>
        <v>591500</v>
      </c>
      <c r="J1542" s="334"/>
      <c r="K1542" s="333"/>
      <c r="L1542" s="317">
        <f t="shared" si="1129"/>
        <v>591500</v>
      </c>
      <c r="M1542" s="317"/>
      <c r="N1542" s="372">
        <f t="shared" si="1090"/>
        <v>0</v>
      </c>
      <c r="O1542" s="710">
        <f>L1542*1.1</f>
        <v>650650</v>
      </c>
      <c r="P1542" s="710">
        <f t="shared" si="1127"/>
        <v>715715</v>
      </c>
      <c r="R1542" s="317"/>
      <c r="U1542" s="320"/>
    </row>
    <row r="1543" spans="1:21" s="702" customFormat="1" outlineLevel="3">
      <c r="A1543" s="339"/>
      <c r="B1543" s="339"/>
      <c r="C1543" s="708">
        <v>2210302</v>
      </c>
      <c r="D1543" s="709" t="s">
        <v>26</v>
      </c>
      <c r="E1543" s="348">
        <f>612841.68+72002-84000</f>
        <v>600843.68000000005</v>
      </c>
      <c r="F1543" s="334"/>
      <c r="G1543" s="334"/>
      <c r="H1543" s="334"/>
      <c r="I1543" s="324">
        <f t="shared" si="1093"/>
        <v>600843.68000000005</v>
      </c>
      <c r="J1543" s="334"/>
      <c r="K1543" s="333"/>
      <c r="L1543" s="317">
        <f t="shared" si="1129"/>
        <v>600843.68000000005</v>
      </c>
      <c r="M1543" s="317"/>
      <c r="N1543" s="372">
        <f t="shared" si="1090"/>
        <v>0</v>
      </c>
      <c r="O1543" s="710">
        <f>L1543*1.1</f>
        <v>660928.04800000007</v>
      </c>
      <c r="P1543" s="710">
        <f t="shared" si="1127"/>
        <v>727020.85280000011</v>
      </c>
      <c r="R1543" s="317"/>
      <c r="U1543" s="320"/>
    </row>
    <row r="1544" spans="1:21" s="702" customFormat="1" outlineLevel="3">
      <c r="A1544" s="339"/>
      <c r="B1544" s="339"/>
      <c r="C1544" s="708">
        <v>2210303</v>
      </c>
      <c r="D1544" s="709" t="s">
        <v>223</v>
      </c>
      <c r="E1544" s="348">
        <f>764000-100000</f>
        <v>664000</v>
      </c>
      <c r="F1544" s="334"/>
      <c r="G1544" s="334"/>
      <c r="H1544" s="334"/>
      <c r="I1544" s="324">
        <f t="shared" si="1093"/>
        <v>664000</v>
      </c>
      <c r="J1544" s="334"/>
      <c r="K1544" s="735">
        <v>620000</v>
      </c>
      <c r="L1544" s="317">
        <f t="shared" si="1129"/>
        <v>1284000</v>
      </c>
      <c r="M1544" s="317"/>
      <c r="N1544" s="372">
        <f t="shared" ref="N1544:N1607" si="1132">M1544-K1544</f>
        <v>-620000</v>
      </c>
      <c r="O1544" s="710">
        <f>L1544*1.1</f>
        <v>1412400</v>
      </c>
      <c r="P1544" s="710">
        <f t="shared" si="1127"/>
        <v>1553640.0000000002</v>
      </c>
      <c r="R1544" s="317"/>
      <c r="U1544" s="320"/>
    </row>
    <row r="1545" spans="1:21" s="702" customFormat="1" outlineLevel="3">
      <c r="A1545" s="339"/>
      <c r="B1545" s="339"/>
      <c r="C1545" s="708">
        <v>2211399</v>
      </c>
      <c r="D1545" s="736" t="s">
        <v>57</v>
      </c>
      <c r="E1545" s="348">
        <v>240120</v>
      </c>
      <c r="F1545" s="594"/>
      <c r="G1545" s="594"/>
      <c r="H1545" s="594"/>
      <c r="I1545" s="324">
        <f t="shared" ref="I1545:I1607" si="1133">E1545+F1545+G1545+H1545</f>
        <v>240120</v>
      </c>
      <c r="J1545" s="594"/>
      <c r="K1545" s="333"/>
      <c r="L1545" s="317">
        <f t="shared" si="1129"/>
        <v>240120</v>
      </c>
      <c r="M1545" s="317"/>
      <c r="N1545" s="372">
        <f t="shared" si="1132"/>
        <v>0</v>
      </c>
      <c r="O1545" s="710">
        <f>L1545*1.1</f>
        <v>264132</v>
      </c>
      <c r="P1545" s="710">
        <f t="shared" si="1127"/>
        <v>290545.2</v>
      </c>
      <c r="R1545" s="317"/>
      <c r="U1545" s="320"/>
    </row>
    <row r="1546" spans="1:21" s="702" customFormat="1" outlineLevel="3">
      <c r="A1546" s="339"/>
      <c r="B1546" s="339"/>
      <c r="C1546" s="707">
        <v>2210400</v>
      </c>
      <c r="D1546" s="635" t="s">
        <v>317</v>
      </c>
      <c r="E1546" s="329">
        <f>SUM(E1547:E1548)</f>
        <v>810000</v>
      </c>
      <c r="F1546" s="329">
        <f t="shared" ref="F1546:K1546" si="1134">SUM(F1547:F1548)</f>
        <v>0</v>
      </c>
      <c r="G1546" s="329">
        <f t="shared" si="1134"/>
        <v>0</v>
      </c>
      <c r="H1546" s="329">
        <f t="shared" si="1134"/>
        <v>0</v>
      </c>
      <c r="I1546" s="329">
        <f t="shared" si="1134"/>
        <v>810000</v>
      </c>
      <c r="J1546" s="329">
        <f t="shared" si="1134"/>
        <v>0</v>
      </c>
      <c r="K1546" s="329">
        <f t="shared" si="1134"/>
        <v>-150000</v>
      </c>
      <c r="L1546" s="317">
        <f t="shared" si="1129"/>
        <v>660000</v>
      </c>
      <c r="M1546" s="317"/>
      <c r="N1546" s="372">
        <f t="shared" si="1132"/>
        <v>150000</v>
      </c>
      <c r="O1546" s="329">
        <f t="shared" ref="O1546:P1546" si="1135">SUM(O1547:O1548)</f>
        <v>726000.00000000012</v>
      </c>
      <c r="P1546" s="329">
        <f t="shared" si="1135"/>
        <v>798600.00000000012</v>
      </c>
      <c r="R1546" s="317"/>
      <c r="U1546" s="320"/>
    </row>
    <row r="1547" spans="1:21" s="702" customFormat="1" outlineLevel="3">
      <c r="A1547" s="339"/>
      <c r="B1547" s="339"/>
      <c r="C1547" s="708">
        <v>2210401</v>
      </c>
      <c r="D1547" s="709" t="s">
        <v>190</v>
      </c>
      <c r="E1547" s="348">
        <v>353980</v>
      </c>
      <c r="F1547" s="334"/>
      <c r="G1547" s="334"/>
      <c r="H1547" s="334"/>
      <c r="I1547" s="324">
        <f t="shared" si="1133"/>
        <v>353980</v>
      </c>
      <c r="J1547" s="334"/>
      <c r="K1547" s="333">
        <v>-150000</v>
      </c>
      <c r="L1547" s="317">
        <f t="shared" si="1129"/>
        <v>203980</v>
      </c>
      <c r="M1547" s="317"/>
      <c r="N1547" s="372">
        <f t="shared" si="1132"/>
        <v>150000</v>
      </c>
      <c r="O1547" s="710">
        <f>L1547*1.1</f>
        <v>224378.00000000003</v>
      </c>
      <c r="P1547" s="710">
        <f t="shared" si="1127"/>
        <v>246815.80000000005</v>
      </c>
      <c r="R1547" s="317"/>
      <c r="U1547" s="320"/>
    </row>
    <row r="1548" spans="1:21" s="702" customFormat="1" outlineLevel="3">
      <c r="A1548" s="339"/>
      <c r="B1548" s="339"/>
      <c r="C1548" s="708">
        <v>2210402</v>
      </c>
      <c r="D1548" s="709" t="s">
        <v>191</v>
      </c>
      <c r="E1548" s="348">
        <v>456020</v>
      </c>
      <c r="F1548" s="334"/>
      <c r="G1548" s="334"/>
      <c r="H1548" s="334"/>
      <c r="I1548" s="324">
        <f t="shared" si="1133"/>
        <v>456020</v>
      </c>
      <c r="J1548" s="334"/>
      <c r="K1548" s="333"/>
      <c r="L1548" s="317">
        <f t="shared" si="1129"/>
        <v>456020</v>
      </c>
      <c r="M1548" s="317"/>
      <c r="N1548" s="372">
        <f t="shared" si="1132"/>
        <v>0</v>
      </c>
      <c r="O1548" s="710">
        <f>L1548*1.1</f>
        <v>501622.00000000006</v>
      </c>
      <c r="P1548" s="710">
        <f t="shared" si="1127"/>
        <v>551784.20000000007</v>
      </c>
      <c r="R1548" s="317"/>
      <c r="U1548" s="320"/>
    </row>
    <row r="1549" spans="1:21" s="702" customFormat="1" outlineLevel="3">
      <c r="A1549" s="339"/>
      <c r="B1549" s="339"/>
      <c r="C1549" s="707">
        <v>2210500</v>
      </c>
      <c r="D1549" s="635" t="s">
        <v>31</v>
      </c>
      <c r="E1549" s="329">
        <f>SUM(E1550:E1553)</f>
        <v>1652293</v>
      </c>
      <c r="F1549" s="329">
        <f t="shared" ref="F1549:K1549" si="1136">SUM(F1550:F1553)</f>
        <v>0</v>
      </c>
      <c r="G1549" s="329">
        <f t="shared" si="1136"/>
        <v>0</v>
      </c>
      <c r="H1549" s="329">
        <f t="shared" si="1136"/>
        <v>0</v>
      </c>
      <c r="I1549" s="329">
        <f t="shared" si="1136"/>
        <v>1652293</v>
      </c>
      <c r="J1549" s="329">
        <f t="shared" si="1136"/>
        <v>0</v>
      </c>
      <c r="K1549" s="329">
        <f t="shared" si="1136"/>
        <v>-1060000</v>
      </c>
      <c r="L1549" s="317">
        <f t="shared" si="1129"/>
        <v>592293</v>
      </c>
      <c r="M1549" s="317"/>
      <c r="N1549" s="372">
        <f t="shared" si="1132"/>
        <v>1060000</v>
      </c>
      <c r="O1549" s="329">
        <f t="shared" ref="O1549:P1549" si="1137">SUM(O1550:O1553)</f>
        <v>651522.30000000005</v>
      </c>
      <c r="P1549" s="329">
        <f t="shared" si="1137"/>
        <v>716674.53000000014</v>
      </c>
      <c r="R1549" s="317"/>
      <c r="U1549" s="320"/>
    </row>
    <row r="1550" spans="1:21" s="702" customFormat="1" outlineLevel="3">
      <c r="A1550" s="339"/>
      <c r="B1550" s="339"/>
      <c r="C1550" s="708">
        <v>2210502</v>
      </c>
      <c r="D1550" s="709" t="s">
        <v>105</v>
      </c>
      <c r="E1550" s="348">
        <v>309620</v>
      </c>
      <c r="F1550" s="334"/>
      <c r="G1550" s="334"/>
      <c r="H1550" s="334"/>
      <c r="I1550" s="324">
        <f t="shared" si="1133"/>
        <v>309620</v>
      </c>
      <c r="J1550" s="334"/>
      <c r="K1550" s="333"/>
      <c r="L1550" s="317">
        <f t="shared" si="1129"/>
        <v>309620</v>
      </c>
      <c r="M1550" s="317"/>
      <c r="N1550" s="372">
        <f t="shared" si="1132"/>
        <v>0</v>
      </c>
      <c r="O1550" s="710">
        <f>L1550*1.1</f>
        <v>340582</v>
      </c>
      <c r="P1550" s="710">
        <f t="shared" si="1127"/>
        <v>374640.2</v>
      </c>
      <c r="R1550" s="317"/>
      <c r="U1550" s="320"/>
    </row>
    <row r="1551" spans="1:21" s="702" customFormat="1" outlineLevel="3">
      <c r="A1551" s="339"/>
      <c r="B1551" s="339"/>
      <c r="C1551" s="708">
        <v>2210503</v>
      </c>
      <c r="D1551" s="709" t="s">
        <v>32</v>
      </c>
      <c r="E1551" s="348">
        <v>158000</v>
      </c>
      <c r="F1551" s="334"/>
      <c r="G1551" s="334"/>
      <c r="H1551" s="334"/>
      <c r="I1551" s="324">
        <f t="shared" si="1133"/>
        <v>158000</v>
      </c>
      <c r="J1551" s="334"/>
      <c r="K1551" s="333">
        <v>-60000</v>
      </c>
      <c r="L1551" s="317">
        <f t="shared" si="1129"/>
        <v>98000</v>
      </c>
      <c r="M1551" s="317"/>
      <c r="N1551" s="372">
        <f t="shared" si="1132"/>
        <v>60000</v>
      </c>
      <c r="O1551" s="710">
        <f>L1551*1.1</f>
        <v>107800.00000000001</v>
      </c>
      <c r="P1551" s="710">
        <f t="shared" si="1127"/>
        <v>118580.00000000003</v>
      </c>
      <c r="R1551" s="317"/>
      <c r="U1551" s="320"/>
    </row>
    <row r="1552" spans="1:21" s="702" customFormat="1" outlineLevel="3">
      <c r="A1552" s="339"/>
      <c r="B1552" s="339"/>
      <c r="C1552" s="708">
        <v>2210505</v>
      </c>
      <c r="D1552" s="709" t="s">
        <v>1452</v>
      </c>
      <c r="E1552" s="348">
        <f>784673-200000</f>
        <v>584673</v>
      </c>
      <c r="F1552" s="334"/>
      <c r="G1552" s="334"/>
      <c r="H1552" s="334"/>
      <c r="I1552" s="324">
        <f t="shared" si="1133"/>
        <v>584673</v>
      </c>
      <c r="J1552" s="334"/>
      <c r="K1552" s="333">
        <v>-1000000</v>
      </c>
      <c r="L1552" s="317">
        <f t="shared" si="1129"/>
        <v>-415327</v>
      </c>
      <c r="M1552" s="317"/>
      <c r="N1552" s="372">
        <f t="shared" si="1132"/>
        <v>1000000</v>
      </c>
      <c r="O1552" s="710">
        <f>L1552*1.1</f>
        <v>-456859.7</v>
      </c>
      <c r="P1552" s="710">
        <f t="shared" si="1127"/>
        <v>-502545.67000000004</v>
      </c>
      <c r="R1552" s="317"/>
      <c r="U1552" s="320"/>
    </row>
    <row r="1553" spans="1:21" s="702" customFormat="1" outlineLevel="3">
      <c r="A1553" s="339"/>
      <c r="B1553" s="339"/>
      <c r="C1553" s="708">
        <v>2210505</v>
      </c>
      <c r="D1553" s="709" t="s">
        <v>192</v>
      </c>
      <c r="E1553" s="348">
        <v>600000</v>
      </c>
      <c r="F1553" s="334"/>
      <c r="G1553" s="334"/>
      <c r="H1553" s="334"/>
      <c r="I1553" s="324">
        <f t="shared" si="1133"/>
        <v>600000</v>
      </c>
      <c r="J1553" s="334"/>
      <c r="K1553" s="333"/>
      <c r="L1553" s="317">
        <f t="shared" si="1129"/>
        <v>600000</v>
      </c>
      <c r="M1553" s="317"/>
      <c r="N1553" s="372">
        <f t="shared" si="1132"/>
        <v>0</v>
      </c>
      <c r="O1553" s="710">
        <f>L1553*1.1</f>
        <v>660000</v>
      </c>
      <c r="P1553" s="710">
        <f t="shared" si="1127"/>
        <v>726000.00000000012</v>
      </c>
      <c r="R1553" s="317"/>
      <c r="U1553" s="320"/>
    </row>
    <row r="1554" spans="1:21" s="702" customFormat="1" outlineLevel="3">
      <c r="A1554" s="339"/>
      <c r="B1554" s="339"/>
      <c r="C1554" s="707">
        <v>2210700</v>
      </c>
      <c r="D1554" s="635" t="s">
        <v>35</v>
      </c>
      <c r="E1554" s="329">
        <f>SUM(E1555:E1558)</f>
        <v>3870290</v>
      </c>
      <c r="F1554" s="329">
        <f t="shared" ref="F1554:K1554" si="1138">SUM(F1555:F1558)</f>
        <v>0</v>
      </c>
      <c r="G1554" s="329">
        <f t="shared" si="1138"/>
        <v>0</v>
      </c>
      <c r="H1554" s="329">
        <f t="shared" si="1138"/>
        <v>0</v>
      </c>
      <c r="I1554" s="329">
        <f t="shared" si="1138"/>
        <v>3870290</v>
      </c>
      <c r="J1554" s="329">
        <f t="shared" si="1138"/>
        <v>0</v>
      </c>
      <c r="K1554" s="329">
        <f t="shared" si="1138"/>
        <v>20000</v>
      </c>
      <c r="L1554" s="317">
        <f t="shared" si="1129"/>
        <v>3890290</v>
      </c>
      <c r="M1554" s="317"/>
      <c r="N1554" s="372">
        <f t="shared" si="1132"/>
        <v>-20000</v>
      </c>
      <c r="O1554" s="329">
        <f t="shared" ref="O1554:P1554" si="1139">SUM(O1555:O1558)</f>
        <v>4279319</v>
      </c>
      <c r="P1554" s="329">
        <f t="shared" si="1139"/>
        <v>4707250.9000000004</v>
      </c>
      <c r="R1554" s="317"/>
      <c r="U1554" s="320"/>
    </row>
    <row r="1555" spans="1:21" s="702" customFormat="1" outlineLevel="3">
      <c r="A1555" s="339"/>
      <c r="B1555" s="339"/>
      <c r="C1555" s="708">
        <v>2210701</v>
      </c>
      <c r="D1555" s="709" t="s">
        <v>337</v>
      </c>
      <c r="E1555" s="348">
        <v>690000</v>
      </c>
      <c r="F1555" s="334"/>
      <c r="G1555" s="334"/>
      <c r="H1555" s="334"/>
      <c r="I1555" s="324">
        <f t="shared" si="1133"/>
        <v>690000</v>
      </c>
      <c r="J1555" s="334"/>
      <c r="K1555" s="333"/>
      <c r="L1555" s="317">
        <f t="shared" si="1129"/>
        <v>690000</v>
      </c>
      <c r="M1555" s="317"/>
      <c r="N1555" s="372">
        <f t="shared" si="1132"/>
        <v>0</v>
      </c>
      <c r="O1555" s="710">
        <f>L1555*1.1</f>
        <v>759000.00000000012</v>
      </c>
      <c r="P1555" s="710">
        <f t="shared" si="1127"/>
        <v>834900.00000000023</v>
      </c>
      <c r="R1555" s="317"/>
      <c r="U1555" s="320"/>
    </row>
    <row r="1556" spans="1:21" s="702" customFormat="1" outlineLevel="3">
      <c r="A1556" s="339"/>
      <c r="B1556" s="339"/>
      <c r="C1556" s="708">
        <v>2210703</v>
      </c>
      <c r="D1556" s="709" t="s">
        <v>107</v>
      </c>
      <c r="E1556" s="348">
        <v>632290</v>
      </c>
      <c r="F1556" s="334"/>
      <c r="G1556" s="334"/>
      <c r="H1556" s="334"/>
      <c r="I1556" s="324">
        <f t="shared" si="1133"/>
        <v>632290</v>
      </c>
      <c r="J1556" s="334"/>
      <c r="K1556" s="333">
        <v>-300000</v>
      </c>
      <c r="L1556" s="317">
        <f t="shared" si="1129"/>
        <v>332290</v>
      </c>
      <c r="M1556" s="317"/>
      <c r="N1556" s="372">
        <f t="shared" si="1132"/>
        <v>300000</v>
      </c>
      <c r="O1556" s="710">
        <f>L1556*1.1</f>
        <v>365519.00000000006</v>
      </c>
      <c r="P1556" s="710">
        <f t="shared" si="1127"/>
        <v>402070.90000000008</v>
      </c>
      <c r="R1556" s="317"/>
      <c r="U1556" s="320"/>
    </row>
    <row r="1557" spans="1:21" s="702" customFormat="1" outlineLevel="3">
      <c r="A1557" s="339"/>
      <c r="B1557" s="339"/>
      <c r="C1557" s="708">
        <v>2210712</v>
      </c>
      <c r="D1557" s="709" t="s">
        <v>339</v>
      </c>
      <c r="E1557" s="348">
        <v>848000</v>
      </c>
      <c r="F1557" s="334"/>
      <c r="G1557" s="334"/>
      <c r="H1557" s="334"/>
      <c r="I1557" s="324">
        <f t="shared" si="1133"/>
        <v>848000</v>
      </c>
      <c r="J1557" s="334"/>
      <c r="K1557" s="333">
        <v>320000</v>
      </c>
      <c r="L1557" s="317">
        <f t="shared" si="1129"/>
        <v>1168000</v>
      </c>
      <c r="M1557" s="317"/>
      <c r="N1557" s="372">
        <f t="shared" si="1132"/>
        <v>-320000</v>
      </c>
      <c r="O1557" s="710">
        <f>L1557*1.1</f>
        <v>1284800</v>
      </c>
      <c r="P1557" s="710">
        <f t="shared" si="1127"/>
        <v>1413280</v>
      </c>
      <c r="R1557" s="317"/>
      <c r="U1557" s="320"/>
    </row>
    <row r="1558" spans="1:21" s="702" customFormat="1" outlineLevel="3">
      <c r="A1558" s="339"/>
      <c r="B1558" s="339"/>
      <c r="C1558" s="708">
        <v>2210799</v>
      </c>
      <c r="D1558" s="709" t="s">
        <v>340</v>
      </c>
      <c r="E1558" s="348">
        <v>1700000</v>
      </c>
      <c r="F1558" s="334"/>
      <c r="G1558" s="334"/>
      <c r="H1558" s="334"/>
      <c r="I1558" s="324">
        <f t="shared" si="1133"/>
        <v>1700000</v>
      </c>
      <c r="J1558" s="334"/>
      <c r="K1558" s="333"/>
      <c r="L1558" s="317">
        <f t="shared" si="1129"/>
        <v>1700000</v>
      </c>
      <c r="M1558" s="317"/>
      <c r="N1558" s="372">
        <f t="shared" si="1132"/>
        <v>0</v>
      </c>
      <c r="O1558" s="710">
        <f>L1558*1.1</f>
        <v>1870000.0000000002</v>
      </c>
      <c r="P1558" s="710">
        <f>O1558*1.1</f>
        <v>2057000.0000000005</v>
      </c>
      <c r="R1558" s="317"/>
      <c r="U1558" s="320"/>
    </row>
    <row r="1559" spans="1:21" s="702" customFormat="1" outlineLevel="3">
      <c r="A1559" s="339"/>
      <c r="B1559" s="339"/>
      <c r="C1559" s="707">
        <v>2210800</v>
      </c>
      <c r="D1559" s="635" t="s">
        <v>42</v>
      </c>
      <c r="E1559" s="329">
        <f>SUM(E1560:E1561)</f>
        <v>2404000</v>
      </c>
      <c r="F1559" s="329">
        <f t="shared" ref="F1559:K1559" si="1140">SUM(F1560:F1561)</f>
        <v>0</v>
      </c>
      <c r="G1559" s="329">
        <f t="shared" si="1140"/>
        <v>0</v>
      </c>
      <c r="H1559" s="329">
        <f t="shared" si="1140"/>
        <v>0</v>
      </c>
      <c r="I1559" s="329">
        <f t="shared" si="1140"/>
        <v>2404000</v>
      </c>
      <c r="J1559" s="329">
        <f t="shared" si="1140"/>
        <v>0</v>
      </c>
      <c r="K1559" s="329">
        <f t="shared" si="1140"/>
        <v>500000</v>
      </c>
      <c r="L1559" s="317">
        <f t="shared" si="1129"/>
        <v>2904000</v>
      </c>
      <c r="M1559" s="317"/>
      <c r="N1559" s="372">
        <f t="shared" si="1132"/>
        <v>-500000</v>
      </c>
      <c r="O1559" s="329">
        <f t="shared" ref="O1559:P1559" si="1141">SUM(O1560:O1561)</f>
        <v>3194400</v>
      </c>
      <c r="P1559" s="329">
        <f t="shared" si="1141"/>
        <v>3513840</v>
      </c>
      <c r="R1559" s="317"/>
      <c r="U1559" s="320"/>
    </row>
    <row r="1560" spans="1:21" s="702" customFormat="1" outlineLevel="3">
      <c r="A1560" s="339"/>
      <c r="B1560" s="339"/>
      <c r="C1560" s="708">
        <v>2210801</v>
      </c>
      <c r="D1560" s="709" t="s">
        <v>2421</v>
      </c>
      <c r="E1560" s="348">
        <v>864000</v>
      </c>
      <c r="F1560" s="334"/>
      <c r="G1560" s="334"/>
      <c r="H1560" s="334"/>
      <c r="I1560" s="324">
        <f t="shared" si="1133"/>
        <v>864000</v>
      </c>
      <c r="J1560" s="334"/>
      <c r="K1560" s="333"/>
      <c r="L1560" s="317">
        <f t="shared" si="1129"/>
        <v>864000</v>
      </c>
      <c r="M1560" s="317"/>
      <c r="N1560" s="372">
        <f t="shared" si="1132"/>
        <v>0</v>
      </c>
      <c r="O1560" s="710">
        <f>L1560*1.1</f>
        <v>950400.00000000012</v>
      </c>
      <c r="P1560" s="710">
        <f t="shared" ref="P1560:P1578" si="1142">O1560*1.1</f>
        <v>1045440.0000000002</v>
      </c>
      <c r="R1560" s="317"/>
      <c r="U1560" s="320"/>
    </row>
    <row r="1561" spans="1:21" s="702" customFormat="1" outlineLevel="3">
      <c r="A1561" s="339"/>
      <c r="B1561" s="339"/>
      <c r="C1561" s="708">
        <v>2210802</v>
      </c>
      <c r="D1561" s="709" t="s">
        <v>1453</v>
      </c>
      <c r="E1561" s="348">
        <v>1540000</v>
      </c>
      <c r="F1561" s="334"/>
      <c r="G1561" s="334"/>
      <c r="H1561" s="334"/>
      <c r="I1561" s="324">
        <f t="shared" si="1133"/>
        <v>1540000</v>
      </c>
      <c r="J1561" s="334"/>
      <c r="K1561" s="333">
        <v>500000</v>
      </c>
      <c r="L1561" s="317">
        <f t="shared" si="1129"/>
        <v>2040000</v>
      </c>
      <c r="M1561" s="317"/>
      <c r="N1561" s="372">
        <f t="shared" si="1132"/>
        <v>-500000</v>
      </c>
      <c r="O1561" s="710">
        <f>L1561*1.1</f>
        <v>2244000</v>
      </c>
      <c r="P1561" s="710">
        <f t="shared" si="1142"/>
        <v>2468400</v>
      </c>
      <c r="R1561" s="317"/>
      <c r="U1561" s="320"/>
    </row>
    <row r="1562" spans="1:21" s="702" customFormat="1" outlineLevel="3">
      <c r="A1562" s="339"/>
      <c r="B1562" s="339"/>
      <c r="C1562" s="707">
        <v>2211100</v>
      </c>
      <c r="D1562" s="635" t="s">
        <v>51</v>
      </c>
      <c r="E1562" s="329">
        <f>SUM(E1563:E1565)</f>
        <v>1494000</v>
      </c>
      <c r="F1562" s="329">
        <f t="shared" ref="F1562:K1562" si="1143">SUM(F1563:F1565)</f>
        <v>0</v>
      </c>
      <c r="G1562" s="329">
        <f t="shared" si="1143"/>
        <v>0</v>
      </c>
      <c r="H1562" s="329">
        <f t="shared" si="1143"/>
        <v>0</v>
      </c>
      <c r="I1562" s="329">
        <f t="shared" si="1143"/>
        <v>1494000</v>
      </c>
      <c r="J1562" s="329">
        <f t="shared" si="1143"/>
        <v>0</v>
      </c>
      <c r="K1562" s="329">
        <f t="shared" si="1143"/>
        <v>1100000</v>
      </c>
      <c r="L1562" s="317">
        <f t="shared" si="1129"/>
        <v>2594000</v>
      </c>
      <c r="M1562" s="317"/>
      <c r="N1562" s="372">
        <f t="shared" si="1132"/>
        <v>-1100000</v>
      </c>
      <c r="O1562" s="329">
        <f t="shared" ref="O1562:P1562" si="1144">SUM(O1563:O1565)</f>
        <v>2853400</v>
      </c>
      <c r="P1562" s="329">
        <f t="shared" si="1144"/>
        <v>3138740</v>
      </c>
      <c r="R1562" s="317"/>
      <c r="U1562" s="320"/>
    </row>
    <row r="1563" spans="1:21" s="702" customFormat="1" outlineLevel="3">
      <c r="A1563" s="339"/>
      <c r="B1563" s="339"/>
      <c r="C1563" s="708">
        <v>2211101</v>
      </c>
      <c r="D1563" s="709" t="s">
        <v>289</v>
      </c>
      <c r="E1563" s="333">
        <v>600000</v>
      </c>
      <c r="F1563" s="334"/>
      <c r="G1563" s="334"/>
      <c r="H1563" s="334"/>
      <c r="I1563" s="324">
        <f t="shared" si="1133"/>
        <v>600000</v>
      </c>
      <c r="J1563" s="334"/>
      <c r="K1563" s="333">
        <v>500000</v>
      </c>
      <c r="L1563" s="317">
        <f t="shared" si="1129"/>
        <v>1100000</v>
      </c>
      <c r="M1563" s="317"/>
      <c r="N1563" s="372">
        <f t="shared" si="1132"/>
        <v>-500000</v>
      </c>
      <c r="O1563" s="710">
        <f>L1563*1.1</f>
        <v>1210000</v>
      </c>
      <c r="P1563" s="710">
        <f t="shared" si="1142"/>
        <v>1331000</v>
      </c>
      <c r="R1563" s="317"/>
      <c r="U1563" s="320"/>
    </row>
    <row r="1564" spans="1:21" s="702" customFormat="1" outlineLevel="3">
      <c r="A1564" s="339"/>
      <c r="B1564" s="339"/>
      <c r="C1564" s="708">
        <v>2211102</v>
      </c>
      <c r="D1564" s="709" t="s">
        <v>53</v>
      </c>
      <c r="E1564" s="348">
        <v>648000</v>
      </c>
      <c r="F1564" s="334"/>
      <c r="G1564" s="334"/>
      <c r="H1564" s="334"/>
      <c r="I1564" s="324">
        <f t="shared" si="1133"/>
        <v>648000</v>
      </c>
      <c r="J1564" s="334"/>
      <c r="K1564" s="333">
        <v>600000</v>
      </c>
      <c r="L1564" s="317">
        <f t="shared" si="1129"/>
        <v>1248000</v>
      </c>
      <c r="M1564" s="317"/>
      <c r="N1564" s="372">
        <f t="shared" si="1132"/>
        <v>-600000</v>
      </c>
      <c r="O1564" s="710">
        <f>L1564*1.1</f>
        <v>1372800</v>
      </c>
      <c r="P1564" s="710">
        <f t="shared" si="1142"/>
        <v>1510080.0000000002</v>
      </c>
      <c r="R1564" s="317"/>
      <c r="U1564" s="320"/>
    </row>
    <row r="1565" spans="1:21" s="702" customFormat="1" outlineLevel="3">
      <c r="A1565" s="339"/>
      <c r="B1565" s="339"/>
      <c r="C1565" s="708">
        <v>2211103</v>
      </c>
      <c r="D1565" s="709" t="s">
        <v>54</v>
      </c>
      <c r="E1565" s="348">
        <v>246000</v>
      </c>
      <c r="F1565" s="334"/>
      <c r="G1565" s="334"/>
      <c r="H1565" s="334"/>
      <c r="I1565" s="324">
        <f t="shared" si="1133"/>
        <v>246000</v>
      </c>
      <c r="J1565" s="334"/>
      <c r="K1565" s="333"/>
      <c r="L1565" s="317">
        <f t="shared" si="1129"/>
        <v>246000</v>
      </c>
      <c r="M1565" s="317"/>
      <c r="N1565" s="372">
        <f t="shared" si="1132"/>
        <v>0</v>
      </c>
      <c r="O1565" s="710">
        <f>L1565*1.1</f>
        <v>270600</v>
      </c>
      <c r="P1565" s="710">
        <f t="shared" si="1142"/>
        <v>297660</v>
      </c>
      <c r="R1565" s="317"/>
      <c r="U1565" s="320"/>
    </row>
    <row r="1566" spans="1:21" s="702" customFormat="1" outlineLevel="3">
      <c r="A1566" s="339"/>
      <c r="B1566" s="339"/>
      <c r="C1566" s="707">
        <v>2211200</v>
      </c>
      <c r="D1566" s="737" t="s">
        <v>55</v>
      </c>
      <c r="E1566" s="329">
        <f>SUM(E1567:E1567)</f>
        <v>1854000</v>
      </c>
      <c r="F1566" s="329">
        <f t="shared" ref="F1566:K1566" si="1145">SUM(F1567:F1567)</f>
        <v>0</v>
      </c>
      <c r="G1566" s="329">
        <f t="shared" si="1145"/>
        <v>0</v>
      </c>
      <c r="H1566" s="329">
        <f t="shared" si="1145"/>
        <v>0</v>
      </c>
      <c r="I1566" s="329">
        <f t="shared" si="1145"/>
        <v>1854000</v>
      </c>
      <c r="J1566" s="329">
        <f t="shared" si="1145"/>
        <v>0</v>
      </c>
      <c r="K1566" s="329">
        <f t="shared" si="1145"/>
        <v>0</v>
      </c>
      <c r="L1566" s="317">
        <f t="shared" si="1129"/>
        <v>1854000</v>
      </c>
      <c r="M1566" s="317"/>
      <c r="N1566" s="372">
        <f t="shared" si="1132"/>
        <v>0</v>
      </c>
      <c r="O1566" s="329">
        <f t="shared" ref="O1566:P1566" si="1146">SUM(O1567:O1567)</f>
        <v>2039400.0000000002</v>
      </c>
      <c r="P1566" s="329">
        <f t="shared" si="1146"/>
        <v>2243340.0000000005</v>
      </c>
      <c r="R1566" s="317"/>
      <c r="U1566" s="320"/>
    </row>
    <row r="1567" spans="1:21" s="702" customFormat="1" outlineLevel="3">
      <c r="A1567" s="339"/>
      <c r="B1567" s="339"/>
      <c r="C1567" s="708">
        <v>2211201</v>
      </c>
      <c r="D1567" s="736" t="s">
        <v>56</v>
      </c>
      <c r="E1567" s="348">
        <v>1854000</v>
      </c>
      <c r="F1567" s="594"/>
      <c r="G1567" s="594"/>
      <c r="H1567" s="594"/>
      <c r="I1567" s="324">
        <f t="shared" si="1133"/>
        <v>1854000</v>
      </c>
      <c r="J1567" s="594"/>
      <c r="K1567" s="333"/>
      <c r="L1567" s="317">
        <f t="shared" si="1129"/>
        <v>1854000</v>
      </c>
      <c r="M1567" s="317"/>
      <c r="N1567" s="372">
        <f t="shared" si="1132"/>
        <v>0</v>
      </c>
      <c r="O1567" s="710">
        <f>L1567*1.1</f>
        <v>2039400.0000000002</v>
      </c>
      <c r="P1567" s="710">
        <f t="shared" si="1142"/>
        <v>2243340.0000000005</v>
      </c>
      <c r="R1567" s="317"/>
      <c r="U1567" s="320"/>
    </row>
    <row r="1568" spans="1:21" s="702" customFormat="1" outlineLevel="3">
      <c r="A1568" s="339"/>
      <c r="B1568" s="339"/>
      <c r="C1568" s="707">
        <v>2211300</v>
      </c>
      <c r="D1568" s="635" t="s">
        <v>57</v>
      </c>
      <c r="E1568" s="329">
        <f>E1569</f>
        <v>236000</v>
      </c>
      <c r="F1568" s="329">
        <f t="shared" ref="F1568:K1568" si="1147">F1569</f>
        <v>0</v>
      </c>
      <c r="G1568" s="329">
        <f t="shared" si="1147"/>
        <v>0</v>
      </c>
      <c r="H1568" s="329">
        <f t="shared" si="1147"/>
        <v>0</v>
      </c>
      <c r="I1568" s="329">
        <f t="shared" si="1147"/>
        <v>236000</v>
      </c>
      <c r="J1568" s="329">
        <f t="shared" si="1147"/>
        <v>0</v>
      </c>
      <c r="K1568" s="329">
        <f t="shared" si="1147"/>
        <v>-160000</v>
      </c>
      <c r="L1568" s="317">
        <f t="shared" si="1129"/>
        <v>76000</v>
      </c>
      <c r="M1568" s="317"/>
      <c r="N1568" s="372">
        <f t="shared" si="1132"/>
        <v>160000</v>
      </c>
      <c r="O1568" s="329">
        <f t="shared" ref="O1568:P1568" si="1148">O1569</f>
        <v>83600</v>
      </c>
      <c r="P1568" s="329">
        <f t="shared" si="1148"/>
        <v>91960.000000000015</v>
      </c>
      <c r="R1568" s="317"/>
      <c r="U1568" s="320"/>
    </row>
    <row r="1569" spans="1:21" s="702" customFormat="1" outlineLevel="3">
      <c r="A1569" s="339"/>
      <c r="B1569" s="339"/>
      <c r="C1569" s="708">
        <v>2211306</v>
      </c>
      <c r="D1569" s="709" t="s">
        <v>1447</v>
      </c>
      <c r="E1569" s="348">
        <v>236000</v>
      </c>
      <c r="F1569" s="334"/>
      <c r="G1569" s="334"/>
      <c r="H1569" s="334"/>
      <c r="I1569" s="324">
        <f t="shared" si="1133"/>
        <v>236000</v>
      </c>
      <c r="J1569" s="334"/>
      <c r="K1569" s="735">
        <v>-160000</v>
      </c>
      <c r="L1569" s="317">
        <f t="shared" si="1129"/>
        <v>76000</v>
      </c>
      <c r="M1569" s="317"/>
      <c r="N1569" s="372">
        <f t="shared" si="1132"/>
        <v>160000</v>
      </c>
      <c r="O1569" s="710">
        <f>L1569*1.1</f>
        <v>83600</v>
      </c>
      <c r="P1569" s="710">
        <f>O1569*1.1</f>
        <v>91960.000000000015</v>
      </c>
      <c r="R1569" s="317"/>
      <c r="U1569" s="320"/>
    </row>
    <row r="1570" spans="1:21" s="702" customFormat="1" outlineLevel="3">
      <c r="A1570" s="339"/>
      <c r="B1570" s="339"/>
      <c r="C1570" s="707">
        <v>2220100</v>
      </c>
      <c r="D1570" s="635" t="s">
        <v>62</v>
      </c>
      <c r="E1570" s="329">
        <f>E1571</f>
        <v>1247473.6000000001</v>
      </c>
      <c r="F1570" s="329">
        <f t="shared" ref="F1570:K1570" si="1149">F1571</f>
        <v>0</v>
      </c>
      <c r="G1570" s="329">
        <f t="shared" si="1149"/>
        <v>0</v>
      </c>
      <c r="H1570" s="329">
        <f t="shared" si="1149"/>
        <v>0</v>
      </c>
      <c r="I1570" s="329">
        <f t="shared" si="1149"/>
        <v>1247473.6000000001</v>
      </c>
      <c r="J1570" s="329">
        <f t="shared" si="1149"/>
        <v>0</v>
      </c>
      <c r="K1570" s="329">
        <f t="shared" si="1149"/>
        <v>0</v>
      </c>
      <c r="L1570" s="317">
        <f t="shared" si="1129"/>
        <v>1247473.6000000001</v>
      </c>
      <c r="M1570" s="317"/>
      <c r="N1570" s="372">
        <f t="shared" si="1132"/>
        <v>0</v>
      </c>
      <c r="O1570" s="329">
        <f t="shared" ref="O1570:P1570" si="1150">O1571</f>
        <v>1372220.9600000002</v>
      </c>
      <c r="P1570" s="329">
        <f t="shared" si="1150"/>
        <v>1509443.0560000003</v>
      </c>
      <c r="R1570" s="317"/>
      <c r="U1570" s="320"/>
    </row>
    <row r="1571" spans="1:21" s="702" customFormat="1" outlineLevel="3">
      <c r="A1571" s="339"/>
      <c r="B1571" s="339"/>
      <c r="C1571" s="708">
        <v>2220101</v>
      </c>
      <c r="D1571" s="709" t="s">
        <v>200</v>
      </c>
      <c r="E1571" s="348">
        <v>1247473.6000000001</v>
      </c>
      <c r="F1571" s="334"/>
      <c r="G1571" s="334"/>
      <c r="H1571" s="334"/>
      <c r="I1571" s="324">
        <f t="shared" si="1133"/>
        <v>1247473.6000000001</v>
      </c>
      <c r="J1571" s="334"/>
      <c r="K1571" s="333"/>
      <c r="L1571" s="317">
        <f t="shared" si="1129"/>
        <v>1247473.6000000001</v>
      </c>
      <c r="M1571" s="317"/>
      <c r="N1571" s="372">
        <f t="shared" si="1132"/>
        <v>0</v>
      </c>
      <c r="O1571" s="710">
        <f>L1571*1.1</f>
        <v>1372220.9600000002</v>
      </c>
      <c r="P1571" s="710">
        <f t="shared" si="1142"/>
        <v>1509443.0560000003</v>
      </c>
      <c r="R1571" s="317"/>
      <c r="U1571" s="320"/>
    </row>
    <row r="1572" spans="1:21" s="702" customFormat="1" outlineLevel="3">
      <c r="A1572" s="339"/>
      <c r="B1572" s="339"/>
      <c r="C1572" s="707">
        <v>2220200</v>
      </c>
      <c r="D1572" s="635" t="s">
        <v>124</v>
      </c>
      <c r="E1572" s="329">
        <f>E1573</f>
        <v>1085980</v>
      </c>
      <c r="F1572" s="329">
        <f t="shared" ref="F1572:P1572" si="1151">F1573</f>
        <v>0</v>
      </c>
      <c r="G1572" s="329">
        <f t="shared" si="1151"/>
        <v>0</v>
      </c>
      <c r="H1572" s="329">
        <f t="shared" si="1151"/>
        <v>0</v>
      </c>
      <c r="I1572" s="329">
        <f t="shared" si="1151"/>
        <v>1085980</v>
      </c>
      <c r="J1572" s="329">
        <f t="shared" si="1151"/>
        <v>0</v>
      </c>
      <c r="K1572" s="329">
        <f t="shared" si="1151"/>
        <v>-1000000</v>
      </c>
      <c r="L1572" s="317">
        <f t="shared" si="1129"/>
        <v>85980</v>
      </c>
      <c r="M1572" s="317"/>
      <c r="N1572" s="372">
        <f t="shared" si="1132"/>
        <v>1000000</v>
      </c>
      <c r="O1572" s="329">
        <f t="shared" si="1151"/>
        <v>94578.000000000015</v>
      </c>
      <c r="P1572" s="329">
        <f t="shared" si="1151"/>
        <v>104035.80000000002</v>
      </c>
      <c r="R1572" s="317"/>
      <c r="U1572" s="320"/>
    </row>
    <row r="1573" spans="1:21" s="702" customFormat="1" outlineLevel="3">
      <c r="A1573" s="339"/>
      <c r="B1573" s="339"/>
      <c r="C1573" s="708">
        <v>2220205</v>
      </c>
      <c r="D1573" s="709" t="s">
        <v>125</v>
      </c>
      <c r="E1573" s="348">
        <v>1085980</v>
      </c>
      <c r="F1573" s="334"/>
      <c r="G1573" s="334"/>
      <c r="H1573" s="334"/>
      <c r="I1573" s="324">
        <f t="shared" si="1133"/>
        <v>1085980</v>
      </c>
      <c r="J1573" s="334"/>
      <c r="K1573" s="735">
        <v>-1000000</v>
      </c>
      <c r="L1573" s="317">
        <f t="shared" si="1129"/>
        <v>85980</v>
      </c>
      <c r="M1573" s="317"/>
      <c r="N1573" s="372">
        <f t="shared" si="1132"/>
        <v>1000000</v>
      </c>
      <c r="O1573" s="710">
        <f>L1573*1.1</f>
        <v>94578.000000000015</v>
      </c>
      <c r="P1573" s="710">
        <f t="shared" si="1142"/>
        <v>104035.80000000002</v>
      </c>
      <c r="R1573" s="317"/>
      <c r="U1573" s="320"/>
    </row>
    <row r="1574" spans="1:21" s="702" customFormat="1" outlineLevel="3">
      <c r="A1574" s="339"/>
      <c r="B1574" s="339"/>
      <c r="C1574" s="707">
        <v>3111000</v>
      </c>
      <c r="D1574" s="737" t="s">
        <v>341</v>
      </c>
      <c r="E1574" s="329">
        <f>SUM(E1575:E1576)</f>
        <v>1006000</v>
      </c>
      <c r="F1574" s="329">
        <f t="shared" ref="F1574:K1574" si="1152">SUM(F1575:F1576)</f>
        <v>0</v>
      </c>
      <c r="G1574" s="329">
        <f t="shared" si="1152"/>
        <v>0</v>
      </c>
      <c r="H1574" s="329">
        <f t="shared" si="1152"/>
        <v>0</v>
      </c>
      <c r="I1574" s="329">
        <f t="shared" si="1152"/>
        <v>1006000</v>
      </c>
      <c r="J1574" s="329">
        <f t="shared" si="1152"/>
        <v>0</v>
      </c>
      <c r="K1574" s="329">
        <f t="shared" si="1152"/>
        <v>600000</v>
      </c>
      <c r="L1574" s="317">
        <f t="shared" si="1129"/>
        <v>1606000</v>
      </c>
      <c r="M1574" s="317"/>
      <c r="N1574" s="372">
        <f t="shared" si="1132"/>
        <v>-600000</v>
      </c>
      <c r="O1574" s="329">
        <f t="shared" ref="O1574:P1574" si="1153">SUM(O1575:O1576)</f>
        <v>1766600.0000000002</v>
      </c>
      <c r="P1574" s="329">
        <f t="shared" si="1153"/>
        <v>1943260.0000000005</v>
      </c>
      <c r="R1574" s="317"/>
      <c r="U1574" s="320"/>
    </row>
    <row r="1575" spans="1:21" s="702" customFormat="1" outlineLevel="3">
      <c r="A1575" s="339"/>
      <c r="B1575" s="339"/>
      <c r="C1575" s="708">
        <v>3111002</v>
      </c>
      <c r="D1575" s="709" t="s">
        <v>342</v>
      </c>
      <c r="E1575" s="348">
        <v>500000</v>
      </c>
      <c r="F1575" s="334"/>
      <c r="G1575" s="334"/>
      <c r="H1575" s="334"/>
      <c r="I1575" s="324">
        <f t="shared" si="1133"/>
        <v>500000</v>
      </c>
      <c r="J1575" s="334"/>
      <c r="K1575" s="735">
        <v>350000</v>
      </c>
      <c r="L1575" s="317">
        <f t="shared" si="1129"/>
        <v>850000</v>
      </c>
      <c r="M1575" s="317"/>
      <c r="N1575" s="372">
        <f t="shared" si="1132"/>
        <v>-350000</v>
      </c>
      <c r="O1575" s="710">
        <f>L1575*1.1</f>
        <v>935000.00000000012</v>
      </c>
      <c r="P1575" s="710">
        <f t="shared" si="1142"/>
        <v>1028500.0000000002</v>
      </c>
      <c r="R1575" s="317"/>
      <c r="U1575" s="320"/>
    </row>
    <row r="1576" spans="1:21" s="702" customFormat="1" outlineLevel="3">
      <c r="A1576" s="339"/>
      <c r="B1576" s="339"/>
      <c r="C1576" s="708">
        <v>3111009</v>
      </c>
      <c r="D1576" s="709" t="s">
        <v>343</v>
      </c>
      <c r="E1576" s="348">
        <v>506000</v>
      </c>
      <c r="F1576" s="334"/>
      <c r="G1576" s="334"/>
      <c r="H1576" s="334"/>
      <c r="I1576" s="324">
        <f t="shared" si="1133"/>
        <v>506000</v>
      </c>
      <c r="J1576" s="334"/>
      <c r="K1576" s="735">
        <v>250000</v>
      </c>
      <c r="L1576" s="317">
        <f t="shared" si="1129"/>
        <v>756000</v>
      </c>
      <c r="M1576" s="317"/>
      <c r="N1576" s="372">
        <f t="shared" si="1132"/>
        <v>-250000</v>
      </c>
      <c r="O1576" s="710">
        <f>L1576*1.1</f>
        <v>831600.00000000012</v>
      </c>
      <c r="P1576" s="710">
        <f t="shared" si="1142"/>
        <v>914760.00000000023</v>
      </c>
      <c r="R1576" s="317"/>
      <c r="U1576" s="320"/>
    </row>
    <row r="1577" spans="1:21" s="702" customFormat="1" outlineLevel="3">
      <c r="A1577" s="339"/>
      <c r="B1577" s="339"/>
      <c r="C1577" s="707">
        <v>3111400</v>
      </c>
      <c r="D1577" s="449" t="s">
        <v>126</v>
      </c>
      <c r="E1577" s="329">
        <f>SUM(E1578:E1578)</f>
        <v>1500000</v>
      </c>
      <c r="F1577" s="329">
        <f t="shared" ref="F1577:K1577" si="1154">SUM(F1578:F1578)</f>
        <v>0</v>
      </c>
      <c r="G1577" s="329">
        <f t="shared" si="1154"/>
        <v>0</v>
      </c>
      <c r="H1577" s="329">
        <f t="shared" si="1154"/>
        <v>0</v>
      </c>
      <c r="I1577" s="329">
        <f t="shared" si="1154"/>
        <v>1500000</v>
      </c>
      <c r="J1577" s="329">
        <f t="shared" si="1154"/>
        <v>0</v>
      </c>
      <c r="K1577" s="329">
        <f t="shared" si="1154"/>
        <v>0</v>
      </c>
      <c r="L1577" s="317">
        <f t="shared" si="1129"/>
        <v>1500000</v>
      </c>
      <c r="M1577" s="317"/>
      <c r="N1577" s="372">
        <f t="shared" si="1132"/>
        <v>0</v>
      </c>
      <c r="O1577" s="329">
        <f t="shared" ref="O1577:P1577" si="1155">SUM(O1578:O1578)</f>
        <v>1650000.0000000002</v>
      </c>
      <c r="P1577" s="329">
        <f t="shared" si="1155"/>
        <v>1815000.0000000005</v>
      </c>
      <c r="R1577" s="317"/>
      <c r="U1577" s="320"/>
    </row>
    <row r="1578" spans="1:21" s="702" customFormat="1" outlineLevel="3">
      <c r="A1578" s="339"/>
      <c r="B1578" s="339"/>
      <c r="C1578" s="708">
        <v>3111401</v>
      </c>
      <c r="D1578" s="709" t="s">
        <v>344</v>
      </c>
      <c r="E1578" s="348">
        <v>1500000</v>
      </c>
      <c r="F1578" s="334"/>
      <c r="G1578" s="334"/>
      <c r="H1578" s="334"/>
      <c r="I1578" s="324">
        <f t="shared" si="1133"/>
        <v>1500000</v>
      </c>
      <c r="J1578" s="334"/>
      <c r="K1578" s="333"/>
      <c r="L1578" s="317">
        <f t="shared" si="1129"/>
        <v>1500000</v>
      </c>
      <c r="M1578" s="317"/>
      <c r="N1578" s="372">
        <f t="shared" si="1132"/>
        <v>0</v>
      </c>
      <c r="O1578" s="710">
        <f>L1578*1.1</f>
        <v>1650000.0000000002</v>
      </c>
      <c r="P1578" s="710">
        <f t="shared" si="1142"/>
        <v>1815000.0000000005</v>
      </c>
      <c r="R1578" s="317"/>
      <c r="U1578" s="320"/>
    </row>
    <row r="1579" spans="1:21" s="702" customFormat="1" outlineLevel="2">
      <c r="A1579" s="703"/>
      <c r="B1579" s="703"/>
      <c r="C1579" s="720" t="s">
        <v>99</v>
      </c>
      <c r="D1579" s="712"/>
      <c r="E1579" s="575">
        <f>E1533+E1537+E1541+E1546+E1549+E1554+E1559+E1562+E1566+E1568+E1570+E1572+E1574+E1577</f>
        <v>24611660.280000001</v>
      </c>
      <c r="F1579" s="575">
        <f t="shared" ref="F1579:K1579" si="1156">F1533+F1537+F1541+F1546+F1549+F1554+F1559+F1562+F1566+F1568+F1570+F1572+F1574+F1577</f>
        <v>0</v>
      </c>
      <c r="G1579" s="575">
        <f t="shared" si="1156"/>
        <v>0</v>
      </c>
      <c r="H1579" s="575">
        <f t="shared" si="1156"/>
        <v>0</v>
      </c>
      <c r="I1579" s="575">
        <f t="shared" si="1156"/>
        <v>24611660.280000001</v>
      </c>
      <c r="J1579" s="575">
        <f t="shared" si="1156"/>
        <v>0</v>
      </c>
      <c r="K1579" s="575">
        <f t="shared" si="1156"/>
        <v>0</v>
      </c>
      <c r="L1579" s="317">
        <f t="shared" si="1129"/>
        <v>24611660.280000001</v>
      </c>
      <c r="M1579" s="317"/>
      <c r="N1579" s="372">
        <f t="shared" si="1132"/>
        <v>0</v>
      </c>
      <c r="O1579" s="575">
        <f t="shared" ref="O1579:P1579" si="1157">O1533+O1537+O1541+O1546+O1549+O1554+O1559+O1562+O1566+O1568+O1570+O1572+O1574+O1577</f>
        <v>27072826.308000002</v>
      </c>
      <c r="P1579" s="575">
        <f t="shared" si="1157"/>
        <v>29780108.938800003</v>
      </c>
      <c r="R1579" s="317"/>
      <c r="U1579" s="320"/>
    </row>
    <row r="1580" spans="1:21" s="702" customFormat="1" outlineLevel="2">
      <c r="A1580" s="339"/>
      <c r="B1580" s="339"/>
      <c r="C1580" s="707"/>
      <c r="D1580" s="635"/>
      <c r="E1580" s="348"/>
      <c r="F1580" s="386"/>
      <c r="G1580" s="386"/>
      <c r="H1580" s="386"/>
      <c r="I1580" s="324">
        <f t="shared" si="1133"/>
        <v>0</v>
      </c>
      <c r="J1580" s="386"/>
      <c r="K1580" s="386"/>
      <c r="L1580" s="317">
        <f t="shared" si="1129"/>
        <v>0</v>
      </c>
      <c r="M1580" s="317"/>
      <c r="N1580" s="372">
        <f t="shared" si="1132"/>
        <v>0</v>
      </c>
      <c r="O1580" s="319">
        <f>L1580*1.1</f>
        <v>0</v>
      </c>
      <c r="P1580" s="319">
        <f t="shared" ref="P1580:P1581" si="1158">O1580*1.1</f>
        <v>0</v>
      </c>
      <c r="R1580" s="317"/>
      <c r="U1580" s="320"/>
    </row>
    <row r="1581" spans="1:21" s="702" customFormat="1" outlineLevel="2">
      <c r="A1581" s="339"/>
      <c r="B1581" s="339"/>
      <c r="C1581" s="332"/>
      <c r="D1581" s="707" t="s">
        <v>92</v>
      </c>
      <c r="E1581" s="348"/>
      <c r="F1581" s="738"/>
      <c r="G1581" s="738"/>
      <c r="H1581" s="738"/>
      <c r="I1581" s="324">
        <f t="shared" si="1133"/>
        <v>0</v>
      </c>
      <c r="J1581" s="738"/>
      <c r="K1581" s="738"/>
      <c r="L1581" s="317">
        <f t="shared" si="1129"/>
        <v>0</v>
      </c>
      <c r="M1581" s="317"/>
      <c r="N1581" s="372">
        <f t="shared" si="1132"/>
        <v>0</v>
      </c>
      <c r="O1581" s="319">
        <f>L1581*1.1</f>
        <v>0</v>
      </c>
      <c r="P1581" s="319">
        <f t="shared" si="1158"/>
        <v>0</v>
      </c>
      <c r="R1581" s="317"/>
      <c r="U1581" s="320"/>
    </row>
    <row r="1582" spans="1:21" s="702" customFormat="1" outlineLevel="3">
      <c r="A1582" s="377"/>
      <c r="B1582" s="377"/>
      <c r="C1582" s="739">
        <v>3110500</v>
      </c>
      <c r="D1582" s="740" t="s">
        <v>345</v>
      </c>
      <c r="E1582" s="379">
        <f>E1583+E1584</f>
        <v>29601207.120000001</v>
      </c>
      <c r="F1582" s="379">
        <f t="shared" ref="F1582:K1582" si="1159">F1583+F1584</f>
        <v>0</v>
      </c>
      <c r="G1582" s="379">
        <f t="shared" si="1159"/>
        <v>-12749861</v>
      </c>
      <c r="H1582" s="379">
        <f t="shared" si="1159"/>
        <v>0</v>
      </c>
      <c r="I1582" s="379">
        <f t="shared" si="1159"/>
        <v>16851346.120000001</v>
      </c>
      <c r="J1582" s="379">
        <f t="shared" si="1159"/>
        <v>-4212083</v>
      </c>
      <c r="K1582" s="379">
        <f t="shared" si="1159"/>
        <v>-227000</v>
      </c>
      <c r="L1582" s="317">
        <f t="shared" si="1129"/>
        <v>12412263.120000001</v>
      </c>
      <c r="M1582" s="2212"/>
      <c r="N1582" s="372">
        <f t="shared" si="1132"/>
        <v>227000</v>
      </c>
      <c r="O1582" s="379">
        <f t="shared" ref="O1582:P1582" si="1160">O1583+O1584</f>
        <v>13653489.432000002</v>
      </c>
      <c r="P1582" s="379">
        <f t="shared" si="1160"/>
        <v>15018838.375200003</v>
      </c>
      <c r="R1582" s="317"/>
      <c r="U1582" s="320"/>
    </row>
    <row r="1583" spans="1:21" s="722" customFormat="1" outlineLevel="3">
      <c r="A1583" s="723"/>
      <c r="B1583" s="723"/>
      <c r="C1583" s="724">
        <v>3110504</v>
      </c>
      <c r="D1583" s="725" t="s">
        <v>346</v>
      </c>
      <c r="E1583" s="726">
        <f>2625207.12+4976000+12000000</f>
        <v>19601207.120000001</v>
      </c>
      <c r="F1583" s="727"/>
      <c r="G1583" s="726">
        <f>-4601207+3000000-1148654</f>
        <v>-2749861</v>
      </c>
      <c r="H1583" s="727"/>
      <c r="I1583" s="690">
        <f t="shared" si="1133"/>
        <v>16851346.120000001</v>
      </c>
      <c r="J1583" s="727">
        <v>-4212083</v>
      </c>
      <c r="K1583" s="727">
        <v>-227000</v>
      </c>
      <c r="L1583" s="317">
        <f t="shared" si="1129"/>
        <v>12412263.120000001</v>
      </c>
      <c r="M1583" s="2210"/>
      <c r="N1583" s="372">
        <f t="shared" si="1132"/>
        <v>227000</v>
      </c>
      <c r="O1583" s="741">
        <f>L1583*1.1</f>
        <v>13653489.432000002</v>
      </c>
      <c r="P1583" s="728">
        <f t="shared" ref="P1583:P1589" si="1161">O1583*1.1</f>
        <v>15018838.375200003</v>
      </c>
      <c r="R1583" s="317"/>
      <c r="U1583" s="320" t="s">
        <v>1803</v>
      </c>
    </row>
    <row r="1584" spans="1:21" s="702" customFormat="1" outlineLevel="3">
      <c r="A1584" s="339"/>
      <c r="B1584" s="339"/>
      <c r="C1584" s="708">
        <v>3110504</v>
      </c>
      <c r="D1584" s="709" t="s">
        <v>2032</v>
      </c>
      <c r="E1584" s="348">
        <v>10000000</v>
      </c>
      <c r="F1584" s="334"/>
      <c r="G1584" s="348">
        <v>-10000000</v>
      </c>
      <c r="H1584" s="334"/>
      <c r="I1584" s="324">
        <f t="shared" si="1133"/>
        <v>0</v>
      </c>
      <c r="J1584" s="334"/>
      <c r="K1584" s="334"/>
      <c r="L1584" s="317">
        <f t="shared" si="1129"/>
        <v>0</v>
      </c>
      <c r="M1584" s="2215"/>
      <c r="N1584" s="372">
        <f t="shared" si="1132"/>
        <v>0</v>
      </c>
      <c r="O1584" s="742"/>
      <c r="P1584" s="743"/>
      <c r="R1584" s="317"/>
      <c r="U1584" s="320"/>
    </row>
    <row r="1585" spans="1:21" s="702" customFormat="1" outlineLevel="3">
      <c r="A1585" s="359"/>
      <c r="B1585" s="359"/>
      <c r="C1585" s="744">
        <v>3111100</v>
      </c>
      <c r="D1585" s="745" t="s">
        <v>326</v>
      </c>
      <c r="E1585" s="746">
        <f>SUM(E1586:E1589)</f>
        <v>8195588</v>
      </c>
      <c r="F1585" s="746">
        <f t="shared" ref="F1585:K1585" si="1162">SUM(F1586:F1589)</f>
        <v>31708190.144618999</v>
      </c>
      <c r="G1585" s="746">
        <f t="shared" si="1162"/>
        <v>3000000</v>
      </c>
      <c r="H1585" s="746">
        <f t="shared" si="1162"/>
        <v>0</v>
      </c>
      <c r="I1585" s="746">
        <f t="shared" si="1162"/>
        <v>42903778.144619003</v>
      </c>
      <c r="J1585" s="746">
        <f t="shared" si="1162"/>
        <v>0</v>
      </c>
      <c r="K1585" s="746">
        <f t="shared" si="1162"/>
        <v>229000</v>
      </c>
      <c r="L1585" s="317">
        <f t="shared" si="1129"/>
        <v>43132778.144619003</v>
      </c>
      <c r="M1585" s="2216"/>
      <c r="N1585" s="372">
        <f t="shared" si="1132"/>
        <v>-229000</v>
      </c>
      <c r="O1585" s="746">
        <f t="shared" ref="O1585:P1585" si="1163">SUM(O1586:O1589)</f>
        <v>47446055.959080905</v>
      </c>
      <c r="P1585" s="746">
        <f t="shared" si="1163"/>
        <v>52190661.554988995</v>
      </c>
      <c r="R1585" s="317"/>
      <c r="U1585" s="320"/>
    </row>
    <row r="1586" spans="1:21" s="702" customFormat="1" outlineLevel="3">
      <c r="A1586" s="339"/>
      <c r="B1586" s="339"/>
      <c r="C1586" s="708">
        <v>3111101</v>
      </c>
      <c r="D1586" s="709" t="s">
        <v>1454</v>
      </c>
      <c r="E1586" s="721">
        <v>2000000</v>
      </c>
      <c r="F1586" s="334"/>
      <c r="G1586" s="334"/>
      <c r="H1586" s="334"/>
      <c r="I1586" s="324">
        <f t="shared" si="1133"/>
        <v>2000000</v>
      </c>
      <c r="J1586" s="334"/>
      <c r="K1586" s="334"/>
      <c r="L1586" s="317">
        <f t="shared" si="1129"/>
        <v>2000000</v>
      </c>
      <c r="M1586" s="317"/>
      <c r="N1586" s="372">
        <f t="shared" si="1132"/>
        <v>0</v>
      </c>
      <c r="O1586" s="710">
        <f>L1586*1.1</f>
        <v>2200000</v>
      </c>
      <c r="P1586" s="710">
        <f t="shared" si="1161"/>
        <v>2420000</v>
      </c>
      <c r="R1586" s="317"/>
      <c r="U1586" s="320"/>
    </row>
    <row r="1587" spans="1:21" s="702" customFormat="1" outlineLevel="3">
      <c r="A1587" s="339"/>
      <c r="B1587" s="339"/>
      <c r="C1587" s="747">
        <v>2630203</v>
      </c>
      <c r="D1587" s="748" t="s">
        <v>2075</v>
      </c>
      <c r="E1587" s="706">
        <f>3000000-3000000</f>
        <v>0</v>
      </c>
      <c r="F1587" s="394">
        <v>362908</v>
      </c>
      <c r="G1587" s="394"/>
      <c r="H1587" s="394"/>
      <c r="I1587" s="324">
        <f t="shared" si="1133"/>
        <v>362908</v>
      </c>
      <c r="J1587" s="394"/>
      <c r="K1587" s="394"/>
      <c r="L1587" s="317">
        <f t="shared" si="1129"/>
        <v>362908</v>
      </c>
      <c r="M1587" s="2211"/>
      <c r="N1587" s="372">
        <f t="shared" si="1132"/>
        <v>0</v>
      </c>
      <c r="O1587" s="749">
        <f>L1587*1.1</f>
        <v>399198.80000000005</v>
      </c>
      <c r="P1587" s="749">
        <f t="shared" si="1161"/>
        <v>439118.68000000011</v>
      </c>
      <c r="R1587" s="317"/>
      <c r="U1587" s="320"/>
    </row>
    <row r="1588" spans="1:21" s="702" customFormat="1" outlineLevel="3">
      <c r="A1588" s="339"/>
      <c r="B1588" s="339"/>
      <c r="C1588" s="708">
        <v>3111101</v>
      </c>
      <c r="D1588" s="709" t="s">
        <v>348</v>
      </c>
      <c r="E1588" s="348">
        <v>6128843</v>
      </c>
      <c r="F1588" s="334"/>
      <c r="G1588" s="334">
        <v>3000000</v>
      </c>
      <c r="H1588" s="334"/>
      <c r="I1588" s="324">
        <f t="shared" si="1133"/>
        <v>9128843</v>
      </c>
      <c r="J1588" s="334"/>
      <c r="K1588" s="334">
        <v>229000</v>
      </c>
      <c r="L1588" s="317">
        <f t="shared" si="1129"/>
        <v>9357843</v>
      </c>
      <c r="M1588" s="317"/>
      <c r="N1588" s="372">
        <f t="shared" si="1132"/>
        <v>-229000</v>
      </c>
      <c r="O1588" s="710">
        <f>L1588*1.1</f>
        <v>10293627.300000001</v>
      </c>
      <c r="P1588" s="710">
        <f t="shared" si="1161"/>
        <v>11322990.030000001</v>
      </c>
      <c r="R1588" s="317"/>
      <c r="U1588" s="320"/>
    </row>
    <row r="1589" spans="1:21" s="702" customFormat="1" outlineLevel="3">
      <c r="A1589" s="339"/>
      <c r="B1589" s="339"/>
      <c r="C1589" s="708">
        <v>3111101</v>
      </c>
      <c r="D1589" s="709" t="s">
        <v>2425</v>
      </c>
      <c r="E1589" s="348">
        <v>66745</v>
      </c>
      <c r="F1589" s="334">
        <f>31708190.144619-362908</f>
        <v>31345282.144618999</v>
      </c>
      <c r="G1589" s="334"/>
      <c r="H1589" s="334"/>
      <c r="I1589" s="324">
        <f t="shared" si="1133"/>
        <v>31412027.144618999</v>
      </c>
      <c r="J1589" s="334"/>
      <c r="K1589" s="334"/>
      <c r="L1589" s="317">
        <f t="shared" si="1129"/>
        <v>31412027.144618999</v>
      </c>
      <c r="M1589" s="317"/>
      <c r="N1589" s="372">
        <f t="shared" si="1132"/>
        <v>0</v>
      </c>
      <c r="O1589" s="710">
        <f>L1589*1.1</f>
        <v>34553229.859080903</v>
      </c>
      <c r="P1589" s="710">
        <f t="shared" si="1161"/>
        <v>38008552.844988994</v>
      </c>
      <c r="R1589" s="317"/>
      <c r="U1589" s="320"/>
    </row>
    <row r="1590" spans="1:21" s="702" customFormat="1" outlineLevel="2">
      <c r="A1590" s="703"/>
      <c r="B1590" s="703"/>
      <c r="C1590" s="720" t="s">
        <v>175</v>
      </c>
      <c r="D1590" s="712"/>
      <c r="E1590" s="575">
        <f>E1582+E1585</f>
        <v>37796795.120000005</v>
      </c>
      <c r="F1590" s="575">
        <f t="shared" ref="F1590:P1590" si="1164">F1582+F1585</f>
        <v>31708190.144618999</v>
      </c>
      <c r="G1590" s="575">
        <f t="shared" si="1164"/>
        <v>-9749861</v>
      </c>
      <c r="H1590" s="575">
        <f t="shared" si="1164"/>
        <v>0</v>
      </c>
      <c r="I1590" s="575">
        <f t="shared" si="1164"/>
        <v>59755124.264619008</v>
      </c>
      <c r="J1590" s="575">
        <f t="shared" si="1164"/>
        <v>-4212083</v>
      </c>
      <c r="K1590" s="575">
        <f t="shared" si="1164"/>
        <v>2000</v>
      </c>
      <c r="L1590" s="317">
        <f t="shared" si="1129"/>
        <v>55545041.264619008</v>
      </c>
      <c r="M1590" s="317"/>
      <c r="N1590" s="372">
        <f t="shared" si="1132"/>
        <v>-2000</v>
      </c>
      <c r="O1590" s="575">
        <f t="shared" si="1164"/>
        <v>61099545.391080908</v>
      </c>
      <c r="P1590" s="575">
        <f t="shared" si="1164"/>
        <v>67209499.930188999</v>
      </c>
      <c r="R1590" s="317"/>
      <c r="U1590" s="320"/>
    </row>
    <row r="1591" spans="1:21" s="702" customFormat="1" outlineLevel="1">
      <c r="A1591" s="703"/>
      <c r="B1591" s="703"/>
      <c r="C1591" s="720" t="s">
        <v>84</v>
      </c>
      <c r="D1591" s="712"/>
      <c r="E1591" s="575">
        <f>E1579+E1590</f>
        <v>62408455.400000006</v>
      </c>
      <c r="F1591" s="575">
        <f t="shared" ref="F1591:K1591" si="1165">F1579+F1590</f>
        <v>31708190.144618999</v>
      </c>
      <c r="G1591" s="575">
        <f t="shared" si="1165"/>
        <v>-9749861</v>
      </c>
      <c r="H1591" s="575">
        <f t="shared" si="1165"/>
        <v>0</v>
      </c>
      <c r="I1591" s="575">
        <f t="shared" si="1165"/>
        <v>84366784.544619009</v>
      </c>
      <c r="J1591" s="575">
        <f t="shared" si="1165"/>
        <v>-4212083</v>
      </c>
      <c r="K1591" s="575">
        <f t="shared" si="1165"/>
        <v>2000</v>
      </c>
      <c r="L1591" s="317">
        <f t="shared" si="1129"/>
        <v>80156701.544619009</v>
      </c>
      <c r="M1591" s="317"/>
      <c r="N1591" s="372">
        <f t="shared" si="1132"/>
        <v>-2000</v>
      </c>
      <c r="O1591" s="575">
        <f t="shared" ref="O1591:P1591" si="1166">O1579+O1590</f>
        <v>88172371.699080914</v>
      </c>
      <c r="P1591" s="575">
        <f t="shared" si="1166"/>
        <v>96989608.868989006</v>
      </c>
      <c r="R1591" s="317"/>
      <c r="U1591" s="320"/>
    </row>
    <row r="1592" spans="1:21" s="702" customFormat="1" outlineLevel="1">
      <c r="A1592" s="339"/>
      <c r="B1592" s="339"/>
      <c r="C1592" s="707"/>
      <c r="D1592" s="635"/>
      <c r="E1592" s="348"/>
      <c r="F1592" s="386"/>
      <c r="G1592" s="386"/>
      <c r="H1592" s="386"/>
      <c r="I1592" s="324">
        <f t="shared" si="1133"/>
        <v>0</v>
      </c>
      <c r="J1592" s="386"/>
      <c r="K1592" s="386"/>
      <c r="L1592" s="317">
        <f t="shared" si="1129"/>
        <v>0</v>
      </c>
      <c r="M1592" s="317"/>
      <c r="N1592" s="372">
        <f t="shared" si="1132"/>
        <v>0</v>
      </c>
      <c r="O1592" s="319">
        <f>L1592*1.1</f>
        <v>0</v>
      </c>
      <c r="P1592" s="319">
        <f t="shared" ref="P1592:P1607" si="1167">O1592*1.1</f>
        <v>0</v>
      </c>
      <c r="R1592" s="317"/>
      <c r="U1592" s="320"/>
    </row>
    <row r="1593" spans="1:21" s="702" customFormat="1" outlineLevel="1">
      <c r="A1593" s="339"/>
      <c r="B1593" s="339"/>
      <c r="C1593" s="707"/>
      <c r="D1593" s="737"/>
      <c r="E1593" s="348"/>
      <c r="F1593" s="750"/>
      <c r="G1593" s="750"/>
      <c r="H1593" s="750"/>
      <c r="I1593" s="324">
        <f t="shared" si="1133"/>
        <v>0</v>
      </c>
      <c r="J1593" s="750"/>
      <c r="K1593" s="750"/>
      <c r="L1593" s="317">
        <f t="shared" si="1129"/>
        <v>0</v>
      </c>
      <c r="M1593" s="317"/>
      <c r="N1593" s="372">
        <f t="shared" si="1132"/>
        <v>0</v>
      </c>
      <c r="O1593" s="319">
        <f>L1593*1.1</f>
        <v>0</v>
      </c>
      <c r="P1593" s="319">
        <f t="shared" si="1167"/>
        <v>0</v>
      </c>
      <c r="R1593" s="317"/>
      <c r="U1593" s="320"/>
    </row>
    <row r="1594" spans="1:21" s="702" customFormat="1" outlineLevel="1">
      <c r="A1594" s="339"/>
      <c r="B1594" s="339"/>
      <c r="C1594" s="635" t="s">
        <v>349</v>
      </c>
      <c r="D1594" s="635"/>
      <c r="E1594" s="348"/>
      <c r="F1594" s="386"/>
      <c r="G1594" s="386"/>
      <c r="H1594" s="386"/>
      <c r="I1594" s="324">
        <f t="shared" si="1133"/>
        <v>0</v>
      </c>
      <c r="J1594" s="386"/>
      <c r="K1594" s="386"/>
      <c r="L1594" s="317">
        <f t="shared" si="1129"/>
        <v>0</v>
      </c>
      <c r="M1594" s="317"/>
      <c r="N1594" s="372">
        <f t="shared" si="1132"/>
        <v>0</v>
      </c>
      <c r="O1594" s="319">
        <f>L1594*1.1</f>
        <v>0</v>
      </c>
      <c r="P1594" s="319">
        <f t="shared" si="1167"/>
        <v>0</v>
      </c>
      <c r="R1594" s="317"/>
      <c r="U1594" s="320"/>
    </row>
    <row r="1595" spans="1:21" s="702" customFormat="1" outlineLevel="1">
      <c r="A1595" s="339" t="s">
        <v>168</v>
      </c>
      <c r="B1595" s="339" t="s">
        <v>146</v>
      </c>
      <c r="C1595" s="751" t="s">
        <v>350</v>
      </c>
      <c r="D1595" s="752"/>
      <c r="E1595" s="753"/>
      <c r="F1595" s="753"/>
      <c r="G1595" s="753"/>
      <c r="H1595" s="753"/>
      <c r="I1595" s="324">
        <f t="shared" si="1133"/>
        <v>0</v>
      </c>
      <c r="J1595" s="753"/>
      <c r="K1595" s="753"/>
      <c r="L1595" s="317">
        <f t="shared" si="1129"/>
        <v>0</v>
      </c>
      <c r="M1595" s="2217"/>
      <c r="N1595" s="372">
        <f t="shared" si="1132"/>
        <v>0</v>
      </c>
      <c r="O1595" s="752"/>
      <c r="P1595" s="754"/>
      <c r="R1595" s="317"/>
      <c r="U1595" s="320"/>
    </row>
    <row r="1596" spans="1:21" s="702" customFormat="1" outlineLevel="1">
      <c r="A1596" s="339"/>
      <c r="B1596" s="339"/>
      <c r="C1596" s="707">
        <v>2210300</v>
      </c>
      <c r="D1596" s="635" t="s">
        <v>24</v>
      </c>
      <c r="E1596" s="329">
        <f>SUM(E1597:E1599)</f>
        <v>996341.67999999993</v>
      </c>
      <c r="F1596" s="329">
        <f t="shared" ref="F1596:K1596" si="1168">SUM(F1597:F1599)</f>
        <v>0</v>
      </c>
      <c r="G1596" s="329">
        <f t="shared" si="1168"/>
        <v>0</v>
      </c>
      <c r="H1596" s="329">
        <f t="shared" si="1168"/>
        <v>0</v>
      </c>
      <c r="I1596" s="329">
        <f t="shared" si="1168"/>
        <v>996341.67999999993</v>
      </c>
      <c r="J1596" s="329">
        <f t="shared" si="1168"/>
        <v>0</v>
      </c>
      <c r="K1596" s="329">
        <f t="shared" si="1168"/>
        <v>0</v>
      </c>
      <c r="L1596" s="317">
        <f t="shared" si="1129"/>
        <v>996341.67999999993</v>
      </c>
      <c r="M1596" s="317"/>
      <c r="N1596" s="372">
        <f t="shared" si="1132"/>
        <v>0</v>
      </c>
      <c r="O1596" s="329">
        <f t="shared" ref="O1596:P1596" si="1169">SUM(O1597:O1599)</f>
        <v>1095975.848</v>
      </c>
      <c r="P1596" s="329">
        <f t="shared" si="1169"/>
        <v>1205573.4328000001</v>
      </c>
      <c r="R1596" s="317"/>
      <c r="U1596" s="320"/>
    </row>
    <row r="1597" spans="1:21" s="702" customFormat="1" outlineLevel="1">
      <c r="A1597" s="339"/>
      <c r="B1597" s="339"/>
      <c r="C1597" s="708">
        <v>2210301</v>
      </c>
      <c r="D1597" s="709" t="s">
        <v>188</v>
      </c>
      <c r="E1597" s="348">
        <v>319500</v>
      </c>
      <c r="F1597" s="334"/>
      <c r="G1597" s="334"/>
      <c r="H1597" s="334"/>
      <c r="I1597" s="324">
        <f t="shared" si="1133"/>
        <v>319500</v>
      </c>
      <c r="J1597" s="334"/>
      <c r="K1597" s="334"/>
      <c r="L1597" s="317">
        <f t="shared" si="1129"/>
        <v>319500</v>
      </c>
      <c r="M1597" s="317"/>
      <c r="N1597" s="372">
        <f t="shared" si="1132"/>
        <v>0</v>
      </c>
      <c r="O1597" s="710">
        <f>L1597*1.1</f>
        <v>351450</v>
      </c>
      <c r="P1597" s="710">
        <f t="shared" ref="P1597:P1599" si="1170">O1597*1.1</f>
        <v>386595.00000000006</v>
      </c>
      <c r="R1597" s="317"/>
      <c r="U1597" s="320"/>
    </row>
    <row r="1598" spans="1:21" s="702" customFormat="1" outlineLevel="1">
      <c r="A1598" s="339"/>
      <c r="B1598" s="339"/>
      <c r="C1598" s="708">
        <v>2210302</v>
      </c>
      <c r="D1598" s="709" t="s">
        <v>26</v>
      </c>
      <c r="E1598" s="348">
        <v>312841.68</v>
      </c>
      <c r="F1598" s="334"/>
      <c r="G1598" s="334"/>
      <c r="H1598" s="334"/>
      <c r="I1598" s="324">
        <f t="shared" si="1133"/>
        <v>312841.68</v>
      </c>
      <c r="J1598" s="334"/>
      <c r="K1598" s="334"/>
      <c r="L1598" s="317">
        <f t="shared" si="1129"/>
        <v>312841.68</v>
      </c>
      <c r="M1598" s="317"/>
      <c r="N1598" s="372">
        <f t="shared" si="1132"/>
        <v>0</v>
      </c>
      <c r="O1598" s="710">
        <f>L1598*1.1</f>
        <v>344125.848</v>
      </c>
      <c r="P1598" s="710">
        <f t="shared" si="1170"/>
        <v>378538.43280000001</v>
      </c>
      <c r="R1598" s="317"/>
      <c r="U1598" s="320"/>
    </row>
    <row r="1599" spans="1:21" s="702" customFormat="1" outlineLevel="1">
      <c r="A1599" s="339"/>
      <c r="B1599" s="339"/>
      <c r="C1599" s="708">
        <v>2210303</v>
      </c>
      <c r="D1599" s="709" t="s">
        <v>223</v>
      </c>
      <c r="E1599" s="348">
        <v>364000</v>
      </c>
      <c r="F1599" s="334"/>
      <c r="G1599" s="334"/>
      <c r="H1599" s="334"/>
      <c r="I1599" s="324">
        <f t="shared" si="1133"/>
        <v>364000</v>
      </c>
      <c r="J1599" s="334"/>
      <c r="K1599" s="334"/>
      <c r="L1599" s="317">
        <f t="shared" si="1129"/>
        <v>364000</v>
      </c>
      <c r="M1599" s="317"/>
      <c r="N1599" s="372">
        <f t="shared" si="1132"/>
        <v>0</v>
      </c>
      <c r="O1599" s="710">
        <f>L1599*1.1</f>
        <v>400400.00000000006</v>
      </c>
      <c r="P1599" s="710">
        <f t="shared" si="1170"/>
        <v>440440.00000000012</v>
      </c>
      <c r="R1599" s="317"/>
      <c r="U1599" s="320"/>
    </row>
    <row r="1600" spans="1:21" s="702" customFormat="1" outlineLevel="1">
      <c r="A1600" s="339"/>
      <c r="B1600" s="339"/>
      <c r="C1600" s="707">
        <v>2210700</v>
      </c>
      <c r="D1600" s="635" t="s">
        <v>35</v>
      </c>
      <c r="E1600" s="329">
        <f>E1601</f>
        <v>18000000</v>
      </c>
      <c r="F1600" s="329">
        <f t="shared" ref="F1600:K1600" si="1171">F1601</f>
        <v>0</v>
      </c>
      <c r="G1600" s="329">
        <f t="shared" si="1171"/>
        <v>0</v>
      </c>
      <c r="H1600" s="329">
        <f t="shared" si="1171"/>
        <v>0</v>
      </c>
      <c r="I1600" s="329">
        <f t="shared" si="1171"/>
        <v>18000000</v>
      </c>
      <c r="J1600" s="329">
        <f t="shared" si="1171"/>
        <v>0</v>
      </c>
      <c r="K1600" s="329">
        <f t="shared" si="1171"/>
        <v>0</v>
      </c>
      <c r="L1600" s="317">
        <f t="shared" si="1129"/>
        <v>18000000</v>
      </c>
      <c r="M1600" s="317"/>
      <c r="N1600" s="372">
        <f t="shared" si="1132"/>
        <v>0</v>
      </c>
      <c r="O1600" s="329">
        <f t="shared" ref="O1600:P1600" si="1172">O1601</f>
        <v>19800000</v>
      </c>
      <c r="P1600" s="329">
        <f t="shared" si="1172"/>
        <v>21780000</v>
      </c>
      <c r="R1600" s="317"/>
      <c r="U1600" s="320"/>
    </row>
    <row r="1601" spans="1:21" s="702" customFormat="1" outlineLevel="1">
      <c r="A1601" s="339"/>
      <c r="B1601" s="339"/>
      <c r="C1601" s="708">
        <v>2210711</v>
      </c>
      <c r="D1601" s="736" t="s">
        <v>338</v>
      </c>
      <c r="E1601" s="348">
        <v>18000000</v>
      </c>
      <c r="F1601" s="594"/>
      <c r="G1601" s="594"/>
      <c r="H1601" s="594"/>
      <c r="I1601" s="324">
        <f t="shared" si="1133"/>
        <v>18000000</v>
      </c>
      <c r="J1601" s="594"/>
      <c r="K1601" s="594"/>
      <c r="L1601" s="317">
        <f t="shared" si="1129"/>
        <v>18000000</v>
      </c>
      <c r="M1601" s="317"/>
      <c r="N1601" s="372">
        <f t="shared" si="1132"/>
        <v>0</v>
      </c>
      <c r="O1601" s="710">
        <f>L1601*1.1</f>
        <v>19800000</v>
      </c>
      <c r="P1601" s="710">
        <f>O1601*1.1</f>
        <v>21780000</v>
      </c>
      <c r="R1601" s="317"/>
      <c r="U1601" s="320"/>
    </row>
    <row r="1602" spans="1:21" s="702" customFormat="1" outlineLevel="1">
      <c r="A1602" s="339"/>
      <c r="B1602" s="339"/>
      <c r="C1602" s="707">
        <v>3111400</v>
      </c>
      <c r="D1602" s="737" t="s">
        <v>1456</v>
      </c>
      <c r="E1602" s="459">
        <f>E1603</f>
        <v>2000000</v>
      </c>
      <c r="F1602" s="459">
        <f t="shared" ref="F1602:P1602" si="1173">F1603</f>
        <v>0</v>
      </c>
      <c r="G1602" s="459">
        <f t="shared" si="1173"/>
        <v>0</v>
      </c>
      <c r="H1602" s="459">
        <f t="shared" si="1173"/>
        <v>0</v>
      </c>
      <c r="I1602" s="459">
        <f t="shared" si="1173"/>
        <v>2000000</v>
      </c>
      <c r="J1602" s="459">
        <f t="shared" si="1173"/>
        <v>0</v>
      </c>
      <c r="K1602" s="459">
        <f t="shared" si="1173"/>
        <v>0</v>
      </c>
      <c r="L1602" s="317">
        <f t="shared" si="1129"/>
        <v>2000000</v>
      </c>
      <c r="M1602" s="317"/>
      <c r="N1602" s="372">
        <f t="shared" si="1132"/>
        <v>0</v>
      </c>
      <c r="O1602" s="459">
        <f t="shared" si="1173"/>
        <v>2200000</v>
      </c>
      <c r="P1602" s="459">
        <f t="shared" si="1173"/>
        <v>2420000</v>
      </c>
      <c r="R1602" s="317"/>
      <c r="U1602" s="320"/>
    </row>
    <row r="1603" spans="1:21" s="702" customFormat="1" outlineLevel="1">
      <c r="A1603" s="339"/>
      <c r="B1603" s="339"/>
      <c r="C1603" s="708">
        <v>3111401</v>
      </c>
      <c r="D1603" s="709" t="s">
        <v>1457</v>
      </c>
      <c r="E1603" s="755">
        <v>2000000</v>
      </c>
      <c r="F1603" s="334"/>
      <c r="G1603" s="334"/>
      <c r="H1603" s="334"/>
      <c r="I1603" s="324">
        <f t="shared" si="1133"/>
        <v>2000000</v>
      </c>
      <c r="J1603" s="334"/>
      <c r="K1603" s="334"/>
      <c r="L1603" s="317">
        <f t="shared" si="1129"/>
        <v>2000000</v>
      </c>
      <c r="M1603" s="317"/>
      <c r="N1603" s="372">
        <f t="shared" si="1132"/>
        <v>0</v>
      </c>
      <c r="O1603" s="710">
        <f>L1603*1.1</f>
        <v>2200000</v>
      </c>
      <c r="P1603" s="710">
        <f>O1603*1.1</f>
        <v>2420000</v>
      </c>
      <c r="R1603" s="317"/>
      <c r="U1603" s="320"/>
    </row>
    <row r="1604" spans="1:21" s="702" customFormat="1" outlineLevel="1">
      <c r="A1604" s="339"/>
      <c r="B1604" s="339"/>
      <c r="C1604" s="720" t="s">
        <v>99</v>
      </c>
      <c r="D1604" s="709"/>
      <c r="E1604" s="756">
        <f>E1596+E1600+E1602</f>
        <v>20996341.68</v>
      </c>
      <c r="F1604" s="756">
        <f t="shared" ref="F1604:K1604" si="1174">F1596+F1600+F1602</f>
        <v>0</v>
      </c>
      <c r="G1604" s="756">
        <f t="shared" si="1174"/>
        <v>0</v>
      </c>
      <c r="H1604" s="756">
        <f t="shared" si="1174"/>
        <v>0</v>
      </c>
      <c r="I1604" s="756">
        <f t="shared" si="1174"/>
        <v>20996341.68</v>
      </c>
      <c r="J1604" s="756">
        <f t="shared" si="1174"/>
        <v>0</v>
      </c>
      <c r="K1604" s="756">
        <f t="shared" si="1174"/>
        <v>0</v>
      </c>
      <c r="L1604" s="317">
        <f t="shared" ref="L1604:L1667" si="1175">I1604+J1604+K1604</f>
        <v>20996341.68</v>
      </c>
      <c r="M1604" s="2213"/>
      <c r="N1604" s="372">
        <f t="shared" si="1132"/>
        <v>0</v>
      </c>
      <c r="O1604" s="756">
        <f t="shared" ref="O1604:P1604" si="1176">O1596+O1600+O1602</f>
        <v>23095975.848000001</v>
      </c>
      <c r="P1604" s="756">
        <f t="shared" si="1176"/>
        <v>25405573.432799999</v>
      </c>
      <c r="R1604" s="317"/>
      <c r="U1604" s="320"/>
    </row>
    <row r="1605" spans="1:21" s="702" customFormat="1" outlineLevel="1">
      <c r="A1605" s="339"/>
      <c r="B1605" s="339"/>
      <c r="C1605" s="635"/>
      <c r="D1605" s="635"/>
      <c r="E1605" s="348"/>
      <c r="F1605" s="386"/>
      <c r="G1605" s="386"/>
      <c r="H1605" s="386"/>
      <c r="I1605" s="324">
        <f t="shared" si="1133"/>
        <v>0</v>
      </c>
      <c r="J1605" s="386"/>
      <c r="K1605" s="386"/>
      <c r="L1605" s="317">
        <f t="shared" si="1175"/>
        <v>0</v>
      </c>
      <c r="M1605" s="317"/>
      <c r="N1605" s="372">
        <f t="shared" si="1132"/>
        <v>0</v>
      </c>
      <c r="O1605" s="319"/>
      <c r="P1605" s="319"/>
      <c r="R1605" s="317"/>
      <c r="U1605" s="320"/>
    </row>
    <row r="1606" spans="1:21" s="702" customFormat="1" outlineLevel="2">
      <c r="A1606" s="339" t="s">
        <v>168</v>
      </c>
      <c r="B1606" s="339" t="s">
        <v>146</v>
      </c>
      <c r="C1606" s="707" t="s">
        <v>92</v>
      </c>
      <c r="D1606" s="635" t="s">
        <v>350</v>
      </c>
      <c r="E1606" s="621">
        <f>E1607</f>
        <v>2000000</v>
      </c>
      <c r="F1606" s="621">
        <f t="shared" ref="F1606:K1606" si="1177">F1607</f>
        <v>0</v>
      </c>
      <c r="G1606" s="621">
        <f t="shared" si="1177"/>
        <v>0</v>
      </c>
      <c r="H1606" s="621">
        <f t="shared" si="1177"/>
        <v>0</v>
      </c>
      <c r="I1606" s="621">
        <f t="shared" si="1177"/>
        <v>2000000</v>
      </c>
      <c r="J1606" s="621">
        <f t="shared" si="1177"/>
        <v>0</v>
      </c>
      <c r="K1606" s="621">
        <f t="shared" si="1177"/>
        <v>-2000</v>
      </c>
      <c r="L1606" s="317">
        <f t="shared" si="1175"/>
        <v>1998000</v>
      </c>
      <c r="M1606" s="317"/>
      <c r="N1606" s="372">
        <f t="shared" si="1132"/>
        <v>2000</v>
      </c>
      <c r="O1606" s="621">
        <f t="shared" ref="O1606:P1606" si="1178">O1607</f>
        <v>2197800</v>
      </c>
      <c r="P1606" s="621">
        <f t="shared" si="1178"/>
        <v>2417580</v>
      </c>
      <c r="R1606" s="317"/>
      <c r="U1606" s="320"/>
    </row>
    <row r="1607" spans="1:21" s="702" customFormat="1" outlineLevel="2">
      <c r="A1607" s="339"/>
      <c r="B1607" s="339"/>
      <c r="C1607" s="708">
        <v>3111499</v>
      </c>
      <c r="D1607" s="709" t="s">
        <v>351</v>
      </c>
      <c r="E1607" s="348">
        <v>2000000</v>
      </c>
      <c r="F1607" s="334"/>
      <c r="G1607" s="334"/>
      <c r="H1607" s="334"/>
      <c r="I1607" s="324">
        <f t="shared" si="1133"/>
        <v>2000000</v>
      </c>
      <c r="J1607" s="334"/>
      <c r="K1607" s="334">
        <v>-2000</v>
      </c>
      <c r="L1607" s="317">
        <f t="shared" si="1175"/>
        <v>1998000</v>
      </c>
      <c r="M1607" s="317"/>
      <c r="N1607" s="372">
        <f t="shared" si="1132"/>
        <v>2000</v>
      </c>
      <c r="O1607" s="710">
        <f>L1607*1.1</f>
        <v>2197800</v>
      </c>
      <c r="P1607" s="710">
        <f t="shared" si="1167"/>
        <v>2417580</v>
      </c>
      <c r="R1607" s="317"/>
      <c r="U1607" s="320"/>
    </row>
    <row r="1608" spans="1:21" s="702" customFormat="1" outlineLevel="1">
      <c r="A1608" s="703"/>
      <c r="B1608" s="703"/>
      <c r="C1608" s="720" t="s">
        <v>352</v>
      </c>
      <c r="D1608" s="712"/>
      <c r="E1608" s="575">
        <f>E1606</f>
        <v>2000000</v>
      </c>
      <c r="F1608" s="575">
        <f t="shared" ref="F1608:K1608" si="1179">F1606</f>
        <v>0</v>
      </c>
      <c r="G1608" s="575">
        <f t="shared" si="1179"/>
        <v>0</v>
      </c>
      <c r="H1608" s="575">
        <f t="shared" si="1179"/>
        <v>0</v>
      </c>
      <c r="I1608" s="575">
        <f t="shared" si="1179"/>
        <v>2000000</v>
      </c>
      <c r="J1608" s="575">
        <f t="shared" si="1179"/>
        <v>0</v>
      </c>
      <c r="K1608" s="575">
        <f t="shared" si="1179"/>
        <v>-2000</v>
      </c>
      <c r="L1608" s="317">
        <f t="shared" si="1175"/>
        <v>1998000</v>
      </c>
      <c r="M1608" s="317"/>
      <c r="N1608" s="372">
        <f t="shared" ref="N1608:N1671" si="1180">M1608-K1608</f>
        <v>2000</v>
      </c>
      <c r="O1608" s="575">
        <f t="shared" ref="O1608:P1608" si="1181">O1606</f>
        <v>2197800</v>
      </c>
      <c r="P1608" s="575">
        <f t="shared" si="1181"/>
        <v>2417580</v>
      </c>
      <c r="R1608" s="317"/>
      <c r="U1608" s="320"/>
    </row>
    <row r="1609" spans="1:21" s="702" customFormat="1" outlineLevel="1">
      <c r="A1609" s="703"/>
      <c r="B1609" s="703"/>
      <c r="C1609" s="720"/>
      <c r="D1609" s="467" t="s">
        <v>353</v>
      </c>
      <c r="E1609" s="575">
        <f>E1591</f>
        <v>62408455.400000006</v>
      </c>
      <c r="F1609" s="575">
        <f t="shared" ref="F1609:K1609" si="1182">F1591</f>
        <v>31708190.144618999</v>
      </c>
      <c r="G1609" s="575">
        <f t="shared" si="1182"/>
        <v>-9749861</v>
      </c>
      <c r="H1609" s="575">
        <f t="shared" si="1182"/>
        <v>0</v>
      </c>
      <c r="I1609" s="575">
        <f t="shared" si="1182"/>
        <v>84366784.544619009</v>
      </c>
      <c r="J1609" s="575">
        <f t="shared" si="1182"/>
        <v>-4212083</v>
      </c>
      <c r="K1609" s="575">
        <f t="shared" si="1182"/>
        <v>2000</v>
      </c>
      <c r="L1609" s="317">
        <f t="shared" si="1175"/>
        <v>80156701.544619009</v>
      </c>
      <c r="M1609" s="317"/>
      <c r="N1609" s="372">
        <f t="shared" si="1180"/>
        <v>-2000</v>
      </c>
      <c r="O1609" s="575">
        <f t="shared" ref="O1609:P1609" si="1183">O1591</f>
        <v>88172371.699080914</v>
      </c>
      <c r="P1609" s="575">
        <f t="shared" si="1183"/>
        <v>96989608.868989006</v>
      </c>
      <c r="R1609" s="317"/>
      <c r="U1609" s="320" t="s">
        <v>1803</v>
      </c>
    </row>
    <row r="1610" spans="1:21" s="702" customFormat="1">
      <c r="A1610" s="757"/>
      <c r="B1610" s="757"/>
      <c r="C1610" s="720"/>
      <c r="D1610" s="712" t="s">
        <v>99</v>
      </c>
      <c r="E1610" s="575">
        <f>E1464+E1514+E1579+E1604</f>
        <v>956467773.00659645</v>
      </c>
      <c r="F1610" s="575">
        <f t="shared" ref="F1610:L1610" si="1184">F1464+F1514+F1579+F1604</f>
        <v>0</v>
      </c>
      <c r="G1610" s="575">
        <f t="shared" si="1184"/>
        <v>-15000000</v>
      </c>
      <c r="H1610" s="575">
        <f t="shared" si="1184"/>
        <v>0</v>
      </c>
      <c r="I1610" s="575">
        <f t="shared" si="1184"/>
        <v>941467773.00659645</v>
      </c>
      <c r="J1610" s="575">
        <f t="shared" si="1184"/>
        <v>0</v>
      </c>
      <c r="K1610" s="575">
        <f t="shared" si="1184"/>
        <v>0</v>
      </c>
      <c r="L1610" s="575">
        <f t="shared" si="1184"/>
        <v>941467773.00659645</v>
      </c>
      <c r="M1610" s="575"/>
      <c r="N1610" s="372">
        <f t="shared" si="1180"/>
        <v>0</v>
      </c>
      <c r="O1610" s="575">
        <f t="shared" ref="O1610:P1610" si="1185">O1464+O1514+O1579+O1604</f>
        <v>1046414550.3072561</v>
      </c>
      <c r="P1610" s="575">
        <f t="shared" si="1185"/>
        <v>1142056005.3379822</v>
      </c>
      <c r="R1610" s="575"/>
      <c r="U1610" s="657"/>
    </row>
    <row r="1611" spans="1:21" s="702" customFormat="1">
      <c r="A1611" s="757"/>
      <c r="B1611" s="757"/>
      <c r="C1611" s="720"/>
      <c r="D1611" s="712" t="s">
        <v>175</v>
      </c>
      <c r="E1611" s="575">
        <f>E1526+E1590+E1608</f>
        <v>86957492.979149222</v>
      </c>
      <c r="F1611" s="575">
        <f t="shared" ref="F1611:L1611" si="1186">F1526+F1590+F1608</f>
        <v>62535597.22966525</v>
      </c>
      <c r="G1611" s="575">
        <f t="shared" si="1186"/>
        <v>-14749861</v>
      </c>
      <c r="H1611" s="575">
        <f t="shared" si="1186"/>
        <v>0</v>
      </c>
      <c r="I1611" s="575">
        <f t="shared" si="1186"/>
        <v>134743229.20881444</v>
      </c>
      <c r="J1611" s="575">
        <f t="shared" si="1186"/>
        <v>-8424167</v>
      </c>
      <c r="K1611" s="575">
        <f t="shared" si="1186"/>
        <v>0</v>
      </c>
      <c r="L1611" s="575">
        <f t="shared" si="1186"/>
        <v>126319062.20881446</v>
      </c>
      <c r="M1611" s="575"/>
      <c r="N1611" s="372">
        <f t="shared" si="1180"/>
        <v>0</v>
      </c>
      <c r="O1611" s="575">
        <f t="shared" ref="O1611:P1611" si="1187">O1526+O1590+O1608</f>
        <v>138950968.42969593</v>
      </c>
      <c r="P1611" s="575">
        <f t="shared" si="1187"/>
        <v>152846065.2726655</v>
      </c>
      <c r="R1611" s="575"/>
      <c r="U1611" s="657"/>
    </row>
    <row r="1612" spans="1:21" s="702" customFormat="1">
      <c r="A1612" s="757"/>
      <c r="B1612" s="757"/>
      <c r="C1612" s="758" t="s">
        <v>1269</v>
      </c>
      <c r="D1612" s="759"/>
      <c r="E1612" s="575">
        <f>E1610+E1611</f>
        <v>1043425265.9857457</v>
      </c>
      <c r="F1612" s="575">
        <f t="shared" ref="F1612:L1612" si="1188">F1610+F1611</f>
        <v>62535597.22966525</v>
      </c>
      <c r="G1612" s="575">
        <f t="shared" si="1188"/>
        <v>-29749861</v>
      </c>
      <c r="H1612" s="575">
        <f t="shared" si="1188"/>
        <v>0</v>
      </c>
      <c r="I1612" s="575">
        <f t="shared" si="1188"/>
        <v>1076211002.2154109</v>
      </c>
      <c r="J1612" s="575">
        <f t="shared" si="1188"/>
        <v>-8424167</v>
      </c>
      <c r="K1612" s="575">
        <f t="shared" si="1188"/>
        <v>0</v>
      </c>
      <c r="L1612" s="575">
        <f t="shared" si="1188"/>
        <v>1067786835.2154109</v>
      </c>
      <c r="M1612" s="575"/>
      <c r="N1612" s="372">
        <f t="shared" si="1180"/>
        <v>0</v>
      </c>
      <c r="O1612" s="575">
        <f t="shared" ref="O1612:P1612" si="1189">O1610+O1611</f>
        <v>1185365518.7369521</v>
      </c>
      <c r="P1612" s="575">
        <f t="shared" si="1189"/>
        <v>1294902070.6106477</v>
      </c>
      <c r="R1612" s="575"/>
      <c r="U1612" s="657" t="s">
        <v>1803</v>
      </c>
    </row>
    <row r="1613" spans="1:21" s="702" customFormat="1">
      <c r="A1613" s="757"/>
      <c r="B1613" s="757"/>
      <c r="C1613" s="712"/>
      <c r="D1613" s="760"/>
      <c r="E1613" s="575"/>
      <c r="F1613" s="576"/>
      <c r="G1613" s="576"/>
      <c r="H1613" s="576"/>
      <c r="I1613" s="324">
        <f t="shared" ref="I1613:I1672" si="1190">E1613+F1613+G1613+H1613</f>
        <v>0</v>
      </c>
      <c r="J1613" s="576"/>
      <c r="K1613" s="576"/>
      <c r="L1613" s="317"/>
      <c r="M1613" s="317"/>
      <c r="N1613" s="372">
        <f t="shared" si="1180"/>
        <v>0</v>
      </c>
      <c r="O1613" s="319"/>
      <c r="P1613" s="319"/>
      <c r="R1613" s="317"/>
      <c r="U1613" s="320"/>
    </row>
    <row r="1614" spans="1:21" s="702" customFormat="1">
      <c r="A1614" s="761"/>
      <c r="B1614" s="761"/>
      <c r="C1614" s="762"/>
      <c r="D1614" s="763"/>
      <c r="E1614" s="580"/>
      <c r="F1614" s="581"/>
      <c r="G1614" s="581"/>
      <c r="H1614" s="581"/>
      <c r="I1614" s="324">
        <f t="shared" si="1190"/>
        <v>0</v>
      </c>
      <c r="J1614" s="581"/>
      <c r="K1614" s="581"/>
      <c r="L1614" s="317"/>
      <c r="M1614" s="317"/>
      <c r="N1614" s="372">
        <f t="shared" si="1180"/>
        <v>0</v>
      </c>
      <c r="O1614" s="319"/>
      <c r="P1614" s="319"/>
      <c r="R1614" s="317"/>
      <c r="U1614" s="320"/>
    </row>
    <row r="1615" spans="1:21">
      <c r="A1615" s="382"/>
      <c r="B1615" s="703"/>
      <c r="C1615" s="314" t="s">
        <v>1253</v>
      </c>
      <c r="D1615" s="447"/>
      <c r="E1615" s="514"/>
      <c r="F1615" s="438"/>
      <c r="G1615" s="438"/>
      <c r="H1615" s="438"/>
      <c r="I1615" s="324">
        <f t="shared" si="1190"/>
        <v>0</v>
      </c>
      <c r="J1615" s="438"/>
      <c r="K1615" s="438"/>
      <c r="L1615" s="317"/>
      <c r="M1615" s="2210"/>
      <c r="N1615" s="372">
        <f t="shared" si="1180"/>
        <v>0</v>
      </c>
      <c r="O1615" s="318"/>
      <c r="P1615" s="319"/>
      <c r="R1615" s="317"/>
      <c r="U1615" s="320" t="s">
        <v>1803</v>
      </c>
    </row>
    <row r="1616" spans="1:21" outlineLevel="1">
      <c r="A1616" s="764"/>
      <c r="B1616" s="359"/>
      <c r="C1616" s="765" t="s">
        <v>354</v>
      </c>
      <c r="D1616" s="766"/>
      <c r="E1616" s="767"/>
      <c r="F1616" s="768"/>
      <c r="G1616" s="768"/>
      <c r="H1616" s="768"/>
      <c r="I1616" s="324">
        <f t="shared" si="1190"/>
        <v>0</v>
      </c>
      <c r="J1616" s="768"/>
      <c r="K1616" s="768"/>
      <c r="L1616" s="317">
        <f t="shared" si="1175"/>
        <v>0</v>
      </c>
      <c r="M1616" s="317"/>
      <c r="N1616" s="372">
        <f t="shared" si="1180"/>
        <v>0</v>
      </c>
      <c r="O1616" s="319">
        <f>L1616*1.1</f>
        <v>0</v>
      </c>
      <c r="P1616" s="319">
        <f t="shared" ref="P1616:P1635" si="1191">O1616*1.1</f>
        <v>0</v>
      </c>
      <c r="R1616" s="317"/>
      <c r="U1616" s="320"/>
    </row>
    <row r="1617" spans="1:21" outlineLevel="1">
      <c r="A1617" s="332"/>
      <c r="B1617" s="339" t="s">
        <v>146</v>
      </c>
      <c r="C1617" s="362" t="s">
        <v>355</v>
      </c>
      <c r="D1617" s="769"/>
      <c r="E1617" s="389"/>
      <c r="F1617" s="622"/>
      <c r="G1617" s="622"/>
      <c r="H1617" s="622"/>
      <c r="I1617" s="324">
        <f t="shared" si="1190"/>
        <v>0</v>
      </c>
      <c r="J1617" s="622"/>
      <c r="K1617" s="622"/>
      <c r="L1617" s="317">
        <f t="shared" si="1175"/>
        <v>0</v>
      </c>
      <c r="M1617" s="317"/>
      <c r="N1617" s="372">
        <f t="shared" si="1180"/>
        <v>0</v>
      </c>
      <c r="O1617" s="319">
        <f>L1617*1.1</f>
        <v>0</v>
      </c>
      <c r="P1617" s="319">
        <f t="shared" si="1191"/>
        <v>0</v>
      </c>
      <c r="R1617" s="317"/>
      <c r="U1617" s="320"/>
    </row>
    <row r="1618" spans="1:21" outlineLevel="2">
      <c r="A1618" s="332"/>
      <c r="B1618" s="339"/>
      <c r="C1618" s="770">
        <v>2110100</v>
      </c>
      <c r="D1618" s="771" t="s">
        <v>13</v>
      </c>
      <c r="E1618" s="772">
        <f>E1619+E1620</f>
        <v>155338312</v>
      </c>
      <c r="F1618" s="772">
        <f t="shared" ref="F1618:K1618" si="1192">F1619+F1620</f>
        <v>0</v>
      </c>
      <c r="G1618" s="772">
        <f t="shared" si="1192"/>
        <v>0</v>
      </c>
      <c r="H1618" s="772">
        <f t="shared" si="1192"/>
        <v>0</v>
      </c>
      <c r="I1618" s="772">
        <f t="shared" si="1192"/>
        <v>155338312</v>
      </c>
      <c r="J1618" s="772">
        <f t="shared" si="1192"/>
        <v>0</v>
      </c>
      <c r="K1618" s="772">
        <f t="shared" si="1192"/>
        <v>0</v>
      </c>
      <c r="L1618" s="317">
        <f t="shared" si="1175"/>
        <v>155338312</v>
      </c>
      <c r="M1618" s="317"/>
      <c r="N1618" s="372">
        <f t="shared" si="1180"/>
        <v>0</v>
      </c>
      <c r="O1618" s="772">
        <f t="shared" ref="O1618:P1618" si="1193">O1619+O1620</f>
        <v>170872143.20000002</v>
      </c>
      <c r="P1618" s="772">
        <f t="shared" si="1193"/>
        <v>187959357.52000004</v>
      </c>
      <c r="R1618" s="317"/>
      <c r="U1618" s="320"/>
    </row>
    <row r="1619" spans="1:21" outlineLevel="2">
      <c r="A1619" s="332"/>
      <c r="B1619" s="339"/>
      <c r="C1619" s="773">
        <v>2110101</v>
      </c>
      <c r="D1619" s="774" t="s">
        <v>14</v>
      </c>
      <c r="E1619" s="775">
        <v>155338312</v>
      </c>
      <c r="F1619" s="776"/>
      <c r="G1619" s="776"/>
      <c r="H1619" s="776"/>
      <c r="I1619" s="324">
        <f t="shared" si="1190"/>
        <v>155338312</v>
      </c>
      <c r="J1619" s="777"/>
      <c r="K1619" s="777"/>
      <c r="L1619" s="317">
        <f t="shared" si="1175"/>
        <v>155338312</v>
      </c>
      <c r="M1619" s="317"/>
      <c r="N1619" s="372">
        <f t="shared" si="1180"/>
        <v>0</v>
      </c>
      <c r="O1619" s="319">
        <f>L1619*1.1</f>
        <v>170872143.20000002</v>
      </c>
      <c r="P1619" s="319">
        <f t="shared" si="1191"/>
        <v>187959357.52000004</v>
      </c>
      <c r="R1619" s="317"/>
      <c r="U1619" s="320"/>
    </row>
    <row r="1620" spans="1:21" outlineLevel="2">
      <c r="A1620" s="332"/>
      <c r="B1620" s="339"/>
      <c r="C1620" s="773">
        <v>2110120</v>
      </c>
      <c r="D1620" s="774" t="s">
        <v>356</v>
      </c>
      <c r="E1620" s="778">
        <v>0</v>
      </c>
      <c r="F1620" s="647"/>
      <c r="G1620" s="647"/>
      <c r="H1620" s="647"/>
      <c r="I1620" s="324">
        <f t="shared" si="1190"/>
        <v>0</v>
      </c>
      <c r="J1620" s="777"/>
      <c r="K1620" s="777"/>
      <c r="L1620" s="317">
        <f t="shared" si="1175"/>
        <v>0</v>
      </c>
      <c r="M1620" s="317"/>
      <c r="N1620" s="372">
        <f t="shared" si="1180"/>
        <v>0</v>
      </c>
      <c r="O1620" s="319">
        <f>L1620*1.1</f>
        <v>0</v>
      </c>
      <c r="P1620" s="319">
        <f t="shared" si="1191"/>
        <v>0</v>
      </c>
      <c r="R1620" s="317"/>
      <c r="U1620" s="320"/>
    </row>
    <row r="1621" spans="1:21" outlineLevel="2">
      <c r="A1621" s="332"/>
      <c r="B1621" s="339"/>
      <c r="C1621" s="770">
        <v>2110200</v>
      </c>
      <c r="D1621" s="771" t="s">
        <v>357</v>
      </c>
      <c r="E1621" s="772">
        <f>E1622</f>
        <v>1296000</v>
      </c>
      <c r="F1621" s="772">
        <f t="shared" ref="F1621:P1621" si="1194">F1622</f>
        <v>0</v>
      </c>
      <c r="G1621" s="772">
        <f t="shared" si="1194"/>
        <v>0</v>
      </c>
      <c r="H1621" s="772">
        <f t="shared" si="1194"/>
        <v>0</v>
      </c>
      <c r="I1621" s="772">
        <f t="shared" si="1194"/>
        <v>1296000</v>
      </c>
      <c r="J1621" s="772">
        <f t="shared" si="1194"/>
        <v>0</v>
      </c>
      <c r="K1621" s="772">
        <f t="shared" si="1194"/>
        <v>-400000</v>
      </c>
      <c r="L1621" s="317">
        <f t="shared" si="1175"/>
        <v>896000</v>
      </c>
      <c r="M1621" s="317"/>
      <c r="N1621" s="372">
        <f t="shared" si="1180"/>
        <v>400000</v>
      </c>
      <c r="O1621" s="772">
        <f t="shared" si="1194"/>
        <v>985600.00000000012</v>
      </c>
      <c r="P1621" s="772">
        <f t="shared" si="1194"/>
        <v>1084160.0000000002</v>
      </c>
      <c r="R1621" s="317"/>
      <c r="U1621" s="320"/>
    </row>
    <row r="1622" spans="1:21" outlineLevel="2">
      <c r="A1622" s="332"/>
      <c r="B1622" s="339"/>
      <c r="C1622" s="773">
        <v>2110202</v>
      </c>
      <c r="D1622" s="774" t="s">
        <v>358</v>
      </c>
      <c r="E1622" s="778">
        <f>1800000-504000</f>
        <v>1296000</v>
      </c>
      <c r="F1622" s="647"/>
      <c r="G1622" s="647"/>
      <c r="H1622" s="647"/>
      <c r="I1622" s="324">
        <f t="shared" si="1190"/>
        <v>1296000</v>
      </c>
      <c r="J1622" s="777"/>
      <c r="K1622" s="555">
        <v>-400000</v>
      </c>
      <c r="L1622" s="317">
        <f t="shared" si="1175"/>
        <v>896000</v>
      </c>
      <c r="M1622" s="317"/>
      <c r="N1622" s="372">
        <f t="shared" si="1180"/>
        <v>400000</v>
      </c>
      <c r="O1622" s="319">
        <f>L1622*1.1</f>
        <v>985600.00000000012</v>
      </c>
      <c r="P1622" s="319">
        <f t="shared" si="1191"/>
        <v>1084160.0000000002</v>
      </c>
      <c r="R1622" s="317"/>
      <c r="U1622" s="320"/>
    </row>
    <row r="1623" spans="1:21" outlineLevel="2">
      <c r="A1623" s="332"/>
      <c r="B1623" s="339"/>
      <c r="C1623" s="770">
        <v>2210100</v>
      </c>
      <c r="D1623" s="771" t="s">
        <v>16</v>
      </c>
      <c r="E1623" s="772">
        <f>E1624+E1625</f>
        <v>1800000</v>
      </c>
      <c r="F1623" s="772">
        <f t="shared" ref="F1623:K1623" si="1195">F1624+F1625</f>
        <v>0</v>
      </c>
      <c r="G1623" s="772">
        <f t="shared" si="1195"/>
        <v>0</v>
      </c>
      <c r="H1623" s="772">
        <f t="shared" si="1195"/>
        <v>0</v>
      </c>
      <c r="I1623" s="772">
        <f t="shared" si="1195"/>
        <v>1800000</v>
      </c>
      <c r="J1623" s="772">
        <f t="shared" si="1195"/>
        <v>0</v>
      </c>
      <c r="K1623" s="772">
        <f t="shared" si="1195"/>
        <v>-950000</v>
      </c>
      <c r="L1623" s="317">
        <f t="shared" si="1175"/>
        <v>850000</v>
      </c>
      <c r="M1623" s="317"/>
      <c r="N1623" s="372">
        <f t="shared" si="1180"/>
        <v>950000</v>
      </c>
      <c r="O1623" s="772">
        <f t="shared" ref="O1623:P1623" si="1196">O1624+O1625</f>
        <v>935000</v>
      </c>
      <c r="P1623" s="772">
        <f t="shared" si="1196"/>
        <v>1028500</v>
      </c>
      <c r="R1623" s="317"/>
      <c r="U1623" s="320"/>
    </row>
    <row r="1624" spans="1:21" outlineLevel="2">
      <c r="A1624" s="332"/>
      <c r="B1624" s="339"/>
      <c r="C1624" s="773">
        <v>2210101</v>
      </c>
      <c r="D1624" s="774" t="s">
        <v>17</v>
      </c>
      <c r="E1624" s="778">
        <f>696000+504000</f>
        <v>1200000</v>
      </c>
      <c r="F1624" s="647"/>
      <c r="G1624" s="647"/>
      <c r="H1624" s="647"/>
      <c r="I1624" s="324">
        <f t="shared" si="1190"/>
        <v>1200000</v>
      </c>
      <c r="J1624" s="777"/>
      <c r="K1624" s="555">
        <v>-650000</v>
      </c>
      <c r="L1624" s="317">
        <f t="shared" si="1175"/>
        <v>550000</v>
      </c>
      <c r="M1624" s="317"/>
      <c r="N1624" s="372">
        <f t="shared" si="1180"/>
        <v>650000</v>
      </c>
      <c r="O1624" s="319">
        <f>L1624*1.1</f>
        <v>605000</v>
      </c>
      <c r="P1624" s="319">
        <f t="shared" si="1191"/>
        <v>665500</v>
      </c>
      <c r="R1624" s="317"/>
      <c r="U1624" s="320"/>
    </row>
    <row r="1625" spans="1:21" outlineLevel="2">
      <c r="A1625" s="332"/>
      <c r="B1625" s="339"/>
      <c r="C1625" s="773">
        <v>2210102</v>
      </c>
      <c r="D1625" s="774" t="s">
        <v>18</v>
      </c>
      <c r="E1625" s="778">
        <f>290000+310000</f>
        <v>600000</v>
      </c>
      <c r="F1625" s="647"/>
      <c r="G1625" s="647"/>
      <c r="H1625" s="647"/>
      <c r="I1625" s="324">
        <f t="shared" si="1190"/>
        <v>600000</v>
      </c>
      <c r="J1625" s="777"/>
      <c r="K1625" s="555">
        <v>-300000</v>
      </c>
      <c r="L1625" s="317">
        <f t="shared" si="1175"/>
        <v>300000</v>
      </c>
      <c r="M1625" s="317"/>
      <c r="N1625" s="372">
        <f t="shared" si="1180"/>
        <v>300000</v>
      </c>
      <c r="O1625" s="319">
        <f>L1625*1.1</f>
        <v>330000</v>
      </c>
      <c r="P1625" s="319">
        <f t="shared" si="1191"/>
        <v>363000.00000000006</v>
      </c>
      <c r="R1625" s="317"/>
      <c r="U1625" s="320"/>
    </row>
    <row r="1626" spans="1:21" outlineLevel="2">
      <c r="A1626" s="332"/>
      <c r="B1626" s="339"/>
      <c r="C1626" s="770">
        <v>2210200</v>
      </c>
      <c r="D1626" s="771" t="s">
        <v>20</v>
      </c>
      <c r="E1626" s="772">
        <f>E1627+E1628+E1629</f>
        <v>346000</v>
      </c>
      <c r="F1626" s="772">
        <f t="shared" ref="F1626:P1626" si="1197">F1627+F1628+F1629</f>
        <v>0</v>
      </c>
      <c r="G1626" s="772">
        <f t="shared" si="1197"/>
        <v>0</v>
      </c>
      <c r="H1626" s="772">
        <f t="shared" si="1197"/>
        <v>0</v>
      </c>
      <c r="I1626" s="772">
        <f t="shared" si="1197"/>
        <v>346000</v>
      </c>
      <c r="J1626" s="772">
        <f t="shared" si="1197"/>
        <v>0</v>
      </c>
      <c r="K1626" s="772">
        <f t="shared" si="1197"/>
        <v>0</v>
      </c>
      <c r="L1626" s="317">
        <f t="shared" si="1175"/>
        <v>346000</v>
      </c>
      <c r="M1626" s="317"/>
      <c r="N1626" s="372">
        <f t="shared" si="1180"/>
        <v>0</v>
      </c>
      <c r="O1626" s="772">
        <f t="shared" si="1197"/>
        <v>380600</v>
      </c>
      <c r="P1626" s="772">
        <f t="shared" si="1197"/>
        <v>418660</v>
      </c>
      <c r="R1626" s="317"/>
      <c r="U1626" s="320"/>
    </row>
    <row r="1627" spans="1:21" outlineLevel="2">
      <c r="A1627" s="332"/>
      <c r="B1627" s="339"/>
      <c r="C1627" s="773">
        <v>2210201</v>
      </c>
      <c r="D1627" s="774" t="s">
        <v>187</v>
      </c>
      <c r="E1627" s="778">
        <v>246000</v>
      </c>
      <c r="F1627" s="647"/>
      <c r="G1627" s="647"/>
      <c r="H1627" s="647"/>
      <c r="I1627" s="324">
        <f t="shared" si="1190"/>
        <v>246000</v>
      </c>
      <c r="J1627" s="777"/>
      <c r="K1627" s="555"/>
      <c r="L1627" s="317">
        <f t="shared" si="1175"/>
        <v>246000</v>
      </c>
      <c r="M1627" s="317"/>
      <c r="N1627" s="372">
        <f t="shared" si="1180"/>
        <v>0</v>
      </c>
      <c r="O1627" s="319">
        <f>L1627*1.1</f>
        <v>270600</v>
      </c>
      <c r="P1627" s="319">
        <f t="shared" si="1191"/>
        <v>297660</v>
      </c>
      <c r="R1627" s="317"/>
      <c r="U1627" s="320"/>
    </row>
    <row r="1628" spans="1:21" outlineLevel="2">
      <c r="A1628" s="332"/>
      <c r="B1628" s="339"/>
      <c r="C1628" s="773">
        <v>2210202</v>
      </c>
      <c r="D1628" s="774" t="s">
        <v>359</v>
      </c>
      <c r="E1628" s="778">
        <v>70000</v>
      </c>
      <c r="F1628" s="647"/>
      <c r="G1628" s="647"/>
      <c r="H1628" s="647"/>
      <c r="I1628" s="324">
        <f t="shared" si="1190"/>
        <v>70000</v>
      </c>
      <c r="J1628" s="777"/>
      <c r="K1628" s="555"/>
      <c r="L1628" s="317">
        <f t="shared" si="1175"/>
        <v>70000</v>
      </c>
      <c r="M1628" s="317"/>
      <c r="N1628" s="372">
        <f t="shared" si="1180"/>
        <v>0</v>
      </c>
      <c r="O1628" s="319">
        <f>L1628*1.1</f>
        <v>77000</v>
      </c>
      <c r="P1628" s="319">
        <f t="shared" si="1191"/>
        <v>84700</v>
      </c>
      <c r="R1628" s="317"/>
      <c r="U1628" s="320"/>
    </row>
    <row r="1629" spans="1:21" outlineLevel="2">
      <c r="A1629" s="332"/>
      <c r="B1629" s="339"/>
      <c r="C1629" s="773">
        <v>2210203</v>
      </c>
      <c r="D1629" s="774" t="s">
        <v>23</v>
      </c>
      <c r="E1629" s="778">
        <v>30000</v>
      </c>
      <c r="F1629" s="647"/>
      <c r="G1629" s="647"/>
      <c r="H1629" s="647"/>
      <c r="I1629" s="324">
        <f t="shared" si="1190"/>
        <v>30000</v>
      </c>
      <c r="J1629" s="777"/>
      <c r="K1629" s="555"/>
      <c r="L1629" s="317">
        <f t="shared" si="1175"/>
        <v>30000</v>
      </c>
      <c r="M1629" s="317"/>
      <c r="N1629" s="372">
        <f t="shared" si="1180"/>
        <v>0</v>
      </c>
      <c r="O1629" s="319">
        <f>L1629*1.1</f>
        <v>33000</v>
      </c>
      <c r="P1629" s="319">
        <f t="shared" si="1191"/>
        <v>36300</v>
      </c>
      <c r="R1629" s="317"/>
      <c r="U1629" s="320"/>
    </row>
    <row r="1630" spans="1:21" outlineLevel="2">
      <c r="A1630" s="332"/>
      <c r="B1630" s="339"/>
      <c r="C1630" s="770">
        <v>2210300</v>
      </c>
      <c r="D1630" s="771" t="s">
        <v>24</v>
      </c>
      <c r="E1630" s="772">
        <f>E1631+E1632+E1633</f>
        <v>1200000</v>
      </c>
      <c r="F1630" s="772">
        <f t="shared" ref="F1630:K1630" si="1198">F1631+F1632+F1633</f>
        <v>0</v>
      </c>
      <c r="G1630" s="772">
        <f t="shared" si="1198"/>
        <v>0</v>
      </c>
      <c r="H1630" s="772">
        <f t="shared" si="1198"/>
        <v>0</v>
      </c>
      <c r="I1630" s="772">
        <f t="shared" si="1198"/>
        <v>1200000</v>
      </c>
      <c r="J1630" s="772">
        <f t="shared" si="1198"/>
        <v>0</v>
      </c>
      <c r="K1630" s="772">
        <f t="shared" si="1198"/>
        <v>400000</v>
      </c>
      <c r="L1630" s="317">
        <f t="shared" si="1175"/>
        <v>1600000</v>
      </c>
      <c r="M1630" s="317"/>
      <c r="N1630" s="372">
        <f t="shared" si="1180"/>
        <v>-400000</v>
      </c>
      <c r="O1630" s="772">
        <f t="shared" ref="O1630:P1630" si="1199">O1631+O1632+O1633</f>
        <v>1760000.0000000002</v>
      </c>
      <c r="P1630" s="772">
        <f t="shared" si="1199"/>
        <v>1936000.0000000005</v>
      </c>
      <c r="R1630" s="317"/>
      <c r="U1630" s="320"/>
    </row>
    <row r="1631" spans="1:21" outlineLevel="2">
      <c r="A1631" s="332"/>
      <c r="B1631" s="339"/>
      <c r="C1631" s="773">
        <v>2210301</v>
      </c>
      <c r="D1631" s="774" t="s">
        <v>188</v>
      </c>
      <c r="E1631" s="778">
        <v>400000</v>
      </c>
      <c r="F1631" s="647"/>
      <c r="G1631" s="647"/>
      <c r="H1631" s="647"/>
      <c r="I1631" s="324">
        <f t="shared" si="1190"/>
        <v>400000</v>
      </c>
      <c r="J1631" s="777"/>
      <c r="K1631" s="555">
        <v>400000</v>
      </c>
      <c r="L1631" s="317">
        <f t="shared" si="1175"/>
        <v>800000</v>
      </c>
      <c r="M1631" s="317"/>
      <c r="N1631" s="372">
        <f t="shared" si="1180"/>
        <v>-400000</v>
      </c>
      <c r="O1631" s="319">
        <f>L1631*1.1</f>
        <v>880000.00000000012</v>
      </c>
      <c r="P1631" s="319">
        <f t="shared" si="1191"/>
        <v>968000.00000000023</v>
      </c>
      <c r="R1631" s="317"/>
      <c r="U1631" s="320"/>
    </row>
    <row r="1632" spans="1:21" outlineLevel="2">
      <c r="A1632" s="332"/>
      <c r="B1632" s="339"/>
      <c r="C1632" s="773">
        <v>2210302</v>
      </c>
      <c r="D1632" s="774" t="s">
        <v>26</v>
      </c>
      <c r="E1632" s="778">
        <v>400000</v>
      </c>
      <c r="F1632" s="647"/>
      <c r="G1632" s="647"/>
      <c r="H1632" s="647"/>
      <c r="I1632" s="324">
        <f t="shared" si="1190"/>
        <v>400000</v>
      </c>
      <c r="J1632" s="777"/>
      <c r="K1632" s="555"/>
      <c r="L1632" s="317">
        <f t="shared" si="1175"/>
        <v>400000</v>
      </c>
      <c r="M1632" s="317"/>
      <c r="N1632" s="372">
        <f t="shared" si="1180"/>
        <v>0</v>
      </c>
      <c r="O1632" s="319">
        <f>L1632*1.1</f>
        <v>440000.00000000006</v>
      </c>
      <c r="P1632" s="319">
        <f t="shared" si="1191"/>
        <v>484000.00000000012</v>
      </c>
      <c r="R1632" s="317"/>
      <c r="U1632" s="320"/>
    </row>
    <row r="1633" spans="1:21" outlineLevel="2">
      <c r="A1633" s="332"/>
      <c r="B1633" s="339"/>
      <c r="C1633" s="773">
        <v>2210303</v>
      </c>
      <c r="D1633" s="774" t="s">
        <v>223</v>
      </c>
      <c r="E1633" s="778">
        <v>400000</v>
      </c>
      <c r="F1633" s="647"/>
      <c r="G1633" s="647"/>
      <c r="H1633" s="647"/>
      <c r="I1633" s="324">
        <f t="shared" si="1190"/>
        <v>400000</v>
      </c>
      <c r="J1633" s="777"/>
      <c r="K1633" s="555"/>
      <c r="L1633" s="317">
        <f t="shared" si="1175"/>
        <v>400000</v>
      </c>
      <c r="M1633" s="317"/>
      <c r="N1633" s="372">
        <f t="shared" si="1180"/>
        <v>0</v>
      </c>
      <c r="O1633" s="319">
        <f>L1633*1.1</f>
        <v>440000.00000000006</v>
      </c>
      <c r="P1633" s="319">
        <f t="shared" si="1191"/>
        <v>484000.00000000012</v>
      </c>
      <c r="R1633" s="317"/>
      <c r="U1633" s="320"/>
    </row>
    <row r="1634" spans="1:21" outlineLevel="2">
      <c r="A1634" s="332"/>
      <c r="B1634" s="339"/>
      <c r="C1634" s="770">
        <v>2210400</v>
      </c>
      <c r="D1634" s="771" t="s">
        <v>189</v>
      </c>
      <c r="E1634" s="772">
        <f>E1635+E1636+E1637</f>
        <v>725000</v>
      </c>
      <c r="F1634" s="772">
        <f t="shared" ref="F1634:P1634" si="1200">F1635+F1636+F1637</f>
        <v>0</v>
      </c>
      <c r="G1634" s="772">
        <f t="shared" si="1200"/>
        <v>0</v>
      </c>
      <c r="H1634" s="772">
        <f t="shared" si="1200"/>
        <v>0</v>
      </c>
      <c r="I1634" s="772">
        <f t="shared" si="1200"/>
        <v>725000</v>
      </c>
      <c r="J1634" s="772">
        <f t="shared" si="1200"/>
        <v>0</v>
      </c>
      <c r="K1634" s="772">
        <f t="shared" si="1200"/>
        <v>-625000</v>
      </c>
      <c r="L1634" s="317">
        <f t="shared" si="1175"/>
        <v>100000</v>
      </c>
      <c r="M1634" s="317"/>
      <c r="N1634" s="372">
        <f t="shared" si="1180"/>
        <v>625000</v>
      </c>
      <c r="O1634" s="772">
        <f t="shared" si="1200"/>
        <v>110000.00000000001</v>
      </c>
      <c r="P1634" s="772">
        <f t="shared" si="1200"/>
        <v>121000.00000000003</v>
      </c>
      <c r="R1634" s="317"/>
      <c r="U1634" s="320"/>
    </row>
    <row r="1635" spans="1:21" outlineLevel="2">
      <c r="A1635" s="332"/>
      <c r="B1635" s="339"/>
      <c r="C1635" s="773">
        <v>2210401</v>
      </c>
      <c r="D1635" s="774" t="s">
        <v>190</v>
      </c>
      <c r="E1635" s="778">
        <v>290000</v>
      </c>
      <c r="F1635" s="647"/>
      <c r="G1635" s="647"/>
      <c r="H1635" s="647"/>
      <c r="I1635" s="324">
        <f t="shared" si="1190"/>
        <v>290000</v>
      </c>
      <c r="J1635" s="777"/>
      <c r="K1635" s="555">
        <v>-190000</v>
      </c>
      <c r="L1635" s="317">
        <f t="shared" si="1175"/>
        <v>100000</v>
      </c>
      <c r="M1635" s="317"/>
      <c r="N1635" s="372">
        <f t="shared" si="1180"/>
        <v>190000</v>
      </c>
      <c r="O1635" s="319">
        <f>L1635*1.1</f>
        <v>110000.00000000001</v>
      </c>
      <c r="P1635" s="319">
        <f t="shared" si="1191"/>
        <v>121000.00000000003</v>
      </c>
      <c r="R1635" s="317"/>
      <c r="U1635" s="320"/>
    </row>
    <row r="1636" spans="1:21" outlineLevel="2">
      <c r="A1636" s="332"/>
      <c r="B1636" s="339"/>
      <c r="C1636" s="773">
        <v>2210402</v>
      </c>
      <c r="D1636" s="774" t="s">
        <v>30</v>
      </c>
      <c r="E1636" s="778">
        <v>290000</v>
      </c>
      <c r="F1636" s="647"/>
      <c r="G1636" s="647"/>
      <c r="H1636" s="647"/>
      <c r="I1636" s="324">
        <f t="shared" si="1190"/>
        <v>290000</v>
      </c>
      <c r="J1636" s="777"/>
      <c r="K1636" s="555">
        <v>-290000</v>
      </c>
      <c r="L1636" s="317">
        <f t="shared" si="1175"/>
        <v>0</v>
      </c>
      <c r="M1636" s="317"/>
      <c r="N1636" s="372">
        <f t="shared" si="1180"/>
        <v>290000</v>
      </c>
      <c r="O1636" s="319">
        <f>L1636*1.1</f>
        <v>0</v>
      </c>
      <c r="P1636" s="319">
        <f t="shared" ref="P1636:P1652" si="1201">O1636*1.1</f>
        <v>0</v>
      </c>
      <c r="R1636" s="317"/>
      <c r="U1636" s="320"/>
    </row>
    <row r="1637" spans="1:21" outlineLevel="2">
      <c r="A1637" s="332"/>
      <c r="B1637" s="339"/>
      <c r="C1637" s="773">
        <v>2210404</v>
      </c>
      <c r="D1637" s="774" t="s">
        <v>360</v>
      </c>
      <c r="E1637" s="778">
        <v>145000</v>
      </c>
      <c r="F1637" s="647"/>
      <c r="G1637" s="647"/>
      <c r="H1637" s="647"/>
      <c r="I1637" s="324">
        <f t="shared" si="1190"/>
        <v>145000</v>
      </c>
      <c r="J1637" s="777"/>
      <c r="K1637" s="555">
        <v>-145000</v>
      </c>
      <c r="L1637" s="317">
        <f t="shared" si="1175"/>
        <v>0</v>
      </c>
      <c r="M1637" s="317"/>
      <c r="N1637" s="372">
        <f t="shared" si="1180"/>
        <v>145000</v>
      </c>
      <c r="O1637" s="319">
        <f>L1637*1.1</f>
        <v>0</v>
      </c>
      <c r="P1637" s="319">
        <f t="shared" si="1201"/>
        <v>0</v>
      </c>
      <c r="R1637" s="317"/>
      <c r="U1637" s="320"/>
    </row>
    <row r="1638" spans="1:21" outlineLevel="2">
      <c r="A1638" s="332"/>
      <c r="B1638" s="773"/>
      <c r="C1638" s="770">
        <v>2210500</v>
      </c>
      <c r="D1638" s="771" t="s">
        <v>31</v>
      </c>
      <c r="E1638" s="772">
        <f t="shared" ref="E1638:P1638" si="1202">SUM(E1639:E1641)</f>
        <v>890000</v>
      </c>
      <c r="F1638" s="772">
        <f t="shared" si="1202"/>
        <v>0</v>
      </c>
      <c r="G1638" s="772">
        <f t="shared" si="1202"/>
        <v>0</v>
      </c>
      <c r="H1638" s="772">
        <f t="shared" si="1202"/>
        <v>0</v>
      </c>
      <c r="I1638" s="772">
        <f t="shared" si="1202"/>
        <v>890000</v>
      </c>
      <c r="J1638" s="772">
        <f t="shared" si="1202"/>
        <v>0</v>
      </c>
      <c r="K1638" s="772">
        <f t="shared" si="1202"/>
        <v>0</v>
      </c>
      <c r="L1638" s="317">
        <f t="shared" si="1175"/>
        <v>890000</v>
      </c>
      <c r="M1638" s="317"/>
      <c r="N1638" s="372">
        <f t="shared" si="1180"/>
        <v>0</v>
      </c>
      <c r="O1638" s="772">
        <f t="shared" si="1202"/>
        <v>979000</v>
      </c>
      <c r="P1638" s="772">
        <f t="shared" si="1202"/>
        <v>1076900</v>
      </c>
      <c r="R1638" s="317"/>
      <c r="U1638" s="320"/>
    </row>
    <row r="1639" spans="1:21" outlineLevel="2">
      <c r="A1639" s="332"/>
      <c r="B1639" s="773"/>
      <c r="C1639" s="773">
        <v>2210502</v>
      </c>
      <c r="D1639" s="774" t="s">
        <v>105</v>
      </c>
      <c r="E1639" s="778">
        <v>290000</v>
      </c>
      <c r="F1639" s="647"/>
      <c r="G1639" s="647"/>
      <c r="H1639" s="647"/>
      <c r="I1639" s="324">
        <f t="shared" si="1190"/>
        <v>290000</v>
      </c>
      <c r="J1639" s="777"/>
      <c r="K1639" s="555"/>
      <c r="L1639" s="317">
        <f t="shared" si="1175"/>
        <v>290000</v>
      </c>
      <c r="M1639" s="317"/>
      <c r="N1639" s="372">
        <f t="shared" si="1180"/>
        <v>0</v>
      </c>
      <c r="O1639" s="319">
        <f>L1639*1.1</f>
        <v>319000</v>
      </c>
      <c r="P1639" s="319">
        <f t="shared" si="1201"/>
        <v>350900</v>
      </c>
      <c r="R1639" s="317"/>
      <c r="U1639" s="320"/>
    </row>
    <row r="1640" spans="1:21" outlineLevel="2">
      <c r="A1640" s="332"/>
      <c r="B1640" s="773"/>
      <c r="C1640" s="773">
        <v>2210503</v>
      </c>
      <c r="D1640" s="774" t="s">
        <v>32</v>
      </c>
      <c r="E1640" s="778">
        <v>65000</v>
      </c>
      <c r="F1640" s="647"/>
      <c r="G1640" s="647"/>
      <c r="H1640" s="647"/>
      <c r="I1640" s="324">
        <f t="shared" si="1190"/>
        <v>65000</v>
      </c>
      <c r="J1640" s="777"/>
      <c r="K1640" s="555"/>
      <c r="L1640" s="317">
        <f t="shared" si="1175"/>
        <v>65000</v>
      </c>
      <c r="M1640" s="317"/>
      <c r="N1640" s="372">
        <f t="shared" si="1180"/>
        <v>0</v>
      </c>
      <c r="O1640" s="319">
        <f>L1640*1.1</f>
        <v>71500</v>
      </c>
      <c r="P1640" s="319">
        <f t="shared" si="1201"/>
        <v>78650</v>
      </c>
      <c r="R1640" s="317"/>
      <c r="U1640" s="320"/>
    </row>
    <row r="1641" spans="1:21" outlineLevel="2">
      <c r="A1641" s="332"/>
      <c r="B1641" s="773"/>
      <c r="C1641" s="773">
        <v>2210504</v>
      </c>
      <c r="D1641" s="774" t="s">
        <v>33</v>
      </c>
      <c r="E1641" s="778">
        <f>835000-300000</f>
        <v>535000</v>
      </c>
      <c r="F1641" s="647"/>
      <c r="G1641" s="647"/>
      <c r="H1641" s="647"/>
      <c r="I1641" s="324">
        <f t="shared" si="1190"/>
        <v>535000</v>
      </c>
      <c r="J1641" s="777"/>
      <c r="K1641" s="555"/>
      <c r="L1641" s="317">
        <f t="shared" si="1175"/>
        <v>535000</v>
      </c>
      <c r="M1641" s="317"/>
      <c r="N1641" s="372">
        <f t="shared" si="1180"/>
        <v>0</v>
      </c>
      <c r="O1641" s="319">
        <f>L1641*1.1</f>
        <v>588500</v>
      </c>
      <c r="P1641" s="319">
        <f t="shared" si="1201"/>
        <v>647350</v>
      </c>
      <c r="R1641" s="317"/>
      <c r="U1641" s="320"/>
    </row>
    <row r="1642" spans="1:21" outlineLevel="2">
      <c r="A1642" s="332"/>
      <c r="B1642" s="339"/>
      <c r="C1642" s="770">
        <v>2210800</v>
      </c>
      <c r="D1642" s="771" t="s">
        <v>42</v>
      </c>
      <c r="E1642" s="772">
        <f>SUM(E1643:E1644)</f>
        <v>400000</v>
      </c>
      <c r="F1642" s="772">
        <f t="shared" ref="F1642:K1642" si="1203">SUM(F1643:F1644)</f>
        <v>0</v>
      </c>
      <c r="G1642" s="772">
        <f t="shared" si="1203"/>
        <v>0</v>
      </c>
      <c r="H1642" s="772">
        <f t="shared" si="1203"/>
        <v>0</v>
      </c>
      <c r="I1642" s="772">
        <f t="shared" si="1203"/>
        <v>400000</v>
      </c>
      <c r="J1642" s="772">
        <f t="shared" si="1203"/>
        <v>0</v>
      </c>
      <c r="K1642" s="772">
        <f t="shared" si="1203"/>
        <v>450000</v>
      </c>
      <c r="L1642" s="317">
        <f t="shared" si="1175"/>
        <v>850000</v>
      </c>
      <c r="M1642" s="317"/>
      <c r="N1642" s="372">
        <f t="shared" si="1180"/>
        <v>-450000</v>
      </c>
      <c r="O1642" s="772">
        <f t="shared" ref="O1642:P1642" si="1204">SUM(O1643:O1644)</f>
        <v>935000</v>
      </c>
      <c r="P1642" s="772">
        <f t="shared" si="1204"/>
        <v>1028500.0000000001</v>
      </c>
      <c r="R1642" s="317"/>
      <c r="U1642" s="320"/>
    </row>
    <row r="1643" spans="1:21" outlineLevel="2">
      <c r="A1643" s="332"/>
      <c r="B1643" s="339"/>
      <c r="C1643" s="773">
        <v>2210801</v>
      </c>
      <c r="D1643" s="774" t="s">
        <v>2421</v>
      </c>
      <c r="E1643" s="778">
        <v>360000</v>
      </c>
      <c r="F1643" s="647"/>
      <c r="G1643" s="647"/>
      <c r="H1643" s="647"/>
      <c r="I1643" s="324">
        <f t="shared" si="1190"/>
        <v>360000</v>
      </c>
      <c r="J1643" s="777"/>
      <c r="K1643" s="555"/>
      <c r="L1643" s="317">
        <f t="shared" si="1175"/>
        <v>360000</v>
      </c>
      <c r="M1643" s="317"/>
      <c r="N1643" s="372">
        <f t="shared" si="1180"/>
        <v>0</v>
      </c>
      <c r="O1643" s="319">
        <f>L1643*1.1</f>
        <v>396000.00000000006</v>
      </c>
      <c r="P1643" s="319">
        <f t="shared" si="1201"/>
        <v>435600.00000000012</v>
      </c>
      <c r="R1643" s="317"/>
      <c r="U1643" s="320"/>
    </row>
    <row r="1644" spans="1:21" outlineLevel="2">
      <c r="A1644" s="332"/>
      <c r="B1644" s="339"/>
      <c r="C1644" s="773">
        <v>2210802</v>
      </c>
      <c r="D1644" s="774" t="s">
        <v>97</v>
      </c>
      <c r="E1644" s="778">
        <v>40000</v>
      </c>
      <c r="F1644" s="647"/>
      <c r="G1644" s="647"/>
      <c r="H1644" s="647"/>
      <c r="I1644" s="324">
        <f t="shared" si="1190"/>
        <v>40000</v>
      </c>
      <c r="J1644" s="777"/>
      <c r="K1644" s="555">
        <v>450000</v>
      </c>
      <c r="L1644" s="317">
        <f t="shared" si="1175"/>
        <v>490000</v>
      </c>
      <c r="M1644" s="317"/>
      <c r="N1644" s="372">
        <f t="shared" si="1180"/>
        <v>-450000</v>
      </c>
      <c r="O1644" s="319">
        <f>L1644*1.1</f>
        <v>539000</v>
      </c>
      <c r="P1644" s="319">
        <f t="shared" si="1201"/>
        <v>592900</v>
      </c>
      <c r="R1644" s="317"/>
      <c r="U1644" s="320"/>
    </row>
    <row r="1645" spans="1:21" outlineLevel="2">
      <c r="A1645" s="332"/>
      <c r="B1645" s="339"/>
      <c r="C1645" s="770">
        <v>2211200</v>
      </c>
      <c r="D1645" s="771" t="s">
        <v>55</v>
      </c>
      <c r="E1645" s="772">
        <f>E1646</f>
        <v>0</v>
      </c>
      <c r="F1645" s="621"/>
      <c r="G1645" s="621"/>
      <c r="H1645" s="621"/>
      <c r="I1645" s="324">
        <f t="shared" si="1190"/>
        <v>0</v>
      </c>
      <c r="J1645" s="779"/>
      <c r="K1645" s="527"/>
      <c r="L1645" s="317">
        <f t="shared" si="1175"/>
        <v>0</v>
      </c>
      <c r="M1645" s="317"/>
      <c r="N1645" s="372">
        <f t="shared" si="1180"/>
        <v>0</v>
      </c>
      <c r="O1645" s="319">
        <f>L1645*1.1</f>
        <v>0</v>
      </c>
      <c r="P1645" s="319">
        <f t="shared" si="1201"/>
        <v>0</v>
      </c>
      <c r="R1645" s="317"/>
      <c r="U1645" s="320"/>
    </row>
    <row r="1646" spans="1:21" outlineLevel="2">
      <c r="A1646" s="332"/>
      <c r="B1646" s="339"/>
      <c r="C1646" s="773">
        <v>2211201</v>
      </c>
      <c r="D1646" s="774" t="s">
        <v>56</v>
      </c>
      <c r="E1646" s="778">
        <v>0</v>
      </c>
      <c r="F1646" s="647"/>
      <c r="G1646" s="647"/>
      <c r="H1646" s="647"/>
      <c r="I1646" s="324">
        <f t="shared" si="1190"/>
        <v>0</v>
      </c>
      <c r="J1646" s="777"/>
      <c r="K1646" s="555"/>
      <c r="L1646" s="317">
        <f t="shared" si="1175"/>
        <v>0</v>
      </c>
      <c r="M1646" s="317"/>
      <c r="N1646" s="372">
        <f t="shared" si="1180"/>
        <v>0</v>
      </c>
      <c r="O1646" s="319">
        <f>L1646*1.1</f>
        <v>0</v>
      </c>
      <c r="P1646" s="319">
        <f t="shared" si="1201"/>
        <v>0</v>
      </c>
      <c r="R1646" s="317"/>
      <c r="U1646" s="320"/>
    </row>
    <row r="1647" spans="1:21" outlineLevel="2">
      <c r="A1647" s="332"/>
      <c r="B1647" s="339"/>
      <c r="C1647" s="770">
        <v>2220100</v>
      </c>
      <c r="D1647" s="771" t="s">
        <v>62</v>
      </c>
      <c r="E1647" s="772">
        <f>E1648+E1649</f>
        <v>520000</v>
      </c>
      <c r="F1647" s="772">
        <f t="shared" ref="F1647:P1647" si="1205">F1648+F1649</f>
        <v>0</v>
      </c>
      <c r="G1647" s="772">
        <f t="shared" si="1205"/>
        <v>0</v>
      </c>
      <c r="H1647" s="772">
        <f t="shared" si="1205"/>
        <v>0</v>
      </c>
      <c r="I1647" s="772">
        <f t="shared" si="1205"/>
        <v>520000</v>
      </c>
      <c r="J1647" s="772">
        <f t="shared" si="1205"/>
        <v>0</v>
      </c>
      <c r="K1647" s="772">
        <f t="shared" si="1205"/>
        <v>-25000</v>
      </c>
      <c r="L1647" s="317">
        <f t="shared" si="1175"/>
        <v>495000</v>
      </c>
      <c r="M1647" s="317"/>
      <c r="N1647" s="372">
        <f t="shared" si="1180"/>
        <v>25000</v>
      </c>
      <c r="O1647" s="772">
        <f t="shared" si="1205"/>
        <v>544500</v>
      </c>
      <c r="P1647" s="772">
        <f t="shared" si="1205"/>
        <v>598950.00000000012</v>
      </c>
      <c r="R1647" s="317"/>
      <c r="U1647" s="320"/>
    </row>
    <row r="1648" spans="1:21" outlineLevel="2">
      <c r="A1648" s="332"/>
      <c r="B1648" s="339"/>
      <c r="C1648" s="773">
        <v>2220101</v>
      </c>
      <c r="D1648" s="774" t="s">
        <v>366</v>
      </c>
      <c r="E1648" s="778">
        <v>120000</v>
      </c>
      <c r="F1648" s="647"/>
      <c r="G1648" s="647"/>
      <c r="H1648" s="647"/>
      <c r="I1648" s="324">
        <f t="shared" si="1190"/>
        <v>120000</v>
      </c>
      <c r="J1648" s="777"/>
      <c r="K1648" s="555"/>
      <c r="L1648" s="317">
        <f t="shared" si="1175"/>
        <v>120000</v>
      </c>
      <c r="M1648" s="317"/>
      <c r="N1648" s="372">
        <f t="shared" si="1180"/>
        <v>0</v>
      </c>
      <c r="O1648" s="319">
        <f>L1648*1.1</f>
        <v>132000</v>
      </c>
      <c r="P1648" s="319">
        <f t="shared" si="1201"/>
        <v>145200</v>
      </c>
      <c r="R1648" s="317"/>
      <c r="U1648" s="320"/>
    </row>
    <row r="1649" spans="1:21" outlineLevel="2">
      <c r="A1649" s="332"/>
      <c r="B1649" s="339"/>
      <c r="C1649" s="773">
        <v>2220105</v>
      </c>
      <c r="D1649" s="774" t="s">
        <v>200</v>
      </c>
      <c r="E1649" s="778">
        <v>400000</v>
      </c>
      <c r="F1649" s="647"/>
      <c r="G1649" s="647"/>
      <c r="H1649" s="647"/>
      <c r="I1649" s="324">
        <f t="shared" si="1190"/>
        <v>400000</v>
      </c>
      <c r="J1649" s="777"/>
      <c r="K1649" s="555">
        <v>-25000</v>
      </c>
      <c r="L1649" s="317">
        <f t="shared" si="1175"/>
        <v>375000</v>
      </c>
      <c r="M1649" s="317"/>
      <c r="N1649" s="372">
        <f t="shared" si="1180"/>
        <v>25000</v>
      </c>
      <c r="O1649" s="319">
        <f>L1649*1.1</f>
        <v>412500.00000000006</v>
      </c>
      <c r="P1649" s="319">
        <f t="shared" si="1201"/>
        <v>453750.00000000012</v>
      </c>
      <c r="R1649" s="317"/>
      <c r="U1649" s="320"/>
    </row>
    <row r="1650" spans="1:21" outlineLevel="2">
      <c r="A1650" s="332"/>
      <c r="B1650" s="339"/>
      <c r="C1650" s="770">
        <v>3111000</v>
      </c>
      <c r="D1650" s="771" t="s">
        <v>69</v>
      </c>
      <c r="E1650" s="772">
        <f>E1651+E1652</f>
        <v>400000</v>
      </c>
      <c r="F1650" s="772">
        <f t="shared" ref="F1650:K1650" si="1206">F1651+F1652</f>
        <v>0</v>
      </c>
      <c r="G1650" s="772">
        <f t="shared" si="1206"/>
        <v>0</v>
      </c>
      <c r="H1650" s="772">
        <f t="shared" si="1206"/>
        <v>0</v>
      </c>
      <c r="I1650" s="772">
        <f t="shared" si="1206"/>
        <v>400000</v>
      </c>
      <c r="J1650" s="772">
        <f t="shared" si="1206"/>
        <v>0</v>
      </c>
      <c r="K1650" s="772">
        <f t="shared" si="1206"/>
        <v>-271</v>
      </c>
      <c r="L1650" s="317">
        <f t="shared" si="1175"/>
        <v>399729</v>
      </c>
      <c r="M1650" s="317"/>
      <c r="N1650" s="372">
        <f t="shared" si="1180"/>
        <v>271</v>
      </c>
      <c r="O1650" s="772">
        <f t="shared" ref="O1650:P1650" si="1207">O1651+O1652</f>
        <v>439701.9</v>
      </c>
      <c r="P1650" s="772">
        <f t="shared" si="1207"/>
        <v>483672.09000000008</v>
      </c>
      <c r="R1650" s="317"/>
      <c r="U1650" s="320"/>
    </row>
    <row r="1651" spans="1:21" outlineLevel="2">
      <c r="A1651" s="332"/>
      <c r="B1651" s="339"/>
      <c r="C1651" s="773">
        <v>3111001</v>
      </c>
      <c r="D1651" s="774" t="s">
        <v>368</v>
      </c>
      <c r="E1651" s="778">
        <f>600000-200000</f>
        <v>400000</v>
      </c>
      <c r="F1651" s="647"/>
      <c r="G1651" s="647"/>
      <c r="H1651" s="647"/>
      <c r="I1651" s="324">
        <f t="shared" si="1190"/>
        <v>400000</v>
      </c>
      <c r="J1651" s="777"/>
      <c r="K1651" s="555">
        <v>-271</v>
      </c>
      <c r="L1651" s="317">
        <f t="shared" si="1175"/>
        <v>399729</v>
      </c>
      <c r="M1651" s="317"/>
      <c r="N1651" s="372">
        <f t="shared" si="1180"/>
        <v>271</v>
      </c>
      <c r="O1651" s="319">
        <f>L1651*1.1</f>
        <v>439701.9</v>
      </c>
      <c r="P1651" s="319">
        <f t="shared" si="1201"/>
        <v>483672.09000000008</v>
      </c>
      <c r="R1651" s="317"/>
      <c r="U1651" s="320"/>
    </row>
    <row r="1652" spans="1:21" outlineLevel="2">
      <c r="A1652" s="332"/>
      <c r="B1652" s="339"/>
      <c r="C1652" s="773">
        <v>3111002</v>
      </c>
      <c r="D1652" s="774" t="s">
        <v>369</v>
      </c>
      <c r="E1652" s="778">
        <v>0</v>
      </c>
      <c r="F1652" s="647"/>
      <c r="G1652" s="647"/>
      <c r="H1652" s="647"/>
      <c r="I1652" s="324">
        <f t="shared" si="1190"/>
        <v>0</v>
      </c>
      <c r="J1652" s="777"/>
      <c r="K1652" s="777"/>
      <c r="L1652" s="317">
        <f t="shared" si="1175"/>
        <v>0</v>
      </c>
      <c r="M1652" s="317"/>
      <c r="N1652" s="372">
        <f t="shared" si="1180"/>
        <v>0</v>
      </c>
      <c r="O1652" s="319">
        <f>L1652*1.1</f>
        <v>0</v>
      </c>
      <c r="P1652" s="319">
        <f t="shared" si="1201"/>
        <v>0</v>
      </c>
      <c r="R1652" s="317"/>
      <c r="U1652" s="320"/>
    </row>
    <row r="1653" spans="1:21" outlineLevel="1">
      <c r="A1653" s="332"/>
      <c r="B1653" s="339"/>
      <c r="C1653" s="773"/>
      <c r="D1653" s="774"/>
      <c r="E1653" s="778"/>
      <c r="F1653" s="647"/>
      <c r="G1653" s="647"/>
      <c r="H1653" s="647"/>
      <c r="I1653" s="324">
        <f t="shared" si="1190"/>
        <v>0</v>
      </c>
      <c r="J1653" s="777"/>
      <c r="K1653" s="777"/>
      <c r="L1653" s="317">
        <f t="shared" si="1175"/>
        <v>0</v>
      </c>
      <c r="M1653" s="317"/>
      <c r="N1653" s="372">
        <f t="shared" si="1180"/>
        <v>0</v>
      </c>
      <c r="O1653" s="319">
        <f>L1653*1.1</f>
        <v>0</v>
      </c>
      <c r="P1653" s="319">
        <f t="shared" ref="P1653:P1657" si="1208">O1653*1.1</f>
        <v>0</v>
      </c>
      <c r="R1653" s="317"/>
      <c r="U1653" s="320"/>
    </row>
    <row r="1654" spans="1:21" outlineLevel="1">
      <c r="A1654" s="314"/>
      <c r="B1654" s="703"/>
      <c r="C1654" s="780" t="s">
        <v>370</v>
      </c>
      <c r="D1654" s="781"/>
      <c r="E1654" s="782">
        <f>E1618+E1621+E1623+E1626+E1630+E1634+E1638+E1642+E1645+E1647+E1650</f>
        <v>162915312</v>
      </c>
      <c r="F1654" s="782">
        <f t="shared" ref="F1654:K1654" si="1209">F1618+F1621+F1623+F1626+F1630+F1634+F1638+F1642+F1645+F1647+F1650</f>
        <v>0</v>
      </c>
      <c r="G1654" s="782">
        <f t="shared" si="1209"/>
        <v>0</v>
      </c>
      <c r="H1654" s="782">
        <f t="shared" si="1209"/>
        <v>0</v>
      </c>
      <c r="I1654" s="782">
        <f t="shared" si="1209"/>
        <v>162915312</v>
      </c>
      <c r="J1654" s="782">
        <f t="shared" si="1209"/>
        <v>0</v>
      </c>
      <c r="K1654" s="782">
        <f t="shared" si="1209"/>
        <v>-1150271</v>
      </c>
      <c r="L1654" s="317">
        <f t="shared" si="1175"/>
        <v>161765041</v>
      </c>
      <c r="M1654" s="317"/>
      <c r="N1654" s="372">
        <f t="shared" si="1180"/>
        <v>1150271</v>
      </c>
      <c r="O1654" s="782">
        <f t="shared" ref="O1654:P1654" si="1210">O1618+O1621+O1623+O1626+O1630+O1634+O1638+O1642+O1645+O1647+O1650</f>
        <v>177941545.10000002</v>
      </c>
      <c r="P1654" s="782">
        <f t="shared" si="1210"/>
        <v>195735699.61000004</v>
      </c>
      <c r="R1654" s="317"/>
      <c r="U1654" s="320"/>
    </row>
    <row r="1655" spans="1:21" outlineLevel="1">
      <c r="A1655" s="332"/>
      <c r="B1655" s="339"/>
      <c r="C1655" s="451"/>
      <c r="D1655" s="783"/>
      <c r="E1655" s="784"/>
      <c r="F1655" s="784"/>
      <c r="G1655" s="784"/>
      <c r="H1655" s="784"/>
      <c r="I1655" s="324">
        <f t="shared" si="1190"/>
        <v>0</v>
      </c>
      <c r="J1655" s="779"/>
      <c r="K1655" s="779"/>
      <c r="L1655" s="317">
        <f t="shared" si="1175"/>
        <v>0</v>
      </c>
      <c r="M1655" s="317"/>
      <c r="N1655" s="372">
        <f t="shared" si="1180"/>
        <v>0</v>
      </c>
      <c r="O1655" s="319">
        <f>L1655*1.1</f>
        <v>0</v>
      </c>
      <c r="P1655" s="319">
        <f t="shared" si="1208"/>
        <v>0</v>
      </c>
      <c r="R1655" s="317"/>
      <c r="U1655" s="320"/>
    </row>
    <row r="1656" spans="1:21" outlineLevel="1">
      <c r="A1656" s="382"/>
      <c r="B1656" s="703" t="s">
        <v>9</v>
      </c>
      <c r="C1656" s="655" t="s">
        <v>371</v>
      </c>
      <c r="D1656" s="785"/>
      <c r="E1656" s="786"/>
      <c r="F1656" s="666"/>
      <c r="G1656" s="666"/>
      <c r="H1656" s="666"/>
      <c r="I1656" s="324">
        <f t="shared" si="1190"/>
        <v>0</v>
      </c>
      <c r="J1656" s="779"/>
      <c r="K1656" s="779"/>
      <c r="L1656" s="317">
        <f t="shared" si="1175"/>
        <v>0</v>
      </c>
      <c r="M1656" s="317"/>
      <c r="N1656" s="372">
        <f t="shared" si="1180"/>
        <v>0</v>
      </c>
      <c r="O1656" s="319">
        <f>L1656*1.1</f>
        <v>0</v>
      </c>
      <c r="P1656" s="319">
        <f t="shared" si="1208"/>
        <v>0</v>
      </c>
      <c r="R1656" s="317"/>
      <c r="U1656" s="320"/>
    </row>
    <row r="1657" spans="1:21" outlineLevel="1">
      <c r="A1657" s="382"/>
      <c r="B1657" s="703"/>
      <c r="C1657" s="314" t="s">
        <v>372</v>
      </c>
      <c r="D1657" s="617"/>
      <c r="E1657" s="787"/>
      <c r="F1657" s="438"/>
      <c r="G1657" s="438"/>
      <c r="H1657" s="438"/>
      <c r="I1657" s="324">
        <f t="shared" si="1190"/>
        <v>0</v>
      </c>
      <c r="J1657" s="779"/>
      <c r="K1657" s="779"/>
      <c r="L1657" s="317">
        <f t="shared" si="1175"/>
        <v>0</v>
      </c>
      <c r="M1657" s="317"/>
      <c r="N1657" s="372">
        <f t="shared" si="1180"/>
        <v>0</v>
      </c>
      <c r="O1657" s="319">
        <f>L1657*1.1</f>
        <v>0</v>
      </c>
      <c r="P1657" s="319">
        <f t="shared" si="1208"/>
        <v>0</v>
      </c>
      <c r="R1657" s="317"/>
      <c r="U1657" s="320"/>
    </row>
    <row r="1658" spans="1:21" outlineLevel="3">
      <c r="A1658" s="382"/>
      <c r="B1658" s="703" t="s">
        <v>146</v>
      </c>
      <c r="C1658" s="314" t="s">
        <v>373</v>
      </c>
      <c r="D1658" s="617"/>
      <c r="E1658" s="787"/>
      <c r="F1658" s="438"/>
      <c r="G1658" s="438"/>
      <c r="H1658" s="438"/>
      <c r="I1658" s="324">
        <f t="shared" si="1190"/>
        <v>0</v>
      </c>
      <c r="J1658" s="779"/>
      <c r="K1658" s="779"/>
      <c r="L1658" s="317">
        <f t="shared" si="1175"/>
        <v>0</v>
      </c>
      <c r="M1658" s="317"/>
      <c r="N1658" s="372">
        <f t="shared" si="1180"/>
        <v>0</v>
      </c>
      <c r="O1658" s="319">
        <f>L1658*1.1</f>
        <v>0</v>
      </c>
      <c r="P1658" s="319">
        <f t="shared" ref="P1658:P1679" si="1211">O1658*1.1</f>
        <v>0</v>
      </c>
      <c r="R1658" s="317"/>
      <c r="U1658" s="320"/>
    </row>
    <row r="1659" spans="1:21" outlineLevel="3">
      <c r="A1659" s="332"/>
      <c r="B1659" s="339"/>
      <c r="C1659" s="770">
        <v>2110100</v>
      </c>
      <c r="D1659" s="771" t="s">
        <v>13</v>
      </c>
      <c r="E1659" s="772">
        <v>0</v>
      </c>
      <c r="F1659" s="621"/>
      <c r="G1659" s="621"/>
      <c r="H1659" s="621"/>
      <c r="I1659" s="324">
        <f t="shared" si="1190"/>
        <v>0</v>
      </c>
      <c r="J1659" s="779"/>
      <c r="K1659" s="779"/>
      <c r="L1659" s="317">
        <f t="shared" si="1175"/>
        <v>0</v>
      </c>
      <c r="M1659" s="317"/>
      <c r="N1659" s="372">
        <f t="shared" si="1180"/>
        <v>0</v>
      </c>
      <c r="O1659" s="319">
        <f>L1659*1.1</f>
        <v>0</v>
      </c>
      <c r="P1659" s="319">
        <f t="shared" si="1211"/>
        <v>0</v>
      </c>
      <c r="R1659" s="317"/>
      <c r="U1659" s="320"/>
    </row>
    <row r="1660" spans="1:21" outlineLevel="3">
      <c r="A1660" s="332"/>
      <c r="B1660" s="339"/>
      <c r="C1660" s="773">
        <v>2110101</v>
      </c>
      <c r="D1660" s="774" t="s">
        <v>14</v>
      </c>
      <c r="E1660" s="778">
        <v>0</v>
      </c>
      <c r="F1660" s="647"/>
      <c r="G1660" s="647"/>
      <c r="H1660" s="647"/>
      <c r="I1660" s="324">
        <f t="shared" si="1190"/>
        <v>0</v>
      </c>
      <c r="J1660" s="471"/>
      <c r="K1660" s="471"/>
      <c r="L1660" s="317">
        <f t="shared" si="1175"/>
        <v>0</v>
      </c>
      <c r="M1660" s="317"/>
      <c r="N1660" s="372">
        <f t="shared" si="1180"/>
        <v>0</v>
      </c>
      <c r="O1660" s="474"/>
      <c r="P1660" s="474"/>
      <c r="R1660" s="317"/>
      <c r="U1660" s="320"/>
    </row>
    <row r="1661" spans="1:21" outlineLevel="3">
      <c r="A1661" s="332"/>
      <c r="B1661" s="339"/>
      <c r="C1661" s="770">
        <v>2210200</v>
      </c>
      <c r="D1661" s="771" t="s">
        <v>20</v>
      </c>
      <c r="E1661" s="772">
        <f>SUM(E1662:E1664)</f>
        <v>318000</v>
      </c>
      <c r="F1661" s="772">
        <f t="shared" ref="F1661:K1661" si="1212">SUM(F1662:F1664)</f>
        <v>0</v>
      </c>
      <c r="G1661" s="772">
        <f t="shared" si="1212"/>
        <v>0</v>
      </c>
      <c r="H1661" s="772">
        <f t="shared" si="1212"/>
        <v>0</v>
      </c>
      <c r="I1661" s="772">
        <f t="shared" si="1212"/>
        <v>318000</v>
      </c>
      <c r="J1661" s="772">
        <f t="shared" si="1212"/>
        <v>0</v>
      </c>
      <c r="K1661" s="772">
        <f t="shared" si="1212"/>
        <v>-10000</v>
      </c>
      <c r="L1661" s="317">
        <f t="shared" si="1175"/>
        <v>308000</v>
      </c>
      <c r="M1661" s="317"/>
      <c r="N1661" s="372">
        <f t="shared" si="1180"/>
        <v>10000</v>
      </c>
      <c r="O1661" s="772">
        <f t="shared" ref="O1661:P1661" si="1213">SUM(O1662:O1664)</f>
        <v>338800</v>
      </c>
      <c r="P1661" s="772">
        <f t="shared" si="1213"/>
        <v>372680</v>
      </c>
      <c r="R1661" s="317"/>
      <c r="U1661" s="320"/>
    </row>
    <row r="1662" spans="1:21" outlineLevel="3">
      <c r="A1662" s="332"/>
      <c r="B1662" s="339"/>
      <c r="C1662" s="773">
        <v>2210201</v>
      </c>
      <c r="D1662" s="774" t="s">
        <v>187</v>
      </c>
      <c r="E1662" s="778">
        <v>248000</v>
      </c>
      <c r="F1662" s="647"/>
      <c r="G1662" s="647"/>
      <c r="H1662" s="647"/>
      <c r="I1662" s="324">
        <f t="shared" si="1190"/>
        <v>248000</v>
      </c>
      <c r="J1662" s="777"/>
      <c r="K1662" s="777"/>
      <c r="L1662" s="317">
        <f t="shared" si="1175"/>
        <v>248000</v>
      </c>
      <c r="M1662" s="317"/>
      <c r="N1662" s="372">
        <f t="shared" si="1180"/>
        <v>0</v>
      </c>
      <c r="O1662" s="319">
        <f t="shared" ref="O1662:O1663" si="1214">L1662*1.1</f>
        <v>272800</v>
      </c>
      <c r="P1662" s="319">
        <f t="shared" ref="P1662:P1663" si="1215">O1662*1.1</f>
        <v>300080</v>
      </c>
      <c r="R1662" s="317"/>
      <c r="U1662" s="320"/>
    </row>
    <row r="1663" spans="1:21" outlineLevel="3">
      <c r="A1663" s="332"/>
      <c r="B1663" s="339"/>
      <c r="C1663" s="773">
        <v>2210202</v>
      </c>
      <c r="D1663" s="774" t="s">
        <v>359</v>
      </c>
      <c r="E1663" s="778">
        <v>60000</v>
      </c>
      <c r="F1663" s="647"/>
      <c r="G1663" s="647"/>
      <c r="H1663" s="647"/>
      <c r="I1663" s="324">
        <f t="shared" si="1190"/>
        <v>60000</v>
      </c>
      <c r="J1663" s="777"/>
      <c r="K1663" s="777"/>
      <c r="L1663" s="317">
        <f t="shared" si="1175"/>
        <v>60000</v>
      </c>
      <c r="M1663" s="317"/>
      <c r="N1663" s="372">
        <f t="shared" si="1180"/>
        <v>0</v>
      </c>
      <c r="O1663" s="319">
        <f t="shared" si="1214"/>
        <v>66000</v>
      </c>
      <c r="P1663" s="319">
        <f t="shared" si="1215"/>
        <v>72600</v>
      </c>
      <c r="R1663" s="317"/>
      <c r="U1663" s="320"/>
    </row>
    <row r="1664" spans="1:21" outlineLevel="3">
      <c r="A1664" s="332"/>
      <c r="B1664" s="339"/>
      <c r="C1664" s="773">
        <v>2210203</v>
      </c>
      <c r="D1664" s="774" t="s">
        <v>23</v>
      </c>
      <c r="E1664" s="778">
        <v>10000</v>
      </c>
      <c r="F1664" s="647"/>
      <c r="G1664" s="647"/>
      <c r="H1664" s="647"/>
      <c r="I1664" s="324">
        <f t="shared" si="1190"/>
        <v>10000</v>
      </c>
      <c r="J1664" s="471"/>
      <c r="K1664" s="471">
        <v>-10000</v>
      </c>
      <c r="L1664" s="317">
        <f t="shared" si="1175"/>
        <v>0</v>
      </c>
      <c r="M1664" s="317"/>
      <c r="N1664" s="372">
        <f t="shared" si="1180"/>
        <v>10000</v>
      </c>
      <c r="O1664" s="471">
        <f>L1664*1.1</f>
        <v>0</v>
      </c>
      <c r="P1664" s="471">
        <f>O1664*1.1</f>
        <v>0</v>
      </c>
      <c r="R1664" s="317"/>
      <c r="U1664" s="320"/>
    </row>
    <row r="1665" spans="1:21" outlineLevel="3">
      <c r="A1665" s="770"/>
      <c r="B1665" s="339"/>
      <c r="C1665" s="770">
        <v>2210300</v>
      </c>
      <c r="D1665" s="771" t="s">
        <v>24</v>
      </c>
      <c r="E1665" s="772">
        <f>E1666+E1667+E1668</f>
        <v>1361300</v>
      </c>
      <c r="F1665" s="772">
        <f t="shared" ref="F1665:P1665" si="1216">F1666+F1667+F1668</f>
        <v>0</v>
      </c>
      <c r="G1665" s="772">
        <f t="shared" si="1216"/>
        <v>0</v>
      </c>
      <c r="H1665" s="772">
        <f t="shared" si="1216"/>
        <v>0</v>
      </c>
      <c r="I1665" s="772">
        <f t="shared" si="1216"/>
        <v>1361300</v>
      </c>
      <c r="J1665" s="772">
        <f t="shared" si="1216"/>
        <v>0</v>
      </c>
      <c r="K1665" s="772">
        <f t="shared" si="1216"/>
        <v>200000</v>
      </c>
      <c r="L1665" s="317">
        <f t="shared" si="1175"/>
        <v>1561300</v>
      </c>
      <c r="M1665" s="317"/>
      <c r="N1665" s="372">
        <f t="shared" si="1180"/>
        <v>-200000</v>
      </c>
      <c r="O1665" s="772">
        <f t="shared" si="1216"/>
        <v>1679150</v>
      </c>
      <c r="P1665" s="772">
        <f t="shared" si="1216"/>
        <v>1808785</v>
      </c>
      <c r="R1665" s="317"/>
      <c r="U1665" s="320"/>
    </row>
    <row r="1666" spans="1:21" outlineLevel="3">
      <c r="A1666" s="332"/>
      <c r="B1666" s="773"/>
      <c r="C1666" s="773">
        <v>2210301</v>
      </c>
      <c r="D1666" s="774" t="s">
        <v>188</v>
      </c>
      <c r="E1666" s="778">
        <v>400000</v>
      </c>
      <c r="F1666" s="647"/>
      <c r="G1666" s="647"/>
      <c r="H1666" s="647"/>
      <c r="I1666" s="324">
        <f t="shared" si="1190"/>
        <v>400000</v>
      </c>
      <c r="J1666" s="777"/>
      <c r="K1666" s="555">
        <v>200000</v>
      </c>
      <c r="L1666" s="317">
        <f t="shared" si="1175"/>
        <v>600000</v>
      </c>
      <c r="M1666" s="317"/>
      <c r="N1666" s="372">
        <f t="shared" si="1180"/>
        <v>-200000</v>
      </c>
      <c r="O1666" s="319">
        <f>L1666*1.1</f>
        <v>660000</v>
      </c>
      <c r="P1666" s="319">
        <f t="shared" si="1211"/>
        <v>726000.00000000012</v>
      </c>
      <c r="R1666" s="317"/>
      <c r="U1666" s="320"/>
    </row>
    <row r="1667" spans="1:21" outlineLevel="3">
      <c r="A1667" s="332"/>
      <c r="B1667" s="773"/>
      <c r="C1667" s="773">
        <v>2210302</v>
      </c>
      <c r="D1667" s="774" t="s">
        <v>26</v>
      </c>
      <c r="E1667" s="778">
        <f>678500-100000</f>
        <v>578500</v>
      </c>
      <c r="F1667" s="647"/>
      <c r="G1667" s="647"/>
      <c r="H1667" s="647"/>
      <c r="I1667" s="324">
        <f t="shared" si="1190"/>
        <v>578500</v>
      </c>
      <c r="J1667" s="777"/>
      <c r="K1667" s="777"/>
      <c r="L1667" s="317">
        <f t="shared" si="1175"/>
        <v>578500</v>
      </c>
      <c r="M1667" s="317"/>
      <c r="N1667" s="372">
        <f t="shared" si="1180"/>
        <v>0</v>
      </c>
      <c r="O1667" s="319">
        <f>L1667*1.1</f>
        <v>636350</v>
      </c>
      <c r="P1667" s="319">
        <f t="shared" si="1211"/>
        <v>699985</v>
      </c>
      <c r="R1667" s="317"/>
      <c r="U1667" s="320"/>
    </row>
    <row r="1668" spans="1:21" outlineLevel="3">
      <c r="A1668" s="332"/>
      <c r="B1668" s="773"/>
      <c r="C1668" s="773">
        <v>2210303</v>
      </c>
      <c r="D1668" s="774" t="s">
        <v>223</v>
      </c>
      <c r="E1668" s="778">
        <v>382800</v>
      </c>
      <c r="F1668" s="647"/>
      <c r="G1668" s="647"/>
      <c r="H1668" s="647"/>
      <c r="I1668" s="324">
        <f t="shared" si="1190"/>
        <v>382800</v>
      </c>
      <c r="J1668" s="471"/>
      <c r="K1668" s="471"/>
      <c r="L1668" s="317">
        <f t="shared" ref="L1668:L1731" si="1217">I1668+J1668+K1668</f>
        <v>382800</v>
      </c>
      <c r="M1668" s="317"/>
      <c r="N1668" s="372">
        <f t="shared" si="1180"/>
        <v>0</v>
      </c>
      <c r="O1668" s="788">
        <v>382800</v>
      </c>
      <c r="P1668" s="788">
        <v>382800</v>
      </c>
      <c r="R1668" s="317"/>
      <c r="U1668" s="320"/>
    </row>
    <row r="1669" spans="1:21" outlineLevel="3">
      <c r="A1669" s="332"/>
      <c r="B1669" s="773"/>
      <c r="C1669" s="770">
        <v>2210500</v>
      </c>
      <c r="D1669" s="771" t="s">
        <v>31</v>
      </c>
      <c r="E1669" s="772">
        <f>SUM(E1670:E1672)</f>
        <v>400000</v>
      </c>
      <c r="F1669" s="772">
        <f t="shared" ref="F1669:K1669" si="1218">SUM(F1670:F1672)</f>
        <v>0</v>
      </c>
      <c r="G1669" s="772">
        <f t="shared" si="1218"/>
        <v>0</v>
      </c>
      <c r="H1669" s="772">
        <f t="shared" si="1218"/>
        <v>0</v>
      </c>
      <c r="I1669" s="772">
        <f t="shared" si="1218"/>
        <v>400000</v>
      </c>
      <c r="J1669" s="772">
        <f t="shared" si="1218"/>
        <v>0</v>
      </c>
      <c r="K1669" s="772">
        <f t="shared" si="1218"/>
        <v>100000</v>
      </c>
      <c r="L1669" s="317">
        <f t="shared" si="1217"/>
        <v>500000</v>
      </c>
      <c r="M1669" s="317"/>
      <c r="N1669" s="372">
        <f t="shared" si="1180"/>
        <v>-100000</v>
      </c>
      <c r="O1669" s="772">
        <f t="shared" ref="O1669:P1669" si="1219">SUM(O1670:O1672)</f>
        <v>416500</v>
      </c>
      <c r="P1669" s="772">
        <f t="shared" si="1219"/>
        <v>434650</v>
      </c>
      <c r="R1669" s="317"/>
      <c r="U1669" s="320"/>
    </row>
    <row r="1670" spans="1:21" outlineLevel="3">
      <c r="A1670" s="332"/>
      <c r="B1670" s="773"/>
      <c r="C1670" s="773">
        <v>2210502</v>
      </c>
      <c r="D1670" s="774" t="s">
        <v>105</v>
      </c>
      <c r="E1670" s="778">
        <v>100000</v>
      </c>
      <c r="F1670" s="647"/>
      <c r="G1670" s="647"/>
      <c r="H1670" s="647"/>
      <c r="I1670" s="324">
        <f t="shared" si="1190"/>
        <v>100000</v>
      </c>
      <c r="J1670" s="777"/>
      <c r="K1670" s="777"/>
      <c r="L1670" s="317">
        <f t="shared" si="1217"/>
        <v>100000</v>
      </c>
      <c r="M1670" s="317"/>
      <c r="N1670" s="372">
        <f t="shared" si="1180"/>
        <v>0</v>
      </c>
      <c r="O1670" s="319">
        <f>L1670*1.1</f>
        <v>110000.00000000001</v>
      </c>
      <c r="P1670" s="319">
        <f t="shared" si="1211"/>
        <v>121000.00000000003</v>
      </c>
      <c r="R1670" s="317"/>
      <c r="U1670" s="320"/>
    </row>
    <row r="1671" spans="1:21" outlineLevel="3">
      <c r="A1671" s="332"/>
      <c r="B1671" s="773"/>
      <c r="C1671" s="773">
        <v>2210503</v>
      </c>
      <c r="D1671" s="774" t="s">
        <v>32</v>
      </c>
      <c r="E1671" s="778">
        <v>65000</v>
      </c>
      <c r="F1671" s="647"/>
      <c r="G1671" s="647"/>
      <c r="H1671" s="647"/>
      <c r="I1671" s="324">
        <f t="shared" si="1190"/>
        <v>65000</v>
      </c>
      <c r="J1671" s="777"/>
      <c r="K1671" s="777"/>
      <c r="L1671" s="317">
        <f t="shared" si="1217"/>
        <v>65000</v>
      </c>
      <c r="M1671" s="317"/>
      <c r="N1671" s="372">
        <f t="shared" si="1180"/>
        <v>0</v>
      </c>
      <c r="O1671" s="319">
        <f>L1671*1.1</f>
        <v>71500</v>
      </c>
      <c r="P1671" s="319">
        <f t="shared" si="1211"/>
        <v>78650</v>
      </c>
      <c r="R1671" s="317"/>
      <c r="U1671" s="320"/>
    </row>
    <row r="1672" spans="1:21" outlineLevel="3">
      <c r="A1672" s="332"/>
      <c r="B1672" s="773"/>
      <c r="C1672" s="773">
        <v>2210504</v>
      </c>
      <c r="D1672" s="774" t="s">
        <v>33</v>
      </c>
      <c r="E1672" s="778">
        <v>235000</v>
      </c>
      <c r="F1672" s="647"/>
      <c r="G1672" s="647"/>
      <c r="H1672" s="647"/>
      <c r="I1672" s="324">
        <f t="shared" si="1190"/>
        <v>235000</v>
      </c>
      <c r="J1672" s="471"/>
      <c r="K1672" s="471">
        <v>100000</v>
      </c>
      <c r="L1672" s="317">
        <f t="shared" si="1217"/>
        <v>335000</v>
      </c>
      <c r="M1672" s="317"/>
      <c r="N1672" s="372">
        <f t="shared" ref="N1672:N1735" si="1220">M1672-K1672</f>
        <v>-100000</v>
      </c>
      <c r="O1672" s="788">
        <v>235000</v>
      </c>
      <c r="P1672" s="788">
        <v>235000</v>
      </c>
      <c r="R1672" s="317"/>
      <c r="U1672" s="320"/>
    </row>
    <row r="1673" spans="1:21" outlineLevel="3">
      <c r="A1673" s="332"/>
      <c r="B1673" s="773"/>
      <c r="C1673" s="770">
        <v>2210700</v>
      </c>
      <c r="D1673" s="771" t="s">
        <v>35</v>
      </c>
      <c r="E1673" s="772">
        <f>SUM(E1674:E1677)</f>
        <v>775000</v>
      </c>
      <c r="F1673" s="772">
        <f t="shared" ref="F1673:K1673" si="1221">SUM(F1674:F1677)</f>
        <v>0</v>
      </c>
      <c r="G1673" s="772">
        <f t="shared" si="1221"/>
        <v>0</v>
      </c>
      <c r="H1673" s="772">
        <f t="shared" si="1221"/>
        <v>0</v>
      </c>
      <c r="I1673" s="772">
        <f t="shared" si="1221"/>
        <v>775000</v>
      </c>
      <c r="J1673" s="772">
        <f t="shared" si="1221"/>
        <v>0</v>
      </c>
      <c r="K1673" s="772">
        <f t="shared" si="1221"/>
        <v>239000</v>
      </c>
      <c r="L1673" s="317">
        <f t="shared" si="1217"/>
        <v>1014000</v>
      </c>
      <c r="M1673" s="317"/>
      <c r="N1673" s="372">
        <f t="shared" si="1220"/>
        <v>-239000</v>
      </c>
      <c r="O1673" s="772">
        <f t="shared" ref="O1673:P1673" si="1222">SUM(O1674:O1677)</f>
        <v>1115400</v>
      </c>
      <c r="P1673" s="772">
        <f t="shared" si="1222"/>
        <v>1226940.0000000005</v>
      </c>
      <c r="R1673" s="317"/>
      <c r="U1673" s="320"/>
    </row>
    <row r="1674" spans="1:21" outlineLevel="3">
      <c r="A1674" s="332"/>
      <c r="B1674" s="773"/>
      <c r="C1674" s="773">
        <v>2210701</v>
      </c>
      <c r="D1674" s="774" t="s">
        <v>190</v>
      </c>
      <c r="E1674" s="778">
        <v>75000</v>
      </c>
      <c r="F1674" s="647"/>
      <c r="G1674" s="647"/>
      <c r="H1674" s="647"/>
      <c r="I1674" s="324">
        <f t="shared" ref="I1674:I1735" si="1223">E1674+F1674+G1674+H1674</f>
        <v>75000</v>
      </c>
      <c r="J1674" s="777"/>
      <c r="K1674" s="555"/>
      <c r="L1674" s="317">
        <f t="shared" si="1217"/>
        <v>75000</v>
      </c>
      <c r="M1674" s="317"/>
      <c r="N1674" s="372">
        <f t="shared" si="1220"/>
        <v>0</v>
      </c>
      <c r="O1674" s="319">
        <f>L1674*1.1</f>
        <v>82500</v>
      </c>
      <c r="P1674" s="319">
        <f t="shared" si="1211"/>
        <v>90750.000000000015</v>
      </c>
      <c r="R1674" s="317"/>
      <c r="U1674" s="320"/>
    </row>
    <row r="1675" spans="1:21" outlineLevel="3">
      <c r="A1675" s="332"/>
      <c r="B1675" s="773"/>
      <c r="C1675" s="773">
        <v>2210704</v>
      </c>
      <c r="D1675" s="774" t="s">
        <v>38</v>
      </c>
      <c r="E1675" s="778">
        <v>100000</v>
      </c>
      <c r="F1675" s="647"/>
      <c r="G1675" s="647"/>
      <c r="H1675" s="647"/>
      <c r="I1675" s="324">
        <f t="shared" si="1223"/>
        <v>100000</v>
      </c>
      <c r="J1675" s="777"/>
      <c r="K1675" s="555">
        <v>-11000</v>
      </c>
      <c r="L1675" s="317">
        <f t="shared" si="1217"/>
        <v>89000</v>
      </c>
      <c r="M1675" s="317"/>
      <c r="N1675" s="372">
        <f t="shared" si="1220"/>
        <v>11000</v>
      </c>
      <c r="O1675" s="319">
        <f>L1675*1.1</f>
        <v>97900.000000000015</v>
      </c>
      <c r="P1675" s="319">
        <f t="shared" si="1211"/>
        <v>107690.00000000003</v>
      </c>
      <c r="R1675" s="317"/>
      <c r="U1675" s="320"/>
    </row>
    <row r="1676" spans="1:21" outlineLevel="3">
      <c r="A1676" s="332"/>
      <c r="B1676" s="773"/>
      <c r="C1676" s="773">
        <v>2210710</v>
      </c>
      <c r="D1676" s="774" t="s">
        <v>361</v>
      </c>
      <c r="E1676" s="778">
        <v>180000</v>
      </c>
      <c r="F1676" s="647"/>
      <c r="G1676" s="647"/>
      <c r="H1676" s="647"/>
      <c r="I1676" s="324">
        <f t="shared" si="1223"/>
        <v>180000</v>
      </c>
      <c r="J1676" s="777"/>
      <c r="K1676" s="555"/>
      <c r="L1676" s="317">
        <f t="shared" si="1217"/>
        <v>180000</v>
      </c>
      <c r="M1676" s="317"/>
      <c r="N1676" s="372">
        <f t="shared" si="1220"/>
        <v>0</v>
      </c>
      <c r="O1676" s="319">
        <f>L1676*1.1</f>
        <v>198000.00000000003</v>
      </c>
      <c r="P1676" s="319">
        <f t="shared" si="1211"/>
        <v>217800.00000000006</v>
      </c>
      <c r="R1676" s="317"/>
      <c r="U1676" s="320"/>
    </row>
    <row r="1677" spans="1:21" outlineLevel="3">
      <c r="A1677" s="332"/>
      <c r="B1677" s="773"/>
      <c r="C1677" s="773">
        <v>2210715</v>
      </c>
      <c r="D1677" s="774" t="s">
        <v>362</v>
      </c>
      <c r="E1677" s="778">
        <v>420000</v>
      </c>
      <c r="F1677" s="647"/>
      <c r="G1677" s="647"/>
      <c r="H1677" s="647"/>
      <c r="I1677" s="324">
        <f t="shared" si="1223"/>
        <v>420000</v>
      </c>
      <c r="J1677" s="471"/>
      <c r="K1677" s="471">
        <v>250000</v>
      </c>
      <c r="L1677" s="317">
        <f t="shared" si="1217"/>
        <v>670000</v>
      </c>
      <c r="M1677" s="317"/>
      <c r="N1677" s="372">
        <f t="shared" si="1220"/>
        <v>-250000</v>
      </c>
      <c r="O1677" s="471">
        <f>L1677*1.1</f>
        <v>737000.00000000012</v>
      </c>
      <c r="P1677" s="471">
        <f>O1677*1.1</f>
        <v>810700.00000000023</v>
      </c>
      <c r="R1677" s="317"/>
      <c r="U1677" s="320"/>
    </row>
    <row r="1678" spans="1:21" outlineLevel="3">
      <c r="A1678" s="332"/>
      <c r="B1678" s="339"/>
      <c r="C1678" s="770">
        <v>2210800</v>
      </c>
      <c r="D1678" s="771" t="s">
        <v>42</v>
      </c>
      <c r="E1678" s="772">
        <f>SUM(E1679:E1680)</f>
        <v>340000</v>
      </c>
      <c r="F1678" s="772">
        <f t="shared" ref="F1678:P1678" si="1224">SUM(F1679:F1680)</f>
        <v>0</v>
      </c>
      <c r="G1678" s="772">
        <f t="shared" si="1224"/>
        <v>0</v>
      </c>
      <c r="H1678" s="772">
        <f t="shared" si="1224"/>
        <v>0</v>
      </c>
      <c r="I1678" s="772">
        <f t="shared" si="1224"/>
        <v>340000</v>
      </c>
      <c r="J1678" s="772">
        <f t="shared" si="1224"/>
        <v>0</v>
      </c>
      <c r="K1678" s="772">
        <f t="shared" si="1224"/>
        <v>0</v>
      </c>
      <c r="L1678" s="317">
        <f t="shared" si="1217"/>
        <v>340000</v>
      </c>
      <c r="M1678" s="317"/>
      <c r="N1678" s="372">
        <f t="shared" si="1220"/>
        <v>0</v>
      </c>
      <c r="O1678" s="772">
        <f t="shared" si="1224"/>
        <v>374000</v>
      </c>
      <c r="P1678" s="772">
        <f t="shared" si="1224"/>
        <v>411400</v>
      </c>
      <c r="R1678" s="317"/>
      <c r="U1678" s="320"/>
    </row>
    <row r="1679" spans="1:21" outlineLevel="3">
      <c r="A1679" s="332"/>
      <c r="B1679" s="339"/>
      <c r="C1679" s="773">
        <v>2210801</v>
      </c>
      <c r="D1679" s="774" t="s">
        <v>2421</v>
      </c>
      <c r="E1679" s="778">
        <v>240000</v>
      </c>
      <c r="F1679" s="647"/>
      <c r="G1679" s="647"/>
      <c r="H1679" s="647"/>
      <c r="I1679" s="324">
        <f t="shared" si="1223"/>
        <v>240000</v>
      </c>
      <c r="J1679" s="777"/>
      <c r="K1679" s="555"/>
      <c r="L1679" s="317">
        <f t="shared" si="1217"/>
        <v>240000</v>
      </c>
      <c r="M1679" s="317"/>
      <c r="N1679" s="372">
        <f t="shared" si="1220"/>
        <v>0</v>
      </c>
      <c r="O1679" s="319">
        <f>L1679*1.1</f>
        <v>264000</v>
      </c>
      <c r="P1679" s="319">
        <f t="shared" si="1211"/>
        <v>290400</v>
      </c>
      <c r="R1679" s="317"/>
      <c r="U1679" s="320"/>
    </row>
    <row r="1680" spans="1:21" outlineLevel="3">
      <c r="A1680" s="332"/>
      <c r="B1680" s="339"/>
      <c r="C1680" s="773">
        <v>2210802</v>
      </c>
      <c r="D1680" s="774" t="s">
        <v>97</v>
      </c>
      <c r="E1680" s="778">
        <v>100000</v>
      </c>
      <c r="F1680" s="647"/>
      <c r="G1680" s="647"/>
      <c r="H1680" s="647"/>
      <c r="I1680" s="324">
        <f t="shared" si="1223"/>
        <v>100000</v>
      </c>
      <c r="J1680" s="471"/>
      <c r="K1680" s="471"/>
      <c r="L1680" s="317">
        <f t="shared" si="1217"/>
        <v>100000</v>
      </c>
      <c r="M1680" s="317"/>
      <c r="N1680" s="372">
        <f t="shared" si="1220"/>
        <v>0</v>
      </c>
      <c r="O1680" s="471">
        <f>L1680*1.1</f>
        <v>110000.00000000001</v>
      </c>
      <c r="P1680" s="471">
        <f>O1680*1.1</f>
        <v>121000.00000000003</v>
      </c>
      <c r="R1680" s="317"/>
      <c r="U1680" s="320"/>
    </row>
    <row r="1681" spans="1:21" outlineLevel="3">
      <c r="A1681" s="332"/>
      <c r="B1681" s="339"/>
      <c r="C1681" s="770">
        <v>2211100</v>
      </c>
      <c r="D1681" s="771" t="s">
        <v>51</v>
      </c>
      <c r="E1681" s="772">
        <f>E1682+E1683+E1684</f>
        <v>638000</v>
      </c>
      <c r="F1681" s="772">
        <f t="shared" ref="F1681:K1681" si="1225">F1682+F1683+F1684</f>
        <v>0</v>
      </c>
      <c r="G1681" s="772">
        <f t="shared" si="1225"/>
        <v>0</v>
      </c>
      <c r="H1681" s="772">
        <f t="shared" si="1225"/>
        <v>0</v>
      </c>
      <c r="I1681" s="772">
        <f t="shared" si="1225"/>
        <v>638000</v>
      </c>
      <c r="J1681" s="772">
        <f t="shared" si="1225"/>
        <v>0</v>
      </c>
      <c r="K1681" s="772">
        <f t="shared" si="1225"/>
        <v>224000</v>
      </c>
      <c r="L1681" s="317">
        <f t="shared" si="1217"/>
        <v>862000</v>
      </c>
      <c r="M1681" s="317"/>
      <c r="N1681" s="372">
        <f t="shared" si="1220"/>
        <v>-224000</v>
      </c>
      <c r="O1681" s="772">
        <f t="shared" ref="O1681:P1681" si="1226">O1682+O1683+O1684</f>
        <v>948200</v>
      </c>
      <c r="P1681" s="772">
        <f t="shared" si="1226"/>
        <v>1043020</v>
      </c>
      <c r="R1681" s="317"/>
      <c r="U1681" s="320"/>
    </row>
    <row r="1682" spans="1:21" outlineLevel="3">
      <c r="A1682" s="332"/>
      <c r="B1682" s="339"/>
      <c r="C1682" s="773">
        <v>2211101</v>
      </c>
      <c r="D1682" s="774" t="s">
        <v>289</v>
      </c>
      <c r="E1682" s="778">
        <v>255200</v>
      </c>
      <c r="F1682" s="647"/>
      <c r="G1682" s="647"/>
      <c r="H1682" s="647"/>
      <c r="I1682" s="324">
        <f t="shared" si="1223"/>
        <v>255200</v>
      </c>
      <c r="J1682" s="777"/>
      <c r="K1682" s="555">
        <v>250000</v>
      </c>
      <c r="L1682" s="317">
        <f t="shared" si="1217"/>
        <v>505200</v>
      </c>
      <c r="M1682" s="317"/>
      <c r="N1682" s="372">
        <f t="shared" si="1220"/>
        <v>-250000</v>
      </c>
      <c r="O1682" s="319">
        <f>L1682*1.1</f>
        <v>555720</v>
      </c>
      <c r="P1682" s="319">
        <f t="shared" ref="P1682:P1707" si="1227">O1682*1.1</f>
        <v>611292</v>
      </c>
      <c r="R1682" s="317"/>
      <c r="U1682" s="320"/>
    </row>
    <row r="1683" spans="1:21" outlineLevel="3">
      <c r="A1683" s="332"/>
      <c r="B1683" s="339"/>
      <c r="C1683" s="773">
        <v>2211102</v>
      </c>
      <c r="D1683" s="774" t="s">
        <v>53</v>
      </c>
      <c r="E1683" s="778">
        <v>255200</v>
      </c>
      <c r="F1683" s="647"/>
      <c r="G1683" s="647"/>
      <c r="H1683" s="647"/>
      <c r="I1683" s="324">
        <f t="shared" si="1223"/>
        <v>255200</v>
      </c>
      <c r="J1683" s="777"/>
      <c r="K1683" s="555">
        <v>-19000</v>
      </c>
      <c r="L1683" s="317">
        <f t="shared" si="1217"/>
        <v>236200</v>
      </c>
      <c r="M1683" s="317"/>
      <c r="N1683" s="372">
        <f t="shared" si="1220"/>
        <v>19000</v>
      </c>
      <c r="O1683" s="319">
        <f>L1683*1.1</f>
        <v>259820.00000000003</v>
      </c>
      <c r="P1683" s="319">
        <f t="shared" si="1227"/>
        <v>285802.00000000006</v>
      </c>
      <c r="R1683" s="317"/>
      <c r="U1683" s="320"/>
    </row>
    <row r="1684" spans="1:21" outlineLevel="3">
      <c r="A1684" s="332"/>
      <c r="B1684" s="339"/>
      <c r="C1684" s="773">
        <v>2211103</v>
      </c>
      <c r="D1684" s="774" t="s">
        <v>54</v>
      </c>
      <c r="E1684" s="778">
        <v>127600</v>
      </c>
      <c r="F1684" s="647"/>
      <c r="G1684" s="647"/>
      <c r="H1684" s="647"/>
      <c r="I1684" s="324">
        <f t="shared" si="1223"/>
        <v>127600</v>
      </c>
      <c r="J1684" s="471"/>
      <c r="K1684" s="471">
        <v>-7000</v>
      </c>
      <c r="L1684" s="317">
        <f t="shared" si="1217"/>
        <v>120600</v>
      </c>
      <c r="M1684" s="317"/>
      <c r="N1684" s="372">
        <f t="shared" si="1220"/>
        <v>7000</v>
      </c>
      <c r="O1684" s="471">
        <f>L1684*1.1</f>
        <v>132660</v>
      </c>
      <c r="P1684" s="471">
        <f>O1684*1.1</f>
        <v>145926</v>
      </c>
      <c r="R1684" s="317"/>
      <c r="U1684" s="320"/>
    </row>
    <row r="1685" spans="1:21" outlineLevel="3">
      <c r="A1685" s="770"/>
      <c r="B1685" s="339"/>
      <c r="C1685" s="770">
        <v>2211300</v>
      </c>
      <c r="D1685" s="771" t="s">
        <v>57</v>
      </c>
      <c r="E1685" s="772">
        <f>SUM(E1686:E1687)</f>
        <v>497000</v>
      </c>
      <c r="F1685" s="772">
        <f t="shared" ref="F1685:P1685" si="1228">SUM(F1686:F1687)</f>
        <v>0</v>
      </c>
      <c r="G1685" s="772">
        <f t="shared" si="1228"/>
        <v>0</v>
      </c>
      <c r="H1685" s="772">
        <f t="shared" si="1228"/>
        <v>0</v>
      </c>
      <c r="I1685" s="772">
        <f t="shared" si="1228"/>
        <v>497000</v>
      </c>
      <c r="J1685" s="772">
        <f t="shared" si="1228"/>
        <v>0</v>
      </c>
      <c r="K1685" s="772">
        <f t="shared" si="1228"/>
        <v>-30950</v>
      </c>
      <c r="L1685" s="317">
        <f t="shared" si="1217"/>
        <v>466050</v>
      </c>
      <c r="M1685" s="317"/>
      <c r="N1685" s="372">
        <f t="shared" si="1220"/>
        <v>30950</v>
      </c>
      <c r="O1685" s="772">
        <f t="shared" si="1228"/>
        <v>512655.00000000006</v>
      </c>
      <c r="P1685" s="772">
        <f t="shared" si="1228"/>
        <v>563920.50000000012</v>
      </c>
      <c r="R1685" s="317"/>
      <c r="U1685" s="320"/>
    </row>
    <row r="1686" spans="1:21" outlineLevel="3">
      <c r="A1686" s="332"/>
      <c r="B1686" s="339"/>
      <c r="C1686" s="773">
        <v>2211305</v>
      </c>
      <c r="D1686" s="774" t="s">
        <v>365</v>
      </c>
      <c r="E1686" s="778">
        <v>432000</v>
      </c>
      <c r="F1686" s="647"/>
      <c r="G1686" s="647"/>
      <c r="H1686" s="647"/>
      <c r="I1686" s="324">
        <f t="shared" si="1223"/>
        <v>432000</v>
      </c>
      <c r="J1686" s="777"/>
      <c r="K1686" s="555">
        <v>-10000</v>
      </c>
      <c r="L1686" s="317">
        <f t="shared" si="1217"/>
        <v>422000</v>
      </c>
      <c r="M1686" s="317"/>
      <c r="N1686" s="372">
        <f t="shared" si="1220"/>
        <v>10000</v>
      </c>
      <c r="O1686" s="319">
        <f>L1686*1.1</f>
        <v>464200.00000000006</v>
      </c>
      <c r="P1686" s="319">
        <f t="shared" si="1227"/>
        <v>510620.00000000012</v>
      </c>
      <c r="R1686" s="317"/>
      <c r="U1686" s="320"/>
    </row>
    <row r="1687" spans="1:21" outlineLevel="3">
      <c r="A1687" s="332"/>
      <c r="B1687" s="339"/>
      <c r="C1687" s="773">
        <v>2211306</v>
      </c>
      <c r="D1687" s="774" t="s">
        <v>58</v>
      </c>
      <c r="E1687" s="778">
        <v>65000</v>
      </c>
      <c r="F1687" s="647"/>
      <c r="G1687" s="647"/>
      <c r="H1687" s="647"/>
      <c r="I1687" s="324">
        <f t="shared" si="1223"/>
        <v>65000</v>
      </c>
      <c r="J1687" s="471"/>
      <c r="K1687" s="471">
        <v>-20950</v>
      </c>
      <c r="L1687" s="317">
        <f t="shared" si="1217"/>
        <v>44050</v>
      </c>
      <c r="M1687" s="317"/>
      <c r="N1687" s="372">
        <f t="shared" si="1220"/>
        <v>20950</v>
      </c>
      <c r="O1687" s="471">
        <f>L1687*1.1</f>
        <v>48455.000000000007</v>
      </c>
      <c r="P1687" s="471">
        <f>O1687*1.1</f>
        <v>53300.500000000015</v>
      </c>
      <c r="R1687" s="317"/>
      <c r="U1687" s="320"/>
    </row>
    <row r="1688" spans="1:21" outlineLevel="2">
      <c r="A1688" s="332"/>
      <c r="B1688" s="339"/>
      <c r="C1688" s="770">
        <v>3111000</v>
      </c>
      <c r="D1688" s="771" t="s">
        <v>69</v>
      </c>
      <c r="E1688" s="772">
        <f>E1689+E1690</f>
        <v>580000</v>
      </c>
      <c r="F1688" s="772">
        <f t="shared" ref="F1688:K1688" si="1229">F1689+F1690</f>
        <v>0</v>
      </c>
      <c r="G1688" s="772">
        <f t="shared" si="1229"/>
        <v>0</v>
      </c>
      <c r="H1688" s="772">
        <f t="shared" si="1229"/>
        <v>0</v>
      </c>
      <c r="I1688" s="772">
        <f t="shared" si="1229"/>
        <v>580000</v>
      </c>
      <c r="J1688" s="772">
        <f t="shared" si="1229"/>
        <v>0</v>
      </c>
      <c r="K1688" s="772">
        <f t="shared" si="1229"/>
        <v>-307000</v>
      </c>
      <c r="L1688" s="317">
        <f t="shared" si="1217"/>
        <v>273000</v>
      </c>
      <c r="M1688" s="317"/>
      <c r="N1688" s="372">
        <f t="shared" si="1220"/>
        <v>307000</v>
      </c>
      <c r="O1688" s="772">
        <f t="shared" ref="O1688:P1688" si="1230">O1689+O1690</f>
        <v>300300</v>
      </c>
      <c r="P1688" s="772">
        <f t="shared" si="1230"/>
        <v>330330</v>
      </c>
      <c r="R1688" s="317"/>
      <c r="U1688" s="320"/>
    </row>
    <row r="1689" spans="1:21" outlineLevel="2">
      <c r="A1689" s="332"/>
      <c r="B1689" s="339"/>
      <c r="C1689" s="773">
        <v>3111001</v>
      </c>
      <c r="D1689" s="774" t="s">
        <v>368</v>
      </c>
      <c r="E1689" s="778">
        <v>290000</v>
      </c>
      <c r="F1689" s="647"/>
      <c r="G1689" s="647"/>
      <c r="H1689" s="647"/>
      <c r="I1689" s="324">
        <f t="shared" si="1223"/>
        <v>290000</v>
      </c>
      <c r="J1689" s="777"/>
      <c r="K1689" s="555">
        <v>-290000</v>
      </c>
      <c r="L1689" s="317">
        <f t="shared" si="1217"/>
        <v>0</v>
      </c>
      <c r="M1689" s="317"/>
      <c r="N1689" s="372">
        <f t="shared" si="1220"/>
        <v>290000</v>
      </c>
      <c r="O1689" s="319">
        <f>L1689*1.1</f>
        <v>0</v>
      </c>
      <c r="P1689" s="319">
        <f t="shared" si="1227"/>
        <v>0</v>
      </c>
      <c r="R1689" s="317"/>
      <c r="U1689" s="320"/>
    </row>
    <row r="1690" spans="1:21" outlineLevel="2">
      <c r="A1690" s="332"/>
      <c r="B1690" s="339"/>
      <c r="C1690" s="773">
        <v>3111002</v>
      </c>
      <c r="D1690" s="774" t="s">
        <v>369</v>
      </c>
      <c r="E1690" s="778">
        <v>290000</v>
      </c>
      <c r="F1690" s="647"/>
      <c r="G1690" s="647"/>
      <c r="H1690" s="647"/>
      <c r="I1690" s="324">
        <f t="shared" si="1223"/>
        <v>290000</v>
      </c>
      <c r="J1690" s="777"/>
      <c r="K1690" s="555">
        <v>-17000</v>
      </c>
      <c r="L1690" s="317">
        <f t="shared" si="1217"/>
        <v>273000</v>
      </c>
      <c r="M1690" s="317"/>
      <c r="N1690" s="372">
        <f t="shared" si="1220"/>
        <v>17000</v>
      </c>
      <c r="O1690" s="319">
        <f>L1690*1.1</f>
        <v>300300</v>
      </c>
      <c r="P1690" s="319">
        <f t="shared" si="1227"/>
        <v>330330</v>
      </c>
      <c r="R1690" s="317"/>
      <c r="U1690" s="320"/>
    </row>
    <row r="1691" spans="1:21" outlineLevel="3">
      <c r="A1691" s="332"/>
      <c r="B1691" s="339"/>
      <c r="C1691" s="770">
        <v>3111400</v>
      </c>
      <c r="D1691" s="771" t="s">
        <v>300</v>
      </c>
      <c r="E1691" s="789">
        <f>E1693+E1692</f>
        <v>700000</v>
      </c>
      <c r="F1691" s="789">
        <f t="shared" ref="F1691:P1691" si="1231">F1693+F1692</f>
        <v>0</v>
      </c>
      <c r="G1691" s="789">
        <f t="shared" si="1231"/>
        <v>0</v>
      </c>
      <c r="H1691" s="789">
        <f t="shared" si="1231"/>
        <v>0</v>
      </c>
      <c r="I1691" s="789">
        <f t="shared" si="1231"/>
        <v>700000</v>
      </c>
      <c r="J1691" s="789">
        <f t="shared" si="1231"/>
        <v>0</v>
      </c>
      <c r="K1691" s="789">
        <f t="shared" si="1231"/>
        <v>0</v>
      </c>
      <c r="L1691" s="317">
        <f t="shared" si="1217"/>
        <v>700000</v>
      </c>
      <c r="M1691" s="317"/>
      <c r="N1691" s="372">
        <f t="shared" si="1220"/>
        <v>0</v>
      </c>
      <c r="O1691" s="789">
        <f t="shared" si="1231"/>
        <v>1959870</v>
      </c>
      <c r="P1691" s="789">
        <f t="shared" si="1231"/>
        <v>2155857</v>
      </c>
      <c r="R1691" s="317"/>
      <c r="U1691" s="320"/>
    </row>
    <row r="1692" spans="1:21" outlineLevel="3">
      <c r="A1692" s="332"/>
      <c r="B1692" s="339"/>
      <c r="C1692" s="773">
        <v>3111401</v>
      </c>
      <c r="D1692" s="774" t="s">
        <v>1264</v>
      </c>
      <c r="E1692" s="790">
        <v>0</v>
      </c>
      <c r="F1692" s="647"/>
      <c r="G1692" s="647"/>
      <c r="H1692" s="647"/>
      <c r="I1692" s="324">
        <f t="shared" si="1223"/>
        <v>0</v>
      </c>
      <c r="J1692" s="777"/>
      <c r="K1692" s="777"/>
      <c r="L1692" s="317">
        <f t="shared" si="1217"/>
        <v>0</v>
      </c>
      <c r="M1692" s="317"/>
      <c r="N1692" s="372">
        <f t="shared" si="1220"/>
        <v>0</v>
      </c>
      <c r="O1692" s="319">
        <f>L1692*1.1</f>
        <v>0</v>
      </c>
      <c r="P1692" s="319">
        <f t="shared" si="1227"/>
        <v>0</v>
      </c>
      <c r="R1692" s="317"/>
      <c r="U1692" s="320"/>
    </row>
    <row r="1693" spans="1:21" outlineLevel="3">
      <c r="A1693" s="332"/>
      <c r="B1693" s="339"/>
      <c r="C1693" s="773">
        <v>3111402</v>
      </c>
      <c r="D1693" s="774" t="s">
        <v>374</v>
      </c>
      <c r="E1693" s="778">
        <f>1000000-300000</f>
        <v>700000</v>
      </c>
      <c r="F1693" s="647"/>
      <c r="G1693" s="647"/>
      <c r="H1693" s="647"/>
      <c r="I1693" s="324">
        <f t="shared" si="1223"/>
        <v>700000</v>
      </c>
      <c r="J1693" s="791"/>
      <c r="K1693" s="791"/>
      <c r="L1693" s="317">
        <f t="shared" si="1217"/>
        <v>700000</v>
      </c>
      <c r="M1693" s="317"/>
      <c r="N1693" s="372">
        <f t="shared" si="1220"/>
        <v>0</v>
      </c>
      <c r="O1693" s="792">
        <f t="shared" ref="O1693:P1693" si="1232">O1657+O1659+O1663+O1667+O1671+O1676+O1679+O1683+O1686+O1689</f>
        <v>1959870</v>
      </c>
      <c r="P1693" s="792">
        <f t="shared" si="1232"/>
        <v>2155857</v>
      </c>
      <c r="R1693" s="317"/>
      <c r="U1693" s="320"/>
    </row>
    <row r="1694" spans="1:21" outlineLevel="3">
      <c r="A1694" s="314"/>
      <c r="B1694" s="703"/>
      <c r="C1694" s="780" t="s">
        <v>1751</v>
      </c>
      <c r="D1694" s="781"/>
      <c r="E1694" s="782">
        <f>E1659+E1661+E1665+E1669+E1673+E1678+E1681+E1685+E1688+E1691</f>
        <v>5609300</v>
      </c>
      <c r="F1694" s="782">
        <f t="shared" ref="F1694:K1694" si="1233">F1659+F1661+F1665+F1669+F1673+F1678+F1681+F1685+F1688+F1691</f>
        <v>0</v>
      </c>
      <c r="G1694" s="782">
        <f t="shared" si="1233"/>
        <v>0</v>
      </c>
      <c r="H1694" s="782">
        <f t="shared" si="1233"/>
        <v>0</v>
      </c>
      <c r="I1694" s="782">
        <f t="shared" si="1233"/>
        <v>5609300</v>
      </c>
      <c r="J1694" s="782">
        <f t="shared" si="1233"/>
        <v>0</v>
      </c>
      <c r="K1694" s="782">
        <f t="shared" si="1233"/>
        <v>415050</v>
      </c>
      <c r="L1694" s="317">
        <f t="shared" si="1217"/>
        <v>6024350</v>
      </c>
      <c r="M1694" s="317"/>
      <c r="N1694" s="372">
        <f t="shared" si="1220"/>
        <v>-415050</v>
      </c>
      <c r="O1694" s="782">
        <f t="shared" ref="O1694:P1694" si="1234">O1659+O1661+O1665+O1669+O1673+O1678+O1681+O1685+O1688+O1691</f>
        <v>7644875</v>
      </c>
      <c r="P1694" s="782">
        <f t="shared" si="1234"/>
        <v>8347582.5</v>
      </c>
      <c r="R1694" s="317"/>
      <c r="U1694" s="320"/>
    </row>
    <row r="1695" spans="1:21" outlineLevel="3">
      <c r="A1695" s="332"/>
      <c r="B1695" s="339"/>
      <c r="C1695" s="362"/>
      <c r="D1695" s="769"/>
      <c r="E1695" s="778"/>
      <c r="F1695" s="622"/>
      <c r="G1695" s="622"/>
      <c r="H1695" s="622"/>
      <c r="I1695" s="324">
        <f t="shared" si="1223"/>
        <v>0</v>
      </c>
      <c r="J1695" s="793"/>
      <c r="K1695" s="793"/>
      <c r="L1695" s="317">
        <f t="shared" si="1217"/>
        <v>0</v>
      </c>
      <c r="M1695" s="317"/>
      <c r="N1695" s="372">
        <f t="shared" si="1220"/>
        <v>0</v>
      </c>
      <c r="O1695" s="792"/>
      <c r="P1695" s="792"/>
      <c r="R1695" s="317"/>
      <c r="U1695" s="320"/>
    </row>
    <row r="1696" spans="1:21" outlineLevel="3">
      <c r="A1696" s="332"/>
      <c r="B1696" s="339"/>
      <c r="C1696" s="340" t="s">
        <v>373</v>
      </c>
      <c r="D1696" s="612"/>
      <c r="E1696" s="778"/>
      <c r="F1696" s="397"/>
      <c r="G1696" s="397"/>
      <c r="H1696" s="397"/>
      <c r="I1696" s="324">
        <f t="shared" si="1223"/>
        <v>0</v>
      </c>
      <c r="J1696" s="793"/>
      <c r="K1696" s="793"/>
      <c r="L1696" s="317">
        <f t="shared" si="1217"/>
        <v>0</v>
      </c>
      <c r="M1696" s="317"/>
      <c r="N1696" s="372">
        <f t="shared" si="1220"/>
        <v>0</v>
      </c>
      <c r="O1696" s="792"/>
      <c r="P1696" s="792"/>
      <c r="R1696" s="317"/>
      <c r="U1696" s="320"/>
    </row>
    <row r="1697" spans="1:21" outlineLevel="3">
      <c r="A1697" s="332"/>
      <c r="B1697" s="339"/>
      <c r="C1697" s="770">
        <v>3110200</v>
      </c>
      <c r="D1697" s="771" t="s">
        <v>375</v>
      </c>
      <c r="E1697" s="772">
        <f>E1698</f>
        <v>0</v>
      </c>
      <c r="F1697" s="772">
        <f t="shared" ref="F1697:K1697" si="1235">F1698</f>
        <v>0</v>
      </c>
      <c r="G1697" s="772">
        <f t="shared" si="1235"/>
        <v>0</v>
      </c>
      <c r="H1697" s="772">
        <f t="shared" si="1235"/>
        <v>0</v>
      </c>
      <c r="I1697" s="772">
        <f t="shared" si="1235"/>
        <v>0</v>
      </c>
      <c r="J1697" s="384">
        <f t="shared" si="1235"/>
        <v>0</v>
      </c>
      <c r="K1697" s="384">
        <f t="shared" si="1235"/>
        <v>300000</v>
      </c>
      <c r="L1697" s="317">
        <f t="shared" si="1217"/>
        <v>300000</v>
      </c>
      <c r="M1697" s="317"/>
      <c r="N1697" s="372">
        <f t="shared" si="1220"/>
        <v>-300000</v>
      </c>
      <c r="O1697" s="319">
        <f t="shared" ref="O1697" si="1236">L1697*1.1</f>
        <v>330000</v>
      </c>
      <c r="P1697" s="319">
        <f t="shared" ref="P1697" si="1237">O1697*1.1</f>
        <v>363000.00000000006</v>
      </c>
      <c r="R1697" s="317"/>
      <c r="U1697" s="320"/>
    </row>
    <row r="1698" spans="1:21" outlineLevel="3">
      <c r="A1698" s="332"/>
      <c r="B1698" s="339"/>
      <c r="C1698" s="773">
        <v>3110202</v>
      </c>
      <c r="D1698" s="774" t="s">
        <v>1495</v>
      </c>
      <c r="E1698" s="778"/>
      <c r="F1698" s="647"/>
      <c r="G1698" s="647"/>
      <c r="H1698" s="647"/>
      <c r="I1698" s="324">
        <f t="shared" si="1223"/>
        <v>0</v>
      </c>
      <c r="J1698" s="471"/>
      <c r="K1698" s="471">
        <v>300000</v>
      </c>
      <c r="L1698" s="317">
        <f t="shared" si="1217"/>
        <v>300000</v>
      </c>
      <c r="M1698" s="317"/>
      <c r="N1698" s="372">
        <f t="shared" si="1220"/>
        <v>-300000</v>
      </c>
      <c r="O1698" s="474"/>
      <c r="P1698" s="474"/>
      <c r="R1698" s="317"/>
      <c r="U1698" s="320"/>
    </row>
    <row r="1699" spans="1:21" outlineLevel="3">
      <c r="A1699" s="340"/>
      <c r="B1699" s="339"/>
      <c r="C1699" s="770">
        <v>3110500</v>
      </c>
      <c r="D1699" s="771" t="s">
        <v>260</v>
      </c>
      <c r="E1699" s="772">
        <f>E1700+E1701</f>
        <v>9080000</v>
      </c>
      <c r="F1699" s="772">
        <f t="shared" ref="F1699:P1699" si="1238">F1700+F1701</f>
        <v>0</v>
      </c>
      <c r="G1699" s="772">
        <f t="shared" si="1238"/>
        <v>0</v>
      </c>
      <c r="H1699" s="772">
        <f t="shared" si="1238"/>
        <v>0</v>
      </c>
      <c r="I1699" s="772">
        <f t="shared" si="1238"/>
        <v>9080000</v>
      </c>
      <c r="J1699" s="772">
        <f t="shared" si="1238"/>
        <v>0</v>
      </c>
      <c r="K1699" s="772">
        <f t="shared" si="1238"/>
        <v>0</v>
      </c>
      <c r="L1699" s="317">
        <f t="shared" si="1217"/>
        <v>9080000</v>
      </c>
      <c r="M1699" s="317"/>
      <c r="N1699" s="372">
        <f t="shared" si="1220"/>
        <v>0</v>
      </c>
      <c r="O1699" s="772">
        <f t="shared" si="1238"/>
        <v>9988000</v>
      </c>
      <c r="P1699" s="772">
        <f t="shared" si="1238"/>
        <v>10986800</v>
      </c>
      <c r="R1699" s="317"/>
      <c r="U1699" s="320"/>
    </row>
    <row r="1700" spans="1:21" outlineLevel="3">
      <c r="A1700" s="332"/>
      <c r="B1700" s="339"/>
      <c r="C1700" s="773">
        <v>3110599</v>
      </c>
      <c r="D1700" s="774" t="s">
        <v>1496</v>
      </c>
      <c r="E1700" s="778">
        <v>4540000</v>
      </c>
      <c r="F1700" s="647"/>
      <c r="G1700" s="647"/>
      <c r="H1700" s="647"/>
      <c r="I1700" s="324">
        <f t="shared" si="1223"/>
        <v>4540000</v>
      </c>
      <c r="J1700" s="777"/>
      <c r="K1700" s="777"/>
      <c r="L1700" s="317">
        <f t="shared" si="1217"/>
        <v>4540000</v>
      </c>
      <c r="M1700" s="317"/>
      <c r="N1700" s="372">
        <f t="shared" si="1220"/>
        <v>0</v>
      </c>
      <c r="O1700" s="319">
        <f t="shared" ref="O1700:O1701" si="1239">L1700*1.1</f>
        <v>4994000</v>
      </c>
      <c r="P1700" s="319">
        <f t="shared" ref="P1700:P1701" si="1240">O1700*1.1</f>
        <v>5493400</v>
      </c>
      <c r="R1700" s="317"/>
      <c r="U1700" s="320"/>
    </row>
    <row r="1701" spans="1:21" outlineLevel="3">
      <c r="A1701" s="332"/>
      <c r="B1701" s="339"/>
      <c r="C1701" s="773">
        <v>3110599</v>
      </c>
      <c r="D1701" s="774" t="s">
        <v>1497</v>
      </c>
      <c r="E1701" s="778">
        <v>4540000</v>
      </c>
      <c r="F1701" s="647"/>
      <c r="G1701" s="647"/>
      <c r="H1701" s="647"/>
      <c r="I1701" s="324">
        <f t="shared" si="1223"/>
        <v>4540000</v>
      </c>
      <c r="J1701" s="777"/>
      <c r="K1701" s="777"/>
      <c r="L1701" s="317">
        <f t="shared" si="1217"/>
        <v>4540000</v>
      </c>
      <c r="M1701" s="317"/>
      <c r="N1701" s="372">
        <f t="shared" si="1220"/>
        <v>0</v>
      </c>
      <c r="O1701" s="319">
        <f t="shared" si="1239"/>
        <v>4994000</v>
      </c>
      <c r="P1701" s="319">
        <f t="shared" si="1240"/>
        <v>5493400</v>
      </c>
      <c r="R1701" s="317"/>
      <c r="U1701" s="320"/>
    </row>
    <row r="1702" spans="1:21" outlineLevel="3">
      <c r="A1702" s="340"/>
      <c r="B1702" s="339"/>
      <c r="C1702" s="770">
        <v>3111400</v>
      </c>
      <c r="D1702" s="771" t="s">
        <v>602</v>
      </c>
      <c r="E1702" s="789">
        <f>E1703</f>
        <v>0</v>
      </c>
      <c r="F1702" s="621"/>
      <c r="G1702" s="621"/>
      <c r="H1702" s="621"/>
      <c r="I1702" s="324">
        <f t="shared" si="1223"/>
        <v>0</v>
      </c>
      <c r="J1702" s="384">
        <f t="shared" ref="J1702:K1702" si="1241">J1703</f>
        <v>0</v>
      </c>
      <c r="K1702" s="384">
        <f t="shared" si="1241"/>
        <v>0</v>
      </c>
      <c r="L1702" s="317">
        <f t="shared" si="1217"/>
        <v>0</v>
      </c>
      <c r="M1702" s="317"/>
      <c r="N1702" s="372">
        <f t="shared" si="1220"/>
        <v>0</v>
      </c>
      <c r="O1702" s="794">
        <f t="shared" ref="O1702:P1702" si="1242">O1703</f>
        <v>0</v>
      </c>
      <c r="P1702" s="794">
        <f t="shared" si="1242"/>
        <v>0</v>
      </c>
      <c r="R1702" s="317"/>
      <c r="U1702" s="320"/>
    </row>
    <row r="1703" spans="1:21" outlineLevel="3">
      <c r="A1703" s="332"/>
      <c r="B1703" s="339"/>
      <c r="C1703" s="773">
        <v>3111401</v>
      </c>
      <c r="D1703" s="774" t="s">
        <v>1264</v>
      </c>
      <c r="E1703" s="790"/>
      <c r="F1703" s="647"/>
      <c r="G1703" s="647"/>
      <c r="H1703" s="647"/>
      <c r="I1703" s="324">
        <f t="shared" si="1223"/>
        <v>0</v>
      </c>
      <c r="J1703" s="791"/>
      <c r="K1703" s="791"/>
      <c r="L1703" s="317">
        <f t="shared" si="1217"/>
        <v>0</v>
      </c>
      <c r="M1703" s="317"/>
      <c r="N1703" s="372">
        <f t="shared" si="1220"/>
        <v>0</v>
      </c>
      <c r="O1703" s="792"/>
      <c r="P1703" s="792"/>
      <c r="R1703" s="317"/>
      <c r="U1703" s="320"/>
    </row>
    <row r="1704" spans="1:21" outlineLevel="1">
      <c r="A1704" s="314"/>
      <c r="B1704" s="703"/>
      <c r="C1704" s="780" t="s">
        <v>376</v>
      </c>
      <c r="D1704" s="781"/>
      <c r="E1704" s="700">
        <f>E1697+E1699+E1702</f>
        <v>9080000</v>
      </c>
      <c r="F1704" s="700">
        <f t="shared" ref="F1704:K1704" si="1243">F1697+F1699+F1702</f>
        <v>0</v>
      </c>
      <c r="G1704" s="700">
        <f t="shared" si="1243"/>
        <v>0</v>
      </c>
      <c r="H1704" s="700">
        <f t="shared" si="1243"/>
        <v>0</v>
      </c>
      <c r="I1704" s="700">
        <f t="shared" si="1243"/>
        <v>9080000</v>
      </c>
      <c r="J1704" s="700">
        <f t="shared" si="1243"/>
        <v>0</v>
      </c>
      <c r="K1704" s="700">
        <f t="shared" si="1243"/>
        <v>300000</v>
      </c>
      <c r="L1704" s="317">
        <f t="shared" si="1217"/>
        <v>9380000</v>
      </c>
      <c r="M1704" s="317"/>
      <c r="N1704" s="372">
        <f t="shared" si="1220"/>
        <v>-300000</v>
      </c>
      <c r="O1704" s="700">
        <f t="shared" ref="O1704:P1704" si="1244">O1697+O1699+O1702</f>
        <v>10318000</v>
      </c>
      <c r="P1704" s="700">
        <f t="shared" si="1244"/>
        <v>11349800</v>
      </c>
      <c r="R1704" s="317"/>
      <c r="U1704" s="320"/>
    </row>
    <row r="1705" spans="1:21" outlineLevel="1">
      <c r="A1705" s="314"/>
      <c r="B1705" s="703"/>
      <c r="C1705" s="780" t="s">
        <v>84</v>
      </c>
      <c r="D1705" s="795"/>
      <c r="E1705" s="700">
        <f>E1694+E1704</f>
        <v>14689300</v>
      </c>
      <c r="F1705" s="700">
        <f t="shared" ref="F1705:K1705" si="1245">F1694+F1704</f>
        <v>0</v>
      </c>
      <c r="G1705" s="700">
        <f t="shared" si="1245"/>
        <v>0</v>
      </c>
      <c r="H1705" s="700">
        <f t="shared" si="1245"/>
        <v>0</v>
      </c>
      <c r="I1705" s="700">
        <f t="shared" si="1245"/>
        <v>14689300</v>
      </c>
      <c r="J1705" s="700">
        <f t="shared" si="1245"/>
        <v>0</v>
      </c>
      <c r="K1705" s="700">
        <f t="shared" si="1245"/>
        <v>715050</v>
      </c>
      <c r="L1705" s="317">
        <f t="shared" si="1217"/>
        <v>15404350</v>
      </c>
      <c r="M1705" s="317"/>
      <c r="N1705" s="372">
        <f t="shared" si="1220"/>
        <v>-715050</v>
      </c>
      <c r="O1705" s="700">
        <f t="shared" ref="O1705:P1705" si="1246">O1694+O1704</f>
        <v>17962875</v>
      </c>
      <c r="P1705" s="700">
        <f t="shared" si="1246"/>
        <v>19697382.5</v>
      </c>
      <c r="R1705" s="317"/>
      <c r="U1705" s="320"/>
    </row>
    <row r="1706" spans="1:21" outlineLevel="1">
      <c r="A1706" s="332"/>
      <c r="B1706" s="339"/>
      <c r="C1706" s="362"/>
      <c r="D1706" s="796"/>
      <c r="E1706" s="778"/>
      <c r="F1706" s="789"/>
      <c r="G1706" s="789"/>
      <c r="H1706" s="789"/>
      <c r="I1706" s="324">
        <f t="shared" si="1223"/>
        <v>0</v>
      </c>
      <c r="J1706" s="779"/>
      <c r="K1706" s="779"/>
      <c r="L1706" s="317">
        <f t="shared" si="1217"/>
        <v>0</v>
      </c>
      <c r="M1706" s="317"/>
      <c r="N1706" s="372">
        <f t="shared" si="1220"/>
        <v>0</v>
      </c>
      <c r="O1706" s="319">
        <f>L1706*1.1</f>
        <v>0</v>
      </c>
      <c r="P1706" s="319">
        <f t="shared" si="1227"/>
        <v>0</v>
      </c>
      <c r="R1706" s="317"/>
      <c r="U1706" s="320"/>
    </row>
    <row r="1707" spans="1:21" outlineLevel="1">
      <c r="A1707" s="332"/>
      <c r="B1707" s="339"/>
      <c r="C1707" s="362"/>
      <c r="D1707" s="769"/>
      <c r="E1707" s="778"/>
      <c r="F1707" s="622"/>
      <c r="G1707" s="622"/>
      <c r="H1707" s="622"/>
      <c r="I1707" s="324">
        <f t="shared" si="1223"/>
        <v>0</v>
      </c>
      <c r="J1707" s="779"/>
      <c r="K1707" s="779"/>
      <c r="L1707" s="317">
        <f t="shared" si="1217"/>
        <v>0</v>
      </c>
      <c r="M1707" s="317"/>
      <c r="N1707" s="372">
        <f t="shared" si="1220"/>
        <v>0</v>
      </c>
      <c r="O1707" s="319">
        <f>L1707*1.1</f>
        <v>0</v>
      </c>
      <c r="P1707" s="319">
        <f t="shared" si="1227"/>
        <v>0</v>
      </c>
      <c r="R1707" s="317"/>
      <c r="U1707" s="320"/>
    </row>
    <row r="1708" spans="1:21" outlineLevel="1">
      <c r="A1708" s="382"/>
      <c r="B1708" s="703" t="s">
        <v>146</v>
      </c>
      <c r="C1708" s="314" t="s">
        <v>1752</v>
      </c>
      <c r="D1708" s="617"/>
      <c r="E1708" s="787"/>
      <c r="F1708" s="438"/>
      <c r="G1708" s="438"/>
      <c r="H1708" s="438"/>
      <c r="I1708" s="324">
        <f t="shared" si="1223"/>
        <v>0</v>
      </c>
      <c r="J1708" s="779"/>
      <c r="K1708" s="779"/>
      <c r="L1708" s="317">
        <f t="shared" si="1217"/>
        <v>0</v>
      </c>
      <c r="M1708" s="317"/>
      <c r="N1708" s="372">
        <f t="shared" si="1220"/>
        <v>0</v>
      </c>
      <c r="O1708" s="319">
        <f>L1708*1.1</f>
        <v>0</v>
      </c>
      <c r="P1708" s="319">
        <f t="shared" ref="P1708:P1748" si="1247">O1708*1.1</f>
        <v>0</v>
      </c>
      <c r="R1708" s="317"/>
      <c r="U1708" s="320"/>
    </row>
    <row r="1709" spans="1:21" outlineLevel="3">
      <c r="A1709" s="382"/>
      <c r="B1709" s="703"/>
      <c r="C1709" s="314" t="s">
        <v>377</v>
      </c>
      <c r="D1709" s="617"/>
      <c r="E1709" s="787"/>
      <c r="F1709" s="438"/>
      <c r="G1709" s="438"/>
      <c r="H1709" s="438"/>
      <c r="I1709" s="324">
        <f t="shared" si="1223"/>
        <v>0</v>
      </c>
      <c r="J1709" s="797"/>
      <c r="K1709" s="797"/>
      <c r="L1709" s="317">
        <f t="shared" si="1217"/>
        <v>0</v>
      </c>
      <c r="M1709" s="317"/>
      <c r="N1709" s="372">
        <f t="shared" si="1220"/>
        <v>0</v>
      </c>
      <c r="O1709" s="474">
        <f t="shared" ref="O1709:P1709" si="1248">O1710</f>
        <v>0</v>
      </c>
      <c r="P1709" s="474">
        <f t="shared" si="1248"/>
        <v>0</v>
      </c>
      <c r="R1709" s="317"/>
      <c r="U1709" s="320"/>
    </row>
    <row r="1710" spans="1:21" outlineLevel="3">
      <c r="A1710" s="332"/>
      <c r="B1710" s="339"/>
      <c r="C1710" s="770">
        <v>2110100</v>
      </c>
      <c r="D1710" s="771" t="s">
        <v>13</v>
      </c>
      <c r="E1710" s="772">
        <f>E1711</f>
        <v>0</v>
      </c>
      <c r="F1710" s="621"/>
      <c r="G1710" s="621"/>
      <c r="H1710" s="621"/>
      <c r="I1710" s="324">
        <f t="shared" si="1223"/>
        <v>0</v>
      </c>
      <c r="J1710" s="779"/>
      <c r="K1710" s="779"/>
      <c r="L1710" s="317">
        <f t="shared" si="1217"/>
        <v>0</v>
      </c>
      <c r="M1710" s="317"/>
      <c r="N1710" s="372">
        <f t="shared" si="1220"/>
        <v>0</v>
      </c>
      <c r="O1710" s="319">
        <f>L1710*1.1</f>
        <v>0</v>
      </c>
      <c r="P1710" s="319">
        <f t="shared" si="1247"/>
        <v>0</v>
      </c>
      <c r="R1710" s="317"/>
      <c r="U1710" s="320"/>
    </row>
    <row r="1711" spans="1:21" outlineLevel="3">
      <c r="A1711" s="332"/>
      <c r="B1711" s="339"/>
      <c r="C1711" s="773">
        <v>2110101</v>
      </c>
      <c r="D1711" s="774" t="s">
        <v>14</v>
      </c>
      <c r="E1711" s="778"/>
      <c r="F1711" s="647"/>
      <c r="G1711" s="647"/>
      <c r="H1711" s="647"/>
      <c r="I1711" s="324">
        <f t="shared" si="1223"/>
        <v>0</v>
      </c>
      <c r="J1711" s="471"/>
      <c r="K1711" s="471"/>
      <c r="L1711" s="317">
        <f t="shared" si="1217"/>
        <v>0</v>
      </c>
      <c r="M1711" s="317"/>
      <c r="N1711" s="372">
        <f t="shared" si="1220"/>
        <v>0</v>
      </c>
      <c r="O1711" s="474"/>
      <c r="P1711" s="474"/>
      <c r="R1711" s="317"/>
      <c r="U1711" s="320"/>
    </row>
    <row r="1712" spans="1:21" outlineLevel="3">
      <c r="A1712" s="332"/>
      <c r="B1712" s="339"/>
      <c r="C1712" s="770">
        <v>2210200</v>
      </c>
      <c r="D1712" s="771" t="s">
        <v>20</v>
      </c>
      <c r="E1712" s="772">
        <f>SUM(E1713:E1715)</f>
        <v>350000</v>
      </c>
      <c r="F1712" s="772">
        <f t="shared" ref="F1712:K1712" si="1249">SUM(F1713:F1715)</f>
        <v>0</v>
      </c>
      <c r="G1712" s="772">
        <f t="shared" si="1249"/>
        <v>0</v>
      </c>
      <c r="H1712" s="772">
        <f t="shared" si="1249"/>
        <v>0</v>
      </c>
      <c r="I1712" s="772">
        <f t="shared" si="1249"/>
        <v>350000</v>
      </c>
      <c r="J1712" s="772">
        <f t="shared" si="1249"/>
        <v>0</v>
      </c>
      <c r="K1712" s="772">
        <f t="shared" si="1249"/>
        <v>-20000</v>
      </c>
      <c r="L1712" s="317">
        <f t="shared" si="1217"/>
        <v>330000</v>
      </c>
      <c r="M1712" s="317"/>
      <c r="N1712" s="372">
        <f t="shared" si="1220"/>
        <v>20000</v>
      </c>
      <c r="O1712" s="772">
        <f t="shared" ref="O1712:P1712" si="1250">SUM(O1713:O1715)</f>
        <v>363000</v>
      </c>
      <c r="P1712" s="772">
        <f t="shared" si="1250"/>
        <v>399300</v>
      </c>
      <c r="R1712" s="317"/>
      <c r="U1712" s="320"/>
    </row>
    <row r="1713" spans="1:21" outlineLevel="3">
      <c r="A1713" s="332"/>
      <c r="B1713" s="339"/>
      <c r="C1713" s="773">
        <v>2210201</v>
      </c>
      <c r="D1713" s="774" t="s">
        <v>187</v>
      </c>
      <c r="E1713" s="778">
        <v>280000</v>
      </c>
      <c r="F1713" s="647"/>
      <c r="G1713" s="647"/>
      <c r="H1713" s="647"/>
      <c r="I1713" s="324">
        <f t="shared" si="1223"/>
        <v>280000</v>
      </c>
      <c r="J1713" s="777"/>
      <c r="K1713" s="777"/>
      <c r="L1713" s="317">
        <f t="shared" si="1217"/>
        <v>280000</v>
      </c>
      <c r="M1713" s="317"/>
      <c r="N1713" s="372">
        <f t="shared" si="1220"/>
        <v>0</v>
      </c>
      <c r="O1713" s="319">
        <f>L1713*1.1</f>
        <v>308000</v>
      </c>
      <c r="P1713" s="319">
        <f t="shared" si="1247"/>
        <v>338800</v>
      </c>
      <c r="R1713" s="317"/>
      <c r="U1713" s="320"/>
    </row>
    <row r="1714" spans="1:21" outlineLevel="3">
      <c r="A1714" s="332"/>
      <c r="B1714" s="339"/>
      <c r="C1714" s="773">
        <v>2210202</v>
      </c>
      <c r="D1714" s="774" t="s">
        <v>359</v>
      </c>
      <c r="E1714" s="778">
        <v>50000</v>
      </c>
      <c r="F1714" s="647"/>
      <c r="G1714" s="647"/>
      <c r="H1714" s="647"/>
      <c r="I1714" s="324">
        <f t="shared" si="1223"/>
        <v>50000</v>
      </c>
      <c r="J1714" s="777"/>
      <c r="K1714" s="777"/>
      <c r="L1714" s="317">
        <f t="shared" si="1217"/>
        <v>50000</v>
      </c>
      <c r="M1714" s="317"/>
      <c r="N1714" s="372">
        <f t="shared" si="1220"/>
        <v>0</v>
      </c>
      <c r="O1714" s="319">
        <f>L1714*1.1</f>
        <v>55000.000000000007</v>
      </c>
      <c r="P1714" s="319">
        <f t="shared" si="1247"/>
        <v>60500.000000000015</v>
      </c>
      <c r="R1714" s="317"/>
      <c r="U1714" s="320"/>
    </row>
    <row r="1715" spans="1:21" outlineLevel="3">
      <c r="A1715" s="332"/>
      <c r="B1715" s="339"/>
      <c r="C1715" s="773">
        <v>2210203</v>
      </c>
      <c r="D1715" s="774" t="s">
        <v>23</v>
      </c>
      <c r="E1715" s="778">
        <v>20000</v>
      </c>
      <c r="F1715" s="647"/>
      <c r="G1715" s="647"/>
      <c r="H1715" s="647"/>
      <c r="I1715" s="324">
        <f t="shared" si="1223"/>
        <v>20000</v>
      </c>
      <c r="J1715" s="471"/>
      <c r="K1715" s="471">
        <v>-20000</v>
      </c>
      <c r="L1715" s="317">
        <f t="shared" si="1217"/>
        <v>0</v>
      </c>
      <c r="M1715" s="317"/>
      <c r="N1715" s="372">
        <f t="shared" si="1220"/>
        <v>20000</v>
      </c>
      <c r="O1715" s="471">
        <f>L1715*1.1</f>
        <v>0</v>
      </c>
      <c r="P1715" s="471">
        <f>O1715*1.1</f>
        <v>0</v>
      </c>
      <c r="R1715" s="317"/>
      <c r="U1715" s="320"/>
    </row>
    <row r="1716" spans="1:21" outlineLevel="3">
      <c r="A1716" s="332"/>
      <c r="B1716" s="339"/>
      <c r="C1716" s="770">
        <v>2210300</v>
      </c>
      <c r="D1716" s="771" t="s">
        <v>24</v>
      </c>
      <c r="E1716" s="772">
        <f>E1717+E1718+E1719</f>
        <v>1261300</v>
      </c>
      <c r="F1716" s="772">
        <f t="shared" ref="F1716:K1716" si="1251">F1717+F1718+F1719</f>
        <v>0</v>
      </c>
      <c r="G1716" s="772">
        <f t="shared" si="1251"/>
        <v>0</v>
      </c>
      <c r="H1716" s="772">
        <f t="shared" si="1251"/>
        <v>0</v>
      </c>
      <c r="I1716" s="772">
        <f t="shared" si="1251"/>
        <v>1261300</v>
      </c>
      <c r="J1716" s="772">
        <f t="shared" si="1251"/>
        <v>0</v>
      </c>
      <c r="K1716" s="772">
        <f t="shared" si="1251"/>
        <v>0</v>
      </c>
      <c r="L1716" s="317">
        <f t="shared" si="1217"/>
        <v>1261300</v>
      </c>
      <c r="M1716" s="317"/>
      <c r="N1716" s="372">
        <f t="shared" si="1220"/>
        <v>0</v>
      </c>
      <c r="O1716" s="772">
        <f t="shared" ref="O1716:P1716" si="1252">O1717+O1718+O1719</f>
        <v>1387430</v>
      </c>
      <c r="P1716" s="772">
        <f t="shared" si="1252"/>
        <v>1526173</v>
      </c>
      <c r="R1716" s="317"/>
      <c r="U1716" s="320"/>
    </row>
    <row r="1717" spans="1:21" outlineLevel="3">
      <c r="A1717" s="332"/>
      <c r="B1717" s="339"/>
      <c r="C1717" s="773">
        <v>2210301</v>
      </c>
      <c r="D1717" s="774" t="s">
        <v>188</v>
      </c>
      <c r="E1717" s="778">
        <v>400000</v>
      </c>
      <c r="F1717" s="647"/>
      <c r="G1717" s="647"/>
      <c r="H1717" s="647"/>
      <c r="I1717" s="324">
        <f t="shared" si="1223"/>
        <v>400000</v>
      </c>
      <c r="J1717" s="777"/>
      <c r="K1717" s="777"/>
      <c r="L1717" s="317">
        <f t="shared" si="1217"/>
        <v>400000</v>
      </c>
      <c r="M1717" s="317"/>
      <c r="N1717" s="372">
        <f t="shared" si="1220"/>
        <v>0</v>
      </c>
      <c r="O1717" s="319">
        <f t="shared" ref="O1717:O1718" si="1253">L1717*1.1</f>
        <v>440000.00000000006</v>
      </c>
      <c r="P1717" s="319">
        <f t="shared" ref="P1717:P1718" si="1254">O1717*1.1</f>
        <v>484000.00000000012</v>
      </c>
      <c r="R1717" s="317"/>
      <c r="U1717" s="320"/>
    </row>
    <row r="1718" spans="1:21" outlineLevel="3">
      <c r="A1718" s="332"/>
      <c r="B1718" s="339"/>
      <c r="C1718" s="773">
        <v>2210302</v>
      </c>
      <c r="D1718" s="774" t="s">
        <v>26</v>
      </c>
      <c r="E1718" s="778">
        <f>678500-200000</f>
        <v>478500</v>
      </c>
      <c r="F1718" s="647"/>
      <c r="G1718" s="647"/>
      <c r="H1718" s="647"/>
      <c r="I1718" s="324">
        <f t="shared" si="1223"/>
        <v>478500</v>
      </c>
      <c r="J1718" s="777"/>
      <c r="K1718" s="777"/>
      <c r="L1718" s="317">
        <f t="shared" si="1217"/>
        <v>478500</v>
      </c>
      <c r="M1718" s="317"/>
      <c r="N1718" s="372">
        <f t="shared" si="1220"/>
        <v>0</v>
      </c>
      <c r="O1718" s="319">
        <f t="shared" si="1253"/>
        <v>526350</v>
      </c>
      <c r="P1718" s="319">
        <f t="shared" si="1254"/>
        <v>578985</v>
      </c>
      <c r="R1718" s="317"/>
      <c r="U1718" s="320"/>
    </row>
    <row r="1719" spans="1:21" outlineLevel="3">
      <c r="A1719" s="332"/>
      <c r="B1719" s="339"/>
      <c r="C1719" s="773">
        <v>2210303</v>
      </c>
      <c r="D1719" s="774" t="s">
        <v>223</v>
      </c>
      <c r="E1719" s="778">
        <v>382800</v>
      </c>
      <c r="F1719" s="647"/>
      <c r="G1719" s="647"/>
      <c r="H1719" s="647"/>
      <c r="I1719" s="324">
        <f t="shared" si="1223"/>
        <v>382800</v>
      </c>
      <c r="J1719" s="471"/>
      <c r="K1719" s="471"/>
      <c r="L1719" s="317">
        <f t="shared" si="1217"/>
        <v>382800</v>
      </c>
      <c r="M1719" s="317"/>
      <c r="N1719" s="372">
        <f t="shared" si="1220"/>
        <v>0</v>
      </c>
      <c r="O1719" s="788">
        <f>L1719*1.1</f>
        <v>421080.00000000006</v>
      </c>
      <c r="P1719" s="788">
        <f>O1719*1.1</f>
        <v>463188.00000000012</v>
      </c>
      <c r="R1719" s="317"/>
      <c r="U1719" s="320"/>
    </row>
    <row r="1720" spans="1:21" outlineLevel="3">
      <c r="A1720" s="332"/>
      <c r="B1720" s="339"/>
      <c r="C1720" s="770">
        <v>2210500</v>
      </c>
      <c r="D1720" s="771" t="s">
        <v>31</v>
      </c>
      <c r="E1720" s="772">
        <f>SUM(E1721:E1723)</f>
        <v>400000</v>
      </c>
      <c r="F1720" s="772">
        <f t="shared" ref="F1720:P1720" si="1255">SUM(F1721:F1723)</f>
        <v>0</v>
      </c>
      <c r="G1720" s="772">
        <f t="shared" si="1255"/>
        <v>0</v>
      </c>
      <c r="H1720" s="772">
        <f t="shared" si="1255"/>
        <v>0</v>
      </c>
      <c r="I1720" s="772">
        <f t="shared" si="1255"/>
        <v>400000</v>
      </c>
      <c r="J1720" s="772">
        <f t="shared" si="1255"/>
        <v>0</v>
      </c>
      <c r="K1720" s="772">
        <f t="shared" si="1255"/>
        <v>-30000</v>
      </c>
      <c r="L1720" s="317">
        <f t="shared" si="1217"/>
        <v>370000</v>
      </c>
      <c r="M1720" s="317"/>
      <c r="N1720" s="372">
        <f t="shared" si="1220"/>
        <v>30000</v>
      </c>
      <c r="O1720" s="772">
        <f t="shared" si="1255"/>
        <v>407000</v>
      </c>
      <c r="P1720" s="772">
        <f t="shared" si="1255"/>
        <v>447700.00000000012</v>
      </c>
      <c r="R1720" s="317"/>
      <c r="U1720" s="320"/>
    </row>
    <row r="1721" spans="1:21" outlineLevel="3">
      <c r="A1721" s="332"/>
      <c r="B1721" s="339"/>
      <c r="C1721" s="773">
        <v>2210502</v>
      </c>
      <c r="D1721" s="774" t="s">
        <v>105</v>
      </c>
      <c r="E1721" s="778">
        <v>100000</v>
      </c>
      <c r="F1721" s="647"/>
      <c r="G1721" s="647"/>
      <c r="H1721" s="647"/>
      <c r="I1721" s="324">
        <f t="shared" si="1223"/>
        <v>100000</v>
      </c>
      <c r="J1721" s="777"/>
      <c r="K1721" s="777"/>
      <c r="L1721" s="317">
        <f t="shared" si="1217"/>
        <v>100000</v>
      </c>
      <c r="M1721" s="317"/>
      <c r="N1721" s="372">
        <f t="shared" si="1220"/>
        <v>0</v>
      </c>
      <c r="O1721" s="319">
        <f t="shared" ref="O1721:O1722" si="1256">L1721*1.1</f>
        <v>110000.00000000001</v>
      </c>
      <c r="P1721" s="319">
        <f t="shared" ref="P1721:P1722" si="1257">O1721*1.1</f>
        <v>121000.00000000003</v>
      </c>
      <c r="R1721" s="317"/>
      <c r="U1721" s="320"/>
    </row>
    <row r="1722" spans="1:21" outlineLevel="3">
      <c r="A1722" s="332"/>
      <c r="B1722" s="339"/>
      <c r="C1722" s="773">
        <v>2210503</v>
      </c>
      <c r="D1722" s="774" t="s">
        <v>32</v>
      </c>
      <c r="E1722" s="778">
        <v>65000</v>
      </c>
      <c r="F1722" s="647"/>
      <c r="G1722" s="647"/>
      <c r="H1722" s="647"/>
      <c r="I1722" s="324">
        <f t="shared" si="1223"/>
        <v>65000</v>
      </c>
      <c r="J1722" s="777"/>
      <c r="K1722" s="555">
        <v>-30000</v>
      </c>
      <c r="L1722" s="317">
        <f t="shared" si="1217"/>
        <v>35000</v>
      </c>
      <c r="M1722" s="317"/>
      <c r="N1722" s="372">
        <f t="shared" si="1220"/>
        <v>30000</v>
      </c>
      <c r="O1722" s="319">
        <f t="shared" si="1256"/>
        <v>38500</v>
      </c>
      <c r="P1722" s="319">
        <f t="shared" si="1257"/>
        <v>42350</v>
      </c>
      <c r="R1722" s="317"/>
      <c r="U1722" s="320"/>
    </row>
    <row r="1723" spans="1:21" outlineLevel="3">
      <c r="A1723" s="332"/>
      <c r="B1723" s="339"/>
      <c r="C1723" s="773">
        <v>2210504</v>
      </c>
      <c r="D1723" s="774" t="s">
        <v>33</v>
      </c>
      <c r="E1723" s="778">
        <v>235000</v>
      </c>
      <c r="F1723" s="647"/>
      <c r="G1723" s="647"/>
      <c r="H1723" s="647"/>
      <c r="I1723" s="324">
        <f t="shared" si="1223"/>
        <v>235000</v>
      </c>
      <c r="J1723" s="471"/>
      <c r="K1723" s="471"/>
      <c r="L1723" s="317">
        <f t="shared" si="1217"/>
        <v>235000</v>
      </c>
      <c r="M1723" s="317"/>
      <c r="N1723" s="372">
        <f t="shared" si="1220"/>
        <v>0</v>
      </c>
      <c r="O1723" s="471">
        <f>L1723*1.1</f>
        <v>258500.00000000003</v>
      </c>
      <c r="P1723" s="471">
        <f>O1723*1.1</f>
        <v>284350.00000000006</v>
      </c>
      <c r="R1723" s="317"/>
      <c r="U1723" s="320"/>
    </row>
    <row r="1724" spans="1:21" outlineLevel="3">
      <c r="A1724" s="332"/>
      <c r="B1724" s="339"/>
      <c r="C1724" s="770">
        <v>2210700</v>
      </c>
      <c r="D1724" s="771" t="s">
        <v>35</v>
      </c>
      <c r="E1724" s="772">
        <f>SUM(E1725:E1728)</f>
        <v>775000</v>
      </c>
      <c r="F1724" s="772">
        <f t="shared" ref="F1724:K1724" si="1258">SUM(F1725:F1728)</f>
        <v>0</v>
      </c>
      <c r="G1724" s="772">
        <f t="shared" si="1258"/>
        <v>0</v>
      </c>
      <c r="H1724" s="772">
        <f t="shared" si="1258"/>
        <v>0</v>
      </c>
      <c r="I1724" s="772">
        <f t="shared" si="1258"/>
        <v>775000</v>
      </c>
      <c r="J1724" s="772">
        <f t="shared" si="1258"/>
        <v>0</v>
      </c>
      <c r="K1724" s="772">
        <f t="shared" si="1258"/>
        <v>0</v>
      </c>
      <c r="L1724" s="317">
        <f t="shared" si="1217"/>
        <v>775000</v>
      </c>
      <c r="M1724" s="317"/>
      <c r="N1724" s="372">
        <f t="shared" si="1220"/>
        <v>0</v>
      </c>
      <c r="O1724" s="772">
        <f t="shared" ref="O1724:P1724" si="1259">SUM(O1725:O1728)</f>
        <v>852500</v>
      </c>
      <c r="P1724" s="772">
        <f t="shared" si="1259"/>
        <v>937750.00000000023</v>
      </c>
      <c r="R1724" s="317"/>
      <c r="U1724" s="320"/>
    </row>
    <row r="1725" spans="1:21" outlineLevel="3">
      <c r="A1725" s="332"/>
      <c r="B1725" s="339"/>
      <c r="C1725" s="773">
        <v>2210701</v>
      </c>
      <c r="D1725" s="774" t="s">
        <v>190</v>
      </c>
      <c r="E1725" s="778">
        <v>75000</v>
      </c>
      <c r="F1725" s="647"/>
      <c r="G1725" s="647"/>
      <c r="H1725" s="647"/>
      <c r="I1725" s="324">
        <f t="shared" si="1223"/>
        <v>75000</v>
      </c>
      <c r="J1725" s="777"/>
      <c r="K1725" s="777"/>
      <c r="L1725" s="317">
        <f t="shared" si="1217"/>
        <v>75000</v>
      </c>
      <c r="M1725" s="317"/>
      <c r="N1725" s="372">
        <f t="shared" si="1220"/>
        <v>0</v>
      </c>
      <c r="O1725" s="319">
        <f t="shared" ref="O1725:O1727" si="1260">L1725*1.1</f>
        <v>82500</v>
      </c>
      <c r="P1725" s="319">
        <f t="shared" ref="P1725:P1727" si="1261">O1725*1.1</f>
        <v>90750.000000000015</v>
      </c>
      <c r="R1725" s="317"/>
      <c r="U1725" s="320"/>
    </row>
    <row r="1726" spans="1:21" outlineLevel="3">
      <c r="A1726" s="332"/>
      <c r="B1726" s="339"/>
      <c r="C1726" s="773">
        <v>2210704</v>
      </c>
      <c r="D1726" s="774" t="s">
        <v>38</v>
      </c>
      <c r="E1726" s="778">
        <v>100000</v>
      </c>
      <c r="F1726" s="647"/>
      <c r="G1726" s="647"/>
      <c r="H1726" s="647"/>
      <c r="I1726" s="324">
        <f t="shared" si="1223"/>
        <v>100000</v>
      </c>
      <c r="J1726" s="777"/>
      <c r="K1726" s="777"/>
      <c r="L1726" s="317">
        <f t="shared" si="1217"/>
        <v>100000</v>
      </c>
      <c r="M1726" s="317"/>
      <c r="N1726" s="372">
        <f t="shared" si="1220"/>
        <v>0</v>
      </c>
      <c r="O1726" s="319">
        <f t="shared" si="1260"/>
        <v>110000.00000000001</v>
      </c>
      <c r="P1726" s="319">
        <f t="shared" si="1261"/>
        <v>121000.00000000003</v>
      </c>
      <c r="R1726" s="317"/>
      <c r="U1726" s="320"/>
    </row>
    <row r="1727" spans="1:21" outlineLevel="3">
      <c r="A1727" s="332"/>
      <c r="B1727" s="339"/>
      <c r="C1727" s="773">
        <v>2210710</v>
      </c>
      <c r="D1727" s="774" t="s">
        <v>361</v>
      </c>
      <c r="E1727" s="778">
        <v>180000</v>
      </c>
      <c r="F1727" s="647"/>
      <c r="G1727" s="647"/>
      <c r="H1727" s="647"/>
      <c r="I1727" s="324">
        <f t="shared" si="1223"/>
        <v>180000</v>
      </c>
      <c r="J1727" s="777"/>
      <c r="K1727" s="777"/>
      <c r="L1727" s="317">
        <f t="shared" si="1217"/>
        <v>180000</v>
      </c>
      <c r="M1727" s="317"/>
      <c r="N1727" s="372">
        <f t="shared" si="1220"/>
        <v>0</v>
      </c>
      <c r="O1727" s="319">
        <f t="shared" si="1260"/>
        <v>198000.00000000003</v>
      </c>
      <c r="P1727" s="319">
        <f t="shared" si="1261"/>
        <v>217800.00000000006</v>
      </c>
      <c r="R1727" s="317"/>
      <c r="U1727" s="320"/>
    </row>
    <row r="1728" spans="1:21" outlineLevel="3">
      <c r="A1728" s="332"/>
      <c r="B1728" s="339"/>
      <c r="C1728" s="773">
        <v>2210715</v>
      </c>
      <c r="D1728" s="774" t="s">
        <v>362</v>
      </c>
      <c r="E1728" s="778">
        <v>420000</v>
      </c>
      <c r="F1728" s="647"/>
      <c r="G1728" s="647"/>
      <c r="H1728" s="647"/>
      <c r="I1728" s="324">
        <f t="shared" si="1223"/>
        <v>420000</v>
      </c>
      <c r="J1728" s="471"/>
      <c r="K1728" s="471">
        <v>0</v>
      </c>
      <c r="L1728" s="317">
        <f t="shared" si="1217"/>
        <v>420000</v>
      </c>
      <c r="M1728" s="317"/>
      <c r="N1728" s="372">
        <f t="shared" si="1220"/>
        <v>0</v>
      </c>
      <c r="O1728" s="471">
        <f>L1728*1.1</f>
        <v>462000.00000000006</v>
      </c>
      <c r="P1728" s="471">
        <f>O1728*1.1</f>
        <v>508200.00000000012</v>
      </c>
      <c r="R1728" s="317"/>
      <c r="U1728" s="320"/>
    </row>
    <row r="1729" spans="1:21" outlineLevel="3">
      <c r="A1729" s="332"/>
      <c r="B1729" s="339"/>
      <c r="C1729" s="770">
        <v>2210800</v>
      </c>
      <c r="D1729" s="771" t="s">
        <v>42</v>
      </c>
      <c r="E1729" s="772">
        <f>SUM(E1730:E1731)</f>
        <v>340000</v>
      </c>
      <c r="F1729" s="772">
        <f t="shared" ref="F1729:K1729" si="1262">SUM(F1730:F1731)</f>
        <v>0</v>
      </c>
      <c r="G1729" s="772">
        <f t="shared" si="1262"/>
        <v>0</v>
      </c>
      <c r="H1729" s="772">
        <f t="shared" si="1262"/>
        <v>0</v>
      </c>
      <c r="I1729" s="772">
        <f t="shared" si="1262"/>
        <v>340000</v>
      </c>
      <c r="J1729" s="772">
        <f t="shared" si="1262"/>
        <v>0</v>
      </c>
      <c r="K1729" s="772">
        <f t="shared" si="1262"/>
        <v>0</v>
      </c>
      <c r="L1729" s="317">
        <f t="shared" si="1217"/>
        <v>340000</v>
      </c>
      <c r="M1729" s="317"/>
      <c r="N1729" s="372">
        <f t="shared" si="1220"/>
        <v>0</v>
      </c>
      <c r="O1729" s="772">
        <f t="shared" ref="O1729:P1729" si="1263">SUM(O1730:O1731)</f>
        <v>374000</v>
      </c>
      <c r="P1729" s="772">
        <f t="shared" si="1263"/>
        <v>411400</v>
      </c>
      <c r="R1729" s="317"/>
      <c r="U1729" s="320"/>
    </row>
    <row r="1730" spans="1:21" outlineLevel="3">
      <c r="A1730" s="332"/>
      <c r="B1730" s="339"/>
      <c r="C1730" s="773">
        <v>2210801</v>
      </c>
      <c r="D1730" s="774" t="s">
        <v>2421</v>
      </c>
      <c r="E1730" s="778">
        <v>240000</v>
      </c>
      <c r="F1730" s="647"/>
      <c r="G1730" s="647"/>
      <c r="H1730" s="647"/>
      <c r="I1730" s="324">
        <f t="shared" si="1223"/>
        <v>240000</v>
      </c>
      <c r="J1730" s="777"/>
      <c r="K1730" s="777"/>
      <c r="L1730" s="317">
        <f t="shared" si="1217"/>
        <v>240000</v>
      </c>
      <c r="M1730" s="317"/>
      <c r="N1730" s="372">
        <f t="shared" si="1220"/>
        <v>0</v>
      </c>
      <c r="O1730" s="319">
        <f t="shared" ref="O1730" si="1264">L1730*1.1</f>
        <v>264000</v>
      </c>
      <c r="P1730" s="319">
        <f t="shared" ref="P1730" si="1265">O1730*1.1</f>
        <v>290400</v>
      </c>
      <c r="R1730" s="317"/>
      <c r="U1730" s="320"/>
    </row>
    <row r="1731" spans="1:21" outlineLevel="3">
      <c r="A1731" s="332"/>
      <c r="B1731" s="339"/>
      <c r="C1731" s="773">
        <v>2210802</v>
      </c>
      <c r="D1731" s="774" t="s">
        <v>97</v>
      </c>
      <c r="E1731" s="778">
        <v>100000</v>
      </c>
      <c r="F1731" s="647"/>
      <c r="G1731" s="647"/>
      <c r="H1731" s="647"/>
      <c r="I1731" s="324">
        <f t="shared" si="1223"/>
        <v>100000</v>
      </c>
      <c r="J1731" s="471"/>
      <c r="K1731" s="471"/>
      <c r="L1731" s="317">
        <f t="shared" si="1217"/>
        <v>100000</v>
      </c>
      <c r="M1731" s="317"/>
      <c r="N1731" s="372">
        <f t="shared" si="1220"/>
        <v>0</v>
      </c>
      <c r="O1731" s="471">
        <f>L1731*1.1</f>
        <v>110000.00000000001</v>
      </c>
      <c r="P1731" s="471">
        <f>O1731*1.1</f>
        <v>121000.00000000003</v>
      </c>
      <c r="R1731" s="317"/>
      <c r="U1731" s="320"/>
    </row>
    <row r="1732" spans="1:21" outlineLevel="3">
      <c r="A1732" s="332"/>
      <c r="B1732" s="339"/>
      <c r="C1732" s="770">
        <v>2211000</v>
      </c>
      <c r="D1732" s="771" t="s">
        <v>118</v>
      </c>
      <c r="E1732" s="772">
        <f>SUM(E1733:E1735)</f>
        <v>740000</v>
      </c>
      <c r="F1732" s="772">
        <f t="shared" ref="F1732:P1732" si="1266">SUM(F1733:F1735)</f>
        <v>0</v>
      </c>
      <c r="G1732" s="772">
        <f t="shared" si="1266"/>
        <v>0</v>
      </c>
      <c r="H1732" s="772">
        <f t="shared" si="1266"/>
        <v>0</v>
      </c>
      <c r="I1732" s="772">
        <f t="shared" si="1266"/>
        <v>740000</v>
      </c>
      <c r="J1732" s="772">
        <f t="shared" si="1266"/>
        <v>0</v>
      </c>
      <c r="K1732" s="772">
        <f t="shared" si="1266"/>
        <v>-641500</v>
      </c>
      <c r="L1732" s="317">
        <f t="shared" ref="L1732:L1795" si="1267">I1732+J1732+K1732</f>
        <v>98500</v>
      </c>
      <c r="M1732" s="317"/>
      <c r="N1732" s="372">
        <f t="shared" si="1220"/>
        <v>641500</v>
      </c>
      <c r="O1732" s="772">
        <f t="shared" si="1266"/>
        <v>108350.00000000001</v>
      </c>
      <c r="P1732" s="772">
        <f t="shared" si="1266"/>
        <v>119185.00000000003</v>
      </c>
      <c r="R1732" s="317"/>
      <c r="U1732" s="320"/>
    </row>
    <row r="1733" spans="1:21" outlineLevel="3">
      <c r="A1733" s="332"/>
      <c r="B1733" s="339"/>
      <c r="C1733" s="773">
        <v>2211006</v>
      </c>
      <c r="D1733" s="774" t="s">
        <v>363</v>
      </c>
      <c r="E1733" s="778">
        <f>800000-300000</f>
        <v>500000</v>
      </c>
      <c r="F1733" s="647"/>
      <c r="G1733" s="647"/>
      <c r="H1733" s="647"/>
      <c r="I1733" s="324">
        <f t="shared" si="1223"/>
        <v>500000</v>
      </c>
      <c r="J1733" s="777"/>
      <c r="K1733" s="555">
        <v>-401500</v>
      </c>
      <c r="L1733" s="317">
        <f t="shared" si="1267"/>
        <v>98500</v>
      </c>
      <c r="M1733" s="317"/>
      <c r="N1733" s="372">
        <f t="shared" si="1220"/>
        <v>401500</v>
      </c>
      <c r="O1733" s="319">
        <f t="shared" ref="O1733:O1734" si="1268">L1733*1.1</f>
        <v>108350.00000000001</v>
      </c>
      <c r="P1733" s="319">
        <f t="shared" ref="P1733:P1734" si="1269">O1733*1.1</f>
        <v>119185.00000000003</v>
      </c>
      <c r="R1733" s="317"/>
      <c r="U1733" s="320"/>
    </row>
    <row r="1734" spans="1:21" outlineLevel="3">
      <c r="A1734" s="332"/>
      <c r="B1734" s="339"/>
      <c r="C1734" s="773">
        <v>2211009</v>
      </c>
      <c r="D1734" s="798" t="s">
        <v>364</v>
      </c>
      <c r="E1734" s="778">
        <v>0</v>
      </c>
      <c r="F1734" s="422"/>
      <c r="G1734" s="422"/>
      <c r="H1734" s="422"/>
      <c r="I1734" s="324">
        <f t="shared" si="1223"/>
        <v>0</v>
      </c>
      <c r="J1734" s="777"/>
      <c r="K1734" s="777"/>
      <c r="L1734" s="317">
        <f t="shared" si="1267"/>
        <v>0</v>
      </c>
      <c r="M1734" s="317"/>
      <c r="N1734" s="372">
        <f t="shared" si="1220"/>
        <v>0</v>
      </c>
      <c r="O1734" s="319">
        <f t="shared" si="1268"/>
        <v>0</v>
      </c>
      <c r="P1734" s="319">
        <f t="shared" si="1269"/>
        <v>0</v>
      </c>
      <c r="R1734" s="317"/>
      <c r="U1734" s="320"/>
    </row>
    <row r="1735" spans="1:21" outlineLevel="3">
      <c r="A1735" s="332"/>
      <c r="B1735" s="339"/>
      <c r="C1735" s="773">
        <v>2211016</v>
      </c>
      <c r="D1735" s="798" t="s">
        <v>196</v>
      </c>
      <c r="E1735" s="778">
        <v>240000</v>
      </c>
      <c r="F1735" s="422"/>
      <c r="G1735" s="422"/>
      <c r="H1735" s="422"/>
      <c r="I1735" s="324">
        <f t="shared" si="1223"/>
        <v>240000</v>
      </c>
      <c r="J1735" s="471"/>
      <c r="K1735" s="471">
        <v>-240000</v>
      </c>
      <c r="L1735" s="317">
        <f t="shared" si="1267"/>
        <v>0</v>
      </c>
      <c r="M1735" s="317"/>
      <c r="N1735" s="372">
        <f t="shared" si="1220"/>
        <v>240000</v>
      </c>
      <c r="O1735" s="471">
        <f>L1735*1.1</f>
        <v>0</v>
      </c>
      <c r="P1735" s="471">
        <f>O1735*1.1</f>
        <v>0</v>
      </c>
      <c r="R1735" s="317"/>
      <c r="U1735" s="320"/>
    </row>
    <row r="1736" spans="1:21" outlineLevel="3">
      <c r="A1736" s="332"/>
      <c r="B1736" s="339"/>
      <c r="C1736" s="770">
        <v>2211100</v>
      </c>
      <c r="D1736" s="771" t="s">
        <v>51</v>
      </c>
      <c r="E1736" s="772">
        <f>E1737+E1738+E1739</f>
        <v>638000</v>
      </c>
      <c r="F1736" s="772">
        <f t="shared" ref="F1736:K1736" si="1270">F1737+F1738+F1739</f>
        <v>0</v>
      </c>
      <c r="G1736" s="772">
        <f t="shared" si="1270"/>
        <v>0</v>
      </c>
      <c r="H1736" s="772">
        <f t="shared" si="1270"/>
        <v>0</v>
      </c>
      <c r="I1736" s="772">
        <f t="shared" si="1270"/>
        <v>638000</v>
      </c>
      <c r="J1736" s="772">
        <f t="shared" si="1270"/>
        <v>0</v>
      </c>
      <c r="K1736" s="772">
        <f t="shared" si="1270"/>
        <v>-106000</v>
      </c>
      <c r="L1736" s="317">
        <f t="shared" si="1267"/>
        <v>532000</v>
      </c>
      <c r="M1736" s="317"/>
      <c r="N1736" s="372">
        <f t="shared" ref="N1736:N1799" si="1271">M1736-K1736</f>
        <v>106000</v>
      </c>
      <c r="O1736" s="772">
        <f t="shared" ref="O1736:P1736" si="1272">O1737+O1738+O1739</f>
        <v>585200</v>
      </c>
      <c r="P1736" s="772">
        <f t="shared" si="1272"/>
        <v>643720</v>
      </c>
      <c r="R1736" s="317"/>
      <c r="U1736" s="320"/>
    </row>
    <row r="1737" spans="1:21" outlineLevel="3">
      <c r="A1737" s="332"/>
      <c r="B1737" s="339"/>
      <c r="C1737" s="773">
        <v>2211101</v>
      </c>
      <c r="D1737" s="774" t="s">
        <v>289</v>
      </c>
      <c r="E1737" s="778">
        <v>255200</v>
      </c>
      <c r="F1737" s="647"/>
      <c r="G1737" s="647"/>
      <c r="H1737" s="647"/>
      <c r="I1737" s="324">
        <f t="shared" ref="I1737:I1800" si="1273">E1737+F1737+G1737+H1737</f>
        <v>255200</v>
      </c>
      <c r="J1737" s="777"/>
      <c r="K1737" s="555">
        <v>-14000</v>
      </c>
      <c r="L1737" s="317">
        <f t="shared" si="1267"/>
        <v>241200</v>
      </c>
      <c r="M1737" s="317"/>
      <c r="N1737" s="372">
        <f t="shared" si="1271"/>
        <v>14000</v>
      </c>
      <c r="O1737" s="319">
        <f t="shared" ref="O1737:O1738" si="1274">L1737*1.1</f>
        <v>265320</v>
      </c>
      <c r="P1737" s="319">
        <f t="shared" ref="P1737:P1738" si="1275">O1737*1.1</f>
        <v>291852</v>
      </c>
      <c r="R1737" s="317"/>
      <c r="U1737" s="320"/>
    </row>
    <row r="1738" spans="1:21" outlineLevel="3">
      <c r="A1738" s="332"/>
      <c r="B1738" s="339"/>
      <c r="C1738" s="773">
        <v>2211102</v>
      </c>
      <c r="D1738" s="774" t="s">
        <v>53</v>
      </c>
      <c r="E1738" s="778">
        <v>255200</v>
      </c>
      <c r="F1738" s="647"/>
      <c r="G1738" s="647"/>
      <c r="H1738" s="647"/>
      <c r="I1738" s="324">
        <f t="shared" si="1273"/>
        <v>255200</v>
      </c>
      <c r="J1738" s="777"/>
      <c r="K1738" s="777"/>
      <c r="L1738" s="317">
        <f t="shared" si="1267"/>
        <v>255200</v>
      </c>
      <c r="M1738" s="317"/>
      <c r="N1738" s="372">
        <f t="shared" si="1271"/>
        <v>0</v>
      </c>
      <c r="O1738" s="319">
        <f t="shared" si="1274"/>
        <v>280720</v>
      </c>
      <c r="P1738" s="319">
        <f t="shared" si="1275"/>
        <v>308792</v>
      </c>
      <c r="R1738" s="317"/>
      <c r="U1738" s="320"/>
    </row>
    <row r="1739" spans="1:21" outlineLevel="3">
      <c r="A1739" s="332"/>
      <c r="B1739" s="339"/>
      <c r="C1739" s="773">
        <v>2211103</v>
      </c>
      <c r="D1739" s="774" t="s">
        <v>54</v>
      </c>
      <c r="E1739" s="778">
        <v>127600</v>
      </c>
      <c r="F1739" s="647"/>
      <c r="G1739" s="647"/>
      <c r="H1739" s="647"/>
      <c r="I1739" s="324">
        <f t="shared" si="1273"/>
        <v>127600</v>
      </c>
      <c r="J1739" s="471"/>
      <c r="K1739" s="471">
        <v>-92000</v>
      </c>
      <c r="L1739" s="317">
        <f t="shared" si="1267"/>
        <v>35600</v>
      </c>
      <c r="M1739" s="317"/>
      <c r="N1739" s="372">
        <f t="shared" si="1271"/>
        <v>92000</v>
      </c>
      <c r="O1739" s="471">
        <f>L1739*1.1</f>
        <v>39160</v>
      </c>
      <c r="P1739" s="471">
        <f>O1739*1.1</f>
        <v>43076</v>
      </c>
      <c r="R1739" s="317"/>
      <c r="U1739" s="320"/>
    </row>
    <row r="1740" spans="1:21" outlineLevel="3">
      <c r="A1740" s="332"/>
      <c r="B1740" s="339"/>
      <c r="C1740" s="770">
        <v>2211300</v>
      </c>
      <c r="D1740" s="771" t="s">
        <v>57</v>
      </c>
      <c r="E1740" s="772">
        <f>SUM(E1741:E1742)</f>
        <v>497000</v>
      </c>
      <c r="F1740" s="772">
        <f t="shared" ref="F1740:K1740" si="1276">SUM(F1741:F1742)</f>
        <v>0</v>
      </c>
      <c r="G1740" s="772">
        <f t="shared" si="1276"/>
        <v>0</v>
      </c>
      <c r="H1740" s="772">
        <f t="shared" si="1276"/>
        <v>0</v>
      </c>
      <c r="I1740" s="772">
        <f t="shared" si="1276"/>
        <v>497000</v>
      </c>
      <c r="J1740" s="772">
        <f t="shared" si="1276"/>
        <v>0</v>
      </c>
      <c r="K1740" s="772">
        <f t="shared" si="1276"/>
        <v>-44000</v>
      </c>
      <c r="L1740" s="317">
        <f t="shared" si="1267"/>
        <v>453000</v>
      </c>
      <c r="M1740" s="317"/>
      <c r="N1740" s="372">
        <f t="shared" si="1271"/>
        <v>44000</v>
      </c>
      <c r="O1740" s="772">
        <f t="shared" ref="O1740:P1740" si="1277">SUM(O1741:O1742)</f>
        <v>498300.00000000006</v>
      </c>
      <c r="P1740" s="772">
        <f t="shared" si="1277"/>
        <v>548130.00000000012</v>
      </c>
      <c r="R1740" s="317"/>
      <c r="U1740" s="320"/>
    </row>
    <row r="1741" spans="1:21" outlineLevel="3">
      <c r="A1741" s="332"/>
      <c r="B1741" s="339"/>
      <c r="C1741" s="773">
        <v>2211305</v>
      </c>
      <c r="D1741" s="774" t="s">
        <v>365</v>
      </c>
      <c r="E1741" s="778">
        <v>432000</v>
      </c>
      <c r="F1741" s="647"/>
      <c r="G1741" s="647"/>
      <c r="H1741" s="647"/>
      <c r="I1741" s="324">
        <f t="shared" si="1273"/>
        <v>432000</v>
      </c>
      <c r="J1741" s="555"/>
      <c r="K1741" s="555">
        <v>-44000</v>
      </c>
      <c r="L1741" s="317">
        <f t="shared" si="1267"/>
        <v>388000</v>
      </c>
      <c r="M1741" s="317"/>
      <c r="N1741" s="372">
        <f t="shared" si="1271"/>
        <v>44000</v>
      </c>
      <c r="O1741" s="319">
        <f t="shared" ref="O1741" si="1278">L1741*1.1</f>
        <v>426800.00000000006</v>
      </c>
      <c r="P1741" s="319">
        <f t="shared" ref="P1741" si="1279">O1741*1.1</f>
        <v>469480.00000000012</v>
      </c>
      <c r="R1741" s="317"/>
      <c r="U1741" s="320"/>
    </row>
    <row r="1742" spans="1:21" outlineLevel="3">
      <c r="A1742" s="332"/>
      <c r="B1742" s="339"/>
      <c r="C1742" s="773">
        <v>2211306</v>
      </c>
      <c r="D1742" s="774" t="s">
        <v>58</v>
      </c>
      <c r="E1742" s="778">
        <v>65000</v>
      </c>
      <c r="F1742" s="647"/>
      <c r="G1742" s="647"/>
      <c r="H1742" s="647"/>
      <c r="I1742" s="324">
        <f t="shared" si="1273"/>
        <v>65000</v>
      </c>
      <c r="J1742" s="471"/>
      <c r="K1742" s="471"/>
      <c r="L1742" s="317">
        <f t="shared" si="1267"/>
        <v>65000</v>
      </c>
      <c r="M1742" s="317"/>
      <c r="N1742" s="372">
        <f t="shared" si="1271"/>
        <v>0</v>
      </c>
      <c r="O1742" s="471">
        <f>L1742*1.1</f>
        <v>71500</v>
      </c>
      <c r="P1742" s="471">
        <f>O1742*1.1</f>
        <v>78650</v>
      </c>
      <c r="R1742" s="317"/>
      <c r="U1742" s="320"/>
    </row>
    <row r="1743" spans="1:21" outlineLevel="3">
      <c r="A1743" s="332"/>
      <c r="B1743" s="339"/>
      <c r="C1743" s="770">
        <v>3111000</v>
      </c>
      <c r="D1743" s="771" t="s">
        <v>69</v>
      </c>
      <c r="E1743" s="772">
        <f>E1744+E1745</f>
        <v>580000</v>
      </c>
      <c r="F1743" s="772">
        <f t="shared" ref="F1743:P1743" si="1280">F1744+F1745</f>
        <v>0</v>
      </c>
      <c r="G1743" s="772">
        <f t="shared" si="1280"/>
        <v>0</v>
      </c>
      <c r="H1743" s="772">
        <f t="shared" si="1280"/>
        <v>0</v>
      </c>
      <c r="I1743" s="772">
        <f t="shared" si="1280"/>
        <v>580000</v>
      </c>
      <c r="J1743" s="772">
        <f t="shared" si="1280"/>
        <v>0</v>
      </c>
      <c r="K1743" s="772">
        <f t="shared" si="1280"/>
        <v>303000</v>
      </c>
      <c r="L1743" s="317">
        <f t="shared" si="1267"/>
        <v>883000</v>
      </c>
      <c r="M1743" s="317"/>
      <c r="N1743" s="372">
        <f t="shared" si="1271"/>
        <v>-303000</v>
      </c>
      <c r="O1743" s="772">
        <f t="shared" si="1280"/>
        <v>971300</v>
      </c>
      <c r="P1743" s="772">
        <f t="shared" si="1280"/>
        <v>1068430</v>
      </c>
      <c r="R1743" s="317"/>
      <c r="U1743" s="320"/>
    </row>
    <row r="1744" spans="1:21" outlineLevel="3">
      <c r="A1744" s="332"/>
      <c r="B1744" s="339"/>
      <c r="C1744" s="773">
        <v>3111001</v>
      </c>
      <c r="D1744" s="774" t="s">
        <v>368</v>
      </c>
      <c r="E1744" s="778">
        <v>290000</v>
      </c>
      <c r="F1744" s="647"/>
      <c r="G1744" s="647"/>
      <c r="H1744" s="647"/>
      <c r="I1744" s="324">
        <f t="shared" si="1273"/>
        <v>290000</v>
      </c>
      <c r="J1744" s="555"/>
      <c r="K1744" s="555">
        <v>303000</v>
      </c>
      <c r="L1744" s="317">
        <f t="shared" si="1267"/>
        <v>593000</v>
      </c>
      <c r="M1744" s="317"/>
      <c r="N1744" s="372">
        <f t="shared" si="1271"/>
        <v>-303000</v>
      </c>
      <c r="O1744" s="319">
        <f t="shared" ref="O1744" si="1281">L1744*1.1</f>
        <v>652300</v>
      </c>
      <c r="P1744" s="319">
        <f t="shared" ref="P1744" si="1282">O1744*1.1</f>
        <v>717530</v>
      </c>
      <c r="R1744" s="317"/>
      <c r="U1744" s="320"/>
    </row>
    <row r="1745" spans="1:21" outlineLevel="3">
      <c r="A1745" s="332"/>
      <c r="B1745" s="339"/>
      <c r="C1745" s="773">
        <v>3111002</v>
      </c>
      <c r="D1745" s="774" t="s">
        <v>369</v>
      </c>
      <c r="E1745" s="778">
        <v>290000</v>
      </c>
      <c r="F1745" s="647"/>
      <c r="G1745" s="647"/>
      <c r="H1745" s="647"/>
      <c r="I1745" s="324">
        <f t="shared" si="1273"/>
        <v>290000</v>
      </c>
      <c r="J1745" s="471"/>
      <c r="K1745" s="471"/>
      <c r="L1745" s="317">
        <f t="shared" si="1267"/>
        <v>290000</v>
      </c>
      <c r="M1745" s="317"/>
      <c r="N1745" s="372">
        <f t="shared" si="1271"/>
        <v>0</v>
      </c>
      <c r="O1745" s="471">
        <f>L1745*1.1</f>
        <v>319000</v>
      </c>
      <c r="P1745" s="471">
        <f>O1745*1.1</f>
        <v>350900</v>
      </c>
      <c r="R1745" s="317"/>
      <c r="U1745" s="320"/>
    </row>
    <row r="1746" spans="1:21" outlineLevel="3">
      <c r="A1746" s="340"/>
      <c r="B1746" s="339"/>
      <c r="C1746" s="770">
        <v>3111400</v>
      </c>
      <c r="D1746" s="771" t="s">
        <v>378</v>
      </c>
      <c r="E1746" s="772">
        <f>SUM(E1747:E1748)</f>
        <v>700000</v>
      </c>
      <c r="F1746" s="772">
        <f t="shared" ref="F1746:K1746" si="1283">SUM(F1747:F1748)</f>
        <v>0</v>
      </c>
      <c r="G1746" s="772">
        <f t="shared" si="1283"/>
        <v>0</v>
      </c>
      <c r="H1746" s="772">
        <f t="shared" si="1283"/>
        <v>0</v>
      </c>
      <c r="I1746" s="772">
        <f t="shared" si="1283"/>
        <v>700000</v>
      </c>
      <c r="J1746" s="772">
        <f t="shared" si="1283"/>
        <v>0</v>
      </c>
      <c r="K1746" s="772">
        <f t="shared" si="1283"/>
        <v>0</v>
      </c>
      <c r="L1746" s="317">
        <f t="shared" si="1267"/>
        <v>700000</v>
      </c>
      <c r="M1746" s="317"/>
      <c r="N1746" s="372">
        <f t="shared" si="1271"/>
        <v>0</v>
      </c>
      <c r="O1746" s="772">
        <f t="shared" ref="O1746:P1746" si="1284">SUM(O1747:O1748)</f>
        <v>770000.00000000012</v>
      </c>
      <c r="P1746" s="772">
        <f t="shared" si="1284"/>
        <v>847000.00000000023</v>
      </c>
      <c r="R1746" s="317"/>
      <c r="U1746" s="320"/>
    </row>
    <row r="1747" spans="1:21" outlineLevel="3">
      <c r="A1747" s="340"/>
      <c r="B1747" s="339"/>
      <c r="C1747" s="773">
        <v>3111401</v>
      </c>
      <c r="D1747" s="774" t="s">
        <v>1264</v>
      </c>
      <c r="E1747" s="790">
        <v>0</v>
      </c>
      <c r="F1747" s="647"/>
      <c r="G1747" s="647"/>
      <c r="H1747" s="647"/>
      <c r="I1747" s="324">
        <f t="shared" si="1273"/>
        <v>0</v>
      </c>
      <c r="J1747" s="777"/>
      <c r="K1747" s="777"/>
      <c r="L1747" s="317">
        <f t="shared" si="1267"/>
        <v>0</v>
      </c>
      <c r="M1747" s="317"/>
      <c r="N1747" s="372">
        <f t="shared" si="1271"/>
        <v>0</v>
      </c>
      <c r="O1747" s="319">
        <f t="shared" ref="O1747" si="1285">L1747*1.1</f>
        <v>0</v>
      </c>
      <c r="P1747" s="319">
        <f t="shared" ref="P1747" si="1286">O1747*1.1</f>
        <v>0</v>
      </c>
      <c r="R1747" s="317"/>
      <c r="U1747" s="320"/>
    </row>
    <row r="1748" spans="1:21" outlineLevel="2">
      <c r="A1748" s="332"/>
      <c r="B1748" s="339"/>
      <c r="C1748" s="773">
        <v>3111402</v>
      </c>
      <c r="D1748" s="774" t="s">
        <v>374</v>
      </c>
      <c r="E1748" s="778">
        <f>1000000-300000</f>
        <v>700000</v>
      </c>
      <c r="F1748" s="647"/>
      <c r="G1748" s="647"/>
      <c r="H1748" s="647"/>
      <c r="I1748" s="324">
        <f t="shared" si="1273"/>
        <v>700000</v>
      </c>
      <c r="J1748" s="777"/>
      <c r="K1748" s="777"/>
      <c r="L1748" s="317">
        <f t="shared" si="1267"/>
        <v>700000</v>
      </c>
      <c r="M1748" s="317"/>
      <c r="N1748" s="372">
        <f t="shared" si="1271"/>
        <v>0</v>
      </c>
      <c r="O1748" s="319">
        <f>L1748*1.1</f>
        <v>770000.00000000012</v>
      </c>
      <c r="P1748" s="319">
        <f t="shared" si="1247"/>
        <v>847000.00000000023</v>
      </c>
      <c r="R1748" s="317"/>
      <c r="U1748" s="320"/>
    </row>
    <row r="1749" spans="1:21" outlineLevel="2">
      <c r="A1749" s="314"/>
      <c r="B1749" s="703"/>
      <c r="C1749" s="780" t="s">
        <v>379</v>
      </c>
      <c r="D1749" s="781"/>
      <c r="E1749" s="782">
        <f>E1746+E1743+E1740+E1736+E1732+E1729+E1724+E1720+E1716+E1712+E1710</f>
        <v>6281300</v>
      </c>
      <c r="F1749" s="782">
        <f t="shared" ref="F1749:K1749" si="1287">F1746+F1743+F1740+F1736+F1732+F1729+F1724+F1720+F1716+F1712+F1710</f>
        <v>0</v>
      </c>
      <c r="G1749" s="782">
        <f t="shared" si="1287"/>
        <v>0</v>
      </c>
      <c r="H1749" s="782">
        <f t="shared" si="1287"/>
        <v>0</v>
      </c>
      <c r="I1749" s="782">
        <f t="shared" si="1287"/>
        <v>6281300</v>
      </c>
      <c r="J1749" s="782">
        <f t="shared" si="1287"/>
        <v>0</v>
      </c>
      <c r="K1749" s="782">
        <f t="shared" si="1287"/>
        <v>-538500</v>
      </c>
      <c r="L1749" s="317">
        <f t="shared" si="1267"/>
        <v>5742800</v>
      </c>
      <c r="M1749" s="317"/>
      <c r="N1749" s="372">
        <f t="shared" si="1271"/>
        <v>538500</v>
      </c>
      <c r="O1749" s="782">
        <f t="shared" ref="O1749:P1749" si="1288">O1746+O1743+O1740+O1736+O1732+O1729+O1724+O1720+O1716+O1712+O1710</f>
        <v>6317080</v>
      </c>
      <c r="P1749" s="782">
        <f t="shared" si="1288"/>
        <v>6948788.0000000009</v>
      </c>
      <c r="R1749" s="317"/>
      <c r="U1749" s="320"/>
    </row>
    <row r="1750" spans="1:21" outlineLevel="2">
      <c r="A1750" s="382"/>
      <c r="B1750" s="703"/>
      <c r="C1750" s="314" t="s">
        <v>92</v>
      </c>
      <c r="D1750" s="617"/>
      <c r="E1750" s="787"/>
      <c r="F1750" s="438"/>
      <c r="G1750" s="438"/>
      <c r="H1750" s="438"/>
      <c r="I1750" s="324">
        <f t="shared" si="1273"/>
        <v>0</v>
      </c>
      <c r="J1750" s="779"/>
      <c r="K1750" s="779"/>
      <c r="L1750" s="317">
        <f t="shared" si="1267"/>
        <v>0</v>
      </c>
      <c r="M1750" s="317"/>
      <c r="N1750" s="372">
        <f t="shared" si="1271"/>
        <v>0</v>
      </c>
      <c r="O1750" s="319">
        <f>L1750*1.1</f>
        <v>0</v>
      </c>
      <c r="P1750" s="319">
        <f t="shared" ref="P1750:P1772" si="1289">O1750*1.1</f>
        <v>0</v>
      </c>
      <c r="R1750" s="317"/>
      <c r="U1750" s="320"/>
    </row>
    <row r="1751" spans="1:21" outlineLevel="3">
      <c r="A1751" s="332"/>
      <c r="B1751" s="339"/>
      <c r="C1751" s="770">
        <v>2210600</v>
      </c>
      <c r="D1751" s="339" t="s">
        <v>380</v>
      </c>
      <c r="E1751" s="789">
        <f>E1752</f>
        <v>0</v>
      </c>
      <c r="F1751" s="789">
        <f t="shared" ref="F1751:K1751" si="1290">F1752</f>
        <v>0</v>
      </c>
      <c r="G1751" s="789">
        <f t="shared" si="1290"/>
        <v>0</v>
      </c>
      <c r="H1751" s="789">
        <f t="shared" si="1290"/>
        <v>0</v>
      </c>
      <c r="I1751" s="789">
        <f t="shared" si="1290"/>
        <v>0</v>
      </c>
      <c r="J1751" s="789">
        <f t="shared" si="1290"/>
        <v>0</v>
      </c>
      <c r="K1751" s="789">
        <f t="shared" si="1290"/>
        <v>0</v>
      </c>
      <c r="L1751" s="317">
        <f t="shared" si="1267"/>
        <v>0</v>
      </c>
      <c r="M1751" s="317"/>
      <c r="N1751" s="372">
        <f t="shared" si="1271"/>
        <v>0</v>
      </c>
      <c r="O1751" s="319">
        <f>L1751*1.1</f>
        <v>0</v>
      </c>
      <c r="P1751" s="319">
        <f t="shared" si="1289"/>
        <v>0</v>
      </c>
      <c r="R1751" s="317"/>
      <c r="U1751" s="320"/>
    </row>
    <row r="1752" spans="1:21" outlineLevel="3">
      <c r="A1752" s="332"/>
      <c r="B1752" s="331"/>
      <c r="C1752" s="773">
        <v>2210606</v>
      </c>
      <c r="D1752" s="774" t="s">
        <v>2456</v>
      </c>
      <c r="E1752" s="778"/>
      <c r="F1752" s="647"/>
      <c r="G1752" s="647"/>
      <c r="H1752" s="647">
        <f>48172000+12000000-60172000</f>
        <v>0</v>
      </c>
      <c r="I1752" s="324">
        <f t="shared" si="1273"/>
        <v>0</v>
      </c>
      <c r="J1752" s="777"/>
      <c r="K1752" s="777"/>
      <c r="L1752" s="317">
        <f t="shared" si="1267"/>
        <v>0</v>
      </c>
      <c r="M1752" s="317"/>
      <c r="N1752" s="372">
        <f t="shared" si="1271"/>
        <v>0</v>
      </c>
      <c r="O1752" s="319">
        <f t="shared" ref="O1752:O1754" si="1291">L1752*1.1</f>
        <v>0</v>
      </c>
      <c r="P1752" s="319">
        <f t="shared" ref="P1752:P1754" si="1292">O1752*1.1</f>
        <v>0</v>
      </c>
      <c r="R1752" s="317"/>
      <c r="U1752" s="320"/>
    </row>
    <row r="1753" spans="1:21" outlineLevel="3">
      <c r="A1753" s="340"/>
      <c r="B1753" s="339"/>
      <c r="C1753" s="770">
        <v>3110400</v>
      </c>
      <c r="D1753" s="771" t="s">
        <v>381</v>
      </c>
      <c r="E1753" s="772">
        <f>SUM(E1754:E1759)</f>
        <v>586060120</v>
      </c>
      <c r="F1753" s="772">
        <f t="shared" ref="F1753:K1753" si="1293">SUM(F1754:F1759)</f>
        <v>3192100.8448051303</v>
      </c>
      <c r="G1753" s="772">
        <f t="shared" si="1293"/>
        <v>-13375000</v>
      </c>
      <c r="H1753" s="772">
        <f t="shared" si="1293"/>
        <v>80043622</v>
      </c>
      <c r="I1753" s="772">
        <f t="shared" si="1293"/>
        <v>655920842.84480512</v>
      </c>
      <c r="J1753" s="772">
        <f t="shared" si="1293"/>
        <v>-461969379.88999999</v>
      </c>
      <c r="K1753" s="772">
        <f t="shared" si="1293"/>
        <v>-300000</v>
      </c>
      <c r="L1753" s="317">
        <f t="shared" si="1267"/>
        <v>193651462.95480514</v>
      </c>
      <c r="M1753" s="317"/>
      <c r="N1753" s="372">
        <f t="shared" si="1271"/>
        <v>300000</v>
      </c>
      <c r="O1753" s="772">
        <f t="shared" ref="O1753:P1753" si="1294">SUM(O1754:O1759)</f>
        <v>213016609.25028571</v>
      </c>
      <c r="P1753" s="772">
        <f t="shared" si="1294"/>
        <v>234318270.17531431</v>
      </c>
      <c r="R1753" s="317"/>
      <c r="U1753" s="320"/>
    </row>
    <row r="1754" spans="1:21" outlineLevel="3">
      <c r="A1754" s="332"/>
      <c r="B1754" s="331"/>
      <c r="C1754" s="773">
        <v>3110401</v>
      </c>
      <c r="D1754" s="611" t="s">
        <v>1260</v>
      </c>
      <c r="E1754" s="778">
        <f>50000000-50000000</f>
        <v>0</v>
      </c>
      <c r="F1754" s="389"/>
      <c r="G1754" s="389"/>
      <c r="H1754" s="389"/>
      <c r="I1754" s="324">
        <f t="shared" si="1273"/>
        <v>0</v>
      </c>
      <c r="J1754" s="777"/>
      <c r="K1754" s="777"/>
      <c r="L1754" s="317">
        <f t="shared" si="1267"/>
        <v>0</v>
      </c>
      <c r="M1754" s="317"/>
      <c r="N1754" s="372">
        <f t="shared" si="1271"/>
        <v>0</v>
      </c>
      <c r="O1754" s="319">
        <f t="shared" si="1291"/>
        <v>0</v>
      </c>
      <c r="P1754" s="319">
        <f t="shared" si="1292"/>
        <v>0</v>
      </c>
      <c r="R1754" s="317"/>
      <c r="U1754" s="320"/>
    </row>
    <row r="1755" spans="1:21" outlineLevel="3">
      <c r="A1755" s="659"/>
      <c r="B1755" s="353"/>
      <c r="C1755" s="799">
        <v>3110401</v>
      </c>
      <c r="D1755" s="800" t="s">
        <v>1262</v>
      </c>
      <c r="E1755" s="801">
        <f>12000000+16600000</f>
        <v>28600000</v>
      </c>
      <c r="F1755" s="661"/>
      <c r="G1755" s="661"/>
      <c r="H1755" s="661">
        <f>26625000+70000000+1116625+8926997</f>
        <v>106668622</v>
      </c>
      <c r="I1755" s="324">
        <f t="shared" si="1273"/>
        <v>135268622</v>
      </c>
      <c r="J1755" s="555">
        <v>-16870530</v>
      </c>
      <c r="K1755" s="777"/>
      <c r="L1755" s="317">
        <f t="shared" si="1267"/>
        <v>118398092</v>
      </c>
      <c r="M1755" s="2212"/>
      <c r="N1755" s="372">
        <f t="shared" si="1271"/>
        <v>0</v>
      </c>
      <c r="O1755" s="802">
        <f>L1755*1.1</f>
        <v>130237901.20000002</v>
      </c>
      <c r="P1755" s="319">
        <f t="shared" si="1289"/>
        <v>143261691.32000002</v>
      </c>
      <c r="R1755" s="317"/>
      <c r="U1755" s="320" t="s">
        <v>1803</v>
      </c>
    </row>
    <row r="1756" spans="1:21" s="325" customFormat="1" outlineLevel="3">
      <c r="A1756" s="332"/>
      <c r="B1756" s="331"/>
      <c r="C1756" s="773">
        <v>3110401</v>
      </c>
      <c r="D1756" s="611" t="s">
        <v>1498</v>
      </c>
      <c r="E1756" s="778">
        <v>445098850</v>
      </c>
      <c r="F1756" s="778">
        <v>34331.85</v>
      </c>
      <c r="G1756" s="389"/>
      <c r="H1756" s="389"/>
      <c r="I1756" s="324">
        <f t="shared" si="1273"/>
        <v>445133181.85000002</v>
      </c>
      <c r="J1756" s="555">
        <v>-445098849.88999999</v>
      </c>
      <c r="K1756" s="555"/>
      <c r="L1756" s="317">
        <f t="shared" si="1267"/>
        <v>34331.960000038147</v>
      </c>
      <c r="M1756" s="2210"/>
      <c r="N1756" s="372">
        <f t="shared" si="1271"/>
        <v>0</v>
      </c>
      <c r="O1756" s="318">
        <f>L1756*1.1</f>
        <v>37765.156000041963</v>
      </c>
      <c r="P1756" s="319">
        <f t="shared" si="1289"/>
        <v>41541.67160004616</v>
      </c>
      <c r="R1756" s="317"/>
      <c r="U1756" s="320" t="s">
        <v>1803</v>
      </c>
    </row>
    <row r="1757" spans="1:21" outlineLevel="3">
      <c r="A1757" s="803"/>
      <c r="B1757" s="804"/>
      <c r="C1757" s="805">
        <v>3110499</v>
      </c>
      <c r="D1757" s="806" t="s">
        <v>2025</v>
      </c>
      <c r="E1757" s="775">
        <f>21600000+21600000</f>
        <v>43200000</v>
      </c>
      <c r="F1757" s="776"/>
      <c r="G1757" s="776"/>
      <c r="H1757" s="776"/>
      <c r="I1757" s="324">
        <f t="shared" si="1273"/>
        <v>43200000</v>
      </c>
      <c r="J1757" s="555"/>
      <c r="K1757" s="555">
        <v>12000000</v>
      </c>
      <c r="L1757" s="317">
        <f t="shared" si="1267"/>
        <v>55200000</v>
      </c>
      <c r="M1757" s="2211"/>
      <c r="N1757" s="372">
        <f t="shared" si="1271"/>
        <v>-12000000</v>
      </c>
      <c r="O1757" s="640">
        <f>L1757*1.1</f>
        <v>60720000.000000007</v>
      </c>
      <c r="P1757" s="319">
        <f t="shared" si="1289"/>
        <v>66792000.000000015</v>
      </c>
      <c r="R1757" s="317"/>
      <c r="U1757" s="320"/>
    </row>
    <row r="1758" spans="1:21" outlineLevel="3">
      <c r="A1758" s="332"/>
      <c r="B1758" s="339"/>
      <c r="C1758" s="773">
        <v>3110499</v>
      </c>
      <c r="D1758" s="774" t="s">
        <v>1499</v>
      </c>
      <c r="E1758" s="778">
        <v>40000000</v>
      </c>
      <c r="F1758" s="647"/>
      <c r="G1758" s="778">
        <f>-10000000-3375000</f>
        <v>-13375000</v>
      </c>
      <c r="H1758" s="647">
        <v>-26625000</v>
      </c>
      <c r="I1758" s="324">
        <f t="shared" si="1273"/>
        <v>0</v>
      </c>
      <c r="J1758" s="555"/>
      <c r="K1758" s="555"/>
      <c r="L1758" s="317">
        <f t="shared" si="1267"/>
        <v>0</v>
      </c>
      <c r="M1758" s="2210"/>
      <c r="N1758" s="372">
        <f t="shared" si="1271"/>
        <v>0</v>
      </c>
      <c r="O1758" s="318">
        <f>L1758*1.1</f>
        <v>0</v>
      </c>
      <c r="P1758" s="319">
        <f t="shared" si="1289"/>
        <v>0</v>
      </c>
      <c r="R1758" s="317"/>
      <c r="U1758" s="320"/>
    </row>
    <row r="1759" spans="1:21" outlineLevel="3">
      <c r="A1759" s="764"/>
      <c r="B1759" s="359"/>
      <c r="C1759" s="807">
        <v>3110499</v>
      </c>
      <c r="D1759" s="808" t="s">
        <v>2428</v>
      </c>
      <c r="E1759" s="775">
        <v>29161270</v>
      </c>
      <c r="F1759" s="775">
        <f>3192100.99480513-34332</f>
        <v>3157768.9948051302</v>
      </c>
      <c r="G1759" s="809"/>
      <c r="H1759" s="809"/>
      <c r="I1759" s="324">
        <f t="shared" si="1273"/>
        <v>32319038.994805131</v>
      </c>
      <c r="J1759" s="555"/>
      <c r="K1759" s="555">
        <v>-12300000</v>
      </c>
      <c r="L1759" s="317">
        <f t="shared" si="1267"/>
        <v>20019038.994805131</v>
      </c>
      <c r="M1759" s="317"/>
      <c r="N1759" s="372">
        <f t="shared" si="1271"/>
        <v>12300000</v>
      </c>
      <c r="O1759" s="319">
        <f>L1759*1.1</f>
        <v>22020942.894285645</v>
      </c>
      <c r="P1759" s="319">
        <f t="shared" si="1289"/>
        <v>24223037.183714211</v>
      </c>
      <c r="R1759" s="317"/>
      <c r="U1759" s="320"/>
    </row>
    <row r="1760" spans="1:21" s="325" customFormat="1" outlineLevel="3">
      <c r="A1760" s="340"/>
      <c r="B1760" s="339"/>
      <c r="C1760" s="770">
        <v>3111100</v>
      </c>
      <c r="D1760" s="771" t="s">
        <v>73</v>
      </c>
      <c r="E1760" s="772">
        <f>E1761</f>
        <v>0</v>
      </c>
      <c r="F1760" s="772">
        <f t="shared" ref="F1760:I1760" si="1295">F1761</f>
        <v>0</v>
      </c>
      <c r="G1760" s="772">
        <f t="shared" si="1295"/>
        <v>0</v>
      </c>
      <c r="H1760" s="772">
        <f t="shared" si="1295"/>
        <v>0</v>
      </c>
      <c r="I1760" s="772">
        <f t="shared" si="1295"/>
        <v>0</v>
      </c>
      <c r="J1760" s="779"/>
      <c r="K1760" s="779"/>
      <c r="L1760" s="317">
        <f t="shared" si="1267"/>
        <v>0</v>
      </c>
      <c r="M1760" s="317"/>
      <c r="N1760" s="372">
        <f t="shared" si="1271"/>
        <v>0</v>
      </c>
      <c r="O1760" s="772">
        <f t="shared" ref="O1760:P1760" si="1296">O1761</f>
        <v>0</v>
      </c>
      <c r="P1760" s="772">
        <f t="shared" si="1296"/>
        <v>0</v>
      </c>
      <c r="R1760" s="317"/>
      <c r="U1760" s="320"/>
    </row>
    <row r="1761" spans="1:21" outlineLevel="3">
      <c r="A1761" s="332"/>
      <c r="B1761" s="339"/>
      <c r="C1761" s="773">
        <v>3111120</v>
      </c>
      <c r="D1761" s="774" t="s">
        <v>382</v>
      </c>
      <c r="E1761" s="778"/>
      <c r="F1761" s="647"/>
      <c r="G1761" s="647"/>
      <c r="H1761" s="647"/>
      <c r="I1761" s="324">
        <f t="shared" si="1273"/>
        <v>0</v>
      </c>
      <c r="J1761" s="777"/>
      <c r="K1761" s="777"/>
      <c r="L1761" s="317">
        <f t="shared" si="1267"/>
        <v>0</v>
      </c>
      <c r="M1761" s="317"/>
      <c r="N1761" s="372">
        <f t="shared" si="1271"/>
        <v>0</v>
      </c>
      <c r="O1761" s="319">
        <f>L1761*1.1</f>
        <v>0</v>
      </c>
      <c r="P1761" s="319">
        <f t="shared" si="1289"/>
        <v>0</v>
      </c>
      <c r="R1761" s="317"/>
      <c r="U1761" s="320"/>
    </row>
    <row r="1762" spans="1:21" outlineLevel="2">
      <c r="A1762" s="382"/>
      <c r="B1762" s="703"/>
      <c r="C1762" s="780" t="s">
        <v>383</v>
      </c>
      <c r="D1762" s="781"/>
      <c r="E1762" s="700">
        <f>E1751+E1753+E1760</f>
        <v>586060120</v>
      </c>
      <c r="F1762" s="700">
        <f t="shared" ref="F1762:P1762" si="1297">F1751+F1753+F1760</f>
        <v>3192100.8448051303</v>
      </c>
      <c r="G1762" s="700">
        <f t="shared" si="1297"/>
        <v>-13375000</v>
      </c>
      <c r="H1762" s="700">
        <f t="shared" si="1297"/>
        <v>80043622</v>
      </c>
      <c r="I1762" s="700">
        <f t="shared" si="1297"/>
        <v>655920842.84480512</v>
      </c>
      <c r="J1762" s="700">
        <f t="shared" si="1297"/>
        <v>-461969379.88999999</v>
      </c>
      <c r="K1762" s="700">
        <f t="shared" si="1297"/>
        <v>-300000</v>
      </c>
      <c r="L1762" s="317">
        <f t="shared" si="1267"/>
        <v>193651462.95480514</v>
      </c>
      <c r="M1762" s="317"/>
      <c r="N1762" s="372">
        <f t="shared" si="1271"/>
        <v>300000</v>
      </c>
      <c r="O1762" s="700">
        <f t="shared" si="1297"/>
        <v>213016609.25028571</v>
      </c>
      <c r="P1762" s="700">
        <f t="shared" si="1297"/>
        <v>234318270.17531431</v>
      </c>
      <c r="R1762" s="317"/>
      <c r="U1762" s="320"/>
    </row>
    <row r="1763" spans="1:21" outlineLevel="1">
      <c r="A1763" s="382"/>
      <c r="B1763" s="703"/>
      <c r="C1763" s="780" t="s">
        <v>84</v>
      </c>
      <c r="D1763" s="795"/>
      <c r="E1763" s="700">
        <f>E1749+E1762</f>
        <v>592341420</v>
      </c>
      <c r="F1763" s="700">
        <f t="shared" ref="F1763:P1763" si="1298">F1749+F1762</f>
        <v>3192100.8448051303</v>
      </c>
      <c r="G1763" s="700">
        <f t="shared" si="1298"/>
        <v>-13375000</v>
      </c>
      <c r="H1763" s="700">
        <f t="shared" si="1298"/>
        <v>80043622</v>
      </c>
      <c r="I1763" s="700">
        <f t="shared" si="1298"/>
        <v>662202142.84480512</v>
      </c>
      <c r="J1763" s="700">
        <f t="shared" si="1298"/>
        <v>-461969379.88999999</v>
      </c>
      <c r="K1763" s="700">
        <f t="shared" si="1298"/>
        <v>-838500</v>
      </c>
      <c r="L1763" s="317">
        <f t="shared" si="1267"/>
        <v>199394262.95480514</v>
      </c>
      <c r="M1763" s="317"/>
      <c r="N1763" s="372">
        <f t="shared" si="1271"/>
        <v>838500</v>
      </c>
      <c r="O1763" s="700">
        <f t="shared" si="1298"/>
        <v>219333689.25028571</v>
      </c>
      <c r="P1763" s="700">
        <f t="shared" si="1298"/>
        <v>241267058.17531431</v>
      </c>
      <c r="R1763" s="317"/>
      <c r="U1763" s="320"/>
    </row>
    <row r="1764" spans="1:21" outlineLevel="1">
      <c r="A1764" s="332"/>
      <c r="B1764" s="339"/>
      <c r="C1764" s="362"/>
      <c r="D1764" s="796"/>
      <c r="E1764" s="778"/>
      <c r="F1764" s="789"/>
      <c r="G1764" s="789"/>
      <c r="H1764" s="789"/>
      <c r="I1764" s="324">
        <f t="shared" si="1273"/>
        <v>0</v>
      </c>
      <c r="J1764" s="779"/>
      <c r="K1764" s="779"/>
      <c r="L1764" s="317">
        <f t="shared" si="1267"/>
        <v>0</v>
      </c>
      <c r="M1764" s="317"/>
      <c r="N1764" s="372">
        <f t="shared" si="1271"/>
        <v>0</v>
      </c>
      <c r="O1764" s="319">
        <f>L1764*1.1</f>
        <v>0</v>
      </c>
      <c r="P1764" s="319">
        <f t="shared" si="1289"/>
        <v>0</v>
      </c>
      <c r="R1764" s="317"/>
      <c r="U1764" s="320"/>
    </row>
    <row r="1765" spans="1:21" outlineLevel="1">
      <c r="A1765" s="382"/>
      <c r="B1765" s="703" t="s">
        <v>100</v>
      </c>
      <c r="C1765" s="780" t="s">
        <v>384</v>
      </c>
      <c r="D1765" s="795"/>
      <c r="E1765" s="787"/>
      <c r="F1765" s="700"/>
      <c r="G1765" s="700"/>
      <c r="H1765" s="700"/>
      <c r="I1765" s="324">
        <f t="shared" si="1273"/>
        <v>0</v>
      </c>
      <c r="J1765" s="779"/>
      <c r="K1765" s="779"/>
      <c r="L1765" s="317">
        <f t="shared" si="1267"/>
        <v>0</v>
      </c>
      <c r="M1765" s="317"/>
      <c r="N1765" s="372">
        <f t="shared" si="1271"/>
        <v>0</v>
      </c>
      <c r="O1765" s="319">
        <f>L1765*1.1</f>
        <v>0</v>
      </c>
      <c r="P1765" s="319">
        <f t="shared" si="1289"/>
        <v>0</v>
      </c>
      <c r="R1765" s="317"/>
      <c r="U1765" s="320"/>
    </row>
    <row r="1766" spans="1:21" outlineLevel="1">
      <c r="A1766" s="382"/>
      <c r="B1766" s="703"/>
      <c r="C1766" s="780" t="s">
        <v>385</v>
      </c>
      <c r="D1766" s="781"/>
      <c r="E1766" s="787"/>
      <c r="F1766" s="619"/>
      <c r="G1766" s="619"/>
      <c r="H1766" s="619"/>
      <c r="I1766" s="324">
        <f t="shared" si="1273"/>
        <v>0</v>
      </c>
      <c r="J1766" s="779"/>
      <c r="K1766" s="779"/>
      <c r="L1766" s="317">
        <f t="shared" si="1267"/>
        <v>0</v>
      </c>
      <c r="M1766" s="317"/>
      <c r="N1766" s="372">
        <f t="shared" si="1271"/>
        <v>0</v>
      </c>
      <c r="O1766" s="319">
        <f>L1766*1.1</f>
        <v>0</v>
      </c>
      <c r="P1766" s="319">
        <f t="shared" si="1289"/>
        <v>0</v>
      </c>
      <c r="R1766" s="317"/>
      <c r="U1766" s="320"/>
    </row>
    <row r="1767" spans="1:21" outlineLevel="1">
      <c r="A1767" s="382"/>
      <c r="B1767" s="703" t="s">
        <v>386</v>
      </c>
      <c r="C1767" s="780" t="s">
        <v>387</v>
      </c>
      <c r="D1767" s="781"/>
      <c r="E1767" s="787"/>
      <c r="F1767" s="619"/>
      <c r="G1767" s="619"/>
      <c r="H1767" s="619"/>
      <c r="I1767" s="324">
        <f t="shared" si="1273"/>
        <v>0</v>
      </c>
      <c r="J1767" s="779"/>
      <c r="K1767" s="779"/>
      <c r="L1767" s="317">
        <f t="shared" si="1267"/>
        <v>0</v>
      </c>
      <c r="M1767" s="317"/>
      <c r="N1767" s="372">
        <f t="shared" si="1271"/>
        <v>0</v>
      </c>
      <c r="O1767" s="319">
        <f>L1767*1.1</f>
        <v>0</v>
      </c>
      <c r="P1767" s="319">
        <f t="shared" si="1289"/>
        <v>0</v>
      </c>
      <c r="R1767" s="317"/>
      <c r="U1767" s="320"/>
    </row>
    <row r="1768" spans="1:21" outlineLevel="3">
      <c r="A1768" s="332"/>
      <c r="B1768" s="339"/>
      <c r="C1768" s="770">
        <v>2110100</v>
      </c>
      <c r="D1768" s="771" t="s">
        <v>13</v>
      </c>
      <c r="E1768" s="772">
        <f>E1769</f>
        <v>0</v>
      </c>
      <c r="F1768" s="621"/>
      <c r="G1768" s="621"/>
      <c r="H1768" s="621"/>
      <c r="I1768" s="621"/>
      <c r="J1768" s="779"/>
      <c r="K1768" s="779"/>
      <c r="L1768" s="317">
        <f t="shared" si="1267"/>
        <v>0</v>
      </c>
      <c r="M1768" s="317"/>
      <c r="N1768" s="372">
        <f t="shared" si="1271"/>
        <v>0</v>
      </c>
      <c r="O1768" s="621"/>
      <c r="P1768" s="621"/>
      <c r="R1768" s="317"/>
      <c r="U1768" s="320"/>
    </row>
    <row r="1769" spans="1:21" outlineLevel="3">
      <c r="A1769" s="332"/>
      <c r="B1769" s="339"/>
      <c r="C1769" s="773">
        <v>2110101</v>
      </c>
      <c r="D1769" s="774" t="s">
        <v>14</v>
      </c>
      <c r="E1769" s="778"/>
      <c r="F1769" s="647"/>
      <c r="G1769" s="647"/>
      <c r="H1769" s="647"/>
      <c r="I1769" s="324">
        <f t="shared" si="1273"/>
        <v>0</v>
      </c>
      <c r="J1769" s="777"/>
      <c r="K1769" s="777"/>
      <c r="L1769" s="317">
        <f t="shared" si="1267"/>
        <v>0</v>
      </c>
      <c r="M1769" s="317"/>
      <c r="N1769" s="372">
        <f t="shared" si="1271"/>
        <v>0</v>
      </c>
      <c r="O1769" s="319">
        <f>L1769*1.1</f>
        <v>0</v>
      </c>
      <c r="P1769" s="319">
        <f t="shared" si="1289"/>
        <v>0</v>
      </c>
      <c r="R1769" s="317"/>
      <c r="U1769" s="320"/>
    </row>
    <row r="1770" spans="1:21" outlineLevel="3">
      <c r="A1770" s="332"/>
      <c r="B1770" s="339"/>
      <c r="C1770" s="770">
        <v>2210200</v>
      </c>
      <c r="D1770" s="771" t="s">
        <v>20</v>
      </c>
      <c r="E1770" s="772">
        <f>SUM(E1771:E1773)</f>
        <v>504000</v>
      </c>
      <c r="F1770" s="772">
        <f t="shared" ref="F1770:K1770" si="1299">SUM(F1771:F1773)</f>
        <v>0</v>
      </c>
      <c r="G1770" s="772">
        <f t="shared" si="1299"/>
        <v>0</v>
      </c>
      <c r="H1770" s="772">
        <f t="shared" si="1299"/>
        <v>0</v>
      </c>
      <c r="I1770" s="772">
        <f t="shared" si="1299"/>
        <v>504000</v>
      </c>
      <c r="J1770" s="772">
        <f t="shared" si="1299"/>
        <v>0</v>
      </c>
      <c r="K1770" s="772">
        <f t="shared" si="1299"/>
        <v>-20000</v>
      </c>
      <c r="L1770" s="317">
        <f t="shared" si="1267"/>
        <v>484000</v>
      </c>
      <c r="M1770" s="317"/>
      <c r="N1770" s="372">
        <f t="shared" si="1271"/>
        <v>20000</v>
      </c>
      <c r="O1770" s="772">
        <f t="shared" ref="O1770:P1770" si="1300">SUM(O1771:O1773)</f>
        <v>532400</v>
      </c>
      <c r="P1770" s="772">
        <f t="shared" si="1300"/>
        <v>585640.00000000012</v>
      </c>
      <c r="R1770" s="317"/>
      <c r="U1770" s="320"/>
    </row>
    <row r="1771" spans="1:21" outlineLevel="3">
      <c r="A1771" s="332"/>
      <c r="B1771" s="339"/>
      <c r="C1771" s="773">
        <v>2210201</v>
      </c>
      <c r="D1771" s="774" t="s">
        <v>187</v>
      </c>
      <c r="E1771" s="778">
        <v>414000</v>
      </c>
      <c r="F1771" s="647"/>
      <c r="G1771" s="647"/>
      <c r="H1771" s="647"/>
      <c r="I1771" s="324">
        <f t="shared" si="1273"/>
        <v>414000</v>
      </c>
      <c r="J1771" s="777"/>
      <c r="K1771" s="555"/>
      <c r="L1771" s="317">
        <f t="shared" si="1267"/>
        <v>414000</v>
      </c>
      <c r="M1771" s="317"/>
      <c r="N1771" s="372">
        <f t="shared" si="1271"/>
        <v>0</v>
      </c>
      <c r="O1771" s="319">
        <f>L1771*1.1</f>
        <v>455400.00000000006</v>
      </c>
      <c r="P1771" s="319">
        <f t="shared" si="1289"/>
        <v>500940.00000000012</v>
      </c>
      <c r="R1771" s="317"/>
      <c r="U1771" s="320"/>
    </row>
    <row r="1772" spans="1:21" outlineLevel="3">
      <c r="A1772" s="332"/>
      <c r="B1772" s="339"/>
      <c r="C1772" s="773">
        <v>2210202</v>
      </c>
      <c r="D1772" s="774" t="s">
        <v>359</v>
      </c>
      <c r="E1772" s="778">
        <v>70000</v>
      </c>
      <c r="F1772" s="647"/>
      <c r="G1772" s="647"/>
      <c r="H1772" s="647"/>
      <c r="I1772" s="324">
        <f t="shared" si="1273"/>
        <v>70000</v>
      </c>
      <c r="J1772" s="777"/>
      <c r="K1772" s="555"/>
      <c r="L1772" s="317">
        <f t="shared" si="1267"/>
        <v>70000</v>
      </c>
      <c r="M1772" s="317"/>
      <c r="N1772" s="372">
        <f t="shared" si="1271"/>
        <v>0</v>
      </c>
      <c r="O1772" s="319">
        <f>L1772*1.1</f>
        <v>77000</v>
      </c>
      <c r="P1772" s="319">
        <f t="shared" si="1289"/>
        <v>84700</v>
      </c>
      <c r="R1772" s="317"/>
      <c r="U1772" s="320"/>
    </row>
    <row r="1773" spans="1:21" outlineLevel="3">
      <c r="A1773" s="332"/>
      <c r="B1773" s="339"/>
      <c r="C1773" s="773">
        <v>2210203</v>
      </c>
      <c r="D1773" s="774" t="s">
        <v>23</v>
      </c>
      <c r="E1773" s="778">
        <v>20000</v>
      </c>
      <c r="F1773" s="647"/>
      <c r="G1773" s="647"/>
      <c r="H1773" s="647"/>
      <c r="I1773" s="324">
        <f t="shared" si="1273"/>
        <v>20000</v>
      </c>
      <c r="J1773" s="777"/>
      <c r="K1773" s="555">
        <v>-20000</v>
      </c>
      <c r="L1773" s="317">
        <f t="shared" si="1267"/>
        <v>0</v>
      </c>
      <c r="M1773" s="317"/>
      <c r="N1773" s="372">
        <f t="shared" si="1271"/>
        <v>20000</v>
      </c>
      <c r="O1773" s="319">
        <f>L1773*1.1</f>
        <v>0</v>
      </c>
      <c r="P1773" s="319">
        <f t="shared" ref="P1773" si="1301">O1773*1.1</f>
        <v>0</v>
      </c>
      <c r="R1773" s="317"/>
      <c r="U1773" s="320"/>
    </row>
    <row r="1774" spans="1:21" outlineLevel="3">
      <c r="A1774" s="332"/>
      <c r="B1774" s="339"/>
      <c r="C1774" s="770">
        <v>2210300</v>
      </c>
      <c r="D1774" s="771" t="s">
        <v>24</v>
      </c>
      <c r="E1774" s="772">
        <f>E1775+E1776+E1777</f>
        <v>1781000</v>
      </c>
      <c r="F1774" s="772">
        <f t="shared" ref="F1774:K1774" si="1302">F1775+F1776+F1777</f>
        <v>0</v>
      </c>
      <c r="G1774" s="772">
        <f t="shared" si="1302"/>
        <v>0</v>
      </c>
      <c r="H1774" s="772">
        <f t="shared" si="1302"/>
        <v>0</v>
      </c>
      <c r="I1774" s="772">
        <f t="shared" si="1302"/>
        <v>1781000</v>
      </c>
      <c r="J1774" s="772">
        <f t="shared" si="1302"/>
        <v>0</v>
      </c>
      <c r="K1774" s="772">
        <f t="shared" si="1302"/>
        <v>0</v>
      </c>
      <c r="L1774" s="317">
        <f t="shared" si="1267"/>
        <v>1781000</v>
      </c>
      <c r="M1774" s="317"/>
      <c r="N1774" s="372">
        <f t="shared" si="1271"/>
        <v>0</v>
      </c>
      <c r="O1774" s="772">
        <f t="shared" ref="O1774:P1774" si="1303">O1775+O1776+O1777</f>
        <v>1959100</v>
      </c>
      <c r="P1774" s="772">
        <f t="shared" si="1303"/>
        <v>2155010</v>
      </c>
      <c r="R1774" s="317"/>
      <c r="U1774" s="320"/>
    </row>
    <row r="1775" spans="1:21" outlineLevel="3">
      <c r="A1775" s="332"/>
      <c r="B1775" s="339"/>
      <c r="C1775" s="773">
        <v>2210301</v>
      </c>
      <c r="D1775" s="774" t="s">
        <v>188</v>
      </c>
      <c r="E1775" s="778">
        <v>696000</v>
      </c>
      <c r="F1775" s="647"/>
      <c r="G1775" s="647"/>
      <c r="H1775" s="647"/>
      <c r="I1775" s="324">
        <f t="shared" si="1273"/>
        <v>696000</v>
      </c>
      <c r="J1775" s="777"/>
      <c r="K1775" s="555"/>
      <c r="L1775" s="317">
        <f t="shared" si="1267"/>
        <v>696000</v>
      </c>
      <c r="M1775" s="317"/>
      <c r="N1775" s="372">
        <f t="shared" si="1271"/>
        <v>0</v>
      </c>
      <c r="O1775" s="319">
        <f t="shared" ref="O1775:O1777" si="1304">L1775*1.1</f>
        <v>765600.00000000012</v>
      </c>
      <c r="P1775" s="319">
        <f t="shared" ref="P1775:P1777" si="1305">O1775*1.1</f>
        <v>842160.00000000023</v>
      </c>
      <c r="R1775" s="317"/>
      <c r="U1775" s="320"/>
    </row>
    <row r="1776" spans="1:21" outlineLevel="3">
      <c r="A1776" s="332"/>
      <c r="B1776" s="339"/>
      <c r="C1776" s="773">
        <v>2210302</v>
      </c>
      <c r="D1776" s="774" t="s">
        <v>26</v>
      </c>
      <c r="E1776" s="778">
        <f>780000-280000</f>
        <v>500000</v>
      </c>
      <c r="F1776" s="647"/>
      <c r="G1776" s="647"/>
      <c r="H1776" s="647"/>
      <c r="I1776" s="324">
        <f t="shared" si="1273"/>
        <v>500000</v>
      </c>
      <c r="J1776" s="777"/>
      <c r="K1776" s="555"/>
      <c r="L1776" s="317">
        <f t="shared" si="1267"/>
        <v>500000</v>
      </c>
      <c r="M1776" s="317"/>
      <c r="N1776" s="372">
        <f t="shared" si="1271"/>
        <v>0</v>
      </c>
      <c r="O1776" s="319">
        <f t="shared" si="1304"/>
        <v>550000</v>
      </c>
      <c r="P1776" s="319">
        <f t="shared" si="1305"/>
        <v>605000</v>
      </c>
      <c r="R1776" s="317"/>
      <c r="U1776" s="320"/>
    </row>
    <row r="1777" spans="1:21" outlineLevel="3">
      <c r="A1777" s="332"/>
      <c r="B1777" s="339"/>
      <c r="C1777" s="773">
        <v>2210303</v>
      </c>
      <c r="D1777" s="774" t="s">
        <v>223</v>
      </c>
      <c r="E1777" s="778">
        <v>585000</v>
      </c>
      <c r="F1777" s="647"/>
      <c r="G1777" s="647"/>
      <c r="H1777" s="647"/>
      <c r="I1777" s="324">
        <f t="shared" si="1273"/>
        <v>585000</v>
      </c>
      <c r="J1777" s="777"/>
      <c r="K1777" s="555"/>
      <c r="L1777" s="317">
        <f t="shared" si="1267"/>
        <v>585000</v>
      </c>
      <c r="M1777" s="317"/>
      <c r="N1777" s="372">
        <f t="shared" si="1271"/>
        <v>0</v>
      </c>
      <c r="O1777" s="319">
        <f t="shared" si="1304"/>
        <v>643500</v>
      </c>
      <c r="P1777" s="319">
        <f t="shared" si="1305"/>
        <v>707850</v>
      </c>
      <c r="R1777" s="317"/>
      <c r="U1777" s="320"/>
    </row>
    <row r="1778" spans="1:21" outlineLevel="3">
      <c r="A1778" s="332"/>
      <c r="B1778" s="339"/>
      <c r="C1778" s="770">
        <v>2210500</v>
      </c>
      <c r="D1778" s="771" t="s">
        <v>31</v>
      </c>
      <c r="E1778" s="772">
        <f>SUM(E1779:E1781)</f>
        <v>842411</v>
      </c>
      <c r="F1778" s="772">
        <f t="shared" ref="F1778:K1778" si="1306">SUM(F1779:F1781)</f>
        <v>0</v>
      </c>
      <c r="G1778" s="772">
        <f t="shared" si="1306"/>
        <v>0</v>
      </c>
      <c r="H1778" s="772">
        <f t="shared" si="1306"/>
        <v>0</v>
      </c>
      <c r="I1778" s="772">
        <f t="shared" si="1306"/>
        <v>842411</v>
      </c>
      <c r="J1778" s="772">
        <f t="shared" si="1306"/>
        <v>0</v>
      </c>
      <c r="K1778" s="772">
        <f t="shared" si="1306"/>
        <v>54010</v>
      </c>
      <c r="L1778" s="317">
        <f t="shared" si="1267"/>
        <v>896421</v>
      </c>
      <c r="M1778" s="317"/>
      <c r="N1778" s="372">
        <f t="shared" si="1271"/>
        <v>-54010</v>
      </c>
      <c r="O1778" s="772">
        <f t="shared" ref="O1778:P1778" si="1307">SUM(O1779:O1781)</f>
        <v>986063.10000000009</v>
      </c>
      <c r="P1778" s="772">
        <f t="shared" si="1307"/>
        <v>1084669.4100000001</v>
      </c>
      <c r="R1778" s="317"/>
      <c r="U1778" s="320"/>
    </row>
    <row r="1779" spans="1:21" outlineLevel="3">
      <c r="A1779" s="332"/>
      <c r="B1779" s="339"/>
      <c r="C1779" s="773">
        <v>2210502</v>
      </c>
      <c r="D1779" s="774" t="s">
        <v>105</v>
      </c>
      <c r="E1779" s="778">
        <f>290000+52411</f>
        <v>342411</v>
      </c>
      <c r="F1779" s="647"/>
      <c r="G1779" s="647"/>
      <c r="H1779" s="647"/>
      <c r="I1779" s="324">
        <f t="shared" si="1273"/>
        <v>342411</v>
      </c>
      <c r="J1779" s="777"/>
      <c r="K1779" s="555">
        <v>-45990</v>
      </c>
      <c r="L1779" s="317">
        <f t="shared" si="1267"/>
        <v>296421</v>
      </c>
      <c r="M1779" s="317"/>
      <c r="N1779" s="372">
        <f t="shared" si="1271"/>
        <v>45990</v>
      </c>
      <c r="O1779" s="319">
        <f t="shared" ref="O1779:O1781" si="1308">L1779*1.1</f>
        <v>326063.10000000003</v>
      </c>
      <c r="P1779" s="319">
        <f t="shared" ref="P1779:P1781" si="1309">O1779*1.1</f>
        <v>358669.41000000009</v>
      </c>
      <c r="R1779" s="317"/>
      <c r="U1779" s="320"/>
    </row>
    <row r="1780" spans="1:21" outlineLevel="3">
      <c r="A1780" s="332"/>
      <c r="B1780" s="339"/>
      <c r="C1780" s="773">
        <v>2210503</v>
      </c>
      <c r="D1780" s="774" t="s">
        <v>32</v>
      </c>
      <c r="E1780" s="778">
        <v>65000</v>
      </c>
      <c r="F1780" s="647"/>
      <c r="G1780" s="647"/>
      <c r="H1780" s="647"/>
      <c r="I1780" s="324">
        <f t="shared" si="1273"/>
        <v>65000</v>
      </c>
      <c r="J1780" s="777"/>
      <c r="K1780" s="555"/>
      <c r="L1780" s="317">
        <f t="shared" si="1267"/>
        <v>65000</v>
      </c>
      <c r="M1780" s="317"/>
      <c r="N1780" s="372">
        <f t="shared" si="1271"/>
        <v>0</v>
      </c>
      <c r="O1780" s="319">
        <f t="shared" si="1308"/>
        <v>71500</v>
      </c>
      <c r="P1780" s="319">
        <f t="shared" si="1309"/>
        <v>78650</v>
      </c>
      <c r="R1780" s="317"/>
      <c r="U1780" s="320"/>
    </row>
    <row r="1781" spans="1:21" outlineLevel="3">
      <c r="A1781" s="332"/>
      <c r="B1781" s="339"/>
      <c r="C1781" s="773">
        <v>2210504</v>
      </c>
      <c r="D1781" s="774" t="s">
        <v>33</v>
      </c>
      <c r="E1781" s="778">
        <v>435000</v>
      </c>
      <c r="F1781" s="647"/>
      <c r="G1781" s="647"/>
      <c r="H1781" s="647"/>
      <c r="I1781" s="324">
        <f t="shared" si="1273"/>
        <v>435000</v>
      </c>
      <c r="J1781" s="777"/>
      <c r="K1781" s="555">
        <v>100000</v>
      </c>
      <c r="L1781" s="317">
        <f t="shared" si="1267"/>
        <v>535000</v>
      </c>
      <c r="M1781" s="317"/>
      <c r="N1781" s="372">
        <f t="shared" si="1271"/>
        <v>-100000</v>
      </c>
      <c r="O1781" s="319">
        <f t="shared" si="1308"/>
        <v>588500</v>
      </c>
      <c r="P1781" s="319">
        <f t="shared" si="1309"/>
        <v>647350</v>
      </c>
      <c r="R1781" s="317"/>
      <c r="U1781" s="320"/>
    </row>
    <row r="1782" spans="1:21" outlineLevel="3">
      <c r="A1782" s="332"/>
      <c r="B1782" s="339"/>
      <c r="C1782" s="770">
        <v>2210700</v>
      </c>
      <c r="D1782" s="771" t="s">
        <v>35</v>
      </c>
      <c r="E1782" s="772">
        <f>SUM(E1783:E1787)</f>
        <v>1050000</v>
      </c>
      <c r="F1782" s="772">
        <f t="shared" ref="F1782:P1782" si="1310">SUM(F1783:F1787)</f>
        <v>0</v>
      </c>
      <c r="G1782" s="772">
        <f t="shared" si="1310"/>
        <v>0</v>
      </c>
      <c r="H1782" s="772">
        <f t="shared" si="1310"/>
        <v>0</v>
      </c>
      <c r="I1782" s="772">
        <f t="shared" si="1310"/>
        <v>1050000</v>
      </c>
      <c r="J1782" s="772">
        <f t="shared" si="1310"/>
        <v>0</v>
      </c>
      <c r="K1782" s="772">
        <f t="shared" si="1310"/>
        <v>0</v>
      </c>
      <c r="L1782" s="317">
        <f t="shared" si="1267"/>
        <v>1050000</v>
      </c>
      <c r="M1782" s="317"/>
      <c r="N1782" s="372">
        <f t="shared" si="1271"/>
        <v>0</v>
      </c>
      <c r="O1782" s="772">
        <f t="shared" si="1310"/>
        <v>1155000</v>
      </c>
      <c r="P1782" s="772">
        <f t="shared" si="1310"/>
        <v>1270500</v>
      </c>
      <c r="R1782" s="317"/>
      <c r="U1782" s="320"/>
    </row>
    <row r="1783" spans="1:21" outlineLevel="3">
      <c r="A1783" s="332"/>
      <c r="B1783" s="339"/>
      <c r="C1783" s="773">
        <v>2210701</v>
      </c>
      <c r="D1783" s="774" t="s">
        <v>190</v>
      </c>
      <c r="E1783" s="778">
        <v>100000</v>
      </c>
      <c r="F1783" s="647"/>
      <c r="G1783" s="647"/>
      <c r="H1783" s="647"/>
      <c r="I1783" s="324">
        <f t="shared" si="1273"/>
        <v>100000</v>
      </c>
      <c r="J1783" s="777"/>
      <c r="K1783" s="777"/>
      <c r="L1783" s="317">
        <f t="shared" si="1267"/>
        <v>100000</v>
      </c>
      <c r="M1783" s="317"/>
      <c r="N1783" s="372">
        <f t="shared" si="1271"/>
        <v>0</v>
      </c>
      <c r="O1783" s="319">
        <f t="shared" ref="O1783:O1786" si="1311">L1783*1.1</f>
        <v>110000.00000000001</v>
      </c>
      <c r="P1783" s="319">
        <f t="shared" ref="P1783:P1786" si="1312">O1783*1.1</f>
        <v>121000.00000000003</v>
      </c>
      <c r="R1783" s="317"/>
      <c r="U1783" s="320"/>
    </row>
    <row r="1784" spans="1:21" outlineLevel="3">
      <c r="A1784" s="332"/>
      <c r="B1784" s="339"/>
      <c r="C1784" s="773">
        <v>2210704</v>
      </c>
      <c r="D1784" s="774" t="s">
        <v>38</v>
      </c>
      <c r="E1784" s="778">
        <v>150000</v>
      </c>
      <c r="F1784" s="647"/>
      <c r="G1784" s="647"/>
      <c r="H1784" s="647"/>
      <c r="I1784" s="324">
        <f t="shared" si="1273"/>
        <v>150000</v>
      </c>
      <c r="J1784" s="777"/>
      <c r="K1784" s="777"/>
      <c r="L1784" s="317">
        <f t="shared" si="1267"/>
        <v>150000</v>
      </c>
      <c r="M1784" s="317"/>
      <c r="N1784" s="372">
        <f t="shared" si="1271"/>
        <v>0</v>
      </c>
      <c r="O1784" s="319">
        <f t="shared" si="1311"/>
        <v>165000</v>
      </c>
      <c r="P1784" s="319">
        <f t="shared" si="1312"/>
        <v>181500.00000000003</v>
      </c>
      <c r="R1784" s="317"/>
      <c r="U1784" s="320"/>
    </row>
    <row r="1785" spans="1:21" outlineLevel="3">
      <c r="A1785" s="332"/>
      <c r="B1785" s="339"/>
      <c r="C1785" s="773">
        <v>2210710</v>
      </c>
      <c r="D1785" s="774" t="s">
        <v>361</v>
      </c>
      <c r="E1785" s="778">
        <v>240000</v>
      </c>
      <c r="F1785" s="647"/>
      <c r="G1785" s="647"/>
      <c r="H1785" s="647"/>
      <c r="I1785" s="324">
        <f t="shared" si="1273"/>
        <v>240000</v>
      </c>
      <c r="J1785" s="777"/>
      <c r="K1785" s="777"/>
      <c r="L1785" s="317">
        <f t="shared" si="1267"/>
        <v>240000</v>
      </c>
      <c r="M1785" s="317"/>
      <c r="N1785" s="372">
        <f t="shared" si="1271"/>
        <v>0</v>
      </c>
      <c r="O1785" s="319">
        <f t="shared" si="1311"/>
        <v>264000</v>
      </c>
      <c r="P1785" s="319">
        <f t="shared" si="1312"/>
        <v>290400</v>
      </c>
      <c r="R1785" s="317"/>
      <c r="U1785" s="320"/>
    </row>
    <row r="1786" spans="1:21" outlineLevel="3">
      <c r="A1786" s="332"/>
      <c r="B1786" s="339"/>
      <c r="C1786" s="773">
        <v>2210715</v>
      </c>
      <c r="D1786" s="774" t="s">
        <v>362</v>
      </c>
      <c r="E1786" s="778">
        <v>560000</v>
      </c>
      <c r="F1786" s="647"/>
      <c r="G1786" s="647"/>
      <c r="H1786" s="647"/>
      <c r="I1786" s="324">
        <f t="shared" si="1273"/>
        <v>560000</v>
      </c>
      <c r="J1786" s="777"/>
      <c r="K1786" s="777"/>
      <c r="L1786" s="317">
        <f t="shared" si="1267"/>
        <v>560000</v>
      </c>
      <c r="M1786" s="317"/>
      <c r="N1786" s="372">
        <f t="shared" si="1271"/>
        <v>0</v>
      </c>
      <c r="O1786" s="319">
        <f t="shared" si="1311"/>
        <v>616000</v>
      </c>
      <c r="P1786" s="319">
        <f t="shared" si="1312"/>
        <v>677600</v>
      </c>
      <c r="R1786" s="317"/>
      <c r="U1786" s="320"/>
    </row>
    <row r="1787" spans="1:21" outlineLevel="3">
      <c r="A1787" s="332"/>
      <c r="B1787" s="339"/>
      <c r="C1787" s="773">
        <v>2210799</v>
      </c>
      <c r="D1787" s="774" t="s">
        <v>388</v>
      </c>
      <c r="E1787" s="778">
        <f>5990000-5990000</f>
        <v>0</v>
      </c>
      <c r="F1787" s="647"/>
      <c r="G1787" s="647"/>
      <c r="H1787" s="647"/>
      <c r="I1787" s="324">
        <f t="shared" si="1273"/>
        <v>0</v>
      </c>
      <c r="J1787" s="471"/>
      <c r="K1787" s="471"/>
      <c r="L1787" s="317">
        <f t="shared" si="1267"/>
        <v>0</v>
      </c>
      <c r="M1787" s="317"/>
      <c r="N1787" s="372">
        <f t="shared" si="1271"/>
        <v>0</v>
      </c>
      <c r="O1787" s="471">
        <f t="shared" ref="O1787:P1787" si="1313">5990000-5990000</f>
        <v>0</v>
      </c>
      <c r="P1787" s="471">
        <f t="shared" si="1313"/>
        <v>0</v>
      </c>
      <c r="R1787" s="317"/>
      <c r="U1787" s="320"/>
    </row>
    <row r="1788" spans="1:21" outlineLevel="3">
      <c r="A1788" s="332"/>
      <c r="B1788" s="339"/>
      <c r="C1788" s="770">
        <v>2210800</v>
      </c>
      <c r="D1788" s="771" t="s">
        <v>42</v>
      </c>
      <c r="E1788" s="772">
        <f>SUM(E1789:E1790)</f>
        <v>570000</v>
      </c>
      <c r="F1788" s="772">
        <f t="shared" ref="F1788:K1788" si="1314">SUM(F1789:F1790)</f>
        <v>0</v>
      </c>
      <c r="G1788" s="772">
        <f t="shared" si="1314"/>
        <v>0</v>
      </c>
      <c r="H1788" s="772">
        <f t="shared" si="1314"/>
        <v>0</v>
      </c>
      <c r="I1788" s="772">
        <f t="shared" si="1314"/>
        <v>570000</v>
      </c>
      <c r="J1788" s="772">
        <f t="shared" si="1314"/>
        <v>0</v>
      </c>
      <c r="K1788" s="772">
        <f t="shared" si="1314"/>
        <v>200000</v>
      </c>
      <c r="L1788" s="317">
        <f t="shared" si="1267"/>
        <v>770000</v>
      </c>
      <c r="M1788" s="317"/>
      <c r="N1788" s="372">
        <f t="shared" si="1271"/>
        <v>-200000</v>
      </c>
      <c r="O1788" s="772">
        <f t="shared" ref="O1788:P1788" si="1315">SUM(O1789:O1790)</f>
        <v>847000</v>
      </c>
      <c r="P1788" s="772">
        <f t="shared" si="1315"/>
        <v>931700.00000000012</v>
      </c>
      <c r="R1788" s="317"/>
      <c r="U1788" s="320"/>
    </row>
    <row r="1789" spans="1:21" outlineLevel="3">
      <c r="A1789" s="332"/>
      <c r="B1789" s="339"/>
      <c r="C1789" s="773">
        <v>2210801</v>
      </c>
      <c r="D1789" s="774" t="s">
        <v>2421</v>
      </c>
      <c r="E1789" s="778">
        <v>420000</v>
      </c>
      <c r="F1789" s="647"/>
      <c r="G1789" s="647"/>
      <c r="H1789" s="647"/>
      <c r="I1789" s="324">
        <f t="shared" si="1273"/>
        <v>420000</v>
      </c>
      <c r="J1789" s="555"/>
      <c r="K1789" s="555">
        <v>200000</v>
      </c>
      <c r="L1789" s="317">
        <f t="shared" si="1267"/>
        <v>620000</v>
      </c>
      <c r="M1789" s="317"/>
      <c r="N1789" s="372">
        <f t="shared" si="1271"/>
        <v>-200000</v>
      </c>
      <c r="O1789" s="319">
        <f t="shared" ref="O1789:O1790" si="1316">L1789*1.1</f>
        <v>682000</v>
      </c>
      <c r="P1789" s="319">
        <f t="shared" ref="P1789:P1790" si="1317">O1789*1.1</f>
        <v>750200.00000000012</v>
      </c>
      <c r="R1789" s="317"/>
      <c r="U1789" s="320"/>
    </row>
    <row r="1790" spans="1:21" outlineLevel="3">
      <c r="A1790" s="332"/>
      <c r="B1790" s="339"/>
      <c r="C1790" s="773">
        <v>2210802</v>
      </c>
      <c r="D1790" s="774" t="s">
        <v>97</v>
      </c>
      <c r="E1790" s="778">
        <v>150000</v>
      </c>
      <c r="F1790" s="647"/>
      <c r="G1790" s="647"/>
      <c r="H1790" s="647"/>
      <c r="I1790" s="324">
        <f t="shared" si="1273"/>
        <v>150000</v>
      </c>
      <c r="J1790" s="555"/>
      <c r="K1790" s="555"/>
      <c r="L1790" s="317">
        <f t="shared" si="1267"/>
        <v>150000</v>
      </c>
      <c r="M1790" s="317"/>
      <c r="N1790" s="372">
        <f t="shared" si="1271"/>
        <v>0</v>
      </c>
      <c r="O1790" s="319">
        <f t="shared" si="1316"/>
        <v>165000</v>
      </c>
      <c r="P1790" s="319">
        <f t="shared" si="1317"/>
        <v>181500.00000000003</v>
      </c>
      <c r="R1790" s="317"/>
      <c r="U1790" s="320"/>
    </row>
    <row r="1791" spans="1:21" outlineLevel="3">
      <c r="A1791" s="332"/>
      <c r="B1791" s="339"/>
      <c r="C1791" s="770">
        <v>2211000</v>
      </c>
      <c r="D1791" s="771" t="s">
        <v>118</v>
      </c>
      <c r="E1791" s="772">
        <f>SUM(E1792:E1794)</f>
        <v>5685000</v>
      </c>
      <c r="F1791" s="772">
        <f t="shared" ref="F1791:K1791" si="1318">SUM(F1792:F1794)</f>
        <v>0</v>
      </c>
      <c r="G1791" s="772">
        <f t="shared" si="1318"/>
        <v>0</v>
      </c>
      <c r="H1791" s="772">
        <f t="shared" si="1318"/>
        <v>0</v>
      </c>
      <c r="I1791" s="772">
        <f t="shared" si="1318"/>
        <v>5685000</v>
      </c>
      <c r="J1791" s="772">
        <f t="shared" si="1318"/>
        <v>0</v>
      </c>
      <c r="K1791" s="772">
        <f t="shared" si="1318"/>
        <v>-65500</v>
      </c>
      <c r="L1791" s="317">
        <f t="shared" si="1267"/>
        <v>5619500</v>
      </c>
      <c r="M1791" s="317"/>
      <c r="N1791" s="372">
        <f t="shared" si="1271"/>
        <v>65500</v>
      </c>
      <c r="O1791" s="772">
        <f t="shared" ref="O1791:P1791" si="1319">SUM(O1792:O1794)</f>
        <v>6181450</v>
      </c>
      <c r="P1791" s="772">
        <f t="shared" si="1319"/>
        <v>6799595.0000000009</v>
      </c>
      <c r="R1791" s="317"/>
      <c r="U1791" s="320"/>
    </row>
    <row r="1792" spans="1:21" outlineLevel="3">
      <c r="A1792" s="332"/>
      <c r="B1792" s="339"/>
      <c r="C1792" s="773">
        <v>2211006</v>
      </c>
      <c r="D1792" s="774" t="s">
        <v>1501</v>
      </c>
      <c r="E1792" s="778">
        <f>7520000-1500000-1000000</f>
        <v>5020000</v>
      </c>
      <c r="F1792" s="647"/>
      <c r="G1792" s="647"/>
      <c r="H1792" s="647"/>
      <c r="I1792" s="324">
        <f t="shared" si="1273"/>
        <v>5020000</v>
      </c>
      <c r="J1792" s="555"/>
      <c r="K1792" s="555">
        <v>-500</v>
      </c>
      <c r="L1792" s="317">
        <f t="shared" si="1267"/>
        <v>5019500</v>
      </c>
      <c r="M1792" s="317"/>
      <c r="N1792" s="372">
        <f t="shared" si="1271"/>
        <v>500</v>
      </c>
      <c r="O1792" s="319">
        <f t="shared" ref="O1792:O1794" si="1320">L1792*1.1</f>
        <v>5521450</v>
      </c>
      <c r="P1792" s="319">
        <f t="shared" ref="P1792:P1794" si="1321">O1792*1.1</f>
        <v>6073595.0000000009</v>
      </c>
      <c r="R1792" s="317"/>
      <c r="U1792" s="320"/>
    </row>
    <row r="1793" spans="1:21" outlineLevel="3">
      <c r="A1793" s="332"/>
      <c r="B1793" s="339"/>
      <c r="C1793" s="773">
        <v>2211009</v>
      </c>
      <c r="D1793" s="798" t="s">
        <v>364</v>
      </c>
      <c r="E1793" s="778">
        <v>65000</v>
      </c>
      <c r="F1793" s="422"/>
      <c r="G1793" s="422"/>
      <c r="H1793" s="422"/>
      <c r="I1793" s="324">
        <f t="shared" si="1273"/>
        <v>65000</v>
      </c>
      <c r="J1793" s="555"/>
      <c r="K1793" s="555">
        <v>-65000</v>
      </c>
      <c r="L1793" s="317">
        <f t="shared" si="1267"/>
        <v>0</v>
      </c>
      <c r="M1793" s="317"/>
      <c r="N1793" s="372">
        <f t="shared" si="1271"/>
        <v>65000</v>
      </c>
      <c r="O1793" s="319">
        <f t="shared" si="1320"/>
        <v>0</v>
      </c>
      <c r="P1793" s="319">
        <f t="shared" si="1321"/>
        <v>0</v>
      </c>
      <c r="R1793" s="317"/>
      <c r="U1793" s="320"/>
    </row>
    <row r="1794" spans="1:21" outlineLevel="3">
      <c r="A1794" s="332"/>
      <c r="B1794" s="339"/>
      <c r="C1794" s="773">
        <v>2211016</v>
      </c>
      <c r="D1794" s="798" t="s">
        <v>196</v>
      </c>
      <c r="E1794" s="778">
        <v>600000</v>
      </c>
      <c r="F1794" s="422"/>
      <c r="G1794" s="422"/>
      <c r="H1794" s="422"/>
      <c r="I1794" s="324">
        <f t="shared" si="1273"/>
        <v>600000</v>
      </c>
      <c r="J1794" s="777"/>
      <c r="K1794" s="777"/>
      <c r="L1794" s="317">
        <f t="shared" si="1267"/>
        <v>600000</v>
      </c>
      <c r="M1794" s="317"/>
      <c r="N1794" s="372">
        <f t="shared" si="1271"/>
        <v>0</v>
      </c>
      <c r="O1794" s="319">
        <f t="shared" si="1320"/>
        <v>660000</v>
      </c>
      <c r="P1794" s="319">
        <f t="shared" si="1321"/>
        <v>726000.00000000012</v>
      </c>
      <c r="R1794" s="317"/>
      <c r="U1794" s="320"/>
    </row>
    <row r="1795" spans="1:21" outlineLevel="3">
      <c r="A1795" s="332"/>
      <c r="B1795" s="339"/>
      <c r="C1795" s="770">
        <v>2211100</v>
      </c>
      <c r="D1795" s="771" t="s">
        <v>51</v>
      </c>
      <c r="E1795" s="772">
        <f>SUM(E1796:E1798)</f>
        <v>1140000</v>
      </c>
      <c r="F1795" s="772">
        <f t="shared" ref="F1795:K1795" si="1322">SUM(F1796:F1798)</f>
        <v>0</v>
      </c>
      <c r="G1795" s="772">
        <f t="shared" si="1322"/>
        <v>0</v>
      </c>
      <c r="H1795" s="772">
        <f t="shared" si="1322"/>
        <v>0</v>
      </c>
      <c r="I1795" s="772">
        <f t="shared" si="1322"/>
        <v>1140000</v>
      </c>
      <c r="J1795" s="772">
        <f t="shared" si="1322"/>
        <v>0</v>
      </c>
      <c r="K1795" s="772">
        <f t="shared" si="1322"/>
        <v>195000</v>
      </c>
      <c r="L1795" s="317">
        <f t="shared" si="1267"/>
        <v>1335000</v>
      </c>
      <c r="M1795" s="317"/>
      <c r="N1795" s="372">
        <f t="shared" si="1271"/>
        <v>-195000</v>
      </c>
      <c r="O1795" s="772">
        <f t="shared" ref="O1795:P1795" si="1323">SUM(O1796:O1798)</f>
        <v>1468500.0000000002</v>
      </c>
      <c r="P1795" s="772">
        <f t="shared" si="1323"/>
        <v>1615350.0000000005</v>
      </c>
      <c r="R1795" s="317"/>
      <c r="U1795" s="320"/>
    </row>
    <row r="1796" spans="1:21" outlineLevel="3">
      <c r="A1796" s="332"/>
      <c r="B1796" s="339"/>
      <c r="C1796" s="773">
        <v>2211101</v>
      </c>
      <c r="D1796" s="774" t="s">
        <v>289</v>
      </c>
      <c r="E1796" s="778">
        <v>470000</v>
      </c>
      <c r="F1796" s="647"/>
      <c r="G1796" s="647"/>
      <c r="H1796" s="647"/>
      <c r="I1796" s="324">
        <f t="shared" si="1273"/>
        <v>470000</v>
      </c>
      <c r="J1796" s="777"/>
      <c r="K1796" s="555">
        <v>200000</v>
      </c>
      <c r="L1796" s="317">
        <f t="shared" ref="L1796:L1859" si="1324">I1796+J1796+K1796</f>
        <v>670000</v>
      </c>
      <c r="M1796" s="317"/>
      <c r="N1796" s="372">
        <f t="shared" si="1271"/>
        <v>-200000</v>
      </c>
      <c r="O1796" s="319">
        <f t="shared" ref="O1796:O1798" si="1325">L1796*1.1</f>
        <v>737000.00000000012</v>
      </c>
      <c r="P1796" s="319">
        <f t="shared" ref="P1796:P1798" si="1326">O1796*1.1</f>
        <v>810700.00000000023</v>
      </c>
      <c r="R1796" s="317"/>
      <c r="U1796" s="320"/>
    </row>
    <row r="1797" spans="1:21" outlineLevel="3">
      <c r="A1797" s="332"/>
      <c r="B1797" s="339"/>
      <c r="C1797" s="773">
        <v>2211102</v>
      </c>
      <c r="D1797" s="774" t="s">
        <v>53</v>
      </c>
      <c r="E1797" s="778">
        <v>430000</v>
      </c>
      <c r="F1797" s="647"/>
      <c r="G1797" s="647"/>
      <c r="H1797" s="647"/>
      <c r="I1797" s="324">
        <f t="shared" si="1273"/>
        <v>430000</v>
      </c>
      <c r="J1797" s="777"/>
      <c r="K1797" s="777"/>
      <c r="L1797" s="317">
        <f t="shared" si="1324"/>
        <v>430000</v>
      </c>
      <c r="M1797" s="317"/>
      <c r="N1797" s="372">
        <f t="shared" si="1271"/>
        <v>0</v>
      </c>
      <c r="O1797" s="319">
        <f t="shared" si="1325"/>
        <v>473000.00000000006</v>
      </c>
      <c r="P1797" s="319">
        <f t="shared" si="1326"/>
        <v>520300.00000000012</v>
      </c>
      <c r="R1797" s="317"/>
      <c r="U1797" s="320"/>
    </row>
    <row r="1798" spans="1:21" outlineLevel="3">
      <c r="A1798" s="332"/>
      <c r="B1798" s="339"/>
      <c r="C1798" s="773">
        <v>2211103</v>
      </c>
      <c r="D1798" s="774" t="s">
        <v>54</v>
      </c>
      <c r="E1798" s="778">
        <v>240000</v>
      </c>
      <c r="F1798" s="647"/>
      <c r="G1798" s="647"/>
      <c r="H1798" s="647"/>
      <c r="I1798" s="324">
        <f t="shared" si="1273"/>
        <v>240000</v>
      </c>
      <c r="J1798" s="777"/>
      <c r="K1798" s="555">
        <v>-5000</v>
      </c>
      <c r="L1798" s="317">
        <f t="shared" si="1324"/>
        <v>235000</v>
      </c>
      <c r="M1798" s="317"/>
      <c r="N1798" s="372">
        <f t="shared" si="1271"/>
        <v>5000</v>
      </c>
      <c r="O1798" s="319">
        <f t="shared" si="1325"/>
        <v>258500.00000000003</v>
      </c>
      <c r="P1798" s="319">
        <f t="shared" si="1326"/>
        <v>284350.00000000006</v>
      </c>
      <c r="R1798" s="317"/>
      <c r="U1798" s="320"/>
    </row>
    <row r="1799" spans="1:21" outlineLevel="3">
      <c r="A1799" s="332"/>
      <c r="B1799" s="339"/>
      <c r="C1799" s="770">
        <v>2211200</v>
      </c>
      <c r="D1799" s="771" t="s">
        <v>55</v>
      </c>
      <c r="E1799" s="772">
        <f>E1800</f>
        <v>2950000</v>
      </c>
      <c r="F1799" s="772">
        <f t="shared" ref="F1799:K1799" si="1327">F1800</f>
        <v>0</v>
      </c>
      <c r="G1799" s="772">
        <f t="shared" si="1327"/>
        <v>0</v>
      </c>
      <c r="H1799" s="772">
        <f t="shared" si="1327"/>
        <v>0</v>
      </c>
      <c r="I1799" s="772">
        <f t="shared" si="1327"/>
        <v>2950000</v>
      </c>
      <c r="J1799" s="772">
        <f t="shared" si="1327"/>
        <v>0</v>
      </c>
      <c r="K1799" s="772">
        <f t="shared" si="1327"/>
        <v>1000000</v>
      </c>
      <c r="L1799" s="317">
        <f t="shared" si="1324"/>
        <v>3950000</v>
      </c>
      <c r="M1799" s="317"/>
      <c r="N1799" s="372">
        <f t="shared" si="1271"/>
        <v>-1000000</v>
      </c>
      <c r="O1799" s="772">
        <f t="shared" ref="O1799:P1799" si="1328">O1800</f>
        <v>4345000</v>
      </c>
      <c r="P1799" s="772">
        <f t="shared" si="1328"/>
        <v>4779500</v>
      </c>
      <c r="R1799" s="317"/>
      <c r="U1799" s="320"/>
    </row>
    <row r="1800" spans="1:21" outlineLevel="3">
      <c r="A1800" s="332"/>
      <c r="B1800" s="339"/>
      <c r="C1800" s="773">
        <v>2211201</v>
      </c>
      <c r="D1800" s="774" t="s">
        <v>1502</v>
      </c>
      <c r="E1800" s="778">
        <f>2400000+260000+290000</f>
        <v>2950000</v>
      </c>
      <c r="F1800" s="647"/>
      <c r="G1800" s="647"/>
      <c r="H1800" s="647"/>
      <c r="I1800" s="324">
        <f t="shared" si="1273"/>
        <v>2950000</v>
      </c>
      <c r="J1800" s="777"/>
      <c r="K1800" s="555">
        <v>1000000</v>
      </c>
      <c r="L1800" s="317">
        <f t="shared" si="1324"/>
        <v>3950000</v>
      </c>
      <c r="M1800" s="317"/>
      <c r="N1800" s="372">
        <f t="shared" ref="N1800:N1863" si="1329">M1800-K1800</f>
        <v>-1000000</v>
      </c>
      <c r="O1800" s="319">
        <f t="shared" ref="O1800" si="1330">L1800*1.1</f>
        <v>4345000</v>
      </c>
      <c r="P1800" s="319">
        <f t="shared" ref="P1800" si="1331">O1800*1.1</f>
        <v>4779500</v>
      </c>
      <c r="R1800" s="317"/>
      <c r="U1800" s="320"/>
    </row>
    <row r="1801" spans="1:21" outlineLevel="3">
      <c r="A1801" s="332"/>
      <c r="B1801" s="339"/>
      <c r="C1801" s="770">
        <v>2211300</v>
      </c>
      <c r="D1801" s="771" t="s">
        <v>57</v>
      </c>
      <c r="E1801" s="772">
        <f>SUM(E1802:E1803)</f>
        <v>672000</v>
      </c>
      <c r="F1801" s="772">
        <f t="shared" ref="F1801:K1801" si="1332">SUM(F1802:F1803)</f>
        <v>0</v>
      </c>
      <c r="G1801" s="772">
        <f t="shared" si="1332"/>
        <v>0</v>
      </c>
      <c r="H1801" s="772">
        <f t="shared" si="1332"/>
        <v>0</v>
      </c>
      <c r="I1801" s="772">
        <f t="shared" si="1332"/>
        <v>672000</v>
      </c>
      <c r="J1801" s="772">
        <f t="shared" si="1332"/>
        <v>0</v>
      </c>
      <c r="K1801" s="772">
        <f t="shared" si="1332"/>
        <v>-102000</v>
      </c>
      <c r="L1801" s="317">
        <f t="shared" si="1324"/>
        <v>570000</v>
      </c>
      <c r="M1801" s="317"/>
      <c r="N1801" s="372">
        <f t="shared" si="1329"/>
        <v>102000</v>
      </c>
      <c r="O1801" s="772">
        <f t="shared" ref="O1801:P1801" si="1333">SUM(O1802:O1803)</f>
        <v>627000</v>
      </c>
      <c r="P1801" s="772">
        <f t="shared" si="1333"/>
        <v>689700.00000000012</v>
      </c>
      <c r="R1801" s="317"/>
      <c r="U1801" s="320"/>
    </row>
    <row r="1802" spans="1:21" outlineLevel="3">
      <c r="A1802" s="332"/>
      <c r="B1802" s="339"/>
      <c r="C1802" s="773">
        <v>2211305</v>
      </c>
      <c r="D1802" s="774" t="s">
        <v>365</v>
      </c>
      <c r="E1802" s="778">
        <v>432000</v>
      </c>
      <c r="F1802" s="647"/>
      <c r="G1802" s="647"/>
      <c r="H1802" s="647"/>
      <c r="I1802" s="324">
        <f t="shared" ref="I1802:I1864" si="1334">E1802+F1802+G1802+H1802</f>
        <v>432000</v>
      </c>
      <c r="J1802" s="777"/>
      <c r="K1802" s="555">
        <v>-2000</v>
      </c>
      <c r="L1802" s="317">
        <f t="shared" si="1324"/>
        <v>430000</v>
      </c>
      <c r="M1802" s="317"/>
      <c r="N1802" s="372">
        <f t="shared" si="1329"/>
        <v>2000</v>
      </c>
      <c r="O1802" s="319">
        <f t="shared" ref="O1802:O1803" si="1335">L1802*1.1</f>
        <v>473000.00000000006</v>
      </c>
      <c r="P1802" s="319">
        <f t="shared" ref="P1802:P1803" si="1336">O1802*1.1</f>
        <v>520300.00000000012</v>
      </c>
      <c r="R1802" s="317"/>
      <c r="U1802" s="320"/>
    </row>
    <row r="1803" spans="1:21" outlineLevel="3">
      <c r="A1803" s="332"/>
      <c r="B1803" s="339"/>
      <c r="C1803" s="773">
        <v>2211306</v>
      </c>
      <c r="D1803" s="774" t="s">
        <v>58</v>
      </c>
      <c r="E1803" s="778">
        <v>240000</v>
      </c>
      <c r="F1803" s="647"/>
      <c r="G1803" s="647"/>
      <c r="H1803" s="647"/>
      <c r="I1803" s="324">
        <f t="shared" si="1334"/>
        <v>240000</v>
      </c>
      <c r="J1803" s="777"/>
      <c r="K1803" s="555">
        <v>-100000</v>
      </c>
      <c r="L1803" s="317">
        <f t="shared" si="1324"/>
        <v>140000</v>
      </c>
      <c r="M1803" s="317"/>
      <c r="N1803" s="372">
        <f t="shared" si="1329"/>
        <v>100000</v>
      </c>
      <c r="O1803" s="319">
        <f t="shared" si="1335"/>
        <v>154000</v>
      </c>
      <c r="P1803" s="319">
        <f t="shared" si="1336"/>
        <v>169400</v>
      </c>
      <c r="R1803" s="317"/>
      <c r="U1803" s="320"/>
    </row>
    <row r="1804" spans="1:21" outlineLevel="3">
      <c r="A1804" s="332"/>
      <c r="B1804" s="339"/>
      <c r="C1804" s="770">
        <v>2220100</v>
      </c>
      <c r="D1804" s="771" t="s">
        <v>62</v>
      </c>
      <c r="E1804" s="772">
        <f>E1805+E1806</f>
        <v>7140000</v>
      </c>
      <c r="F1804" s="772">
        <f t="shared" ref="F1804:K1804" si="1337">F1805+F1806</f>
        <v>0</v>
      </c>
      <c r="G1804" s="772">
        <f t="shared" si="1337"/>
        <v>0</v>
      </c>
      <c r="H1804" s="772">
        <f t="shared" si="1337"/>
        <v>0</v>
      </c>
      <c r="I1804" s="772">
        <f t="shared" si="1337"/>
        <v>7140000</v>
      </c>
      <c r="J1804" s="772">
        <f t="shared" si="1337"/>
        <v>0</v>
      </c>
      <c r="K1804" s="772">
        <f t="shared" si="1337"/>
        <v>0</v>
      </c>
      <c r="L1804" s="317">
        <f t="shared" si="1324"/>
        <v>7140000</v>
      </c>
      <c r="M1804" s="317"/>
      <c r="N1804" s="372">
        <f t="shared" si="1329"/>
        <v>0</v>
      </c>
      <c r="O1804" s="772">
        <f t="shared" ref="O1804:P1804" si="1338">O1805+O1806</f>
        <v>7854000</v>
      </c>
      <c r="P1804" s="772">
        <f t="shared" si="1338"/>
        <v>8639400</v>
      </c>
      <c r="R1804" s="317"/>
      <c r="U1804" s="320"/>
    </row>
    <row r="1805" spans="1:21" outlineLevel="3">
      <c r="A1805" s="332"/>
      <c r="B1805" s="339"/>
      <c r="C1805" s="773">
        <v>2220101</v>
      </c>
      <c r="D1805" s="774" t="s">
        <v>366</v>
      </c>
      <c r="E1805" s="778">
        <v>3120000</v>
      </c>
      <c r="F1805" s="647"/>
      <c r="G1805" s="647"/>
      <c r="H1805" s="647"/>
      <c r="I1805" s="324">
        <f t="shared" si="1334"/>
        <v>3120000</v>
      </c>
      <c r="J1805" s="777"/>
      <c r="K1805" s="555">
        <v>0</v>
      </c>
      <c r="L1805" s="317">
        <f t="shared" si="1324"/>
        <v>3120000</v>
      </c>
      <c r="M1805" s="317"/>
      <c r="N1805" s="372">
        <f t="shared" si="1329"/>
        <v>0</v>
      </c>
      <c r="O1805" s="319">
        <f t="shared" ref="O1805:O1806" si="1339">L1805*1.1</f>
        <v>3432000.0000000005</v>
      </c>
      <c r="P1805" s="319">
        <f t="shared" ref="P1805:P1806" si="1340">O1805*1.1</f>
        <v>3775200.0000000009</v>
      </c>
      <c r="R1805" s="317"/>
      <c r="U1805" s="320"/>
    </row>
    <row r="1806" spans="1:21" outlineLevel="3">
      <c r="A1806" s="332"/>
      <c r="B1806" s="339"/>
      <c r="C1806" s="773">
        <v>2220105</v>
      </c>
      <c r="D1806" s="774" t="s">
        <v>200</v>
      </c>
      <c r="E1806" s="778">
        <f>4520000-500000</f>
        <v>4020000</v>
      </c>
      <c r="F1806" s="647"/>
      <c r="G1806" s="647"/>
      <c r="H1806" s="647"/>
      <c r="I1806" s="324">
        <f t="shared" si="1334"/>
        <v>4020000</v>
      </c>
      <c r="J1806" s="777"/>
      <c r="K1806" s="555">
        <v>0</v>
      </c>
      <c r="L1806" s="317">
        <f t="shared" si="1324"/>
        <v>4020000</v>
      </c>
      <c r="M1806" s="317"/>
      <c r="N1806" s="372">
        <f t="shared" si="1329"/>
        <v>0</v>
      </c>
      <c r="O1806" s="319">
        <f t="shared" si="1339"/>
        <v>4422000</v>
      </c>
      <c r="P1806" s="319">
        <f t="shared" si="1340"/>
        <v>4864200</v>
      </c>
      <c r="R1806" s="317"/>
      <c r="U1806" s="320"/>
    </row>
    <row r="1807" spans="1:21" outlineLevel="3">
      <c r="A1807" s="332"/>
      <c r="B1807" s="339"/>
      <c r="C1807" s="770">
        <v>2220200</v>
      </c>
      <c r="D1807" s="771" t="s">
        <v>124</v>
      </c>
      <c r="E1807" s="772">
        <f>SUM(E1808:E1809)</f>
        <v>14710000</v>
      </c>
      <c r="F1807" s="772">
        <f t="shared" ref="F1807:K1807" si="1341">SUM(F1808:F1809)</f>
        <v>0</v>
      </c>
      <c r="G1807" s="772">
        <f t="shared" si="1341"/>
        <v>0</v>
      </c>
      <c r="H1807" s="772">
        <f t="shared" si="1341"/>
        <v>0</v>
      </c>
      <c r="I1807" s="772">
        <f t="shared" si="1341"/>
        <v>14710000</v>
      </c>
      <c r="J1807" s="772">
        <f t="shared" si="1341"/>
        <v>0</v>
      </c>
      <c r="K1807" s="772">
        <f t="shared" si="1341"/>
        <v>-8500</v>
      </c>
      <c r="L1807" s="317">
        <f t="shared" si="1324"/>
        <v>14701500</v>
      </c>
      <c r="M1807" s="317"/>
      <c r="N1807" s="372">
        <f t="shared" si="1329"/>
        <v>8500</v>
      </c>
      <c r="O1807" s="772">
        <f t="shared" ref="O1807:P1807" si="1342">SUM(O1808:O1809)</f>
        <v>16171650.000000002</v>
      </c>
      <c r="P1807" s="772">
        <f t="shared" si="1342"/>
        <v>17788815.000000004</v>
      </c>
      <c r="R1807" s="317"/>
      <c r="U1807" s="320"/>
    </row>
    <row r="1808" spans="1:21" outlineLevel="3">
      <c r="A1808" s="332"/>
      <c r="B1808" s="339"/>
      <c r="C1808" s="773">
        <v>2220201</v>
      </c>
      <c r="D1808" s="774" t="s">
        <v>367</v>
      </c>
      <c r="E1808" s="778">
        <f>15330000-500000-700000</f>
        <v>14130000</v>
      </c>
      <c r="F1808" s="647"/>
      <c r="G1808" s="647"/>
      <c r="H1808" s="647"/>
      <c r="I1808" s="324">
        <f t="shared" si="1334"/>
        <v>14130000</v>
      </c>
      <c r="J1808" s="777"/>
      <c r="K1808" s="555">
        <v>-8500</v>
      </c>
      <c r="L1808" s="317">
        <f t="shared" si="1324"/>
        <v>14121500</v>
      </c>
      <c r="M1808" s="317"/>
      <c r="N1808" s="372">
        <f t="shared" si="1329"/>
        <v>8500</v>
      </c>
      <c r="O1808" s="319">
        <f t="shared" ref="O1808:O1809" si="1343">L1808*1.1</f>
        <v>15533650.000000002</v>
      </c>
      <c r="P1808" s="319">
        <f t="shared" ref="P1808:P1809" si="1344">O1808*1.1</f>
        <v>17087015.000000004</v>
      </c>
      <c r="R1808" s="317"/>
      <c r="U1808" s="320"/>
    </row>
    <row r="1809" spans="1:21" outlineLevel="3">
      <c r="A1809" s="332"/>
      <c r="B1809" s="339"/>
      <c r="C1809" s="773">
        <v>2220210</v>
      </c>
      <c r="D1809" s="774" t="s">
        <v>163</v>
      </c>
      <c r="E1809" s="778">
        <v>580000</v>
      </c>
      <c r="F1809" s="647"/>
      <c r="G1809" s="647"/>
      <c r="H1809" s="647"/>
      <c r="I1809" s="324">
        <f t="shared" si="1334"/>
        <v>580000</v>
      </c>
      <c r="J1809" s="777"/>
      <c r="K1809" s="777"/>
      <c r="L1809" s="317">
        <f t="shared" si="1324"/>
        <v>580000</v>
      </c>
      <c r="M1809" s="317"/>
      <c r="N1809" s="372">
        <f t="shared" si="1329"/>
        <v>0</v>
      </c>
      <c r="O1809" s="319">
        <f t="shared" si="1343"/>
        <v>638000</v>
      </c>
      <c r="P1809" s="319">
        <f t="shared" si="1344"/>
        <v>701800</v>
      </c>
      <c r="R1809" s="317"/>
      <c r="U1809" s="320"/>
    </row>
    <row r="1810" spans="1:21" outlineLevel="3">
      <c r="A1810" s="332"/>
      <c r="B1810" s="339"/>
      <c r="C1810" s="770">
        <v>3110700</v>
      </c>
      <c r="D1810" s="771" t="s">
        <v>65</v>
      </c>
      <c r="E1810" s="789">
        <f>E1811</f>
        <v>0</v>
      </c>
      <c r="F1810" s="789">
        <f t="shared" ref="F1810:P1810" si="1345">F1811</f>
        <v>0</v>
      </c>
      <c r="G1810" s="789">
        <f t="shared" si="1345"/>
        <v>0</v>
      </c>
      <c r="H1810" s="789">
        <f t="shared" si="1345"/>
        <v>0</v>
      </c>
      <c r="I1810" s="789">
        <f t="shared" si="1345"/>
        <v>0</v>
      </c>
      <c r="J1810" s="789">
        <f t="shared" si="1345"/>
        <v>0</v>
      </c>
      <c r="K1810" s="789">
        <f t="shared" si="1345"/>
        <v>0</v>
      </c>
      <c r="L1810" s="317">
        <f t="shared" si="1324"/>
        <v>0</v>
      </c>
      <c r="M1810" s="317"/>
      <c r="N1810" s="372">
        <f t="shared" si="1329"/>
        <v>0</v>
      </c>
      <c r="O1810" s="789">
        <f t="shared" si="1345"/>
        <v>0</v>
      </c>
      <c r="P1810" s="789">
        <f t="shared" si="1345"/>
        <v>0</v>
      </c>
      <c r="R1810" s="317"/>
      <c r="U1810" s="320"/>
    </row>
    <row r="1811" spans="1:21" outlineLevel="3">
      <c r="A1811" s="332"/>
      <c r="B1811" s="339"/>
      <c r="C1811" s="773">
        <v>3110701</v>
      </c>
      <c r="D1811" s="810" t="s">
        <v>1263</v>
      </c>
      <c r="E1811" s="790">
        <v>0</v>
      </c>
      <c r="F1811" s="481"/>
      <c r="G1811" s="481"/>
      <c r="H1811" s="481"/>
      <c r="I1811" s="324">
        <f t="shared" si="1334"/>
        <v>0</v>
      </c>
      <c r="J1811" s="777"/>
      <c r="K1811" s="777"/>
      <c r="L1811" s="317">
        <f t="shared" si="1324"/>
        <v>0</v>
      </c>
      <c r="M1811" s="317"/>
      <c r="N1811" s="372">
        <f t="shared" si="1329"/>
        <v>0</v>
      </c>
      <c r="O1811" s="319">
        <f t="shared" ref="O1811" si="1346">L1811*1.1</f>
        <v>0</v>
      </c>
      <c r="P1811" s="319">
        <f t="shared" ref="P1811" si="1347">O1811*1.1</f>
        <v>0</v>
      </c>
      <c r="R1811" s="317"/>
      <c r="U1811" s="320"/>
    </row>
    <row r="1812" spans="1:21" outlineLevel="3">
      <c r="A1812" s="332"/>
      <c r="B1812" s="339"/>
      <c r="C1812" s="770">
        <v>3111000</v>
      </c>
      <c r="D1812" s="771" t="s">
        <v>69</v>
      </c>
      <c r="E1812" s="772">
        <f>SUM(E1813:E1814)</f>
        <v>800000</v>
      </c>
      <c r="F1812" s="772">
        <f t="shared" ref="F1812:P1812" si="1348">SUM(F1813:F1814)</f>
        <v>0</v>
      </c>
      <c r="G1812" s="772">
        <f t="shared" si="1348"/>
        <v>0</v>
      </c>
      <c r="H1812" s="772">
        <f t="shared" si="1348"/>
        <v>0</v>
      </c>
      <c r="I1812" s="772">
        <f t="shared" si="1348"/>
        <v>800000</v>
      </c>
      <c r="J1812" s="772">
        <f t="shared" si="1348"/>
        <v>0</v>
      </c>
      <c r="K1812" s="772">
        <f t="shared" si="1348"/>
        <v>-9289</v>
      </c>
      <c r="L1812" s="317">
        <f t="shared" si="1324"/>
        <v>790711</v>
      </c>
      <c r="M1812" s="317"/>
      <c r="N1812" s="372">
        <f t="shared" si="1329"/>
        <v>9289</v>
      </c>
      <c r="O1812" s="772">
        <f t="shared" si="1348"/>
        <v>869782.10000000009</v>
      </c>
      <c r="P1812" s="772">
        <f t="shared" si="1348"/>
        <v>956760.31000000017</v>
      </c>
      <c r="R1812" s="317"/>
      <c r="U1812" s="320"/>
    </row>
    <row r="1813" spans="1:21" outlineLevel="3">
      <c r="A1813" s="332"/>
      <c r="B1813" s="339"/>
      <c r="C1813" s="773">
        <v>3111001</v>
      </c>
      <c r="D1813" s="774" t="s">
        <v>368</v>
      </c>
      <c r="E1813" s="778">
        <v>400000</v>
      </c>
      <c r="F1813" s="647"/>
      <c r="G1813" s="647"/>
      <c r="H1813" s="647"/>
      <c r="I1813" s="324">
        <f t="shared" si="1334"/>
        <v>400000</v>
      </c>
      <c r="J1813" s="777"/>
      <c r="K1813" s="555">
        <v>-9289</v>
      </c>
      <c r="L1813" s="317">
        <f t="shared" si="1324"/>
        <v>390711</v>
      </c>
      <c r="M1813" s="317"/>
      <c r="N1813" s="372">
        <f t="shared" si="1329"/>
        <v>9289</v>
      </c>
      <c r="O1813" s="319">
        <f t="shared" ref="O1813:O1814" si="1349">L1813*1.1</f>
        <v>429782.10000000003</v>
      </c>
      <c r="P1813" s="319">
        <f t="shared" ref="P1813:P1814" si="1350">O1813*1.1</f>
        <v>472760.31000000006</v>
      </c>
      <c r="R1813" s="317"/>
      <c r="U1813" s="320"/>
    </row>
    <row r="1814" spans="1:21" outlineLevel="3">
      <c r="A1814" s="332"/>
      <c r="B1814" s="339"/>
      <c r="C1814" s="773">
        <v>3111002</v>
      </c>
      <c r="D1814" s="774" t="s">
        <v>369</v>
      </c>
      <c r="E1814" s="778">
        <v>400000</v>
      </c>
      <c r="F1814" s="647"/>
      <c r="G1814" s="647"/>
      <c r="H1814" s="647"/>
      <c r="I1814" s="324">
        <f t="shared" si="1334"/>
        <v>400000</v>
      </c>
      <c r="J1814" s="777"/>
      <c r="K1814" s="777"/>
      <c r="L1814" s="317">
        <f t="shared" si="1324"/>
        <v>400000</v>
      </c>
      <c r="M1814" s="317"/>
      <c r="N1814" s="372">
        <f t="shared" si="1329"/>
        <v>0</v>
      </c>
      <c r="O1814" s="319">
        <f t="shared" si="1349"/>
        <v>440000.00000000006</v>
      </c>
      <c r="P1814" s="319">
        <f t="shared" si="1350"/>
        <v>484000.00000000012</v>
      </c>
      <c r="R1814" s="317"/>
      <c r="U1814" s="320"/>
    </row>
    <row r="1815" spans="1:21" outlineLevel="3">
      <c r="A1815" s="340"/>
      <c r="B1815" s="339"/>
      <c r="C1815" s="770">
        <v>3111400</v>
      </c>
      <c r="D1815" s="771" t="s">
        <v>90</v>
      </c>
      <c r="E1815" s="789">
        <f>SUM(E1816:E1817)</f>
        <v>1640000</v>
      </c>
      <c r="F1815" s="789">
        <f t="shared" ref="F1815:P1815" si="1351">SUM(F1816:F1817)</f>
        <v>0</v>
      </c>
      <c r="G1815" s="789">
        <f t="shared" si="1351"/>
        <v>0</v>
      </c>
      <c r="H1815" s="789">
        <f t="shared" si="1351"/>
        <v>0</v>
      </c>
      <c r="I1815" s="789">
        <f t="shared" si="1351"/>
        <v>1640000</v>
      </c>
      <c r="J1815" s="789">
        <f t="shared" si="1351"/>
        <v>0</v>
      </c>
      <c r="K1815" s="789">
        <f t="shared" si="1351"/>
        <v>0</v>
      </c>
      <c r="L1815" s="317">
        <f t="shared" si="1324"/>
        <v>1640000</v>
      </c>
      <c r="M1815" s="317"/>
      <c r="N1815" s="372">
        <f t="shared" si="1329"/>
        <v>0</v>
      </c>
      <c r="O1815" s="789">
        <f t="shared" si="1351"/>
        <v>1804000.0000000002</v>
      </c>
      <c r="P1815" s="789">
        <f t="shared" si="1351"/>
        <v>1984400.0000000005</v>
      </c>
      <c r="R1815" s="317"/>
      <c r="U1815" s="320"/>
    </row>
    <row r="1816" spans="1:21" outlineLevel="3">
      <c r="A1816" s="332"/>
      <c r="B1816" s="339"/>
      <c r="C1816" s="773">
        <v>3111401</v>
      </c>
      <c r="D1816" s="774" t="s">
        <v>1503</v>
      </c>
      <c r="E1816" s="790">
        <v>0</v>
      </c>
      <c r="F1816" s="647"/>
      <c r="G1816" s="647"/>
      <c r="H1816" s="647"/>
      <c r="I1816" s="324">
        <f t="shared" si="1334"/>
        <v>0</v>
      </c>
      <c r="J1816" s="777"/>
      <c r="K1816" s="777"/>
      <c r="L1816" s="317">
        <f t="shared" si="1324"/>
        <v>0</v>
      </c>
      <c r="M1816" s="317"/>
      <c r="N1816" s="372">
        <f t="shared" si="1329"/>
        <v>0</v>
      </c>
      <c r="O1816" s="319">
        <f t="shared" ref="O1816:O1817" si="1352">L1816*1.1</f>
        <v>0</v>
      </c>
      <c r="P1816" s="319">
        <f t="shared" ref="P1816:P1817" si="1353">O1816*1.1</f>
        <v>0</v>
      </c>
      <c r="R1816" s="317"/>
      <c r="U1816" s="320"/>
    </row>
    <row r="1817" spans="1:21" outlineLevel="3">
      <c r="A1817" s="332"/>
      <c r="B1817" s="339"/>
      <c r="C1817" s="773">
        <v>3111402</v>
      </c>
      <c r="D1817" s="774" t="s">
        <v>374</v>
      </c>
      <c r="E1817" s="778">
        <v>1640000</v>
      </c>
      <c r="F1817" s="647"/>
      <c r="G1817" s="647"/>
      <c r="H1817" s="647"/>
      <c r="I1817" s="324">
        <f t="shared" si="1334"/>
        <v>1640000</v>
      </c>
      <c r="J1817" s="777"/>
      <c r="K1817" s="777"/>
      <c r="L1817" s="317">
        <f t="shared" si="1324"/>
        <v>1640000</v>
      </c>
      <c r="M1817" s="317"/>
      <c r="N1817" s="372">
        <f t="shared" si="1329"/>
        <v>0</v>
      </c>
      <c r="O1817" s="319">
        <f t="shared" si="1352"/>
        <v>1804000.0000000002</v>
      </c>
      <c r="P1817" s="319">
        <f t="shared" si="1353"/>
        <v>1984400.0000000005</v>
      </c>
      <c r="R1817" s="317"/>
      <c r="U1817" s="320"/>
    </row>
    <row r="1818" spans="1:21" outlineLevel="2">
      <c r="A1818" s="314"/>
      <c r="B1818" s="703"/>
      <c r="C1818" s="780" t="s">
        <v>389</v>
      </c>
      <c r="D1818" s="781"/>
      <c r="E1818" s="782">
        <f>E1815+E1812+E1810+E1807+E1804+E1801+E1799+E1795+E1791+E1788+E1782+E1778+E1774+E1770+E1768</f>
        <v>39484411</v>
      </c>
      <c r="F1818" s="782">
        <f t="shared" ref="F1818:P1818" si="1354">F1815+F1812+F1810+F1807+F1804+F1801+F1799+F1795+F1791+F1788+F1782+F1778+F1774+F1770+F1768</f>
        <v>0</v>
      </c>
      <c r="G1818" s="782">
        <f t="shared" si="1354"/>
        <v>0</v>
      </c>
      <c r="H1818" s="782">
        <f t="shared" si="1354"/>
        <v>0</v>
      </c>
      <c r="I1818" s="782">
        <f t="shared" si="1354"/>
        <v>39484411</v>
      </c>
      <c r="J1818" s="782">
        <f t="shared" si="1354"/>
        <v>0</v>
      </c>
      <c r="K1818" s="782">
        <f t="shared" si="1354"/>
        <v>1243721</v>
      </c>
      <c r="L1818" s="317">
        <f t="shared" si="1324"/>
        <v>40728132</v>
      </c>
      <c r="M1818" s="317"/>
      <c r="N1818" s="372">
        <f t="shared" si="1329"/>
        <v>-1243721</v>
      </c>
      <c r="O1818" s="782">
        <f t="shared" si="1354"/>
        <v>44800945.200000003</v>
      </c>
      <c r="P1818" s="782">
        <f t="shared" si="1354"/>
        <v>49281039.719999999</v>
      </c>
      <c r="R1818" s="317"/>
      <c r="U1818" s="320"/>
    </row>
    <row r="1819" spans="1:21" outlineLevel="2">
      <c r="A1819" s="332"/>
      <c r="B1819" s="339"/>
      <c r="C1819" s="773"/>
      <c r="D1819" s="774"/>
      <c r="E1819" s="778"/>
      <c r="F1819" s="647"/>
      <c r="G1819" s="647"/>
      <c r="H1819" s="647"/>
      <c r="I1819" s="324">
        <f t="shared" si="1334"/>
        <v>0</v>
      </c>
      <c r="J1819" s="779"/>
      <c r="K1819" s="779"/>
      <c r="L1819" s="317">
        <f t="shared" si="1324"/>
        <v>0</v>
      </c>
      <c r="M1819" s="317"/>
      <c r="N1819" s="372">
        <f t="shared" si="1329"/>
        <v>0</v>
      </c>
      <c r="O1819" s="319">
        <f>L1819*1.1</f>
        <v>0</v>
      </c>
      <c r="P1819" s="319">
        <f t="shared" ref="P1819:P1836" si="1355">O1819*1.1</f>
        <v>0</v>
      </c>
      <c r="R1819" s="317"/>
      <c r="U1819" s="320"/>
    </row>
    <row r="1820" spans="1:21" outlineLevel="2">
      <c r="A1820" s="332"/>
      <c r="B1820" s="339"/>
      <c r="C1820" s="362" t="s">
        <v>390</v>
      </c>
      <c r="D1820" s="769"/>
      <c r="E1820" s="778"/>
      <c r="F1820" s="622"/>
      <c r="G1820" s="622"/>
      <c r="H1820" s="622"/>
      <c r="I1820" s="324">
        <f t="shared" si="1334"/>
        <v>0</v>
      </c>
      <c r="J1820" s="779"/>
      <c r="K1820" s="779"/>
      <c r="L1820" s="317">
        <f t="shared" si="1324"/>
        <v>0</v>
      </c>
      <c r="M1820" s="317"/>
      <c r="N1820" s="372">
        <f t="shared" si="1329"/>
        <v>0</v>
      </c>
      <c r="O1820" s="319">
        <f>L1820*1.1</f>
        <v>0</v>
      </c>
      <c r="P1820" s="319">
        <f t="shared" si="1355"/>
        <v>0</v>
      </c>
      <c r="R1820" s="317"/>
      <c r="U1820" s="320"/>
    </row>
    <row r="1821" spans="1:21" outlineLevel="3">
      <c r="A1821" s="332"/>
      <c r="B1821" s="339"/>
      <c r="C1821" s="770">
        <v>2211000</v>
      </c>
      <c r="D1821" s="771" t="s">
        <v>118</v>
      </c>
      <c r="E1821" s="789">
        <f>E1822</f>
        <v>0</v>
      </c>
      <c r="F1821" s="789">
        <f t="shared" ref="F1821:K1821" si="1356">F1822</f>
        <v>0</v>
      </c>
      <c r="G1821" s="789">
        <f t="shared" si="1356"/>
        <v>0</v>
      </c>
      <c r="H1821" s="789">
        <f t="shared" si="1356"/>
        <v>0</v>
      </c>
      <c r="I1821" s="789">
        <f t="shared" si="1356"/>
        <v>0</v>
      </c>
      <c r="J1821" s="789">
        <f t="shared" si="1356"/>
        <v>0</v>
      </c>
      <c r="K1821" s="789">
        <f t="shared" si="1356"/>
        <v>0</v>
      </c>
      <c r="L1821" s="317">
        <f t="shared" si="1324"/>
        <v>0</v>
      </c>
      <c r="M1821" s="317"/>
      <c r="N1821" s="372">
        <f t="shared" si="1329"/>
        <v>0</v>
      </c>
      <c r="O1821" s="789">
        <f t="shared" ref="O1821:P1821" si="1357">O1822</f>
        <v>0</v>
      </c>
      <c r="P1821" s="789">
        <f t="shared" si="1357"/>
        <v>0</v>
      </c>
      <c r="R1821" s="317"/>
      <c r="U1821" s="320"/>
    </row>
    <row r="1822" spans="1:21" outlineLevel="3">
      <c r="A1822" s="332"/>
      <c r="B1822" s="339"/>
      <c r="C1822" s="773">
        <v>2211006</v>
      </c>
      <c r="D1822" s="811" t="s">
        <v>391</v>
      </c>
      <c r="E1822" s="778">
        <v>0</v>
      </c>
      <c r="F1822" s="364"/>
      <c r="G1822" s="364"/>
      <c r="H1822" s="364"/>
      <c r="I1822" s="324">
        <f t="shared" si="1334"/>
        <v>0</v>
      </c>
      <c r="J1822" s="777"/>
      <c r="K1822" s="777"/>
      <c r="L1822" s="317">
        <f t="shared" si="1324"/>
        <v>0</v>
      </c>
      <c r="M1822" s="317"/>
      <c r="N1822" s="372">
        <f t="shared" si="1329"/>
        <v>0</v>
      </c>
      <c r="O1822" s="319">
        <f>L1822*1.1</f>
        <v>0</v>
      </c>
      <c r="P1822" s="319">
        <f t="shared" si="1355"/>
        <v>0</v>
      </c>
      <c r="R1822" s="317"/>
      <c r="U1822" s="320"/>
    </row>
    <row r="1823" spans="1:21" outlineLevel="3">
      <c r="A1823" s="332"/>
      <c r="B1823" s="339"/>
      <c r="C1823" s="770">
        <v>3110200</v>
      </c>
      <c r="D1823" s="771" t="s">
        <v>375</v>
      </c>
      <c r="E1823" s="778">
        <f>SUM(E1824:E1824)</f>
        <v>0</v>
      </c>
      <c r="F1823" s="778">
        <f t="shared" ref="F1823:P1823" si="1358">SUM(F1824:F1824)</f>
        <v>0</v>
      </c>
      <c r="G1823" s="778">
        <f t="shared" si="1358"/>
        <v>0</v>
      </c>
      <c r="H1823" s="778">
        <f t="shared" si="1358"/>
        <v>0</v>
      </c>
      <c r="I1823" s="778">
        <f t="shared" si="1358"/>
        <v>0</v>
      </c>
      <c r="J1823" s="778">
        <f t="shared" si="1358"/>
        <v>0</v>
      </c>
      <c r="K1823" s="778">
        <f t="shared" si="1358"/>
        <v>0</v>
      </c>
      <c r="L1823" s="317">
        <f t="shared" si="1324"/>
        <v>0</v>
      </c>
      <c r="M1823" s="317"/>
      <c r="N1823" s="372">
        <f t="shared" si="1329"/>
        <v>0</v>
      </c>
      <c r="O1823" s="778">
        <f t="shared" si="1358"/>
        <v>0</v>
      </c>
      <c r="P1823" s="778">
        <f t="shared" si="1358"/>
        <v>0</v>
      </c>
      <c r="R1823" s="317"/>
      <c r="U1823" s="320"/>
    </row>
    <row r="1824" spans="1:21" outlineLevel="3">
      <c r="A1824" s="332"/>
      <c r="B1824" s="339"/>
      <c r="C1824" s="773">
        <v>3110202</v>
      </c>
      <c r="D1824" s="774" t="s">
        <v>1265</v>
      </c>
      <c r="E1824" s="778">
        <f>22000000+5000000-15000000-10000000-2000000</f>
        <v>0</v>
      </c>
      <c r="F1824" s="647"/>
      <c r="G1824" s="647"/>
      <c r="H1824" s="647"/>
      <c r="I1824" s="324">
        <f t="shared" si="1334"/>
        <v>0</v>
      </c>
      <c r="J1824" s="777"/>
      <c r="K1824" s="777"/>
      <c r="L1824" s="317">
        <f t="shared" si="1324"/>
        <v>0</v>
      </c>
      <c r="M1824" s="317"/>
      <c r="N1824" s="372">
        <f t="shared" si="1329"/>
        <v>0</v>
      </c>
      <c r="O1824" s="319">
        <f t="shared" ref="O1824" si="1359">L1824*1.1</f>
        <v>0</v>
      </c>
      <c r="P1824" s="319">
        <f t="shared" ref="P1824" si="1360">O1824*1.1</f>
        <v>0</v>
      </c>
      <c r="R1824" s="317"/>
      <c r="U1824" s="320"/>
    </row>
    <row r="1825" spans="1:21" outlineLevel="3">
      <c r="A1825" s="332"/>
      <c r="B1825" s="339"/>
      <c r="C1825" s="770">
        <v>3110400</v>
      </c>
      <c r="D1825" s="771" t="s">
        <v>381</v>
      </c>
      <c r="E1825" s="772">
        <f>E1827+E1826</f>
        <v>69494462</v>
      </c>
      <c r="F1825" s="772">
        <f t="shared" ref="F1825:P1825" si="1361">F1827+F1826</f>
        <v>3591113.6191557702</v>
      </c>
      <c r="G1825" s="772">
        <f t="shared" si="1361"/>
        <v>0</v>
      </c>
      <c r="H1825" s="772">
        <f t="shared" si="1361"/>
        <v>-48172000</v>
      </c>
      <c r="I1825" s="772">
        <f t="shared" si="1361"/>
        <v>24913575.619155772</v>
      </c>
      <c r="J1825" s="772">
        <f t="shared" si="1361"/>
        <v>0</v>
      </c>
      <c r="K1825" s="772">
        <f t="shared" si="1361"/>
        <v>3700000</v>
      </c>
      <c r="L1825" s="317">
        <f t="shared" si="1324"/>
        <v>28613575.619155772</v>
      </c>
      <c r="M1825" s="317"/>
      <c r="N1825" s="372">
        <f t="shared" si="1329"/>
        <v>-3700000</v>
      </c>
      <c r="O1825" s="772">
        <f t="shared" si="1361"/>
        <v>31474933.181071352</v>
      </c>
      <c r="P1825" s="772">
        <f t="shared" si="1361"/>
        <v>34622426.499178492</v>
      </c>
      <c r="R1825" s="317"/>
      <c r="U1825" s="320"/>
    </row>
    <row r="1826" spans="1:21" outlineLevel="3">
      <c r="A1826" s="332"/>
      <c r="B1826" s="339"/>
      <c r="C1826" s="773">
        <v>3110402</v>
      </c>
      <c r="D1826" s="812" t="s">
        <v>2457</v>
      </c>
      <c r="E1826" s="813">
        <f>39448000+6000000+22724000</f>
        <v>68172000</v>
      </c>
      <c r="F1826" s="814"/>
      <c r="G1826" s="814"/>
      <c r="H1826" s="814">
        <v>-48172000</v>
      </c>
      <c r="I1826" s="324">
        <f t="shared" si="1334"/>
        <v>20000000</v>
      </c>
      <c r="J1826" s="555"/>
      <c r="K1826" s="555">
        <v>3700000</v>
      </c>
      <c r="L1826" s="317">
        <f t="shared" si="1324"/>
        <v>23700000</v>
      </c>
      <c r="M1826" s="317"/>
      <c r="N1826" s="372">
        <f t="shared" si="1329"/>
        <v>-3700000</v>
      </c>
      <c r="O1826" s="319">
        <f t="shared" ref="O1826:O1827" si="1362">L1826*1.1</f>
        <v>26070000.000000004</v>
      </c>
      <c r="P1826" s="319">
        <f t="shared" ref="P1826:P1827" si="1363">O1826*1.1</f>
        <v>28677000.000000007</v>
      </c>
      <c r="R1826" s="317"/>
      <c r="U1826" s="320"/>
    </row>
    <row r="1827" spans="1:21" outlineLevel="3">
      <c r="A1827" s="332"/>
      <c r="B1827" s="339"/>
      <c r="C1827" s="773">
        <v>3110499</v>
      </c>
      <c r="D1827" s="303" t="s">
        <v>2429</v>
      </c>
      <c r="E1827" s="815">
        <v>1322462</v>
      </c>
      <c r="F1827" s="577">
        <v>3591113.6191557702</v>
      </c>
      <c r="G1827" s="577"/>
      <c r="H1827" s="577"/>
      <c r="I1827" s="324">
        <f t="shared" si="1334"/>
        <v>4913575.6191557702</v>
      </c>
      <c r="J1827" s="777"/>
      <c r="K1827" s="777"/>
      <c r="L1827" s="317">
        <f t="shared" si="1324"/>
        <v>4913575.6191557702</v>
      </c>
      <c r="M1827" s="317"/>
      <c r="N1827" s="372">
        <f t="shared" si="1329"/>
        <v>0</v>
      </c>
      <c r="O1827" s="319">
        <f t="shared" si="1362"/>
        <v>5404933.1810713476</v>
      </c>
      <c r="P1827" s="319">
        <f t="shared" si="1363"/>
        <v>5945426.4991784832</v>
      </c>
      <c r="R1827" s="317"/>
      <c r="U1827" s="320"/>
    </row>
    <row r="1828" spans="1:21" outlineLevel="3">
      <c r="A1828" s="659"/>
      <c r="B1828" s="377"/>
      <c r="C1828" s="816">
        <v>3110500</v>
      </c>
      <c r="D1828" s="817" t="s">
        <v>260</v>
      </c>
      <c r="E1828" s="818">
        <f>E1829</f>
        <v>6750000</v>
      </c>
      <c r="F1828" s="818">
        <f t="shared" ref="F1828:K1828" si="1364">F1829</f>
        <v>0</v>
      </c>
      <c r="G1828" s="818">
        <f t="shared" si="1364"/>
        <v>0</v>
      </c>
      <c r="H1828" s="818">
        <f t="shared" si="1364"/>
        <v>0</v>
      </c>
      <c r="I1828" s="818">
        <f t="shared" si="1364"/>
        <v>6750000</v>
      </c>
      <c r="J1828" s="818">
        <f t="shared" si="1364"/>
        <v>0</v>
      </c>
      <c r="K1828" s="818">
        <f t="shared" si="1364"/>
        <v>30000</v>
      </c>
      <c r="L1828" s="317">
        <f t="shared" si="1324"/>
        <v>6780000</v>
      </c>
      <c r="M1828" s="2212"/>
      <c r="N1828" s="372">
        <f t="shared" si="1329"/>
        <v>-30000</v>
      </c>
      <c r="O1828" s="818">
        <f t="shared" ref="O1828:P1828" si="1365">O1829</f>
        <v>7458000.0000000009</v>
      </c>
      <c r="P1828" s="818">
        <f t="shared" si="1365"/>
        <v>8203800.0000000019</v>
      </c>
      <c r="R1828" s="317"/>
      <c r="U1828" s="320"/>
    </row>
    <row r="1829" spans="1:21" outlineLevel="3">
      <c r="A1829" s="332"/>
      <c r="B1829" s="339"/>
      <c r="C1829" s="773">
        <v>3110599</v>
      </c>
      <c r="D1829" s="819" t="s">
        <v>1754</v>
      </c>
      <c r="E1829" s="778">
        <v>6750000</v>
      </c>
      <c r="F1829" s="820"/>
      <c r="G1829" s="778">
        <f>-3375000+3375000</f>
        <v>0</v>
      </c>
      <c r="H1829" s="820"/>
      <c r="I1829" s="324">
        <f t="shared" si="1334"/>
        <v>6750000</v>
      </c>
      <c r="J1829" s="821"/>
      <c r="K1829" s="821">
        <v>30000</v>
      </c>
      <c r="L1829" s="317">
        <f t="shared" si="1324"/>
        <v>6780000</v>
      </c>
      <c r="M1829" s="2210"/>
      <c r="N1829" s="372">
        <f t="shared" si="1329"/>
        <v>-30000</v>
      </c>
      <c r="O1829" s="318">
        <f t="shared" ref="O1829" si="1366">L1829*1.1</f>
        <v>7458000.0000000009</v>
      </c>
      <c r="P1829" s="319">
        <f t="shared" ref="P1829" si="1367">O1829*1.1</f>
        <v>8203800.0000000019</v>
      </c>
      <c r="R1829" s="317"/>
      <c r="U1829" s="320"/>
    </row>
    <row r="1830" spans="1:21" outlineLevel="3">
      <c r="A1830" s="764"/>
      <c r="B1830" s="359"/>
      <c r="C1830" s="822">
        <v>3110700</v>
      </c>
      <c r="D1830" s="823" t="s">
        <v>65</v>
      </c>
      <c r="E1830" s="824">
        <f>SUM(E1831:E1832)</f>
        <v>35000000</v>
      </c>
      <c r="F1830" s="824">
        <f t="shared" ref="F1830:K1830" si="1368">SUM(F1831:F1832)</f>
        <v>0</v>
      </c>
      <c r="G1830" s="824">
        <f t="shared" si="1368"/>
        <v>0</v>
      </c>
      <c r="H1830" s="824">
        <f t="shared" si="1368"/>
        <v>0</v>
      </c>
      <c r="I1830" s="824">
        <f t="shared" si="1368"/>
        <v>35000000</v>
      </c>
      <c r="J1830" s="824">
        <f t="shared" si="1368"/>
        <v>0</v>
      </c>
      <c r="K1830" s="824">
        <f t="shared" si="1368"/>
        <v>-3600000</v>
      </c>
      <c r="L1830" s="317">
        <f t="shared" si="1324"/>
        <v>31400000</v>
      </c>
      <c r="M1830" s="2211"/>
      <c r="N1830" s="372">
        <f t="shared" si="1329"/>
        <v>3600000</v>
      </c>
      <c r="O1830" s="824">
        <f t="shared" ref="O1830:P1830" si="1369">SUM(O1831:O1832)</f>
        <v>34540000</v>
      </c>
      <c r="P1830" s="824">
        <f t="shared" si="1369"/>
        <v>37994000</v>
      </c>
      <c r="R1830" s="317"/>
      <c r="U1830" s="320"/>
    </row>
    <row r="1831" spans="1:21" outlineLevel="3">
      <c r="A1831" s="332"/>
      <c r="B1831" s="339"/>
      <c r="C1831" s="773">
        <v>3110701</v>
      </c>
      <c r="D1831" s="810" t="s">
        <v>1263</v>
      </c>
      <c r="E1831" s="790">
        <f>26000000-26000000</f>
        <v>0</v>
      </c>
      <c r="F1831" s="481"/>
      <c r="G1831" s="481"/>
      <c r="H1831" s="481"/>
      <c r="I1831" s="324">
        <f t="shared" si="1334"/>
        <v>0</v>
      </c>
      <c r="J1831" s="777"/>
      <c r="K1831" s="777"/>
      <c r="L1831" s="317">
        <f t="shared" si="1324"/>
        <v>0</v>
      </c>
      <c r="M1831" s="317"/>
      <c r="N1831" s="372">
        <f t="shared" si="1329"/>
        <v>0</v>
      </c>
      <c r="O1831" s="319">
        <f>L1831*1.1</f>
        <v>0</v>
      </c>
      <c r="P1831" s="319">
        <f t="shared" si="1355"/>
        <v>0</v>
      </c>
      <c r="R1831" s="317"/>
      <c r="U1831" s="320"/>
    </row>
    <row r="1832" spans="1:21" outlineLevel="3">
      <c r="A1832" s="332"/>
      <c r="B1832" s="339"/>
      <c r="C1832" s="773">
        <v>3110799</v>
      </c>
      <c r="D1832" s="774" t="s">
        <v>1505</v>
      </c>
      <c r="E1832" s="790">
        <v>35000000</v>
      </c>
      <c r="F1832" s="647"/>
      <c r="G1832" s="647"/>
      <c r="H1832" s="647">
        <f>-35000000+35000000</f>
        <v>0</v>
      </c>
      <c r="I1832" s="324">
        <f t="shared" si="1334"/>
        <v>35000000</v>
      </c>
      <c r="J1832" s="555"/>
      <c r="K1832" s="555">
        <v>-3600000</v>
      </c>
      <c r="L1832" s="317">
        <f t="shared" si="1324"/>
        <v>31400000</v>
      </c>
      <c r="M1832" s="317"/>
      <c r="N1832" s="372">
        <f t="shared" si="1329"/>
        <v>3600000</v>
      </c>
      <c r="O1832" s="319">
        <f>L1832*1.1</f>
        <v>34540000</v>
      </c>
      <c r="P1832" s="319">
        <f t="shared" si="1355"/>
        <v>37994000</v>
      </c>
      <c r="R1832" s="317"/>
      <c r="U1832" s="320"/>
    </row>
    <row r="1833" spans="1:21" outlineLevel="3">
      <c r="A1833" s="680"/>
      <c r="B1833" s="377"/>
      <c r="C1833" s="816">
        <v>3111400</v>
      </c>
      <c r="D1833" s="817" t="s">
        <v>90</v>
      </c>
      <c r="E1833" s="825">
        <f>SUM(E1834:E1836)</f>
        <v>23700000</v>
      </c>
      <c r="F1833" s="825">
        <f t="shared" ref="F1833:K1833" si="1370">SUM(F1834:F1836)</f>
        <v>0</v>
      </c>
      <c r="G1833" s="825">
        <f t="shared" si="1370"/>
        <v>0</v>
      </c>
      <c r="H1833" s="825">
        <f t="shared" si="1370"/>
        <v>-7454997</v>
      </c>
      <c r="I1833" s="825">
        <f t="shared" si="1370"/>
        <v>16245003</v>
      </c>
      <c r="J1833" s="825">
        <f t="shared" si="1370"/>
        <v>0</v>
      </c>
      <c r="K1833" s="825">
        <f t="shared" si="1370"/>
        <v>-100000</v>
      </c>
      <c r="L1833" s="317">
        <f t="shared" si="1324"/>
        <v>16145003</v>
      </c>
      <c r="M1833" s="2212"/>
      <c r="N1833" s="372">
        <f t="shared" si="1329"/>
        <v>100000</v>
      </c>
      <c r="O1833" s="825">
        <f t="shared" ref="O1833:P1833" si="1371">SUM(O1834:O1836)</f>
        <v>17759503.300000001</v>
      </c>
      <c r="P1833" s="825">
        <f t="shared" si="1371"/>
        <v>19535453.630000003</v>
      </c>
      <c r="R1833" s="317"/>
      <c r="U1833" s="320"/>
    </row>
    <row r="1834" spans="1:21" outlineLevel="3">
      <c r="A1834" s="332"/>
      <c r="B1834" s="339"/>
      <c r="C1834" s="773">
        <v>3111401</v>
      </c>
      <c r="D1834" s="774" t="s">
        <v>1506</v>
      </c>
      <c r="E1834" s="778">
        <f>15700000</f>
        <v>15700000</v>
      </c>
      <c r="F1834" s="647"/>
      <c r="G1834" s="647"/>
      <c r="H1834" s="778">
        <f>-4454997-11245003+11245003</f>
        <v>-4454997</v>
      </c>
      <c r="I1834" s="324">
        <f t="shared" si="1334"/>
        <v>11245003</v>
      </c>
      <c r="J1834" s="821"/>
      <c r="K1834" s="821">
        <v>-100000</v>
      </c>
      <c r="L1834" s="317">
        <f t="shared" si="1324"/>
        <v>11145003</v>
      </c>
      <c r="M1834" s="2210"/>
      <c r="N1834" s="372">
        <f t="shared" si="1329"/>
        <v>100000</v>
      </c>
      <c r="O1834" s="318">
        <f>L1834*1.1</f>
        <v>12259503.300000001</v>
      </c>
      <c r="P1834" s="319">
        <f t="shared" si="1355"/>
        <v>13485453.630000003</v>
      </c>
      <c r="R1834" s="317"/>
      <c r="U1834" s="320"/>
    </row>
    <row r="1835" spans="1:21" outlineLevel="3">
      <c r="A1835" s="764"/>
      <c r="B1835" s="359"/>
      <c r="C1835" s="807">
        <v>3111401</v>
      </c>
      <c r="D1835" s="826" t="s">
        <v>1507</v>
      </c>
      <c r="E1835" s="775">
        <v>8000000</v>
      </c>
      <c r="F1835" s="776"/>
      <c r="G1835" s="776"/>
      <c r="H1835" s="776">
        <f>-5000000+2000000</f>
        <v>-3000000</v>
      </c>
      <c r="I1835" s="324">
        <f t="shared" si="1334"/>
        <v>5000000</v>
      </c>
      <c r="J1835" s="777"/>
      <c r="K1835" s="777"/>
      <c r="L1835" s="317">
        <f t="shared" si="1324"/>
        <v>5000000</v>
      </c>
      <c r="M1835" s="317"/>
      <c r="N1835" s="372">
        <f t="shared" si="1329"/>
        <v>0</v>
      </c>
      <c r="O1835" s="319">
        <f>L1835*1.1</f>
        <v>5500000</v>
      </c>
      <c r="P1835" s="319">
        <f t="shared" si="1355"/>
        <v>6050000.0000000009</v>
      </c>
      <c r="R1835" s="317"/>
      <c r="U1835" s="320"/>
    </row>
    <row r="1836" spans="1:21" s="337" customFormat="1" outlineLevel="3">
      <c r="A1836" s="332"/>
      <c r="B1836" s="339"/>
      <c r="C1836" s="773">
        <v>3111401</v>
      </c>
      <c r="D1836" s="774" t="s">
        <v>1508</v>
      </c>
      <c r="E1836" s="790">
        <f>5000000-5000000</f>
        <v>0</v>
      </c>
      <c r="F1836" s="647"/>
      <c r="G1836" s="647"/>
      <c r="H1836" s="647"/>
      <c r="I1836" s="324">
        <f t="shared" si="1334"/>
        <v>0</v>
      </c>
      <c r="J1836" s="777"/>
      <c r="K1836" s="777"/>
      <c r="L1836" s="317">
        <f t="shared" si="1324"/>
        <v>0</v>
      </c>
      <c r="M1836" s="317"/>
      <c r="N1836" s="372">
        <f t="shared" si="1329"/>
        <v>0</v>
      </c>
      <c r="O1836" s="319">
        <f>L1836*1.1</f>
        <v>0</v>
      </c>
      <c r="P1836" s="319">
        <f t="shared" si="1355"/>
        <v>0</v>
      </c>
      <c r="R1836" s="317"/>
      <c r="U1836" s="320"/>
    </row>
    <row r="1837" spans="1:21" outlineLevel="3">
      <c r="A1837" s="314"/>
      <c r="B1837" s="703"/>
      <c r="C1837" s="780" t="s">
        <v>389</v>
      </c>
      <c r="D1837" s="781"/>
      <c r="E1837" s="700">
        <f>E1821+E1828+E1830+E1825+E1833</f>
        <v>134944462</v>
      </c>
      <c r="F1837" s="700">
        <f t="shared" ref="F1837:K1837" si="1372">F1821+F1828+F1830+F1825+F1833</f>
        <v>3591113.6191557702</v>
      </c>
      <c r="G1837" s="700">
        <f t="shared" si="1372"/>
        <v>0</v>
      </c>
      <c r="H1837" s="700">
        <f t="shared" si="1372"/>
        <v>-55626997</v>
      </c>
      <c r="I1837" s="700">
        <f t="shared" si="1372"/>
        <v>82908578.619155765</v>
      </c>
      <c r="J1837" s="700">
        <f t="shared" si="1372"/>
        <v>0</v>
      </c>
      <c r="K1837" s="700">
        <f t="shared" si="1372"/>
        <v>30000</v>
      </c>
      <c r="L1837" s="317">
        <f t="shared" si="1324"/>
        <v>82938578.619155765</v>
      </c>
      <c r="M1837" s="317"/>
      <c r="N1837" s="372">
        <f t="shared" si="1329"/>
        <v>-30000</v>
      </c>
      <c r="O1837" s="700">
        <f t="shared" ref="O1837:P1837" si="1373">O1821+O1828+O1830+O1825+O1833</f>
        <v>91232436.481071353</v>
      </c>
      <c r="P1837" s="700">
        <f t="shared" si="1373"/>
        <v>100355680.12917849</v>
      </c>
      <c r="R1837" s="317"/>
      <c r="U1837" s="320"/>
    </row>
    <row r="1838" spans="1:21" outlineLevel="2">
      <c r="A1838" s="314"/>
      <c r="B1838" s="703"/>
      <c r="C1838" s="780" t="s">
        <v>84</v>
      </c>
      <c r="D1838" s="781"/>
      <c r="E1838" s="700">
        <f>E1818+E1837</f>
        <v>174428873</v>
      </c>
      <c r="F1838" s="700">
        <f t="shared" ref="F1838:K1838" si="1374">F1818+F1837</f>
        <v>3591113.6191557702</v>
      </c>
      <c r="G1838" s="700">
        <f t="shared" si="1374"/>
        <v>0</v>
      </c>
      <c r="H1838" s="700">
        <f t="shared" si="1374"/>
        <v>-55626997</v>
      </c>
      <c r="I1838" s="700">
        <f t="shared" si="1374"/>
        <v>122392989.61915576</v>
      </c>
      <c r="J1838" s="700">
        <f t="shared" si="1374"/>
        <v>0</v>
      </c>
      <c r="K1838" s="700">
        <f t="shared" si="1374"/>
        <v>1273721</v>
      </c>
      <c r="L1838" s="317">
        <f t="shared" si="1324"/>
        <v>123666710.61915576</v>
      </c>
      <c r="M1838" s="317"/>
      <c r="N1838" s="372">
        <f t="shared" si="1329"/>
        <v>-1273721</v>
      </c>
      <c r="O1838" s="700">
        <f t="shared" ref="O1838:P1838" si="1375">O1818+O1837</f>
        <v>136033381.68107134</v>
      </c>
      <c r="P1838" s="700">
        <f t="shared" si="1375"/>
        <v>149636719.84917849</v>
      </c>
      <c r="R1838" s="317"/>
      <c r="U1838" s="320"/>
    </row>
    <row r="1839" spans="1:21">
      <c r="A1839" s="382"/>
      <c r="B1839" s="703"/>
      <c r="C1839" s="314"/>
      <c r="D1839" s="703" t="s">
        <v>99</v>
      </c>
      <c r="E1839" s="700">
        <f>E1654+E1694+E1749+E1818</f>
        <v>214290323</v>
      </c>
      <c r="F1839" s="700">
        <f t="shared" ref="F1839:L1839" si="1376">F1654+F1694+F1749+F1818</f>
        <v>0</v>
      </c>
      <c r="G1839" s="700">
        <f t="shared" si="1376"/>
        <v>0</v>
      </c>
      <c r="H1839" s="700">
        <f t="shared" si="1376"/>
        <v>0</v>
      </c>
      <c r="I1839" s="700">
        <f t="shared" si="1376"/>
        <v>214290323</v>
      </c>
      <c r="J1839" s="700">
        <f t="shared" si="1376"/>
        <v>0</v>
      </c>
      <c r="K1839" s="700">
        <f t="shared" si="1376"/>
        <v>-30000</v>
      </c>
      <c r="L1839" s="700">
        <f t="shared" si="1376"/>
        <v>214260323</v>
      </c>
      <c r="M1839" s="700"/>
      <c r="N1839" s="372">
        <f t="shared" si="1329"/>
        <v>30000</v>
      </c>
      <c r="O1839" s="700">
        <f t="shared" ref="O1839:P1839" si="1377">O1654+O1694+O1749+O1818</f>
        <v>236704445.30000001</v>
      </c>
      <c r="P1839" s="700">
        <f t="shared" si="1377"/>
        <v>260313109.83000004</v>
      </c>
      <c r="R1839" s="700"/>
      <c r="U1839" s="827"/>
    </row>
    <row r="1840" spans="1:21">
      <c r="A1840" s="382"/>
      <c r="B1840" s="703"/>
      <c r="C1840" s="314"/>
      <c r="D1840" s="703" t="s">
        <v>175</v>
      </c>
      <c r="E1840" s="700">
        <f>E1704+E1762+E1837</f>
        <v>730084582</v>
      </c>
      <c r="F1840" s="700">
        <f t="shared" ref="F1840:L1840" si="1378">F1704+F1762+F1837</f>
        <v>6783214.4639609009</v>
      </c>
      <c r="G1840" s="700">
        <f t="shared" si="1378"/>
        <v>-13375000</v>
      </c>
      <c r="H1840" s="700">
        <f t="shared" si="1378"/>
        <v>24416625</v>
      </c>
      <c r="I1840" s="700">
        <f t="shared" si="1378"/>
        <v>747909421.46396089</v>
      </c>
      <c r="J1840" s="700">
        <f t="shared" si="1378"/>
        <v>-461969379.88999999</v>
      </c>
      <c r="K1840" s="700">
        <f t="shared" si="1378"/>
        <v>30000</v>
      </c>
      <c r="L1840" s="700">
        <f t="shared" si="1378"/>
        <v>285970041.5739609</v>
      </c>
      <c r="M1840" s="700"/>
      <c r="N1840" s="372">
        <f t="shared" si="1329"/>
        <v>-30000</v>
      </c>
      <c r="O1840" s="700">
        <f t="shared" ref="O1840:P1840" si="1379">O1704+O1762+O1837</f>
        <v>314567045.7313571</v>
      </c>
      <c r="P1840" s="700">
        <f t="shared" si="1379"/>
        <v>346023750.30449283</v>
      </c>
      <c r="R1840" s="700"/>
      <c r="U1840" s="827"/>
    </row>
    <row r="1841" spans="1:21">
      <c r="A1841" s="382"/>
      <c r="B1841" s="703"/>
      <c r="C1841" s="572" t="s">
        <v>1270</v>
      </c>
      <c r="D1841" s="573"/>
      <c r="E1841" s="700">
        <f t="shared" ref="E1841:P1841" si="1380">E1839+E1840</f>
        <v>944374905</v>
      </c>
      <c r="F1841" s="700">
        <f t="shared" ref="F1841:L1841" si="1381">F1839+F1840</f>
        <v>6783214.4639609009</v>
      </c>
      <c r="G1841" s="700">
        <f t="shared" si="1381"/>
        <v>-13375000</v>
      </c>
      <c r="H1841" s="700">
        <f t="shared" si="1381"/>
        <v>24416625</v>
      </c>
      <c r="I1841" s="700">
        <f t="shared" si="1381"/>
        <v>962199744.46396089</v>
      </c>
      <c r="J1841" s="700">
        <f t="shared" si="1381"/>
        <v>-461969379.88999999</v>
      </c>
      <c r="K1841" s="700">
        <f t="shared" si="1381"/>
        <v>0</v>
      </c>
      <c r="L1841" s="700">
        <f t="shared" si="1381"/>
        <v>500230364.5739609</v>
      </c>
      <c r="M1841" s="700"/>
      <c r="N1841" s="372">
        <f t="shared" si="1329"/>
        <v>0</v>
      </c>
      <c r="O1841" s="700">
        <f t="shared" si="1380"/>
        <v>551271491.03135705</v>
      </c>
      <c r="P1841" s="700">
        <f t="shared" si="1380"/>
        <v>606336860.13449287</v>
      </c>
      <c r="R1841" s="700"/>
      <c r="U1841" s="827" t="s">
        <v>1803</v>
      </c>
    </row>
    <row r="1842" spans="1:21">
      <c r="A1842" s="382"/>
      <c r="B1842" s="703"/>
      <c r="C1842" s="314"/>
      <c r="D1842" s="574"/>
      <c r="E1842" s="700"/>
      <c r="F1842" s="576"/>
      <c r="G1842" s="576"/>
      <c r="H1842" s="576"/>
      <c r="I1842" s="324">
        <f t="shared" si="1334"/>
        <v>0</v>
      </c>
      <c r="J1842" s="576"/>
      <c r="K1842" s="576"/>
      <c r="L1842" s="317"/>
      <c r="M1842" s="317"/>
      <c r="N1842" s="372">
        <f t="shared" si="1329"/>
        <v>0</v>
      </c>
      <c r="O1842" s="319"/>
      <c r="P1842" s="319"/>
      <c r="R1842" s="317"/>
      <c r="U1842" s="320"/>
    </row>
    <row r="1843" spans="1:21">
      <c r="A1843" s="658"/>
      <c r="B1843" s="658"/>
      <c r="C1843" s="659"/>
      <c r="D1843" s="352"/>
      <c r="E1843" s="660"/>
      <c r="F1843" s="661"/>
      <c r="G1843" s="661"/>
      <c r="H1843" s="661"/>
      <c r="I1843" s="324">
        <f t="shared" si="1334"/>
        <v>0</v>
      </c>
      <c r="J1843" s="661"/>
      <c r="K1843" s="661"/>
      <c r="L1843" s="317"/>
      <c r="M1843" s="317"/>
      <c r="N1843" s="372">
        <f t="shared" si="1329"/>
        <v>0</v>
      </c>
      <c r="O1843" s="319"/>
      <c r="P1843" s="319"/>
      <c r="R1843" s="317"/>
      <c r="U1843" s="320"/>
    </row>
    <row r="1844" spans="1:21" s="344" customFormat="1">
      <c r="A1844" s="828"/>
      <c r="B1844" s="828"/>
      <c r="C1844" s="829" t="s">
        <v>392</v>
      </c>
      <c r="D1844" s="828"/>
      <c r="E1844" s="406"/>
      <c r="F1844" s="830"/>
      <c r="G1844" s="830"/>
      <c r="H1844" s="830"/>
      <c r="I1844" s="324">
        <f t="shared" si="1334"/>
        <v>0</v>
      </c>
      <c r="J1844" s="830"/>
      <c r="K1844" s="830"/>
      <c r="L1844" s="317"/>
      <c r="M1844" s="2210"/>
      <c r="N1844" s="372">
        <f t="shared" si="1329"/>
        <v>0</v>
      </c>
      <c r="O1844" s="318"/>
      <c r="P1844" s="319"/>
      <c r="R1844" s="317"/>
      <c r="U1844" s="320" t="s">
        <v>1803</v>
      </c>
    </row>
    <row r="1845" spans="1:21" s="344" customFormat="1" outlineLevel="1">
      <c r="A1845" s="831"/>
      <c r="B1845" s="831"/>
      <c r="C1845" s="832" t="s">
        <v>393</v>
      </c>
      <c r="D1845" s="832"/>
      <c r="E1845" s="496">
        <v>0</v>
      </c>
      <c r="F1845" s="833"/>
      <c r="G1845" s="833"/>
      <c r="H1845" s="833"/>
      <c r="I1845" s="324">
        <f t="shared" si="1334"/>
        <v>0</v>
      </c>
      <c r="J1845" s="833"/>
      <c r="K1845" s="833"/>
      <c r="L1845" s="317">
        <f t="shared" si="1324"/>
        <v>0</v>
      </c>
      <c r="M1845" s="317"/>
      <c r="N1845" s="372">
        <f t="shared" si="1329"/>
        <v>0</v>
      </c>
      <c r="O1845" s="319">
        <f>L1845*1.1</f>
        <v>0</v>
      </c>
      <c r="P1845" s="319">
        <f t="shared" ref="P1845:P1864" si="1382">O1845*1.1</f>
        <v>0</v>
      </c>
      <c r="R1845" s="317"/>
      <c r="U1845" s="320"/>
    </row>
    <row r="1846" spans="1:21" s="344" customFormat="1" outlineLevel="1">
      <c r="A1846" s="404"/>
      <c r="B1846" s="404"/>
      <c r="C1846" s="834" t="s">
        <v>394</v>
      </c>
      <c r="D1846" s="834"/>
      <c r="E1846" s="518"/>
      <c r="F1846" s="518"/>
      <c r="G1846" s="518"/>
      <c r="H1846" s="518"/>
      <c r="I1846" s="324">
        <f t="shared" si="1334"/>
        <v>0</v>
      </c>
      <c r="J1846" s="518"/>
      <c r="K1846" s="518"/>
      <c r="L1846" s="317">
        <f t="shared" si="1324"/>
        <v>0</v>
      </c>
      <c r="M1846" s="317"/>
      <c r="N1846" s="372">
        <f t="shared" si="1329"/>
        <v>0</v>
      </c>
      <c r="O1846" s="319">
        <f>L1846*1.1</f>
        <v>0</v>
      </c>
      <c r="P1846" s="319">
        <f t="shared" si="1382"/>
        <v>0</v>
      </c>
      <c r="R1846" s="317"/>
      <c r="U1846" s="320"/>
    </row>
    <row r="1847" spans="1:21" s="344" customFormat="1" outlineLevel="1">
      <c r="A1847" s="404" t="s">
        <v>178</v>
      </c>
      <c r="B1847" s="404" t="s">
        <v>146</v>
      </c>
      <c r="C1847" s="835" t="s">
        <v>395</v>
      </c>
      <c r="D1847" s="835"/>
      <c r="E1847" s="518"/>
      <c r="F1847" s="518"/>
      <c r="G1847" s="518"/>
      <c r="H1847" s="518"/>
      <c r="I1847" s="324">
        <f t="shared" si="1334"/>
        <v>0</v>
      </c>
      <c r="J1847" s="518"/>
      <c r="K1847" s="518"/>
      <c r="L1847" s="317">
        <f t="shared" si="1324"/>
        <v>0</v>
      </c>
      <c r="M1847" s="317"/>
      <c r="N1847" s="372">
        <f t="shared" si="1329"/>
        <v>0</v>
      </c>
      <c r="O1847" s="319">
        <f>L1847*1.1</f>
        <v>0</v>
      </c>
      <c r="P1847" s="319">
        <f t="shared" si="1382"/>
        <v>0</v>
      </c>
      <c r="R1847" s="317"/>
      <c r="U1847" s="320"/>
    </row>
    <row r="1848" spans="1:21" s="344" customFormat="1" outlineLevel="3">
      <c r="A1848" s="836"/>
      <c r="B1848" s="836"/>
      <c r="C1848" s="837">
        <v>2110100</v>
      </c>
      <c r="D1848" s="836" t="s">
        <v>13</v>
      </c>
      <c r="E1848" s="838">
        <f>E1849</f>
        <v>891170557</v>
      </c>
      <c r="F1848" s="838">
        <f t="shared" ref="F1848:K1848" si="1383">F1849</f>
        <v>0</v>
      </c>
      <c r="G1848" s="838">
        <f t="shared" si="1383"/>
        <v>48369349.758165359</v>
      </c>
      <c r="H1848" s="838">
        <f t="shared" si="1383"/>
        <v>0</v>
      </c>
      <c r="I1848" s="838">
        <f t="shared" si="1383"/>
        <v>939539906.75816536</v>
      </c>
      <c r="J1848" s="838">
        <f t="shared" si="1383"/>
        <v>-27000000</v>
      </c>
      <c r="K1848" s="838">
        <f t="shared" si="1383"/>
        <v>0</v>
      </c>
      <c r="L1848" s="317">
        <f t="shared" si="1324"/>
        <v>912539906.75816536</v>
      </c>
      <c r="M1848" s="2212"/>
      <c r="N1848" s="372">
        <f t="shared" si="1329"/>
        <v>0</v>
      </c>
      <c r="O1848" s="838">
        <f t="shared" ref="O1848:P1848" si="1384">O1849</f>
        <v>1003793897.433982</v>
      </c>
      <c r="P1848" s="838">
        <f t="shared" si="1384"/>
        <v>1104173287.1773803</v>
      </c>
      <c r="R1848" s="317"/>
      <c r="U1848" s="320"/>
    </row>
    <row r="1849" spans="1:21" s="344" customFormat="1" outlineLevel="3">
      <c r="A1849" s="402"/>
      <c r="B1849" s="402"/>
      <c r="C1849" s="401">
        <v>2110101</v>
      </c>
      <c r="D1849" s="839" t="s">
        <v>2106</v>
      </c>
      <c r="E1849" s="670">
        <f>957233489-66062932</f>
        <v>891170557</v>
      </c>
      <c r="F1849" s="333"/>
      <c r="G1849" s="333">
        <f>(68877343-13200000-300000-7007993)+-0.24183464050293</f>
        <v>48369349.758165359</v>
      </c>
      <c r="H1849" s="333"/>
      <c r="I1849" s="324">
        <f t="shared" si="1334"/>
        <v>939539906.75816536</v>
      </c>
      <c r="J1849" s="840">
        <v>-27000000</v>
      </c>
      <c r="K1849" s="841"/>
      <c r="L1849" s="317">
        <f t="shared" si="1324"/>
        <v>912539906.75816536</v>
      </c>
      <c r="M1849" s="2210"/>
      <c r="N1849" s="372">
        <f t="shared" si="1329"/>
        <v>0</v>
      </c>
      <c r="O1849" s="318">
        <f>L1849*1.1</f>
        <v>1003793897.433982</v>
      </c>
      <c r="P1849" s="319">
        <f t="shared" si="1382"/>
        <v>1104173287.1773803</v>
      </c>
      <c r="R1849" s="317"/>
      <c r="U1849" s="320" t="s">
        <v>1803</v>
      </c>
    </row>
    <row r="1850" spans="1:21" s="337" customFormat="1" outlineLevel="3">
      <c r="A1850" s="842"/>
      <c r="B1850" s="842"/>
      <c r="C1850" s="843">
        <v>2110200</v>
      </c>
      <c r="D1850" s="834" t="s">
        <v>148</v>
      </c>
      <c r="E1850" s="844">
        <f>E1851</f>
        <v>12656000</v>
      </c>
      <c r="F1850" s="844">
        <f t="shared" ref="F1850:P1850" si="1385">F1851</f>
        <v>0</v>
      </c>
      <c r="G1850" s="844">
        <f t="shared" si="1385"/>
        <v>14200000</v>
      </c>
      <c r="H1850" s="844">
        <f t="shared" si="1385"/>
        <v>0</v>
      </c>
      <c r="I1850" s="844">
        <f t="shared" si="1385"/>
        <v>26856000</v>
      </c>
      <c r="J1850" s="844">
        <f t="shared" si="1385"/>
        <v>-8500000</v>
      </c>
      <c r="K1850" s="844">
        <f t="shared" si="1385"/>
        <v>0</v>
      </c>
      <c r="L1850" s="317">
        <f t="shared" si="1324"/>
        <v>18356000</v>
      </c>
      <c r="M1850" s="2216"/>
      <c r="N1850" s="372">
        <f t="shared" si="1329"/>
        <v>0</v>
      </c>
      <c r="O1850" s="844">
        <f t="shared" si="1385"/>
        <v>20191600</v>
      </c>
      <c r="P1850" s="844">
        <f t="shared" si="1385"/>
        <v>22210760</v>
      </c>
      <c r="R1850" s="317"/>
      <c r="U1850" s="320"/>
    </row>
    <row r="1851" spans="1:21" s="344" customFormat="1" outlineLevel="3">
      <c r="A1851" s="402"/>
      <c r="B1851" s="402"/>
      <c r="C1851" s="401">
        <v>2110202</v>
      </c>
      <c r="D1851" s="845" t="s">
        <v>2455</v>
      </c>
      <c r="E1851" s="670">
        <f>10856000+1800000</f>
        <v>12656000</v>
      </c>
      <c r="F1851" s="333"/>
      <c r="G1851" s="333">
        <f>25200000-5000000-6000000</f>
        <v>14200000</v>
      </c>
      <c r="H1851" s="333"/>
      <c r="I1851" s="324">
        <f t="shared" si="1334"/>
        <v>26856000</v>
      </c>
      <c r="J1851" s="846">
        <v>-8500000</v>
      </c>
      <c r="K1851" s="846"/>
      <c r="L1851" s="317">
        <f t="shared" si="1324"/>
        <v>18356000</v>
      </c>
      <c r="M1851" s="2210"/>
      <c r="N1851" s="372">
        <f t="shared" si="1329"/>
        <v>0</v>
      </c>
      <c r="O1851" s="318">
        <f>L1851*1.1</f>
        <v>20191600</v>
      </c>
      <c r="P1851" s="319">
        <f t="shared" si="1382"/>
        <v>22210760</v>
      </c>
      <c r="R1851" s="317"/>
      <c r="U1851" s="320" t="s">
        <v>1803</v>
      </c>
    </row>
    <row r="1852" spans="1:21" s="344" customFormat="1" outlineLevel="3">
      <c r="A1852" s="847"/>
      <c r="B1852" s="847"/>
      <c r="C1852" s="652">
        <v>2210200</v>
      </c>
      <c r="D1852" s="847" t="s">
        <v>20</v>
      </c>
      <c r="E1852" s="848">
        <f>E1853+E1854+E1855</f>
        <v>307907.10200000001</v>
      </c>
      <c r="F1852" s="848">
        <f t="shared" ref="F1852:P1852" si="1386">F1853+F1854+F1855</f>
        <v>0</v>
      </c>
      <c r="G1852" s="848">
        <f t="shared" si="1386"/>
        <v>0</v>
      </c>
      <c r="H1852" s="848">
        <f t="shared" si="1386"/>
        <v>0</v>
      </c>
      <c r="I1852" s="848">
        <f t="shared" si="1386"/>
        <v>307907.10200000001</v>
      </c>
      <c r="J1852" s="848">
        <f t="shared" si="1386"/>
        <v>0</v>
      </c>
      <c r="K1852" s="848">
        <f t="shared" si="1386"/>
        <v>0</v>
      </c>
      <c r="L1852" s="317">
        <f t="shared" si="1324"/>
        <v>307907.10200000001</v>
      </c>
      <c r="M1852" s="2211"/>
      <c r="N1852" s="372">
        <f t="shared" si="1329"/>
        <v>0</v>
      </c>
      <c r="O1852" s="848">
        <f t="shared" si="1386"/>
        <v>338697.81220000004</v>
      </c>
      <c r="P1852" s="848">
        <f t="shared" si="1386"/>
        <v>372567.59342000011</v>
      </c>
      <c r="R1852" s="317"/>
      <c r="U1852" s="320"/>
    </row>
    <row r="1853" spans="1:21" s="344" customFormat="1" outlineLevel="3">
      <c r="A1853" s="402"/>
      <c r="B1853" s="402"/>
      <c r="C1853" s="401">
        <v>2210201</v>
      </c>
      <c r="D1853" s="402" t="s">
        <v>187</v>
      </c>
      <c r="E1853" s="670">
        <v>230260</v>
      </c>
      <c r="F1853" s="333"/>
      <c r="G1853" s="333"/>
      <c r="H1853" s="333"/>
      <c r="I1853" s="324">
        <f t="shared" si="1334"/>
        <v>230260</v>
      </c>
      <c r="J1853" s="333"/>
      <c r="K1853" s="849"/>
      <c r="L1853" s="317">
        <f t="shared" si="1324"/>
        <v>230260</v>
      </c>
      <c r="M1853" s="317"/>
      <c r="N1853" s="372">
        <f t="shared" si="1329"/>
        <v>0</v>
      </c>
      <c r="O1853" s="319">
        <f>L1853*1.1</f>
        <v>253286.00000000003</v>
      </c>
      <c r="P1853" s="319">
        <f t="shared" si="1382"/>
        <v>278614.60000000003</v>
      </c>
      <c r="R1853" s="317"/>
      <c r="U1853" s="320"/>
    </row>
    <row r="1854" spans="1:21" s="344" customFormat="1" outlineLevel="3">
      <c r="A1854" s="402"/>
      <c r="B1854" s="402"/>
      <c r="C1854" s="401">
        <v>2210202</v>
      </c>
      <c r="D1854" s="402" t="s">
        <v>22</v>
      </c>
      <c r="E1854" s="670">
        <f>9107.10200000002+30000</f>
        <v>39107.102000000021</v>
      </c>
      <c r="F1854" s="333"/>
      <c r="G1854" s="333"/>
      <c r="H1854" s="333"/>
      <c r="I1854" s="324">
        <f t="shared" si="1334"/>
        <v>39107.102000000021</v>
      </c>
      <c r="J1854" s="333"/>
      <c r="K1854" s="849"/>
      <c r="L1854" s="317">
        <f t="shared" si="1324"/>
        <v>39107.102000000021</v>
      </c>
      <c r="M1854" s="317"/>
      <c r="N1854" s="372">
        <f t="shared" si="1329"/>
        <v>0</v>
      </c>
      <c r="O1854" s="319">
        <f>L1854*1.1</f>
        <v>43017.812200000029</v>
      </c>
      <c r="P1854" s="319">
        <f t="shared" si="1382"/>
        <v>47319.593420000034</v>
      </c>
      <c r="R1854" s="317"/>
      <c r="U1854" s="320"/>
    </row>
    <row r="1855" spans="1:21" s="344" customFormat="1" outlineLevel="3">
      <c r="A1855" s="402"/>
      <c r="B1855" s="402"/>
      <c r="C1855" s="401">
        <v>2210203</v>
      </c>
      <c r="D1855" s="402" t="s">
        <v>23</v>
      </c>
      <c r="E1855" s="670">
        <f>68540-30000</f>
        <v>38540</v>
      </c>
      <c r="F1855" s="333"/>
      <c r="G1855" s="333"/>
      <c r="H1855" s="333"/>
      <c r="I1855" s="324">
        <f t="shared" si="1334"/>
        <v>38540</v>
      </c>
      <c r="J1855" s="333"/>
      <c r="K1855" s="849"/>
      <c r="L1855" s="317">
        <f t="shared" si="1324"/>
        <v>38540</v>
      </c>
      <c r="M1855" s="317"/>
      <c r="N1855" s="372">
        <f t="shared" si="1329"/>
        <v>0</v>
      </c>
      <c r="O1855" s="319">
        <f>L1855*1.1</f>
        <v>42394</v>
      </c>
      <c r="P1855" s="319">
        <f t="shared" si="1382"/>
        <v>46633.4</v>
      </c>
      <c r="R1855" s="317"/>
      <c r="U1855" s="320"/>
    </row>
    <row r="1856" spans="1:21" s="344" customFormat="1" outlineLevel="3">
      <c r="A1856" s="404"/>
      <c r="B1856" s="404"/>
      <c r="C1856" s="403">
        <v>2210300</v>
      </c>
      <c r="D1856" s="404" t="s">
        <v>24</v>
      </c>
      <c r="E1856" s="784">
        <f>E1857+E1859+E1858</f>
        <v>2372812</v>
      </c>
      <c r="F1856" s="784">
        <f t="shared" ref="F1856:K1856" si="1387">F1857+F1859+F1858</f>
        <v>0</v>
      </c>
      <c r="G1856" s="784">
        <f t="shared" si="1387"/>
        <v>0</v>
      </c>
      <c r="H1856" s="784">
        <f t="shared" si="1387"/>
        <v>0</v>
      </c>
      <c r="I1856" s="784">
        <f t="shared" si="1387"/>
        <v>2372812</v>
      </c>
      <c r="J1856" s="784">
        <f t="shared" si="1387"/>
        <v>0</v>
      </c>
      <c r="K1856" s="784">
        <f t="shared" si="1387"/>
        <v>1150000</v>
      </c>
      <c r="L1856" s="317">
        <f t="shared" si="1324"/>
        <v>3522812</v>
      </c>
      <c r="M1856" s="317"/>
      <c r="N1856" s="372">
        <f t="shared" si="1329"/>
        <v>-1150000</v>
      </c>
      <c r="O1856" s="784">
        <f t="shared" ref="O1856:P1856" si="1388">O1857+O1859+O1858</f>
        <v>3875093.2</v>
      </c>
      <c r="P1856" s="784">
        <f t="shared" si="1388"/>
        <v>4262602.5200000005</v>
      </c>
      <c r="R1856" s="317"/>
      <c r="U1856" s="320"/>
    </row>
    <row r="1857" spans="1:21" s="344" customFormat="1" outlineLevel="3">
      <c r="A1857" s="402"/>
      <c r="B1857" s="402"/>
      <c r="C1857" s="401">
        <v>2210301</v>
      </c>
      <c r="D1857" s="402" t="s">
        <v>25</v>
      </c>
      <c r="E1857" s="670">
        <v>989612</v>
      </c>
      <c r="F1857" s="333"/>
      <c r="G1857" s="333"/>
      <c r="H1857" s="333"/>
      <c r="I1857" s="324">
        <f t="shared" si="1334"/>
        <v>989612</v>
      </c>
      <c r="J1857" s="333"/>
      <c r="K1857" s="850">
        <v>350000</v>
      </c>
      <c r="L1857" s="317">
        <f t="shared" si="1324"/>
        <v>1339612</v>
      </c>
      <c r="M1857" s="317"/>
      <c r="N1857" s="372">
        <f t="shared" si="1329"/>
        <v>-350000</v>
      </c>
      <c r="O1857" s="319">
        <f>L1857*1.1</f>
        <v>1473573.2000000002</v>
      </c>
      <c r="P1857" s="319">
        <f t="shared" si="1382"/>
        <v>1620930.5200000003</v>
      </c>
      <c r="R1857" s="317"/>
      <c r="U1857" s="320"/>
    </row>
    <row r="1858" spans="1:21" s="344" customFormat="1" outlineLevel="3">
      <c r="A1858" s="404"/>
      <c r="B1858" s="404"/>
      <c r="C1858" s="401">
        <v>2210302</v>
      </c>
      <c r="D1858" s="402" t="s">
        <v>411</v>
      </c>
      <c r="E1858" s="670">
        <v>550000</v>
      </c>
      <c r="F1858" s="333"/>
      <c r="G1858" s="333"/>
      <c r="H1858" s="333"/>
      <c r="I1858" s="324">
        <f t="shared" si="1334"/>
        <v>550000</v>
      </c>
      <c r="J1858" s="333"/>
      <c r="K1858" s="850">
        <v>300000</v>
      </c>
      <c r="L1858" s="317">
        <f t="shared" si="1324"/>
        <v>850000</v>
      </c>
      <c r="M1858" s="317"/>
      <c r="N1858" s="372">
        <f t="shared" si="1329"/>
        <v>-300000</v>
      </c>
      <c r="O1858" s="319">
        <f>L1858*1.1</f>
        <v>935000.00000000012</v>
      </c>
      <c r="P1858" s="319">
        <f t="shared" si="1382"/>
        <v>1028500.0000000002</v>
      </c>
      <c r="R1858" s="317"/>
      <c r="U1858" s="320"/>
    </row>
    <row r="1859" spans="1:21" s="344" customFormat="1" outlineLevel="3">
      <c r="A1859" s="402"/>
      <c r="B1859" s="402"/>
      <c r="C1859" s="401">
        <v>2210303</v>
      </c>
      <c r="D1859" s="402" t="s">
        <v>223</v>
      </c>
      <c r="E1859" s="670">
        <v>833200</v>
      </c>
      <c r="F1859" s="333"/>
      <c r="G1859" s="333"/>
      <c r="H1859" s="333"/>
      <c r="I1859" s="324">
        <f t="shared" si="1334"/>
        <v>833200</v>
      </c>
      <c r="J1859" s="333"/>
      <c r="K1859" s="850">
        <v>500000</v>
      </c>
      <c r="L1859" s="317">
        <f t="shared" si="1324"/>
        <v>1333200</v>
      </c>
      <c r="M1859" s="317"/>
      <c r="N1859" s="372">
        <f t="shared" si="1329"/>
        <v>-500000</v>
      </c>
      <c r="O1859" s="319">
        <f>L1859*1.1</f>
        <v>1466520.0000000002</v>
      </c>
      <c r="P1859" s="319">
        <f t="shared" si="1382"/>
        <v>1613172.0000000005</v>
      </c>
      <c r="R1859" s="317"/>
      <c r="U1859" s="320"/>
    </row>
    <row r="1860" spans="1:21" s="344" customFormat="1" outlineLevel="3">
      <c r="A1860" s="402"/>
      <c r="B1860" s="402"/>
      <c r="C1860" s="403">
        <v>2210400</v>
      </c>
      <c r="D1860" s="404" t="s">
        <v>189</v>
      </c>
      <c r="E1860" s="784">
        <f>E1861+E1862</f>
        <v>644906.39</v>
      </c>
      <c r="F1860" s="784">
        <f t="shared" ref="F1860:P1860" si="1389">F1861+F1862</f>
        <v>0</v>
      </c>
      <c r="G1860" s="784">
        <f t="shared" si="1389"/>
        <v>0</v>
      </c>
      <c r="H1860" s="784">
        <f t="shared" si="1389"/>
        <v>0</v>
      </c>
      <c r="I1860" s="784">
        <f t="shared" si="1389"/>
        <v>644906.39</v>
      </c>
      <c r="J1860" s="784">
        <f t="shared" si="1389"/>
        <v>0</v>
      </c>
      <c r="K1860" s="784">
        <f t="shared" si="1389"/>
        <v>0</v>
      </c>
      <c r="L1860" s="317">
        <f t="shared" ref="L1860:L1923" si="1390">I1860+J1860+K1860</f>
        <v>644906.39</v>
      </c>
      <c r="M1860" s="317"/>
      <c r="N1860" s="372">
        <f t="shared" si="1329"/>
        <v>0</v>
      </c>
      <c r="O1860" s="784">
        <f t="shared" si="1389"/>
        <v>709397.0290000001</v>
      </c>
      <c r="P1860" s="784">
        <f t="shared" si="1389"/>
        <v>780336.73190000001</v>
      </c>
      <c r="R1860" s="317"/>
      <c r="U1860" s="320"/>
    </row>
    <row r="1861" spans="1:21" s="344" customFormat="1" outlineLevel="3">
      <c r="A1861" s="404"/>
      <c r="B1861" s="404"/>
      <c r="C1861" s="401">
        <v>2210403</v>
      </c>
      <c r="D1861" s="402" t="s">
        <v>223</v>
      </c>
      <c r="E1861" s="670">
        <v>276800</v>
      </c>
      <c r="F1861" s="333"/>
      <c r="G1861" s="333"/>
      <c r="H1861" s="333"/>
      <c r="I1861" s="324">
        <f t="shared" si="1334"/>
        <v>276800</v>
      </c>
      <c r="J1861" s="333"/>
      <c r="K1861" s="849"/>
      <c r="L1861" s="317">
        <f t="shared" si="1390"/>
        <v>276800</v>
      </c>
      <c r="M1861" s="317"/>
      <c r="N1861" s="372">
        <f t="shared" si="1329"/>
        <v>0</v>
      </c>
      <c r="O1861" s="319">
        <f>L1861*1.1</f>
        <v>304480</v>
      </c>
      <c r="P1861" s="319">
        <f t="shared" si="1382"/>
        <v>334928</v>
      </c>
      <c r="R1861" s="317"/>
      <c r="U1861" s="320"/>
    </row>
    <row r="1862" spans="1:21" s="344" customFormat="1" outlineLevel="3">
      <c r="A1862" s="402"/>
      <c r="B1862" s="402"/>
      <c r="C1862" s="401">
        <v>2210404</v>
      </c>
      <c r="D1862" s="402" t="s">
        <v>28</v>
      </c>
      <c r="E1862" s="670">
        <v>368106.39</v>
      </c>
      <c r="F1862" s="333"/>
      <c r="G1862" s="333"/>
      <c r="H1862" s="333"/>
      <c r="I1862" s="324">
        <f t="shared" si="1334"/>
        <v>368106.39</v>
      </c>
      <c r="J1862" s="333"/>
      <c r="K1862" s="849"/>
      <c r="L1862" s="317">
        <f t="shared" si="1390"/>
        <v>368106.39</v>
      </c>
      <c r="M1862" s="317"/>
      <c r="N1862" s="372">
        <f t="shared" si="1329"/>
        <v>0</v>
      </c>
      <c r="O1862" s="319">
        <f>L1862*1.1</f>
        <v>404917.02900000004</v>
      </c>
      <c r="P1862" s="319">
        <f t="shared" si="1382"/>
        <v>445408.73190000007</v>
      </c>
      <c r="R1862" s="317"/>
      <c r="U1862" s="320"/>
    </row>
    <row r="1863" spans="1:21" s="344" customFormat="1" outlineLevel="3">
      <c r="A1863" s="402"/>
      <c r="B1863" s="402"/>
      <c r="C1863" s="403">
        <v>2210500</v>
      </c>
      <c r="D1863" s="404" t="s">
        <v>31</v>
      </c>
      <c r="E1863" s="784">
        <f>E1864+E1865</f>
        <v>3745750</v>
      </c>
      <c r="F1863" s="784">
        <f t="shared" ref="F1863:I1863" si="1391">F1864+F1865</f>
        <v>0</v>
      </c>
      <c r="G1863" s="784">
        <f t="shared" si="1391"/>
        <v>0</v>
      </c>
      <c r="H1863" s="784">
        <f t="shared" si="1391"/>
        <v>0</v>
      </c>
      <c r="I1863" s="784">
        <f t="shared" si="1391"/>
        <v>3745750</v>
      </c>
      <c r="J1863" s="784"/>
      <c r="K1863" s="518">
        <f t="shared" ref="K1863" si="1392">K1864+K1865</f>
        <v>0</v>
      </c>
      <c r="L1863" s="317">
        <f t="shared" si="1390"/>
        <v>3745750</v>
      </c>
      <c r="M1863" s="317"/>
      <c r="N1863" s="372">
        <f t="shared" si="1329"/>
        <v>0</v>
      </c>
      <c r="O1863" s="784">
        <f t="shared" ref="O1863:P1863" si="1393">O1864+O1865</f>
        <v>4120325.0000000005</v>
      </c>
      <c r="P1863" s="784">
        <f t="shared" si="1393"/>
        <v>4532357.5000000009</v>
      </c>
      <c r="R1863" s="317"/>
      <c r="U1863" s="320"/>
    </row>
    <row r="1864" spans="1:21" s="344" customFormat="1" outlineLevel="3">
      <c r="A1864" s="404"/>
      <c r="B1864" s="404"/>
      <c r="C1864" s="401">
        <v>2210502</v>
      </c>
      <c r="D1864" s="402" t="s">
        <v>397</v>
      </c>
      <c r="E1864" s="670">
        <v>72762.043999999994</v>
      </c>
      <c r="F1864" s="333"/>
      <c r="G1864" s="333"/>
      <c r="H1864" s="333"/>
      <c r="I1864" s="324">
        <f t="shared" si="1334"/>
        <v>72762.043999999994</v>
      </c>
      <c r="J1864" s="333"/>
      <c r="K1864" s="849"/>
      <c r="L1864" s="317">
        <f t="shared" si="1390"/>
        <v>72762.043999999994</v>
      </c>
      <c r="M1864" s="317"/>
      <c r="N1864" s="372">
        <f t="shared" ref="N1864:N1927" si="1394">M1864-K1864</f>
        <v>0</v>
      </c>
      <c r="O1864" s="319">
        <f>L1864*1.1</f>
        <v>80038.248399999997</v>
      </c>
      <c r="P1864" s="319">
        <f t="shared" si="1382"/>
        <v>88042.073239999998</v>
      </c>
      <c r="R1864" s="317"/>
      <c r="U1864" s="320"/>
    </row>
    <row r="1865" spans="1:21" s="344" customFormat="1" outlineLevel="3">
      <c r="A1865" s="402"/>
      <c r="B1865" s="402"/>
      <c r="C1865" s="401">
        <v>2210504</v>
      </c>
      <c r="D1865" s="402" t="s">
        <v>398</v>
      </c>
      <c r="E1865" s="851">
        <f>4172987.956+1000000-1000000-500000</f>
        <v>3672987.9560000002</v>
      </c>
      <c r="F1865" s="333"/>
      <c r="G1865" s="333"/>
      <c r="H1865" s="333"/>
      <c r="I1865" s="324">
        <f t="shared" ref="I1865:I1927" si="1395">E1865+F1865+G1865+H1865</f>
        <v>3672987.9560000002</v>
      </c>
      <c r="J1865" s="333"/>
      <c r="K1865" s="849"/>
      <c r="L1865" s="317">
        <f t="shared" si="1390"/>
        <v>3672987.9560000002</v>
      </c>
      <c r="M1865" s="317"/>
      <c r="N1865" s="372">
        <f t="shared" si="1394"/>
        <v>0</v>
      </c>
      <c r="O1865" s="319">
        <f>L1865*1.1</f>
        <v>4040286.7516000005</v>
      </c>
      <c r="P1865" s="319">
        <f t="shared" ref="P1865:P1888" si="1396">O1865*1.1</f>
        <v>4444315.4267600011</v>
      </c>
      <c r="R1865" s="317"/>
      <c r="U1865" s="320"/>
    </row>
    <row r="1866" spans="1:21" s="344" customFormat="1" outlineLevel="3">
      <c r="A1866" s="402"/>
      <c r="B1866" s="402"/>
      <c r="C1866" s="403">
        <v>2210700</v>
      </c>
      <c r="D1866" s="404" t="s">
        <v>1589</v>
      </c>
      <c r="E1866" s="784">
        <f>SUM(E1867:E1871)</f>
        <v>2210000</v>
      </c>
      <c r="F1866" s="784">
        <f t="shared" ref="F1866:P1866" si="1397">SUM(F1867:F1871)</f>
        <v>0</v>
      </c>
      <c r="G1866" s="784">
        <f t="shared" si="1397"/>
        <v>0</v>
      </c>
      <c r="H1866" s="784">
        <f t="shared" si="1397"/>
        <v>0</v>
      </c>
      <c r="I1866" s="784">
        <f t="shared" si="1397"/>
        <v>2210000</v>
      </c>
      <c r="J1866" s="784">
        <f t="shared" si="1397"/>
        <v>0</v>
      </c>
      <c r="K1866" s="784">
        <f t="shared" si="1397"/>
        <v>100000</v>
      </c>
      <c r="L1866" s="317">
        <f t="shared" si="1390"/>
        <v>2310000</v>
      </c>
      <c r="M1866" s="317"/>
      <c r="N1866" s="372">
        <f t="shared" si="1394"/>
        <v>-100000</v>
      </c>
      <c r="O1866" s="784">
        <f t="shared" si="1397"/>
        <v>2541000.0000000005</v>
      </c>
      <c r="P1866" s="784">
        <f t="shared" si="1397"/>
        <v>2795100.0000000005</v>
      </c>
      <c r="R1866" s="317"/>
      <c r="U1866" s="320"/>
    </row>
    <row r="1867" spans="1:21" s="344" customFormat="1" outlineLevel="3">
      <c r="A1867" s="402"/>
      <c r="B1867" s="402"/>
      <c r="C1867" s="401">
        <v>2210710</v>
      </c>
      <c r="D1867" s="402" t="s">
        <v>39</v>
      </c>
      <c r="E1867" s="670">
        <f>1246000-300000</f>
        <v>946000</v>
      </c>
      <c r="F1867" s="333"/>
      <c r="G1867" s="333"/>
      <c r="H1867" s="333"/>
      <c r="I1867" s="324">
        <f t="shared" si="1395"/>
        <v>946000</v>
      </c>
      <c r="J1867" s="333"/>
      <c r="K1867" s="850"/>
      <c r="L1867" s="317">
        <f t="shared" si="1390"/>
        <v>946000</v>
      </c>
      <c r="M1867" s="317"/>
      <c r="N1867" s="372">
        <f t="shared" si="1394"/>
        <v>0</v>
      </c>
      <c r="O1867" s="319">
        <f>L1867*1.1</f>
        <v>1040600.0000000001</v>
      </c>
      <c r="P1867" s="319">
        <f t="shared" si="1396"/>
        <v>1144660.0000000002</v>
      </c>
      <c r="R1867" s="317"/>
      <c r="U1867" s="320"/>
    </row>
    <row r="1868" spans="1:21" s="344" customFormat="1" outlineLevel="3">
      <c r="A1868" s="402"/>
      <c r="B1868" s="402"/>
      <c r="C1868" s="401">
        <v>2210711</v>
      </c>
      <c r="D1868" s="402" t="s">
        <v>399</v>
      </c>
      <c r="E1868" s="670">
        <v>174000</v>
      </c>
      <c r="F1868" s="333"/>
      <c r="G1868" s="333"/>
      <c r="H1868" s="333"/>
      <c r="I1868" s="324">
        <f t="shared" si="1395"/>
        <v>174000</v>
      </c>
      <c r="J1868" s="333"/>
      <c r="K1868" s="850"/>
      <c r="L1868" s="317">
        <f t="shared" si="1390"/>
        <v>174000</v>
      </c>
      <c r="M1868" s="317"/>
      <c r="N1868" s="372">
        <f t="shared" si="1394"/>
        <v>0</v>
      </c>
      <c r="O1868" s="319">
        <f>L1868*1.1</f>
        <v>191400.00000000003</v>
      </c>
      <c r="P1868" s="319">
        <f t="shared" si="1396"/>
        <v>210540.00000000006</v>
      </c>
      <c r="R1868" s="317"/>
      <c r="U1868" s="320"/>
    </row>
    <row r="1869" spans="1:21" s="344" customFormat="1" outlineLevel="3">
      <c r="A1869" s="402"/>
      <c r="B1869" s="402"/>
      <c r="C1869" s="401">
        <v>2210712</v>
      </c>
      <c r="D1869" s="402" t="s">
        <v>339</v>
      </c>
      <c r="E1869" s="670">
        <v>290000</v>
      </c>
      <c r="F1869" s="333"/>
      <c r="G1869" s="333"/>
      <c r="H1869" s="333"/>
      <c r="I1869" s="324">
        <f t="shared" si="1395"/>
        <v>290000</v>
      </c>
      <c r="J1869" s="333"/>
      <c r="K1869" s="850"/>
      <c r="L1869" s="317">
        <f t="shared" si="1390"/>
        <v>290000</v>
      </c>
      <c r="M1869" s="317"/>
      <c r="N1869" s="372">
        <f t="shared" si="1394"/>
        <v>0</v>
      </c>
      <c r="O1869" s="319">
        <f>L1869*1.1</f>
        <v>319000</v>
      </c>
      <c r="P1869" s="319">
        <f t="shared" si="1396"/>
        <v>350900</v>
      </c>
      <c r="R1869" s="317"/>
      <c r="U1869" s="320"/>
    </row>
    <row r="1870" spans="1:21" s="344" customFormat="1" outlineLevel="3">
      <c r="A1870" s="404"/>
      <c r="B1870" s="404"/>
      <c r="C1870" s="401">
        <v>2210715</v>
      </c>
      <c r="D1870" s="402" t="s">
        <v>40</v>
      </c>
      <c r="E1870" s="670">
        <f>860000+300000-500000</f>
        <v>660000</v>
      </c>
      <c r="F1870" s="333"/>
      <c r="G1870" s="333"/>
      <c r="H1870" s="333"/>
      <c r="I1870" s="324">
        <f t="shared" si="1395"/>
        <v>660000</v>
      </c>
      <c r="J1870" s="333"/>
      <c r="K1870" s="849"/>
      <c r="L1870" s="317">
        <f t="shared" si="1390"/>
        <v>660000</v>
      </c>
      <c r="M1870" s="317"/>
      <c r="N1870" s="372">
        <f t="shared" si="1394"/>
        <v>0</v>
      </c>
      <c r="O1870" s="319">
        <f>L1870*1.1</f>
        <v>726000.00000000012</v>
      </c>
      <c r="P1870" s="319">
        <f t="shared" si="1396"/>
        <v>798600.00000000023</v>
      </c>
      <c r="R1870" s="317"/>
      <c r="U1870" s="320"/>
    </row>
    <row r="1871" spans="1:21" s="344" customFormat="1" outlineLevel="3">
      <c r="A1871" s="402"/>
      <c r="B1871" s="402"/>
      <c r="C1871" s="401">
        <v>2210799</v>
      </c>
      <c r="D1871" s="402" t="s">
        <v>400</v>
      </c>
      <c r="E1871" s="670">
        <v>140000</v>
      </c>
      <c r="F1871" s="333"/>
      <c r="G1871" s="333"/>
      <c r="H1871" s="333"/>
      <c r="I1871" s="324">
        <f t="shared" si="1395"/>
        <v>140000</v>
      </c>
      <c r="J1871" s="333"/>
      <c r="K1871" s="850">
        <v>100000</v>
      </c>
      <c r="L1871" s="317">
        <f t="shared" si="1390"/>
        <v>240000</v>
      </c>
      <c r="M1871" s="317"/>
      <c r="N1871" s="372">
        <f t="shared" si="1394"/>
        <v>-100000</v>
      </c>
      <c r="O1871" s="319">
        <f>L1871*1.1</f>
        <v>264000</v>
      </c>
      <c r="P1871" s="319">
        <f t="shared" si="1396"/>
        <v>290400</v>
      </c>
      <c r="R1871" s="317"/>
      <c r="U1871" s="320"/>
    </row>
    <row r="1872" spans="1:21" s="344" customFormat="1" outlineLevel="3">
      <c r="A1872" s="402"/>
      <c r="B1872" s="402"/>
      <c r="C1872" s="403">
        <v>2210800</v>
      </c>
      <c r="D1872" s="404" t="s">
        <v>42</v>
      </c>
      <c r="E1872" s="784">
        <f>E1874+E1873+E1875</f>
        <v>3690000</v>
      </c>
      <c r="F1872" s="784">
        <f t="shared" ref="F1872:P1872" si="1398">F1874+F1873+F1875</f>
        <v>0</v>
      </c>
      <c r="G1872" s="784">
        <f t="shared" si="1398"/>
        <v>0</v>
      </c>
      <c r="H1872" s="784">
        <f t="shared" si="1398"/>
        <v>0</v>
      </c>
      <c r="I1872" s="784">
        <f t="shared" si="1398"/>
        <v>3690000</v>
      </c>
      <c r="J1872" s="784">
        <f t="shared" si="1398"/>
        <v>0</v>
      </c>
      <c r="K1872" s="784">
        <f t="shared" si="1398"/>
        <v>0</v>
      </c>
      <c r="L1872" s="317">
        <f t="shared" si="1390"/>
        <v>3690000</v>
      </c>
      <c r="M1872" s="317"/>
      <c r="N1872" s="372">
        <f t="shared" si="1394"/>
        <v>0</v>
      </c>
      <c r="O1872" s="784">
        <f t="shared" si="1398"/>
        <v>4059000</v>
      </c>
      <c r="P1872" s="784">
        <f t="shared" si="1398"/>
        <v>4464900.0000000009</v>
      </c>
      <c r="R1872" s="317"/>
      <c r="U1872" s="320"/>
    </row>
    <row r="1873" spans="1:21" s="344" customFormat="1" outlineLevel="3">
      <c r="A1873" s="404"/>
      <c r="B1873" s="404"/>
      <c r="C1873" s="401">
        <v>2210801</v>
      </c>
      <c r="D1873" s="402" t="s">
        <v>401</v>
      </c>
      <c r="E1873" s="670">
        <v>1290000</v>
      </c>
      <c r="F1873" s="333"/>
      <c r="G1873" s="333"/>
      <c r="H1873" s="333"/>
      <c r="I1873" s="324">
        <f t="shared" si="1395"/>
        <v>1290000</v>
      </c>
      <c r="J1873" s="333"/>
      <c r="K1873" s="849"/>
      <c r="L1873" s="317">
        <f t="shared" si="1390"/>
        <v>1290000</v>
      </c>
      <c r="M1873" s="317"/>
      <c r="N1873" s="372">
        <f t="shared" si="1394"/>
        <v>0</v>
      </c>
      <c r="O1873" s="319">
        <f>L1873*1.1</f>
        <v>1419000</v>
      </c>
      <c r="P1873" s="319">
        <f t="shared" si="1396"/>
        <v>1560900.0000000002</v>
      </c>
      <c r="R1873" s="317"/>
      <c r="U1873" s="320"/>
    </row>
    <row r="1874" spans="1:21" s="344" customFormat="1" outlineLevel="3">
      <c r="A1874" s="402"/>
      <c r="B1874" s="402"/>
      <c r="C1874" s="401">
        <v>2210803</v>
      </c>
      <c r="D1874" s="402" t="s">
        <v>2421</v>
      </c>
      <c r="E1874" s="670">
        <v>1600000</v>
      </c>
      <c r="F1874" s="333"/>
      <c r="G1874" s="333"/>
      <c r="H1874" s="333"/>
      <c r="I1874" s="324">
        <f t="shared" si="1395"/>
        <v>1600000</v>
      </c>
      <c r="J1874" s="333"/>
      <c r="K1874" s="849"/>
      <c r="L1874" s="317">
        <f t="shared" si="1390"/>
        <v>1600000</v>
      </c>
      <c r="M1874" s="317"/>
      <c r="N1874" s="372">
        <f t="shared" si="1394"/>
        <v>0</v>
      </c>
      <c r="O1874" s="319">
        <f>L1874*1.1</f>
        <v>1760000.0000000002</v>
      </c>
      <c r="P1874" s="319">
        <f t="shared" si="1396"/>
        <v>1936000.0000000005</v>
      </c>
      <c r="R1874" s="317"/>
      <c r="U1874" s="320"/>
    </row>
    <row r="1875" spans="1:21" s="344" customFormat="1" outlineLevel="3">
      <c r="A1875" s="402"/>
      <c r="B1875" s="402"/>
      <c r="C1875" s="401">
        <v>2210803</v>
      </c>
      <c r="D1875" s="402" t="s">
        <v>1590</v>
      </c>
      <c r="E1875" s="670">
        <v>800000</v>
      </c>
      <c r="F1875" s="333"/>
      <c r="G1875" s="333"/>
      <c r="H1875" s="333"/>
      <c r="I1875" s="324">
        <f t="shared" si="1395"/>
        <v>800000</v>
      </c>
      <c r="J1875" s="333"/>
      <c r="K1875" s="849"/>
      <c r="L1875" s="317">
        <f t="shared" si="1390"/>
        <v>800000</v>
      </c>
      <c r="M1875" s="317"/>
      <c r="N1875" s="372">
        <f t="shared" si="1394"/>
        <v>0</v>
      </c>
      <c r="O1875" s="319">
        <f>L1875*1.1</f>
        <v>880000.00000000012</v>
      </c>
      <c r="P1875" s="319">
        <f t="shared" si="1396"/>
        <v>968000.00000000023</v>
      </c>
      <c r="R1875" s="317"/>
      <c r="U1875" s="320"/>
    </row>
    <row r="1876" spans="1:21" s="344" customFormat="1" outlineLevel="3">
      <c r="A1876" s="402"/>
      <c r="B1876" s="402"/>
      <c r="C1876" s="403">
        <v>2211100</v>
      </c>
      <c r="D1876" s="404" t="s">
        <v>51</v>
      </c>
      <c r="E1876" s="784">
        <f>E1877+E1878+E1879</f>
        <v>1510320.2340000002</v>
      </c>
      <c r="F1876" s="784">
        <f t="shared" ref="F1876:P1876" si="1399">F1877+F1878+F1879</f>
        <v>0</v>
      </c>
      <c r="G1876" s="784">
        <f t="shared" si="1399"/>
        <v>0</v>
      </c>
      <c r="H1876" s="784">
        <f t="shared" si="1399"/>
        <v>0</v>
      </c>
      <c r="I1876" s="784">
        <f t="shared" si="1399"/>
        <v>1510320.2340000002</v>
      </c>
      <c r="J1876" s="784">
        <f t="shared" si="1399"/>
        <v>0</v>
      </c>
      <c r="K1876" s="784">
        <f t="shared" si="1399"/>
        <v>0</v>
      </c>
      <c r="L1876" s="317">
        <f t="shared" si="1390"/>
        <v>1510320.2340000002</v>
      </c>
      <c r="M1876" s="317"/>
      <c r="N1876" s="372">
        <f t="shared" si="1394"/>
        <v>0</v>
      </c>
      <c r="O1876" s="784">
        <f t="shared" si="1399"/>
        <v>1661352.2574</v>
      </c>
      <c r="P1876" s="784">
        <f t="shared" si="1399"/>
        <v>1827487.4831400004</v>
      </c>
      <c r="R1876" s="317"/>
      <c r="U1876" s="320"/>
    </row>
    <row r="1877" spans="1:21" s="344" customFormat="1" outlineLevel="3">
      <c r="A1877" s="404"/>
      <c r="B1877" s="404"/>
      <c r="C1877" s="401">
        <v>2211101</v>
      </c>
      <c r="D1877" s="402" t="s">
        <v>289</v>
      </c>
      <c r="E1877" s="670">
        <v>800000</v>
      </c>
      <c r="F1877" s="333"/>
      <c r="G1877" s="333"/>
      <c r="H1877" s="333"/>
      <c r="I1877" s="324">
        <f t="shared" si="1395"/>
        <v>800000</v>
      </c>
      <c r="J1877" s="333"/>
      <c r="K1877" s="849"/>
      <c r="L1877" s="317">
        <f t="shared" si="1390"/>
        <v>800000</v>
      </c>
      <c r="M1877" s="317"/>
      <c r="N1877" s="372">
        <f t="shared" si="1394"/>
        <v>0</v>
      </c>
      <c r="O1877" s="319">
        <f>L1877*1.1</f>
        <v>880000.00000000012</v>
      </c>
      <c r="P1877" s="319">
        <f t="shared" si="1396"/>
        <v>968000.00000000023</v>
      </c>
      <c r="R1877" s="317"/>
      <c r="U1877" s="320"/>
    </row>
    <row r="1878" spans="1:21" s="344" customFormat="1" outlineLevel="3">
      <c r="A1878" s="404"/>
      <c r="B1878" s="404"/>
      <c r="C1878" s="401">
        <v>2211102</v>
      </c>
      <c r="D1878" s="402" t="s">
        <v>53</v>
      </c>
      <c r="E1878" s="670">
        <v>578381.23400000005</v>
      </c>
      <c r="F1878" s="333"/>
      <c r="G1878" s="333"/>
      <c r="H1878" s="333"/>
      <c r="I1878" s="324">
        <f t="shared" si="1395"/>
        <v>578381.23400000005</v>
      </c>
      <c r="J1878" s="333"/>
      <c r="K1878" s="849"/>
      <c r="L1878" s="317">
        <f t="shared" si="1390"/>
        <v>578381.23400000005</v>
      </c>
      <c r="M1878" s="317"/>
      <c r="N1878" s="372">
        <f t="shared" si="1394"/>
        <v>0</v>
      </c>
      <c r="O1878" s="319">
        <f t="shared" ref="O1878:O1879" si="1400">L1878*1.1</f>
        <v>636219.3574000001</v>
      </c>
      <c r="P1878" s="319">
        <f t="shared" ref="P1878:P1879" si="1401">O1878*1.1</f>
        <v>699841.2931400002</v>
      </c>
      <c r="R1878" s="317"/>
      <c r="U1878" s="320"/>
    </row>
    <row r="1879" spans="1:21" s="344" customFormat="1" outlineLevel="3">
      <c r="A1879" s="404"/>
      <c r="B1879" s="404"/>
      <c r="C1879" s="401">
        <v>2211103</v>
      </c>
      <c r="D1879" s="402" t="s">
        <v>402</v>
      </c>
      <c r="E1879" s="670">
        <v>131939</v>
      </c>
      <c r="F1879" s="333"/>
      <c r="G1879" s="333"/>
      <c r="H1879" s="333"/>
      <c r="I1879" s="324">
        <f t="shared" si="1395"/>
        <v>131939</v>
      </c>
      <c r="J1879" s="333"/>
      <c r="K1879" s="849"/>
      <c r="L1879" s="317">
        <f t="shared" si="1390"/>
        <v>131939</v>
      </c>
      <c r="M1879" s="317"/>
      <c r="N1879" s="372">
        <f t="shared" si="1394"/>
        <v>0</v>
      </c>
      <c r="O1879" s="319">
        <f t="shared" si="1400"/>
        <v>145132.90000000002</v>
      </c>
      <c r="P1879" s="319">
        <f t="shared" si="1401"/>
        <v>159646.19000000003</v>
      </c>
      <c r="R1879" s="317"/>
      <c r="U1879" s="320"/>
    </row>
    <row r="1880" spans="1:21" s="344" customFormat="1" outlineLevel="3">
      <c r="A1880" s="404"/>
      <c r="B1880" s="404"/>
      <c r="C1880" s="403">
        <v>2211200</v>
      </c>
      <c r="D1880" s="404" t="s">
        <v>55</v>
      </c>
      <c r="E1880" s="784">
        <f>E1881</f>
        <v>2000000</v>
      </c>
      <c r="F1880" s="784">
        <f t="shared" ref="F1880:P1880" si="1402">F1881</f>
        <v>0</v>
      </c>
      <c r="G1880" s="784">
        <f t="shared" si="1402"/>
        <v>0</v>
      </c>
      <c r="H1880" s="784">
        <f t="shared" si="1402"/>
        <v>0</v>
      </c>
      <c r="I1880" s="784">
        <f t="shared" si="1402"/>
        <v>2000000</v>
      </c>
      <c r="J1880" s="784">
        <f t="shared" si="1402"/>
        <v>0</v>
      </c>
      <c r="K1880" s="784">
        <f t="shared" si="1402"/>
        <v>0</v>
      </c>
      <c r="L1880" s="317">
        <f t="shared" si="1390"/>
        <v>2000000</v>
      </c>
      <c r="M1880" s="317"/>
      <c r="N1880" s="372">
        <f t="shared" si="1394"/>
        <v>0</v>
      </c>
      <c r="O1880" s="784">
        <f t="shared" si="1402"/>
        <v>2200000</v>
      </c>
      <c r="P1880" s="784">
        <f t="shared" si="1402"/>
        <v>2420000</v>
      </c>
      <c r="R1880" s="317"/>
      <c r="U1880" s="320"/>
    </row>
    <row r="1881" spans="1:21" s="344" customFormat="1" outlineLevel="3">
      <c r="A1881" s="404"/>
      <c r="B1881" s="404"/>
      <c r="C1881" s="401">
        <v>2211201</v>
      </c>
      <c r="D1881" s="402" t="s">
        <v>56</v>
      </c>
      <c r="E1881" s="670">
        <v>2000000</v>
      </c>
      <c r="F1881" s="333"/>
      <c r="G1881" s="333"/>
      <c r="H1881" s="333"/>
      <c r="I1881" s="324">
        <f t="shared" si="1395"/>
        <v>2000000</v>
      </c>
      <c r="J1881" s="333"/>
      <c r="K1881" s="849"/>
      <c r="L1881" s="317">
        <f t="shared" si="1390"/>
        <v>2000000</v>
      </c>
      <c r="M1881" s="317"/>
      <c r="N1881" s="372">
        <f t="shared" si="1394"/>
        <v>0</v>
      </c>
      <c r="O1881" s="319">
        <f t="shared" ref="O1881" si="1403">L1881*1.1</f>
        <v>2200000</v>
      </c>
      <c r="P1881" s="319">
        <f t="shared" ref="P1881" si="1404">O1881*1.1</f>
        <v>2420000</v>
      </c>
      <c r="R1881" s="317"/>
      <c r="U1881" s="320"/>
    </row>
    <row r="1882" spans="1:21" s="344" customFormat="1" outlineLevel="3">
      <c r="A1882" s="402"/>
      <c r="B1882" s="402"/>
      <c r="C1882" s="403">
        <v>2211300</v>
      </c>
      <c r="D1882" s="404" t="s">
        <v>57</v>
      </c>
      <c r="E1882" s="784">
        <f>E1883+E1884</f>
        <v>590000</v>
      </c>
      <c r="F1882" s="784">
        <f t="shared" ref="F1882:K1882" si="1405">F1883+F1884</f>
        <v>0</v>
      </c>
      <c r="G1882" s="784">
        <f t="shared" si="1405"/>
        <v>0</v>
      </c>
      <c r="H1882" s="784">
        <f t="shared" si="1405"/>
        <v>0</v>
      </c>
      <c r="I1882" s="784">
        <f t="shared" si="1405"/>
        <v>590000</v>
      </c>
      <c r="J1882" s="784">
        <f t="shared" si="1405"/>
        <v>0</v>
      </c>
      <c r="K1882" s="784">
        <f t="shared" si="1405"/>
        <v>0</v>
      </c>
      <c r="L1882" s="317">
        <f t="shared" si="1390"/>
        <v>590000</v>
      </c>
      <c r="M1882" s="317"/>
      <c r="N1882" s="372">
        <f t="shared" si="1394"/>
        <v>0</v>
      </c>
      <c r="O1882" s="784">
        <f t="shared" ref="O1882:P1882" si="1406">O1883+O1884</f>
        <v>649000</v>
      </c>
      <c r="P1882" s="784">
        <f t="shared" si="1406"/>
        <v>713900</v>
      </c>
      <c r="R1882" s="317"/>
      <c r="U1882" s="320"/>
    </row>
    <row r="1883" spans="1:21" s="344" customFormat="1" outlineLevel="3">
      <c r="A1883" s="402"/>
      <c r="B1883" s="402"/>
      <c r="C1883" s="401">
        <v>2211306</v>
      </c>
      <c r="D1883" s="402" t="s">
        <v>58</v>
      </c>
      <c r="E1883" s="670">
        <v>290000</v>
      </c>
      <c r="F1883" s="333"/>
      <c r="G1883" s="333"/>
      <c r="H1883" s="333"/>
      <c r="I1883" s="324">
        <f t="shared" si="1395"/>
        <v>290000</v>
      </c>
      <c r="J1883" s="333"/>
      <c r="K1883" s="849"/>
      <c r="L1883" s="317">
        <f t="shared" si="1390"/>
        <v>290000</v>
      </c>
      <c r="M1883" s="317"/>
      <c r="N1883" s="372">
        <f t="shared" si="1394"/>
        <v>0</v>
      </c>
      <c r="O1883" s="319">
        <f t="shared" ref="O1883" si="1407">L1883*1.1</f>
        <v>319000</v>
      </c>
      <c r="P1883" s="319">
        <f t="shared" ref="P1883" si="1408">O1883*1.1</f>
        <v>350900</v>
      </c>
      <c r="R1883" s="317"/>
      <c r="U1883" s="320"/>
    </row>
    <row r="1884" spans="1:21" s="344" customFormat="1" outlineLevel="3">
      <c r="A1884" s="402"/>
      <c r="B1884" s="402"/>
      <c r="C1884" s="401">
        <v>2211308</v>
      </c>
      <c r="D1884" s="402" t="s">
        <v>1591</v>
      </c>
      <c r="E1884" s="670">
        <v>300000</v>
      </c>
      <c r="F1884" s="333"/>
      <c r="G1884" s="333"/>
      <c r="H1884" s="333"/>
      <c r="I1884" s="324">
        <f t="shared" si="1395"/>
        <v>300000</v>
      </c>
      <c r="J1884" s="333"/>
      <c r="K1884" s="849"/>
      <c r="L1884" s="317">
        <f t="shared" si="1390"/>
        <v>300000</v>
      </c>
      <c r="M1884" s="317"/>
      <c r="N1884" s="372">
        <f t="shared" si="1394"/>
        <v>0</v>
      </c>
      <c r="O1884" s="319">
        <f>L1884*1.1</f>
        <v>330000</v>
      </c>
      <c r="P1884" s="319">
        <f t="shared" si="1396"/>
        <v>363000.00000000006</v>
      </c>
      <c r="R1884" s="317"/>
      <c r="U1884" s="320"/>
    </row>
    <row r="1885" spans="1:21" s="344" customFormat="1" outlineLevel="3">
      <c r="A1885" s="402"/>
      <c r="B1885" s="402"/>
      <c r="C1885" s="403">
        <v>2220100</v>
      </c>
      <c r="D1885" s="404" t="s">
        <v>62</v>
      </c>
      <c r="E1885" s="784">
        <f>E1886+E1888+E1887</f>
        <v>4600000</v>
      </c>
      <c r="F1885" s="784">
        <f t="shared" ref="F1885:K1885" si="1409">F1886+F1888+F1887</f>
        <v>0</v>
      </c>
      <c r="G1885" s="784">
        <f t="shared" si="1409"/>
        <v>0</v>
      </c>
      <c r="H1885" s="784">
        <f t="shared" si="1409"/>
        <v>0</v>
      </c>
      <c r="I1885" s="784">
        <f t="shared" si="1409"/>
        <v>4600000</v>
      </c>
      <c r="J1885" s="784">
        <f t="shared" si="1409"/>
        <v>0</v>
      </c>
      <c r="K1885" s="784">
        <f t="shared" si="1409"/>
        <v>0</v>
      </c>
      <c r="L1885" s="317">
        <f t="shared" si="1390"/>
        <v>4600000</v>
      </c>
      <c r="M1885" s="317"/>
      <c r="N1885" s="372">
        <f t="shared" si="1394"/>
        <v>0</v>
      </c>
      <c r="O1885" s="784">
        <f t="shared" ref="O1885:P1885" si="1410">O1886+O1888+O1887</f>
        <v>5060000</v>
      </c>
      <c r="P1885" s="784">
        <f t="shared" si="1410"/>
        <v>5566000.0000000009</v>
      </c>
      <c r="R1885" s="317"/>
      <c r="U1885" s="320"/>
    </row>
    <row r="1886" spans="1:21" s="344" customFormat="1" outlineLevel="3">
      <c r="A1886" s="404"/>
      <c r="B1886" s="404"/>
      <c r="C1886" s="401">
        <v>2220101</v>
      </c>
      <c r="D1886" s="402" t="s">
        <v>1592</v>
      </c>
      <c r="E1886" s="670">
        <v>2500000</v>
      </c>
      <c r="F1886" s="333"/>
      <c r="G1886" s="333"/>
      <c r="H1886" s="333"/>
      <c r="I1886" s="324">
        <f t="shared" si="1395"/>
        <v>2500000</v>
      </c>
      <c r="J1886" s="333"/>
      <c r="K1886" s="849"/>
      <c r="L1886" s="317">
        <f t="shared" si="1390"/>
        <v>2500000</v>
      </c>
      <c r="M1886" s="317"/>
      <c r="N1886" s="372">
        <f t="shared" si="1394"/>
        <v>0</v>
      </c>
      <c r="O1886" s="319">
        <f>L1886*1.1</f>
        <v>2750000</v>
      </c>
      <c r="P1886" s="319">
        <f t="shared" si="1396"/>
        <v>3025000.0000000005</v>
      </c>
      <c r="R1886" s="317"/>
      <c r="U1886" s="320"/>
    </row>
    <row r="1887" spans="1:21" s="344" customFormat="1" outlineLevel="3">
      <c r="A1887" s="402"/>
      <c r="B1887" s="402"/>
      <c r="C1887" s="401">
        <v>2220102</v>
      </c>
      <c r="D1887" s="402" t="s">
        <v>1593</v>
      </c>
      <c r="E1887" s="670">
        <v>600000</v>
      </c>
      <c r="F1887" s="333"/>
      <c r="G1887" s="333"/>
      <c r="H1887" s="333"/>
      <c r="I1887" s="324">
        <f t="shared" si="1395"/>
        <v>600000</v>
      </c>
      <c r="J1887" s="333"/>
      <c r="K1887" s="849"/>
      <c r="L1887" s="317">
        <f t="shared" si="1390"/>
        <v>600000</v>
      </c>
      <c r="M1887" s="317"/>
      <c r="N1887" s="372">
        <f t="shared" si="1394"/>
        <v>0</v>
      </c>
      <c r="O1887" s="319">
        <f>L1887*1.1</f>
        <v>660000</v>
      </c>
      <c r="P1887" s="319">
        <f t="shared" si="1396"/>
        <v>726000.00000000012</v>
      </c>
      <c r="R1887" s="317"/>
      <c r="U1887" s="320"/>
    </row>
    <row r="1888" spans="1:21" s="344" customFormat="1" outlineLevel="3">
      <c r="A1888" s="402"/>
      <c r="B1888" s="402"/>
      <c r="C1888" s="401">
        <v>2220105</v>
      </c>
      <c r="D1888" s="402" t="s">
        <v>404</v>
      </c>
      <c r="E1888" s="670">
        <f>2000000-500000</f>
        <v>1500000</v>
      </c>
      <c r="F1888" s="333"/>
      <c r="G1888" s="333"/>
      <c r="H1888" s="333"/>
      <c r="I1888" s="324">
        <f t="shared" si="1395"/>
        <v>1500000</v>
      </c>
      <c r="J1888" s="333"/>
      <c r="K1888" s="849"/>
      <c r="L1888" s="317">
        <f t="shared" si="1390"/>
        <v>1500000</v>
      </c>
      <c r="M1888" s="317"/>
      <c r="N1888" s="372">
        <f t="shared" si="1394"/>
        <v>0</v>
      </c>
      <c r="O1888" s="319">
        <f>L1888*1.1</f>
        <v>1650000.0000000002</v>
      </c>
      <c r="P1888" s="319">
        <f t="shared" si="1396"/>
        <v>1815000.0000000005</v>
      </c>
      <c r="R1888" s="317"/>
      <c r="U1888" s="320"/>
    </row>
    <row r="1889" spans="1:21" s="344" customFormat="1" outlineLevel="3">
      <c r="A1889" s="404"/>
      <c r="B1889" s="404"/>
      <c r="C1889" s="403">
        <v>2220200</v>
      </c>
      <c r="D1889" s="404" t="s">
        <v>405</v>
      </c>
      <c r="E1889" s="784">
        <f>E1890</f>
        <v>105306.24000000001</v>
      </c>
      <c r="F1889" s="784">
        <f t="shared" ref="F1889:P1889" si="1411">F1890</f>
        <v>0</v>
      </c>
      <c r="G1889" s="784">
        <f t="shared" si="1411"/>
        <v>0</v>
      </c>
      <c r="H1889" s="784">
        <f t="shared" si="1411"/>
        <v>0</v>
      </c>
      <c r="I1889" s="784">
        <f t="shared" si="1411"/>
        <v>105306.24000000001</v>
      </c>
      <c r="J1889" s="784">
        <f t="shared" si="1411"/>
        <v>0</v>
      </c>
      <c r="K1889" s="784">
        <f t="shared" si="1411"/>
        <v>0</v>
      </c>
      <c r="L1889" s="317">
        <f t="shared" si="1390"/>
        <v>105306.24000000001</v>
      </c>
      <c r="M1889" s="317"/>
      <c r="N1889" s="372">
        <f t="shared" si="1394"/>
        <v>0</v>
      </c>
      <c r="O1889" s="784">
        <f t="shared" si="1411"/>
        <v>115836.86400000002</v>
      </c>
      <c r="P1889" s="784">
        <f t="shared" si="1411"/>
        <v>127420.55040000002</v>
      </c>
      <c r="R1889" s="317"/>
      <c r="U1889" s="320"/>
    </row>
    <row r="1890" spans="1:21" s="344" customFormat="1" outlineLevel="3">
      <c r="A1890" s="402"/>
      <c r="B1890" s="402"/>
      <c r="C1890" s="401">
        <v>2220205</v>
      </c>
      <c r="D1890" s="402" t="s">
        <v>125</v>
      </c>
      <c r="E1890" s="670">
        <v>105306.24000000001</v>
      </c>
      <c r="F1890" s="333"/>
      <c r="G1890" s="333"/>
      <c r="H1890" s="333"/>
      <c r="I1890" s="324">
        <f t="shared" si="1395"/>
        <v>105306.24000000001</v>
      </c>
      <c r="J1890" s="333"/>
      <c r="K1890" s="849"/>
      <c r="L1890" s="317">
        <f t="shared" si="1390"/>
        <v>105306.24000000001</v>
      </c>
      <c r="M1890" s="317"/>
      <c r="N1890" s="372">
        <f t="shared" si="1394"/>
        <v>0</v>
      </c>
      <c r="O1890" s="319">
        <f>L1890*1.1</f>
        <v>115836.86400000002</v>
      </c>
      <c r="P1890" s="319">
        <f t="shared" ref="P1890:P1910" si="1412">O1890*1.1</f>
        <v>127420.55040000002</v>
      </c>
      <c r="R1890" s="317"/>
      <c r="U1890" s="320"/>
    </row>
    <row r="1891" spans="1:21" s="344" customFormat="1" outlineLevel="3">
      <c r="A1891" s="404"/>
      <c r="B1891" s="404"/>
      <c r="C1891" s="403">
        <v>3111000</v>
      </c>
      <c r="D1891" s="404" t="s">
        <v>69</v>
      </c>
      <c r="E1891" s="784">
        <f>E1892+E1893+E1894</f>
        <v>1755000</v>
      </c>
      <c r="F1891" s="784">
        <f t="shared" ref="F1891:K1891" si="1413">F1892+F1893+F1894</f>
        <v>0</v>
      </c>
      <c r="G1891" s="784">
        <f t="shared" si="1413"/>
        <v>615096</v>
      </c>
      <c r="H1891" s="784">
        <f t="shared" si="1413"/>
        <v>1080456</v>
      </c>
      <c r="I1891" s="784">
        <f t="shared" si="1413"/>
        <v>3450552</v>
      </c>
      <c r="J1891" s="784">
        <f t="shared" si="1413"/>
        <v>0</v>
      </c>
      <c r="K1891" s="784">
        <f t="shared" si="1413"/>
        <v>450000</v>
      </c>
      <c r="L1891" s="317">
        <f t="shared" si="1390"/>
        <v>3900552</v>
      </c>
      <c r="M1891" s="317"/>
      <c r="N1891" s="372">
        <f t="shared" si="1394"/>
        <v>-450000</v>
      </c>
      <c r="O1891" s="784">
        <f t="shared" ref="O1891:P1891" si="1414">O1892+O1893+O1894</f>
        <v>1930500</v>
      </c>
      <c r="P1891" s="784">
        <f t="shared" si="1414"/>
        <v>2123550</v>
      </c>
      <c r="R1891" s="317"/>
      <c r="U1891" s="320"/>
    </row>
    <row r="1892" spans="1:21" outlineLevel="3">
      <c r="A1892" s="402"/>
      <c r="B1892" s="402"/>
      <c r="C1892" s="401">
        <v>3111001</v>
      </c>
      <c r="D1892" s="402" t="s">
        <v>70</v>
      </c>
      <c r="E1892" s="670">
        <f>1050000-290000</f>
        <v>760000</v>
      </c>
      <c r="F1892" s="333"/>
      <c r="G1892" s="333"/>
      <c r="H1892" s="852"/>
      <c r="I1892" s="324">
        <f t="shared" si="1395"/>
        <v>760000</v>
      </c>
      <c r="J1892" s="852"/>
      <c r="K1892" s="849"/>
      <c r="L1892" s="317">
        <f t="shared" si="1390"/>
        <v>760000</v>
      </c>
      <c r="M1892" s="317"/>
      <c r="N1892" s="372">
        <f t="shared" si="1394"/>
        <v>0</v>
      </c>
      <c r="O1892" s="319">
        <f>L1892*1.1</f>
        <v>836000.00000000012</v>
      </c>
      <c r="P1892" s="319">
        <f t="shared" si="1412"/>
        <v>919600.00000000023</v>
      </c>
      <c r="R1892" s="317"/>
      <c r="U1892" s="320"/>
    </row>
    <row r="1893" spans="1:21" s="344" customFormat="1" outlineLevel="3">
      <c r="A1893" s="853"/>
      <c r="B1893" s="853"/>
      <c r="C1893" s="649">
        <v>3111002</v>
      </c>
      <c r="D1893" s="853" t="s">
        <v>71</v>
      </c>
      <c r="E1893" s="854">
        <f>1495000-500000</f>
        <v>995000</v>
      </c>
      <c r="F1893" s="355"/>
      <c r="G1893" s="355"/>
      <c r="H1893" s="852"/>
      <c r="I1893" s="324">
        <f t="shared" si="1395"/>
        <v>995000</v>
      </c>
      <c r="J1893" s="852"/>
      <c r="K1893" s="849"/>
      <c r="L1893" s="317">
        <f t="shared" si="1390"/>
        <v>995000</v>
      </c>
      <c r="M1893" s="317"/>
      <c r="N1893" s="372">
        <f t="shared" si="1394"/>
        <v>0</v>
      </c>
      <c r="O1893" s="319">
        <f>L1893*1.1</f>
        <v>1094500</v>
      </c>
      <c r="P1893" s="319">
        <f t="shared" si="1412"/>
        <v>1203950</v>
      </c>
      <c r="R1893" s="317"/>
      <c r="U1893" s="320"/>
    </row>
    <row r="1894" spans="1:21" s="344" customFormat="1" outlineLevel="3">
      <c r="A1894" s="402"/>
      <c r="B1894" s="402"/>
      <c r="C1894" s="401">
        <v>3111401</v>
      </c>
      <c r="D1894" s="402" t="s">
        <v>2084</v>
      </c>
      <c r="E1894" s="670"/>
      <c r="F1894" s="333"/>
      <c r="G1894" s="333">
        <v>615096</v>
      </c>
      <c r="H1894" s="333">
        <v>1080456</v>
      </c>
      <c r="I1894" s="324">
        <f t="shared" si="1395"/>
        <v>1695552</v>
      </c>
      <c r="J1894" s="333"/>
      <c r="K1894" s="850">
        <v>450000</v>
      </c>
      <c r="L1894" s="317">
        <f t="shared" si="1390"/>
        <v>2145552</v>
      </c>
      <c r="M1894" s="2210"/>
      <c r="N1894" s="372">
        <f t="shared" si="1394"/>
        <v>-450000</v>
      </c>
      <c r="O1894" s="318"/>
      <c r="P1894" s="319"/>
      <c r="R1894" s="317"/>
      <c r="U1894" s="320"/>
    </row>
    <row r="1895" spans="1:21" s="344" customFormat="1" outlineLevel="2">
      <c r="A1895" s="855"/>
      <c r="B1895" s="855"/>
      <c r="C1895" s="832" t="s">
        <v>406</v>
      </c>
      <c r="D1895" s="855"/>
      <c r="E1895" s="833">
        <f>E1891+E1889+E1885+E1882+E1880+E1876+E1872+E1866+E1860+E1863+E1856+E1852+E1850+E1848</f>
        <v>927358558.96599996</v>
      </c>
      <c r="F1895" s="833">
        <f t="shared" ref="F1895:K1895" si="1415">F1891+F1889+F1885+F1882+F1880+F1876+F1872+F1866+F1860+F1863+F1856+F1852+F1850+F1848</f>
        <v>0</v>
      </c>
      <c r="G1895" s="833">
        <f t="shared" si="1415"/>
        <v>63184445.758165359</v>
      </c>
      <c r="H1895" s="833">
        <f t="shared" si="1415"/>
        <v>1080456</v>
      </c>
      <c r="I1895" s="833">
        <f t="shared" si="1415"/>
        <v>991623460.72416532</v>
      </c>
      <c r="J1895" s="833">
        <f t="shared" si="1415"/>
        <v>-35500000</v>
      </c>
      <c r="K1895" s="833">
        <f t="shared" si="1415"/>
        <v>1700000</v>
      </c>
      <c r="L1895" s="317">
        <f t="shared" si="1390"/>
        <v>957823460.72416532</v>
      </c>
      <c r="M1895" s="2211"/>
      <c r="N1895" s="372">
        <f t="shared" si="1394"/>
        <v>-1700000</v>
      </c>
      <c r="O1895" s="833">
        <f t="shared" ref="O1895:P1895" si="1416">O1891+O1889+O1885+O1882+O1880+O1876+O1872+O1866+O1860+O1863+O1856+O1852+O1850+O1848</f>
        <v>1051245699.5965821</v>
      </c>
      <c r="P1895" s="833">
        <f t="shared" si="1416"/>
        <v>1156370269.5562403</v>
      </c>
      <c r="R1895" s="317"/>
      <c r="U1895" s="320"/>
    </row>
    <row r="1896" spans="1:21" s="344" customFormat="1" outlineLevel="2">
      <c r="A1896" s="402"/>
      <c r="B1896" s="402"/>
      <c r="C1896" s="403"/>
      <c r="D1896" s="404"/>
      <c r="E1896" s="406">
        <v>0</v>
      </c>
      <c r="F1896" s="329"/>
      <c r="G1896" s="329"/>
      <c r="H1896" s="329"/>
      <c r="I1896" s="324">
        <f t="shared" si="1395"/>
        <v>0</v>
      </c>
      <c r="J1896" s="329"/>
      <c r="K1896" s="849"/>
      <c r="L1896" s="317">
        <f t="shared" si="1390"/>
        <v>0</v>
      </c>
      <c r="M1896" s="317"/>
      <c r="N1896" s="372">
        <f t="shared" si="1394"/>
        <v>0</v>
      </c>
      <c r="O1896" s="319">
        <f>L1896*1.1</f>
        <v>0</v>
      </c>
      <c r="P1896" s="319">
        <f t="shared" si="1412"/>
        <v>0</v>
      </c>
      <c r="R1896" s="317"/>
      <c r="U1896" s="320"/>
    </row>
    <row r="1897" spans="1:21" s="344" customFormat="1" outlineLevel="2">
      <c r="A1897" s="404" t="s">
        <v>178</v>
      </c>
      <c r="B1897" s="404" t="s">
        <v>146</v>
      </c>
      <c r="C1897" s="403" t="s">
        <v>92</v>
      </c>
      <c r="D1897" s="404"/>
      <c r="E1897" s="406">
        <v>0</v>
      </c>
      <c r="F1897" s="329"/>
      <c r="G1897" s="329"/>
      <c r="H1897" s="329"/>
      <c r="I1897" s="324">
        <f t="shared" si="1395"/>
        <v>0</v>
      </c>
      <c r="J1897" s="329"/>
      <c r="K1897" s="849"/>
      <c r="L1897" s="317">
        <f t="shared" si="1390"/>
        <v>0</v>
      </c>
      <c r="M1897" s="317"/>
      <c r="N1897" s="372">
        <f t="shared" si="1394"/>
        <v>0</v>
      </c>
      <c r="O1897" s="319">
        <f>L1897*1.1</f>
        <v>0</v>
      </c>
      <c r="P1897" s="319">
        <f t="shared" si="1412"/>
        <v>0</v>
      </c>
      <c r="R1897" s="317"/>
      <c r="U1897" s="320"/>
    </row>
    <row r="1898" spans="1:21" s="344" customFormat="1" outlineLevel="3">
      <c r="A1898" s="853"/>
      <c r="B1898" s="853"/>
      <c r="C1898" s="837">
        <v>3111100</v>
      </c>
      <c r="D1898" s="836" t="s">
        <v>73</v>
      </c>
      <c r="E1898" s="838">
        <f>E1899</f>
        <v>2157207</v>
      </c>
      <c r="F1898" s="838">
        <f t="shared" ref="F1898:K1898" si="1417">F1899</f>
        <v>0</v>
      </c>
      <c r="G1898" s="838">
        <f t="shared" si="1417"/>
        <v>8310413</v>
      </c>
      <c r="H1898" s="838">
        <f t="shared" si="1417"/>
        <v>4532380</v>
      </c>
      <c r="I1898" s="838">
        <f t="shared" si="1417"/>
        <v>15000000</v>
      </c>
      <c r="J1898" s="838">
        <f t="shared" si="1417"/>
        <v>0</v>
      </c>
      <c r="K1898" s="838">
        <f t="shared" si="1417"/>
        <v>0</v>
      </c>
      <c r="L1898" s="317">
        <f t="shared" si="1390"/>
        <v>15000000</v>
      </c>
      <c r="M1898" s="2212"/>
      <c r="N1898" s="372">
        <f t="shared" si="1394"/>
        <v>0</v>
      </c>
      <c r="O1898" s="838">
        <f t="shared" ref="O1898:P1898" si="1418">O1899</f>
        <v>16500000.000000002</v>
      </c>
      <c r="P1898" s="838">
        <f t="shared" si="1418"/>
        <v>18150000.000000004</v>
      </c>
      <c r="R1898" s="317"/>
      <c r="U1898" s="320"/>
    </row>
    <row r="1899" spans="1:21" outlineLevel="3">
      <c r="A1899" s="402"/>
      <c r="B1899" s="402"/>
      <c r="C1899" s="401">
        <v>3111112</v>
      </c>
      <c r="D1899" s="856" t="s">
        <v>2085</v>
      </c>
      <c r="E1899" s="670">
        <v>2157207</v>
      </c>
      <c r="F1899" s="333"/>
      <c r="G1899" s="670">
        <v>8310413</v>
      </c>
      <c r="H1899" s="670">
        <v>4532380</v>
      </c>
      <c r="I1899" s="324">
        <f t="shared" si="1395"/>
        <v>15000000</v>
      </c>
      <c r="J1899" s="670"/>
      <c r="K1899" s="849"/>
      <c r="L1899" s="317">
        <f t="shared" si="1390"/>
        <v>15000000</v>
      </c>
      <c r="M1899" s="2210"/>
      <c r="N1899" s="372">
        <f t="shared" si="1394"/>
        <v>0</v>
      </c>
      <c r="O1899" s="318">
        <f>L1899*1.1</f>
        <v>16500000.000000002</v>
      </c>
      <c r="P1899" s="319">
        <f t="shared" si="1412"/>
        <v>18150000.000000004</v>
      </c>
      <c r="R1899" s="317"/>
      <c r="U1899" s="320"/>
    </row>
    <row r="1900" spans="1:21" s="344" customFormat="1" outlineLevel="2">
      <c r="A1900" s="857"/>
      <c r="B1900" s="857"/>
      <c r="C1900" s="652" t="s">
        <v>175</v>
      </c>
      <c r="D1900" s="847"/>
      <c r="E1900" s="858">
        <f>E1898</f>
        <v>2157207</v>
      </c>
      <c r="F1900" s="858">
        <f t="shared" ref="F1900:K1900" si="1419">F1898</f>
        <v>0</v>
      </c>
      <c r="G1900" s="858">
        <f t="shared" si="1419"/>
        <v>8310413</v>
      </c>
      <c r="H1900" s="858">
        <f t="shared" si="1419"/>
        <v>4532380</v>
      </c>
      <c r="I1900" s="858">
        <f t="shared" si="1419"/>
        <v>15000000</v>
      </c>
      <c r="J1900" s="858">
        <f t="shared" si="1419"/>
        <v>0</v>
      </c>
      <c r="K1900" s="858">
        <f t="shared" si="1419"/>
        <v>0</v>
      </c>
      <c r="L1900" s="317">
        <f t="shared" si="1390"/>
        <v>15000000</v>
      </c>
      <c r="M1900" s="2211"/>
      <c r="N1900" s="372">
        <f t="shared" si="1394"/>
        <v>0</v>
      </c>
      <c r="O1900" s="858">
        <f t="shared" ref="O1900:P1900" si="1420">O1898</f>
        <v>16500000.000000002</v>
      </c>
      <c r="P1900" s="858">
        <f t="shared" si="1420"/>
        <v>18150000.000000004</v>
      </c>
      <c r="R1900" s="317"/>
      <c r="U1900" s="320"/>
    </row>
    <row r="1901" spans="1:21" s="344" customFormat="1" outlineLevel="1">
      <c r="A1901" s="404"/>
      <c r="B1901" s="404"/>
      <c r="C1901" s="834" t="s">
        <v>407</v>
      </c>
      <c r="D1901" s="834"/>
      <c r="E1901" s="329">
        <f>E1900+E1895</f>
        <v>929515765.96599996</v>
      </c>
      <c r="F1901" s="329">
        <f t="shared" ref="F1901:K1901" si="1421">F1900+F1895</f>
        <v>0</v>
      </c>
      <c r="G1901" s="329">
        <f t="shared" si="1421"/>
        <v>71494858.758165359</v>
      </c>
      <c r="H1901" s="329">
        <f t="shared" si="1421"/>
        <v>5612836</v>
      </c>
      <c r="I1901" s="329">
        <f t="shared" si="1421"/>
        <v>1006623460.7241653</v>
      </c>
      <c r="J1901" s="329">
        <f t="shared" si="1421"/>
        <v>-35500000</v>
      </c>
      <c r="K1901" s="329">
        <f t="shared" si="1421"/>
        <v>1700000</v>
      </c>
      <c r="L1901" s="317">
        <f t="shared" si="1390"/>
        <v>972823460.72416532</v>
      </c>
      <c r="M1901" s="317"/>
      <c r="N1901" s="372">
        <f t="shared" si="1394"/>
        <v>-1700000</v>
      </c>
      <c r="O1901" s="329">
        <f t="shared" ref="O1901:P1901" si="1422">O1900+O1895</f>
        <v>1067745699.5965821</v>
      </c>
      <c r="P1901" s="329">
        <f t="shared" si="1422"/>
        <v>1174520269.5562403</v>
      </c>
      <c r="R1901" s="317"/>
      <c r="U1901" s="320" t="s">
        <v>1803</v>
      </c>
    </row>
    <row r="1902" spans="1:21" s="344" customFormat="1" outlineLevel="1">
      <c r="A1902" s="402"/>
      <c r="B1902" s="402"/>
      <c r="C1902" s="403"/>
      <c r="D1902" s="404"/>
      <c r="E1902" s="406">
        <v>0</v>
      </c>
      <c r="F1902" s="329"/>
      <c r="G1902" s="329"/>
      <c r="H1902" s="329"/>
      <c r="I1902" s="324">
        <f t="shared" si="1395"/>
        <v>0</v>
      </c>
      <c r="J1902" s="329"/>
      <c r="K1902" s="849"/>
      <c r="L1902" s="317">
        <f t="shared" si="1390"/>
        <v>0</v>
      </c>
      <c r="M1902" s="317"/>
      <c r="N1902" s="372">
        <f t="shared" si="1394"/>
        <v>0</v>
      </c>
      <c r="O1902" s="319">
        <f>L1902*1.1</f>
        <v>0</v>
      </c>
      <c r="P1902" s="319">
        <f t="shared" si="1412"/>
        <v>0</v>
      </c>
      <c r="R1902" s="317"/>
      <c r="U1902" s="320"/>
    </row>
    <row r="1903" spans="1:21" s="344" customFormat="1" outlineLevel="1">
      <c r="A1903" s="402"/>
      <c r="B1903" s="402"/>
      <c r="C1903" s="403"/>
      <c r="D1903" s="404"/>
      <c r="E1903" s="406">
        <v>0</v>
      </c>
      <c r="F1903" s="329"/>
      <c r="G1903" s="329"/>
      <c r="H1903" s="329"/>
      <c r="I1903" s="324">
        <f t="shared" si="1395"/>
        <v>0</v>
      </c>
      <c r="J1903" s="329"/>
      <c r="K1903" s="849"/>
      <c r="L1903" s="317">
        <f t="shared" si="1390"/>
        <v>0</v>
      </c>
      <c r="M1903" s="317"/>
      <c r="N1903" s="372">
        <f t="shared" si="1394"/>
        <v>0</v>
      </c>
      <c r="O1903" s="319">
        <f>L1903*1.1</f>
        <v>0</v>
      </c>
      <c r="P1903" s="319">
        <f t="shared" si="1412"/>
        <v>0</v>
      </c>
      <c r="R1903" s="317"/>
      <c r="U1903" s="320"/>
    </row>
    <row r="1904" spans="1:21" s="344" customFormat="1" outlineLevel="1">
      <c r="A1904" s="402"/>
      <c r="B1904" s="402"/>
      <c r="C1904" s="403"/>
      <c r="D1904" s="404"/>
      <c r="E1904" s="406">
        <v>0</v>
      </c>
      <c r="F1904" s="329"/>
      <c r="G1904" s="329"/>
      <c r="H1904" s="329"/>
      <c r="I1904" s="324">
        <f t="shared" si="1395"/>
        <v>0</v>
      </c>
      <c r="J1904" s="329"/>
      <c r="K1904" s="849"/>
      <c r="L1904" s="317">
        <f t="shared" si="1390"/>
        <v>0</v>
      </c>
      <c r="M1904" s="317"/>
      <c r="N1904" s="372">
        <f t="shared" si="1394"/>
        <v>0</v>
      </c>
      <c r="O1904" s="319">
        <f>L1904*1.1</f>
        <v>0</v>
      </c>
      <c r="P1904" s="319">
        <f t="shared" si="1412"/>
        <v>0</v>
      </c>
      <c r="R1904" s="317"/>
      <c r="U1904" s="320"/>
    </row>
    <row r="1905" spans="1:21" s="344" customFormat="1" outlineLevel="1">
      <c r="A1905" s="404" t="s">
        <v>178</v>
      </c>
      <c r="B1905" s="404" t="s">
        <v>146</v>
      </c>
      <c r="C1905" s="834" t="s">
        <v>408</v>
      </c>
      <c r="D1905" s="834"/>
      <c r="E1905" s="329"/>
      <c r="F1905" s="518"/>
      <c r="G1905" s="518"/>
      <c r="H1905" s="518"/>
      <c r="I1905" s="324">
        <f t="shared" si="1395"/>
        <v>0</v>
      </c>
      <c r="J1905" s="518"/>
      <c r="K1905" s="849"/>
      <c r="L1905" s="317">
        <f t="shared" si="1390"/>
        <v>0</v>
      </c>
      <c r="M1905" s="317"/>
      <c r="N1905" s="372">
        <f t="shared" si="1394"/>
        <v>0</v>
      </c>
      <c r="O1905" s="319">
        <f>L1905*1.1</f>
        <v>0</v>
      </c>
      <c r="P1905" s="319">
        <f t="shared" si="1412"/>
        <v>0</v>
      </c>
      <c r="R1905" s="317"/>
      <c r="U1905" s="320"/>
    </row>
    <row r="1906" spans="1:21" s="344" customFormat="1" outlineLevel="2">
      <c r="A1906" s="404"/>
      <c r="B1906" s="404"/>
      <c r="C1906" s="403">
        <v>2210300</v>
      </c>
      <c r="D1906" s="404" t="s">
        <v>24</v>
      </c>
      <c r="E1906" s="772">
        <f>E1907</f>
        <v>3000000</v>
      </c>
      <c r="F1906" s="772">
        <f t="shared" ref="F1906:K1906" si="1423">F1907</f>
        <v>0</v>
      </c>
      <c r="G1906" s="772">
        <f t="shared" si="1423"/>
        <v>0</v>
      </c>
      <c r="H1906" s="772">
        <f t="shared" si="1423"/>
        <v>0</v>
      </c>
      <c r="I1906" s="772">
        <f t="shared" si="1423"/>
        <v>3000000</v>
      </c>
      <c r="J1906" s="772">
        <f t="shared" si="1423"/>
        <v>0</v>
      </c>
      <c r="K1906" s="772">
        <f t="shared" si="1423"/>
        <v>0</v>
      </c>
      <c r="L1906" s="317">
        <f t="shared" si="1390"/>
        <v>3000000</v>
      </c>
      <c r="M1906" s="317"/>
      <c r="N1906" s="372">
        <f t="shared" si="1394"/>
        <v>0</v>
      </c>
      <c r="O1906" s="772">
        <f t="shared" ref="O1906:P1906" si="1424">O1907</f>
        <v>3300000.0000000005</v>
      </c>
      <c r="P1906" s="772">
        <f t="shared" si="1424"/>
        <v>3630000.0000000009</v>
      </c>
      <c r="R1906" s="317"/>
      <c r="U1906" s="320"/>
    </row>
    <row r="1907" spans="1:21" s="344" customFormat="1" outlineLevel="2">
      <c r="A1907" s="404"/>
      <c r="B1907" s="404"/>
      <c r="C1907" s="401">
        <v>2210303</v>
      </c>
      <c r="D1907" s="402" t="s">
        <v>1595</v>
      </c>
      <c r="E1907" s="778">
        <v>3000000</v>
      </c>
      <c r="F1907" s="333"/>
      <c r="G1907" s="333"/>
      <c r="H1907" s="333"/>
      <c r="I1907" s="324">
        <f t="shared" si="1395"/>
        <v>3000000</v>
      </c>
      <c r="J1907" s="333"/>
      <c r="K1907" s="849"/>
      <c r="L1907" s="317">
        <f t="shared" si="1390"/>
        <v>3000000</v>
      </c>
      <c r="M1907" s="317"/>
      <c r="N1907" s="372">
        <f t="shared" si="1394"/>
        <v>0</v>
      </c>
      <c r="O1907" s="319">
        <f>L1907*1.1</f>
        <v>3300000.0000000005</v>
      </c>
      <c r="P1907" s="319">
        <f t="shared" si="1412"/>
        <v>3630000.0000000009</v>
      </c>
      <c r="R1907" s="317"/>
      <c r="U1907" s="320"/>
    </row>
    <row r="1908" spans="1:21" s="344" customFormat="1" outlineLevel="1">
      <c r="A1908" s="404"/>
      <c r="B1908" s="404"/>
      <c r="C1908" s="403" t="s">
        <v>409</v>
      </c>
      <c r="D1908" s="404"/>
      <c r="E1908" s="329">
        <f>E1906</f>
        <v>3000000</v>
      </c>
      <c r="F1908" s="329">
        <f t="shared" ref="F1908:K1908" si="1425">F1906</f>
        <v>0</v>
      </c>
      <c r="G1908" s="329">
        <f t="shared" si="1425"/>
        <v>0</v>
      </c>
      <c r="H1908" s="329">
        <f t="shared" si="1425"/>
        <v>0</v>
      </c>
      <c r="I1908" s="329">
        <f t="shared" si="1425"/>
        <v>3000000</v>
      </c>
      <c r="J1908" s="329">
        <f t="shared" si="1425"/>
        <v>0</v>
      </c>
      <c r="K1908" s="329">
        <f t="shared" si="1425"/>
        <v>0</v>
      </c>
      <c r="L1908" s="317">
        <f t="shared" si="1390"/>
        <v>3000000</v>
      </c>
      <c r="M1908" s="317"/>
      <c r="N1908" s="372">
        <f t="shared" si="1394"/>
        <v>0</v>
      </c>
      <c r="O1908" s="329">
        <f t="shared" ref="O1908:P1908" si="1426">O1906</f>
        <v>3300000.0000000005</v>
      </c>
      <c r="P1908" s="329">
        <f t="shared" si="1426"/>
        <v>3630000.0000000009</v>
      </c>
      <c r="R1908" s="317"/>
      <c r="U1908" s="320"/>
    </row>
    <row r="1909" spans="1:21" s="344" customFormat="1" outlineLevel="1">
      <c r="A1909" s="402"/>
      <c r="B1909" s="402"/>
      <c r="C1909" s="401"/>
      <c r="D1909" s="402"/>
      <c r="E1909" s="406">
        <v>0</v>
      </c>
      <c r="F1909" s="333"/>
      <c r="G1909" s="333"/>
      <c r="H1909" s="333"/>
      <c r="I1909" s="324">
        <f t="shared" si="1395"/>
        <v>0</v>
      </c>
      <c r="J1909" s="333"/>
      <c r="K1909" s="849"/>
      <c r="L1909" s="317">
        <f t="shared" si="1390"/>
        <v>0</v>
      </c>
      <c r="M1909" s="317"/>
      <c r="N1909" s="372">
        <f t="shared" si="1394"/>
        <v>0</v>
      </c>
      <c r="O1909" s="319">
        <f>L1909*1.1</f>
        <v>0</v>
      </c>
      <c r="P1909" s="319">
        <f t="shared" si="1412"/>
        <v>0</v>
      </c>
      <c r="R1909" s="317"/>
      <c r="U1909" s="320"/>
    </row>
    <row r="1910" spans="1:21" s="344" customFormat="1" outlineLevel="1">
      <c r="A1910" s="402"/>
      <c r="B1910" s="402"/>
      <c r="C1910" s="401"/>
      <c r="D1910" s="402"/>
      <c r="E1910" s="406">
        <v>0</v>
      </c>
      <c r="F1910" s="333"/>
      <c r="G1910" s="333"/>
      <c r="H1910" s="333"/>
      <c r="I1910" s="324">
        <f t="shared" si="1395"/>
        <v>0</v>
      </c>
      <c r="J1910" s="333"/>
      <c r="K1910" s="849"/>
      <c r="L1910" s="317">
        <f t="shared" si="1390"/>
        <v>0</v>
      </c>
      <c r="M1910" s="317"/>
      <c r="N1910" s="372">
        <f t="shared" si="1394"/>
        <v>0</v>
      </c>
      <c r="O1910" s="319">
        <f>L1910*1.1</f>
        <v>0</v>
      </c>
      <c r="P1910" s="319">
        <f t="shared" si="1412"/>
        <v>0</v>
      </c>
      <c r="R1910" s="317"/>
      <c r="U1910" s="320"/>
    </row>
    <row r="1911" spans="1:21" s="344" customFormat="1" outlineLevel="1">
      <c r="A1911" s="404" t="s">
        <v>178</v>
      </c>
      <c r="B1911" s="404" t="s">
        <v>146</v>
      </c>
      <c r="C1911" s="404" t="s">
        <v>410</v>
      </c>
      <c r="D1911" s="404"/>
      <c r="E1911" s="406">
        <v>0</v>
      </c>
      <c r="F1911" s="329"/>
      <c r="G1911" s="329"/>
      <c r="H1911" s="329"/>
      <c r="I1911" s="324">
        <f t="shared" si="1395"/>
        <v>0</v>
      </c>
      <c r="J1911" s="329"/>
      <c r="K1911" s="849"/>
      <c r="L1911" s="317">
        <f t="shared" si="1390"/>
        <v>0</v>
      </c>
      <c r="M1911" s="317"/>
      <c r="N1911" s="372">
        <f t="shared" si="1394"/>
        <v>0</v>
      </c>
      <c r="O1911" s="319">
        <f>L1911*1.1</f>
        <v>0</v>
      </c>
      <c r="P1911" s="319">
        <f t="shared" ref="P1911:P1930" si="1427">O1911*1.1</f>
        <v>0</v>
      </c>
      <c r="R1911" s="317"/>
      <c r="U1911" s="320"/>
    </row>
    <row r="1912" spans="1:21" outlineLevel="3">
      <c r="A1912" s="404"/>
      <c r="B1912" s="404"/>
      <c r="C1912" s="403">
        <v>2110100</v>
      </c>
      <c r="D1912" s="404" t="s">
        <v>13</v>
      </c>
      <c r="E1912" s="772">
        <f>E1913</f>
        <v>66062932</v>
      </c>
      <c r="F1912" s="772">
        <f t="shared" ref="F1912:K1912" si="1428">F1913</f>
        <v>0</v>
      </c>
      <c r="G1912" s="772">
        <f t="shared" si="1428"/>
        <v>0</v>
      </c>
      <c r="H1912" s="772">
        <f t="shared" si="1428"/>
        <v>0</v>
      </c>
      <c r="I1912" s="772">
        <f t="shared" si="1428"/>
        <v>66062932</v>
      </c>
      <c r="J1912" s="772">
        <f t="shared" si="1428"/>
        <v>0</v>
      </c>
      <c r="K1912" s="772">
        <f t="shared" si="1428"/>
        <v>0</v>
      </c>
      <c r="L1912" s="317">
        <f t="shared" si="1390"/>
        <v>66062932</v>
      </c>
      <c r="M1912" s="317"/>
      <c r="N1912" s="372">
        <f t="shared" si="1394"/>
        <v>0</v>
      </c>
      <c r="O1912" s="772">
        <f t="shared" ref="O1912:P1912" si="1429">O1913</f>
        <v>72669225.200000003</v>
      </c>
      <c r="P1912" s="772">
        <f t="shared" si="1429"/>
        <v>79936147.720000014</v>
      </c>
      <c r="R1912" s="317"/>
      <c r="U1912" s="320"/>
    </row>
    <row r="1913" spans="1:21" s="344" customFormat="1" outlineLevel="3">
      <c r="A1913" s="402"/>
      <c r="B1913" s="402"/>
      <c r="C1913" s="401">
        <v>2110101</v>
      </c>
      <c r="D1913" s="402" t="s">
        <v>14</v>
      </c>
      <c r="E1913" s="778">
        <v>66062932</v>
      </c>
      <c r="F1913" s="333"/>
      <c r="G1913" s="333"/>
      <c r="H1913" s="333"/>
      <c r="I1913" s="324">
        <f t="shared" si="1395"/>
        <v>66062932</v>
      </c>
      <c r="J1913" s="333"/>
      <c r="K1913" s="850"/>
      <c r="L1913" s="317">
        <f t="shared" si="1390"/>
        <v>66062932</v>
      </c>
      <c r="M1913" s="317"/>
      <c r="N1913" s="372">
        <f t="shared" si="1394"/>
        <v>0</v>
      </c>
      <c r="O1913" s="464">
        <f>L1913*1.1</f>
        <v>72669225.200000003</v>
      </c>
      <c r="P1913" s="464">
        <f t="shared" ref="P1913" si="1430">O1913*1.1</f>
        <v>79936147.720000014</v>
      </c>
      <c r="R1913" s="317"/>
      <c r="U1913" s="320"/>
    </row>
    <row r="1914" spans="1:21" s="344" customFormat="1" outlineLevel="3">
      <c r="A1914" s="404"/>
      <c r="B1914" s="404"/>
      <c r="C1914" s="403">
        <v>2210100</v>
      </c>
      <c r="D1914" s="404" t="s">
        <v>16</v>
      </c>
      <c r="E1914" s="772">
        <f>E1915+E1918+E1916+E1917</f>
        <v>30193912.618000001</v>
      </c>
      <c r="F1914" s="772">
        <f t="shared" ref="F1914:K1914" si="1431">F1915+F1918+F1916+F1917</f>
        <v>0</v>
      </c>
      <c r="G1914" s="772">
        <f t="shared" si="1431"/>
        <v>0</v>
      </c>
      <c r="H1914" s="772">
        <f t="shared" si="1431"/>
        <v>0</v>
      </c>
      <c r="I1914" s="772">
        <f t="shared" si="1431"/>
        <v>30193912.618000001</v>
      </c>
      <c r="J1914" s="772">
        <f t="shared" si="1431"/>
        <v>0</v>
      </c>
      <c r="K1914" s="772">
        <f t="shared" si="1431"/>
        <v>0</v>
      </c>
      <c r="L1914" s="317">
        <f t="shared" si="1390"/>
        <v>30193912.618000001</v>
      </c>
      <c r="M1914" s="317"/>
      <c r="N1914" s="372">
        <f t="shared" si="1394"/>
        <v>0</v>
      </c>
      <c r="O1914" s="772">
        <f t="shared" ref="O1914:P1914" si="1432">O1915+O1918+O1916+O1917</f>
        <v>33213303.879799999</v>
      </c>
      <c r="P1914" s="772">
        <f t="shared" si="1432"/>
        <v>36534634.267780006</v>
      </c>
      <c r="R1914" s="317"/>
      <c r="U1914" s="320"/>
    </row>
    <row r="1915" spans="1:21" s="344" customFormat="1" outlineLevel="3">
      <c r="A1915" s="404"/>
      <c r="B1915" s="404"/>
      <c r="C1915" s="401">
        <v>2210101</v>
      </c>
      <c r="D1915" s="402" t="s">
        <v>17</v>
      </c>
      <c r="E1915" s="778">
        <v>100275.21400000001</v>
      </c>
      <c r="F1915" s="333"/>
      <c r="G1915" s="333"/>
      <c r="H1915" s="333"/>
      <c r="I1915" s="324">
        <f t="shared" si="1395"/>
        <v>100275.21400000001</v>
      </c>
      <c r="J1915" s="333"/>
      <c r="K1915" s="849"/>
      <c r="L1915" s="317">
        <f t="shared" si="1390"/>
        <v>100275.21400000001</v>
      </c>
      <c r="M1915" s="317"/>
      <c r="N1915" s="372">
        <f t="shared" si="1394"/>
        <v>0</v>
      </c>
      <c r="O1915" s="464">
        <f>L1915*1.1</f>
        <v>110302.73540000002</v>
      </c>
      <c r="P1915" s="464">
        <f t="shared" ref="P1915:P1918" si="1433">O1915*1.1</f>
        <v>121333.00894000003</v>
      </c>
      <c r="R1915" s="317"/>
      <c r="U1915" s="320"/>
    </row>
    <row r="1916" spans="1:21" s="344" customFormat="1" outlineLevel="3">
      <c r="A1916" s="404"/>
      <c r="B1916" s="404"/>
      <c r="C1916" s="401">
        <v>2210106</v>
      </c>
      <c r="D1916" s="402" t="s">
        <v>1835</v>
      </c>
      <c r="E1916" s="778">
        <v>20000000</v>
      </c>
      <c r="F1916" s="333"/>
      <c r="G1916" s="333"/>
      <c r="H1916" s="333"/>
      <c r="I1916" s="324">
        <f t="shared" si="1395"/>
        <v>20000000</v>
      </c>
      <c r="J1916" s="333"/>
      <c r="K1916" s="849"/>
      <c r="L1916" s="317">
        <f t="shared" si="1390"/>
        <v>20000000</v>
      </c>
      <c r="M1916" s="317"/>
      <c r="N1916" s="372">
        <f t="shared" si="1394"/>
        <v>0</v>
      </c>
      <c r="O1916" s="464">
        <f>L1916*1.1</f>
        <v>22000000</v>
      </c>
      <c r="P1916" s="464">
        <f t="shared" si="1433"/>
        <v>24200000.000000004</v>
      </c>
      <c r="R1916" s="317"/>
      <c r="U1916" s="320"/>
    </row>
    <row r="1917" spans="1:21" s="344" customFormat="1" outlineLevel="3">
      <c r="A1917" s="404"/>
      <c r="B1917" s="404"/>
      <c r="C1917" s="401">
        <v>2210106</v>
      </c>
      <c r="D1917" s="402" t="s">
        <v>1866</v>
      </c>
      <c r="E1917" s="778">
        <v>10000000</v>
      </c>
      <c r="F1917" s="333"/>
      <c r="G1917" s="333"/>
      <c r="H1917" s="333"/>
      <c r="I1917" s="324">
        <f t="shared" si="1395"/>
        <v>10000000</v>
      </c>
      <c r="J1917" s="333"/>
      <c r="K1917" s="849"/>
      <c r="L1917" s="317">
        <f t="shared" si="1390"/>
        <v>10000000</v>
      </c>
      <c r="M1917" s="317"/>
      <c r="N1917" s="372">
        <f t="shared" si="1394"/>
        <v>0</v>
      </c>
      <c r="O1917" s="464">
        <f t="shared" ref="O1917" si="1434">L1917*1.1</f>
        <v>11000000</v>
      </c>
      <c r="P1917" s="464">
        <f t="shared" ref="P1917" si="1435">O1917*1.1</f>
        <v>12100000.000000002</v>
      </c>
      <c r="R1917" s="317"/>
      <c r="U1917" s="320"/>
    </row>
    <row r="1918" spans="1:21" s="344" customFormat="1" outlineLevel="3">
      <c r="A1918" s="404"/>
      <c r="B1918" s="404"/>
      <c r="C1918" s="401">
        <v>2210102</v>
      </c>
      <c r="D1918" s="402" t="s">
        <v>18</v>
      </c>
      <c r="E1918" s="778">
        <v>93637.403999999995</v>
      </c>
      <c r="F1918" s="333"/>
      <c r="G1918" s="333"/>
      <c r="H1918" s="333"/>
      <c r="I1918" s="324">
        <f t="shared" si="1395"/>
        <v>93637.403999999995</v>
      </c>
      <c r="J1918" s="333"/>
      <c r="K1918" s="849"/>
      <c r="L1918" s="317">
        <f t="shared" si="1390"/>
        <v>93637.403999999995</v>
      </c>
      <c r="M1918" s="317"/>
      <c r="N1918" s="372">
        <f t="shared" si="1394"/>
        <v>0</v>
      </c>
      <c r="O1918" s="464">
        <f>L1918*1.1</f>
        <v>103001.1444</v>
      </c>
      <c r="P1918" s="464">
        <f t="shared" si="1433"/>
        <v>113301.25884000001</v>
      </c>
      <c r="R1918" s="317"/>
      <c r="U1918" s="320"/>
    </row>
    <row r="1919" spans="1:21" s="344" customFormat="1" outlineLevel="3">
      <c r="A1919" s="402"/>
      <c r="B1919" s="402"/>
      <c r="C1919" s="403">
        <v>2210200</v>
      </c>
      <c r="D1919" s="404" t="s">
        <v>20</v>
      </c>
      <c r="E1919" s="772">
        <f>E1920+E1921</f>
        <v>400186.48600000003</v>
      </c>
      <c r="F1919" s="772">
        <f t="shared" ref="F1919:K1919" si="1436">F1920+F1921</f>
        <v>0</v>
      </c>
      <c r="G1919" s="772">
        <f t="shared" si="1436"/>
        <v>0</v>
      </c>
      <c r="H1919" s="772">
        <f t="shared" si="1436"/>
        <v>0</v>
      </c>
      <c r="I1919" s="772">
        <f t="shared" si="1436"/>
        <v>400186.48600000003</v>
      </c>
      <c r="J1919" s="772">
        <f t="shared" si="1436"/>
        <v>0</v>
      </c>
      <c r="K1919" s="772">
        <f t="shared" si="1436"/>
        <v>0</v>
      </c>
      <c r="L1919" s="317">
        <f t="shared" si="1390"/>
        <v>400186.48600000003</v>
      </c>
      <c r="M1919" s="317"/>
      <c r="N1919" s="372">
        <f t="shared" si="1394"/>
        <v>0</v>
      </c>
      <c r="O1919" s="772">
        <f t="shared" ref="O1919:P1919" si="1437">O1920+O1921</f>
        <v>440205.13460000005</v>
      </c>
      <c r="P1919" s="772">
        <f t="shared" si="1437"/>
        <v>484225.64806000009</v>
      </c>
      <c r="R1919" s="317"/>
      <c r="U1919" s="320"/>
    </row>
    <row r="1920" spans="1:21" s="344" customFormat="1" outlineLevel="3">
      <c r="A1920" s="402"/>
      <c r="B1920" s="402"/>
      <c r="C1920" s="401">
        <v>2210201</v>
      </c>
      <c r="D1920" s="402" t="s">
        <v>187</v>
      </c>
      <c r="E1920" s="778">
        <v>378597.842</v>
      </c>
      <c r="F1920" s="333"/>
      <c r="G1920" s="333"/>
      <c r="H1920" s="333"/>
      <c r="I1920" s="324">
        <f t="shared" si="1395"/>
        <v>378597.842</v>
      </c>
      <c r="J1920" s="333"/>
      <c r="K1920" s="849"/>
      <c r="L1920" s="317">
        <f t="shared" si="1390"/>
        <v>378597.842</v>
      </c>
      <c r="M1920" s="317"/>
      <c r="N1920" s="372">
        <f t="shared" si="1394"/>
        <v>0</v>
      </c>
      <c r="O1920" s="464">
        <f>L1920*1.1</f>
        <v>416457.62620000006</v>
      </c>
      <c r="P1920" s="464">
        <f t="shared" ref="P1920:P1921" si="1438">O1920*1.1</f>
        <v>458103.38882000011</v>
      </c>
      <c r="R1920" s="317"/>
      <c r="U1920" s="320"/>
    </row>
    <row r="1921" spans="1:21" s="344" customFormat="1" outlineLevel="3">
      <c r="A1921" s="404"/>
      <c r="B1921" s="404"/>
      <c r="C1921" s="401">
        <v>2210202</v>
      </c>
      <c r="D1921" s="402" t="s">
        <v>22</v>
      </c>
      <c r="E1921" s="778">
        <v>21588.644</v>
      </c>
      <c r="F1921" s="333"/>
      <c r="G1921" s="333"/>
      <c r="H1921" s="333"/>
      <c r="I1921" s="324">
        <f t="shared" si="1395"/>
        <v>21588.644</v>
      </c>
      <c r="J1921" s="333"/>
      <c r="K1921" s="849"/>
      <c r="L1921" s="317">
        <f t="shared" si="1390"/>
        <v>21588.644</v>
      </c>
      <c r="M1921" s="317"/>
      <c r="N1921" s="372">
        <f t="shared" si="1394"/>
        <v>0</v>
      </c>
      <c r="O1921" s="464">
        <f>L1921*1.1</f>
        <v>23747.508400000002</v>
      </c>
      <c r="P1921" s="464">
        <f t="shared" si="1438"/>
        <v>26122.259240000003</v>
      </c>
      <c r="R1921" s="317"/>
      <c r="U1921" s="320"/>
    </row>
    <row r="1922" spans="1:21" s="344" customFormat="1" outlineLevel="3">
      <c r="A1922" s="402"/>
      <c r="B1922" s="402"/>
      <c r="C1922" s="403">
        <v>2210300</v>
      </c>
      <c r="D1922" s="404" t="s">
        <v>24</v>
      </c>
      <c r="E1922" s="772">
        <f>E1924+E1923+E1925</f>
        <v>3350330.86</v>
      </c>
      <c r="F1922" s="772">
        <f t="shared" ref="F1922:P1922" si="1439">F1924+F1923+F1925</f>
        <v>0</v>
      </c>
      <c r="G1922" s="772">
        <f t="shared" si="1439"/>
        <v>0</v>
      </c>
      <c r="H1922" s="772">
        <f t="shared" si="1439"/>
        <v>0</v>
      </c>
      <c r="I1922" s="772">
        <f t="shared" si="1439"/>
        <v>3350330.86</v>
      </c>
      <c r="J1922" s="772">
        <f t="shared" si="1439"/>
        <v>0</v>
      </c>
      <c r="K1922" s="772">
        <f t="shared" si="1439"/>
        <v>700000</v>
      </c>
      <c r="L1922" s="317">
        <f t="shared" si="1390"/>
        <v>4050330.86</v>
      </c>
      <c r="M1922" s="317"/>
      <c r="N1922" s="372">
        <f t="shared" si="1394"/>
        <v>-700000</v>
      </c>
      <c r="O1922" s="772">
        <f t="shared" si="1439"/>
        <v>4455363.9460000005</v>
      </c>
      <c r="P1922" s="772">
        <f t="shared" si="1439"/>
        <v>4900900.3406000007</v>
      </c>
      <c r="R1922" s="317"/>
      <c r="U1922" s="320"/>
    </row>
    <row r="1923" spans="1:21" s="344" customFormat="1" outlineLevel="3">
      <c r="A1923" s="402"/>
      <c r="B1923" s="402"/>
      <c r="C1923" s="401">
        <v>2210301</v>
      </c>
      <c r="D1923" s="402" t="s">
        <v>25</v>
      </c>
      <c r="E1923" s="778">
        <v>910330.86</v>
      </c>
      <c r="F1923" s="333"/>
      <c r="G1923" s="333"/>
      <c r="H1923" s="333"/>
      <c r="I1923" s="324">
        <f t="shared" si="1395"/>
        <v>910330.86</v>
      </c>
      <c r="J1923" s="333"/>
      <c r="K1923" s="850">
        <v>200000</v>
      </c>
      <c r="L1923" s="317">
        <f t="shared" si="1390"/>
        <v>1110330.8599999999</v>
      </c>
      <c r="M1923" s="317"/>
      <c r="N1923" s="372">
        <f t="shared" si="1394"/>
        <v>-200000</v>
      </c>
      <c r="O1923" s="464">
        <f>L1923*1.1</f>
        <v>1221363.946</v>
      </c>
      <c r="P1923" s="464">
        <f t="shared" ref="P1923:P1925" si="1440">O1923*1.1</f>
        <v>1343500.3406</v>
      </c>
      <c r="R1923" s="317"/>
      <c r="U1923" s="320"/>
    </row>
    <row r="1924" spans="1:21" s="344" customFormat="1" outlineLevel="3">
      <c r="A1924" s="404"/>
      <c r="B1924" s="404"/>
      <c r="C1924" s="401">
        <v>2210302</v>
      </c>
      <c r="D1924" s="402" t="s">
        <v>411</v>
      </c>
      <c r="E1924" s="778">
        <v>1211695.5</v>
      </c>
      <c r="F1924" s="333"/>
      <c r="G1924" s="333"/>
      <c r="H1924" s="333"/>
      <c r="I1924" s="324">
        <f t="shared" si="1395"/>
        <v>1211695.5</v>
      </c>
      <c r="J1924" s="333"/>
      <c r="K1924" s="850">
        <v>300000</v>
      </c>
      <c r="L1924" s="317">
        <f t="shared" ref="L1924:L1987" si="1441">I1924+J1924+K1924</f>
        <v>1511695.5</v>
      </c>
      <c r="M1924" s="317"/>
      <c r="N1924" s="372">
        <f t="shared" si="1394"/>
        <v>-300000</v>
      </c>
      <c r="O1924" s="464">
        <f>L1924*1.1</f>
        <v>1662865.05</v>
      </c>
      <c r="P1924" s="464">
        <f t="shared" si="1440"/>
        <v>1829151.5550000002</v>
      </c>
      <c r="R1924" s="317"/>
      <c r="U1924" s="320"/>
    </row>
    <row r="1925" spans="1:21" s="344" customFormat="1" outlineLevel="3">
      <c r="A1925" s="402"/>
      <c r="B1925" s="402"/>
      <c r="C1925" s="401">
        <v>2210303</v>
      </c>
      <c r="D1925" s="402" t="s">
        <v>223</v>
      </c>
      <c r="E1925" s="778">
        <v>1228304.5</v>
      </c>
      <c r="F1925" s="333"/>
      <c r="G1925" s="333"/>
      <c r="H1925" s="333"/>
      <c r="I1925" s="324">
        <f t="shared" si="1395"/>
        <v>1228304.5</v>
      </c>
      <c r="J1925" s="333"/>
      <c r="K1925" s="850">
        <v>200000</v>
      </c>
      <c r="L1925" s="317">
        <f t="shared" si="1441"/>
        <v>1428304.5</v>
      </c>
      <c r="M1925" s="317"/>
      <c r="N1925" s="372">
        <f t="shared" si="1394"/>
        <v>-200000</v>
      </c>
      <c r="O1925" s="464">
        <f>L1925*1.1</f>
        <v>1571134.9500000002</v>
      </c>
      <c r="P1925" s="464">
        <f t="shared" si="1440"/>
        <v>1728248.4450000003</v>
      </c>
      <c r="R1925" s="317"/>
      <c r="U1925" s="320"/>
    </row>
    <row r="1926" spans="1:21" s="344" customFormat="1" outlineLevel="3">
      <c r="A1926" s="402"/>
      <c r="B1926" s="402"/>
      <c r="C1926" s="403">
        <v>2211200</v>
      </c>
      <c r="D1926" s="404" t="s">
        <v>55</v>
      </c>
      <c r="E1926" s="784">
        <f>E1927</f>
        <v>1500000</v>
      </c>
      <c r="F1926" s="784">
        <f t="shared" ref="F1926:K1926" si="1442">F1927</f>
        <v>0</v>
      </c>
      <c r="G1926" s="784">
        <f t="shared" si="1442"/>
        <v>0</v>
      </c>
      <c r="H1926" s="784">
        <f t="shared" si="1442"/>
        <v>0</v>
      </c>
      <c r="I1926" s="784">
        <f t="shared" si="1442"/>
        <v>1500000</v>
      </c>
      <c r="J1926" s="784">
        <f t="shared" si="1442"/>
        <v>0</v>
      </c>
      <c r="K1926" s="784">
        <f t="shared" si="1442"/>
        <v>0</v>
      </c>
      <c r="L1926" s="317">
        <f t="shared" si="1441"/>
        <v>1500000</v>
      </c>
      <c r="M1926" s="317"/>
      <c r="N1926" s="372">
        <f t="shared" si="1394"/>
        <v>0</v>
      </c>
      <c r="O1926" s="784">
        <f t="shared" ref="O1926:P1926" si="1443">O1927</f>
        <v>1650000.0000000002</v>
      </c>
      <c r="P1926" s="784">
        <f t="shared" si="1443"/>
        <v>1815000.0000000005</v>
      </c>
      <c r="R1926" s="317"/>
      <c r="U1926" s="320"/>
    </row>
    <row r="1927" spans="1:21" s="344" customFormat="1" outlineLevel="3">
      <c r="A1927" s="402"/>
      <c r="B1927" s="402"/>
      <c r="C1927" s="401">
        <v>2211201</v>
      </c>
      <c r="D1927" s="402" t="s">
        <v>56</v>
      </c>
      <c r="E1927" s="670">
        <f>1500000</f>
        <v>1500000</v>
      </c>
      <c r="F1927" s="333"/>
      <c r="G1927" s="333"/>
      <c r="H1927" s="333"/>
      <c r="I1927" s="324">
        <f t="shared" si="1395"/>
        <v>1500000</v>
      </c>
      <c r="J1927" s="333"/>
      <c r="K1927" s="849"/>
      <c r="L1927" s="317">
        <f t="shared" si="1441"/>
        <v>1500000</v>
      </c>
      <c r="M1927" s="317"/>
      <c r="N1927" s="372">
        <f t="shared" si="1394"/>
        <v>0</v>
      </c>
      <c r="O1927" s="464">
        <f>L1927*1.1</f>
        <v>1650000.0000000002</v>
      </c>
      <c r="P1927" s="464">
        <f t="shared" ref="P1927" si="1444">O1927*1.1</f>
        <v>1815000.0000000005</v>
      </c>
      <c r="R1927" s="317"/>
      <c r="U1927" s="320"/>
    </row>
    <row r="1928" spans="1:21" s="344" customFormat="1" outlineLevel="2">
      <c r="A1928" s="404"/>
      <c r="B1928" s="404"/>
      <c r="C1928" s="829" t="s">
        <v>99</v>
      </c>
      <c r="D1928" s="859"/>
      <c r="E1928" s="666">
        <f>E1912+E1914+E1919+E1922+E1926</f>
        <v>101507361.964</v>
      </c>
      <c r="F1928" s="666">
        <f t="shared" ref="F1928:K1928" si="1445">F1912+F1914+F1919+F1922+F1926</f>
        <v>0</v>
      </c>
      <c r="G1928" s="666">
        <f t="shared" si="1445"/>
        <v>0</v>
      </c>
      <c r="H1928" s="666">
        <f t="shared" si="1445"/>
        <v>0</v>
      </c>
      <c r="I1928" s="666">
        <f t="shared" si="1445"/>
        <v>101507361.964</v>
      </c>
      <c r="J1928" s="666">
        <f t="shared" si="1445"/>
        <v>0</v>
      </c>
      <c r="K1928" s="666">
        <f t="shared" si="1445"/>
        <v>700000</v>
      </c>
      <c r="L1928" s="317">
        <f t="shared" si="1441"/>
        <v>102207361.964</v>
      </c>
      <c r="M1928" s="317"/>
      <c r="N1928" s="372">
        <f t="shared" ref="N1928:N1991" si="1446">M1928-K1928</f>
        <v>-700000</v>
      </c>
      <c r="O1928" s="666">
        <f t="shared" ref="O1928:P1928" si="1447">O1912+O1914+O1919+O1922+O1926</f>
        <v>112428098.1604</v>
      </c>
      <c r="P1928" s="666">
        <f t="shared" si="1447"/>
        <v>123670907.97644001</v>
      </c>
      <c r="R1928" s="317"/>
      <c r="U1928" s="320"/>
    </row>
    <row r="1929" spans="1:21" s="344" customFormat="1" outlineLevel="2">
      <c r="A1929" s="404"/>
      <c r="B1929" s="404"/>
      <c r="C1929" s="405"/>
      <c r="D1929" s="405"/>
      <c r="E1929" s="406">
        <v>0</v>
      </c>
      <c r="F1929" s="348"/>
      <c r="G1929" s="348"/>
      <c r="H1929" s="348"/>
      <c r="I1929" s="324">
        <f t="shared" ref="I1929:I1991" si="1448">E1929+F1929+G1929+H1929</f>
        <v>0</v>
      </c>
      <c r="J1929" s="348"/>
      <c r="K1929" s="849"/>
      <c r="L1929" s="317">
        <f t="shared" si="1441"/>
        <v>0</v>
      </c>
      <c r="M1929" s="317"/>
      <c r="N1929" s="372">
        <f t="shared" si="1446"/>
        <v>0</v>
      </c>
      <c r="O1929" s="319">
        <f>L1929*1.1</f>
        <v>0</v>
      </c>
      <c r="P1929" s="319">
        <f t="shared" si="1427"/>
        <v>0</v>
      </c>
      <c r="R1929" s="317"/>
      <c r="U1929" s="320"/>
    </row>
    <row r="1930" spans="1:21" s="344" customFormat="1" outlineLevel="2">
      <c r="A1930" s="860" t="s">
        <v>144</v>
      </c>
      <c r="B1930" s="404" t="s">
        <v>146</v>
      </c>
      <c r="C1930" s="860" t="s">
        <v>412</v>
      </c>
      <c r="D1930" s="404"/>
      <c r="E1930" s="406"/>
      <c r="F1930" s="329"/>
      <c r="G1930" s="329"/>
      <c r="H1930" s="329"/>
      <c r="I1930" s="324">
        <f t="shared" si="1448"/>
        <v>0</v>
      </c>
      <c r="J1930" s="329"/>
      <c r="K1930" s="849"/>
      <c r="L1930" s="317">
        <f t="shared" si="1441"/>
        <v>0</v>
      </c>
      <c r="M1930" s="317"/>
      <c r="N1930" s="372">
        <f t="shared" si="1446"/>
        <v>0</v>
      </c>
      <c r="O1930" s="319">
        <f>L1930*1.1</f>
        <v>0</v>
      </c>
      <c r="P1930" s="319">
        <f t="shared" si="1427"/>
        <v>0</v>
      </c>
      <c r="R1930" s="317"/>
      <c r="U1930" s="320"/>
    </row>
    <row r="1931" spans="1:21" s="325" customFormat="1" outlineLevel="3">
      <c r="A1931" s="836"/>
      <c r="B1931" s="836"/>
      <c r="C1931" s="837">
        <v>3110202</v>
      </c>
      <c r="D1931" s="836" t="s">
        <v>413</v>
      </c>
      <c r="E1931" s="818">
        <f t="shared" ref="E1931:P1931" si="1449">SUM(E1932:E1954)</f>
        <v>102617939</v>
      </c>
      <c r="F1931" s="818">
        <f t="shared" si="1449"/>
        <v>14235425</v>
      </c>
      <c r="G1931" s="818">
        <f t="shared" si="1449"/>
        <v>163522931.00000185</v>
      </c>
      <c r="H1931" s="818">
        <f t="shared" si="1449"/>
        <v>-32723249</v>
      </c>
      <c r="I1931" s="818">
        <f t="shared" si="1449"/>
        <v>247653046.00000185</v>
      </c>
      <c r="J1931" s="818">
        <f t="shared" si="1449"/>
        <v>-40500000</v>
      </c>
      <c r="K1931" s="818">
        <f t="shared" si="1449"/>
        <v>4300000</v>
      </c>
      <c r="L1931" s="317">
        <f t="shared" si="1441"/>
        <v>211453046.00000185</v>
      </c>
      <c r="M1931" s="2212"/>
      <c r="N1931" s="372">
        <f t="shared" si="1446"/>
        <v>-4300000</v>
      </c>
      <c r="O1931" s="818">
        <f t="shared" si="1449"/>
        <v>100227568.09999999</v>
      </c>
      <c r="P1931" s="818">
        <f t="shared" si="1449"/>
        <v>110250324.91000001</v>
      </c>
      <c r="R1931" s="317"/>
      <c r="U1931" s="320"/>
    </row>
    <row r="1932" spans="1:21" s="344" customFormat="1" outlineLevel="3">
      <c r="A1932" s="402"/>
      <c r="B1932" s="402"/>
      <c r="C1932" s="401"/>
      <c r="D1932" s="402"/>
      <c r="E1932" s="670">
        <v>0</v>
      </c>
      <c r="F1932" s="333"/>
      <c r="G1932" s="333"/>
      <c r="H1932" s="333"/>
      <c r="I1932" s="324">
        <f t="shared" si="1448"/>
        <v>0</v>
      </c>
      <c r="J1932" s="333"/>
      <c r="K1932" s="849"/>
      <c r="L1932" s="317">
        <f t="shared" si="1441"/>
        <v>0</v>
      </c>
      <c r="M1932" s="2210"/>
      <c r="N1932" s="372">
        <f t="shared" si="1446"/>
        <v>0</v>
      </c>
      <c r="O1932" s="505">
        <f t="shared" ref="O1932:O1949" si="1450">L1932*1.1</f>
        <v>0</v>
      </c>
      <c r="P1932" s="464">
        <f t="shared" ref="P1932:P1947" si="1451">O1932*1.1</f>
        <v>0</v>
      </c>
      <c r="R1932" s="317"/>
      <c r="U1932" s="320"/>
    </row>
    <row r="1933" spans="1:21" s="344" customFormat="1" outlineLevel="3">
      <c r="A1933" s="861"/>
      <c r="B1933" s="861"/>
      <c r="C1933" s="862">
        <v>3110202</v>
      </c>
      <c r="D1933" s="845" t="s">
        <v>1597</v>
      </c>
      <c r="E1933" s="863">
        <f>2000000+500000</f>
        <v>2500000</v>
      </c>
      <c r="F1933" s="864"/>
      <c r="G1933" s="864"/>
      <c r="H1933" s="863">
        <v>-500000</v>
      </c>
      <c r="I1933" s="324">
        <f t="shared" si="1448"/>
        <v>2000000</v>
      </c>
      <c r="J1933" s="863"/>
      <c r="K1933" s="850"/>
      <c r="L1933" s="317">
        <f t="shared" si="1441"/>
        <v>2000000</v>
      </c>
      <c r="M1933" s="317"/>
      <c r="N1933" s="372">
        <f t="shared" si="1446"/>
        <v>0</v>
      </c>
      <c r="O1933" s="464">
        <f t="shared" si="1450"/>
        <v>2200000</v>
      </c>
      <c r="P1933" s="464">
        <f t="shared" si="1451"/>
        <v>2420000</v>
      </c>
      <c r="R1933" s="317"/>
      <c r="U1933" s="320"/>
    </row>
    <row r="1934" spans="1:21" s="344" customFormat="1" outlineLevel="3">
      <c r="A1934" s="402"/>
      <c r="B1934" s="402"/>
      <c r="C1934" s="401">
        <v>3110202</v>
      </c>
      <c r="D1934" s="330" t="s">
        <v>2414</v>
      </c>
      <c r="E1934" s="670">
        <f>5000000+3000000+2400000</f>
        <v>10400000</v>
      </c>
      <c r="F1934" s="406"/>
      <c r="G1934" s="406"/>
      <c r="H1934" s="670">
        <v>0</v>
      </c>
      <c r="I1934" s="324">
        <f t="shared" si="1448"/>
        <v>10400000</v>
      </c>
      <c r="J1934" s="670"/>
      <c r="K1934" s="849"/>
      <c r="L1934" s="317">
        <f t="shared" si="1441"/>
        <v>10400000</v>
      </c>
      <c r="M1934" s="2210"/>
      <c r="N1934" s="372">
        <f t="shared" si="1446"/>
        <v>0</v>
      </c>
      <c r="O1934" s="505">
        <f t="shared" si="1450"/>
        <v>11440000</v>
      </c>
      <c r="P1934" s="464">
        <f t="shared" si="1451"/>
        <v>12584000.000000002</v>
      </c>
      <c r="R1934" s="317"/>
      <c r="U1934" s="320"/>
    </row>
    <row r="1935" spans="1:21" s="344" customFormat="1" outlineLevel="3">
      <c r="A1935" s="402"/>
      <c r="B1935" s="402"/>
      <c r="C1935" s="401">
        <v>3110202</v>
      </c>
      <c r="D1935" s="845" t="s">
        <v>2415</v>
      </c>
      <c r="E1935" s="670">
        <f>4000000+500000+1300000-500000+4000000</f>
        <v>9300000</v>
      </c>
      <c r="F1935" s="333"/>
      <c r="G1935" s="333">
        <v>0</v>
      </c>
      <c r="H1935" s="670">
        <v>-300000</v>
      </c>
      <c r="I1935" s="324">
        <f t="shared" si="1448"/>
        <v>9000000</v>
      </c>
      <c r="J1935" s="670"/>
      <c r="K1935" s="849"/>
      <c r="L1935" s="317">
        <f t="shared" si="1441"/>
        <v>9000000</v>
      </c>
      <c r="M1935" s="2210"/>
      <c r="N1935" s="372">
        <f t="shared" si="1446"/>
        <v>0</v>
      </c>
      <c r="O1935" s="505">
        <f t="shared" si="1450"/>
        <v>9900000</v>
      </c>
      <c r="P1935" s="464">
        <f t="shared" si="1451"/>
        <v>10890000</v>
      </c>
      <c r="R1935" s="317"/>
      <c r="U1935" s="320"/>
    </row>
    <row r="1936" spans="1:21" s="344" customFormat="1" outlineLevel="3">
      <c r="A1936" s="853"/>
      <c r="B1936" s="853"/>
      <c r="C1936" s="649">
        <v>3110202</v>
      </c>
      <c r="D1936" s="865" t="s">
        <v>1601</v>
      </c>
      <c r="E1936" s="866">
        <f>5800000-800000</f>
        <v>5000000</v>
      </c>
      <c r="F1936" s="355"/>
      <c r="G1936" s="355"/>
      <c r="H1936" s="854">
        <v>-5000000</v>
      </c>
      <c r="I1936" s="324">
        <f t="shared" si="1448"/>
        <v>0</v>
      </c>
      <c r="J1936" s="854"/>
      <c r="K1936" s="849"/>
      <c r="L1936" s="317">
        <f t="shared" si="1441"/>
        <v>0</v>
      </c>
      <c r="M1936" s="317"/>
      <c r="N1936" s="372">
        <f t="shared" si="1446"/>
        <v>0</v>
      </c>
      <c r="O1936" s="464">
        <f t="shared" si="1450"/>
        <v>0</v>
      </c>
      <c r="P1936" s="464">
        <f t="shared" si="1451"/>
        <v>0</v>
      </c>
      <c r="R1936" s="317"/>
      <c r="U1936" s="320"/>
    </row>
    <row r="1937" spans="1:21" s="344" customFormat="1" outlineLevel="3">
      <c r="A1937" s="402"/>
      <c r="B1937" s="402"/>
      <c r="C1937" s="401">
        <v>3110202</v>
      </c>
      <c r="D1937" s="330" t="s">
        <v>2430</v>
      </c>
      <c r="E1937" s="851">
        <f>8000000+5000000-2000000+5000000</f>
        <v>16000000</v>
      </c>
      <c r="F1937" s="851">
        <v>4568966</v>
      </c>
      <c r="G1937" s="851">
        <v>10150000</v>
      </c>
      <c r="H1937" s="670">
        <v>-6000000</v>
      </c>
      <c r="I1937" s="324">
        <f t="shared" si="1448"/>
        <v>24718966</v>
      </c>
      <c r="J1937" s="670">
        <v>0</v>
      </c>
      <c r="K1937" s="846"/>
      <c r="L1937" s="317">
        <f t="shared" si="1441"/>
        <v>24718966</v>
      </c>
      <c r="M1937" s="2210"/>
      <c r="N1937" s="372">
        <f t="shared" si="1446"/>
        <v>0</v>
      </c>
      <c r="O1937" s="505">
        <f t="shared" si="1450"/>
        <v>27190862.600000001</v>
      </c>
      <c r="P1937" s="464">
        <f t="shared" si="1451"/>
        <v>29909948.860000003</v>
      </c>
      <c r="R1937" s="317"/>
      <c r="U1937" s="320"/>
    </row>
    <row r="1938" spans="1:21" s="699" customFormat="1" outlineLevel="3">
      <c r="A1938" s="867"/>
      <c r="B1938" s="867"/>
      <c r="C1938" s="868">
        <v>3110202</v>
      </c>
      <c r="D1938" s="869" t="s">
        <v>2431</v>
      </c>
      <c r="E1938" s="870">
        <f>10700000-700000-1000000</f>
        <v>9000000</v>
      </c>
      <c r="F1938" s="870">
        <v>7768</v>
      </c>
      <c r="G1938" s="870">
        <v>21850000</v>
      </c>
      <c r="H1938" s="871">
        <v>-1000000</v>
      </c>
      <c r="I1938" s="370">
        <f t="shared" si="1448"/>
        <v>29857768</v>
      </c>
      <c r="J1938" s="871">
        <f>-8000000-9355453</f>
        <v>-17355453</v>
      </c>
      <c r="K1938" s="872"/>
      <c r="L1938" s="372">
        <f t="shared" si="1441"/>
        <v>12502315</v>
      </c>
      <c r="M1938" s="989"/>
      <c r="N1938" s="372">
        <f t="shared" si="1446"/>
        <v>0</v>
      </c>
      <c r="O1938" s="873">
        <f t="shared" si="1450"/>
        <v>13752546.500000002</v>
      </c>
      <c r="P1938" s="874">
        <f t="shared" si="1451"/>
        <v>15127801.150000004</v>
      </c>
      <c r="R1938" s="372"/>
      <c r="U1938" s="320" t="s">
        <v>1803</v>
      </c>
    </row>
    <row r="1939" spans="1:21" s="344" customFormat="1" outlineLevel="3">
      <c r="A1939" s="857"/>
      <c r="B1939" s="857"/>
      <c r="C1939" s="875">
        <v>3110202</v>
      </c>
      <c r="D1939" s="330" t="s">
        <v>1604</v>
      </c>
      <c r="E1939" s="876">
        <v>5000000</v>
      </c>
      <c r="F1939" s="496"/>
      <c r="G1939" s="496"/>
      <c r="H1939" s="496"/>
      <c r="I1939" s="324">
        <f t="shared" si="1448"/>
        <v>5000000</v>
      </c>
      <c r="J1939" s="496"/>
      <c r="K1939" s="849"/>
      <c r="L1939" s="317">
        <f t="shared" si="1441"/>
        <v>5000000</v>
      </c>
      <c r="M1939" s="317"/>
      <c r="N1939" s="372">
        <f t="shared" si="1446"/>
        <v>0</v>
      </c>
      <c r="O1939" s="464">
        <f t="shared" si="1450"/>
        <v>5500000</v>
      </c>
      <c r="P1939" s="464">
        <f t="shared" si="1451"/>
        <v>6050000.0000000009</v>
      </c>
      <c r="R1939" s="317"/>
      <c r="U1939" s="320"/>
    </row>
    <row r="1940" spans="1:21" s="344" customFormat="1" outlineLevel="3">
      <c r="A1940" s="402"/>
      <c r="B1940" s="402"/>
      <c r="C1940" s="401">
        <v>3110202</v>
      </c>
      <c r="D1940" s="865" t="s">
        <v>1605</v>
      </c>
      <c r="E1940" s="851">
        <f>2000000</f>
        <v>2000000</v>
      </c>
      <c r="F1940" s="333"/>
      <c r="G1940" s="333"/>
      <c r="H1940" s="333"/>
      <c r="I1940" s="324">
        <f t="shared" si="1448"/>
        <v>2000000</v>
      </c>
      <c r="J1940" s="333"/>
      <c r="K1940" s="849"/>
      <c r="L1940" s="317">
        <f t="shared" si="1441"/>
        <v>2000000</v>
      </c>
      <c r="M1940" s="317"/>
      <c r="N1940" s="372">
        <f t="shared" si="1446"/>
        <v>0</v>
      </c>
      <c r="O1940" s="464">
        <f t="shared" si="1450"/>
        <v>2200000</v>
      </c>
      <c r="P1940" s="464">
        <f t="shared" si="1451"/>
        <v>2420000</v>
      </c>
      <c r="R1940" s="317"/>
      <c r="U1940" s="320"/>
    </row>
    <row r="1941" spans="1:21" s="344" customFormat="1" outlineLevel="3">
      <c r="A1941" s="402"/>
      <c r="B1941" s="402"/>
      <c r="C1941" s="401">
        <v>3110202</v>
      </c>
      <c r="D1941" s="330" t="s">
        <v>1698</v>
      </c>
      <c r="E1941" s="851">
        <v>2000000</v>
      </c>
      <c r="F1941" s="406"/>
      <c r="G1941" s="406"/>
      <c r="H1941" s="406"/>
      <c r="I1941" s="324">
        <f t="shared" si="1448"/>
        <v>2000000</v>
      </c>
      <c r="J1941" s="406"/>
      <c r="K1941" s="849"/>
      <c r="L1941" s="317">
        <f t="shared" si="1441"/>
        <v>2000000</v>
      </c>
      <c r="M1941" s="317"/>
      <c r="N1941" s="372">
        <f t="shared" si="1446"/>
        <v>0</v>
      </c>
      <c r="O1941" s="464">
        <f t="shared" si="1450"/>
        <v>2200000</v>
      </c>
      <c r="P1941" s="464">
        <f t="shared" si="1451"/>
        <v>2420000</v>
      </c>
      <c r="R1941" s="317"/>
      <c r="U1941" s="320"/>
    </row>
    <row r="1942" spans="1:21" s="344" customFormat="1" outlineLevel="3">
      <c r="A1942" s="402"/>
      <c r="B1942" s="402"/>
      <c r="C1942" s="401">
        <v>3110202</v>
      </c>
      <c r="D1942" s="865" t="s">
        <v>1606</v>
      </c>
      <c r="E1942" s="851">
        <f>1000000+800000+700000+2450000-500000</f>
        <v>4450000</v>
      </c>
      <c r="F1942" s="333"/>
      <c r="G1942" s="333"/>
      <c r="H1942" s="333"/>
      <c r="I1942" s="324">
        <f t="shared" si="1448"/>
        <v>4450000</v>
      </c>
      <c r="J1942" s="333"/>
      <c r="K1942" s="849"/>
      <c r="L1942" s="317">
        <f t="shared" si="1441"/>
        <v>4450000</v>
      </c>
      <c r="M1942" s="317"/>
      <c r="N1942" s="372">
        <f t="shared" si="1446"/>
        <v>0</v>
      </c>
      <c r="O1942" s="464">
        <f t="shared" si="1450"/>
        <v>4895000</v>
      </c>
      <c r="P1942" s="464">
        <f t="shared" si="1451"/>
        <v>5384500</v>
      </c>
      <c r="R1942" s="317"/>
      <c r="U1942" s="320"/>
    </row>
    <row r="1943" spans="1:21" s="344" customFormat="1" outlineLevel="3">
      <c r="A1943" s="402"/>
      <c r="B1943" s="402"/>
      <c r="C1943" s="401">
        <v>3110202</v>
      </c>
      <c r="D1943" s="330" t="s">
        <v>1607</v>
      </c>
      <c r="E1943" s="851">
        <v>2000000</v>
      </c>
      <c r="F1943" s="406"/>
      <c r="G1943" s="406"/>
      <c r="H1943" s="406"/>
      <c r="I1943" s="324">
        <f t="shared" si="1448"/>
        <v>2000000</v>
      </c>
      <c r="J1943" s="406"/>
      <c r="K1943" s="849"/>
      <c r="L1943" s="317">
        <f t="shared" si="1441"/>
        <v>2000000</v>
      </c>
      <c r="M1943" s="317"/>
      <c r="N1943" s="372">
        <f t="shared" si="1446"/>
        <v>0</v>
      </c>
      <c r="O1943" s="464">
        <f t="shared" si="1450"/>
        <v>2200000</v>
      </c>
      <c r="P1943" s="464">
        <f t="shared" si="1451"/>
        <v>2420000</v>
      </c>
      <c r="R1943" s="317"/>
      <c r="U1943" s="320"/>
    </row>
    <row r="1944" spans="1:21" s="344" customFormat="1" outlineLevel="3">
      <c r="A1944" s="402"/>
      <c r="B1944" s="402"/>
      <c r="C1944" s="401">
        <v>3110202</v>
      </c>
      <c r="D1944" s="330" t="s">
        <v>1836</v>
      </c>
      <c r="E1944" s="851">
        <f>5000000+4000000-4000000</f>
        <v>5000000</v>
      </c>
      <c r="F1944" s="406"/>
      <c r="G1944" s="406"/>
      <c r="H1944" s="406"/>
      <c r="I1944" s="324">
        <f t="shared" si="1448"/>
        <v>5000000</v>
      </c>
      <c r="J1944" s="406"/>
      <c r="K1944" s="850"/>
      <c r="L1944" s="317">
        <f t="shared" si="1441"/>
        <v>5000000</v>
      </c>
      <c r="M1944" s="317"/>
      <c r="N1944" s="372">
        <f t="shared" si="1446"/>
        <v>0</v>
      </c>
      <c r="O1944" s="464">
        <f t="shared" si="1450"/>
        <v>5500000</v>
      </c>
      <c r="P1944" s="464">
        <f t="shared" si="1451"/>
        <v>6050000.0000000009</v>
      </c>
      <c r="R1944" s="317"/>
      <c r="U1944" s="320"/>
    </row>
    <row r="1945" spans="1:21" s="344" customFormat="1" outlineLevel="3">
      <c r="A1945" s="402"/>
      <c r="B1945" s="402"/>
      <c r="C1945" s="401">
        <v>3110202</v>
      </c>
      <c r="D1945" s="865" t="s">
        <v>1608</v>
      </c>
      <c r="E1945" s="851">
        <v>2000000</v>
      </c>
      <c r="F1945" s="333"/>
      <c r="G1945" s="333"/>
      <c r="H1945" s="333"/>
      <c r="I1945" s="324">
        <f t="shared" si="1448"/>
        <v>2000000</v>
      </c>
      <c r="J1945" s="333"/>
      <c r="K1945" s="849"/>
      <c r="L1945" s="317">
        <f t="shared" si="1441"/>
        <v>2000000</v>
      </c>
      <c r="M1945" s="317"/>
      <c r="N1945" s="372">
        <f t="shared" si="1446"/>
        <v>0</v>
      </c>
      <c r="O1945" s="464">
        <f t="shared" si="1450"/>
        <v>2200000</v>
      </c>
      <c r="P1945" s="464">
        <f t="shared" si="1451"/>
        <v>2420000</v>
      </c>
      <c r="R1945" s="317"/>
      <c r="U1945" s="320"/>
    </row>
    <row r="1946" spans="1:21" s="344" customFormat="1" outlineLevel="3">
      <c r="A1946" s="402"/>
      <c r="B1946" s="402"/>
      <c r="C1946" s="401">
        <v>3110202</v>
      </c>
      <c r="D1946" s="330" t="s">
        <v>1609</v>
      </c>
      <c r="E1946" s="778">
        <v>2000000</v>
      </c>
      <c r="F1946" s="406"/>
      <c r="G1946" s="406"/>
      <c r="H1946" s="406"/>
      <c r="I1946" s="324">
        <f t="shared" si="1448"/>
        <v>2000000</v>
      </c>
      <c r="J1946" s="406"/>
      <c r="K1946" s="849"/>
      <c r="L1946" s="317">
        <f t="shared" si="1441"/>
        <v>2000000</v>
      </c>
      <c r="M1946" s="317"/>
      <c r="N1946" s="372">
        <f t="shared" si="1446"/>
        <v>0</v>
      </c>
      <c r="O1946" s="464">
        <f t="shared" si="1450"/>
        <v>2200000</v>
      </c>
      <c r="P1946" s="464">
        <f t="shared" si="1451"/>
        <v>2420000</v>
      </c>
      <c r="R1946" s="317"/>
      <c r="U1946" s="320"/>
    </row>
    <row r="1947" spans="1:21" s="344" customFormat="1" outlineLevel="3">
      <c r="A1947" s="402"/>
      <c r="B1947" s="402"/>
      <c r="C1947" s="401">
        <v>3110202</v>
      </c>
      <c r="D1947" s="865" t="s">
        <v>1610</v>
      </c>
      <c r="E1947" s="778">
        <v>2000000</v>
      </c>
      <c r="F1947" s="333"/>
      <c r="G1947" s="333"/>
      <c r="H1947" s="333"/>
      <c r="I1947" s="324">
        <f t="shared" si="1448"/>
        <v>2000000</v>
      </c>
      <c r="J1947" s="333"/>
      <c r="K1947" s="850">
        <v>2000000</v>
      </c>
      <c r="L1947" s="317">
        <f t="shared" si="1441"/>
        <v>4000000</v>
      </c>
      <c r="M1947" s="317"/>
      <c r="N1947" s="372">
        <f t="shared" si="1446"/>
        <v>-2000000</v>
      </c>
      <c r="O1947" s="464">
        <f t="shared" si="1450"/>
        <v>4400000</v>
      </c>
      <c r="P1947" s="464">
        <f t="shared" si="1451"/>
        <v>4840000</v>
      </c>
      <c r="R1947" s="317"/>
      <c r="U1947" s="320"/>
    </row>
    <row r="1948" spans="1:21" s="344" customFormat="1" outlineLevel="3">
      <c r="A1948" s="402"/>
      <c r="B1948" s="402"/>
      <c r="C1948" s="401">
        <v>3110202</v>
      </c>
      <c r="D1948" s="330" t="s">
        <v>1611</v>
      </c>
      <c r="E1948" s="851">
        <f>2644690-600000</f>
        <v>2044690</v>
      </c>
      <c r="F1948" s="406"/>
      <c r="G1948" s="406"/>
      <c r="H1948" s="406"/>
      <c r="I1948" s="324">
        <f t="shared" si="1448"/>
        <v>2044690</v>
      </c>
      <c r="J1948" s="406"/>
      <c r="K1948" s="849"/>
      <c r="L1948" s="317">
        <f t="shared" si="1441"/>
        <v>2044690</v>
      </c>
      <c r="M1948" s="317"/>
      <c r="N1948" s="372">
        <f t="shared" si="1446"/>
        <v>0</v>
      </c>
      <c r="O1948" s="464">
        <f t="shared" si="1450"/>
        <v>2249159</v>
      </c>
      <c r="P1948" s="464">
        <f t="shared" ref="P1948:P1952" si="1452">O1948*1.1</f>
        <v>2474074.9000000004</v>
      </c>
      <c r="R1948" s="317"/>
      <c r="U1948" s="320"/>
    </row>
    <row r="1949" spans="1:21" s="699" customFormat="1" outlineLevel="3">
      <c r="A1949" s="877"/>
      <c r="B1949" s="877"/>
      <c r="C1949" s="878">
        <v>3110202</v>
      </c>
      <c r="D1949" s="366" t="s">
        <v>2027</v>
      </c>
      <c r="E1949" s="879">
        <f>7500000+423249+9000000+3000000</f>
        <v>19923249</v>
      </c>
      <c r="F1949" s="880"/>
      <c r="G1949" s="879">
        <v>0</v>
      </c>
      <c r="H1949" s="879">
        <f>-19923249+10000000-10000000</f>
        <v>-19923249</v>
      </c>
      <c r="I1949" s="370">
        <f t="shared" si="1448"/>
        <v>0</v>
      </c>
      <c r="J1949" s="879">
        <v>0</v>
      </c>
      <c r="K1949" s="881">
        <v>0</v>
      </c>
      <c r="L1949" s="372">
        <f t="shared" si="1441"/>
        <v>0</v>
      </c>
      <c r="M1949" s="372"/>
      <c r="N1949" s="372">
        <f t="shared" si="1446"/>
        <v>0</v>
      </c>
      <c r="O1949" s="874">
        <f t="shared" si="1450"/>
        <v>0</v>
      </c>
      <c r="P1949" s="874">
        <f t="shared" si="1452"/>
        <v>0</v>
      </c>
      <c r="R1949" s="372"/>
      <c r="U1949" s="320"/>
    </row>
    <row r="1950" spans="1:21" s="344" customFormat="1" outlineLevel="3">
      <c r="A1950" s="402"/>
      <c r="B1950" s="402"/>
      <c r="C1950" s="401">
        <v>3110202</v>
      </c>
      <c r="D1950" s="865" t="s">
        <v>2413</v>
      </c>
      <c r="E1950" s="778"/>
      <c r="F1950" s="333"/>
      <c r="G1950" s="778">
        <f>(85000000-21977070.413765)+1.41376686096191</f>
        <v>63022931.000001863</v>
      </c>
      <c r="H1950" s="333"/>
      <c r="I1950" s="324">
        <f t="shared" si="1448"/>
        <v>63022931.000001863</v>
      </c>
      <c r="J1950" s="333">
        <f>-17500000+5355453</f>
        <v>-12144547</v>
      </c>
      <c r="K1950" s="846">
        <v>-1200000</v>
      </c>
      <c r="L1950" s="317">
        <f t="shared" si="1441"/>
        <v>49678384.000001863</v>
      </c>
      <c r="M1950" s="2210"/>
      <c r="N1950" s="372">
        <f t="shared" si="1446"/>
        <v>1200000</v>
      </c>
      <c r="O1950" s="505"/>
      <c r="P1950" s="464"/>
      <c r="R1950" s="317"/>
      <c r="U1950" s="320" t="s">
        <v>1803</v>
      </c>
    </row>
    <row r="1951" spans="1:21" s="344" customFormat="1" outlineLevel="3">
      <c r="A1951" s="402"/>
      <c r="B1951" s="402"/>
      <c r="C1951" s="401">
        <v>3110202</v>
      </c>
      <c r="D1951" s="865" t="s">
        <v>2342</v>
      </c>
      <c r="E1951" s="778"/>
      <c r="F1951" s="333"/>
      <c r="G1951" s="778">
        <f>42500000-8500000-4000000</f>
        <v>30000000</v>
      </c>
      <c r="H1951" s="333"/>
      <c r="I1951" s="324">
        <f t="shared" si="1448"/>
        <v>30000000</v>
      </c>
      <c r="J1951" s="333">
        <f>-12000000+4000000</f>
        <v>-8000000</v>
      </c>
      <c r="K1951" s="849"/>
      <c r="L1951" s="317">
        <f t="shared" si="1441"/>
        <v>22000000</v>
      </c>
      <c r="M1951" s="2210"/>
      <c r="N1951" s="372">
        <f t="shared" si="1446"/>
        <v>0</v>
      </c>
      <c r="O1951" s="505"/>
      <c r="P1951" s="464"/>
      <c r="R1951" s="317"/>
      <c r="U1951" s="320" t="s">
        <v>1803</v>
      </c>
    </row>
    <row r="1952" spans="1:21" s="344" customFormat="1" outlineLevel="3">
      <c r="A1952" s="861"/>
      <c r="B1952" s="861"/>
      <c r="C1952" s="862">
        <v>3110202</v>
      </c>
      <c r="D1952" s="330" t="s">
        <v>1612</v>
      </c>
      <c r="E1952" s="882">
        <v>2000000</v>
      </c>
      <c r="F1952" s="882"/>
      <c r="G1952" s="882"/>
      <c r="H1952" s="616"/>
      <c r="I1952" s="324">
        <f t="shared" si="1448"/>
        <v>2000000</v>
      </c>
      <c r="J1952" s="616"/>
      <c r="K1952" s="849"/>
      <c r="L1952" s="317">
        <f t="shared" si="1441"/>
        <v>2000000</v>
      </c>
      <c r="M1952" s="317"/>
      <c r="N1952" s="372">
        <f t="shared" si="1446"/>
        <v>0</v>
      </c>
      <c r="O1952" s="464">
        <f>L1952*1.1</f>
        <v>2200000</v>
      </c>
      <c r="P1952" s="464">
        <f t="shared" si="1452"/>
        <v>2420000</v>
      </c>
      <c r="R1952" s="317"/>
      <c r="U1952" s="320"/>
    </row>
    <row r="1953" spans="1:21" s="344" customFormat="1" outlineLevel="3">
      <c r="A1953" s="402"/>
      <c r="B1953" s="402"/>
      <c r="C1953" s="401">
        <v>3110202</v>
      </c>
      <c r="D1953" s="330" t="s">
        <v>2432</v>
      </c>
      <c r="E1953" s="851"/>
      <c r="F1953" s="851">
        <v>9658691</v>
      </c>
      <c r="G1953" s="851">
        <v>21000000</v>
      </c>
      <c r="H1953" s="851">
        <v>0</v>
      </c>
      <c r="I1953" s="324">
        <f t="shared" si="1448"/>
        <v>30658691</v>
      </c>
      <c r="J1953" s="851">
        <v>-3000000</v>
      </c>
      <c r="K1953" s="850"/>
      <c r="L1953" s="317">
        <f t="shared" si="1441"/>
        <v>27658691</v>
      </c>
      <c r="M1953" s="2210"/>
      <c r="N1953" s="372">
        <f t="shared" si="1446"/>
        <v>0</v>
      </c>
      <c r="O1953" s="505"/>
      <c r="P1953" s="464"/>
      <c r="R1953" s="317"/>
      <c r="U1953" s="320" t="s">
        <v>1803</v>
      </c>
    </row>
    <row r="1954" spans="1:21" s="344" customFormat="1" outlineLevel="3">
      <c r="A1954" s="402"/>
      <c r="B1954" s="402"/>
      <c r="C1954" s="401">
        <v>3110202</v>
      </c>
      <c r="D1954" s="330" t="s">
        <v>2416</v>
      </c>
      <c r="E1954" s="851"/>
      <c r="F1954" s="406"/>
      <c r="G1954" s="333">
        <v>17500000</v>
      </c>
      <c r="H1954" s="333">
        <v>0</v>
      </c>
      <c r="I1954" s="324">
        <f t="shared" si="1448"/>
        <v>17500000</v>
      </c>
      <c r="J1954" s="333"/>
      <c r="K1954" s="850">
        <v>3500000</v>
      </c>
      <c r="L1954" s="317">
        <f t="shared" si="1441"/>
        <v>21000000</v>
      </c>
      <c r="M1954" s="2210"/>
      <c r="N1954" s="372">
        <f t="shared" si="1446"/>
        <v>-3500000</v>
      </c>
      <c r="O1954" s="505"/>
      <c r="P1954" s="464"/>
      <c r="R1954" s="317"/>
      <c r="U1954" s="320"/>
    </row>
    <row r="1955" spans="1:21" s="344" customFormat="1" outlineLevel="3">
      <c r="A1955" s="857"/>
      <c r="B1955" s="857"/>
      <c r="C1955" s="652">
        <v>3110300</v>
      </c>
      <c r="D1955" s="330" t="s">
        <v>2572</v>
      </c>
      <c r="E1955" s="883">
        <f>E1956</f>
        <v>3600000</v>
      </c>
      <c r="F1955" s="883">
        <f t="shared" ref="F1955:K1955" si="1453">F1956</f>
        <v>0</v>
      </c>
      <c r="G1955" s="883">
        <f t="shared" si="1453"/>
        <v>0</v>
      </c>
      <c r="H1955" s="883">
        <f t="shared" si="1453"/>
        <v>0</v>
      </c>
      <c r="I1955" s="883">
        <f t="shared" si="1453"/>
        <v>3600000</v>
      </c>
      <c r="J1955" s="883">
        <f t="shared" si="1453"/>
        <v>0</v>
      </c>
      <c r="K1955" s="883">
        <f t="shared" si="1453"/>
        <v>1000000</v>
      </c>
      <c r="L1955" s="317">
        <f t="shared" si="1441"/>
        <v>4600000</v>
      </c>
      <c r="M1955" s="2211"/>
      <c r="N1955" s="372">
        <f t="shared" si="1446"/>
        <v>-1000000</v>
      </c>
      <c r="O1955" s="883">
        <f t="shared" ref="O1955:P1955" si="1454">O1956</f>
        <v>5060000</v>
      </c>
      <c r="P1955" s="883">
        <f t="shared" si="1454"/>
        <v>5566000</v>
      </c>
      <c r="R1955" s="317"/>
      <c r="U1955" s="320"/>
    </row>
    <row r="1956" spans="1:21" s="344" customFormat="1" outlineLevel="3">
      <c r="A1956" s="402"/>
      <c r="B1956" s="402"/>
      <c r="C1956" s="401" t="s">
        <v>444</v>
      </c>
      <c r="D1956" s="834" t="s">
        <v>293</v>
      </c>
      <c r="E1956" s="851">
        <f>3000000+600000</f>
        <v>3600000</v>
      </c>
      <c r="F1956" s="406"/>
      <c r="G1956" s="406"/>
      <c r="H1956" s="406"/>
      <c r="I1956" s="324">
        <f t="shared" si="1448"/>
        <v>3600000</v>
      </c>
      <c r="J1956" s="406"/>
      <c r="K1956" s="850">
        <v>1000000</v>
      </c>
      <c r="L1956" s="317">
        <f t="shared" si="1441"/>
        <v>4600000</v>
      </c>
      <c r="M1956" s="317"/>
      <c r="N1956" s="372">
        <f t="shared" si="1446"/>
        <v>-1000000</v>
      </c>
      <c r="O1956" s="464">
        <f>L1956*1.1</f>
        <v>5060000</v>
      </c>
      <c r="P1956" s="464">
        <f t="shared" ref="P1956" si="1455">O1956*1.1</f>
        <v>5566000</v>
      </c>
      <c r="R1956" s="317"/>
      <c r="U1956" s="320"/>
    </row>
    <row r="1957" spans="1:21" s="344" customFormat="1" outlineLevel="3">
      <c r="A1957" s="402"/>
      <c r="B1957" s="402"/>
      <c r="C1957" s="403">
        <v>3111500</v>
      </c>
      <c r="D1957" s="330" t="s">
        <v>1613</v>
      </c>
      <c r="E1957" s="772">
        <f>E1958+E1959+E1960</f>
        <v>6000000</v>
      </c>
      <c r="F1957" s="772">
        <f t="shared" ref="F1957:P1957" si="1456">F1958+F1959+F1960</f>
        <v>1279362</v>
      </c>
      <c r="G1957" s="772">
        <f t="shared" si="1456"/>
        <v>0</v>
      </c>
      <c r="H1957" s="772">
        <f t="shared" si="1456"/>
        <v>-3000000</v>
      </c>
      <c r="I1957" s="772">
        <f t="shared" si="1456"/>
        <v>4279362</v>
      </c>
      <c r="J1957" s="772">
        <f t="shared" si="1456"/>
        <v>0</v>
      </c>
      <c r="K1957" s="772">
        <f t="shared" si="1456"/>
        <v>0</v>
      </c>
      <c r="L1957" s="317">
        <f t="shared" si="1441"/>
        <v>4279362</v>
      </c>
      <c r="M1957" s="317"/>
      <c r="N1957" s="372">
        <f t="shared" si="1446"/>
        <v>0</v>
      </c>
      <c r="O1957" s="772">
        <f t="shared" si="1456"/>
        <v>3300000.0000000005</v>
      </c>
      <c r="P1957" s="772">
        <f t="shared" si="1456"/>
        <v>3630000.0000000009</v>
      </c>
      <c r="R1957" s="317"/>
      <c r="U1957" s="320"/>
    </row>
    <row r="1958" spans="1:21" s="344" customFormat="1" outlineLevel="3">
      <c r="A1958" s="402"/>
      <c r="B1958" s="402"/>
      <c r="C1958" s="401">
        <v>3111504</v>
      </c>
      <c r="D1958" s="834" t="s">
        <v>414</v>
      </c>
      <c r="E1958" s="851">
        <v>3000000</v>
      </c>
      <c r="F1958" s="333"/>
      <c r="G1958" s="333"/>
      <c r="H1958" s="333"/>
      <c r="I1958" s="324">
        <f t="shared" si="1448"/>
        <v>3000000</v>
      </c>
      <c r="J1958" s="333"/>
      <c r="K1958" s="849"/>
      <c r="L1958" s="317">
        <f t="shared" si="1441"/>
        <v>3000000</v>
      </c>
      <c r="M1958" s="317"/>
      <c r="N1958" s="372">
        <f t="shared" si="1446"/>
        <v>0</v>
      </c>
      <c r="O1958" s="464">
        <f>L1958*1.1</f>
        <v>3300000.0000000005</v>
      </c>
      <c r="P1958" s="464">
        <f t="shared" ref="P1958:P1959" si="1457">O1958*1.1</f>
        <v>3630000.0000000009</v>
      </c>
      <c r="R1958" s="317"/>
      <c r="U1958" s="320"/>
    </row>
    <row r="1959" spans="1:21" s="344" customFormat="1" outlineLevel="3">
      <c r="A1959" s="402"/>
      <c r="B1959" s="402"/>
      <c r="C1959" s="401">
        <v>3111504</v>
      </c>
      <c r="D1959" s="845" t="s">
        <v>1614</v>
      </c>
      <c r="E1959" s="778">
        <v>3000000</v>
      </c>
      <c r="F1959" s="616"/>
      <c r="G1959" s="406"/>
      <c r="H1959" s="333">
        <v>-3000000</v>
      </c>
      <c r="I1959" s="324">
        <f t="shared" si="1448"/>
        <v>0</v>
      </c>
      <c r="J1959" s="333"/>
      <c r="K1959" s="849"/>
      <c r="L1959" s="317">
        <f t="shared" si="1441"/>
        <v>0</v>
      </c>
      <c r="M1959" s="317"/>
      <c r="N1959" s="372">
        <f t="shared" si="1446"/>
        <v>0</v>
      </c>
      <c r="O1959" s="464">
        <f>L1959*1.1</f>
        <v>0</v>
      </c>
      <c r="P1959" s="464">
        <f t="shared" si="1457"/>
        <v>0</v>
      </c>
      <c r="R1959" s="317"/>
      <c r="U1959" s="320"/>
    </row>
    <row r="1960" spans="1:21" outlineLevel="3">
      <c r="A1960" s="402"/>
      <c r="B1960" s="402"/>
      <c r="C1960" s="401">
        <v>3111504</v>
      </c>
      <c r="D1960" s="330" t="s">
        <v>1615</v>
      </c>
      <c r="E1960" s="778"/>
      <c r="F1960" s="333">
        <v>1279362</v>
      </c>
      <c r="G1960" s="389"/>
      <c r="H1960" s="389"/>
      <c r="I1960" s="324">
        <f t="shared" si="1448"/>
        <v>1279362</v>
      </c>
      <c r="J1960" s="389"/>
      <c r="K1960" s="849"/>
      <c r="L1960" s="317">
        <f t="shared" si="1441"/>
        <v>1279362</v>
      </c>
      <c r="M1960" s="317"/>
      <c r="N1960" s="372">
        <f t="shared" si="1446"/>
        <v>0</v>
      </c>
      <c r="O1960" s="464"/>
      <c r="P1960" s="464"/>
      <c r="R1960" s="317"/>
      <c r="U1960" s="320"/>
    </row>
    <row r="1961" spans="1:21" s="344" customFormat="1" outlineLevel="2">
      <c r="A1961" s="859"/>
      <c r="B1961" s="859"/>
      <c r="C1961" s="829" t="s">
        <v>175</v>
      </c>
      <c r="D1961" s="330" t="s">
        <v>2100</v>
      </c>
      <c r="E1961" s="461">
        <f t="shared" ref="E1961:P1961" si="1458">+E1957+E1955+E1931</f>
        <v>112217939</v>
      </c>
      <c r="F1961" s="461">
        <f t="shared" si="1458"/>
        <v>15514787</v>
      </c>
      <c r="G1961" s="461">
        <f t="shared" si="1458"/>
        <v>163522931.00000185</v>
      </c>
      <c r="H1961" s="461">
        <f t="shared" si="1458"/>
        <v>-35723249</v>
      </c>
      <c r="I1961" s="461">
        <f t="shared" si="1458"/>
        <v>255532408.00000185</v>
      </c>
      <c r="J1961" s="461">
        <f t="shared" si="1458"/>
        <v>-40500000</v>
      </c>
      <c r="K1961" s="461">
        <f t="shared" si="1458"/>
        <v>5300000</v>
      </c>
      <c r="L1961" s="317">
        <f t="shared" si="1441"/>
        <v>220332408.00000185</v>
      </c>
      <c r="M1961" s="317"/>
      <c r="N1961" s="372">
        <f t="shared" si="1446"/>
        <v>-5300000</v>
      </c>
      <c r="O1961" s="461">
        <f t="shared" si="1458"/>
        <v>108587568.09999999</v>
      </c>
      <c r="P1961" s="461">
        <f t="shared" si="1458"/>
        <v>119446324.91000001</v>
      </c>
      <c r="R1961" s="317"/>
      <c r="U1961" s="320"/>
    </row>
    <row r="1962" spans="1:21" s="344" customFormat="1" outlineLevel="1">
      <c r="A1962" s="884"/>
      <c r="B1962" s="884"/>
      <c r="C1962" s="829" t="s">
        <v>415</v>
      </c>
      <c r="D1962" s="382"/>
      <c r="E1962" s="666">
        <f t="shared" ref="E1962:P1962" si="1459">E1961+E1928</f>
        <v>213725300.96399999</v>
      </c>
      <c r="F1962" s="666">
        <f t="shared" si="1459"/>
        <v>15514787</v>
      </c>
      <c r="G1962" s="666">
        <f t="shared" si="1459"/>
        <v>163522931.00000185</v>
      </c>
      <c r="H1962" s="666">
        <f t="shared" si="1459"/>
        <v>-35723249</v>
      </c>
      <c r="I1962" s="666">
        <f t="shared" si="1459"/>
        <v>357039769.96400183</v>
      </c>
      <c r="J1962" s="666">
        <f t="shared" si="1459"/>
        <v>-40500000</v>
      </c>
      <c r="K1962" s="666">
        <f t="shared" si="1459"/>
        <v>6000000</v>
      </c>
      <c r="L1962" s="317">
        <f t="shared" si="1441"/>
        <v>322539769.96400183</v>
      </c>
      <c r="M1962" s="317"/>
      <c r="N1962" s="372">
        <f t="shared" si="1446"/>
        <v>-6000000</v>
      </c>
      <c r="O1962" s="666">
        <f t="shared" si="1459"/>
        <v>221015666.2604</v>
      </c>
      <c r="P1962" s="666">
        <f t="shared" si="1459"/>
        <v>243117232.88644004</v>
      </c>
      <c r="R1962" s="317"/>
      <c r="U1962" s="320"/>
    </row>
    <row r="1963" spans="1:21" s="344" customFormat="1" outlineLevel="1">
      <c r="A1963" s="402"/>
      <c r="B1963" s="402"/>
      <c r="C1963" s="403"/>
      <c r="D1963" s="404"/>
      <c r="E1963" s="406">
        <v>0</v>
      </c>
      <c r="F1963" s="406">
        <v>0</v>
      </c>
      <c r="G1963" s="406">
        <v>0</v>
      </c>
      <c r="H1963" s="406">
        <v>0</v>
      </c>
      <c r="I1963" s="406">
        <v>0</v>
      </c>
      <c r="J1963" s="406"/>
      <c r="K1963" s="849"/>
      <c r="L1963" s="317">
        <f t="shared" si="1441"/>
        <v>0</v>
      </c>
      <c r="M1963" s="317"/>
      <c r="N1963" s="372">
        <f t="shared" si="1446"/>
        <v>0</v>
      </c>
      <c r="O1963" s="406">
        <v>0</v>
      </c>
      <c r="P1963" s="406">
        <v>0</v>
      </c>
      <c r="R1963" s="317"/>
      <c r="U1963" s="320"/>
    </row>
    <row r="1964" spans="1:21" s="344" customFormat="1" outlineLevel="1">
      <c r="A1964" s="402"/>
      <c r="B1964" s="402"/>
      <c r="C1964" s="401"/>
      <c r="D1964" s="829"/>
      <c r="E1964" s="406">
        <v>0</v>
      </c>
      <c r="F1964" s="406">
        <v>0</v>
      </c>
      <c r="G1964" s="406">
        <v>0</v>
      </c>
      <c r="H1964" s="406">
        <v>0</v>
      </c>
      <c r="I1964" s="406">
        <v>0</v>
      </c>
      <c r="J1964" s="406"/>
      <c r="K1964" s="849"/>
      <c r="L1964" s="317">
        <f t="shared" si="1441"/>
        <v>0</v>
      </c>
      <c r="M1964" s="317"/>
      <c r="N1964" s="372">
        <f t="shared" si="1446"/>
        <v>0</v>
      </c>
      <c r="O1964" s="319">
        <f>L1964*1.1</f>
        <v>0</v>
      </c>
      <c r="P1964" s="319">
        <f t="shared" ref="P1964:P1966" si="1460">O1964*1.1</f>
        <v>0</v>
      </c>
      <c r="R1964" s="317"/>
      <c r="U1964" s="320"/>
    </row>
    <row r="1965" spans="1:21" s="344" customFormat="1" outlineLevel="1">
      <c r="A1965" s="859"/>
      <c r="B1965" s="859"/>
      <c r="C1965" s="859" t="s">
        <v>416</v>
      </c>
      <c r="D1965" s="859"/>
      <c r="E1965" s="666">
        <f t="shared" ref="E1965:P1965" si="1461">E1962+E1908+E1901</f>
        <v>1146241066.9299998</v>
      </c>
      <c r="F1965" s="666">
        <f t="shared" si="1461"/>
        <v>15514787</v>
      </c>
      <c r="G1965" s="666">
        <f t="shared" si="1461"/>
        <v>235017789.75816721</v>
      </c>
      <c r="H1965" s="666">
        <f t="shared" si="1461"/>
        <v>-30110413</v>
      </c>
      <c r="I1965" s="666">
        <f t="shared" si="1461"/>
        <v>1366663230.6881671</v>
      </c>
      <c r="J1965" s="666">
        <f t="shared" si="1461"/>
        <v>-76000000</v>
      </c>
      <c r="K1965" s="666">
        <f t="shared" si="1461"/>
        <v>7700000</v>
      </c>
      <c r="L1965" s="317">
        <f t="shared" si="1441"/>
        <v>1298363230.6881671</v>
      </c>
      <c r="M1965" s="317"/>
      <c r="N1965" s="372">
        <f t="shared" si="1446"/>
        <v>-7700000</v>
      </c>
      <c r="O1965" s="666">
        <f t="shared" si="1461"/>
        <v>1292061365.856982</v>
      </c>
      <c r="P1965" s="666">
        <f t="shared" si="1461"/>
        <v>1421267502.4426804</v>
      </c>
      <c r="R1965" s="317"/>
      <c r="U1965" s="320"/>
    </row>
    <row r="1966" spans="1:21" s="344" customFormat="1" outlineLevel="1">
      <c r="A1966" s="404"/>
      <c r="B1966" s="404"/>
      <c r="C1966" s="404"/>
      <c r="D1966" s="404"/>
      <c r="E1966" s="406">
        <v>0</v>
      </c>
      <c r="F1966" s="329"/>
      <c r="G1966" s="329"/>
      <c r="H1966" s="329"/>
      <c r="I1966" s="324">
        <f t="shared" si="1448"/>
        <v>0</v>
      </c>
      <c r="J1966" s="329"/>
      <c r="K1966" s="849"/>
      <c r="L1966" s="317">
        <f t="shared" si="1441"/>
        <v>0</v>
      </c>
      <c r="M1966" s="317"/>
      <c r="N1966" s="372">
        <f t="shared" si="1446"/>
        <v>0</v>
      </c>
      <c r="O1966" s="319">
        <f>L1966*1.1</f>
        <v>0</v>
      </c>
      <c r="P1966" s="319">
        <f t="shared" si="1460"/>
        <v>0</v>
      </c>
      <c r="R1966" s="317"/>
      <c r="U1966" s="320"/>
    </row>
    <row r="1967" spans="1:21" s="344" customFormat="1" outlineLevel="1">
      <c r="A1967" s="860" t="s">
        <v>144</v>
      </c>
      <c r="B1967" s="404" t="s">
        <v>146</v>
      </c>
      <c r="C1967" s="404" t="s">
        <v>417</v>
      </c>
      <c r="D1967" s="404"/>
      <c r="E1967" s="406">
        <v>0</v>
      </c>
      <c r="F1967" s="406">
        <v>0</v>
      </c>
      <c r="G1967" s="406">
        <v>0</v>
      </c>
      <c r="H1967" s="406">
        <v>0</v>
      </c>
      <c r="I1967" s="406">
        <v>0</v>
      </c>
      <c r="J1967" s="406"/>
      <c r="K1967" s="849"/>
      <c r="L1967" s="317">
        <f t="shared" si="1441"/>
        <v>0</v>
      </c>
      <c r="M1967" s="317"/>
      <c r="N1967" s="372">
        <f t="shared" si="1446"/>
        <v>0</v>
      </c>
      <c r="O1967" s="406">
        <v>0</v>
      </c>
      <c r="P1967" s="406">
        <v>0</v>
      </c>
      <c r="R1967" s="317"/>
      <c r="U1967" s="320"/>
    </row>
    <row r="1968" spans="1:21" s="344" customFormat="1" outlineLevel="2">
      <c r="A1968" s="404"/>
      <c r="B1968" s="404"/>
      <c r="C1968" s="403">
        <v>2210300</v>
      </c>
      <c r="D1968" s="404" t="s">
        <v>24</v>
      </c>
      <c r="E1968" s="772">
        <f>E1969</f>
        <v>1370000</v>
      </c>
      <c r="F1968" s="772">
        <f t="shared" ref="F1968:P1968" si="1462">F1969</f>
        <v>0</v>
      </c>
      <c r="G1968" s="772">
        <f t="shared" si="1462"/>
        <v>0</v>
      </c>
      <c r="H1968" s="772">
        <f t="shared" si="1462"/>
        <v>0</v>
      </c>
      <c r="I1968" s="772">
        <f t="shared" si="1462"/>
        <v>1370000</v>
      </c>
      <c r="J1968" s="772">
        <f t="shared" si="1462"/>
        <v>0</v>
      </c>
      <c r="K1968" s="772">
        <f t="shared" si="1462"/>
        <v>300000</v>
      </c>
      <c r="L1968" s="317">
        <f t="shared" si="1441"/>
        <v>1670000</v>
      </c>
      <c r="M1968" s="317"/>
      <c r="N1968" s="372">
        <f t="shared" si="1446"/>
        <v>-300000</v>
      </c>
      <c r="O1968" s="772">
        <f t="shared" si="1462"/>
        <v>1837000.0000000002</v>
      </c>
      <c r="P1968" s="772">
        <f t="shared" si="1462"/>
        <v>2020700.0000000005</v>
      </c>
      <c r="R1968" s="317"/>
      <c r="U1968" s="320"/>
    </row>
    <row r="1969" spans="1:21" s="344" customFormat="1" outlineLevel="2">
      <c r="A1969" s="402"/>
      <c r="B1969" s="402"/>
      <c r="C1969" s="401">
        <v>2210303</v>
      </c>
      <c r="D1969" s="402" t="s">
        <v>27</v>
      </c>
      <c r="E1969" s="778">
        <f>870000+500000</f>
        <v>1370000</v>
      </c>
      <c r="F1969" s="333"/>
      <c r="G1969" s="333"/>
      <c r="H1969" s="333"/>
      <c r="I1969" s="324">
        <f t="shared" si="1448"/>
        <v>1370000</v>
      </c>
      <c r="J1969" s="333"/>
      <c r="K1969" s="850">
        <v>300000</v>
      </c>
      <c r="L1969" s="317">
        <f t="shared" si="1441"/>
        <v>1670000</v>
      </c>
      <c r="M1969" s="317"/>
      <c r="N1969" s="372">
        <f t="shared" si="1446"/>
        <v>-300000</v>
      </c>
      <c r="O1969" s="710">
        <f>L1969*1.1</f>
        <v>1837000.0000000002</v>
      </c>
      <c r="P1969" s="710">
        <f t="shared" ref="P1969" si="1463">O1969*1.1</f>
        <v>2020700.0000000005</v>
      </c>
      <c r="R1969" s="317"/>
      <c r="U1969" s="320"/>
    </row>
    <row r="1970" spans="1:21" s="344" customFormat="1" outlineLevel="1">
      <c r="A1970" s="859"/>
      <c r="B1970" s="859"/>
      <c r="C1970" s="829" t="s">
        <v>99</v>
      </c>
      <c r="D1970" s="859"/>
      <c r="E1970" s="461">
        <f>E1968</f>
        <v>1370000</v>
      </c>
      <c r="F1970" s="461">
        <f t="shared" ref="F1970:K1970" si="1464">F1968</f>
        <v>0</v>
      </c>
      <c r="G1970" s="461">
        <f t="shared" si="1464"/>
        <v>0</v>
      </c>
      <c r="H1970" s="461">
        <f t="shared" si="1464"/>
        <v>0</v>
      </c>
      <c r="I1970" s="461">
        <f t="shared" si="1464"/>
        <v>1370000</v>
      </c>
      <c r="J1970" s="461">
        <f t="shared" si="1464"/>
        <v>0</v>
      </c>
      <c r="K1970" s="461">
        <f t="shared" si="1464"/>
        <v>300000</v>
      </c>
      <c r="L1970" s="317">
        <f t="shared" si="1441"/>
        <v>1670000</v>
      </c>
      <c r="M1970" s="317"/>
      <c r="N1970" s="372">
        <f t="shared" si="1446"/>
        <v>-300000</v>
      </c>
      <c r="O1970" s="461">
        <f t="shared" ref="O1970:P1970" si="1465">O1968</f>
        <v>1837000.0000000002</v>
      </c>
      <c r="P1970" s="461">
        <f t="shared" si="1465"/>
        <v>2020700.0000000005</v>
      </c>
      <c r="R1970" s="317"/>
      <c r="U1970" s="320"/>
    </row>
    <row r="1971" spans="1:21" s="344" customFormat="1" outlineLevel="1">
      <c r="A1971" s="404"/>
      <c r="B1971" s="404"/>
      <c r="C1971" s="403" t="s">
        <v>418</v>
      </c>
      <c r="D1971" s="404"/>
      <c r="E1971" s="329">
        <f>E1970</f>
        <v>1370000</v>
      </c>
      <c r="F1971" s="329">
        <f t="shared" ref="F1971:K1971" si="1466">F1970</f>
        <v>0</v>
      </c>
      <c r="G1971" s="329">
        <f t="shared" si="1466"/>
        <v>0</v>
      </c>
      <c r="H1971" s="329">
        <f t="shared" si="1466"/>
        <v>0</v>
      </c>
      <c r="I1971" s="329">
        <f t="shared" si="1466"/>
        <v>1370000</v>
      </c>
      <c r="J1971" s="329">
        <f t="shared" si="1466"/>
        <v>0</v>
      </c>
      <c r="K1971" s="329">
        <f t="shared" si="1466"/>
        <v>300000</v>
      </c>
      <c r="L1971" s="317">
        <f t="shared" si="1441"/>
        <v>1670000</v>
      </c>
      <c r="M1971" s="317"/>
      <c r="N1971" s="372">
        <f t="shared" si="1446"/>
        <v>-300000</v>
      </c>
      <c r="O1971" s="329">
        <f t="shared" ref="O1971:P1971" si="1467">O1970</f>
        <v>1837000.0000000002</v>
      </c>
      <c r="P1971" s="329">
        <f t="shared" si="1467"/>
        <v>2020700.0000000005</v>
      </c>
      <c r="R1971" s="317"/>
      <c r="U1971" s="320"/>
    </row>
    <row r="1972" spans="1:21" s="344" customFormat="1" outlineLevel="1">
      <c r="A1972" s="404"/>
      <c r="B1972" s="404"/>
      <c r="C1972" s="403"/>
      <c r="D1972" s="404"/>
      <c r="E1972" s="406">
        <v>0</v>
      </c>
      <c r="F1972" s="329"/>
      <c r="G1972" s="329"/>
      <c r="H1972" s="329"/>
      <c r="I1972" s="324">
        <f t="shared" si="1448"/>
        <v>0</v>
      </c>
      <c r="J1972" s="329"/>
      <c r="K1972" s="849"/>
      <c r="L1972" s="317">
        <f t="shared" si="1441"/>
        <v>0</v>
      </c>
      <c r="M1972" s="317"/>
      <c r="N1972" s="372">
        <f t="shared" si="1446"/>
        <v>0</v>
      </c>
      <c r="O1972" s="319">
        <f>L1972*1.1</f>
        <v>0</v>
      </c>
      <c r="P1972" s="319">
        <f t="shared" ref="P1972:P1991" si="1468">O1972*1.1</f>
        <v>0</v>
      </c>
      <c r="R1972" s="317"/>
      <c r="U1972" s="320"/>
    </row>
    <row r="1973" spans="1:21" s="344" customFormat="1" outlineLevel="1">
      <c r="A1973" s="860" t="s">
        <v>144</v>
      </c>
      <c r="B1973" s="404" t="s">
        <v>146</v>
      </c>
      <c r="C1973" s="401"/>
      <c r="D1973" s="402"/>
      <c r="E1973" s="406">
        <v>0</v>
      </c>
      <c r="F1973" s="333"/>
      <c r="G1973" s="333"/>
      <c r="H1973" s="333"/>
      <c r="I1973" s="324">
        <f t="shared" si="1448"/>
        <v>0</v>
      </c>
      <c r="J1973" s="333"/>
      <c r="K1973" s="849"/>
      <c r="L1973" s="317">
        <f t="shared" si="1441"/>
        <v>0</v>
      </c>
      <c r="M1973" s="317"/>
      <c r="N1973" s="372">
        <f t="shared" si="1446"/>
        <v>0</v>
      </c>
      <c r="O1973" s="319">
        <f>L1973*1.1</f>
        <v>0</v>
      </c>
      <c r="P1973" s="319">
        <f t="shared" si="1468"/>
        <v>0</v>
      </c>
      <c r="R1973" s="317"/>
      <c r="U1973" s="320"/>
    </row>
    <row r="1974" spans="1:21" s="344" customFormat="1" outlineLevel="1">
      <c r="A1974" s="402"/>
      <c r="B1974" s="402"/>
      <c r="C1974" s="860" t="s">
        <v>419</v>
      </c>
      <c r="D1974" s="402"/>
      <c r="E1974" s="406">
        <v>0</v>
      </c>
      <c r="F1974" s="333"/>
      <c r="G1974" s="333"/>
      <c r="H1974" s="333"/>
      <c r="I1974" s="324">
        <f t="shared" si="1448"/>
        <v>0</v>
      </c>
      <c r="J1974" s="333"/>
      <c r="K1974" s="849"/>
      <c r="L1974" s="317">
        <f t="shared" si="1441"/>
        <v>0</v>
      </c>
      <c r="M1974" s="317"/>
      <c r="N1974" s="372">
        <f t="shared" si="1446"/>
        <v>0</v>
      </c>
      <c r="O1974" s="319">
        <f>L1974*1.1</f>
        <v>0</v>
      </c>
      <c r="P1974" s="319">
        <f t="shared" si="1468"/>
        <v>0</v>
      </c>
      <c r="R1974" s="317"/>
      <c r="U1974" s="320"/>
    </row>
    <row r="1975" spans="1:21" s="344" customFormat="1" outlineLevel="1">
      <c r="A1975" s="402"/>
      <c r="B1975" s="402"/>
      <c r="C1975" s="859" t="s">
        <v>420</v>
      </c>
      <c r="D1975" s="402"/>
      <c r="E1975" s="406"/>
      <c r="F1975" s="333"/>
      <c r="G1975" s="333"/>
      <c r="H1975" s="333"/>
      <c r="I1975" s="324">
        <f t="shared" si="1448"/>
        <v>0</v>
      </c>
      <c r="J1975" s="333"/>
      <c r="K1975" s="849"/>
      <c r="L1975" s="317">
        <f t="shared" si="1441"/>
        <v>0</v>
      </c>
      <c r="M1975" s="317"/>
      <c r="N1975" s="372">
        <f t="shared" si="1446"/>
        <v>0</v>
      </c>
      <c r="O1975" s="319">
        <f>L1975*1.1</f>
        <v>0</v>
      </c>
      <c r="P1975" s="319">
        <f t="shared" si="1468"/>
        <v>0</v>
      </c>
      <c r="R1975" s="317"/>
      <c r="U1975" s="320"/>
    </row>
    <row r="1976" spans="1:21" outlineLevel="2">
      <c r="A1976" s="404"/>
      <c r="B1976" s="860"/>
      <c r="C1976" s="860" t="s">
        <v>421</v>
      </c>
      <c r="D1976" s="404" t="s">
        <v>422</v>
      </c>
      <c r="E1976" s="772">
        <f>E1977+E1978+E1979+E1980+E1981+E1982+E1983+E1984+E1985+E1986+E1987+E1988+E1989+E1990+E1991+E1992+E1993</f>
        <v>349999999.79869449</v>
      </c>
      <c r="F1976" s="772">
        <f t="shared" ref="F1976:K1976" si="1469">F1977+F1978+F1979+F1980+F1981+F1982+F1983+F1984+F1985+F1986+F1987+F1988+F1989+F1990+F1991+F1992+F1993</f>
        <v>0</v>
      </c>
      <c r="G1976" s="772">
        <f t="shared" si="1469"/>
        <v>0</v>
      </c>
      <c r="H1976" s="772">
        <f t="shared" si="1469"/>
        <v>0</v>
      </c>
      <c r="I1976" s="772">
        <f t="shared" si="1469"/>
        <v>349999999.79869449</v>
      </c>
      <c r="J1976" s="772">
        <f t="shared" si="1469"/>
        <v>0</v>
      </c>
      <c r="K1976" s="772">
        <f t="shared" si="1469"/>
        <v>0</v>
      </c>
      <c r="L1976" s="317">
        <f t="shared" si="1441"/>
        <v>349999999.79869449</v>
      </c>
      <c r="M1976" s="317"/>
      <c r="N1976" s="372">
        <f t="shared" si="1446"/>
        <v>0</v>
      </c>
      <c r="O1976" s="772">
        <f t="shared" ref="O1976:P1976" si="1470">O1977+O1978+O1979+O1980+O1981+O1982+O1983+O1984+O1985+O1986+O1987+O1988+O1989+O1990+O1991+O1992+O1993</f>
        <v>384999999.77856398</v>
      </c>
      <c r="P1976" s="772">
        <f t="shared" si="1470"/>
        <v>423499999.75642043</v>
      </c>
      <c r="R1976" s="317"/>
      <c r="U1976" s="320"/>
    </row>
    <row r="1977" spans="1:21" s="344" customFormat="1" outlineLevel="2">
      <c r="A1977" s="404"/>
      <c r="B1977" s="404"/>
      <c r="C1977" s="860" t="s">
        <v>423</v>
      </c>
      <c r="D1977" s="332" t="s">
        <v>424</v>
      </c>
      <c r="E1977" s="885">
        <f>119781570.039282+569965-7000000-4000000-1000000+1956329</f>
        <v>110307864.03928199</v>
      </c>
      <c r="F1977" s="334"/>
      <c r="G1977" s="334"/>
      <c r="H1977" s="334"/>
      <c r="I1977" s="324">
        <f t="shared" si="1448"/>
        <v>110307864.03928199</v>
      </c>
      <c r="J1977" s="334"/>
      <c r="K1977" s="850"/>
      <c r="L1977" s="317">
        <f t="shared" si="1441"/>
        <v>110307864.03928199</v>
      </c>
      <c r="M1977" s="317"/>
      <c r="N1977" s="372">
        <f t="shared" si="1446"/>
        <v>0</v>
      </c>
      <c r="O1977" s="319">
        <f t="shared" ref="O1977:O1987" si="1471">L1977*1.1</f>
        <v>121338650.4432102</v>
      </c>
      <c r="P1977" s="319">
        <f t="shared" si="1468"/>
        <v>133472515.48753123</v>
      </c>
      <c r="R1977" s="317"/>
      <c r="U1977" s="320"/>
    </row>
    <row r="1978" spans="1:21" s="344" customFormat="1" outlineLevel="2">
      <c r="A1978" s="404"/>
      <c r="B1978" s="404"/>
      <c r="C1978" s="860" t="s">
        <v>1616</v>
      </c>
      <c r="D1978" s="332" t="s">
        <v>2433</v>
      </c>
      <c r="E1978" s="885">
        <f>8000000-800000+129999</f>
        <v>7329999</v>
      </c>
      <c r="F1978" s="334"/>
      <c r="G1978" s="334"/>
      <c r="H1978" s="334"/>
      <c r="I1978" s="324">
        <f t="shared" si="1448"/>
        <v>7329999</v>
      </c>
      <c r="J1978" s="334"/>
      <c r="K1978" s="849"/>
      <c r="L1978" s="317">
        <f t="shared" si="1441"/>
        <v>7329999</v>
      </c>
      <c r="M1978" s="317"/>
      <c r="N1978" s="372">
        <f t="shared" si="1446"/>
        <v>0</v>
      </c>
      <c r="O1978" s="319">
        <f t="shared" si="1471"/>
        <v>8062998.9000000004</v>
      </c>
      <c r="P1978" s="319">
        <f t="shared" si="1468"/>
        <v>8869298.790000001</v>
      </c>
      <c r="R1978" s="317"/>
      <c r="U1978" s="320"/>
    </row>
    <row r="1979" spans="1:21" s="344" customFormat="1" outlineLevel="2">
      <c r="A1979" s="404"/>
      <c r="B1979" s="404"/>
      <c r="C1979" s="860" t="s">
        <v>423</v>
      </c>
      <c r="D1979" s="332" t="s">
        <v>425</v>
      </c>
      <c r="E1979" s="885">
        <f>2700000*12-2000000-1000000+530828</f>
        <v>29930828</v>
      </c>
      <c r="F1979" s="334"/>
      <c r="G1979" s="334"/>
      <c r="H1979" s="334"/>
      <c r="I1979" s="324">
        <f t="shared" si="1448"/>
        <v>29930828</v>
      </c>
      <c r="J1979" s="334"/>
      <c r="K1979" s="849"/>
      <c r="L1979" s="317">
        <f t="shared" si="1441"/>
        <v>29930828</v>
      </c>
      <c r="M1979" s="317"/>
      <c r="N1979" s="372">
        <f t="shared" si="1446"/>
        <v>0</v>
      </c>
      <c r="O1979" s="319">
        <f t="shared" si="1471"/>
        <v>32923910.800000004</v>
      </c>
      <c r="P1979" s="319">
        <f t="shared" si="1468"/>
        <v>36216301.88000001</v>
      </c>
      <c r="R1979" s="317"/>
      <c r="U1979" s="320"/>
    </row>
    <row r="1980" spans="1:21" s="344" customFormat="1" outlineLevel="2">
      <c r="A1980" s="404"/>
      <c r="B1980" s="404"/>
      <c r="C1980" s="860" t="s">
        <v>423</v>
      </c>
      <c r="D1980" s="332" t="s">
        <v>426</v>
      </c>
      <c r="E1980" s="885">
        <f>9000000*12-6000000-3000000-1000000+1769428</f>
        <v>99769428</v>
      </c>
      <c r="F1980" s="334"/>
      <c r="G1980" s="334"/>
      <c r="H1980" s="334"/>
      <c r="I1980" s="324">
        <f t="shared" si="1448"/>
        <v>99769428</v>
      </c>
      <c r="J1980" s="334"/>
      <c r="K1980" s="850"/>
      <c r="L1980" s="317">
        <f t="shared" si="1441"/>
        <v>99769428</v>
      </c>
      <c r="M1980" s="317"/>
      <c r="N1980" s="372">
        <f t="shared" si="1446"/>
        <v>0</v>
      </c>
      <c r="O1980" s="319">
        <f t="shared" si="1471"/>
        <v>109746370.80000001</v>
      </c>
      <c r="P1980" s="319">
        <f t="shared" si="1468"/>
        <v>120721007.88000003</v>
      </c>
      <c r="R1980" s="317"/>
      <c r="U1980" s="320"/>
    </row>
    <row r="1981" spans="1:21" s="344" customFormat="1" outlineLevel="2">
      <c r="A1981" s="404"/>
      <c r="B1981" s="404"/>
      <c r="C1981" s="860" t="s">
        <v>423</v>
      </c>
      <c r="D1981" s="332" t="s">
        <v>2434</v>
      </c>
      <c r="E1981" s="885">
        <f>10038052-600000-300000-800000+150547</f>
        <v>8488599</v>
      </c>
      <c r="F1981" s="334"/>
      <c r="G1981" s="334"/>
      <c r="H1981" s="334"/>
      <c r="I1981" s="324">
        <f t="shared" si="1448"/>
        <v>8488599</v>
      </c>
      <c r="J1981" s="334"/>
      <c r="K1981" s="849"/>
      <c r="L1981" s="317">
        <f t="shared" si="1441"/>
        <v>8488599</v>
      </c>
      <c r="M1981" s="317"/>
      <c r="N1981" s="372">
        <f t="shared" si="1446"/>
        <v>0</v>
      </c>
      <c r="O1981" s="319">
        <f t="shared" si="1471"/>
        <v>9337458.9000000004</v>
      </c>
      <c r="P1981" s="319">
        <f t="shared" si="1468"/>
        <v>10271204.790000001</v>
      </c>
      <c r="R1981" s="317"/>
      <c r="U1981" s="320"/>
    </row>
    <row r="1982" spans="1:21" s="344" customFormat="1" outlineLevel="2">
      <c r="A1982" s="404"/>
      <c r="B1982" s="404"/>
      <c r="C1982" s="860" t="s">
        <v>423</v>
      </c>
      <c r="D1982" s="332" t="s">
        <v>427</v>
      </c>
      <c r="E1982" s="885">
        <f>15728893.0354613-2000000+247880</f>
        <v>13976773.035461299</v>
      </c>
      <c r="F1982" s="334"/>
      <c r="G1982" s="334"/>
      <c r="H1982" s="334"/>
      <c r="I1982" s="324">
        <f t="shared" si="1448"/>
        <v>13976773.035461299</v>
      </c>
      <c r="J1982" s="334"/>
      <c r="K1982" s="849"/>
      <c r="L1982" s="317">
        <f t="shared" si="1441"/>
        <v>13976773.035461299</v>
      </c>
      <c r="M1982" s="317"/>
      <c r="N1982" s="372">
        <f t="shared" si="1446"/>
        <v>0</v>
      </c>
      <c r="O1982" s="319">
        <f t="shared" si="1471"/>
        <v>15374450.33900743</v>
      </c>
      <c r="P1982" s="319">
        <f t="shared" si="1468"/>
        <v>16911895.372908175</v>
      </c>
      <c r="R1982" s="317"/>
      <c r="U1982" s="320"/>
    </row>
    <row r="1983" spans="1:21" s="344" customFormat="1" outlineLevel="2">
      <c r="A1983" s="404"/>
      <c r="B1983" s="404"/>
      <c r="C1983" s="860" t="s">
        <v>423</v>
      </c>
      <c r="D1983" s="332" t="s">
        <v>428</v>
      </c>
      <c r="E1983" s="885">
        <f>6533540.18396083-200000-500000+105327</f>
        <v>5938867.1839608299</v>
      </c>
      <c r="F1983" s="334"/>
      <c r="G1983" s="334"/>
      <c r="H1983" s="334"/>
      <c r="I1983" s="324">
        <f t="shared" si="1448"/>
        <v>5938867.1839608299</v>
      </c>
      <c r="J1983" s="334"/>
      <c r="K1983" s="849"/>
      <c r="L1983" s="317">
        <f t="shared" si="1441"/>
        <v>5938867.1839608299</v>
      </c>
      <c r="M1983" s="317"/>
      <c r="N1983" s="372">
        <f t="shared" si="1446"/>
        <v>0</v>
      </c>
      <c r="O1983" s="319">
        <f t="shared" si="1471"/>
        <v>6532753.9023569133</v>
      </c>
      <c r="P1983" s="319">
        <f t="shared" si="1468"/>
        <v>7186029.2925926056</v>
      </c>
      <c r="R1983" s="317"/>
      <c r="U1983" s="320"/>
    </row>
    <row r="1984" spans="1:21" s="344" customFormat="1" outlineLevel="2">
      <c r="A1984" s="404"/>
      <c r="B1984" s="404"/>
      <c r="C1984" s="860" t="s">
        <v>423</v>
      </c>
      <c r="D1984" s="332" t="s">
        <v>429</v>
      </c>
      <c r="E1984" s="885">
        <f>6775523.15373716-300000-500000+107890</f>
        <v>6083413.1537371604</v>
      </c>
      <c r="F1984" s="334"/>
      <c r="G1984" s="334"/>
      <c r="H1984" s="334"/>
      <c r="I1984" s="324">
        <f t="shared" si="1448"/>
        <v>6083413.1537371604</v>
      </c>
      <c r="J1984" s="334"/>
      <c r="K1984" s="849"/>
      <c r="L1984" s="317">
        <f t="shared" si="1441"/>
        <v>6083413.1537371604</v>
      </c>
      <c r="M1984" s="317"/>
      <c r="N1984" s="372">
        <f t="shared" si="1446"/>
        <v>0</v>
      </c>
      <c r="O1984" s="319">
        <f t="shared" si="1471"/>
        <v>6691754.4691108773</v>
      </c>
      <c r="P1984" s="319">
        <f t="shared" si="1468"/>
        <v>7360929.9160219654</v>
      </c>
      <c r="R1984" s="317"/>
      <c r="U1984" s="320"/>
    </row>
    <row r="1985" spans="1:21" s="344" customFormat="1" outlineLevel="2">
      <c r="A1985" s="404"/>
      <c r="B1985" s="404"/>
      <c r="C1985" s="860" t="s">
        <v>423</v>
      </c>
      <c r="D1985" s="332" t="s">
        <v>430</v>
      </c>
      <c r="E1985" s="885">
        <f>6049574.24440818-500000+100200</f>
        <v>5649774.24440818</v>
      </c>
      <c r="F1985" s="334"/>
      <c r="G1985" s="334"/>
      <c r="H1985" s="334"/>
      <c r="I1985" s="324">
        <f t="shared" si="1448"/>
        <v>5649774.24440818</v>
      </c>
      <c r="J1985" s="334"/>
      <c r="K1985" s="849"/>
      <c r="L1985" s="317">
        <f t="shared" si="1441"/>
        <v>5649774.24440818</v>
      </c>
      <c r="M1985" s="317"/>
      <c r="N1985" s="372">
        <f t="shared" si="1446"/>
        <v>0</v>
      </c>
      <c r="O1985" s="319">
        <f t="shared" si="1471"/>
        <v>6214751.6688489988</v>
      </c>
      <c r="P1985" s="319">
        <f t="shared" si="1468"/>
        <v>6836226.8357338989</v>
      </c>
      <c r="R1985" s="317"/>
      <c r="U1985" s="320"/>
    </row>
    <row r="1986" spans="1:21" s="344" customFormat="1" outlineLevel="2">
      <c r="A1986" s="404"/>
      <c r="B1986" s="404"/>
      <c r="C1986" s="860" t="s">
        <v>423</v>
      </c>
      <c r="D1986" s="332" t="s">
        <v>431</v>
      </c>
      <c r="E1986" s="885">
        <f>6049574.24440818+109227</f>
        <v>6158801.24440818</v>
      </c>
      <c r="F1986" s="334"/>
      <c r="G1986" s="334"/>
      <c r="H1986" s="334"/>
      <c r="I1986" s="324">
        <f t="shared" si="1448"/>
        <v>6158801.24440818</v>
      </c>
      <c r="J1986" s="334"/>
      <c r="K1986" s="849"/>
      <c r="L1986" s="317">
        <f t="shared" si="1441"/>
        <v>6158801.24440818</v>
      </c>
      <c r="M1986" s="317"/>
      <c r="N1986" s="372">
        <f t="shared" si="1446"/>
        <v>0</v>
      </c>
      <c r="O1986" s="319">
        <f t="shared" si="1471"/>
        <v>6774681.3688489981</v>
      </c>
      <c r="P1986" s="319">
        <f t="shared" si="1468"/>
        <v>7452149.5057338988</v>
      </c>
      <c r="R1986" s="317"/>
      <c r="U1986" s="320"/>
    </row>
    <row r="1987" spans="1:21" s="344" customFormat="1" outlineLevel="2">
      <c r="A1987" s="404"/>
      <c r="B1987" s="404"/>
      <c r="C1987" s="860" t="s">
        <v>423</v>
      </c>
      <c r="D1987" s="332" t="s">
        <v>432</v>
      </c>
      <c r="E1987" s="885">
        <f>6049574.24440818-500000+100200</f>
        <v>5649774.24440818</v>
      </c>
      <c r="F1987" s="334"/>
      <c r="G1987" s="334"/>
      <c r="H1987" s="334"/>
      <c r="I1987" s="324">
        <f t="shared" si="1448"/>
        <v>5649774.24440818</v>
      </c>
      <c r="J1987" s="334"/>
      <c r="K1987" s="849"/>
      <c r="L1987" s="317">
        <f t="shared" si="1441"/>
        <v>5649774.24440818</v>
      </c>
      <c r="M1987" s="317"/>
      <c r="N1987" s="372">
        <f t="shared" si="1446"/>
        <v>0</v>
      </c>
      <c r="O1987" s="319">
        <f t="shared" si="1471"/>
        <v>6214751.6688489988</v>
      </c>
      <c r="P1987" s="319">
        <f t="shared" si="1468"/>
        <v>6836226.8357338989</v>
      </c>
      <c r="R1987" s="317"/>
      <c r="U1987" s="320"/>
    </row>
    <row r="1988" spans="1:21" s="344" customFormat="1" outlineLevel="2">
      <c r="A1988" s="404"/>
      <c r="B1988" s="404"/>
      <c r="C1988" s="860" t="s">
        <v>423</v>
      </c>
      <c r="D1988" s="332" t="s">
        <v>433</v>
      </c>
      <c r="E1988" s="885">
        <f>7259489.09328981+131073</f>
        <v>7390562.0932898102</v>
      </c>
      <c r="F1988" s="334"/>
      <c r="G1988" s="334"/>
      <c r="H1988" s="334"/>
      <c r="I1988" s="324">
        <f t="shared" si="1448"/>
        <v>7390562.0932898102</v>
      </c>
      <c r="J1988" s="334"/>
      <c r="K1988" s="849"/>
      <c r="L1988" s="317">
        <f t="shared" ref="L1988:L2052" si="1472">I1988+J1988+K1988</f>
        <v>7390562.0932898102</v>
      </c>
      <c r="M1988" s="317"/>
      <c r="N1988" s="372">
        <f t="shared" si="1446"/>
        <v>0</v>
      </c>
      <c r="O1988" s="319">
        <f t="shared" ref="O1988:O1990" si="1473">L1988*1.1</f>
        <v>8129618.3026187923</v>
      </c>
      <c r="P1988" s="319">
        <f t="shared" ref="P1988:P1990" si="1474">O1988*1.1</f>
        <v>8942580.1328806728</v>
      </c>
      <c r="R1988" s="317"/>
      <c r="U1988" s="320"/>
    </row>
    <row r="1989" spans="1:21" s="344" customFormat="1" outlineLevel="2">
      <c r="A1989" s="404"/>
      <c r="B1989" s="404"/>
      <c r="C1989" s="860" t="s">
        <v>423</v>
      </c>
      <c r="D1989" s="332" t="s">
        <v>434</v>
      </c>
      <c r="E1989" s="885">
        <f>7259489.09328981+131073</f>
        <v>7390562.0932898102</v>
      </c>
      <c r="F1989" s="334"/>
      <c r="G1989" s="334"/>
      <c r="H1989" s="334"/>
      <c r="I1989" s="324">
        <f t="shared" si="1448"/>
        <v>7390562.0932898102</v>
      </c>
      <c r="J1989" s="334"/>
      <c r="K1989" s="849"/>
      <c r="L1989" s="317">
        <f t="shared" si="1472"/>
        <v>7390562.0932898102</v>
      </c>
      <c r="M1989" s="317"/>
      <c r="N1989" s="372">
        <f t="shared" si="1446"/>
        <v>0</v>
      </c>
      <c r="O1989" s="319">
        <f t="shared" si="1473"/>
        <v>8129618.3026187923</v>
      </c>
      <c r="P1989" s="319">
        <f t="shared" si="1474"/>
        <v>8942580.1328806728</v>
      </c>
      <c r="R1989" s="317"/>
      <c r="U1989" s="320"/>
    </row>
    <row r="1990" spans="1:21" s="344" customFormat="1" outlineLevel="2">
      <c r="A1990" s="404"/>
      <c r="B1990" s="404"/>
      <c r="C1990" s="860" t="s">
        <v>423</v>
      </c>
      <c r="D1990" s="332" t="s">
        <v>435</v>
      </c>
      <c r="E1990" s="885">
        <f>9679318.79105308+174764</f>
        <v>9854082.7910530791</v>
      </c>
      <c r="F1990" s="334"/>
      <c r="G1990" s="334"/>
      <c r="H1990" s="334"/>
      <c r="I1990" s="324">
        <f t="shared" si="1448"/>
        <v>9854082.7910530791</v>
      </c>
      <c r="J1990" s="334"/>
      <c r="K1990" s="849"/>
      <c r="L1990" s="317">
        <f t="shared" si="1472"/>
        <v>9854082.7910530791</v>
      </c>
      <c r="M1990" s="317"/>
      <c r="N1990" s="372">
        <f t="shared" si="1446"/>
        <v>0</v>
      </c>
      <c r="O1990" s="319">
        <f t="shared" si="1473"/>
        <v>10839491.070158388</v>
      </c>
      <c r="P1990" s="319">
        <f t="shared" si="1474"/>
        <v>11923440.177174229</v>
      </c>
      <c r="R1990" s="317"/>
      <c r="U1990" s="320"/>
    </row>
    <row r="1991" spans="1:21" s="344" customFormat="1" outlineLevel="2">
      <c r="A1991" s="404"/>
      <c r="B1991" s="404"/>
      <c r="C1991" s="860" t="s">
        <v>423</v>
      </c>
      <c r="D1991" s="332" t="s">
        <v>436</v>
      </c>
      <c r="E1991" s="885">
        <f>13309063.337698-1000000+222245</f>
        <v>12531308.337698</v>
      </c>
      <c r="F1991" s="334"/>
      <c r="G1991" s="334"/>
      <c r="H1991" s="334"/>
      <c r="I1991" s="324">
        <f t="shared" si="1448"/>
        <v>12531308.337698</v>
      </c>
      <c r="J1991" s="334"/>
      <c r="K1991" s="849"/>
      <c r="L1991" s="317">
        <f t="shared" si="1472"/>
        <v>12531308.337698</v>
      </c>
      <c r="M1991" s="317"/>
      <c r="N1991" s="372">
        <f t="shared" si="1446"/>
        <v>0</v>
      </c>
      <c r="O1991" s="319">
        <f>L1991*1.1</f>
        <v>13784439.1714678</v>
      </c>
      <c r="P1991" s="319">
        <f t="shared" si="1468"/>
        <v>15162883.088614581</v>
      </c>
      <c r="R1991" s="317"/>
      <c r="U1991" s="320"/>
    </row>
    <row r="1992" spans="1:21" s="344" customFormat="1" outlineLevel="2">
      <c r="A1992" s="404"/>
      <c r="B1992" s="404"/>
      <c r="C1992" s="860" t="s">
        <v>423</v>
      </c>
      <c r="D1992" s="332" t="s">
        <v>437</v>
      </c>
      <c r="E1992" s="885">
        <f>7259489.09328981+131073</f>
        <v>7390562.0932898102</v>
      </c>
      <c r="F1992" s="334"/>
      <c r="G1992" s="334"/>
      <c r="H1992" s="334"/>
      <c r="I1992" s="324">
        <f t="shared" ref="I1992:I2056" si="1475">E1992+F1992+G1992+H1992</f>
        <v>7390562.0932898102</v>
      </c>
      <c r="J1992" s="334"/>
      <c r="K1992" s="849"/>
      <c r="L1992" s="317">
        <f t="shared" si="1472"/>
        <v>7390562.0932898102</v>
      </c>
      <c r="M1992" s="317"/>
      <c r="N1992" s="372">
        <f t="shared" ref="N1992:N2056" si="1476">M1992-K1992</f>
        <v>0</v>
      </c>
      <c r="O1992" s="319">
        <f>L1992*1.1</f>
        <v>8129618.3026187923</v>
      </c>
      <c r="P1992" s="319">
        <f t="shared" ref="P1992:P2023" si="1477">O1992*1.1</f>
        <v>8942580.1328806728</v>
      </c>
      <c r="R1992" s="317"/>
      <c r="U1992" s="320"/>
    </row>
    <row r="1993" spans="1:21" s="344" customFormat="1" outlineLevel="2">
      <c r="A1993" s="404"/>
      <c r="B1993" s="404"/>
      <c r="C1993" s="860" t="s">
        <v>423</v>
      </c>
      <c r="D1993" s="332" t="s">
        <v>438</v>
      </c>
      <c r="E1993" s="885">
        <f>6049574.24440818+109227</f>
        <v>6158801.24440818</v>
      </c>
      <c r="F1993" s="334"/>
      <c r="G1993" s="334"/>
      <c r="H1993" s="334"/>
      <c r="I1993" s="324">
        <f t="shared" si="1475"/>
        <v>6158801.24440818</v>
      </c>
      <c r="J1993" s="334"/>
      <c r="K1993" s="849"/>
      <c r="L1993" s="317">
        <f t="shared" si="1472"/>
        <v>6158801.24440818</v>
      </c>
      <c r="M1993" s="317"/>
      <c r="N1993" s="372">
        <f t="shared" si="1476"/>
        <v>0</v>
      </c>
      <c r="O1993" s="319">
        <f>L1993*1.1</f>
        <v>6774681.3688489981</v>
      </c>
      <c r="P1993" s="319">
        <f t="shared" si="1477"/>
        <v>7452149.5057338988</v>
      </c>
      <c r="R1993" s="317"/>
      <c r="U1993" s="320"/>
    </row>
    <row r="1994" spans="1:21" s="344" customFormat="1" outlineLevel="2">
      <c r="A1994" s="404"/>
      <c r="B1994" s="404"/>
      <c r="C1994" s="860"/>
      <c r="D1994" s="332"/>
      <c r="E1994" s="885"/>
      <c r="F1994" s="334"/>
      <c r="G1994" s="334"/>
      <c r="H1994" s="334"/>
      <c r="I1994" s="324">
        <f t="shared" si="1475"/>
        <v>0</v>
      </c>
      <c r="J1994" s="334"/>
      <c r="K1994" s="849"/>
      <c r="L1994" s="317">
        <f t="shared" si="1472"/>
        <v>0</v>
      </c>
      <c r="M1994" s="317"/>
      <c r="N1994" s="372">
        <f t="shared" si="1476"/>
        <v>0</v>
      </c>
      <c r="O1994" s="319"/>
      <c r="P1994" s="319"/>
      <c r="R1994" s="317"/>
      <c r="U1994" s="320"/>
    </row>
    <row r="1995" spans="1:21" s="344" customFormat="1" outlineLevel="2">
      <c r="A1995" s="860" t="s">
        <v>447</v>
      </c>
      <c r="B1995" s="404" t="s">
        <v>146</v>
      </c>
      <c r="C1995" s="403" t="s">
        <v>1619</v>
      </c>
      <c r="D1995" s="401"/>
      <c r="E1995" s="885"/>
      <c r="F1995" s="333"/>
      <c r="G1995" s="333"/>
      <c r="H1995" s="333"/>
      <c r="I1995" s="324">
        <f t="shared" si="1475"/>
        <v>0</v>
      </c>
      <c r="J1995" s="333"/>
      <c r="K1995" s="849"/>
      <c r="L1995" s="317">
        <f t="shared" si="1472"/>
        <v>0</v>
      </c>
      <c r="M1995" s="317"/>
      <c r="N1995" s="372">
        <f t="shared" si="1476"/>
        <v>0</v>
      </c>
      <c r="O1995" s="319"/>
      <c r="P1995" s="319"/>
      <c r="R1995" s="317"/>
      <c r="U1995" s="320"/>
    </row>
    <row r="1996" spans="1:21" s="344" customFormat="1" outlineLevel="2">
      <c r="A1996" s="404"/>
      <c r="B1996" s="404"/>
      <c r="C1996" s="401">
        <v>2640499</v>
      </c>
      <c r="D1996" s="401" t="s">
        <v>450</v>
      </c>
      <c r="E1996" s="778">
        <v>15066000</v>
      </c>
      <c r="F1996" s="333"/>
      <c r="G1996" s="333"/>
      <c r="H1996" s="333"/>
      <c r="I1996" s="324">
        <f t="shared" si="1475"/>
        <v>15066000</v>
      </c>
      <c r="J1996" s="333"/>
      <c r="K1996" s="849"/>
      <c r="L1996" s="317">
        <f>I1996+J1996+K1996</f>
        <v>15066000</v>
      </c>
      <c r="M1996" s="317"/>
      <c r="N1996" s="372">
        <f t="shared" si="1476"/>
        <v>0</v>
      </c>
      <c r="O1996" s="319">
        <f t="shared" ref="O1996:O1998" si="1478">L1996*1.1</f>
        <v>16572600.000000002</v>
      </c>
      <c r="P1996" s="319">
        <f t="shared" ref="P1996:P1998" si="1479">O1996*1.1</f>
        <v>18229860.000000004</v>
      </c>
      <c r="R1996" s="317"/>
      <c r="U1996" s="320"/>
    </row>
    <row r="1997" spans="1:21" s="344" customFormat="1" outlineLevel="2">
      <c r="A1997" s="404"/>
      <c r="B1997" s="404"/>
      <c r="C1997" s="401">
        <v>2640499</v>
      </c>
      <c r="D1997" s="401" t="s">
        <v>2606</v>
      </c>
      <c r="E1997" s="778">
        <v>0</v>
      </c>
      <c r="F1997" s="333"/>
      <c r="G1997" s="778">
        <v>0</v>
      </c>
      <c r="H1997" s="333"/>
      <c r="I1997" s="324">
        <f t="shared" ref="I1997" si="1480">E1997+F1997+G1997+H1997</f>
        <v>0</v>
      </c>
      <c r="J1997" s="333">
        <v>156379117</v>
      </c>
      <c r="K1997" s="850"/>
      <c r="L1997" s="317">
        <f>I1997+J1997+K1997</f>
        <v>156379117</v>
      </c>
      <c r="M1997" s="317"/>
      <c r="N1997" s="372">
        <f t="shared" ref="N1997" si="1481">M1997-K1997</f>
        <v>0</v>
      </c>
      <c r="O1997" s="319">
        <f t="shared" ref="O1997" si="1482">L1997*1.1</f>
        <v>172017028.70000002</v>
      </c>
      <c r="P1997" s="319">
        <f t="shared" ref="P1997" si="1483">O1997*1.1</f>
        <v>189218731.57000002</v>
      </c>
      <c r="R1997" s="317"/>
      <c r="U1997" s="320" t="s">
        <v>1803</v>
      </c>
    </row>
    <row r="1998" spans="1:21" s="344" customFormat="1" outlineLevel="2">
      <c r="A1998" s="404"/>
      <c r="B1998" s="404"/>
      <c r="C1998" s="401">
        <v>2640499</v>
      </c>
      <c r="D1998" s="401" t="s">
        <v>2089</v>
      </c>
      <c r="E1998" s="778">
        <v>34590250</v>
      </c>
      <c r="F1998" s="333"/>
      <c r="G1998" s="778">
        <v>5935995</v>
      </c>
      <c r="H1998" s="333"/>
      <c r="I1998" s="324">
        <f t="shared" si="1475"/>
        <v>40526245</v>
      </c>
      <c r="J1998" s="333">
        <v>-2000000</v>
      </c>
      <c r="K1998" s="850"/>
      <c r="L1998" s="317">
        <f t="shared" si="1472"/>
        <v>38526245</v>
      </c>
      <c r="M1998" s="317"/>
      <c r="N1998" s="372">
        <f t="shared" si="1476"/>
        <v>0</v>
      </c>
      <c r="O1998" s="319">
        <f t="shared" si="1478"/>
        <v>42378869.5</v>
      </c>
      <c r="P1998" s="319">
        <f t="shared" si="1479"/>
        <v>46616756.450000003</v>
      </c>
      <c r="R1998" s="317"/>
      <c r="U1998" s="320" t="s">
        <v>1803</v>
      </c>
    </row>
    <row r="1999" spans="1:21" s="344" customFormat="1" outlineLevel="2">
      <c r="A1999" s="404"/>
      <c r="B1999" s="404"/>
      <c r="C1999" s="403" t="s">
        <v>929</v>
      </c>
      <c r="D1999" s="401"/>
      <c r="E1999" s="772">
        <f>E1996+E1998+E1997</f>
        <v>49656250</v>
      </c>
      <c r="F1999" s="772">
        <f t="shared" ref="F1999:K1999" si="1484">F1996+F1998+F1997</f>
        <v>0</v>
      </c>
      <c r="G1999" s="772">
        <f t="shared" si="1484"/>
        <v>5935995</v>
      </c>
      <c r="H1999" s="772">
        <f t="shared" si="1484"/>
        <v>0</v>
      </c>
      <c r="I1999" s="772">
        <f t="shared" si="1484"/>
        <v>55592245</v>
      </c>
      <c r="J1999" s="772">
        <f t="shared" si="1484"/>
        <v>154379117</v>
      </c>
      <c r="K1999" s="772">
        <f t="shared" si="1484"/>
        <v>0</v>
      </c>
      <c r="L1999" s="772">
        <f>L1996+L1998+L1997</f>
        <v>209971362</v>
      </c>
      <c r="M1999" s="317"/>
      <c r="N1999" s="372">
        <f t="shared" si="1476"/>
        <v>0</v>
      </c>
      <c r="O1999" s="772">
        <f t="shared" ref="O1999:P1999" si="1485">O1996+O1998</f>
        <v>58951469.5</v>
      </c>
      <c r="P1999" s="772">
        <f t="shared" si="1485"/>
        <v>64846616.450000003</v>
      </c>
      <c r="R1999" s="317"/>
      <c r="U1999" s="320"/>
    </row>
    <row r="2000" spans="1:21" s="344" customFormat="1" outlineLevel="2">
      <c r="A2000" s="404"/>
      <c r="B2000" s="404"/>
      <c r="C2000" s="860"/>
      <c r="D2000" s="332"/>
      <c r="E2000" s="885"/>
      <c r="F2000" s="334"/>
      <c r="G2000" s="334"/>
      <c r="H2000" s="334"/>
      <c r="I2000" s="324">
        <f t="shared" si="1475"/>
        <v>0</v>
      </c>
      <c r="J2000" s="334"/>
      <c r="K2000" s="849"/>
      <c r="L2000" s="317">
        <f t="shared" si="1472"/>
        <v>0</v>
      </c>
      <c r="M2000" s="317"/>
      <c r="N2000" s="372">
        <f t="shared" si="1476"/>
        <v>0</v>
      </c>
      <c r="O2000" s="319"/>
      <c r="P2000" s="319"/>
      <c r="R2000" s="317"/>
      <c r="U2000" s="320"/>
    </row>
    <row r="2001" spans="1:21" s="344" customFormat="1" outlineLevel="2">
      <c r="A2001" s="860" t="s">
        <v>447</v>
      </c>
      <c r="B2001" s="404" t="s">
        <v>146</v>
      </c>
      <c r="C2001" s="340" t="s">
        <v>446</v>
      </c>
      <c r="D2001" s="332"/>
      <c r="E2001" s="885"/>
      <c r="F2001" s="334"/>
      <c r="G2001" s="334"/>
      <c r="H2001" s="334"/>
      <c r="I2001" s="324">
        <f t="shared" si="1475"/>
        <v>0</v>
      </c>
      <c r="J2001" s="334"/>
      <c r="K2001" s="849"/>
      <c r="L2001" s="317">
        <f t="shared" si="1472"/>
        <v>0</v>
      </c>
      <c r="M2001" s="317"/>
      <c r="N2001" s="372">
        <f t="shared" si="1476"/>
        <v>0</v>
      </c>
      <c r="O2001" s="319"/>
      <c r="P2001" s="319"/>
      <c r="R2001" s="317"/>
      <c r="U2001" s="320"/>
    </row>
    <row r="2002" spans="1:21" s="344" customFormat="1" outlineLevel="2">
      <c r="A2002" s="404"/>
      <c r="B2002" s="404"/>
      <c r="C2002" s="401">
        <v>2640503</v>
      </c>
      <c r="D2002" s="401" t="s">
        <v>1620</v>
      </c>
      <c r="E2002" s="778">
        <v>10044000</v>
      </c>
      <c r="F2002" s="778">
        <v>315558</v>
      </c>
      <c r="G2002" s="333"/>
      <c r="H2002" s="333"/>
      <c r="I2002" s="324">
        <f t="shared" si="1475"/>
        <v>10359558</v>
      </c>
      <c r="J2002" s="333"/>
      <c r="K2002" s="849"/>
      <c r="L2002" s="317">
        <f t="shared" si="1472"/>
        <v>10359558</v>
      </c>
      <c r="M2002" s="317"/>
      <c r="N2002" s="372">
        <f t="shared" si="1476"/>
        <v>0</v>
      </c>
      <c r="O2002" s="319">
        <f t="shared" ref="O2002" si="1486">L2002*1.1</f>
        <v>11395513.800000001</v>
      </c>
      <c r="P2002" s="319">
        <f t="shared" ref="P2002" si="1487">O2002*1.1</f>
        <v>12535065.180000002</v>
      </c>
      <c r="R2002" s="317"/>
      <c r="U2002" s="320"/>
    </row>
    <row r="2003" spans="1:21" s="344" customFormat="1" outlineLevel="2">
      <c r="A2003" s="404"/>
      <c r="B2003" s="404"/>
      <c r="C2003" s="835" t="s">
        <v>449</v>
      </c>
      <c r="D2003" s="835"/>
      <c r="E2003" s="886">
        <f>E2002</f>
        <v>10044000</v>
      </c>
      <c r="F2003" s="886">
        <f t="shared" ref="F2003:K2003" si="1488">F2002</f>
        <v>315558</v>
      </c>
      <c r="G2003" s="886">
        <f t="shared" si="1488"/>
        <v>0</v>
      </c>
      <c r="H2003" s="886">
        <f t="shared" si="1488"/>
        <v>0</v>
      </c>
      <c r="I2003" s="886">
        <f t="shared" si="1488"/>
        <v>10359558</v>
      </c>
      <c r="J2003" s="886">
        <f t="shared" si="1488"/>
        <v>0</v>
      </c>
      <c r="K2003" s="886">
        <f t="shared" si="1488"/>
        <v>0</v>
      </c>
      <c r="L2003" s="317">
        <f t="shared" si="1472"/>
        <v>10359558</v>
      </c>
      <c r="M2003" s="317"/>
      <c r="N2003" s="372">
        <f t="shared" si="1476"/>
        <v>0</v>
      </c>
      <c r="O2003" s="886">
        <f t="shared" ref="O2003:P2003" si="1489">O2002</f>
        <v>11395513.800000001</v>
      </c>
      <c r="P2003" s="886">
        <f t="shared" si="1489"/>
        <v>12535065.180000002</v>
      </c>
      <c r="R2003" s="317"/>
      <c r="U2003" s="320"/>
    </row>
    <row r="2004" spans="1:21" s="344" customFormat="1" outlineLevel="2">
      <c r="A2004" s="404"/>
      <c r="B2004" s="404"/>
      <c r="C2004" s="860"/>
      <c r="D2004" s="332"/>
      <c r="E2004" s="885"/>
      <c r="F2004" s="334"/>
      <c r="G2004" s="334"/>
      <c r="H2004" s="334"/>
      <c r="I2004" s="324">
        <f t="shared" si="1475"/>
        <v>0</v>
      </c>
      <c r="J2004" s="334"/>
      <c r="K2004" s="849"/>
      <c r="L2004" s="317">
        <f t="shared" si="1472"/>
        <v>0</v>
      </c>
      <c r="M2004" s="317"/>
      <c r="N2004" s="372">
        <f t="shared" si="1476"/>
        <v>0</v>
      </c>
      <c r="O2004" s="319"/>
      <c r="P2004" s="319"/>
      <c r="R2004" s="317"/>
      <c r="U2004" s="320"/>
    </row>
    <row r="2005" spans="1:21" s="344" customFormat="1" outlineLevel="2">
      <c r="A2005" s="404"/>
      <c r="B2005" s="404"/>
      <c r="C2005" s="829" t="s">
        <v>1621</v>
      </c>
      <c r="D2005" s="829"/>
      <c r="E2005" s="786">
        <f t="shared" ref="E2005:P2005" si="1490">E1999+E1976+E1971+E1928+E1908+E1895</f>
        <v>1432892170.7286944</v>
      </c>
      <c r="F2005" s="786">
        <f t="shared" si="1490"/>
        <v>0</v>
      </c>
      <c r="G2005" s="786">
        <f t="shared" si="1490"/>
        <v>69120440.758165359</v>
      </c>
      <c r="H2005" s="786">
        <f t="shared" si="1490"/>
        <v>1080456</v>
      </c>
      <c r="I2005" s="786">
        <f t="shared" si="1490"/>
        <v>1503093067.4868598</v>
      </c>
      <c r="J2005" s="786">
        <f t="shared" si="1490"/>
        <v>118879117</v>
      </c>
      <c r="K2005" s="786">
        <f t="shared" si="1490"/>
        <v>2700000</v>
      </c>
      <c r="L2005" s="317">
        <f t="shared" si="1472"/>
        <v>1624672184.4868598</v>
      </c>
      <c r="M2005" s="317"/>
      <c r="N2005" s="372">
        <f t="shared" si="1476"/>
        <v>-2700000</v>
      </c>
      <c r="O2005" s="786">
        <f t="shared" si="1490"/>
        <v>1612762267.0355461</v>
      </c>
      <c r="P2005" s="786">
        <f t="shared" si="1490"/>
        <v>1774038493.7391007</v>
      </c>
      <c r="R2005" s="317"/>
      <c r="U2005" s="320"/>
    </row>
    <row r="2006" spans="1:21" s="344" customFormat="1" outlineLevel="2">
      <c r="A2006" s="404"/>
      <c r="B2006" s="404"/>
      <c r="C2006" s="887" t="s">
        <v>1622</v>
      </c>
      <c r="D2006" s="887"/>
      <c r="E2006" s="786">
        <f t="shared" ref="E2006:P2006" si="1491">E2003+E1961+E1900</f>
        <v>124419146</v>
      </c>
      <c r="F2006" s="786">
        <f t="shared" si="1491"/>
        <v>15830345</v>
      </c>
      <c r="G2006" s="786">
        <f t="shared" si="1491"/>
        <v>171833344.00000185</v>
      </c>
      <c r="H2006" s="786">
        <f t="shared" si="1491"/>
        <v>-31190869</v>
      </c>
      <c r="I2006" s="786">
        <f t="shared" si="1491"/>
        <v>280891966.00000185</v>
      </c>
      <c r="J2006" s="786">
        <f t="shared" si="1491"/>
        <v>-40500000</v>
      </c>
      <c r="K2006" s="786">
        <f t="shared" si="1491"/>
        <v>5300000</v>
      </c>
      <c r="L2006" s="317">
        <f t="shared" si="1472"/>
        <v>245691966.00000185</v>
      </c>
      <c r="M2006" s="317"/>
      <c r="N2006" s="372">
        <f t="shared" si="1476"/>
        <v>-5300000</v>
      </c>
      <c r="O2006" s="786">
        <f t="shared" si="1491"/>
        <v>136483081.90000001</v>
      </c>
      <c r="P2006" s="786">
        <f t="shared" si="1491"/>
        <v>150131390.09000003</v>
      </c>
      <c r="R2006" s="317"/>
      <c r="U2006" s="320"/>
    </row>
    <row r="2007" spans="1:21" s="344" customFormat="1" outlineLevel="1">
      <c r="A2007" s="859"/>
      <c r="B2007" s="785"/>
      <c r="C2007" s="859" t="s">
        <v>439</v>
      </c>
      <c r="D2007" s="859"/>
      <c r="E2007" s="666">
        <f>E2005+E2006</f>
        <v>1557311316.7286944</v>
      </c>
      <c r="F2007" s="666">
        <f t="shared" ref="F2007:P2007" si="1492">F2005+F2006</f>
        <v>15830345</v>
      </c>
      <c r="G2007" s="666">
        <f t="shared" si="1492"/>
        <v>240953784.75816721</v>
      </c>
      <c r="H2007" s="666">
        <f t="shared" si="1492"/>
        <v>-30110413</v>
      </c>
      <c r="I2007" s="666">
        <f t="shared" si="1492"/>
        <v>1783985033.4868617</v>
      </c>
      <c r="J2007" s="666">
        <f t="shared" si="1492"/>
        <v>78379117</v>
      </c>
      <c r="K2007" s="666">
        <f t="shared" si="1492"/>
        <v>8000000</v>
      </c>
      <c r="L2007" s="317">
        <f t="shared" si="1472"/>
        <v>1870364150.4868617</v>
      </c>
      <c r="M2007" s="317"/>
      <c r="N2007" s="372">
        <f t="shared" si="1476"/>
        <v>-8000000</v>
      </c>
      <c r="O2007" s="666">
        <f t="shared" si="1492"/>
        <v>1749245348.9355462</v>
      </c>
      <c r="P2007" s="666">
        <f t="shared" si="1492"/>
        <v>1924169883.8291006</v>
      </c>
      <c r="R2007" s="317"/>
      <c r="U2007" s="320"/>
    </row>
    <row r="2008" spans="1:21" s="344" customFormat="1" outlineLevel="1">
      <c r="A2008" s="404"/>
      <c r="B2008" s="860"/>
      <c r="C2008" s="404"/>
      <c r="D2008" s="404"/>
      <c r="E2008" s="406">
        <v>0</v>
      </c>
      <c r="F2008" s="329"/>
      <c r="G2008" s="329"/>
      <c r="H2008" s="329"/>
      <c r="I2008" s="324">
        <f t="shared" si="1475"/>
        <v>0</v>
      </c>
      <c r="J2008" s="329"/>
      <c r="K2008" s="849"/>
      <c r="L2008" s="317">
        <f t="shared" si="1472"/>
        <v>0</v>
      </c>
      <c r="M2008" s="317"/>
      <c r="N2008" s="372">
        <f t="shared" si="1476"/>
        <v>0</v>
      </c>
      <c r="O2008" s="319">
        <f>L2008*1.1</f>
        <v>0</v>
      </c>
      <c r="P2008" s="319">
        <f t="shared" si="1477"/>
        <v>0</v>
      </c>
      <c r="R2008" s="317"/>
      <c r="U2008" s="320"/>
    </row>
    <row r="2009" spans="1:21" s="344" customFormat="1" outlineLevel="1">
      <c r="A2009" s="404"/>
      <c r="B2009" s="404"/>
      <c r="C2009" s="829" t="s">
        <v>440</v>
      </c>
      <c r="D2009" s="829"/>
      <c r="E2009" s="406">
        <v>0</v>
      </c>
      <c r="F2009" s="666"/>
      <c r="G2009" s="666"/>
      <c r="H2009" s="666"/>
      <c r="I2009" s="324">
        <f t="shared" si="1475"/>
        <v>0</v>
      </c>
      <c r="J2009" s="666"/>
      <c r="K2009" s="849"/>
      <c r="L2009" s="317">
        <f t="shared" si="1472"/>
        <v>0</v>
      </c>
      <c r="M2009" s="317"/>
      <c r="N2009" s="372">
        <f t="shared" si="1476"/>
        <v>0</v>
      </c>
      <c r="O2009" s="319">
        <f>L2009*1.1</f>
        <v>0</v>
      </c>
      <c r="P2009" s="319">
        <f t="shared" si="1477"/>
        <v>0</v>
      </c>
      <c r="R2009" s="317"/>
      <c r="U2009" s="320"/>
    </row>
    <row r="2010" spans="1:21" s="344" customFormat="1" outlineLevel="1">
      <c r="A2010" s="860" t="s">
        <v>168</v>
      </c>
      <c r="B2010" s="404" t="s">
        <v>146</v>
      </c>
      <c r="C2010" s="404" t="s">
        <v>441</v>
      </c>
      <c r="D2010" s="403"/>
      <c r="E2010" s="406">
        <v>0</v>
      </c>
      <c r="F2010" s="329"/>
      <c r="G2010" s="329"/>
      <c r="H2010" s="329"/>
      <c r="I2010" s="324">
        <f t="shared" si="1475"/>
        <v>0</v>
      </c>
      <c r="J2010" s="329"/>
      <c r="K2010" s="849"/>
      <c r="L2010" s="317">
        <f t="shared" si="1472"/>
        <v>0</v>
      </c>
      <c r="M2010" s="317"/>
      <c r="N2010" s="372">
        <f t="shared" si="1476"/>
        <v>0</v>
      </c>
      <c r="O2010" s="319">
        <f>L2010*1.1</f>
        <v>0</v>
      </c>
      <c r="P2010" s="319">
        <f t="shared" si="1477"/>
        <v>0</v>
      </c>
      <c r="R2010" s="317"/>
      <c r="U2010" s="320"/>
    </row>
    <row r="2011" spans="1:21" s="344" customFormat="1" outlineLevel="1">
      <c r="A2011" s="404"/>
      <c r="B2011" s="404"/>
      <c r="C2011" s="860" t="s">
        <v>442</v>
      </c>
      <c r="D2011" s="404"/>
      <c r="E2011" s="406">
        <v>0</v>
      </c>
      <c r="F2011" s="329"/>
      <c r="G2011" s="329"/>
      <c r="H2011" s="329"/>
      <c r="I2011" s="324">
        <f t="shared" si="1475"/>
        <v>0</v>
      </c>
      <c r="J2011" s="329"/>
      <c r="K2011" s="849"/>
      <c r="L2011" s="317">
        <f t="shared" si="1472"/>
        <v>0</v>
      </c>
      <c r="M2011" s="317"/>
      <c r="N2011" s="372">
        <f t="shared" si="1476"/>
        <v>0</v>
      </c>
      <c r="O2011" s="319">
        <f>L2011*1.1</f>
        <v>0</v>
      </c>
      <c r="P2011" s="319">
        <f t="shared" si="1477"/>
        <v>0</v>
      </c>
      <c r="R2011" s="317"/>
      <c r="U2011" s="320"/>
    </row>
    <row r="2012" spans="1:21" s="344" customFormat="1" outlineLevel="3">
      <c r="A2012" s="404"/>
      <c r="B2012" s="404"/>
      <c r="C2012" s="403">
        <v>2110100</v>
      </c>
      <c r="D2012" s="404" t="s">
        <v>13</v>
      </c>
      <c r="E2012" s="772">
        <f>E2013</f>
        <v>905379774</v>
      </c>
      <c r="F2012" s="772">
        <f t="shared" ref="F2012:K2012" si="1493">F2013</f>
        <v>0</v>
      </c>
      <c r="G2012" s="772">
        <f t="shared" si="1493"/>
        <v>0</v>
      </c>
      <c r="H2012" s="772">
        <f t="shared" si="1493"/>
        <v>0</v>
      </c>
      <c r="I2012" s="772">
        <f t="shared" si="1493"/>
        <v>905379774</v>
      </c>
      <c r="J2012" s="772">
        <f t="shared" si="1493"/>
        <v>-12000000</v>
      </c>
      <c r="K2012" s="772">
        <f t="shared" si="1493"/>
        <v>0</v>
      </c>
      <c r="L2012" s="317">
        <f t="shared" si="1472"/>
        <v>893379774</v>
      </c>
      <c r="M2012" s="317"/>
      <c r="N2012" s="372">
        <f t="shared" si="1476"/>
        <v>0</v>
      </c>
      <c r="O2012" s="772">
        <f t="shared" ref="O2012:P2012" si="1494">O2013</f>
        <v>982717751.4000001</v>
      </c>
      <c r="P2012" s="772">
        <f t="shared" si="1494"/>
        <v>1080989526.5400002</v>
      </c>
      <c r="R2012" s="317"/>
      <c r="U2012" s="320"/>
    </row>
    <row r="2013" spans="1:21" s="344" customFormat="1" outlineLevel="3">
      <c r="A2013" s="402"/>
      <c r="B2013" s="402"/>
      <c r="C2013" s="401">
        <v>2110101</v>
      </c>
      <c r="D2013" s="402" t="s">
        <v>14</v>
      </c>
      <c r="E2013" s="778">
        <v>905379774</v>
      </c>
      <c r="F2013" s="333"/>
      <c r="G2013" s="333"/>
      <c r="H2013" s="333"/>
      <c r="I2013" s="324">
        <f t="shared" si="1475"/>
        <v>905379774</v>
      </c>
      <c r="J2013" s="333">
        <v>-12000000</v>
      </c>
      <c r="K2013" s="846"/>
      <c r="L2013" s="317">
        <f t="shared" si="1472"/>
        <v>893379774</v>
      </c>
      <c r="M2013" s="317"/>
      <c r="N2013" s="372">
        <f t="shared" si="1476"/>
        <v>0</v>
      </c>
      <c r="O2013" s="319">
        <f>L2013*1.1</f>
        <v>982717751.4000001</v>
      </c>
      <c r="P2013" s="319">
        <f t="shared" si="1477"/>
        <v>1080989526.5400002</v>
      </c>
      <c r="R2013" s="317"/>
      <c r="U2013" s="320" t="s">
        <v>1803</v>
      </c>
    </row>
    <row r="2014" spans="1:21" s="344" customFormat="1" outlineLevel="3">
      <c r="A2014" s="404"/>
      <c r="B2014" s="404"/>
      <c r="C2014" s="403">
        <v>2110200</v>
      </c>
      <c r="D2014" s="404" t="s">
        <v>148</v>
      </c>
      <c r="E2014" s="772">
        <f>E2015</f>
        <v>88920000</v>
      </c>
      <c r="F2014" s="772">
        <f t="shared" ref="F2014:P2014" si="1495">F2015</f>
        <v>0</v>
      </c>
      <c r="G2014" s="772">
        <f t="shared" si="1495"/>
        <v>0</v>
      </c>
      <c r="H2014" s="772">
        <f t="shared" si="1495"/>
        <v>0</v>
      </c>
      <c r="I2014" s="772">
        <f t="shared" si="1495"/>
        <v>88920000</v>
      </c>
      <c r="J2014" s="772">
        <f t="shared" si="1495"/>
        <v>0</v>
      </c>
      <c r="K2014" s="772">
        <f t="shared" si="1495"/>
        <v>0</v>
      </c>
      <c r="L2014" s="317">
        <f t="shared" si="1472"/>
        <v>88920000</v>
      </c>
      <c r="M2014" s="317"/>
      <c r="N2014" s="372">
        <f t="shared" si="1476"/>
        <v>0</v>
      </c>
      <c r="O2014" s="772">
        <f t="shared" si="1495"/>
        <v>97812000.000000015</v>
      </c>
      <c r="P2014" s="772">
        <f t="shared" si="1495"/>
        <v>107593200.00000003</v>
      </c>
      <c r="R2014" s="317"/>
      <c r="U2014" s="320"/>
    </row>
    <row r="2015" spans="1:21" s="344" customFormat="1" outlineLevel="3">
      <c r="A2015" s="402"/>
      <c r="B2015" s="402"/>
      <c r="C2015" s="401">
        <v>2110202</v>
      </c>
      <c r="D2015" s="402" t="s">
        <v>453</v>
      </c>
      <c r="E2015" s="778">
        <f>2470*3000*12</f>
        <v>88920000</v>
      </c>
      <c r="F2015" s="333"/>
      <c r="G2015" s="333"/>
      <c r="H2015" s="333"/>
      <c r="I2015" s="324">
        <f t="shared" si="1475"/>
        <v>88920000</v>
      </c>
      <c r="J2015" s="333"/>
      <c r="K2015" s="849"/>
      <c r="L2015" s="317">
        <f t="shared" si="1472"/>
        <v>88920000</v>
      </c>
      <c r="M2015" s="317"/>
      <c r="N2015" s="372">
        <f t="shared" si="1476"/>
        <v>0</v>
      </c>
      <c r="O2015" s="319">
        <f>L2015*1.1</f>
        <v>97812000.000000015</v>
      </c>
      <c r="P2015" s="319">
        <f t="shared" si="1477"/>
        <v>107593200.00000003</v>
      </c>
      <c r="R2015" s="317"/>
      <c r="U2015" s="320"/>
    </row>
    <row r="2016" spans="1:21" s="344" customFormat="1" outlineLevel="3">
      <c r="A2016" s="404"/>
      <c r="B2016" s="404"/>
      <c r="C2016" s="403">
        <v>2210200</v>
      </c>
      <c r="D2016" s="404" t="s">
        <v>20</v>
      </c>
      <c r="E2016" s="772">
        <f>E2017+E2018</f>
        <v>123397.84200000002</v>
      </c>
      <c r="F2016" s="772">
        <f t="shared" ref="F2016:K2016" si="1496">F2017+F2018</f>
        <v>0</v>
      </c>
      <c r="G2016" s="772">
        <f t="shared" si="1496"/>
        <v>0</v>
      </c>
      <c r="H2016" s="772">
        <f t="shared" si="1496"/>
        <v>0</v>
      </c>
      <c r="I2016" s="772">
        <f t="shared" si="1496"/>
        <v>123397.84200000002</v>
      </c>
      <c r="J2016" s="772">
        <f t="shared" si="1496"/>
        <v>0</v>
      </c>
      <c r="K2016" s="772">
        <f t="shared" si="1496"/>
        <v>0</v>
      </c>
      <c r="L2016" s="317">
        <f t="shared" si="1472"/>
        <v>123397.84200000002</v>
      </c>
      <c r="M2016" s="317"/>
      <c r="N2016" s="372">
        <f t="shared" si="1476"/>
        <v>0</v>
      </c>
      <c r="O2016" s="772">
        <f t="shared" ref="O2016:P2016" si="1497">O2017+O2018</f>
        <v>135737.62620000003</v>
      </c>
      <c r="P2016" s="772">
        <f t="shared" si="1497"/>
        <v>149311.38882000002</v>
      </c>
      <c r="R2016" s="317"/>
      <c r="U2016" s="320"/>
    </row>
    <row r="2017" spans="1:21" s="344" customFormat="1" outlineLevel="3">
      <c r="A2017" s="402"/>
      <c r="B2017" s="402"/>
      <c r="C2017" s="401">
        <v>2210201</v>
      </c>
      <c r="D2017" s="402" t="s">
        <v>187</v>
      </c>
      <c r="E2017" s="778">
        <v>115910.1</v>
      </c>
      <c r="F2017" s="333"/>
      <c r="G2017" s="333"/>
      <c r="H2017" s="333"/>
      <c r="I2017" s="324">
        <f t="shared" si="1475"/>
        <v>115910.1</v>
      </c>
      <c r="J2017" s="333"/>
      <c r="K2017" s="849"/>
      <c r="L2017" s="317">
        <f t="shared" si="1472"/>
        <v>115910.1</v>
      </c>
      <c r="M2017" s="317"/>
      <c r="N2017" s="372">
        <f t="shared" si="1476"/>
        <v>0</v>
      </c>
      <c r="O2017" s="319">
        <f>L2017*1.1</f>
        <v>127501.11000000002</v>
      </c>
      <c r="P2017" s="319">
        <f t="shared" si="1477"/>
        <v>140251.22100000002</v>
      </c>
      <c r="R2017" s="317"/>
      <c r="U2017" s="320"/>
    </row>
    <row r="2018" spans="1:21" s="344" customFormat="1" outlineLevel="3">
      <c r="A2018" s="402"/>
      <c r="B2018" s="402"/>
      <c r="C2018" s="401">
        <v>2210202</v>
      </c>
      <c r="D2018" s="402" t="s">
        <v>22</v>
      </c>
      <c r="E2018" s="778">
        <v>7487.7420000000102</v>
      </c>
      <c r="F2018" s="333"/>
      <c r="G2018" s="333"/>
      <c r="H2018" s="333"/>
      <c r="I2018" s="324">
        <f t="shared" si="1475"/>
        <v>7487.7420000000102</v>
      </c>
      <c r="J2018" s="333"/>
      <c r="K2018" s="849"/>
      <c r="L2018" s="317">
        <f t="shared" si="1472"/>
        <v>7487.7420000000102</v>
      </c>
      <c r="M2018" s="317"/>
      <c r="N2018" s="372">
        <f t="shared" si="1476"/>
        <v>0</v>
      </c>
      <c r="O2018" s="319">
        <f>L2018*1.1</f>
        <v>8236.5162000000128</v>
      </c>
      <c r="P2018" s="319">
        <f t="shared" si="1477"/>
        <v>9060.1678200000151</v>
      </c>
      <c r="R2018" s="317"/>
      <c r="U2018" s="320"/>
    </row>
    <row r="2019" spans="1:21" s="344" customFormat="1" outlineLevel="3">
      <c r="A2019" s="404"/>
      <c r="B2019" s="404"/>
      <c r="C2019" s="403">
        <v>2210300</v>
      </c>
      <c r="D2019" s="404" t="s">
        <v>24</v>
      </c>
      <c r="E2019" s="772">
        <f>E2020+E2021</f>
        <v>1184606</v>
      </c>
      <c r="F2019" s="772">
        <f t="shared" ref="F2019:K2019" si="1498">F2020+F2021</f>
        <v>0</v>
      </c>
      <c r="G2019" s="772">
        <f t="shared" si="1498"/>
        <v>0</v>
      </c>
      <c r="H2019" s="772">
        <f t="shared" si="1498"/>
        <v>0</v>
      </c>
      <c r="I2019" s="772">
        <f t="shared" si="1498"/>
        <v>1184606</v>
      </c>
      <c r="J2019" s="772">
        <f t="shared" si="1498"/>
        <v>0</v>
      </c>
      <c r="K2019" s="772">
        <f t="shared" si="1498"/>
        <v>0</v>
      </c>
      <c r="L2019" s="317">
        <f t="shared" si="1472"/>
        <v>1184606</v>
      </c>
      <c r="M2019" s="317"/>
      <c r="N2019" s="372">
        <f t="shared" si="1476"/>
        <v>0</v>
      </c>
      <c r="O2019" s="772">
        <f t="shared" ref="O2019:P2019" si="1499">O2020+O2021</f>
        <v>1303066.6000000001</v>
      </c>
      <c r="P2019" s="772">
        <f t="shared" si="1499"/>
        <v>1433373.2600000002</v>
      </c>
      <c r="R2019" s="317"/>
      <c r="U2019" s="320"/>
    </row>
    <row r="2020" spans="1:21" s="344" customFormat="1" outlineLevel="3">
      <c r="A2020" s="402"/>
      <c r="B2020" s="402"/>
      <c r="C2020" s="401">
        <v>2210301</v>
      </c>
      <c r="D2020" s="402" t="s">
        <v>1595</v>
      </c>
      <c r="E2020" s="778">
        <f>1000000-352500</f>
        <v>647500</v>
      </c>
      <c r="F2020" s="333"/>
      <c r="G2020" s="333"/>
      <c r="H2020" s="333"/>
      <c r="I2020" s="324">
        <f t="shared" si="1475"/>
        <v>647500</v>
      </c>
      <c r="J2020" s="333"/>
      <c r="K2020" s="850"/>
      <c r="L2020" s="317">
        <f t="shared" si="1472"/>
        <v>647500</v>
      </c>
      <c r="M2020" s="317"/>
      <c r="N2020" s="372">
        <f t="shared" si="1476"/>
        <v>0</v>
      </c>
      <c r="O2020" s="319">
        <f>L2020*1.1</f>
        <v>712250</v>
      </c>
      <c r="P2020" s="319">
        <f t="shared" si="1477"/>
        <v>783475.00000000012</v>
      </c>
      <c r="R2020" s="317"/>
      <c r="U2020" s="320"/>
    </row>
    <row r="2021" spans="1:21" s="344" customFormat="1" outlineLevel="3">
      <c r="A2021" s="404"/>
      <c r="B2021" s="404"/>
      <c r="C2021" s="401">
        <v>2210303</v>
      </c>
      <c r="D2021" s="402" t="s">
        <v>223</v>
      </c>
      <c r="E2021" s="778">
        <v>537106</v>
      </c>
      <c r="F2021" s="333"/>
      <c r="G2021" s="333"/>
      <c r="H2021" s="333"/>
      <c r="I2021" s="324">
        <f t="shared" si="1475"/>
        <v>537106</v>
      </c>
      <c r="J2021" s="333"/>
      <c r="K2021" s="850"/>
      <c r="L2021" s="317">
        <f t="shared" si="1472"/>
        <v>537106</v>
      </c>
      <c r="M2021" s="317"/>
      <c r="N2021" s="372">
        <f t="shared" si="1476"/>
        <v>0</v>
      </c>
      <c r="O2021" s="319">
        <f>L2021*1.1</f>
        <v>590816.60000000009</v>
      </c>
      <c r="P2021" s="319">
        <f t="shared" si="1477"/>
        <v>649898.26000000013</v>
      </c>
      <c r="R2021" s="317"/>
      <c r="U2021" s="320"/>
    </row>
    <row r="2022" spans="1:21" s="344" customFormat="1" outlineLevel="3">
      <c r="A2022" s="402"/>
      <c r="B2022" s="402"/>
      <c r="C2022" s="403">
        <v>2210400</v>
      </c>
      <c r="D2022" s="404" t="s">
        <v>189</v>
      </c>
      <c r="E2022" s="772">
        <f>E2023+E2024</f>
        <v>480000</v>
      </c>
      <c r="F2022" s="772">
        <f t="shared" ref="F2022:K2022" si="1500">F2023+F2024</f>
        <v>0</v>
      </c>
      <c r="G2022" s="772">
        <f t="shared" si="1500"/>
        <v>0</v>
      </c>
      <c r="H2022" s="772">
        <f t="shared" si="1500"/>
        <v>0</v>
      </c>
      <c r="I2022" s="772">
        <f t="shared" si="1500"/>
        <v>480000</v>
      </c>
      <c r="J2022" s="772">
        <f t="shared" si="1500"/>
        <v>0</v>
      </c>
      <c r="K2022" s="772">
        <f t="shared" si="1500"/>
        <v>-480000</v>
      </c>
      <c r="L2022" s="317">
        <f t="shared" si="1472"/>
        <v>0</v>
      </c>
      <c r="M2022" s="317"/>
      <c r="N2022" s="372">
        <f t="shared" si="1476"/>
        <v>480000</v>
      </c>
      <c r="O2022" s="772">
        <f t="shared" ref="O2022:P2022" si="1501">O2023+O2024</f>
        <v>0</v>
      </c>
      <c r="P2022" s="772">
        <f t="shared" si="1501"/>
        <v>0</v>
      </c>
      <c r="R2022" s="317"/>
      <c r="U2022" s="320"/>
    </row>
    <row r="2023" spans="1:21" s="344" customFormat="1" outlineLevel="3">
      <c r="A2023" s="402"/>
      <c r="B2023" s="402"/>
      <c r="C2023" s="401">
        <v>2210403</v>
      </c>
      <c r="D2023" s="402" t="s">
        <v>223</v>
      </c>
      <c r="E2023" s="778">
        <v>390000</v>
      </c>
      <c r="F2023" s="333"/>
      <c r="G2023" s="333"/>
      <c r="H2023" s="333"/>
      <c r="I2023" s="324">
        <f t="shared" si="1475"/>
        <v>390000</v>
      </c>
      <c r="J2023" s="333"/>
      <c r="K2023" s="850">
        <v>-390000</v>
      </c>
      <c r="L2023" s="317">
        <f t="shared" si="1472"/>
        <v>0</v>
      </c>
      <c r="M2023" s="317"/>
      <c r="N2023" s="372">
        <f t="shared" si="1476"/>
        <v>390000</v>
      </c>
      <c r="O2023" s="319">
        <f>L2023*1.1</f>
        <v>0</v>
      </c>
      <c r="P2023" s="319">
        <f t="shared" si="1477"/>
        <v>0</v>
      </c>
      <c r="R2023" s="317"/>
      <c r="U2023" s="320"/>
    </row>
    <row r="2024" spans="1:21" s="344" customFormat="1" outlineLevel="3">
      <c r="A2024" s="404"/>
      <c r="B2024" s="404"/>
      <c r="C2024" s="401">
        <v>2210404</v>
      </c>
      <c r="D2024" s="402" t="s">
        <v>28</v>
      </c>
      <c r="E2024" s="778">
        <v>90000</v>
      </c>
      <c r="F2024" s="333"/>
      <c r="G2024" s="333"/>
      <c r="H2024" s="333"/>
      <c r="I2024" s="324">
        <f t="shared" si="1475"/>
        <v>90000</v>
      </c>
      <c r="J2024" s="333"/>
      <c r="K2024" s="850">
        <v>-90000</v>
      </c>
      <c r="L2024" s="317">
        <f t="shared" si="1472"/>
        <v>0</v>
      </c>
      <c r="M2024" s="317"/>
      <c r="N2024" s="372">
        <f t="shared" si="1476"/>
        <v>90000</v>
      </c>
      <c r="O2024" s="319">
        <f>L2024*1.1</f>
        <v>0</v>
      </c>
      <c r="P2024" s="319">
        <f t="shared" ref="P2024:P2052" si="1502">O2024*1.1</f>
        <v>0</v>
      </c>
      <c r="R2024" s="317"/>
      <c r="U2024" s="320"/>
    </row>
    <row r="2025" spans="1:21" s="344" customFormat="1" outlineLevel="3">
      <c r="A2025" s="402"/>
      <c r="B2025" s="402"/>
      <c r="C2025" s="403">
        <v>2210500</v>
      </c>
      <c r="D2025" s="404" t="s">
        <v>31</v>
      </c>
      <c r="E2025" s="772">
        <f>E2026+E2027</f>
        <v>1500000</v>
      </c>
      <c r="F2025" s="772">
        <f t="shared" ref="F2025:K2025" si="1503">F2026+F2027</f>
        <v>0</v>
      </c>
      <c r="G2025" s="772">
        <f t="shared" si="1503"/>
        <v>0</v>
      </c>
      <c r="H2025" s="772">
        <f t="shared" si="1503"/>
        <v>0</v>
      </c>
      <c r="I2025" s="772">
        <f t="shared" si="1503"/>
        <v>1500000</v>
      </c>
      <c r="J2025" s="772">
        <f t="shared" si="1503"/>
        <v>0</v>
      </c>
      <c r="K2025" s="772">
        <f t="shared" si="1503"/>
        <v>0</v>
      </c>
      <c r="L2025" s="317">
        <f t="shared" si="1472"/>
        <v>1500000</v>
      </c>
      <c r="M2025" s="317"/>
      <c r="N2025" s="372">
        <f t="shared" si="1476"/>
        <v>0</v>
      </c>
      <c r="O2025" s="772">
        <f t="shared" ref="O2025:P2025" si="1504">O2026+O2027</f>
        <v>1650000.0000000002</v>
      </c>
      <c r="P2025" s="772">
        <f t="shared" si="1504"/>
        <v>1815000.0000000005</v>
      </c>
      <c r="R2025" s="317"/>
      <c r="U2025" s="320"/>
    </row>
    <row r="2026" spans="1:21" s="344" customFormat="1" outlineLevel="3">
      <c r="A2026" s="404"/>
      <c r="B2026" s="404"/>
      <c r="C2026" s="401">
        <v>2210502</v>
      </c>
      <c r="D2026" s="402" t="s">
        <v>397</v>
      </c>
      <c r="E2026" s="778">
        <v>116000</v>
      </c>
      <c r="F2026" s="333"/>
      <c r="G2026" s="333"/>
      <c r="H2026" s="333"/>
      <c r="I2026" s="324">
        <f t="shared" si="1475"/>
        <v>116000</v>
      </c>
      <c r="J2026" s="333"/>
      <c r="K2026" s="849"/>
      <c r="L2026" s="317">
        <f t="shared" si="1472"/>
        <v>116000</v>
      </c>
      <c r="M2026" s="317"/>
      <c r="N2026" s="372">
        <f t="shared" si="1476"/>
        <v>0</v>
      </c>
      <c r="O2026" s="319">
        <f>L2026*1.1</f>
        <v>127600.00000000001</v>
      </c>
      <c r="P2026" s="319">
        <f t="shared" si="1502"/>
        <v>140360.00000000003</v>
      </c>
      <c r="R2026" s="317"/>
      <c r="U2026" s="320"/>
    </row>
    <row r="2027" spans="1:21" s="344" customFormat="1" outlineLevel="3">
      <c r="A2027" s="402"/>
      <c r="B2027" s="402"/>
      <c r="C2027" s="401">
        <v>2210504</v>
      </c>
      <c r="D2027" s="402" t="s">
        <v>1623</v>
      </c>
      <c r="E2027" s="778">
        <v>1384000</v>
      </c>
      <c r="F2027" s="333"/>
      <c r="G2027" s="333"/>
      <c r="H2027" s="333"/>
      <c r="I2027" s="324">
        <f t="shared" si="1475"/>
        <v>1384000</v>
      </c>
      <c r="J2027" s="333"/>
      <c r="K2027" s="850"/>
      <c r="L2027" s="317">
        <f t="shared" si="1472"/>
        <v>1384000</v>
      </c>
      <c r="M2027" s="317"/>
      <c r="N2027" s="372">
        <f t="shared" si="1476"/>
        <v>0</v>
      </c>
      <c r="O2027" s="319">
        <f>L2027*1.1</f>
        <v>1522400.0000000002</v>
      </c>
      <c r="P2027" s="319">
        <f t="shared" si="1502"/>
        <v>1674640.0000000005</v>
      </c>
      <c r="R2027" s="317"/>
      <c r="U2027" s="320"/>
    </row>
    <row r="2028" spans="1:21" s="344" customFormat="1" outlineLevel="3">
      <c r="A2028" s="402"/>
      <c r="B2028" s="402"/>
      <c r="C2028" s="403">
        <v>2210700</v>
      </c>
      <c r="D2028" s="404" t="s">
        <v>35</v>
      </c>
      <c r="E2028" s="772">
        <f>SUM(E2029:E2033)</f>
        <v>1500000</v>
      </c>
      <c r="F2028" s="772">
        <f t="shared" ref="F2028:K2028" si="1505">SUM(F2029:F2033)</f>
        <v>0</v>
      </c>
      <c r="G2028" s="772">
        <f t="shared" si="1505"/>
        <v>0</v>
      </c>
      <c r="H2028" s="772">
        <f t="shared" si="1505"/>
        <v>0</v>
      </c>
      <c r="I2028" s="772">
        <f t="shared" si="1505"/>
        <v>1500000</v>
      </c>
      <c r="J2028" s="772">
        <f t="shared" si="1505"/>
        <v>0</v>
      </c>
      <c r="K2028" s="772">
        <f t="shared" si="1505"/>
        <v>0</v>
      </c>
      <c r="L2028" s="317">
        <f t="shared" si="1472"/>
        <v>1500000</v>
      </c>
      <c r="M2028" s="317"/>
      <c r="N2028" s="372">
        <f t="shared" si="1476"/>
        <v>0</v>
      </c>
      <c r="O2028" s="772">
        <f t="shared" ref="O2028:P2028" si="1506">SUM(O2029:O2033)</f>
        <v>1650000</v>
      </c>
      <c r="P2028" s="772">
        <f t="shared" si="1506"/>
        <v>1815000</v>
      </c>
      <c r="R2028" s="317"/>
      <c r="U2028" s="320"/>
    </row>
    <row r="2029" spans="1:21" s="344" customFormat="1" outlineLevel="3">
      <c r="A2029" s="402"/>
      <c r="B2029" s="402"/>
      <c r="C2029" s="401">
        <v>2210710</v>
      </c>
      <c r="D2029" s="402" t="s">
        <v>39</v>
      </c>
      <c r="E2029" s="778">
        <v>287000</v>
      </c>
      <c r="F2029" s="333"/>
      <c r="G2029" s="333"/>
      <c r="H2029" s="333"/>
      <c r="I2029" s="324">
        <f t="shared" si="1475"/>
        <v>287000</v>
      </c>
      <c r="J2029" s="333"/>
      <c r="K2029" s="849"/>
      <c r="L2029" s="317">
        <f t="shared" si="1472"/>
        <v>287000</v>
      </c>
      <c r="M2029" s="317"/>
      <c r="N2029" s="372">
        <f t="shared" si="1476"/>
        <v>0</v>
      </c>
      <c r="O2029" s="319">
        <f>L2029*1.1</f>
        <v>315700</v>
      </c>
      <c r="P2029" s="319">
        <f t="shared" si="1502"/>
        <v>347270</v>
      </c>
      <c r="R2029" s="317"/>
      <c r="U2029" s="320"/>
    </row>
    <row r="2030" spans="1:21" s="344" customFormat="1" outlineLevel="3">
      <c r="A2030" s="402"/>
      <c r="B2030" s="402"/>
      <c r="C2030" s="401">
        <v>2210711</v>
      </c>
      <c r="D2030" s="402" t="s">
        <v>399</v>
      </c>
      <c r="E2030" s="778">
        <v>116000</v>
      </c>
      <c r="F2030" s="333"/>
      <c r="G2030" s="333"/>
      <c r="H2030" s="333"/>
      <c r="I2030" s="324">
        <f t="shared" si="1475"/>
        <v>116000</v>
      </c>
      <c r="J2030" s="333"/>
      <c r="K2030" s="849"/>
      <c r="L2030" s="317">
        <f t="shared" si="1472"/>
        <v>116000</v>
      </c>
      <c r="M2030" s="317"/>
      <c r="N2030" s="372">
        <f t="shared" si="1476"/>
        <v>0</v>
      </c>
      <c r="O2030" s="319">
        <f>L2030*1.1</f>
        <v>127600.00000000001</v>
      </c>
      <c r="P2030" s="319">
        <f t="shared" si="1502"/>
        <v>140360.00000000003</v>
      </c>
      <c r="R2030" s="317"/>
      <c r="U2030" s="320"/>
    </row>
    <row r="2031" spans="1:21" s="344" customFormat="1" outlineLevel="3">
      <c r="A2031" s="402"/>
      <c r="B2031" s="402"/>
      <c r="C2031" s="888">
        <v>2210712</v>
      </c>
      <c r="D2031" s="889" t="s">
        <v>339</v>
      </c>
      <c r="E2031" s="778">
        <v>170226</v>
      </c>
      <c r="F2031" s="477"/>
      <c r="G2031" s="477"/>
      <c r="H2031" s="477"/>
      <c r="I2031" s="324">
        <f t="shared" si="1475"/>
        <v>170226</v>
      </c>
      <c r="J2031" s="477"/>
      <c r="K2031" s="849"/>
      <c r="L2031" s="317">
        <f t="shared" si="1472"/>
        <v>170226</v>
      </c>
      <c r="M2031" s="317"/>
      <c r="N2031" s="372">
        <f t="shared" si="1476"/>
        <v>0</v>
      </c>
      <c r="O2031" s="319">
        <f>L2031*1.1</f>
        <v>187248.6</v>
      </c>
      <c r="P2031" s="319">
        <f t="shared" si="1502"/>
        <v>205973.46000000002</v>
      </c>
      <c r="R2031" s="317"/>
      <c r="U2031" s="320"/>
    </row>
    <row r="2032" spans="1:21" s="344" customFormat="1" outlineLevel="3">
      <c r="A2032" s="404"/>
      <c r="B2032" s="404"/>
      <c r="C2032" s="401">
        <v>2210715</v>
      </c>
      <c r="D2032" s="402" t="s">
        <v>40</v>
      </c>
      <c r="E2032" s="778">
        <f>464000+175774+200000</f>
        <v>839774</v>
      </c>
      <c r="F2032" s="333"/>
      <c r="G2032" s="333"/>
      <c r="H2032" s="333"/>
      <c r="I2032" s="324">
        <f t="shared" si="1475"/>
        <v>839774</v>
      </c>
      <c r="J2032" s="333"/>
      <c r="K2032" s="849"/>
      <c r="L2032" s="317">
        <f t="shared" si="1472"/>
        <v>839774</v>
      </c>
      <c r="M2032" s="317"/>
      <c r="N2032" s="372">
        <f t="shared" si="1476"/>
        <v>0</v>
      </c>
      <c r="O2032" s="319">
        <f>L2032*1.1</f>
        <v>923751.4</v>
      </c>
      <c r="P2032" s="319">
        <f t="shared" si="1502"/>
        <v>1016126.5400000002</v>
      </c>
      <c r="R2032" s="317"/>
      <c r="U2032" s="320"/>
    </row>
    <row r="2033" spans="1:21" s="344" customFormat="1" outlineLevel="3">
      <c r="A2033" s="402"/>
      <c r="B2033" s="402"/>
      <c r="C2033" s="401">
        <v>2210799</v>
      </c>
      <c r="D2033" s="402" t="s">
        <v>400</v>
      </c>
      <c r="E2033" s="778">
        <v>87000</v>
      </c>
      <c r="F2033" s="333"/>
      <c r="G2033" s="333"/>
      <c r="H2033" s="333"/>
      <c r="I2033" s="324">
        <f t="shared" si="1475"/>
        <v>87000</v>
      </c>
      <c r="J2033" s="333"/>
      <c r="K2033" s="849"/>
      <c r="L2033" s="317">
        <f t="shared" si="1472"/>
        <v>87000</v>
      </c>
      <c r="M2033" s="317"/>
      <c r="N2033" s="372">
        <f t="shared" si="1476"/>
        <v>0</v>
      </c>
      <c r="O2033" s="319">
        <f>L2033*1.1</f>
        <v>95700.000000000015</v>
      </c>
      <c r="P2033" s="319">
        <f t="shared" si="1502"/>
        <v>105270.00000000003</v>
      </c>
      <c r="R2033" s="317"/>
      <c r="U2033" s="320"/>
    </row>
    <row r="2034" spans="1:21" s="344" customFormat="1" outlineLevel="3">
      <c r="A2034" s="404"/>
      <c r="B2034" s="404"/>
      <c r="C2034" s="403">
        <v>2210800</v>
      </c>
      <c r="D2034" s="404" t="s">
        <v>42</v>
      </c>
      <c r="E2034" s="772">
        <f>E2035</f>
        <v>892831</v>
      </c>
      <c r="F2034" s="772">
        <f t="shared" ref="F2034:K2034" si="1507">F2035</f>
        <v>0</v>
      </c>
      <c r="G2034" s="772">
        <f t="shared" si="1507"/>
        <v>0</v>
      </c>
      <c r="H2034" s="772">
        <f t="shared" si="1507"/>
        <v>0</v>
      </c>
      <c r="I2034" s="772">
        <f t="shared" si="1507"/>
        <v>892831</v>
      </c>
      <c r="J2034" s="772">
        <f t="shared" si="1507"/>
        <v>0</v>
      </c>
      <c r="K2034" s="772">
        <f t="shared" si="1507"/>
        <v>0</v>
      </c>
      <c r="L2034" s="317">
        <f t="shared" si="1472"/>
        <v>892831</v>
      </c>
      <c r="M2034" s="317"/>
      <c r="N2034" s="372">
        <f t="shared" si="1476"/>
        <v>0</v>
      </c>
      <c r="O2034" s="772">
        <f t="shared" ref="O2034:P2034" si="1508">O2035</f>
        <v>982114.10000000009</v>
      </c>
      <c r="P2034" s="772">
        <f t="shared" si="1508"/>
        <v>1080325.5100000002</v>
      </c>
      <c r="R2034" s="317"/>
      <c r="U2034" s="320"/>
    </row>
    <row r="2035" spans="1:21" s="344" customFormat="1" outlineLevel="3">
      <c r="A2035" s="404"/>
      <c r="B2035" s="404"/>
      <c r="C2035" s="401">
        <v>2210803</v>
      </c>
      <c r="D2035" s="402" t="s">
        <v>1868</v>
      </c>
      <c r="E2035" s="778">
        <v>892831</v>
      </c>
      <c r="F2035" s="333"/>
      <c r="G2035" s="333"/>
      <c r="H2035" s="333"/>
      <c r="I2035" s="324">
        <f t="shared" si="1475"/>
        <v>892831</v>
      </c>
      <c r="J2035" s="333"/>
      <c r="K2035" s="850"/>
      <c r="L2035" s="317">
        <f t="shared" si="1472"/>
        <v>892831</v>
      </c>
      <c r="M2035" s="317"/>
      <c r="N2035" s="372">
        <f t="shared" si="1476"/>
        <v>0</v>
      </c>
      <c r="O2035" s="319">
        <f t="shared" ref="O2035:O2043" si="1509">L2035*1.1</f>
        <v>982114.10000000009</v>
      </c>
      <c r="P2035" s="319">
        <f t="shared" ref="P2035:P2043" si="1510">O2035*1.1</f>
        <v>1080325.5100000002</v>
      </c>
      <c r="R2035" s="317"/>
      <c r="U2035" s="320"/>
    </row>
    <row r="2036" spans="1:21" s="344" customFormat="1" outlineLevel="3">
      <c r="A2036" s="404"/>
      <c r="B2036" s="404"/>
      <c r="C2036" s="403">
        <v>2211100</v>
      </c>
      <c r="D2036" s="404" t="s">
        <v>51</v>
      </c>
      <c r="E2036" s="772">
        <f>SUM(E2037:E2039)</f>
        <v>500000.24199999997</v>
      </c>
      <c r="F2036" s="772">
        <f t="shared" ref="F2036:K2036" si="1511">SUM(F2037:F2039)</f>
        <v>0</v>
      </c>
      <c r="G2036" s="772">
        <f t="shared" si="1511"/>
        <v>0</v>
      </c>
      <c r="H2036" s="772">
        <f t="shared" si="1511"/>
        <v>0</v>
      </c>
      <c r="I2036" s="772">
        <f t="shared" si="1511"/>
        <v>500000.24199999997</v>
      </c>
      <c r="J2036" s="772">
        <f t="shared" si="1511"/>
        <v>0</v>
      </c>
      <c r="K2036" s="772">
        <f t="shared" si="1511"/>
        <v>0</v>
      </c>
      <c r="L2036" s="317">
        <f t="shared" si="1472"/>
        <v>500000.24199999997</v>
      </c>
      <c r="M2036" s="317"/>
      <c r="N2036" s="372">
        <f t="shared" si="1476"/>
        <v>0</v>
      </c>
      <c r="O2036" s="772">
        <f t="shared" ref="O2036:P2036" si="1512">SUM(O2037:O2039)</f>
        <v>550000.26620000007</v>
      </c>
      <c r="P2036" s="772">
        <f t="shared" si="1512"/>
        <v>605000.29282000021</v>
      </c>
      <c r="R2036" s="317"/>
      <c r="U2036" s="320"/>
    </row>
    <row r="2037" spans="1:21" s="344" customFormat="1" outlineLevel="3">
      <c r="A2037" s="404"/>
      <c r="B2037" s="404"/>
      <c r="C2037" s="401">
        <v>2211101</v>
      </c>
      <c r="D2037" s="402" t="s">
        <v>289</v>
      </c>
      <c r="E2037" s="778">
        <v>238357.54</v>
      </c>
      <c r="F2037" s="333"/>
      <c r="G2037" s="333"/>
      <c r="H2037" s="333"/>
      <c r="I2037" s="324">
        <f t="shared" si="1475"/>
        <v>238357.54</v>
      </c>
      <c r="J2037" s="333"/>
      <c r="K2037" s="849"/>
      <c r="L2037" s="317">
        <f t="shared" si="1472"/>
        <v>238357.54</v>
      </c>
      <c r="M2037" s="317"/>
      <c r="N2037" s="372">
        <f t="shared" si="1476"/>
        <v>0</v>
      </c>
      <c r="O2037" s="319">
        <f t="shared" si="1509"/>
        <v>262193.29400000005</v>
      </c>
      <c r="P2037" s="319">
        <f t="shared" si="1510"/>
        <v>288412.6234000001</v>
      </c>
      <c r="R2037" s="317"/>
      <c r="U2037" s="320"/>
    </row>
    <row r="2038" spans="1:21" s="344" customFormat="1" outlineLevel="3">
      <c r="A2038" s="404"/>
      <c r="B2038" s="404"/>
      <c r="C2038" s="401">
        <v>2211102</v>
      </c>
      <c r="D2038" s="402" t="s">
        <v>53</v>
      </c>
      <c r="E2038" s="778">
        <v>228536.234</v>
      </c>
      <c r="F2038" s="333"/>
      <c r="G2038" s="333"/>
      <c r="H2038" s="333"/>
      <c r="I2038" s="324">
        <f t="shared" si="1475"/>
        <v>228536.234</v>
      </c>
      <c r="J2038" s="333"/>
      <c r="K2038" s="849"/>
      <c r="L2038" s="317">
        <f t="shared" si="1472"/>
        <v>228536.234</v>
      </c>
      <c r="M2038" s="317"/>
      <c r="N2038" s="372">
        <f t="shared" si="1476"/>
        <v>0</v>
      </c>
      <c r="O2038" s="319">
        <f t="shared" si="1509"/>
        <v>251389.85740000001</v>
      </c>
      <c r="P2038" s="319">
        <f t="shared" si="1510"/>
        <v>276528.84314000001</v>
      </c>
      <c r="R2038" s="317"/>
      <c r="U2038" s="320"/>
    </row>
    <row r="2039" spans="1:21" s="344" customFormat="1" outlineLevel="3">
      <c r="A2039" s="404"/>
      <c r="B2039" s="404"/>
      <c r="C2039" s="401">
        <v>2211103</v>
      </c>
      <c r="D2039" s="402" t="s">
        <v>402</v>
      </c>
      <c r="E2039" s="778">
        <f>31212.468+1894</f>
        <v>33106.468000000001</v>
      </c>
      <c r="F2039" s="333"/>
      <c r="G2039" s="333"/>
      <c r="H2039" s="333"/>
      <c r="I2039" s="324">
        <f t="shared" si="1475"/>
        <v>33106.468000000001</v>
      </c>
      <c r="J2039" s="333"/>
      <c r="K2039" s="849"/>
      <c r="L2039" s="317">
        <f t="shared" si="1472"/>
        <v>33106.468000000001</v>
      </c>
      <c r="M2039" s="317"/>
      <c r="N2039" s="372">
        <f t="shared" si="1476"/>
        <v>0</v>
      </c>
      <c r="O2039" s="319">
        <f t="shared" si="1509"/>
        <v>36417.114800000003</v>
      </c>
      <c r="P2039" s="319">
        <f t="shared" si="1510"/>
        <v>40058.826280000008</v>
      </c>
      <c r="R2039" s="317"/>
      <c r="U2039" s="320"/>
    </row>
    <row r="2040" spans="1:21" s="344" customFormat="1" outlineLevel="3">
      <c r="A2040" s="404"/>
      <c r="B2040" s="404"/>
      <c r="C2040" s="403">
        <v>2211200</v>
      </c>
      <c r="D2040" s="404" t="s">
        <v>55</v>
      </c>
      <c r="E2040" s="772">
        <f>E2041</f>
        <v>870000</v>
      </c>
      <c r="F2040" s="772">
        <f t="shared" ref="F2040:K2040" si="1513">F2041</f>
        <v>0</v>
      </c>
      <c r="G2040" s="772">
        <f t="shared" si="1513"/>
        <v>0</v>
      </c>
      <c r="H2040" s="772">
        <f t="shared" si="1513"/>
        <v>0</v>
      </c>
      <c r="I2040" s="772">
        <f t="shared" si="1513"/>
        <v>870000</v>
      </c>
      <c r="J2040" s="772">
        <f t="shared" si="1513"/>
        <v>0</v>
      </c>
      <c r="K2040" s="772">
        <f t="shared" si="1513"/>
        <v>0</v>
      </c>
      <c r="L2040" s="317">
        <f t="shared" si="1472"/>
        <v>870000</v>
      </c>
      <c r="M2040" s="317"/>
      <c r="N2040" s="372">
        <f t="shared" si="1476"/>
        <v>0</v>
      </c>
      <c r="O2040" s="772">
        <f t="shared" ref="O2040:P2040" si="1514">O2041</f>
        <v>957000.00000000012</v>
      </c>
      <c r="P2040" s="772">
        <f t="shared" si="1514"/>
        <v>1052700.0000000002</v>
      </c>
      <c r="R2040" s="317"/>
      <c r="U2040" s="320"/>
    </row>
    <row r="2041" spans="1:21" s="344" customFormat="1" outlineLevel="3">
      <c r="A2041" s="404"/>
      <c r="B2041" s="404"/>
      <c r="C2041" s="401">
        <v>2211201</v>
      </c>
      <c r="D2041" s="402" t="s">
        <v>56</v>
      </c>
      <c r="E2041" s="778">
        <v>870000</v>
      </c>
      <c r="F2041" s="333"/>
      <c r="G2041" s="333"/>
      <c r="H2041" s="333"/>
      <c r="I2041" s="324">
        <f t="shared" si="1475"/>
        <v>870000</v>
      </c>
      <c r="J2041" s="333"/>
      <c r="K2041" s="850">
        <f>150000-150000</f>
        <v>0</v>
      </c>
      <c r="L2041" s="317">
        <f t="shared" si="1472"/>
        <v>870000</v>
      </c>
      <c r="M2041" s="317"/>
      <c r="N2041" s="372">
        <f t="shared" si="1476"/>
        <v>0</v>
      </c>
      <c r="O2041" s="319">
        <f t="shared" si="1509"/>
        <v>957000.00000000012</v>
      </c>
      <c r="P2041" s="319">
        <f t="shared" si="1510"/>
        <v>1052700.0000000002</v>
      </c>
      <c r="R2041" s="317"/>
      <c r="U2041" s="320"/>
    </row>
    <row r="2042" spans="1:21" s="344" customFormat="1" outlineLevel="3">
      <c r="A2042" s="404"/>
      <c r="B2042" s="404"/>
      <c r="C2042" s="403">
        <v>2220100</v>
      </c>
      <c r="D2042" s="404" t="s">
        <v>62</v>
      </c>
      <c r="E2042" s="772">
        <f>SUM(E2043:E2044)</f>
        <v>1894000</v>
      </c>
      <c r="F2042" s="772">
        <f t="shared" ref="F2042:P2042" si="1515">SUM(F2043:F2044)</f>
        <v>0</v>
      </c>
      <c r="G2042" s="772">
        <f t="shared" si="1515"/>
        <v>0</v>
      </c>
      <c r="H2042" s="772">
        <f t="shared" si="1515"/>
        <v>0</v>
      </c>
      <c r="I2042" s="772">
        <f t="shared" si="1515"/>
        <v>1894000</v>
      </c>
      <c r="J2042" s="772">
        <f t="shared" si="1515"/>
        <v>0</v>
      </c>
      <c r="K2042" s="772">
        <f t="shared" si="1515"/>
        <v>0</v>
      </c>
      <c r="L2042" s="317">
        <f t="shared" si="1472"/>
        <v>1894000</v>
      </c>
      <c r="M2042" s="317"/>
      <c r="N2042" s="372">
        <f t="shared" si="1476"/>
        <v>0</v>
      </c>
      <c r="O2042" s="772">
        <f t="shared" si="1515"/>
        <v>2083400</v>
      </c>
      <c r="P2042" s="772">
        <f t="shared" si="1515"/>
        <v>2291740</v>
      </c>
      <c r="R2042" s="317"/>
      <c r="U2042" s="320"/>
    </row>
    <row r="2043" spans="1:21" s="344" customFormat="1" outlineLevel="3">
      <c r="A2043" s="404"/>
      <c r="B2043" s="404"/>
      <c r="C2043" s="401">
        <v>2220101</v>
      </c>
      <c r="D2043" s="402" t="s">
        <v>403</v>
      </c>
      <c r="E2043" s="778">
        <f>1895392.8-274000-200000</f>
        <v>1421392.8</v>
      </c>
      <c r="F2043" s="333"/>
      <c r="G2043" s="333"/>
      <c r="H2043" s="333"/>
      <c r="I2043" s="324">
        <f t="shared" si="1475"/>
        <v>1421392.8</v>
      </c>
      <c r="J2043" s="333"/>
      <c r="K2043" s="849"/>
      <c r="L2043" s="317">
        <f t="shared" si="1472"/>
        <v>1421392.8</v>
      </c>
      <c r="M2043" s="317"/>
      <c r="N2043" s="372">
        <f t="shared" si="1476"/>
        <v>0</v>
      </c>
      <c r="O2043" s="319">
        <f t="shared" si="1509"/>
        <v>1563532.08</v>
      </c>
      <c r="P2043" s="319">
        <f t="shared" si="1510"/>
        <v>1719885.2880000002</v>
      </c>
      <c r="R2043" s="317"/>
      <c r="U2043" s="320"/>
    </row>
    <row r="2044" spans="1:21" s="344" customFormat="1" outlineLevel="3">
      <c r="A2044" s="402"/>
      <c r="B2044" s="402"/>
      <c r="C2044" s="401">
        <v>2220105</v>
      </c>
      <c r="D2044" s="402" t="s">
        <v>404</v>
      </c>
      <c r="E2044" s="778">
        <v>472607.2</v>
      </c>
      <c r="F2044" s="333"/>
      <c r="G2044" s="333"/>
      <c r="H2044" s="333"/>
      <c r="I2044" s="324">
        <f t="shared" si="1475"/>
        <v>472607.2</v>
      </c>
      <c r="J2044" s="333"/>
      <c r="K2044" s="849"/>
      <c r="L2044" s="317">
        <f t="shared" si="1472"/>
        <v>472607.2</v>
      </c>
      <c r="M2044" s="317"/>
      <c r="N2044" s="372">
        <f t="shared" si="1476"/>
        <v>0</v>
      </c>
      <c r="O2044" s="319">
        <f>L2044*1.1</f>
        <v>519867.92000000004</v>
      </c>
      <c r="P2044" s="319">
        <f t="shared" si="1502"/>
        <v>571854.71200000006</v>
      </c>
      <c r="R2044" s="317"/>
      <c r="U2044" s="320"/>
    </row>
    <row r="2045" spans="1:21" s="344" customFormat="1" outlineLevel="3">
      <c r="A2045" s="402"/>
      <c r="B2045" s="402"/>
      <c r="C2045" s="403">
        <v>2220200</v>
      </c>
      <c r="D2045" s="404" t="s">
        <v>405</v>
      </c>
      <c r="E2045" s="772">
        <f>E2046</f>
        <v>105000</v>
      </c>
      <c r="F2045" s="772">
        <f t="shared" ref="F2045:K2045" si="1516">F2046</f>
        <v>0</v>
      </c>
      <c r="G2045" s="772">
        <f t="shared" si="1516"/>
        <v>0</v>
      </c>
      <c r="H2045" s="772">
        <f t="shared" si="1516"/>
        <v>0</v>
      </c>
      <c r="I2045" s="772">
        <f t="shared" si="1516"/>
        <v>105000</v>
      </c>
      <c r="J2045" s="772">
        <f t="shared" si="1516"/>
        <v>0</v>
      </c>
      <c r="K2045" s="772">
        <f t="shared" si="1516"/>
        <v>-105000</v>
      </c>
      <c r="L2045" s="317">
        <f t="shared" si="1472"/>
        <v>0</v>
      </c>
      <c r="M2045" s="317"/>
      <c r="N2045" s="372">
        <f t="shared" si="1476"/>
        <v>105000</v>
      </c>
      <c r="O2045" s="772">
        <f t="shared" ref="O2045:P2045" si="1517">O2046</f>
        <v>0</v>
      </c>
      <c r="P2045" s="772">
        <f t="shared" si="1517"/>
        <v>0</v>
      </c>
      <c r="R2045" s="317"/>
      <c r="U2045" s="320"/>
    </row>
    <row r="2046" spans="1:21" s="344" customFormat="1" outlineLevel="3">
      <c r="A2046" s="402"/>
      <c r="B2046" s="402"/>
      <c r="C2046" s="401">
        <v>2220205</v>
      </c>
      <c r="D2046" s="402" t="s">
        <v>125</v>
      </c>
      <c r="E2046" s="778">
        <v>105000</v>
      </c>
      <c r="F2046" s="333"/>
      <c r="G2046" s="333"/>
      <c r="H2046" s="333"/>
      <c r="I2046" s="324">
        <f t="shared" si="1475"/>
        <v>105000</v>
      </c>
      <c r="J2046" s="333"/>
      <c r="K2046" s="850">
        <f>-105000</f>
        <v>-105000</v>
      </c>
      <c r="L2046" s="317">
        <f t="shared" si="1472"/>
        <v>0</v>
      </c>
      <c r="M2046" s="317"/>
      <c r="N2046" s="372">
        <f t="shared" si="1476"/>
        <v>105000</v>
      </c>
      <c r="O2046" s="319">
        <f>L2046*1.1</f>
        <v>0</v>
      </c>
      <c r="P2046" s="319">
        <f t="shared" si="1502"/>
        <v>0</v>
      </c>
      <c r="R2046" s="317"/>
      <c r="U2046" s="320"/>
    </row>
    <row r="2047" spans="1:21" s="344" customFormat="1" outlineLevel="3">
      <c r="A2047" s="404"/>
      <c r="B2047" s="404"/>
      <c r="C2047" s="403">
        <v>2640400</v>
      </c>
      <c r="D2047" s="404" t="s">
        <v>1624</v>
      </c>
      <c r="E2047" s="772">
        <f>E2048</f>
        <v>58050445</v>
      </c>
      <c r="F2047" s="772">
        <f t="shared" ref="F2047:K2047" si="1518">F2048</f>
        <v>0</v>
      </c>
      <c r="G2047" s="772">
        <f t="shared" si="1518"/>
        <v>0</v>
      </c>
      <c r="H2047" s="772">
        <f t="shared" si="1518"/>
        <v>0</v>
      </c>
      <c r="I2047" s="772">
        <f t="shared" si="1518"/>
        <v>58050445</v>
      </c>
      <c r="J2047" s="772">
        <f t="shared" si="1518"/>
        <v>16049554.869999997</v>
      </c>
      <c r="K2047" s="772">
        <f t="shared" si="1518"/>
        <v>0</v>
      </c>
      <c r="L2047" s="317">
        <f t="shared" si="1472"/>
        <v>74099999.870000005</v>
      </c>
      <c r="M2047" s="317"/>
      <c r="N2047" s="372">
        <f t="shared" si="1476"/>
        <v>0</v>
      </c>
      <c r="O2047" s="772">
        <f t="shared" ref="O2047:P2047" si="1519">O2048</f>
        <v>81509999.857000008</v>
      </c>
      <c r="P2047" s="772">
        <f t="shared" si="1519"/>
        <v>89660999.842700019</v>
      </c>
      <c r="R2047" s="317"/>
      <c r="U2047" s="320"/>
    </row>
    <row r="2048" spans="1:21" s="344" customFormat="1" outlineLevel="3">
      <c r="A2048" s="402"/>
      <c r="B2048" s="402"/>
      <c r="C2048" s="401">
        <v>2640499</v>
      </c>
      <c r="D2048" s="402" t="s">
        <v>1625</v>
      </c>
      <c r="E2048" s="851">
        <v>58050445</v>
      </c>
      <c r="F2048" s="333"/>
      <c r="G2048" s="333"/>
      <c r="H2048" s="333"/>
      <c r="I2048" s="324">
        <f t="shared" si="1475"/>
        <v>58050445</v>
      </c>
      <c r="J2048" s="333">
        <v>16049554.869999997</v>
      </c>
      <c r="K2048" s="849"/>
      <c r="L2048" s="317">
        <f t="shared" si="1472"/>
        <v>74099999.870000005</v>
      </c>
      <c r="M2048" s="317"/>
      <c r="N2048" s="372">
        <f t="shared" si="1476"/>
        <v>0</v>
      </c>
      <c r="O2048" s="319">
        <f>L2048*1.1</f>
        <v>81509999.857000008</v>
      </c>
      <c r="P2048" s="319">
        <f t="shared" si="1502"/>
        <v>89660999.842700019</v>
      </c>
      <c r="R2048" s="317"/>
      <c r="U2048" s="320" t="s">
        <v>1803</v>
      </c>
    </row>
    <row r="2049" spans="1:21" s="344" customFormat="1" outlineLevel="3">
      <c r="A2049" s="404"/>
      <c r="B2049" s="404"/>
      <c r="C2049" s="403">
        <v>3110700</v>
      </c>
      <c r="D2049" s="404" t="s">
        <v>65</v>
      </c>
      <c r="E2049" s="772">
        <f>E2050</f>
        <v>1701800</v>
      </c>
      <c r="F2049" s="772">
        <f t="shared" ref="F2049:K2049" si="1520">F2050</f>
        <v>0</v>
      </c>
      <c r="G2049" s="772">
        <f t="shared" si="1520"/>
        <v>0</v>
      </c>
      <c r="H2049" s="772">
        <f t="shared" si="1520"/>
        <v>0</v>
      </c>
      <c r="I2049" s="772">
        <f t="shared" si="1520"/>
        <v>1701800</v>
      </c>
      <c r="J2049" s="772">
        <f t="shared" si="1520"/>
        <v>0</v>
      </c>
      <c r="K2049" s="772">
        <f t="shared" si="1520"/>
        <v>150000</v>
      </c>
      <c r="L2049" s="317">
        <f t="shared" si="1472"/>
        <v>1851800</v>
      </c>
      <c r="M2049" s="317"/>
      <c r="N2049" s="372">
        <f t="shared" si="1476"/>
        <v>-150000</v>
      </c>
      <c r="O2049" s="772">
        <f t="shared" ref="O2049:P2049" si="1521">O2050</f>
        <v>2036980.0000000002</v>
      </c>
      <c r="P2049" s="772">
        <f t="shared" si="1521"/>
        <v>2240678.0000000005</v>
      </c>
      <c r="R2049" s="317"/>
      <c r="U2049" s="320"/>
    </row>
    <row r="2050" spans="1:21" s="344" customFormat="1" outlineLevel="3">
      <c r="A2050" s="402"/>
      <c r="B2050" s="402"/>
      <c r="C2050" s="401">
        <v>3110704</v>
      </c>
      <c r="D2050" s="402" t="s">
        <v>443</v>
      </c>
      <c r="E2050" s="778">
        <f>2201800-500000</f>
        <v>1701800</v>
      </c>
      <c r="F2050" s="333"/>
      <c r="G2050" s="333"/>
      <c r="H2050" s="333"/>
      <c r="I2050" s="324">
        <f t="shared" si="1475"/>
        <v>1701800</v>
      </c>
      <c r="J2050" s="333"/>
      <c r="K2050" s="850">
        <v>150000</v>
      </c>
      <c r="L2050" s="317">
        <f t="shared" si="1472"/>
        <v>1851800</v>
      </c>
      <c r="M2050" s="317"/>
      <c r="N2050" s="372">
        <f t="shared" si="1476"/>
        <v>-150000</v>
      </c>
      <c r="O2050" s="319">
        <f>L2050*1.1</f>
        <v>2036980.0000000002</v>
      </c>
      <c r="P2050" s="319">
        <f t="shared" si="1502"/>
        <v>2240678.0000000005</v>
      </c>
      <c r="R2050" s="317"/>
      <c r="U2050" s="320"/>
    </row>
    <row r="2051" spans="1:21" s="344" customFormat="1" outlineLevel="3">
      <c r="A2051" s="402"/>
      <c r="B2051" s="402"/>
      <c r="C2051" s="403">
        <v>3111000</v>
      </c>
      <c r="D2051" s="404" t="s">
        <v>69</v>
      </c>
      <c r="E2051" s="784">
        <f>E2052+E2053</f>
        <v>2000000</v>
      </c>
      <c r="F2051" s="784">
        <f t="shared" ref="F2051:K2051" si="1522">F2052+F2053</f>
        <v>0</v>
      </c>
      <c r="G2051" s="784">
        <f t="shared" si="1522"/>
        <v>0</v>
      </c>
      <c r="H2051" s="784">
        <f t="shared" si="1522"/>
        <v>0</v>
      </c>
      <c r="I2051" s="784">
        <f t="shared" si="1522"/>
        <v>2000000</v>
      </c>
      <c r="J2051" s="784">
        <f t="shared" si="1522"/>
        <v>0</v>
      </c>
      <c r="K2051" s="784">
        <f t="shared" si="1522"/>
        <v>0</v>
      </c>
      <c r="L2051" s="317">
        <f t="shared" si="1472"/>
        <v>2000000</v>
      </c>
      <c r="M2051" s="317"/>
      <c r="N2051" s="372">
        <f t="shared" si="1476"/>
        <v>0</v>
      </c>
      <c r="O2051" s="784">
        <f t="shared" ref="O2051:P2051" si="1523">O2052+O2053</f>
        <v>2200000</v>
      </c>
      <c r="P2051" s="784">
        <f t="shared" si="1523"/>
        <v>2420000</v>
      </c>
      <c r="R2051" s="317"/>
      <c r="U2051" s="320"/>
    </row>
    <row r="2052" spans="1:21" s="344" customFormat="1" outlineLevel="3">
      <c r="A2052" s="404"/>
      <c r="B2052" s="404"/>
      <c r="C2052" s="401">
        <v>3111001</v>
      </c>
      <c r="D2052" s="402" t="s">
        <v>70</v>
      </c>
      <c r="E2052" s="670">
        <v>950000</v>
      </c>
      <c r="F2052" s="333"/>
      <c r="G2052" s="333"/>
      <c r="H2052" s="333"/>
      <c r="I2052" s="324">
        <f t="shared" si="1475"/>
        <v>950000</v>
      </c>
      <c r="J2052" s="333"/>
      <c r="K2052" s="849"/>
      <c r="L2052" s="317">
        <f t="shared" si="1472"/>
        <v>950000</v>
      </c>
      <c r="M2052" s="317"/>
      <c r="N2052" s="372">
        <f t="shared" si="1476"/>
        <v>0</v>
      </c>
      <c r="O2052" s="319">
        <f>L2052*1.1</f>
        <v>1045000.0000000001</v>
      </c>
      <c r="P2052" s="319">
        <f t="shared" si="1502"/>
        <v>1149500.0000000002</v>
      </c>
      <c r="R2052" s="317"/>
      <c r="U2052" s="320"/>
    </row>
    <row r="2053" spans="1:21" s="344" customFormat="1" outlineLevel="3">
      <c r="A2053" s="402"/>
      <c r="B2053" s="402"/>
      <c r="C2053" s="401">
        <v>3111002</v>
      </c>
      <c r="D2053" s="402" t="s">
        <v>71</v>
      </c>
      <c r="E2053" s="670">
        <v>1050000</v>
      </c>
      <c r="F2053" s="333"/>
      <c r="G2053" s="333"/>
      <c r="H2053" s="333"/>
      <c r="I2053" s="324">
        <f t="shared" si="1475"/>
        <v>1050000</v>
      </c>
      <c r="J2053" s="333"/>
      <c r="K2053" s="849"/>
      <c r="L2053" s="317">
        <f t="shared" ref="L2053:L2116" si="1524">I2053+J2053+K2053</f>
        <v>1050000</v>
      </c>
      <c r="M2053" s="317"/>
      <c r="N2053" s="372">
        <f t="shared" si="1476"/>
        <v>0</v>
      </c>
      <c r="O2053" s="319">
        <f>L2053*1.1</f>
        <v>1155000</v>
      </c>
      <c r="P2053" s="319">
        <f t="shared" ref="P2053:P2089" si="1525">O2053*1.1</f>
        <v>1270500</v>
      </c>
      <c r="R2053" s="317"/>
      <c r="U2053" s="320"/>
    </row>
    <row r="2054" spans="1:21" s="344" customFormat="1" outlineLevel="2">
      <c r="A2054" s="859"/>
      <c r="B2054" s="859"/>
      <c r="C2054" s="829" t="s">
        <v>406</v>
      </c>
      <c r="D2054" s="859"/>
      <c r="E2054" s="666">
        <f>E2051+E2049+E2047+E2045+E2042+E2040+E2036+E2034+E2028+E2025+E2022+E2019+E2016+E2014+E2012</f>
        <v>1065101854.084</v>
      </c>
      <c r="F2054" s="666">
        <f t="shared" ref="F2054:K2054" si="1526">F2051+F2049+F2047+F2045+F2042+F2040+F2036+F2034+F2028+F2025+F2022+F2019+F2016+F2014+F2012</f>
        <v>0</v>
      </c>
      <c r="G2054" s="666">
        <f t="shared" si="1526"/>
        <v>0</v>
      </c>
      <c r="H2054" s="666">
        <f t="shared" si="1526"/>
        <v>0</v>
      </c>
      <c r="I2054" s="666">
        <f t="shared" si="1526"/>
        <v>1065101854.084</v>
      </c>
      <c r="J2054" s="666">
        <f t="shared" si="1526"/>
        <v>4049554.8699999973</v>
      </c>
      <c r="K2054" s="666">
        <f t="shared" si="1526"/>
        <v>-435000</v>
      </c>
      <c r="L2054" s="317">
        <f t="shared" si="1524"/>
        <v>1068716408.954</v>
      </c>
      <c r="M2054" s="317"/>
      <c r="N2054" s="372">
        <f t="shared" si="1476"/>
        <v>435000</v>
      </c>
      <c r="O2054" s="666">
        <f t="shared" ref="O2054:P2054" si="1527">O2051+O2049+O2047+O2045+O2042+O2040+O2036+O2034+O2028+O2025+O2022+O2019+O2016+O2014+O2012</f>
        <v>1175588049.8494</v>
      </c>
      <c r="P2054" s="666">
        <f t="shared" si="1527"/>
        <v>1293146854.8343403</v>
      </c>
      <c r="R2054" s="317"/>
      <c r="U2054" s="320"/>
    </row>
    <row r="2055" spans="1:21" s="344" customFormat="1" outlineLevel="2">
      <c r="A2055" s="345"/>
      <c r="B2055" s="345"/>
      <c r="C2055" s="405"/>
      <c r="D2055" s="405"/>
      <c r="E2055" s="406"/>
      <c r="F2055" s="348"/>
      <c r="G2055" s="348"/>
      <c r="H2055" s="348"/>
      <c r="I2055" s="324">
        <f t="shared" si="1475"/>
        <v>0</v>
      </c>
      <c r="J2055" s="348"/>
      <c r="K2055" s="849"/>
      <c r="L2055" s="317">
        <f t="shared" si="1524"/>
        <v>0</v>
      </c>
      <c r="M2055" s="317"/>
      <c r="N2055" s="372">
        <f t="shared" si="1476"/>
        <v>0</v>
      </c>
      <c r="O2055" s="319">
        <f>L2055*1.1</f>
        <v>0</v>
      </c>
      <c r="P2055" s="319">
        <f t="shared" si="1525"/>
        <v>0</v>
      </c>
      <c r="R2055" s="317"/>
      <c r="U2055" s="320"/>
    </row>
    <row r="2056" spans="1:21" s="325" customFormat="1" outlineLevel="2">
      <c r="A2056" s="860" t="s">
        <v>168</v>
      </c>
      <c r="B2056" s="404" t="s">
        <v>146</v>
      </c>
      <c r="C2056" s="403">
        <v>3110300</v>
      </c>
      <c r="D2056" s="404" t="s">
        <v>293</v>
      </c>
      <c r="E2056" s="397"/>
      <c r="F2056" s="329"/>
      <c r="G2056" s="329"/>
      <c r="H2056" s="329"/>
      <c r="I2056" s="324">
        <f t="shared" si="1475"/>
        <v>0</v>
      </c>
      <c r="J2056" s="329"/>
      <c r="K2056" s="849"/>
      <c r="L2056" s="317">
        <f t="shared" si="1524"/>
        <v>0</v>
      </c>
      <c r="M2056" s="317"/>
      <c r="N2056" s="372">
        <f t="shared" si="1476"/>
        <v>0</v>
      </c>
      <c r="O2056" s="319"/>
      <c r="P2056" s="319"/>
      <c r="R2056" s="317"/>
      <c r="U2056" s="320"/>
    </row>
    <row r="2057" spans="1:21" s="325" customFormat="1" outlineLevel="2">
      <c r="A2057" s="860"/>
      <c r="B2057" s="404"/>
      <c r="C2057" s="403">
        <v>3111100</v>
      </c>
      <c r="D2057" s="404" t="s">
        <v>475</v>
      </c>
      <c r="E2057" s="772">
        <f>E2058+E2059+E2060+E2061</f>
        <v>7150000</v>
      </c>
      <c r="F2057" s="772">
        <f t="shared" ref="F2057:P2057" si="1528">F2058+F2059+F2060+F2061</f>
        <v>0</v>
      </c>
      <c r="G2057" s="772">
        <f t="shared" si="1528"/>
        <v>0</v>
      </c>
      <c r="H2057" s="772">
        <f t="shared" si="1528"/>
        <v>0</v>
      </c>
      <c r="I2057" s="772">
        <f t="shared" si="1528"/>
        <v>7150000</v>
      </c>
      <c r="J2057" s="772">
        <f t="shared" si="1528"/>
        <v>0</v>
      </c>
      <c r="K2057" s="772">
        <f t="shared" si="1528"/>
        <v>1285000</v>
      </c>
      <c r="L2057" s="317">
        <f t="shared" si="1524"/>
        <v>8435000</v>
      </c>
      <c r="M2057" s="317"/>
      <c r="N2057" s="372">
        <f t="shared" ref="N2057:N2120" si="1529">M2057-K2057</f>
        <v>-1285000</v>
      </c>
      <c r="O2057" s="772">
        <f t="shared" si="1528"/>
        <v>9278500</v>
      </c>
      <c r="P2057" s="772">
        <f t="shared" si="1528"/>
        <v>10206350.000000002</v>
      </c>
      <c r="R2057" s="317"/>
      <c r="U2057" s="320"/>
    </row>
    <row r="2058" spans="1:21" s="325" customFormat="1" outlineLevel="2">
      <c r="A2058" s="860"/>
      <c r="B2058" s="404"/>
      <c r="C2058" s="401">
        <v>3111101</v>
      </c>
      <c r="D2058" s="402" t="s">
        <v>1626</v>
      </c>
      <c r="E2058" s="670">
        <v>3000000</v>
      </c>
      <c r="F2058" s="333"/>
      <c r="G2058" s="333"/>
      <c r="H2058" s="333"/>
      <c r="I2058" s="324">
        <f t="shared" ref="I2058:I2122" si="1530">E2058+F2058+G2058+H2058</f>
        <v>3000000</v>
      </c>
      <c r="J2058" s="333"/>
      <c r="K2058" s="849"/>
      <c r="L2058" s="317">
        <f t="shared" si="1524"/>
        <v>3000000</v>
      </c>
      <c r="M2058" s="317"/>
      <c r="N2058" s="372">
        <f t="shared" si="1529"/>
        <v>0</v>
      </c>
      <c r="O2058" s="319">
        <f t="shared" ref="O2058:O2065" si="1531">L2058*1.1</f>
        <v>3300000.0000000005</v>
      </c>
      <c r="P2058" s="319">
        <f t="shared" ref="P2058:P2065" si="1532">O2058*1.1</f>
        <v>3630000.0000000009</v>
      </c>
      <c r="R2058" s="317"/>
      <c r="U2058" s="320"/>
    </row>
    <row r="2059" spans="1:21" s="325" customFormat="1" outlineLevel="2">
      <c r="A2059" s="860"/>
      <c r="B2059" s="404"/>
      <c r="C2059" s="401">
        <v>3111101</v>
      </c>
      <c r="D2059" s="345" t="s">
        <v>1627</v>
      </c>
      <c r="E2059" s="778">
        <v>1200000</v>
      </c>
      <c r="F2059" s="406"/>
      <c r="G2059" s="406"/>
      <c r="H2059" s="406"/>
      <c r="I2059" s="324">
        <f t="shared" si="1530"/>
        <v>1200000</v>
      </c>
      <c r="J2059" s="406"/>
      <c r="K2059" s="850">
        <f>500000+400000</f>
        <v>900000</v>
      </c>
      <c r="L2059" s="317">
        <f t="shared" si="1524"/>
        <v>2100000</v>
      </c>
      <c r="M2059" s="317"/>
      <c r="N2059" s="372">
        <f t="shared" si="1529"/>
        <v>-900000</v>
      </c>
      <c r="O2059" s="319">
        <f t="shared" si="1531"/>
        <v>2310000</v>
      </c>
      <c r="P2059" s="319">
        <f t="shared" si="1532"/>
        <v>2541000</v>
      </c>
      <c r="R2059" s="317"/>
      <c r="U2059" s="320"/>
    </row>
    <row r="2060" spans="1:21" s="325" customFormat="1" outlineLevel="2">
      <c r="A2060" s="860"/>
      <c r="B2060" s="404"/>
      <c r="C2060" s="401">
        <v>3111101</v>
      </c>
      <c r="D2060" s="345" t="s">
        <v>1628</v>
      </c>
      <c r="E2060" s="778">
        <v>1000000</v>
      </c>
      <c r="F2060" s="406"/>
      <c r="G2060" s="406"/>
      <c r="H2060" s="406"/>
      <c r="I2060" s="324">
        <f t="shared" si="1530"/>
        <v>1000000</v>
      </c>
      <c r="J2060" s="406"/>
      <c r="K2060" s="850">
        <v>500000</v>
      </c>
      <c r="L2060" s="317">
        <f t="shared" si="1524"/>
        <v>1500000</v>
      </c>
      <c r="M2060" s="317"/>
      <c r="N2060" s="372">
        <f t="shared" si="1529"/>
        <v>-500000</v>
      </c>
      <c r="O2060" s="319">
        <f t="shared" si="1531"/>
        <v>1650000.0000000002</v>
      </c>
      <c r="P2060" s="319">
        <f t="shared" si="1532"/>
        <v>1815000.0000000005</v>
      </c>
      <c r="R2060" s="317"/>
      <c r="U2060" s="320"/>
    </row>
    <row r="2061" spans="1:21" s="325" customFormat="1" outlineLevel="2">
      <c r="A2061" s="860"/>
      <c r="B2061" s="404"/>
      <c r="C2061" s="401">
        <v>3111101</v>
      </c>
      <c r="D2061" s="345" t="s">
        <v>1629</v>
      </c>
      <c r="E2061" s="778">
        <v>1950000</v>
      </c>
      <c r="F2061" s="406"/>
      <c r="G2061" s="406"/>
      <c r="H2061" s="406"/>
      <c r="I2061" s="324">
        <f t="shared" si="1530"/>
        <v>1950000</v>
      </c>
      <c r="J2061" s="406"/>
      <c r="K2061" s="850">
        <v>-115000</v>
      </c>
      <c r="L2061" s="317">
        <f t="shared" si="1524"/>
        <v>1835000</v>
      </c>
      <c r="M2061" s="317"/>
      <c r="N2061" s="372">
        <f t="shared" si="1529"/>
        <v>115000</v>
      </c>
      <c r="O2061" s="319">
        <f t="shared" si="1531"/>
        <v>2018500.0000000002</v>
      </c>
      <c r="P2061" s="319">
        <f t="shared" si="1532"/>
        <v>2220350.0000000005</v>
      </c>
      <c r="R2061" s="317"/>
      <c r="U2061" s="320"/>
    </row>
    <row r="2062" spans="1:21" s="325" customFormat="1" outlineLevel="2">
      <c r="A2062" s="890"/>
      <c r="B2062" s="836"/>
      <c r="C2062" s="837">
        <v>3110202</v>
      </c>
      <c r="D2062" s="836" t="s">
        <v>413</v>
      </c>
      <c r="E2062" s="818">
        <f>E2063+E2065+E2064+E2066+E2067+E2068+E2069</f>
        <v>12261165</v>
      </c>
      <c r="F2062" s="818">
        <f t="shared" ref="F2062:K2062" si="1533">F2063+F2065+F2064+F2066+F2067+F2068+F2069</f>
        <v>7945736.2999999989</v>
      </c>
      <c r="G2062" s="818">
        <f t="shared" si="1533"/>
        <v>18000000</v>
      </c>
      <c r="H2062" s="818">
        <f t="shared" si="1533"/>
        <v>0</v>
      </c>
      <c r="I2062" s="818">
        <f t="shared" si="1533"/>
        <v>38206901.299999997</v>
      </c>
      <c r="J2062" s="818">
        <f t="shared" si="1533"/>
        <v>0</v>
      </c>
      <c r="K2062" s="818">
        <f t="shared" si="1533"/>
        <v>-850000</v>
      </c>
      <c r="L2062" s="317">
        <f t="shared" si="1524"/>
        <v>37356901.299999997</v>
      </c>
      <c r="M2062" s="2212"/>
      <c r="N2062" s="372">
        <f t="shared" si="1529"/>
        <v>850000</v>
      </c>
      <c r="O2062" s="818">
        <f t="shared" ref="O2062:P2062" si="1534">O2063+O2065+O2064+O2066+O2067</f>
        <v>30339281.500000004</v>
      </c>
      <c r="P2062" s="818">
        <f t="shared" si="1534"/>
        <v>33373209.650000006</v>
      </c>
      <c r="R2062" s="317"/>
      <c r="U2062" s="320"/>
    </row>
    <row r="2063" spans="1:21" s="325" customFormat="1" outlineLevel="2">
      <c r="A2063" s="860"/>
      <c r="B2063" s="404"/>
      <c r="C2063" s="401">
        <v>3110202</v>
      </c>
      <c r="D2063" s="402" t="s">
        <v>1630</v>
      </c>
      <c r="E2063" s="778">
        <f>6200000</f>
        <v>6200000</v>
      </c>
      <c r="F2063" s="333"/>
      <c r="G2063" s="333">
        <v>18000000</v>
      </c>
      <c r="H2063" s="333"/>
      <c r="I2063" s="324">
        <f t="shared" si="1530"/>
        <v>24200000</v>
      </c>
      <c r="J2063" s="333"/>
      <c r="K2063" s="850">
        <f>-150000-500000-630000-1200000-400000</f>
        <v>-2880000</v>
      </c>
      <c r="L2063" s="317">
        <f t="shared" si="1524"/>
        <v>21320000</v>
      </c>
      <c r="M2063" s="2210"/>
      <c r="N2063" s="372">
        <f t="shared" si="1529"/>
        <v>2880000</v>
      </c>
      <c r="O2063" s="318">
        <f t="shared" si="1531"/>
        <v>23452000.000000004</v>
      </c>
      <c r="P2063" s="319">
        <f t="shared" si="1532"/>
        <v>25797200.000000007</v>
      </c>
      <c r="R2063" s="317"/>
      <c r="U2063" s="320"/>
    </row>
    <row r="2064" spans="1:21" s="325" customFormat="1" outlineLevel="2">
      <c r="A2064" s="891"/>
      <c r="B2064" s="847"/>
      <c r="C2064" s="875">
        <v>3110202</v>
      </c>
      <c r="D2064" s="857" t="s">
        <v>1631</v>
      </c>
      <c r="E2064" s="892">
        <v>2061165</v>
      </c>
      <c r="F2064" s="393"/>
      <c r="G2064" s="393"/>
      <c r="H2064" s="393"/>
      <c r="I2064" s="324">
        <f t="shared" si="1530"/>
        <v>2061165</v>
      </c>
      <c r="J2064" s="393"/>
      <c r="K2064" s="849"/>
      <c r="L2064" s="317">
        <f t="shared" si="1524"/>
        <v>2061165</v>
      </c>
      <c r="M2064" s="317"/>
      <c r="N2064" s="372">
        <f t="shared" si="1529"/>
        <v>0</v>
      </c>
      <c r="O2064" s="319">
        <f t="shared" si="1531"/>
        <v>2267281.5</v>
      </c>
      <c r="P2064" s="319">
        <f t="shared" si="1532"/>
        <v>2494009.6500000004</v>
      </c>
      <c r="R2064" s="317"/>
      <c r="U2064" s="320"/>
    </row>
    <row r="2065" spans="1:21" s="325" customFormat="1" outlineLevel="2">
      <c r="A2065" s="860"/>
      <c r="B2065" s="404"/>
      <c r="C2065" s="401">
        <v>3110202</v>
      </c>
      <c r="D2065" s="345" t="s">
        <v>1632</v>
      </c>
      <c r="E2065" s="885">
        <v>4000000</v>
      </c>
      <c r="F2065" s="406"/>
      <c r="G2065" s="406">
        <v>0</v>
      </c>
      <c r="H2065" s="406"/>
      <c r="I2065" s="324">
        <f t="shared" si="1530"/>
        <v>4000000</v>
      </c>
      <c r="J2065" s="406"/>
      <c r="K2065" s="850">
        <v>200000</v>
      </c>
      <c r="L2065" s="317">
        <f t="shared" si="1524"/>
        <v>4200000</v>
      </c>
      <c r="M2065" s="317"/>
      <c r="N2065" s="372">
        <f t="shared" si="1529"/>
        <v>-200000</v>
      </c>
      <c r="O2065" s="319">
        <f t="shared" si="1531"/>
        <v>4620000</v>
      </c>
      <c r="P2065" s="319">
        <f t="shared" si="1532"/>
        <v>5082000</v>
      </c>
      <c r="R2065" s="317"/>
      <c r="U2065" s="320"/>
    </row>
    <row r="2066" spans="1:21" s="325" customFormat="1" outlineLevel="2">
      <c r="A2066" s="860"/>
      <c r="B2066" s="404"/>
      <c r="C2066" s="401">
        <v>3110202</v>
      </c>
      <c r="D2066" s="345" t="s">
        <v>2090</v>
      </c>
      <c r="E2066" s="885"/>
      <c r="F2066" s="885">
        <v>1499230.35</v>
      </c>
      <c r="G2066" s="406"/>
      <c r="H2066" s="406"/>
      <c r="I2066" s="324">
        <f t="shared" si="1530"/>
        <v>1499230.35</v>
      </c>
      <c r="J2066" s="406"/>
      <c r="K2066" s="849"/>
      <c r="L2066" s="317">
        <f t="shared" si="1524"/>
        <v>1499230.35</v>
      </c>
      <c r="M2066" s="317"/>
      <c r="N2066" s="372">
        <f t="shared" si="1529"/>
        <v>0</v>
      </c>
      <c r="O2066" s="319"/>
      <c r="P2066" s="319"/>
      <c r="R2066" s="317"/>
      <c r="U2066" s="320"/>
    </row>
    <row r="2067" spans="1:21" s="325" customFormat="1" outlineLevel="2">
      <c r="A2067" s="860"/>
      <c r="B2067" s="404"/>
      <c r="C2067" s="401">
        <v>3110202</v>
      </c>
      <c r="D2067" s="345" t="s">
        <v>2091</v>
      </c>
      <c r="E2067" s="885"/>
      <c r="F2067" s="885">
        <v>6446505.9499999993</v>
      </c>
      <c r="G2067" s="406"/>
      <c r="H2067" s="406"/>
      <c r="I2067" s="324">
        <f t="shared" si="1530"/>
        <v>6446505.9499999993</v>
      </c>
      <c r="J2067" s="406"/>
      <c r="K2067" s="849"/>
      <c r="L2067" s="317">
        <f t="shared" si="1524"/>
        <v>6446505.9499999993</v>
      </c>
      <c r="M2067" s="317"/>
      <c r="N2067" s="372">
        <f t="shared" si="1529"/>
        <v>0</v>
      </c>
      <c r="O2067" s="319"/>
      <c r="P2067" s="319"/>
      <c r="R2067" s="317"/>
      <c r="U2067" s="320"/>
    </row>
    <row r="2068" spans="1:21" s="325" customFormat="1" outlineLevel="2">
      <c r="A2068" s="860"/>
      <c r="B2068" s="404"/>
      <c r="C2068" s="401">
        <v>3110202</v>
      </c>
      <c r="D2068" s="345" t="s">
        <v>2562</v>
      </c>
      <c r="E2068" s="885"/>
      <c r="F2068" s="885"/>
      <c r="G2068" s="406"/>
      <c r="H2068" s="406"/>
      <c r="I2068" s="324"/>
      <c r="J2068" s="406"/>
      <c r="K2068" s="850">
        <v>630000</v>
      </c>
      <c r="L2068" s="317">
        <f t="shared" si="1524"/>
        <v>630000</v>
      </c>
      <c r="M2068" s="317"/>
      <c r="N2068" s="372">
        <f t="shared" si="1529"/>
        <v>-630000</v>
      </c>
      <c r="O2068" s="319"/>
      <c r="P2068" s="319"/>
      <c r="R2068" s="317"/>
      <c r="U2068" s="320"/>
    </row>
    <row r="2069" spans="1:21" s="325" customFormat="1" outlineLevel="2">
      <c r="A2069" s="860"/>
      <c r="B2069" s="404"/>
      <c r="C2069" s="401">
        <v>3110202</v>
      </c>
      <c r="D2069" s="345" t="s">
        <v>2563</v>
      </c>
      <c r="E2069" s="885"/>
      <c r="F2069" s="885"/>
      <c r="G2069" s="406"/>
      <c r="H2069" s="406"/>
      <c r="I2069" s="324"/>
      <c r="J2069" s="406"/>
      <c r="K2069" s="850">
        <v>1200000</v>
      </c>
      <c r="L2069" s="317">
        <f t="shared" si="1524"/>
        <v>1200000</v>
      </c>
      <c r="M2069" s="317"/>
      <c r="N2069" s="372">
        <f t="shared" si="1529"/>
        <v>-1200000</v>
      </c>
      <c r="O2069" s="319"/>
      <c r="P2069" s="319"/>
      <c r="R2069" s="317"/>
      <c r="U2069" s="320"/>
    </row>
    <row r="2070" spans="1:21" s="325" customFormat="1" outlineLevel="2">
      <c r="A2070" s="404"/>
      <c r="B2070" s="404"/>
      <c r="C2070" s="403" t="s">
        <v>445</v>
      </c>
      <c r="D2070" s="404"/>
      <c r="E2070" s="438">
        <f>E2062+E2057</f>
        <v>19411165</v>
      </c>
      <c r="F2070" s="438">
        <f t="shared" ref="F2070:K2070" si="1535">F2062+F2057</f>
        <v>7945736.2999999989</v>
      </c>
      <c r="G2070" s="438">
        <f t="shared" si="1535"/>
        <v>18000000</v>
      </c>
      <c r="H2070" s="438">
        <f t="shared" si="1535"/>
        <v>0</v>
      </c>
      <c r="I2070" s="438">
        <f t="shared" si="1535"/>
        <v>45356901.299999997</v>
      </c>
      <c r="J2070" s="438">
        <f t="shared" si="1535"/>
        <v>0</v>
      </c>
      <c r="K2070" s="438">
        <f t="shared" si="1535"/>
        <v>435000</v>
      </c>
      <c r="L2070" s="317">
        <f t="shared" si="1524"/>
        <v>45791901.299999997</v>
      </c>
      <c r="M2070" s="317"/>
      <c r="N2070" s="372">
        <f t="shared" si="1529"/>
        <v>-435000</v>
      </c>
      <c r="O2070" s="438">
        <f t="shared" ref="O2070:P2070" si="1536">O2062+O2057</f>
        <v>39617781.5</v>
      </c>
      <c r="P2070" s="438">
        <f t="shared" si="1536"/>
        <v>43579559.650000006</v>
      </c>
      <c r="R2070" s="317"/>
      <c r="U2070" s="320"/>
    </row>
    <row r="2071" spans="1:21" s="344" customFormat="1" outlineLevel="1">
      <c r="A2071" s="404"/>
      <c r="B2071" s="404"/>
      <c r="C2071" s="403"/>
      <c r="D2071" s="404" t="s">
        <v>84</v>
      </c>
      <c r="E2071" s="438">
        <f>E2070+E2054</f>
        <v>1084513019.0840001</v>
      </c>
      <c r="F2071" s="438">
        <f t="shared" ref="F2071:K2071" si="1537">F2070+F2054</f>
        <v>7945736.2999999989</v>
      </c>
      <c r="G2071" s="438">
        <f t="shared" si="1537"/>
        <v>18000000</v>
      </c>
      <c r="H2071" s="438">
        <f t="shared" si="1537"/>
        <v>0</v>
      </c>
      <c r="I2071" s="438">
        <f t="shared" si="1537"/>
        <v>1110458755.3840001</v>
      </c>
      <c r="J2071" s="438">
        <f t="shared" si="1537"/>
        <v>4049554.8699999973</v>
      </c>
      <c r="K2071" s="438">
        <f t="shared" si="1537"/>
        <v>0</v>
      </c>
      <c r="L2071" s="317">
        <f t="shared" si="1524"/>
        <v>1114508310.2539999</v>
      </c>
      <c r="M2071" s="317"/>
      <c r="N2071" s="372">
        <f t="shared" si="1529"/>
        <v>0</v>
      </c>
      <c r="O2071" s="438">
        <f t="shared" ref="O2071:P2071" si="1538">O2070+O2054</f>
        <v>1215205831.3494</v>
      </c>
      <c r="P2071" s="438">
        <f t="shared" si="1538"/>
        <v>1336726414.4843404</v>
      </c>
      <c r="R2071" s="317"/>
      <c r="U2071" s="320"/>
    </row>
    <row r="2072" spans="1:21" s="344" customFormat="1" outlineLevel="1">
      <c r="A2072" s="404"/>
      <c r="B2072" s="404"/>
      <c r="C2072" s="403"/>
      <c r="D2072" s="404"/>
      <c r="E2072" s="438"/>
      <c r="F2072" s="329"/>
      <c r="G2072" s="329"/>
      <c r="H2072" s="329"/>
      <c r="I2072" s="324">
        <f t="shared" si="1530"/>
        <v>0</v>
      </c>
      <c r="J2072" s="329"/>
      <c r="K2072" s="438"/>
      <c r="L2072" s="317">
        <f t="shared" si="1524"/>
        <v>0</v>
      </c>
      <c r="M2072" s="317"/>
      <c r="N2072" s="372">
        <f t="shared" si="1529"/>
        <v>0</v>
      </c>
      <c r="O2072" s="476"/>
      <c r="P2072" s="476"/>
      <c r="R2072" s="317"/>
      <c r="U2072" s="320"/>
    </row>
    <row r="2073" spans="1:21" s="344" customFormat="1" outlineLevel="1">
      <c r="A2073" s="860" t="s">
        <v>168</v>
      </c>
      <c r="B2073" s="404" t="s">
        <v>146</v>
      </c>
      <c r="C2073" s="893" t="s">
        <v>1633</v>
      </c>
      <c r="D2073" s="894"/>
      <c r="E2073" s="438"/>
      <c r="F2073" s="895"/>
      <c r="G2073" s="895"/>
      <c r="H2073" s="895"/>
      <c r="I2073" s="324">
        <f t="shared" si="1530"/>
        <v>0</v>
      </c>
      <c r="J2073" s="895"/>
      <c r="K2073" s="438"/>
      <c r="L2073" s="317">
        <f t="shared" si="1524"/>
        <v>0</v>
      </c>
      <c r="M2073" s="317"/>
      <c r="N2073" s="372">
        <f t="shared" si="1529"/>
        <v>0</v>
      </c>
      <c r="O2073" s="476"/>
      <c r="P2073" s="476"/>
      <c r="R2073" s="317"/>
      <c r="U2073" s="320"/>
    </row>
    <row r="2074" spans="1:21" s="344" customFormat="1" outlineLevel="1">
      <c r="A2074" s="404"/>
      <c r="B2074" s="404"/>
      <c r="C2074" s="403">
        <v>2210300</v>
      </c>
      <c r="D2074" s="404" t="s">
        <v>24</v>
      </c>
      <c r="E2074" s="784">
        <f>SUM(E2075:E2077)</f>
        <v>1084100</v>
      </c>
      <c r="F2074" s="784">
        <f t="shared" ref="F2074:P2074" si="1539">SUM(F2075:F2077)</f>
        <v>0</v>
      </c>
      <c r="G2074" s="784">
        <f t="shared" si="1539"/>
        <v>0</v>
      </c>
      <c r="H2074" s="784">
        <f t="shared" si="1539"/>
        <v>0</v>
      </c>
      <c r="I2074" s="784">
        <f t="shared" si="1539"/>
        <v>1084100</v>
      </c>
      <c r="J2074" s="784">
        <f t="shared" si="1539"/>
        <v>0</v>
      </c>
      <c r="K2074" s="784">
        <f t="shared" si="1539"/>
        <v>0</v>
      </c>
      <c r="L2074" s="317">
        <f t="shared" si="1524"/>
        <v>1084100</v>
      </c>
      <c r="M2074" s="317"/>
      <c r="N2074" s="372">
        <f t="shared" si="1529"/>
        <v>0</v>
      </c>
      <c r="O2074" s="784">
        <f t="shared" si="1539"/>
        <v>1192510</v>
      </c>
      <c r="P2074" s="784">
        <f t="shared" si="1539"/>
        <v>1311761</v>
      </c>
      <c r="R2074" s="317"/>
      <c r="U2074" s="320"/>
    </row>
    <row r="2075" spans="1:21" s="344" customFormat="1" outlineLevel="1">
      <c r="A2075" s="404"/>
      <c r="B2075" s="404"/>
      <c r="C2075" s="401">
        <v>2210301</v>
      </c>
      <c r="D2075" s="402" t="s">
        <v>25</v>
      </c>
      <c r="E2075" s="851">
        <v>534000</v>
      </c>
      <c r="F2075" s="333"/>
      <c r="G2075" s="333"/>
      <c r="H2075" s="333"/>
      <c r="I2075" s="324">
        <f t="shared" si="1530"/>
        <v>534000</v>
      </c>
      <c r="J2075" s="333"/>
      <c r="K2075" s="333"/>
      <c r="L2075" s="317">
        <f t="shared" si="1524"/>
        <v>534000</v>
      </c>
      <c r="M2075" s="317"/>
      <c r="N2075" s="372">
        <f t="shared" si="1529"/>
        <v>0</v>
      </c>
      <c r="O2075" s="319">
        <f t="shared" ref="O2075:O2081" si="1540">L2075*1.1</f>
        <v>587400</v>
      </c>
      <c r="P2075" s="319">
        <f t="shared" ref="P2075:P2081" si="1541">O2075*1.1</f>
        <v>646140</v>
      </c>
      <c r="R2075" s="317"/>
      <c r="U2075" s="320"/>
    </row>
    <row r="2076" spans="1:21" s="344" customFormat="1" outlineLevel="1">
      <c r="A2076" s="404"/>
      <c r="B2076" s="404"/>
      <c r="C2076" s="401">
        <v>2210302</v>
      </c>
      <c r="D2076" s="402" t="s">
        <v>411</v>
      </c>
      <c r="E2076" s="851">
        <v>300000</v>
      </c>
      <c r="F2076" s="333"/>
      <c r="G2076" s="333"/>
      <c r="H2076" s="333"/>
      <c r="I2076" s="324">
        <f t="shared" si="1530"/>
        <v>300000</v>
      </c>
      <c r="J2076" s="333"/>
      <c r="K2076" s="333"/>
      <c r="L2076" s="317">
        <f t="shared" si="1524"/>
        <v>300000</v>
      </c>
      <c r="M2076" s="317"/>
      <c r="N2076" s="372">
        <f t="shared" si="1529"/>
        <v>0</v>
      </c>
      <c r="O2076" s="319">
        <f t="shared" si="1540"/>
        <v>330000</v>
      </c>
      <c r="P2076" s="319">
        <f t="shared" si="1541"/>
        <v>363000.00000000006</v>
      </c>
      <c r="R2076" s="317"/>
      <c r="U2076" s="320"/>
    </row>
    <row r="2077" spans="1:21" s="344" customFormat="1" outlineLevel="1">
      <c r="A2077" s="404"/>
      <c r="B2077" s="404"/>
      <c r="C2077" s="401">
        <v>2210303</v>
      </c>
      <c r="D2077" s="402" t="s">
        <v>223</v>
      </c>
      <c r="E2077" s="851">
        <v>250100</v>
      </c>
      <c r="F2077" s="333"/>
      <c r="G2077" s="333"/>
      <c r="H2077" s="333"/>
      <c r="I2077" s="324">
        <f t="shared" si="1530"/>
        <v>250100</v>
      </c>
      <c r="J2077" s="333"/>
      <c r="K2077" s="333"/>
      <c r="L2077" s="317">
        <f t="shared" si="1524"/>
        <v>250100</v>
      </c>
      <c r="M2077" s="317"/>
      <c r="N2077" s="372">
        <f t="shared" si="1529"/>
        <v>0</v>
      </c>
      <c r="O2077" s="319">
        <f t="shared" si="1540"/>
        <v>275110</v>
      </c>
      <c r="P2077" s="319">
        <f t="shared" si="1541"/>
        <v>302621</v>
      </c>
      <c r="R2077" s="317"/>
      <c r="U2077" s="320"/>
    </row>
    <row r="2078" spans="1:21" s="344" customFormat="1" outlineLevel="1">
      <c r="A2078" s="404"/>
      <c r="B2078" s="404"/>
      <c r="C2078" s="403">
        <v>2210800</v>
      </c>
      <c r="D2078" s="404" t="s">
        <v>42</v>
      </c>
      <c r="E2078" s="784">
        <f>E2079</f>
        <v>872000</v>
      </c>
      <c r="F2078" s="784">
        <f t="shared" ref="F2078:K2078" si="1542">F2079</f>
        <v>0</v>
      </c>
      <c r="G2078" s="784">
        <f t="shared" si="1542"/>
        <v>0</v>
      </c>
      <c r="H2078" s="784">
        <f t="shared" si="1542"/>
        <v>0</v>
      </c>
      <c r="I2078" s="784">
        <f t="shared" si="1542"/>
        <v>872000</v>
      </c>
      <c r="J2078" s="784">
        <f t="shared" si="1542"/>
        <v>0</v>
      </c>
      <c r="K2078" s="784">
        <f t="shared" si="1542"/>
        <v>0</v>
      </c>
      <c r="L2078" s="317">
        <f t="shared" si="1524"/>
        <v>872000</v>
      </c>
      <c r="M2078" s="317"/>
      <c r="N2078" s="372">
        <f t="shared" si="1529"/>
        <v>0</v>
      </c>
      <c r="O2078" s="784">
        <f t="shared" ref="O2078:P2078" si="1543">O2079</f>
        <v>959200.00000000012</v>
      </c>
      <c r="P2078" s="784">
        <f t="shared" si="1543"/>
        <v>1055120.0000000002</v>
      </c>
      <c r="R2078" s="317"/>
      <c r="U2078" s="320"/>
    </row>
    <row r="2079" spans="1:21" s="344" customFormat="1" outlineLevel="1">
      <c r="A2079" s="404"/>
      <c r="B2079" s="404"/>
      <c r="C2079" s="401">
        <v>2210802</v>
      </c>
      <c r="D2079" s="402" t="s">
        <v>97</v>
      </c>
      <c r="E2079" s="851">
        <v>872000</v>
      </c>
      <c r="F2079" s="333"/>
      <c r="G2079" s="333"/>
      <c r="H2079" s="333"/>
      <c r="I2079" s="324">
        <f t="shared" si="1530"/>
        <v>872000</v>
      </c>
      <c r="J2079" s="333"/>
      <c r="K2079" s="333"/>
      <c r="L2079" s="317">
        <f t="shared" si="1524"/>
        <v>872000</v>
      </c>
      <c r="M2079" s="317"/>
      <c r="N2079" s="372">
        <f t="shared" si="1529"/>
        <v>0</v>
      </c>
      <c r="O2079" s="319">
        <f t="shared" si="1540"/>
        <v>959200.00000000012</v>
      </c>
      <c r="P2079" s="319">
        <f t="shared" si="1541"/>
        <v>1055120.0000000002</v>
      </c>
      <c r="R2079" s="317"/>
      <c r="U2079" s="320"/>
    </row>
    <row r="2080" spans="1:21" s="344" customFormat="1" outlineLevel="1">
      <c r="A2080" s="404"/>
      <c r="B2080" s="404"/>
      <c r="C2080" s="403">
        <v>2211200</v>
      </c>
      <c r="D2080" s="404" t="s">
        <v>55</v>
      </c>
      <c r="E2080" s="896">
        <f>E2081</f>
        <v>43900</v>
      </c>
      <c r="F2080" s="896">
        <f t="shared" ref="F2080:K2080" si="1544">F2081</f>
        <v>0</v>
      </c>
      <c r="G2080" s="896">
        <f t="shared" si="1544"/>
        <v>0</v>
      </c>
      <c r="H2080" s="896">
        <f t="shared" si="1544"/>
        <v>0</v>
      </c>
      <c r="I2080" s="896">
        <f t="shared" si="1544"/>
        <v>43900</v>
      </c>
      <c r="J2080" s="896">
        <f t="shared" si="1544"/>
        <v>0</v>
      </c>
      <c r="K2080" s="896">
        <f t="shared" si="1544"/>
        <v>0</v>
      </c>
      <c r="L2080" s="317">
        <f t="shared" si="1524"/>
        <v>43900</v>
      </c>
      <c r="M2080" s="317"/>
      <c r="N2080" s="372">
        <f t="shared" si="1529"/>
        <v>0</v>
      </c>
      <c r="O2080" s="896">
        <f t="shared" ref="O2080:P2080" si="1545">O2081</f>
        <v>48290.000000000007</v>
      </c>
      <c r="P2080" s="896">
        <f t="shared" si="1545"/>
        <v>53119.000000000015</v>
      </c>
      <c r="R2080" s="317"/>
      <c r="U2080" s="320"/>
    </row>
    <row r="2081" spans="1:21" s="344" customFormat="1" outlineLevel="1">
      <c r="A2081" s="404"/>
      <c r="B2081" s="404"/>
      <c r="C2081" s="401">
        <v>2211201</v>
      </c>
      <c r="D2081" s="402" t="s">
        <v>56</v>
      </c>
      <c r="E2081" s="851">
        <v>43900</v>
      </c>
      <c r="F2081" s="333"/>
      <c r="G2081" s="333"/>
      <c r="H2081" s="333"/>
      <c r="I2081" s="324">
        <f t="shared" si="1530"/>
        <v>43900</v>
      </c>
      <c r="J2081" s="333"/>
      <c r="K2081" s="333"/>
      <c r="L2081" s="317">
        <f t="shared" si="1524"/>
        <v>43900</v>
      </c>
      <c r="M2081" s="317"/>
      <c r="N2081" s="372">
        <f t="shared" si="1529"/>
        <v>0</v>
      </c>
      <c r="O2081" s="319">
        <f t="shared" si="1540"/>
        <v>48290.000000000007</v>
      </c>
      <c r="P2081" s="319">
        <f t="shared" si="1541"/>
        <v>53119.000000000015</v>
      </c>
      <c r="R2081" s="317"/>
      <c r="U2081" s="320"/>
    </row>
    <row r="2082" spans="1:21" s="344" customFormat="1" outlineLevel="1">
      <c r="A2082" s="404"/>
      <c r="B2082" s="404"/>
      <c r="C2082" s="403"/>
      <c r="D2082" s="859" t="s">
        <v>91</v>
      </c>
      <c r="E2082" s="786">
        <f>E2074+E2078+E2080</f>
        <v>2000000</v>
      </c>
      <c r="F2082" s="786">
        <f t="shared" ref="F2082:K2082" si="1546">F2074+F2078+F2080</f>
        <v>0</v>
      </c>
      <c r="G2082" s="786">
        <f t="shared" si="1546"/>
        <v>0</v>
      </c>
      <c r="H2082" s="786">
        <f t="shared" si="1546"/>
        <v>0</v>
      </c>
      <c r="I2082" s="786">
        <f t="shared" si="1546"/>
        <v>2000000</v>
      </c>
      <c r="J2082" s="786">
        <f t="shared" si="1546"/>
        <v>0</v>
      </c>
      <c r="K2082" s="786">
        <f t="shared" si="1546"/>
        <v>0</v>
      </c>
      <c r="L2082" s="317">
        <f t="shared" si="1524"/>
        <v>2000000</v>
      </c>
      <c r="M2082" s="317"/>
      <c r="N2082" s="372">
        <f t="shared" si="1529"/>
        <v>0</v>
      </c>
      <c r="O2082" s="786">
        <f t="shared" ref="O2082:P2082" si="1547">O2074+O2078+O2080</f>
        <v>2200000</v>
      </c>
      <c r="P2082" s="786">
        <f t="shared" si="1547"/>
        <v>2420000</v>
      </c>
      <c r="R2082" s="317"/>
      <c r="U2082" s="320"/>
    </row>
    <row r="2083" spans="1:21" s="344" customFormat="1" outlineLevel="1">
      <c r="A2083" s="404"/>
      <c r="B2083" s="404"/>
      <c r="C2083" s="403"/>
      <c r="D2083" s="404"/>
      <c r="E2083" s="438"/>
      <c r="F2083" s="329"/>
      <c r="G2083" s="329"/>
      <c r="H2083" s="329"/>
      <c r="I2083" s="324">
        <f t="shared" si="1530"/>
        <v>0</v>
      </c>
      <c r="J2083" s="329"/>
      <c r="K2083" s="329"/>
      <c r="L2083" s="317">
        <f t="shared" si="1524"/>
        <v>0</v>
      </c>
      <c r="M2083" s="317"/>
      <c r="N2083" s="372">
        <f t="shared" si="1529"/>
        <v>0</v>
      </c>
      <c r="O2083" s="476"/>
      <c r="P2083" s="476"/>
      <c r="R2083" s="317"/>
      <c r="U2083" s="320"/>
    </row>
    <row r="2084" spans="1:21" s="344" customFormat="1" outlineLevel="1">
      <c r="A2084" s="404"/>
      <c r="B2084" s="404"/>
      <c r="C2084" s="403" t="s">
        <v>92</v>
      </c>
      <c r="D2084" s="404"/>
      <c r="E2084" s="461"/>
      <c r="F2084" s="329"/>
      <c r="G2084" s="329"/>
      <c r="H2084" s="329"/>
      <c r="I2084" s="324">
        <f t="shared" si="1530"/>
        <v>0</v>
      </c>
      <c r="J2084" s="329"/>
      <c r="K2084" s="329"/>
      <c r="L2084" s="317">
        <f t="shared" si="1524"/>
        <v>0</v>
      </c>
      <c r="M2084" s="317"/>
      <c r="N2084" s="372">
        <f t="shared" si="1529"/>
        <v>0</v>
      </c>
      <c r="O2084" s="319">
        <f>L2084*1.1</f>
        <v>0</v>
      </c>
      <c r="P2084" s="319">
        <f t="shared" si="1525"/>
        <v>0</v>
      </c>
      <c r="R2084" s="317"/>
      <c r="U2084" s="320"/>
    </row>
    <row r="2085" spans="1:21" s="344" customFormat="1" outlineLevel="1">
      <c r="A2085" s="897"/>
      <c r="B2085" s="897"/>
      <c r="C2085" s="340" t="s">
        <v>446</v>
      </c>
      <c r="D2085" s="332"/>
      <c r="E2085" s="406">
        <v>0</v>
      </c>
      <c r="F2085" s="334"/>
      <c r="G2085" s="334"/>
      <c r="H2085" s="334"/>
      <c r="I2085" s="324">
        <f t="shared" si="1530"/>
        <v>0</v>
      </c>
      <c r="J2085" s="334"/>
      <c r="K2085" s="334"/>
      <c r="L2085" s="317">
        <f t="shared" si="1524"/>
        <v>0</v>
      </c>
      <c r="M2085" s="317"/>
      <c r="N2085" s="372">
        <f t="shared" si="1529"/>
        <v>0</v>
      </c>
      <c r="O2085" s="319">
        <f>L2085*1.1</f>
        <v>0</v>
      </c>
      <c r="P2085" s="319">
        <f t="shared" si="1525"/>
        <v>0</v>
      </c>
      <c r="R2085" s="317"/>
      <c r="U2085" s="320"/>
    </row>
    <row r="2086" spans="1:21" s="344" customFormat="1" outlineLevel="2">
      <c r="A2086" s="860" t="s">
        <v>447</v>
      </c>
      <c r="B2086" s="404" t="s">
        <v>146</v>
      </c>
      <c r="C2086" s="401">
        <v>2640503</v>
      </c>
      <c r="D2086" s="401" t="s">
        <v>448</v>
      </c>
      <c r="E2086" s="778">
        <v>3557250</v>
      </c>
      <c r="F2086" s="333"/>
      <c r="G2086" s="333"/>
      <c r="H2086" s="333"/>
      <c r="I2086" s="324">
        <f t="shared" si="1530"/>
        <v>3557250</v>
      </c>
      <c r="J2086" s="333"/>
      <c r="K2086" s="333"/>
      <c r="L2086" s="317">
        <f t="shared" si="1524"/>
        <v>3557250</v>
      </c>
      <c r="M2086" s="317"/>
      <c r="N2086" s="372">
        <f t="shared" si="1529"/>
        <v>0</v>
      </c>
      <c r="O2086" s="319">
        <f>L2086*1.1</f>
        <v>3912975.0000000005</v>
      </c>
      <c r="P2086" s="319">
        <f t="shared" si="1525"/>
        <v>4304272.5000000009</v>
      </c>
      <c r="R2086" s="317"/>
      <c r="U2086" s="320"/>
    </row>
    <row r="2087" spans="1:21" s="344" customFormat="1" outlineLevel="1">
      <c r="A2087" s="859"/>
      <c r="B2087" s="859"/>
      <c r="C2087" s="887" t="s">
        <v>449</v>
      </c>
      <c r="D2087" s="887"/>
      <c r="E2087" s="666">
        <f>SUM(E2086:E2086)</f>
        <v>3557250</v>
      </c>
      <c r="F2087" s="666">
        <f t="shared" ref="F2087:K2087" si="1548">SUM(F2086:F2086)</f>
        <v>0</v>
      </c>
      <c r="G2087" s="666">
        <f t="shared" si="1548"/>
        <v>0</v>
      </c>
      <c r="H2087" s="666">
        <f t="shared" si="1548"/>
        <v>0</v>
      </c>
      <c r="I2087" s="666">
        <f t="shared" si="1548"/>
        <v>3557250</v>
      </c>
      <c r="J2087" s="666">
        <f t="shared" si="1548"/>
        <v>0</v>
      </c>
      <c r="K2087" s="666">
        <f t="shared" si="1548"/>
        <v>0</v>
      </c>
      <c r="L2087" s="317">
        <f t="shared" si="1524"/>
        <v>3557250</v>
      </c>
      <c r="M2087" s="317"/>
      <c r="N2087" s="372">
        <f t="shared" si="1529"/>
        <v>0</v>
      </c>
      <c r="O2087" s="666">
        <f t="shared" ref="O2087:P2087" si="1549">SUM(O2086:O2086)</f>
        <v>3912975.0000000005</v>
      </c>
      <c r="P2087" s="666">
        <f t="shared" si="1549"/>
        <v>4304272.5000000009</v>
      </c>
      <c r="R2087" s="317"/>
      <c r="U2087" s="320"/>
    </row>
    <row r="2088" spans="1:21" s="344" customFormat="1" outlineLevel="1">
      <c r="A2088" s="859"/>
      <c r="B2088" s="859"/>
      <c r="C2088" s="829"/>
      <c r="D2088" s="829"/>
      <c r="E2088" s="666"/>
      <c r="F2088" s="666"/>
      <c r="G2088" s="666"/>
      <c r="H2088" s="666"/>
      <c r="I2088" s="324">
        <f t="shared" si="1530"/>
        <v>0</v>
      </c>
      <c r="J2088" s="666"/>
      <c r="K2088" s="666"/>
      <c r="L2088" s="317">
        <f t="shared" si="1524"/>
        <v>0</v>
      </c>
      <c r="M2088" s="317"/>
      <c r="N2088" s="372">
        <f t="shared" si="1529"/>
        <v>0</v>
      </c>
      <c r="O2088" s="319">
        <f>L2088*1.1</f>
        <v>0</v>
      </c>
      <c r="P2088" s="319">
        <f t="shared" si="1525"/>
        <v>0</v>
      </c>
      <c r="R2088" s="317"/>
      <c r="U2088" s="320"/>
    </row>
    <row r="2089" spans="1:21" s="344" customFormat="1" outlineLevel="1">
      <c r="A2089" s="402"/>
      <c r="B2089" s="402"/>
      <c r="C2089" s="403"/>
      <c r="D2089" s="404"/>
      <c r="E2089" s="389"/>
      <c r="F2089" s="329"/>
      <c r="G2089" s="329"/>
      <c r="H2089" s="329"/>
      <c r="I2089" s="324">
        <f t="shared" si="1530"/>
        <v>0</v>
      </c>
      <c r="J2089" s="329"/>
      <c r="K2089" s="329"/>
      <c r="L2089" s="317">
        <f t="shared" si="1524"/>
        <v>0</v>
      </c>
      <c r="M2089" s="317"/>
      <c r="N2089" s="372">
        <f t="shared" si="1529"/>
        <v>0</v>
      </c>
      <c r="O2089" s="319">
        <f>L2089*1.1</f>
        <v>0</v>
      </c>
      <c r="P2089" s="319">
        <f t="shared" si="1525"/>
        <v>0</v>
      </c>
      <c r="R2089" s="317"/>
      <c r="U2089" s="320"/>
    </row>
    <row r="2090" spans="1:21" s="344" customFormat="1" outlineLevel="1">
      <c r="A2090" s="860" t="s">
        <v>168</v>
      </c>
      <c r="B2090" s="403">
        <v>1</v>
      </c>
      <c r="C2090" s="404" t="s">
        <v>452</v>
      </c>
      <c r="D2090" s="404"/>
      <c r="E2090" s="389">
        <v>0</v>
      </c>
      <c r="F2090" s="329"/>
      <c r="G2090" s="329"/>
      <c r="H2090" s="329"/>
      <c r="I2090" s="324">
        <f t="shared" si="1530"/>
        <v>0</v>
      </c>
      <c r="J2090" s="329"/>
      <c r="K2090" s="329"/>
      <c r="L2090" s="317">
        <f t="shared" si="1524"/>
        <v>0</v>
      </c>
      <c r="M2090" s="317"/>
      <c r="N2090" s="372">
        <f t="shared" si="1529"/>
        <v>0</v>
      </c>
      <c r="O2090" s="319">
        <f>L2090*1.1</f>
        <v>0</v>
      </c>
      <c r="P2090" s="319">
        <f t="shared" ref="P2090:P2112" si="1550">O2090*1.1</f>
        <v>0</v>
      </c>
      <c r="R2090" s="317"/>
      <c r="U2090" s="320"/>
    </row>
    <row r="2091" spans="1:21" s="344" customFormat="1" outlineLevel="2">
      <c r="A2091" s="404"/>
      <c r="B2091" s="404"/>
      <c r="C2091" s="403">
        <v>2210300</v>
      </c>
      <c r="D2091" s="404" t="s">
        <v>454</v>
      </c>
      <c r="E2091" s="772">
        <f>E2092</f>
        <v>2004170.22</v>
      </c>
      <c r="F2091" s="772">
        <f t="shared" ref="F2091:K2091" si="1551">F2092</f>
        <v>0</v>
      </c>
      <c r="G2091" s="772">
        <f t="shared" si="1551"/>
        <v>0</v>
      </c>
      <c r="H2091" s="772">
        <f t="shared" si="1551"/>
        <v>0</v>
      </c>
      <c r="I2091" s="772">
        <f t="shared" si="1551"/>
        <v>2004170.22</v>
      </c>
      <c r="J2091" s="772">
        <f t="shared" si="1551"/>
        <v>0</v>
      </c>
      <c r="K2091" s="772">
        <f t="shared" si="1551"/>
        <v>0</v>
      </c>
      <c r="L2091" s="317">
        <f t="shared" si="1524"/>
        <v>2004170.22</v>
      </c>
      <c r="M2091" s="317"/>
      <c r="N2091" s="372">
        <f t="shared" si="1529"/>
        <v>0</v>
      </c>
      <c r="O2091" s="772">
        <f t="shared" ref="O2091:P2091" si="1552">O2092</f>
        <v>2204587.2420000001</v>
      </c>
      <c r="P2091" s="772">
        <f t="shared" si="1552"/>
        <v>2425045.9662000001</v>
      </c>
      <c r="R2091" s="317"/>
      <c r="U2091" s="320"/>
    </row>
    <row r="2092" spans="1:21" s="344" customFormat="1" outlineLevel="2">
      <c r="A2092" s="404"/>
      <c r="B2092" s="404"/>
      <c r="C2092" s="401">
        <v>2210303</v>
      </c>
      <c r="D2092" s="402" t="s">
        <v>27</v>
      </c>
      <c r="E2092" s="778">
        <v>2004170.22</v>
      </c>
      <c r="F2092" s="333"/>
      <c r="G2092" s="333"/>
      <c r="H2092" s="333"/>
      <c r="I2092" s="324">
        <f t="shared" si="1530"/>
        <v>2004170.22</v>
      </c>
      <c r="J2092" s="333"/>
      <c r="K2092" s="333"/>
      <c r="L2092" s="317">
        <f t="shared" si="1524"/>
        <v>2004170.22</v>
      </c>
      <c r="M2092" s="317"/>
      <c r="N2092" s="372">
        <f t="shared" si="1529"/>
        <v>0</v>
      </c>
      <c r="O2092" s="319">
        <f t="shared" ref="O2092" si="1553">L2092*1.1</f>
        <v>2204587.2420000001</v>
      </c>
      <c r="P2092" s="319">
        <f t="shared" ref="P2092" si="1554">O2092*1.1</f>
        <v>2425045.9662000001</v>
      </c>
      <c r="R2092" s="317"/>
      <c r="U2092" s="320"/>
    </row>
    <row r="2093" spans="1:21" s="344" customFormat="1" outlineLevel="2">
      <c r="A2093" s="404"/>
      <c r="B2093" s="404"/>
      <c r="C2093" s="403">
        <v>2210500</v>
      </c>
      <c r="D2093" s="404" t="s">
        <v>31</v>
      </c>
      <c r="E2093" s="772">
        <f>E2094</f>
        <v>440000</v>
      </c>
      <c r="F2093" s="772">
        <f t="shared" ref="F2093:K2093" si="1555">F2094</f>
        <v>0</v>
      </c>
      <c r="G2093" s="772">
        <f t="shared" si="1555"/>
        <v>0</v>
      </c>
      <c r="H2093" s="772">
        <f t="shared" si="1555"/>
        <v>0</v>
      </c>
      <c r="I2093" s="772">
        <f t="shared" si="1555"/>
        <v>440000</v>
      </c>
      <c r="J2093" s="772">
        <f t="shared" si="1555"/>
        <v>0</v>
      </c>
      <c r="K2093" s="772">
        <f t="shared" si="1555"/>
        <v>0</v>
      </c>
      <c r="L2093" s="317">
        <f t="shared" si="1524"/>
        <v>440000</v>
      </c>
      <c r="M2093" s="317"/>
      <c r="N2093" s="372">
        <f t="shared" si="1529"/>
        <v>0</v>
      </c>
      <c r="O2093" s="772">
        <f t="shared" ref="O2093:P2093" si="1556">O2094</f>
        <v>484000.00000000006</v>
      </c>
      <c r="P2093" s="772">
        <f t="shared" si="1556"/>
        <v>532400.00000000012</v>
      </c>
      <c r="R2093" s="317"/>
      <c r="U2093" s="320"/>
    </row>
    <row r="2094" spans="1:21" s="344" customFormat="1" outlineLevel="2">
      <c r="A2094" s="404"/>
      <c r="B2094" s="404"/>
      <c r="C2094" s="401">
        <v>2210502</v>
      </c>
      <c r="D2094" s="402" t="s">
        <v>397</v>
      </c>
      <c r="E2094" s="778">
        <v>440000</v>
      </c>
      <c r="F2094" s="333"/>
      <c r="G2094" s="333"/>
      <c r="H2094" s="333"/>
      <c r="I2094" s="324">
        <f t="shared" si="1530"/>
        <v>440000</v>
      </c>
      <c r="J2094" s="333"/>
      <c r="K2094" s="333"/>
      <c r="L2094" s="317">
        <f t="shared" si="1524"/>
        <v>440000</v>
      </c>
      <c r="M2094" s="317"/>
      <c r="N2094" s="372">
        <f t="shared" si="1529"/>
        <v>0</v>
      </c>
      <c r="O2094" s="319">
        <f>L2094*1.1</f>
        <v>484000.00000000006</v>
      </c>
      <c r="P2094" s="319">
        <f t="shared" si="1550"/>
        <v>532400.00000000012</v>
      </c>
      <c r="R2094" s="317"/>
      <c r="U2094" s="320"/>
    </row>
    <row r="2095" spans="1:21" s="344" customFormat="1" outlineLevel="2">
      <c r="A2095" s="404"/>
      <c r="B2095" s="404"/>
      <c r="C2095" s="403">
        <v>2211200</v>
      </c>
      <c r="D2095" s="404" t="s">
        <v>55</v>
      </c>
      <c r="E2095" s="784">
        <f>E2096+E2097</f>
        <v>800000</v>
      </c>
      <c r="F2095" s="784">
        <f t="shared" ref="F2095:K2095" si="1557">F2096+F2097</f>
        <v>0</v>
      </c>
      <c r="G2095" s="784">
        <f t="shared" si="1557"/>
        <v>0</v>
      </c>
      <c r="H2095" s="784">
        <f t="shared" si="1557"/>
        <v>0</v>
      </c>
      <c r="I2095" s="784">
        <f t="shared" si="1557"/>
        <v>800000</v>
      </c>
      <c r="J2095" s="784">
        <f t="shared" si="1557"/>
        <v>0</v>
      </c>
      <c r="K2095" s="784">
        <f t="shared" si="1557"/>
        <v>0</v>
      </c>
      <c r="L2095" s="317">
        <f t="shared" si="1524"/>
        <v>800000</v>
      </c>
      <c r="M2095" s="317"/>
      <c r="N2095" s="372">
        <f t="shared" si="1529"/>
        <v>0</v>
      </c>
      <c r="O2095" s="784">
        <f t="shared" ref="O2095:P2095" si="1558">O2096+O2097</f>
        <v>880000</v>
      </c>
      <c r="P2095" s="784">
        <f t="shared" si="1558"/>
        <v>968000</v>
      </c>
      <c r="R2095" s="317"/>
      <c r="U2095" s="320"/>
    </row>
    <row r="2096" spans="1:21" s="344" customFormat="1" outlineLevel="2">
      <c r="A2096" s="402"/>
      <c r="B2096" s="402"/>
      <c r="C2096" s="401">
        <v>2211201</v>
      </c>
      <c r="D2096" s="402" t="s">
        <v>56</v>
      </c>
      <c r="E2096" s="670">
        <v>550000</v>
      </c>
      <c r="F2096" s="333"/>
      <c r="G2096" s="333"/>
      <c r="H2096" s="333"/>
      <c r="I2096" s="324">
        <f t="shared" si="1530"/>
        <v>550000</v>
      </c>
      <c r="J2096" s="333"/>
      <c r="K2096" s="333"/>
      <c r="L2096" s="317">
        <f t="shared" si="1524"/>
        <v>550000</v>
      </c>
      <c r="M2096" s="317"/>
      <c r="N2096" s="372">
        <f t="shared" si="1529"/>
        <v>0</v>
      </c>
      <c r="O2096" s="319">
        <f>L2096*1.1</f>
        <v>605000</v>
      </c>
      <c r="P2096" s="319">
        <f t="shared" si="1550"/>
        <v>665500</v>
      </c>
      <c r="R2096" s="317"/>
      <c r="U2096" s="320"/>
    </row>
    <row r="2097" spans="1:21" s="344" customFormat="1" outlineLevel="2">
      <c r="A2097" s="404"/>
      <c r="B2097" s="404"/>
      <c r="C2097" s="401">
        <v>2211204</v>
      </c>
      <c r="D2097" s="402" t="s">
        <v>1634</v>
      </c>
      <c r="E2097" s="778">
        <v>250000</v>
      </c>
      <c r="F2097" s="333"/>
      <c r="G2097" s="333"/>
      <c r="H2097" s="333"/>
      <c r="I2097" s="324">
        <f t="shared" si="1530"/>
        <v>250000</v>
      </c>
      <c r="J2097" s="333"/>
      <c r="K2097" s="333"/>
      <c r="L2097" s="317">
        <f t="shared" si="1524"/>
        <v>250000</v>
      </c>
      <c r="M2097" s="317"/>
      <c r="N2097" s="372">
        <f t="shared" si="1529"/>
        <v>0</v>
      </c>
      <c r="O2097" s="319">
        <f>L2097*1.1</f>
        <v>275000</v>
      </c>
      <c r="P2097" s="319">
        <f t="shared" si="1550"/>
        <v>302500</v>
      </c>
      <c r="R2097" s="317"/>
      <c r="U2097" s="320"/>
    </row>
    <row r="2098" spans="1:21" s="344" customFormat="1" outlineLevel="1">
      <c r="A2098" s="859"/>
      <c r="B2098" s="859"/>
      <c r="C2098" s="829"/>
      <c r="D2098" s="859" t="s">
        <v>99</v>
      </c>
      <c r="E2098" s="666">
        <f>E2095+E2093+E2091</f>
        <v>3244170.2199999997</v>
      </c>
      <c r="F2098" s="666">
        <f t="shared" ref="F2098:P2098" si="1559">F2095+F2093+F2091</f>
        <v>0</v>
      </c>
      <c r="G2098" s="666">
        <f t="shared" si="1559"/>
        <v>0</v>
      </c>
      <c r="H2098" s="666">
        <f t="shared" si="1559"/>
        <v>0</v>
      </c>
      <c r="I2098" s="666">
        <f t="shared" si="1559"/>
        <v>3244170.2199999997</v>
      </c>
      <c r="J2098" s="666">
        <f t="shared" si="1559"/>
        <v>0</v>
      </c>
      <c r="K2098" s="666">
        <f t="shared" si="1559"/>
        <v>0</v>
      </c>
      <c r="L2098" s="317">
        <f t="shared" si="1524"/>
        <v>3244170.2199999997</v>
      </c>
      <c r="M2098" s="317"/>
      <c r="N2098" s="372">
        <f t="shared" si="1529"/>
        <v>0</v>
      </c>
      <c r="O2098" s="666">
        <f t="shared" si="1559"/>
        <v>3568587.2420000001</v>
      </c>
      <c r="P2098" s="666">
        <f t="shared" si="1559"/>
        <v>3925445.9662000001</v>
      </c>
      <c r="R2098" s="317"/>
      <c r="U2098" s="320"/>
    </row>
    <row r="2099" spans="1:21" s="344" customFormat="1" outlineLevel="1">
      <c r="A2099" s="402"/>
      <c r="B2099" s="402"/>
      <c r="C2099" s="401"/>
      <c r="D2099" s="402"/>
      <c r="E2099" s="406">
        <v>0</v>
      </c>
      <c r="F2099" s="406">
        <v>0</v>
      </c>
      <c r="G2099" s="406">
        <v>0</v>
      </c>
      <c r="H2099" s="406">
        <v>0</v>
      </c>
      <c r="I2099" s="324">
        <f t="shared" si="1530"/>
        <v>0</v>
      </c>
      <c r="J2099" s="406"/>
      <c r="K2099" s="406"/>
      <c r="L2099" s="317">
        <f t="shared" si="1524"/>
        <v>0</v>
      </c>
      <c r="M2099" s="317"/>
      <c r="N2099" s="372">
        <f t="shared" si="1529"/>
        <v>0</v>
      </c>
      <c r="O2099" s="503">
        <v>0</v>
      </c>
      <c r="P2099" s="503">
        <v>0</v>
      </c>
      <c r="R2099" s="317"/>
      <c r="U2099" s="320"/>
    </row>
    <row r="2100" spans="1:21" s="344" customFormat="1" outlineLevel="1">
      <c r="A2100" s="860" t="s">
        <v>455</v>
      </c>
      <c r="B2100" s="859" t="s">
        <v>146</v>
      </c>
      <c r="C2100" s="859" t="s">
        <v>456</v>
      </c>
      <c r="D2100" s="859"/>
      <c r="E2100" s="406">
        <v>0</v>
      </c>
      <c r="F2100" s="666"/>
      <c r="G2100" s="666"/>
      <c r="H2100" s="666"/>
      <c r="I2100" s="324">
        <f t="shared" si="1530"/>
        <v>0</v>
      </c>
      <c r="J2100" s="666"/>
      <c r="K2100" s="666"/>
      <c r="L2100" s="317">
        <f t="shared" si="1524"/>
        <v>0</v>
      </c>
      <c r="M2100" s="317"/>
      <c r="N2100" s="372">
        <f t="shared" si="1529"/>
        <v>0</v>
      </c>
      <c r="O2100" s="319">
        <f>L2100*1.1</f>
        <v>0</v>
      </c>
      <c r="P2100" s="319">
        <f t="shared" si="1550"/>
        <v>0</v>
      </c>
      <c r="R2100" s="317"/>
      <c r="U2100" s="320"/>
    </row>
    <row r="2101" spans="1:21" s="344" customFormat="1" outlineLevel="1">
      <c r="A2101" s="860"/>
      <c r="B2101" s="859"/>
      <c r="C2101" s="403">
        <v>2210200</v>
      </c>
      <c r="D2101" s="404" t="s">
        <v>16</v>
      </c>
      <c r="E2101" s="772">
        <f>E2102</f>
        <v>60900</v>
      </c>
      <c r="F2101" s="772">
        <f t="shared" ref="F2101:P2101" si="1560">F2102</f>
        <v>0</v>
      </c>
      <c r="G2101" s="772">
        <f t="shared" si="1560"/>
        <v>0</v>
      </c>
      <c r="H2101" s="772">
        <f t="shared" si="1560"/>
        <v>0</v>
      </c>
      <c r="I2101" s="772">
        <f t="shared" si="1560"/>
        <v>60900</v>
      </c>
      <c r="J2101" s="772">
        <f t="shared" si="1560"/>
        <v>0</v>
      </c>
      <c r="K2101" s="772">
        <f t="shared" si="1560"/>
        <v>0</v>
      </c>
      <c r="L2101" s="317">
        <f t="shared" si="1524"/>
        <v>60900</v>
      </c>
      <c r="M2101" s="317"/>
      <c r="N2101" s="372">
        <f t="shared" si="1529"/>
        <v>0</v>
      </c>
      <c r="O2101" s="772">
        <f t="shared" si="1560"/>
        <v>66990</v>
      </c>
      <c r="P2101" s="772">
        <f t="shared" si="1560"/>
        <v>73689</v>
      </c>
      <c r="R2101" s="317"/>
      <c r="U2101" s="320"/>
    </row>
    <row r="2102" spans="1:21" s="344" customFormat="1" outlineLevel="1">
      <c r="A2102" s="860"/>
      <c r="B2102" s="859"/>
      <c r="C2102" s="401">
        <v>2210201</v>
      </c>
      <c r="D2102" s="402" t="s">
        <v>187</v>
      </c>
      <c r="E2102" s="778">
        <v>60900</v>
      </c>
      <c r="F2102" s="333"/>
      <c r="G2102" s="333"/>
      <c r="H2102" s="333"/>
      <c r="I2102" s="324">
        <f t="shared" si="1530"/>
        <v>60900</v>
      </c>
      <c r="J2102" s="333"/>
      <c r="K2102" s="333"/>
      <c r="L2102" s="317">
        <f t="shared" si="1524"/>
        <v>60900</v>
      </c>
      <c r="M2102" s="317"/>
      <c r="N2102" s="372">
        <f t="shared" si="1529"/>
        <v>0</v>
      </c>
      <c r="O2102" s="319">
        <f t="shared" ref="O2102" si="1561">L2102*1.1</f>
        <v>66990</v>
      </c>
      <c r="P2102" s="319">
        <f t="shared" ref="P2102" si="1562">O2102*1.1</f>
        <v>73689</v>
      </c>
      <c r="R2102" s="317"/>
      <c r="U2102" s="320"/>
    </row>
    <row r="2103" spans="1:21" s="344" customFormat="1" outlineLevel="1">
      <c r="A2103" s="860"/>
      <c r="B2103" s="859"/>
      <c r="C2103" s="403">
        <v>2210300</v>
      </c>
      <c r="D2103" s="404" t="s">
        <v>454</v>
      </c>
      <c r="E2103" s="772">
        <f>E2104+E2105+E2106</f>
        <v>2073000</v>
      </c>
      <c r="F2103" s="772">
        <f t="shared" ref="F2103:K2103" si="1563">F2104+F2105+F2106</f>
        <v>0</v>
      </c>
      <c r="G2103" s="772">
        <f t="shared" si="1563"/>
        <v>0</v>
      </c>
      <c r="H2103" s="772">
        <f t="shared" si="1563"/>
        <v>0</v>
      </c>
      <c r="I2103" s="772">
        <f t="shared" si="1563"/>
        <v>2073000</v>
      </c>
      <c r="J2103" s="772">
        <f t="shared" si="1563"/>
        <v>0</v>
      </c>
      <c r="K2103" s="772">
        <f t="shared" si="1563"/>
        <v>0</v>
      </c>
      <c r="L2103" s="317">
        <f t="shared" si="1524"/>
        <v>2073000</v>
      </c>
      <c r="M2103" s="317"/>
      <c r="N2103" s="372">
        <f t="shared" si="1529"/>
        <v>0</v>
      </c>
      <c r="O2103" s="772">
        <f t="shared" ref="O2103:P2103" si="1564">O2104+O2105+O2106</f>
        <v>2280300</v>
      </c>
      <c r="P2103" s="772">
        <f t="shared" si="1564"/>
        <v>2508330.0000000005</v>
      </c>
      <c r="R2103" s="317"/>
      <c r="U2103" s="320"/>
    </row>
    <row r="2104" spans="1:21" s="344" customFormat="1" outlineLevel="2">
      <c r="A2104" s="404"/>
      <c r="B2104" s="404"/>
      <c r="C2104" s="401">
        <v>2210301</v>
      </c>
      <c r="D2104" s="402" t="s">
        <v>25</v>
      </c>
      <c r="E2104" s="778">
        <v>835000</v>
      </c>
      <c r="F2104" s="333"/>
      <c r="G2104" s="333"/>
      <c r="H2104" s="333"/>
      <c r="I2104" s="324">
        <f t="shared" si="1530"/>
        <v>835000</v>
      </c>
      <c r="J2104" s="333"/>
      <c r="K2104" s="333"/>
      <c r="L2104" s="317">
        <f t="shared" si="1524"/>
        <v>835000</v>
      </c>
      <c r="M2104" s="317"/>
      <c r="N2104" s="372">
        <f t="shared" si="1529"/>
        <v>0</v>
      </c>
      <c r="O2104" s="319">
        <f>L2104*1.1</f>
        <v>918500.00000000012</v>
      </c>
      <c r="P2104" s="319">
        <f t="shared" si="1550"/>
        <v>1010350.0000000002</v>
      </c>
      <c r="R2104" s="317"/>
      <c r="U2104" s="320"/>
    </row>
    <row r="2105" spans="1:21" s="344" customFormat="1" outlineLevel="2">
      <c r="A2105" s="402"/>
      <c r="B2105" s="402"/>
      <c r="C2105" s="401">
        <v>2210302</v>
      </c>
      <c r="D2105" s="402" t="s">
        <v>26</v>
      </c>
      <c r="E2105" s="778">
        <v>490000</v>
      </c>
      <c r="F2105" s="333"/>
      <c r="G2105" s="333"/>
      <c r="H2105" s="333"/>
      <c r="I2105" s="324">
        <f t="shared" si="1530"/>
        <v>490000</v>
      </c>
      <c r="J2105" s="333"/>
      <c r="K2105" s="333"/>
      <c r="L2105" s="317">
        <f t="shared" si="1524"/>
        <v>490000</v>
      </c>
      <c r="M2105" s="317"/>
      <c r="N2105" s="372">
        <f t="shared" si="1529"/>
        <v>0</v>
      </c>
      <c r="O2105" s="319">
        <f>L2105*1.1</f>
        <v>539000</v>
      </c>
      <c r="P2105" s="319">
        <f t="shared" si="1550"/>
        <v>592900</v>
      </c>
      <c r="R2105" s="317"/>
      <c r="U2105" s="320"/>
    </row>
    <row r="2106" spans="1:21" s="344" customFormat="1" outlineLevel="2">
      <c r="A2106" s="404"/>
      <c r="B2106" s="404"/>
      <c r="C2106" s="401">
        <v>2210303</v>
      </c>
      <c r="D2106" s="402" t="s">
        <v>27</v>
      </c>
      <c r="E2106" s="778">
        <v>748000</v>
      </c>
      <c r="F2106" s="333"/>
      <c r="G2106" s="333"/>
      <c r="H2106" s="333"/>
      <c r="I2106" s="324">
        <f t="shared" si="1530"/>
        <v>748000</v>
      </c>
      <c r="J2106" s="333"/>
      <c r="K2106" s="333"/>
      <c r="L2106" s="317">
        <f t="shared" si="1524"/>
        <v>748000</v>
      </c>
      <c r="M2106" s="317"/>
      <c r="N2106" s="372">
        <f t="shared" si="1529"/>
        <v>0</v>
      </c>
      <c r="O2106" s="319">
        <f>L2106*1.1</f>
        <v>822800.00000000012</v>
      </c>
      <c r="P2106" s="319">
        <f t="shared" si="1550"/>
        <v>905080.00000000023</v>
      </c>
      <c r="R2106" s="317"/>
      <c r="U2106" s="320"/>
    </row>
    <row r="2107" spans="1:21" s="344" customFormat="1" outlineLevel="2">
      <c r="A2107" s="402"/>
      <c r="B2107" s="402"/>
      <c r="C2107" s="403">
        <v>2210800</v>
      </c>
      <c r="D2107" s="404" t="s">
        <v>42</v>
      </c>
      <c r="E2107" s="772">
        <f>E2108</f>
        <v>525969</v>
      </c>
      <c r="F2107" s="772">
        <f t="shared" ref="F2107:K2107" si="1565">F2108</f>
        <v>0</v>
      </c>
      <c r="G2107" s="772">
        <f t="shared" si="1565"/>
        <v>0</v>
      </c>
      <c r="H2107" s="772">
        <f t="shared" si="1565"/>
        <v>0</v>
      </c>
      <c r="I2107" s="772">
        <f t="shared" si="1565"/>
        <v>525969</v>
      </c>
      <c r="J2107" s="772">
        <f t="shared" si="1565"/>
        <v>0</v>
      </c>
      <c r="K2107" s="772">
        <f t="shared" si="1565"/>
        <v>0</v>
      </c>
      <c r="L2107" s="317">
        <f t="shared" si="1524"/>
        <v>525969</v>
      </c>
      <c r="M2107" s="317"/>
      <c r="N2107" s="372">
        <f t="shared" si="1529"/>
        <v>0</v>
      </c>
      <c r="O2107" s="772">
        <f t="shared" ref="O2107:P2107" si="1566">O2108</f>
        <v>578565.9</v>
      </c>
      <c r="P2107" s="772">
        <f t="shared" si="1566"/>
        <v>636422.49000000011</v>
      </c>
      <c r="R2107" s="317"/>
      <c r="U2107" s="320"/>
    </row>
    <row r="2108" spans="1:21" s="344" customFormat="1" outlineLevel="2">
      <c r="A2108" s="402"/>
      <c r="B2108" s="402"/>
      <c r="C2108" s="401">
        <v>2210803</v>
      </c>
      <c r="D2108" s="402" t="s">
        <v>2421</v>
      </c>
      <c r="E2108" s="778">
        <v>525969</v>
      </c>
      <c r="F2108" s="333"/>
      <c r="G2108" s="333"/>
      <c r="H2108" s="333"/>
      <c r="I2108" s="324">
        <f t="shared" si="1530"/>
        <v>525969</v>
      </c>
      <c r="J2108" s="333"/>
      <c r="K2108" s="333"/>
      <c r="L2108" s="317">
        <f t="shared" si="1524"/>
        <v>525969</v>
      </c>
      <c r="M2108" s="317"/>
      <c r="N2108" s="372">
        <f t="shared" si="1529"/>
        <v>0</v>
      </c>
      <c r="O2108" s="319">
        <f>L2108*1.1</f>
        <v>578565.9</v>
      </c>
      <c r="P2108" s="319">
        <f t="shared" si="1550"/>
        <v>636422.49000000011</v>
      </c>
      <c r="R2108" s="317"/>
      <c r="U2108" s="320"/>
    </row>
    <row r="2109" spans="1:21" s="344" customFormat="1" outlineLevel="1">
      <c r="A2109" s="859"/>
      <c r="B2109" s="859"/>
      <c r="C2109" s="829"/>
      <c r="D2109" s="859" t="s">
        <v>99</v>
      </c>
      <c r="E2109" s="666">
        <f>E2101+E2103+E2107</f>
        <v>2659869</v>
      </c>
      <c r="F2109" s="666">
        <f t="shared" ref="F2109:K2109" si="1567">F2101+F2103+F2107</f>
        <v>0</v>
      </c>
      <c r="G2109" s="666">
        <f t="shared" si="1567"/>
        <v>0</v>
      </c>
      <c r="H2109" s="666">
        <f t="shared" si="1567"/>
        <v>0</v>
      </c>
      <c r="I2109" s="666">
        <f t="shared" si="1567"/>
        <v>2659869</v>
      </c>
      <c r="J2109" s="666">
        <f t="shared" si="1567"/>
        <v>0</v>
      </c>
      <c r="K2109" s="666">
        <f t="shared" si="1567"/>
        <v>0</v>
      </c>
      <c r="L2109" s="317">
        <f t="shared" si="1524"/>
        <v>2659869</v>
      </c>
      <c r="M2109" s="317"/>
      <c r="N2109" s="372">
        <f t="shared" si="1529"/>
        <v>0</v>
      </c>
      <c r="O2109" s="666">
        <f t="shared" ref="O2109:P2109" si="1568">O2101+O2103+O2107</f>
        <v>2925855.9</v>
      </c>
      <c r="P2109" s="666">
        <f t="shared" si="1568"/>
        <v>3218441.4900000007</v>
      </c>
      <c r="R2109" s="317"/>
      <c r="U2109" s="320"/>
    </row>
    <row r="2110" spans="1:21" s="344" customFormat="1" outlineLevel="1">
      <c r="A2110" s="859"/>
      <c r="B2110" s="859"/>
      <c r="C2110" s="829"/>
      <c r="D2110" s="859" t="s">
        <v>84</v>
      </c>
      <c r="E2110" s="666">
        <f>E2109</f>
        <v>2659869</v>
      </c>
      <c r="F2110" s="666">
        <f t="shared" ref="F2110:P2110" si="1569">F2109</f>
        <v>0</v>
      </c>
      <c r="G2110" s="666">
        <f t="shared" si="1569"/>
        <v>0</v>
      </c>
      <c r="H2110" s="666">
        <f t="shared" si="1569"/>
        <v>0</v>
      </c>
      <c r="I2110" s="666">
        <f t="shared" si="1569"/>
        <v>2659869</v>
      </c>
      <c r="J2110" s="666">
        <f t="shared" si="1569"/>
        <v>0</v>
      </c>
      <c r="K2110" s="666">
        <f t="shared" si="1569"/>
        <v>0</v>
      </c>
      <c r="L2110" s="317">
        <f t="shared" si="1524"/>
        <v>2659869</v>
      </c>
      <c r="M2110" s="317"/>
      <c r="N2110" s="372">
        <f t="shared" si="1529"/>
        <v>0</v>
      </c>
      <c r="O2110" s="666">
        <f t="shared" si="1569"/>
        <v>2925855.9</v>
      </c>
      <c r="P2110" s="666">
        <f t="shared" si="1569"/>
        <v>3218441.4900000007</v>
      </c>
      <c r="R2110" s="317"/>
      <c r="U2110" s="320"/>
    </row>
    <row r="2111" spans="1:21" s="344" customFormat="1" outlineLevel="1">
      <c r="A2111" s="402"/>
      <c r="B2111" s="402"/>
      <c r="C2111" s="401"/>
      <c r="D2111" s="402"/>
      <c r="E2111" s="406">
        <v>0</v>
      </c>
      <c r="F2111" s="333"/>
      <c r="G2111" s="333"/>
      <c r="H2111" s="333"/>
      <c r="I2111" s="324">
        <f t="shared" si="1530"/>
        <v>0</v>
      </c>
      <c r="J2111" s="333"/>
      <c r="K2111" s="333"/>
      <c r="L2111" s="317">
        <f t="shared" si="1524"/>
        <v>0</v>
      </c>
      <c r="M2111" s="317"/>
      <c r="N2111" s="372">
        <f t="shared" si="1529"/>
        <v>0</v>
      </c>
      <c r="O2111" s="319">
        <f>L2111*1.1</f>
        <v>0</v>
      </c>
      <c r="P2111" s="319">
        <f t="shared" si="1550"/>
        <v>0</v>
      </c>
      <c r="R2111" s="317"/>
      <c r="U2111" s="320"/>
    </row>
    <row r="2112" spans="1:21" s="344" customFormat="1" outlineLevel="1">
      <c r="A2112" s="860" t="s">
        <v>168</v>
      </c>
      <c r="B2112" s="859" t="s">
        <v>146</v>
      </c>
      <c r="C2112" s="859" t="s">
        <v>457</v>
      </c>
      <c r="D2112" s="859"/>
      <c r="E2112" s="406">
        <v>0</v>
      </c>
      <c r="F2112" s="666"/>
      <c r="G2112" s="666"/>
      <c r="H2112" s="666"/>
      <c r="I2112" s="324">
        <f t="shared" si="1530"/>
        <v>0</v>
      </c>
      <c r="J2112" s="666"/>
      <c r="K2112" s="666"/>
      <c r="L2112" s="317">
        <f t="shared" si="1524"/>
        <v>0</v>
      </c>
      <c r="M2112" s="317"/>
      <c r="N2112" s="372">
        <f t="shared" si="1529"/>
        <v>0</v>
      </c>
      <c r="O2112" s="319">
        <f>L2112*1.1</f>
        <v>0</v>
      </c>
      <c r="P2112" s="319">
        <f t="shared" si="1550"/>
        <v>0</v>
      </c>
      <c r="R2112" s="317"/>
      <c r="U2112" s="320"/>
    </row>
    <row r="2113" spans="1:21" s="344" customFormat="1" outlineLevel="2">
      <c r="A2113" s="404"/>
      <c r="B2113" s="404"/>
      <c r="C2113" s="403">
        <v>2210300</v>
      </c>
      <c r="D2113" s="404" t="s">
        <v>24</v>
      </c>
      <c r="E2113" s="772">
        <f>E2114</f>
        <v>424194.02</v>
      </c>
      <c r="F2113" s="772">
        <f t="shared" ref="F2113:K2113" si="1570">F2114</f>
        <v>0</v>
      </c>
      <c r="G2113" s="772">
        <f t="shared" si="1570"/>
        <v>0</v>
      </c>
      <c r="H2113" s="772">
        <f t="shared" si="1570"/>
        <v>0</v>
      </c>
      <c r="I2113" s="772">
        <f t="shared" si="1570"/>
        <v>424194.02</v>
      </c>
      <c r="J2113" s="772">
        <f t="shared" si="1570"/>
        <v>0</v>
      </c>
      <c r="K2113" s="772">
        <f t="shared" si="1570"/>
        <v>0</v>
      </c>
      <c r="L2113" s="317">
        <f t="shared" si="1524"/>
        <v>424194.02</v>
      </c>
      <c r="M2113" s="317"/>
      <c r="N2113" s="372">
        <f t="shared" si="1529"/>
        <v>0</v>
      </c>
      <c r="O2113" s="772">
        <f t="shared" ref="O2113:P2113" si="1571">O2114</f>
        <v>466613.42200000008</v>
      </c>
      <c r="P2113" s="772">
        <f t="shared" si="1571"/>
        <v>513274.76420000015</v>
      </c>
      <c r="R2113" s="317"/>
      <c r="U2113" s="320"/>
    </row>
    <row r="2114" spans="1:21" s="344" customFormat="1" outlineLevel="2">
      <c r="A2114" s="402"/>
      <c r="B2114" s="402"/>
      <c r="C2114" s="401">
        <v>2210303</v>
      </c>
      <c r="D2114" s="402" t="s">
        <v>27</v>
      </c>
      <c r="E2114" s="778">
        <v>424194.02</v>
      </c>
      <c r="F2114" s="333"/>
      <c r="G2114" s="333"/>
      <c r="H2114" s="333"/>
      <c r="I2114" s="324">
        <f t="shared" si="1530"/>
        <v>424194.02</v>
      </c>
      <c r="J2114" s="333"/>
      <c r="K2114" s="333"/>
      <c r="L2114" s="317">
        <f t="shared" si="1524"/>
        <v>424194.02</v>
      </c>
      <c r="M2114" s="317"/>
      <c r="N2114" s="372">
        <f t="shared" si="1529"/>
        <v>0</v>
      </c>
      <c r="O2114" s="319">
        <f>L2114*1.1</f>
        <v>466613.42200000008</v>
      </c>
      <c r="P2114" s="319">
        <f t="shared" ref="P2114:P2133" si="1572">O2114*1.1</f>
        <v>513274.76420000015</v>
      </c>
      <c r="R2114" s="317"/>
      <c r="U2114" s="320"/>
    </row>
    <row r="2115" spans="1:21" s="344" customFormat="1" outlineLevel="2">
      <c r="A2115" s="404"/>
      <c r="B2115" s="404"/>
      <c r="C2115" s="403">
        <v>2211100</v>
      </c>
      <c r="D2115" s="404" t="s">
        <v>51</v>
      </c>
      <c r="E2115" s="772">
        <f>E2116</f>
        <v>109748.702</v>
      </c>
      <c r="F2115" s="772">
        <f t="shared" ref="F2115:P2115" si="1573">F2116</f>
        <v>0</v>
      </c>
      <c r="G2115" s="772">
        <f t="shared" si="1573"/>
        <v>0</v>
      </c>
      <c r="H2115" s="772">
        <f t="shared" si="1573"/>
        <v>0</v>
      </c>
      <c r="I2115" s="772">
        <f t="shared" si="1573"/>
        <v>109748.702</v>
      </c>
      <c r="J2115" s="772">
        <f t="shared" si="1573"/>
        <v>0</v>
      </c>
      <c r="K2115" s="772">
        <f t="shared" si="1573"/>
        <v>0</v>
      </c>
      <c r="L2115" s="317">
        <f t="shared" si="1524"/>
        <v>109748.702</v>
      </c>
      <c r="M2115" s="317"/>
      <c r="N2115" s="372">
        <f t="shared" si="1529"/>
        <v>0</v>
      </c>
      <c r="O2115" s="772">
        <f t="shared" si="1573"/>
        <v>120723.57220000001</v>
      </c>
      <c r="P2115" s="772">
        <f t="shared" si="1573"/>
        <v>132795.92942000003</v>
      </c>
      <c r="R2115" s="317"/>
      <c r="U2115" s="320"/>
    </row>
    <row r="2116" spans="1:21" s="344" customFormat="1" outlineLevel="2">
      <c r="A2116" s="402"/>
      <c r="B2116" s="402"/>
      <c r="C2116" s="401">
        <v>2211101</v>
      </c>
      <c r="D2116" s="402" t="s">
        <v>289</v>
      </c>
      <c r="E2116" s="778">
        <v>109748.702</v>
      </c>
      <c r="F2116" s="333"/>
      <c r="G2116" s="333"/>
      <c r="H2116" s="333"/>
      <c r="I2116" s="324">
        <f t="shared" si="1530"/>
        <v>109748.702</v>
      </c>
      <c r="J2116" s="333"/>
      <c r="K2116" s="333"/>
      <c r="L2116" s="317">
        <f t="shared" si="1524"/>
        <v>109748.702</v>
      </c>
      <c r="M2116" s="317"/>
      <c r="N2116" s="372">
        <f t="shared" si="1529"/>
        <v>0</v>
      </c>
      <c r="O2116" s="319">
        <f>L2116*1.1</f>
        <v>120723.57220000001</v>
      </c>
      <c r="P2116" s="319">
        <f t="shared" si="1572"/>
        <v>132795.92942000003</v>
      </c>
      <c r="R2116" s="317"/>
      <c r="U2116" s="320"/>
    </row>
    <row r="2117" spans="1:21" s="344" customFormat="1" outlineLevel="2">
      <c r="A2117" s="404"/>
      <c r="B2117" s="404"/>
      <c r="C2117" s="403">
        <v>2211200</v>
      </c>
      <c r="D2117" s="404" t="s">
        <v>55</v>
      </c>
      <c r="E2117" s="772">
        <f>E2118</f>
        <v>750000</v>
      </c>
      <c r="F2117" s="772">
        <f t="shared" ref="F2117:K2117" si="1574">F2118</f>
        <v>0</v>
      </c>
      <c r="G2117" s="772">
        <f t="shared" si="1574"/>
        <v>0</v>
      </c>
      <c r="H2117" s="772">
        <f t="shared" si="1574"/>
        <v>0</v>
      </c>
      <c r="I2117" s="772">
        <f t="shared" si="1574"/>
        <v>750000</v>
      </c>
      <c r="J2117" s="772">
        <f t="shared" si="1574"/>
        <v>0</v>
      </c>
      <c r="K2117" s="772">
        <f t="shared" si="1574"/>
        <v>0</v>
      </c>
      <c r="L2117" s="317">
        <f t="shared" ref="L2117:L2180" si="1575">I2117+J2117+K2117</f>
        <v>750000</v>
      </c>
      <c r="M2117" s="317"/>
      <c r="N2117" s="372">
        <f t="shared" si="1529"/>
        <v>0</v>
      </c>
      <c r="O2117" s="772">
        <f t="shared" ref="O2117:P2117" si="1576">O2118</f>
        <v>825000.00000000012</v>
      </c>
      <c r="P2117" s="772">
        <f t="shared" si="1576"/>
        <v>907500.00000000023</v>
      </c>
      <c r="R2117" s="317"/>
      <c r="U2117" s="320"/>
    </row>
    <row r="2118" spans="1:21" s="344" customFormat="1" outlineLevel="2">
      <c r="A2118" s="402"/>
      <c r="B2118" s="402"/>
      <c r="C2118" s="401">
        <v>2211201</v>
      </c>
      <c r="D2118" s="402" t="s">
        <v>56</v>
      </c>
      <c r="E2118" s="778">
        <f>930000-180000</f>
        <v>750000</v>
      </c>
      <c r="F2118" s="333"/>
      <c r="G2118" s="333"/>
      <c r="H2118" s="333"/>
      <c r="I2118" s="324">
        <f t="shared" si="1530"/>
        <v>750000</v>
      </c>
      <c r="J2118" s="333"/>
      <c r="K2118" s="333"/>
      <c r="L2118" s="317">
        <f t="shared" si="1575"/>
        <v>750000</v>
      </c>
      <c r="M2118" s="317"/>
      <c r="N2118" s="372">
        <f t="shared" si="1529"/>
        <v>0</v>
      </c>
      <c r="O2118" s="319">
        <f>L2118*1.1</f>
        <v>825000.00000000012</v>
      </c>
      <c r="P2118" s="319">
        <f t="shared" si="1572"/>
        <v>907500.00000000023</v>
      </c>
      <c r="R2118" s="317"/>
      <c r="U2118" s="320"/>
    </row>
    <row r="2119" spans="1:21" s="344" customFormat="1" outlineLevel="2">
      <c r="A2119" s="404"/>
      <c r="B2119" s="404"/>
      <c r="C2119" s="403">
        <v>2220100</v>
      </c>
      <c r="D2119" s="404" t="s">
        <v>62</v>
      </c>
      <c r="E2119" s="772">
        <f>E2120</f>
        <v>2758500</v>
      </c>
      <c r="F2119" s="772">
        <f t="shared" ref="F2119:P2119" si="1577">F2120</f>
        <v>0</v>
      </c>
      <c r="G2119" s="772">
        <f t="shared" si="1577"/>
        <v>0</v>
      </c>
      <c r="H2119" s="772">
        <f t="shared" si="1577"/>
        <v>0</v>
      </c>
      <c r="I2119" s="772">
        <f t="shared" si="1577"/>
        <v>2758500</v>
      </c>
      <c r="J2119" s="772">
        <f t="shared" si="1577"/>
        <v>0</v>
      </c>
      <c r="K2119" s="772">
        <f t="shared" si="1577"/>
        <v>0</v>
      </c>
      <c r="L2119" s="317">
        <f t="shared" si="1575"/>
        <v>2758500</v>
      </c>
      <c r="M2119" s="317"/>
      <c r="N2119" s="372">
        <f t="shared" si="1529"/>
        <v>0</v>
      </c>
      <c r="O2119" s="772">
        <f t="shared" si="1577"/>
        <v>3034350.0000000005</v>
      </c>
      <c r="P2119" s="772">
        <f t="shared" si="1577"/>
        <v>3337785.0000000009</v>
      </c>
      <c r="R2119" s="317"/>
      <c r="U2119" s="320"/>
    </row>
    <row r="2120" spans="1:21" s="344" customFormat="1" outlineLevel="2">
      <c r="A2120" s="402"/>
      <c r="B2120" s="402"/>
      <c r="C2120" s="401">
        <v>2220101</v>
      </c>
      <c r="D2120" s="402" t="s">
        <v>1635</v>
      </c>
      <c r="E2120" s="778">
        <f>906000+750*2470</f>
        <v>2758500</v>
      </c>
      <c r="F2120" s="333"/>
      <c r="G2120" s="333"/>
      <c r="H2120" s="333"/>
      <c r="I2120" s="324">
        <f t="shared" si="1530"/>
        <v>2758500</v>
      </c>
      <c r="J2120" s="333"/>
      <c r="K2120" s="333"/>
      <c r="L2120" s="317">
        <f t="shared" si="1575"/>
        <v>2758500</v>
      </c>
      <c r="M2120" s="317"/>
      <c r="N2120" s="372">
        <f t="shared" si="1529"/>
        <v>0</v>
      </c>
      <c r="O2120" s="319">
        <f>L2120*1.1</f>
        <v>3034350.0000000005</v>
      </c>
      <c r="P2120" s="319">
        <f t="shared" si="1572"/>
        <v>3337785.0000000009</v>
      </c>
      <c r="R2120" s="317"/>
      <c r="U2120" s="320"/>
    </row>
    <row r="2121" spans="1:21" s="344" customFormat="1" outlineLevel="1">
      <c r="A2121" s="859"/>
      <c r="B2121" s="859"/>
      <c r="C2121" s="829" t="s">
        <v>310</v>
      </c>
      <c r="D2121" s="859"/>
      <c r="E2121" s="666">
        <f>E2119+E2117+E2115+E2113</f>
        <v>4042442.7220000001</v>
      </c>
      <c r="F2121" s="666">
        <f t="shared" ref="F2121:K2121" si="1578">F2119+F2117+F2115+F2113</f>
        <v>0</v>
      </c>
      <c r="G2121" s="666">
        <f t="shared" si="1578"/>
        <v>0</v>
      </c>
      <c r="H2121" s="666">
        <f t="shared" si="1578"/>
        <v>0</v>
      </c>
      <c r="I2121" s="666">
        <f t="shared" si="1578"/>
        <v>4042442.7220000001</v>
      </c>
      <c r="J2121" s="666">
        <f t="shared" si="1578"/>
        <v>0</v>
      </c>
      <c r="K2121" s="666">
        <f t="shared" si="1578"/>
        <v>0</v>
      </c>
      <c r="L2121" s="317">
        <f t="shared" si="1575"/>
        <v>4042442.7220000001</v>
      </c>
      <c r="M2121" s="317"/>
      <c r="N2121" s="372">
        <f t="shared" ref="N2121:N2184" si="1579">M2121-K2121</f>
        <v>0</v>
      </c>
      <c r="O2121" s="666">
        <f t="shared" ref="O2121:P2121" si="1580">O2119+O2117+O2115+O2113</f>
        <v>4446686.9942000005</v>
      </c>
      <c r="P2121" s="666">
        <f t="shared" si="1580"/>
        <v>4891355.693620001</v>
      </c>
      <c r="R2121" s="317"/>
      <c r="U2121" s="320"/>
    </row>
    <row r="2122" spans="1:21" s="344" customFormat="1" outlineLevel="1">
      <c r="A2122" s="402"/>
      <c r="B2122" s="402"/>
      <c r="C2122" s="401"/>
      <c r="D2122" s="402"/>
      <c r="E2122" s="406">
        <v>0</v>
      </c>
      <c r="F2122" s="333"/>
      <c r="G2122" s="333"/>
      <c r="H2122" s="333"/>
      <c r="I2122" s="324">
        <f t="shared" si="1530"/>
        <v>0</v>
      </c>
      <c r="J2122" s="333"/>
      <c r="K2122" s="333"/>
      <c r="L2122" s="317">
        <f t="shared" si="1575"/>
        <v>0</v>
      </c>
      <c r="M2122" s="317"/>
      <c r="N2122" s="372">
        <f t="shared" si="1579"/>
        <v>0</v>
      </c>
      <c r="O2122" s="319">
        <f>L2122*1.1</f>
        <v>0</v>
      </c>
      <c r="P2122" s="319">
        <f t="shared" si="1572"/>
        <v>0</v>
      </c>
      <c r="R2122" s="317"/>
      <c r="U2122" s="320"/>
    </row>
    <row r="2123" spans="1:21" s="344" customFormat="1" outlineLevel="1">
      <c r="A2123" s="860" t="s">
        <v>168</v>
      </c>
      <c r="B2123" s="859" t="s">
        <v>146</v>
      </c>
      <c r="C2123" s="898" t="s">
        <v>458</v>
      </c>
      <c r="D2123" s="898"/>
      <c r="E2123" s="406">
        <v>0</v>
      </c>
      <c r="F2123" s="515"/>
      <c r="G2123" s="515"/>
      <c r="H2123" s="515"/>
      <c r="I2123" s="324">
        <f t="shared" ref="I2123:I2189" si="1581">E2123+F2123+G2123+H2123</f>
        <v>0</v>
      </c>
      <c r="J2123" s="515"/>
      <c r="K2123" s="515"/>
      <c r="L2123" s="317">
        <f t="shared" si="1575"/>
        <v>0</v>
      </c>
      <c r="M2123" s="317"/>
      <c r="N2123" s="372">
        <f t="shared" si="1579"/>
        <v>0</v>
      </c>
      <c r="O2123" s="319">
        <f>L2123*1.1</f>
        <v>0</v>
      </c>
      <c r="P2123" s="319">
        <f t="shared" si="1572"/>
        <v>0</v>
      </c>
      <c r="R2123" s="317"/>
      <c r="U2123" s="320"/>
    </row>
    <row r="2124" spans="1:21" s="344" customFormat="1" outlineLevel="2">
      <c r="A2124" s="404"/>
      <c r="B2124" s="404"/>
      <c r="C2124" s="403">
        <v>2210300</v>
      </c>
      <c r="D2124" s="404" t="s">
        <v>1636</v>
      </c>
      <c r="E2124" s="772">
        <f>E2125+E2126+E2127</f>
        <v>1500000</v>
      </c>
      <c r="F2124" s="772">
        <f t="shared" ref="F2124:K2124" si="1582">F2125+F2126+F2127</f>
        <v>0</v>
      </c>
      <c r="G2124" s="772">
        <f t="shared" si="1582"/>
        <v>0</v>
      </c>
      <c r="H2124" s="772">
        <f t="shared" si="1582"/>
        <v>0</v>
      </c>
      <c r="I2124" s="772">
        <f t="shared" si="1582"/>
        <v>1500000</v>
      </c>
      <c r="J2124" s="772">
        <f t="shared" si="1582"/>
        <v>0</v>
      </c>
      <c r="K2124" s="772">
        <f t="shared" si="1582"/>
        <v>0</v>
      </c>
      <c r="L2124" s="317">
        <f t="shared" si="1575"/>
        <v>1500000</v>
      </c>
      <c r="M2124" s="317"/>
      <c r="N2124" s="372">
        <f t="shared" si="1579"/>
        <v>0</v>
      </c>
      <c r="O2124" s="772">
        <f t="shared" ref="O2124:P2124" si="1583">O2125+O2126+O2127</f>
        <v>1650000</v>
      </c>
      <c r="P2124" s="772">
        <f t="shared" si="1583"/>
        <v>1815000</v>
      </c>
      <c r="R2124" s="317"/>
      <c r="U2124" s="320"/>
    </row>
    <row r="2125" spans="1:21" s="344" customFormat="1" outlineLevel="2">
      <c r="A2125" s="404"/>
      <c r="B2125" s="404"/>
      <c r="C2125" s="401">
        <v>2210301</v>
      </c>
      <c r="D2125" s="402" t="s">
        <v>25</v>
      </c>
      <c r="E2125" s="778">
        <v>550000</v>
      </c>
      <c r="F2125" s="333"/>
      <c r="G2125" s="333"/>
      <c r="H2125" s="333"/>
      <c r="I2125" s="324">
        <f t="shared" si="1581"/>
        <v>550000</v>
      </c>
      <c r="J2125" s="333"/>
      <c r="K2125" s="333"/>
      <c r="L2125" s="317">
        <f t="shared" si="1575"/>
        <v>550000</v>
      </c>
      <c r="M2125" s="317"/>
      <c r="N2125" s="372">
        <f t="shared" si="1579"/>
        <v>0</v>
      </c>
      <c r="O2125" s="319">
        <f t="shared" ref="O2125:O2127" si="1584">L2125*1.1</f>
        <v>605000</v>
      </c>
      <c r="P2125" s="319">
        <f t="shared" ref="P2125:P2127" si="1585">O2125*1.1</f>
        <v>665500</v>
      </c>
      <c r="R2125" s="317"/>
      <c r="U2125" s="320"/>
    </row>
    <row r="2126" spans="1:21" s="344" customFormat="1" outlineLevel="2">
      <c r="A2126" s="404"/>
      <c r="B2126" s="404"/>
      <c r="C2126" s="401">
        <v>2210302</v>
      </c>
      <c r="D2126" s="402" t="s">
        <v>26</v>
      </c>
      <c r="E2126" s="778">
        <f>290000+55000</f>
        <v>345000</v>
      </c>
      <c r="F2126" s="333"/>
      <c r="G2126" s="333"/>
      <c r="H2126" s="333"/>
      <c r="I2126" s="324">
        <f t="shared" si="1581"/>
        <v>345000</v>
      </c>
      <c r="J2126" s="333"/>
      <c r="K2126" s="333"/>
      <c r="L2126" s="317">
        <f t="shared" si="1575"/>
        <v>345000</v>
      </c>
      <c r="M2126" s="317"/>
      <c r="N2126" s="372">
        <f t="shared" si="1579"/>
        <v>0</v>
      </c>
      <c r="O2126" s="319">
        <f t="shared" si="1584"/>
        <v>379500.00000000006</v>
      </c>
      <c r="P2126" s="319">
        <f t="shared" si="1585"/>
        <v>417450.00000000012</v>
      </c>
      <c r="R2126" s="317"/>
      <c r="U2126" s="320"/>
    </row>
    <row r="2127" spans="1:21" s="344" customFormat="1" outlineLevel="2">
      <c r="A2127" s="404"/>
      <c r="B2127" s="404"/>
      <c r="C2127" s="401">
        <v>2210303</v>
      </c>
      <c r="D2127" s="402" t="s">
        <v>27</v>
      </c>
      <c r="E2127" s="778">
        <v>605000</v>
      </c>
      <c r="F2127" s="333"/>
      <c r="G2127" s="333"/>
      <c r="H2127" s="333"/>
      <c r="I2127" s="324">
        <f t="shared" si="1581"/>
        <v>605000</v>
      </c>
      <c r="J2127" s="333"/>
      <c r="K2127" s="333"/>
      <c r="L2127" s="317">
        <f t="shared" si="1575"/>
        <v>605000</v>
      </c>
      <c r="M2127" s="317"/>
      <c r="N2127" s="372">
        <f t="shared" si="1579"/>
        <v>0</v>
      </c>
      <c r="O2127" s="319">
        <f t="shared" si="1584"/>
        <v>665500</v>
      </c>
      <c r="P2127" s="319">
        <f t="shared" si="1585"/>
        <v>732050.00000000012</v>
      </c>
      <c r="R2127" s="317"/>
      <c r="U2127" s="320"/>
    </row>
    <row r="2128" spans="1:21" s="344" customFormat="1" outlineLevel="2">
      <c r="A2128" s="402"/>
      <c r="B2128" s="402"/>
      <c r="C2128" s="403">
        <v>2210800</v>
      </c>
      <c r="D2128" s="404" t="s">
        <v>42</v>
      </c>
      <c r="E2128" s="772">
        <f>E2129</f>
        <v>181200</v>
      </c>
      <c r="F2128" s="772">
        <f t="shared" ref="F2128:K2128" si="1586">F2129</f>
        <v>0</v>
      </c>
      <c r="G2128" s="772">
        <f t="shared" si="1586"/>
        <v>0</v>
      </c>
      <c r="H2128" s="772">
        <f t="shared" si="1586"/>
        <v>0</v>
      </c>
      <c r="I2128" s="772">
        <f t="shared" si="1586"/>
        <v>181200</v>
      </c>
      <c r="J2128" s="772">
        <f t="shared" si="1586"/>
        <v>0</v>
      </c>
      <c r="K2128" s="772">
        <f t="shared" si="1586"/>
        <v>0</v>
      </c>
      <c r="L2128" s="317">
        <f t="shared" si="1575"/>
        <v>181200</v>
      </c>
      <c r="M2128" s="317"/>
      <c r="N2128" s="372">
        <f t="shared" si="1579"/>
        <v>0</v>
      </c>
      <c r="O2128" s="772">
        <f t="shared" ref="O2128:P2128" si="1587">O2129</f>
        <v>199320.00000000003</v>
      </c>
      <c r="P2128" s="772">
        <f t="shared" si="1587"/>
        <v>219252.00000000006</v>
      </c>
      <c r="R2128" s="317"/>
      <c r="U2128" s="320"/>
    </row>
    <row r="2129" spans="1:21" s="344" customFormat="1" outlineLevel="2">
      <c r="A2129" s="404"/>
      <c r="B2129" s="404"/>
      <c r="C2129" s="401">
        <v>2210801</v>
      </c>
      <c r="D2129" s="402" t="s">
        <v>2421</v>
      </c>
      <c r="E2129" s="778">
        <v>181200</v>
      </c>
      <c r="F2129" s="333"/>
      <c r="G2129" s="333"/>
      <c r="H2129" s="333"/>
      <c r="I2129" s="324">
        <f t="shared" si="1581"/>
        <v>181200</v>
      </c>
      <c r="J2129" s="333"/>
      <c r="K2129" s="333"/>
      <c r="L2129" s="317">
        <f t="shared" si="1575"/>
        <v>181200</v>
      </c>
      <c r="M2129" s="317"/>
      <c r="N2129" s="372">
        <f t="shared" si="1579"/>
        <v>0</v>
      </c>
      <c r="O2129" s="319">
        <f>L2129*1.1</f>
        <v>199320.00000000003</v>
      </c>
      <c r="P2129" s="319">
        <f t="shared" si="1572"/>
        <v>219252.00000000006</v>
      </c>
      <c r="R2129" s="317"/>
      <c r="U2129" s="320"/>
    </row>
    <row r="2130" spans="1:21" s="344" customFormat="1" outlineLevel="1">
      <c r="A2130" s="859"/>
      <c r="B2130" s="859"/>
      <c r="C2130" s="829" t="s">
        <v>99</v>
      </c>
      <c r="D2130" s="859"/>
      <c r="E2130" s="438">
        <f>E2124+E2128</f>
        <v>1681200</v>
      </c>
      <c r="F2130" s="438">
        <f t="shared" ref="F2130:K2130" si="1588">F2124+F2128</f>
        <v>0</v>
      </c>
      <c r="G2130" s="438">
        <f t="shared" si="1588"/>
        <v>0</v>
      </c>
      <c r="H2130" s="438">
        <f t="shared" si="1588"/>
        <v>0</v>
      </c>
      <c r="I2130" s="438">
        <f t="shared" si="1588"/>
        <v>1681200</v>
      </c>
      <c r="J2130" s="438">
        <f t="shared" si="1588"/>
        <v>0</v>
      </c>
      <c r="K2130" s="438">
        <f t="shared" si="1588"/>
        <v>0</v>
      </c>
      <c r="L2130" s="317">
        <f t="shared" si="1575"/>
        <v>1681200</v>
      </c>
      <c r="M2130" s="317"/>
      <c r="N2130" s="372">
        <f t="shared" si="1579"/>
        <v>0</v>
      </c>
      <c r="O2130" s="438">
        <f t="shared" ref="O2130:P2130" si="1589">O2124+O2128</f>
        <v>1849320</v>
      </c>
      <c r="P2130" s="438">
        <f t="shared" si="1589"/>
        <v>2034252</v>
      </c>
      <c r="R2130" s="317"/>
      <c r="U2130" s="320"/>
    </row>
    <row r="2131" spans="1:21" s="344" customFormat="1" outlineLevel="1">
      <c r="A2131" s="859"/>
      <c r="B2131" s="859"/>
      <c r="C2131" s="829" t="s">
        <v>459</v>
      </c>
      <c r="D2131" s="859"/>
      <c r="E2131" s="438">
        <f>E2130</f>
        <v>1681200</v>
      </c>
      <c r="F2131" s="438">
        <f t="shared" ref="F2131:K2131" si="1590">F2130</f>
        <v>0</v>
      </c>
      <c r="G2131" s="438">
        <f t="shared" si="1590"/>
        <v>0</v>
      </c>
      <c r="H2131" s="438">
        <f t="shared" si="1590"/>
        <v>0</v>
      </c>
      <c r="I2131" s="438">
        <f t="shared" si="1590"/>
        <v>1681200</v>
      </c>
      <c r="J2131" s="438">
        <f t="shared" si="1590"/>
        <v>0</v>
      </c>
      <c r="K2131" s="438">
        <f t="shared" si="1590"/>
        <v>0</v>
      </c>
      <c r="L2131" s="317">
        <f t="shared" si="1575"/>
        <v>1681200</v>
      </c>
      <c r="M2131" s="317"/>
      <c r="N2131" s="372">
        <f t="shared" si="1579"/>
        <v>0</v>
      </c>
      <c r="O2131" s="438">
        <f t="shared" ref="O2131:P2131" si="1591">O2130</f>
        <v>1849320</v>
      </c>
      <c r="P2131" s="438">
        <f t="shared" si="1591"/>
        <v>2034252</v>
      </c>
      <c r="R2131" s="317"/>
      <c r="U2131" s="320"/>
    </row>
    <row r="2132" spans="1:21" s="344" customFormat="1" outlineLevel="1">
      <c r="A2132" s="404"/>
      <c r="B2132" s="404"/>
      <c r="C2132" s="403"/>
      <c r="D2132" s="404"/>
      <c r="E2132" s="406">
        <v>0</v>
      </c>
      <c r="F2132" s="329"/>
      <c r="G2132" s="329"/>
      <c r="H2132" s="329"/>
      <c r="I2132" s="324">
        <f t="shared" si="1581"/>
        <v>0</v>
      </c>
      <c r="J2132" s="329"/>
      <c r="K2132" s="329"/>
      <c r="L2132" s="317">
        <f t="shared" si="1575"/>
        <v>0</v>
      </c>
      <c r="M2132" s="317"/>
      <c r="N2132" s="372">
        <f t="shared" si="1579"/>
        <v>0</v>
      </c>
      <c r="O2132" s="319">
        <f>L2132*1.1</f>
        <v>0</v>
      </c>
      <c r="P2132" s="319">
        <f t="shared" si="1572"/>
        <v>0</v>
      </c>
      <c r="R2132" s="317"/>
      <c r="U2132" s="320"/>
    </row>
    <row r="2133" spans="1:21" s="344" customFormat="1" outlineLevel="1">
      <c r="A2133" s="860" t="s">
        <v>455</v>
      </c>
      <c r="B2133" s="859" t="s">
        <v>146</v>
      </c>
      <c r="C2133" s="859" t="s">
        <v>460</v>
      </c>
      <c r="D2133" s="859"/>
      <c r="E2133" s="406">
        <v>0</v>
      </c>
      <c r="F2133" s="666"/>
      <c r="G2133" s="666"/>
      <c r="H2133" s="666"/>
      <c r="I2133" s="324">
        <f t="shared" si="1581"/>
        <v>0</v>
      </c>
      <c r="J2133" s="666"/>
      <c r="K2133" s="666"/>
      <c r="L2133" s="317">
        <f t="shared" si="1575"/>
        <v>0</v>
      </c>
      <c r="M2133" s="317"/>
      <c r="N2133" s="372">
        <f t="shared" si="1579"/>
        <v>0</v>
      </c>
      <c r="O2133" s="319">
        <f>L2133*1.1</f>
        <v>0</v>
      </c>
      <c r="P2133" s="319">
        <f t="shared" si="1572"/>
        <v>0</v>
      </c>
      <c r="R2133" s="317"/>
      <c r="U2133" s="320"/>
    </row>
    <row r="2134" spans="1:21" s="344" customFormat="1" outlineLevel="2">
      <c r="A2134" s="404"/>
      <c r="B2134" s="404"/>
      <c r="C2134" s="403">
        <v>2210300</v>
      </c>
      <c r="D2134" s="404" t="s">
        <v>24</v>
      </c>
      <c r="E2134" s="772">
        <f>E2135</f>
        <v>556784.005</v>
      </c>
      <c r="F2134" s="772">
        <f t="shared" ref="F2134:K2134" si="1592">F2135</f>
        <v>0</v>
      </c>
      <c r="G2134" s="772">
        <f t="shared" si="1592"/>
        <v>0</v>
      </c>
      <c r="H2134" s="772">
        <f t="shared" si="1592"/>
        <v>0</v>
      </c>
      <c r="I2134" s="772">
        <f t="shared" si="1592"/>
        <v>556784.005</v>
      </c>
      <c r="J2134" s="772">
        <f t="shared" si="1592"/>
        <v>0</v>
      </c>
      <c r="K2134" s="772">
        <f t="shared" si="1592"/>
        <v>0</v>
      </c>
      <c r="L2134" s="317">
        <f t="shared" si="1575"/>
        <v>556784.005</v>
      </c>
      <c r="M2134" s="317"/>
      <c r="N2134" s="372">
        <f t="shared" si="1579"/>
        <v>0</v>
      </c>
      <c r="O2134" s="772">
        <f t="shared" ref="O2134:P2134" si="1593">O2135</f>
        <v>612462.40550000011</v>
      </c>
      <c r="P2134" s="772">
        <f t="shared" si="1593"/>
        <v>673708.64605000021</v>
      </c>
      <c r="R2134" s="317"/>
      <c r="U2134" s="320"/>
    </row>
    <row r="2135" spans="1:21" s="344" customFormat="1" outlineLevel="2">
      <c r="A2135" s="402"/>
      <c r="B2135" s="402"/>
      <c r="C2135" s="401">
        <v>2210303</v>
      </c>
      <c r="D2135" s="402" t="s">
        <v>223</v>
      </c>
      <c r="E2135" s="778">
        <v>556784.005</v>
      </c>
      <c r="F2135" s="333"/>
      <c r="G2135" s="333"/>
      <c r="H2135" s="333"/>
      <c r="I2135" s="324">
        <f t="shared" si="1581"/>
        <v>556784.005</v>
      </c>
      <c r="J2135" s="333"/>
      <c r="K2135" s="333"/>
      <c r="L2135" s="317">
        <f t="shared" si="1575"/>
        <v>556784.005</v>
      </c>
      <c r="M2135" s="317"/>
      <c r="N2135" s="372">
        <f t="shared" si="1579"/>
        <v>0</v>
      </c>
      <c r="O2135" s="319">
        <f>L2135*1.1</f>
        <v>612462.40550000011</v>
      </c>
      <c r="P2135" s="319">
        <f t="shared" ref="P2135:P2150" si="1594">O2135*1.1</f>
        <v>673708.64605000021</v>
      </c>
      <c r="R2135" s="317"/>
      <c r="U2135" s="320"/>
    </row>
    <row r="2136" spans="1:21" s="344" customFormat="1" outlineLevel="2">
      <c r="A2136" s="404"/>
      <c r="B2136" s="404"/>
      <c r="C2136" s="403">
        <v>2210500</v>
      </c>
      <c r="D2136" s="404" t="s">
        <v>31</v>
      </c>
      <c r="E2136" s="772">
        <f>E2137+E2138+E2139</f>
        <v>1445790.4679999999</v>
      </c>
      <c r="F2136" s="772">
        <f t="shared" ref="F2136:K2136" si="1595">F2137+F2138+F2139</f>
        <v>0</v>
      </c>
      <c r="G2136" s="772">
        <f t="shared" si="1595"/>
        <v>0</v>
      </c>
      <c r="H2136" s="772">
        <f t="shared" si="1595"/>
        <v>0</v>
      </c>
      <c r="I2136" s="772">
        <f t="shared" si="1595"/>
        <v>1445790.4679999999</v>
      </c>
      <c r="J2136" s="772">
        <f t="shared" si="1595"/>
        <v>0</v>
      </c>
      <c r="K2136" s="772">
        <f t="shared" si="1595"/>
        <v>0</v>
      </c>
      <c r="L2136" s="317">
        <f t="shared" si="1575"/>
        <v>1445790.4679999999</v>
      </c>
      <c r="M2136" s="317"/>
      <c r="N2136" s="372">
        <f t="shared" si="1579"/>
        <v>0</v>
      </c>
      <c r="O2136" s="772">
        <f t="shared" ref="O2136:P2136" si="1596">O2137+O2138+O2139</f>
        <v>1590369.5148</v>
      </c>
      <c r="P2136" s="772">
        <f t="shared" si="1596"/>
        <v>1749406.4662800003</v>
      </c>
      <c r="R2136" s="317"/>
      <c r="U2136" s="320"/>
    </row>
    <row r="2137" spans="1:21" s="344" customFormat="1" outlineLevel="2">
      <c r="A2137" s="402"/>
      <c r="B2137" s="402"/>
      <c r="C2137" s="401">
        <v>2210502</v>
      </c>
      <c r="D2137" s="402" t="s">
        <v>105</v>
      </c>
      <c r="E2137" s="778">
        <v>31212.468000000001</v>
      </c>
      <c r="F2137" s="333"/>
      <c r="G2137" s="333"/>
      <c r="H2137" s="333"/>
      <c r="I2137" s="324">
        <f t="shared" si="1581"/>
        <v>31212.468000000001</v>
      </c>
      <c r="J2137" s="333"/>
      <c r="K2137" s="333"/>
      <c r="L2137" s="317">
        <f t="shared" si="1575"/>
        <v>31212.468000000001</v>
      </c>
      <c r="M2137" s="317"/>
      <c r="N2137" s="372">
        <f t="shared" si="1579"/>
        <v>0</v>
      </c>
      <c r="O2137" s="319">
        <f>L2137*1.1</f>
        <v>34333.714800000002</v>
      </c>
      <c r="P2137" s="319">
        <f t="shared" si="1594"/>
        <v>37767.086280000003</v>
      </c>
      <c r="R2137" s="317"/>
      <c r="U2137" s="320"/>
    </row>
    <row r="2138" spans="1:21" s="344" customFormat="1" outlineLevel="2">
      <c r="A2138" s="402"/>
      <c r="B2138" s="402"/>
      <c r="C2138" s="401">
        <v>2210504</v>
      </c>
      <c r="D2138" s="402" t="s">
        <v>461</v>
      </c>
      <c r="E2138" s="778">
        <v>297440</v>
      </c>
      <c r="F2138" s="333"/>
      <c r="G2138" s="333"/>
      <c r="H2138" s="333"/>
      <c r="I2138" s="324">
        <f t="shared" si="1581"/>
        <v>297440</v>
      </c>
      <c r="J2138" s="333"/>
      <c r="K2138" s="333"/>
      <c r="L2138" s="317">
        <f t="shared" si="1575"/>
        <v>297440</v>
      </c>
      <c r="M2138" s="317"/>
      <c r="N2138" s="372">
        <f t="shared" si="1579"/>
        <v>0</v>
      </c>
      <c r="O2138" s="319">
        <f>L2138*1.1</f>
        <v>327184</v>
      </c>
      <c r="P2138" s="319">
        <f t="shared" si="1594"/>
        <v>359902.4</v>
      </c>
      <c r="R2138" s="317"/>
      <c r="U2138" s="320"/>
    </row>
    <row r="2139" spans="1:21" s="344" customFormat="1" outlineLevel="2">
      <c r="A2139" s="402"/>
      <c r="B2139" s="402"/>
      <c r="C2139" s="401">
        <v>2210505</v>
      </c>
      <c r="D2139" s="402" t="s">
        <v>1637</v>
      </c>
      <c r="E2139" s="778">
        <f>790000+24564+92574+710000-500000</f>
        <v>1117138</v>
      </c>
      <c r="F2139" s="333"/>
      <c r="G2139" s="333"/>
      <c r="H2139" s="333"/>
      <c r="I2139" s="324">
        <f t="shared" si="1581"/>
        <v>1117138</v>
      </c>
      <c r="J2139" s="333"/>
      <c r="K2139" s="333"/>
      <c r="L2139" s="317">
        <f t="shared" si="1575"/>
        <v>1117138</v>
      </c>
      <c r="M2139" s="317"/>
      <c r="N2139" s="372">
        <f t="shared" si="1579"/>
        <v>0</v>
      </c>
      <c r="O2139" s="319">
        <f>L2139*1.1</f>
        <v>1228851.8</v>
      </c>
      <c r="P2139" s="319">
        <f t="shared" si="1594"/>
        <v>1351736.9800000002</v>
      </c>
      <c r="R2139" s="317"/>
      <c r="U2139" s="320"/>
    </row>
    <row r="2140" spans="1:21" s="344" customFormat="1" outlineLevel="2">
      <c r="A2140" s="404"/>
      <c r="B2140" s="404"/>
      <c r="C2140" s="403">
        <v>2210800</v>
      </c>
      <c r="D2140" s="404" t="s">
        <v>42</v>
      </c>
      <c r="E2140" s="772">
        <f>E2141</f>
        <v>300000</v>
      </c>
      <c r="F2140" s="772">
        <f t="shared" ref="F2140:P2140" si="1597">F2141</f>
        <v>0</v>
      </c>
      <c r="G2140" s="772">
        <f t="shared" si="1597"/>
        <v>0</v>
      </c>
      <c r="H2140" s="772">
        <f t="shared" si="1597"/>
        <v>0</v>
      </c>
      <c r="I2140" s="772">
        <f t="shared" si="1597"/>
        <v>300000</v>
      </c>
      <c r="J2140" s="772">
        <f t="shared" si="1597"/>
        <v>0</v>
      </c>
      <c r="K2140" s="772">
        <f t="shared" si="1597"/>
        <v>0</v>
      </c>
      <c r="L2140" s="317">
        <f t="shared" si="1575"/>
        <v>300000</v>
      </c>
      <c r="M2140" s="317"/>
      <c r="N2140" s="372">
        <f t="shared" si="1579"/>
        <v>0</v>
      </c>
      <c r="O2140" s="772">
        <f t="shared" si="1597"/>
        <v>330000</v>
      </c>
      <c r="P2140" s="772">
        <f t="shared" si="1597"/>
        <v>363000.00000000006</v>
      </c>
      <c r="R2140" s="317"/>
      <c r="U2140" s="320"/>
    </row>
    <row r="2141" spans="1:21" s="344" customFormat="1" outlineLevel="2">
      <c r="A2141" s="402"/>
      <c r="B2141" s="402"/>
      <c r="C2141" s="401">
        <v>2210801</v>
      </c>
      <c r="D2141" s="402" t="s">
        <v>2421</v>
      </c>
      <c r="E2141" s="778">
        <v>300000</v>
      </c>
      <c r="F2141" s="333"/>
      <c r="G2141" s="333"/>
      <c r="H2141" s="333"/>
      <c r="I2141" s="324">
        <f t="shared" si="1581"/>
        <v>300000</v>
      </c>
      <c r="J2141" s="333"/>
      <c r="K2141" s="333"/>
      <c r="L2141" s="317">
        <f t="shared" si="1575"/>
        <v>300000</v>
      </c>
      <c r="M2141" s="317"/>
      <c r="N2141" s="372">
        <f t="shared" si="1579"/>
        <v>0</v>
      </c>
      <c r="O2141" s="319">
        <f>L2141*1.1</f>
        <v>330000</v>
      </c>
      <c r="P2141" s="319">
        <f t="shared" si="1594"/>
        <v>363000.00000000006</v>
      </c>
      <c r="R2141" s="317"/>
      <c r="U2141" s="320"/>
    </row>
    <row r="2142" spans="1:21" s="344" customFormat="1" outlineLevel="1">
      <c r="A2142" s="859"/>
      <c r="B2142" s="859"/>
      <c r="C2142" s="829" t="s">
        <v>462</v>
      </c>
      <c r="D2142" s="859"/>
      <c r="E2142" s="666">
        <f>E2140+E2136+E2134</f>
        <v>2302574.4729999998</v>
      </c>
      <c r="F2142" s="666">
        <f t="shared" ref="F2142:P2142" si="1598">F2140+F2136+F2134</f>
        <v>0</v>
      </c>
      <c r="G2142" s="666">
        <f t="shared" si="1598"/>
        <v>0</v>
      </c>
      <c r="H2142" s="666">
        <f t="shared" si="1598"/>
        <v>0</v>
      </c>
      <c r="I2142" s="666">
        <f t="shared" si="1598"/>
        <v>2302574.4729999998</v>
      </c>
      <c r="J2142" s="666">
        <f t="shared" si="1598"/>
        <v>0</v>
      </c>
      <c r="K2142" s="666">
        <f t="shared" si="1598"/>
        <v>0</v>
      </c>
      <c r="L2142" s="317">
        <f t="shared" si="1575"/>
        <v>2302574.4729999998</v>
      </c>
      <c r="M2142" s="317"/>
      <c r="N2142" s="372">
        <f t="shared" si="1579"/>
        <v>0</v>
      </c>
      <c r="O2142" s="666">
        <f t="shared" si="1598"/>
        <v>2532831.9203000003</v>
      </c>
      <c r="P2142" s="666">
        <f t="shared" si="1598"/>
        <v>2786115.1123300004</v>
      </c>
      <c r="R2142" s="317"/>
      <c r="U2142" s="320"/>
    </row>
    <row r="2143" spans="1:21" s="344" customFormat="1" outlineLevel="1">
      <c r="A2143" s="404"/>
      <c r="B2143" s="404"/>
      <c r="C2143" s="403"/>
      <c r="D2143" s="404"/>
      <c r="E2143" s="406">
        <v>0</v>
      </c>
      <c r="F2143" s="329"/>
      <c r="G2143" s="329"/>
      <c r="H2143" s="329"/>
      <c r="I2143" s="324">
        <f t="shared" si="1581"/>
        <v>0</v>
      </c>
      <c r="J2143" s="329"/>
      <c r="K2143" s="329"/>
      <c r="L2143" s="317">
        <f t="shared" si="1575"/>
        <v>0</v>
      </c>
      <c r="M2143" s="317"/>
      <c r="N2143" s="372">
        <f t="shared" si="1579"/>
        <v>0</v>
      </c>
      <c r="O2143" s="319">
        <f>L2143*1.1</f>
        <v>0</v>
      </c>
      <c r="P2143" s="319">
        <f t="shared" si="1594"/>
        <v>0</v>
      </c>
      <c r="R2143" s="317"/>
      <c r="U2143" s="320"/>
    </row>
    <row r="2144" spans="1:21" s="344" customFormat="1" outlineLevel="1">
      <c r="A2144" s="860" t="s">
        <v>447</v>
      </c>
      <c r="B2144" s="859" t="s">
        <v>146</v>
      </c>
      <c r="C2144" s="829" t="s">
        <v>463</v>
      </c>
      <c r="D2144" s="859"/>
      <c r="E2144" s="406">
        <v>0</v>
      </c>
      <c r="F2144" s="666"/>
      <c r="G2144" s="666"/>
      <c r="H2144" s="666"/>
      <c r="I2144" s="324">
        <f t="shared" si="1581"/>
        <v>0</v>
      </c>
      <c r="J2144" s="666"/>
      <c r="K2144" s="666"/>
      <c r="L2144" s="317">
        <f t="shared" si="1575"/>
        <v>0</v>
      </c>
      <c r="M2144" s="317"/>
      <c r="N2144" s="372">
        <f t="shared" si="1579"/>
        <v>0</v>
      </c>
      <c r="O2144" s="319">
        <f>L2144*1.1</f>
        <v>0</v>
      </c>
      <c r="P2144" s="319">
        <f t="shared" si="1594"/>
        <v>0</v>
      </c>
      <c r="R2144" s="317"/>
      <c r="U2144" s="320"/>
    </row>
    <row r="2145" spans="1:21" s="344" customFormat="1" outlineLevel="2">
      <c r="A2145" s="404"/>
      <c r="B2145" s="404"/>
      <c r="C2145" s="403">
        <v>2210300</v>
      </c>
      <c r="D2145" s="404" t="s">
        <v>24</v>
      </c>
      <c r="E2145" s="772">
        <f>E2146+E2147+E2148</f>
        <v>2847337.4416</v>
      </c>
      <c r="F2145" s="772">
        <f t="shared" ref="F2145:P2145" si="1599">F2146+F2147+F2148</f>
        <v>0</v>
      </c>
      <c r="G2145" s="772">
        <f t="shared" si="1599"/>
        <v>0</v>
      </c>
      <c r="H2145" s="772">
        <f t="shared" si="1599"/>
        <v>0</v>
      </c>
      <c r="I2145" s="772">
        <f t="shared" si="1599"/>
        <v>2847337.4416</v>
      </c>
      <c r="J2145" s="772">
        <f t="shared" si="1599"/>
        <v>0</v>
      </c>
      <c r="K2145" s="772">
        <f t="shared" si="1599"/>
        <v>0</v>
      </c>
      <c r="L2145" s="317">
        <f t="shared" si="1575"/>
        <v>2847337.4416</v>
      </c>
      <c r="M2145" s="317"/>
      <c r="N2145" s="372">
        <f t="shared" si="1579"/>
        <v>0</v>
      </c>
      <c r="O2145" s="772">
        <f t="shared" si="1599"/>
        <v>3132071.1857599998</v>
      </c>
      <c r="P2145" s="772">
        <f t="shared" si="1599"/>
        <v>3445278.3043360002</v>
      </c>
      <c r="R2145" s="317"/>
      <c r="U2145" s="320"/>
    </row>
    <row r="2146" spans="1:21" s="344" customFormat="1" outlineLevel="2">
      <c r="A2146" s="402"/>
      <c r="B2146" s="402"/>
      <c r="C2146" s="401">
        <v>2210301</v>
      </c>
      <c r="D2146" s="402" t="s">
        <v>25</v>
      </c>
      <c r="E2146" s="778">
        <f>696000+200000</f>
        <v>896000</v>
      </c>
      <c r="F2146" s="333"/>
      <c r="G2146" s="333"/>
      <c r="H2146" s="333"/>
      <c r="I2146" s="324">
        <f t="shared" si="1581"/>
        <v>896000</v>
      </c>
      <c r="J2146" s="333"/>
      <c r="K2146" s="333"/>
      <c r="L2146" s="317">
        <f t="shared" si="1575"/>
        <v>896000</v>
      </c>
      <c r="M2146" s="317"/>
      <c r="N2146" s="372">
        <f t="shared" si="1579"/>
        <v>0</v>
      </c>
      <c r="O2146" s="319">
        <f>L2146*1.1</f>
        <v>985600.00000000012</v>
      </c>
      <c r="P2146" s="319">
        <f t="shared" si="1594"/>
        <v>1084160.0000000002</v>
      </c>
      <c r="R2146" s="317"/>
      <c r="U2146" s="320"/>
    </row>
    <row r="2147" spans="1:21" s="344" customFormat="1" outlineLevel="2">
      <c r="A2147" s="402"/>
      <c r="B2147" s="402"/>
      <c r="C2147" s="401">
        <v>2210302</v>
      </c>
      <c r="D2147" s="402" t="s">
        <v>411</v>
      </c>
      <c r="E2147" s="778">
        <v>970000</v>
      </c>
      <c r="F2147" s="333"/>
      <c r="G2147" s="333"/>
      <c r="H2147" s="333"/>
      <c r="I2147" s="324">
        <f t="shared" si="1581"/>
        <v>970000</v>
      </c>
      <c r="J2147" s="333"/>
      <c r="K2147" s="333"/>
      <c r="L2147" s="317">
        <f t="shared" si="1575"/>
        <v>970000</v>
      </c>
      <c r="M2147" s="317"/>
      <c r="N2147" s="372">
        <f t="shared" si="1579"/>
        <v>0</v>
      </c>
      <c r="O2147" s="319">
        <f>L2147*1.1</f>
        <v>1067000</v>
      </c>
      <c r="P2147" s="319">
        <f t="shared" si="1594"/>
        <v>1173700</v>
      </c>
      <c r="R2147" s="317"/>
      <c r="U2147" s="320"/>
    </row>
    <row r="2148" spans="1:21" s="344" customFormat="1" outlineLevel="2">
      <c r="A2148" s="402"/>
      <c r="B2148" s="402"/>
      <c r="C2148" s="401">
        <v>2210303</v>
      </c>
      <c r="D2148" s="402" t="s">
        <v>27</v>
      </c>
      <c r="E2148" s="778">
        <v>981337.44160000002</v>
      </c>
      <c r="F2148" s="333"/>
      <c r="G2148" s="333"/>
      <c r="H2148" s="333"/>
      <c r="I2148" s="324">
        <f t="shared" si="1581"/>
        <v>981337.44160000002</v>
      </c>
      <c r="J2148" s="333"/>
      <c r="K2148" s="333"/>
      <c r="L2148" s="317">
        <f t="shared" si="1575"/>
        <v>981337.44160000002</v>
      </c>
      <c r="M2148" s="317"/>
      <c r="N2148" s="372">
        <f t="shared" si="1579"/>
        <v>0</v>
      </c>
      <c r="O2148" s="319">
        <f>L2148*1.1</f>
        <v>1079471.18576</v>
      </c>
      <c r="P2148" s="319">
        <f t="shared" si="1594"/>
        <v>1187418.3043360002</v>
      </c>
      <c r="R2148" s="317"/>
      <c r="U2148" s="320"/>
    </row>
    <row r="2149" spans="1:21" s="344" customFormat="1" outlineLevel="2">
      <c r="A2149" s="404"/>
      <c r="B2149" s="404"/>
      <c r="C2149" s="403">
        <v>2211200</v>
      </c>
      <c r="D2149" s="404" t="s">
        <v>55</v>
      </c>
      <c r="E2149" s="772">
        <f>E2150</f>
        <v>780000</v>
      </c>
      <c r="F2149" s="772">
        <f t="shared" ref="F2149:K2149" si="1600">F2150</f>
        <v>0</v>
      </c>
      <c r="G2149" s="772">
        <f t="shared" si="1600"/>
        <v>0</v>
      </c>
      <c r="H2149" s="772">
        <f t="shared" si="1600"/>
        <v>0</v>
      </c>
      <c r="I2149" s="772">
        <f t="shared" si="1600"/>
        <v>780000</v>
      </c>
      <c r="J2149" s="772">
        <f t="shared" si="1600"/>
        <v>0</v>
      </c>
      <c r="K2149" s="772">
        <f t="shared" si="1600"/>
        <v>0</v>
      </c>
      <c r="L2149" s="317">
        <f t="shared" si="1575"/>
        <v>780000</v>
      </c>
      <c r="M2149" s="317"/>
      <c r="N2149" s="372">
        <f t="shared" si="1579"/>
        <v>0</v>
      </c>
      <c r="O2149" s="772">
        <f t="shared" ref="O2149:P2149" si="1601">O2150</f>
        <v>858000.00000000012</v>
      </c>
      <c r="P2149" s="772">
        <f t="shared" si="1601"/>
        <v>943800.00000000023</v>
      </c>
      <c r="R2149" s="317"/>
      <c r="U2149" s="320"/>
    </row>
    <row r="2150" spans="1:21" s="344" customFormat="1" outlineLevel="2">
      <c r="A2150" s="402"/>
      <c r="B2150" s="402"/>
      <c r="C2150" s="401">
        <v>2211201</v>
      </c>
      <c r="D2150" s="402" t="s">
        <v>56</v>
      </c>
      <c r="E2150" s="778">
        <v>780000</v>
      </c>
      <c r="F2150" s="333"/>
      <c r="G2150" s="333"/>
      <c r="H2150" s="333"/>
      <c r="I2150" s="324">
        <f t="shared" si="1581"/>
        <v>780000</v>
      </c>
      <c r="J2150" s="333"/>
      <c r="K2150" s="333"/>
      <c r="L2150" s="317">
        <f t="shared" si="1575"/>
        <v>780000</v>
      </c>
      <c r="M2150" s="317"/>
      <c r="N2150" s="372">
        <f t="shared" si="1579"/>
        <v>0</v>
      </c>
      <c r="O2150" s="319">
        <f>L2150*1.1</f>
        <v>858000.00000000012</v>
      </c>
      <c r="P2150" s="319">
        <f t="shared" si="1594"/>
        <v>943800.00000000023</v>
      </c>
      <c r="R2150" s="317"/>
      <c r="U2150" s="320"/>
    </row>
    <row r="2151" spans="1:21" s="344" customFormat="1" outlineLevel="1">
      <c r="A2151" s="859"/>
      <c r="B2151" s="859"/>
      <c r="C2151" s="829" t="s">
        <v>99</v>
      </c>
      <c r="D2151" s="859"/>
      <c r="E2151" s="666">
        <f>E2149+E2145</f>
        <v>3627337.4416</v>
      </c>
      <c r="F2151" s="666">
        <f t="shared" ref="F2151:K2151" si="1602">F2149+F2145</f>
        <v>0</v>
      </c>
      <c r="G2151" s="666">
        <f t="shared" si="1602"/>
        <v>0</v>
      </c>
      <c r="H2151" s="666">
        <f t="shared" si="1602"/>
        <v>0</v>
      </c>
      <c r="I2151" s="666">
        <f t="shared" si="1602"/>
        <v>3627337.4416</v>
      </c>
      <c r="J2151" s="666">
        <f t="shared" si="1602"/>
        <v>0</v>
      </c>
      <c r="K2151" s="666">
        <f t="shared" si="1602"/>
        <v>0</v>
      </c>
      <c r="L2151" s="317">
        <f t="shared" si="1575"/>
        <v>3627337.4416</v>
      </c>
      <c r="M2151" s="317"/>
      <c r="N2151" s="372">
        <f t="shared" si="1579"/>
        <v>0</v>
      </c>
      <c r="O2151" s="666">
        <f t="shared" ref="O2151:P2151" si="1603">O2149+O2145</f>
        <v>3990071.1857599998</v>
      </c>
      <c r="P2151" s="666">
        <f t="shared" si="1603"/>
        <v>4389078.3043360002</v>
      </c>
      <c r="R2151" s="317"/>
      <c r="U2151" s="320"/>
    </row>
    <row r="2152" spans="1:21" s="344" customFormat="1" outlineLevel="1">
      <c r="A2152" s="859"/>
      <c r="B2152" s="859"/>
      <c r="C2152" s="829" t="s">
        <v>464</v>
      </c>
      <c r="D2152" s="859"/>
      <c r="E2152" s="666">
        <f>E2151</f>
        <v>3627337.4416</v>
      </c>
      <c r="F2152" s="666">
        <f t="shared" ref="F2152:K2152" si="1604">F2151</f>
        <v>0</v>
      </c>
      <c r="G2152" s="666">
        <f t="shared" si="1604"/>
        <v>0</v>
      </c>
      <c r="H2152" s="666">
        <f t="shared" si="1604"/>
        <v>0</v>
      </c>
      <c r="I2152" s="666">
        <f t="shared" si="1604"/>
        <v>3627337.4416</v>
      </c>
      <c r="J2152" s="666">
        <f t="shared" si="1604"/>
        <v>0</v>
      </c>
      <c r="K2152" s="666">
        <f t="shared" si="1604"/>
        <v>0</v>
      </c>
      <c r="L2152" s="317">
        <f t="shared" si="1575"/>
        <v>3627337.4416</v>
      </c>
      <c r="M2152" s="317"/>
      <c r="N2152" s="372">
        <f t="shared" si="1579"/>
        <v>0</v>
      </c>
      <c r="O2152" s="666">
        <f t="shared" ref="O2152:P2152" si="1605">O2151</f>
        <v>3990071.1857599998</v>
      </c>
      <c r="P2152" s="666">
        <f t="shared" si="1605"/>
        <v>4389078.3043360002</v>
      </c>
      <c r="R2152" s="317"/>
      <c r="U2152" s="320"/>
    </row>
    <row r="2153" spans="1:21" s="344" customFormat="1" outlineLevel="1">
      <c r="A2153" s="828"/>
      <c r="B2153" s="828"/>
      <c r="C2153" s="899"/>
      <c r="D2153" s="828"/>
      <c r="E2153" s="406"/>
      <c r="F2153" s="406"/>
      <c r="G2153" s="406"/>
      <c r="H2153" s="406"/>
      <c r="I2153" s="406"/>
      <c r="J2153" s="406"/>
      <c r="K2153" s="406"/>
      <c r="L2153" s="317">
        <f t="shared" si="1575"/>
        <v>0</v>
      </c>
      <c r="M2153" s="317"/>
      <c r="N2153" s="372">
        <f t="shared" si="1579"/>
        <v>0</v>
      </c>
      <c r="O2153" s="319"/>
      <c r="P2153" s="319"/>
      <c r="R2153" s="317"/>
      <c r="U2153" s="320"/>
    </row>
    <row r="2154" spans="1:21" s="344" customFormat="1" outlineLevel="1">
      <c r="A2154" s="828"/>
      <c r="B2154" s="828"/>
      <c r="C2154" s="829" t="s">
        <v>2564</v>
      </c>
      <c r="D2154" s="828"/>
      <c r="E2154" s="666">
        <f>E2151+E2142+E2130+E2121+E2109+E2098+E2082+E2054</f>
        <v>1084659447.9405999</v>
      </c>
      <c r="F2154" s="666">
        <f t="shared" ref="F2154:K2154" si="1606">F2151+F2142+F2130+F2121+F2109+F2098+F2082+F2054</f>
        <v>0</v>
      </c>
      <c r="G2154" s="666">
        <f t="shared" si="1606"/>
        <v>0</v>
      </c>
      <c r="H2154" s="666">
        <f t="shared" si="1606"/>
        <v>0</v>
      </c>
      <c r="I2154" s="666">
        <f t="shared" si="1606"/>
        <v>1084659447.9405999</v>
      </c>
      <c r="J2154" s="666">
        <f t="shared" si="1606"/>
        <v>4049554.8699999973</v>
      </c>
      <c r="K2154" s="666">
        <f t="shared" si="1606"/>
        <v>-435000</v>
      </c>
      <c r="L2154" s="317">
        <f t="shared" si="1575"/>
        <v>1088274002.8105998</v>
      </c>
      <c r="M2154" s="317"/>
      <c r="N2154" s="372">
        <f t="shared" si="1579"/>
        <v>435000</v>
      </c>
      <c r="O2154" s="319"/>
      <c r="P2154" s="319"/>
      <c r="R2154" s="317"/>
      <c r="U2154" s="320"/>
    </row>
    <row r="2155" spans="1:21" s="344" customFormat="1" outlineLevel="1">
      <c r="A2155" s="828"/>
      <c r="B2155" s="828"/>
      <c r="C2155" s="829" t="s">
        <v>2565</v>
      </c>
      <c r="D2155" s="828"/>
      <c r="E2155" s="666">
        <f>E2087+E2070</f>
        <v>22968415</v>
      </c>
      <c r="F2155" s="666">
        <f t="shared" ref="F2155:P2155" si="1607">F2087+F2070</f>
        <v>7945736.2999999989</v>
      </c>
      <c r="G2155" s="666">
        <f t="shared" si="1607"/>
        <v>18000000</v>
      </c>
      <c r="H2155" s="666">
        <f t="shared" si="1607"/>
        <v>0</v>
      </c>
      <c r="I2155" s="666">
        <f t="shared" si="1607"/>
        <v>48914151.299999997</v>
      </c>
      <c r="J2155" s="666">
        <f t="shared" si="1607"/>
        <v>0</v>
      </c>
      <c r="K2155" s="666">
        <f t="shared" si="1607"/>
        <v>435000</v>
      </c>
      <c r="L2155" s="317">
        <f t="shared" si="1575"/>
        <v>49349151.299999997</v>
      </c>
      <c r="M2155" s="317"/>
      <c r="N2155" s="372">
        <f t="shared" si="1579"/>
        <v>-435000</v>
      </c>
      <c r="O2155" s="666">
        <f t="shared" si="1607"/>
        <v>43530756.5</v>
      </c>
      <c r="P2155" s="666">
        <f t="shared" si="1607"/>
        <v>47883832.150000006</v>
      </c>
      <c r="R2155" s="317"/>
      <c r="U2155" s="320"/>
    </row>
    <row r="2156" spans="1:21" s="344" customFormat="1" outlineLevel="1">
      <c r="A2156" s="859"/>
      <c r="B2156" s="859"/>
      <c r="C2156" s="829" t="s">
        <v>465</v>
      </c>
      <c r="D2156" s="859"/>
      <c r="E2156" s="666">
        <f>E2154+E2155</f>
        <v>1107627862.9405999</v>
      </c>
      <c r="F2156" s="666">
        <f t="shared" ref="F2156:P2156" si="1608">F2154+F2155</f>
        <v>7945736.2999999989</v>
      </c>
      <c r="G2156" s="666">
        <f t="shared" si="1608"/>
        <v>18000000</v>
      </c>
      <c r="H2156" s="666">
        <f t="shared" si="1608"/>
        <v>0</v>
      </c>
      <c r="I2156" s="666">
        <f t="shared" si="1608"/>
        <v>1133573599.2405999</v>
      </c>
      <c r="J2156" s="666">
        <f t="shared" si="1608"/>
        <v>4049554.8699999973</v>
      </c>
      <c r="K2156" s="666">
        <f t="shared" si="1608"/>
        <v>0</v>
      </c>
      <c r="L2156" s="317">
        <f t="shared" si="1575"/>
        <v>1137623154.1105998</v>
      </c>
      <c r="M2156" s="317"/>
      <c r="N2156" s="372">
        <f t="shared" si="1579"/>
        <v>0</v>
      </c>
      <c r="O2156" s="666">
        <f t="shared" si="1608"/>
        <v>43530756.5</v>
      </c>
      <c r="P2156" s="666">
        <f t="shared" si="1608"/>
        <v>47883832.150000006</v>
      </c>
      <c r="R2156" s="317"/>
      <c r="U2156" s="320"/>
    </row>
    <row r="2157" spans="1:21" s="344" customFormat="1" outlineLevel="1">
      <c r="A2157" s="402"/>
      <c r="B2157" s="402"/>
      <c r="C2157" s="401"/>
      <c r="D2157" s="402"/>
      <c r="E2157" s="406">
        <v>0</v>
      </c>
      <c r="F2157" s="333"/>
      <c r="G2157" s="333"/>
      <c r="H2157" s="333"/>
      <c r="I2157" s="324">
        <f t="shared" si="1581"/>
        <v>0</v>
      </c>
      <c r="J2157" s="333"/>
      <c r="K2157" s="333"/>
      <c r="L2157" s="317">
        <f t="shared" si="1575"/>
        <v>0</v>
      </c>
      <c r="M2157" s="317"/>
      <c r="N2157" s="372">
        <f t="shared" si="1579"/>
        <v>0</v>
      </c>
      <c r="O2157" s="319">
        <f>L2157*1.1</f>
        <v>0</v>
      </c>
      <c r="P2157" s="319">
        <f t="shared" ref="P2157:P2185" si="1609">O2157*1.1</f>
        <v>0</v>
      </c>
      <c r="R2157" s="317"/>
      <c r="U2157" s="320"/>
    </row>
    <row r="2158" spans="1:21" s="344" customFormat="1" outlineLevel="1">
      <c r="A2158" s="402"/>
      <c r="B2158" s="402"/>
      <c r="C2158" s="829" t="s">
        <v>466</v>
      </c>
      <c r="D2158" s="829"/>
      <c r="E2158" s="406">
        <v>0</v>
      </c>
      <c r="F2158" s="666"/>
      <c r="G2158" s="666"/>
      <c r="H2158" s="666"/>
      <c r="I2158" s="324">
        <f t="shared" si="1581"/>
        <v>0</v>
      </c>
      <c r="J2158" s="666"/>
      <c r="K2158" s="666"/>
      <c r="L2158" s="317">
        <f t="shared" si="1575"/>
        <v>0</v>
      </c>
      <c r="M2158" s="317"/>
      <c r="N2158" s="372">
        <f t="shared" si="1579"/>
        <v>0</v>
      </c>
      <c r="O2158" s="319">
        <f>L2158*1.1</f>
        <v>0</v>
      </c>
      <c r="P2158" s="319">
        <f t="shared" si="1609"/>
        <v>0</v>
      </c>
      <c r="R2158" s="317"/>
      <c r="U2158" s="320"/>
    </row>
    <row r="2159" spans="1:21" s="344" customFormat="1" outlineLevel="1">
      <c r="A2159" s="859"/>
      <c r="B2159" s="859"/>
      <c r="C2159" s="859" t="s">
        <v>467</v>
      </c>
      <c r="D2159" s="859"/>
      <c r="E2159" s="406">
        <v>0</v>
      </c>
      <c r="F2159" s="666"/>
      <c r="G2159" s="666"/>
      <c r="H2159" s="666"/>
      <c r="I2159" s="324">
        <f t="shared" si="1581"/>
        <v>0</v>
      </c>
      <c r="J2159" s="666"/>
      <c r="K2159" s="666"/>
      <c r="L2159" s="317">
        <f t="shared" si="1575"/>
        <v>0</v>
      </c>
      <c r="M2159" s="317"/>
      <c r="N2159" s="372">
        <f t="shared" si="1579"/>
        <v>0</v>
      </c>
      <c r="O2159" s="319">
        <f>L2159*1.1</f>
        <v>0</v>
      </c>
      <c r="P2159" s="319">
        <f t="shared" si="1609"/>
        <v>0</v>
      </c>
      <c r="R2159" s="317"/>
      <c r="U2159" s="320"/>
    </row>
    <row r="2160" spans="1:21" s="344" customFormat="1" outlineLevel="1">
      <c r="A2160" s="859"/>
      <c r="B2160" s="402"/>
      <c r="C2160" s="401"/>
      <c r="D2160" s="402"/>
      <c r="E2160" s="406">
        <v>0</v>
      </c>
      <c r="F2160" s="333"/>
      <c r="G2160" s="333"/>
      <c r="H2160" s="333"/>
      <c r="I2160" s="324">
        <f t="shared" si="1581"/>
        <v>0</v>
      </c>
      <c r="J2160" s="333"/>
      <c r="K2160" s="333"/>
      <c r="L2160" s="317">
        <f t="shared" si="1575"/>
        <v>0</v>
      </c>
      <c r="M2160" s="317"/>
      <c r="N2160" s="372">
        <f t="shared" si="1579"/>
        <v>0</v>
      </c>
      <c r="O2160" s="319">
        <f>L2160*1.1</f>
        <v>0</v>
      </c>
      <c r="P2160" s="319">
        <f t="shared" si="1609"/>
        <v>0</v>
      </c>
      <c r="R2160" s="317"/>
      <c r="U2160" s="320"/>
    </row>
    <row r="2161" spans="1:21" s="344" customFormat="1" outlineLevel="1">
      <c r="A2161" s="860" t="s">
        <v>468</v>
      </c>
      <c r="B2161" s="404" t="s">
        <v>146</v>
      </c>
      <c r="C2161" s="834" t="s">
        <v>469</v>
      </c>
      <c r="D2161" s="834"/>
      <c r="E2161" s="406">
        <v>0</v>
      </c>
      <c r="F2161" s="518"/>
      <c r="G2161" s="518"/>
      <c r="H2161" s="518"/>
      <c r="I2161" s="324">
        <f t="shared" si="1581"/>
        <v>0</v>
      </c>
      <c r="J2161" s="518"/>
      <c r="K2161" s="518"/>
      <c r="L2161" s="317">
        <f t="shared" si="1575"/>
        <v>0</v>
      </c>
      <c r="M2161" s="317"/>
      <c r="N2161" s="372">
        <f t="shared" si="1579"/>
        <v>0</v>
      </c>
      <c r="O2161" s="319">
        <f>L2161*1.1</f>
        <v>0</v>
      </c>
      <c r="P2161" s="319">
        <f t="shared" si="1609"/>
        <v>0</v>
      </c>
      <c r="R2161" s="317"/>
      <c r="U2161" s="320"/>
    </row>
    <row r="2162" spans="1:21" s="344" customFormat="1" outlineLevel="3">
      <c r="A2162" s="404"/>
      <c r="B2162" s="404"/>
      <c r="C2162" s="403">
        <v>2110100</v>
      </c>
      <c r="D2162" s="404" t="s">
        <v>13</v>
      </c>
      <c r="E2162" s="772">
        <f>E2163+E2164</f>
        <v>772253076</v>
      </c>
      <c r="F2162" s="772">
        <f t="shared" ref="F2162:P2162" si="1610">F2163+F2164</f>
        <v>0</v>
      </c>
      <c r="G2162" s="772">
        <f t="shared" si="1610"/>
        <v>0</v>
      </c>
      <c r="H2162" s="772">
        <f t="shared" si="1610"/>
        <v>0</v>
      </c>
      <c r="I2162" s="772">
        <f t="shared" si="1610"/>
        <v>772253076</v>
      </c>
      <c r="J2162" s="772">
        <f t="shared" si="1610"/>
        <v>33756694</v>
      </c>
      <c r="K2162" s="772">
        <f t="shared" si="1610"/>
        <v>0</v>
      </c>
      <c r="L2162" s="317">
        <f t="shared" si="1575"/>
        <v>806009770</v>
      </c>
      <c r="M2162" s="317"/>
      <c r="N2162" s="372">
        <f t="shared" si="1579"/>
        <v>0</v>
      </c>
      <c r="O2162" s="772">
        <f t="shared" si="1610"/>
        <v>838478383.60000002</v>
      </c>
      <c r="P2162" s="772">
        <f t="shared" si="1610"/>
        <v>922326221.96000016</v>
      </c>
      <c r="R2162" s="317"/>
      <c r="U2162" s="320"/>
    </row>
    <row r="2163" spans="1:21" s="344" customFormat="1" outlineLevel="3">
      <c r="A2163" s="402"/>
      <c r="B2163" s="402"/>
      <c r="C2163" s="401">
        <v>2110101</v>
      </c>
      <c r="D2163" s="402" t="s">
        <v>14</v>
      </c>
      <c r="E2163" s="778">
        <v>772253076</v>
      </c>
      <c r="F2163" s="333"/>
      <c r="G2163" s="333"/>
      <c r="H2163" s="333"/>
      <c r="I2163" s="324">
        <f t="shared" si="1581"/>
        <v>772253076</v>
      </c>
      <c r="J2163" s="333">
        <v>-10000000</v>
      </c>
      <c r="K2163" s="846"/>
      <c r="L2163" s="317">
        <f t="shared" si="1575"/>
        <v>762253076</v>
      </c>
      <c r="M2163" s="317"/>
      <c r="N2163" s="372">
        <f t="shared" si="1579"/>
        <v>0</v>
      </c>
      <c r="O2163" s="319">
        <f>L2163*1.1</f>
        <v>838478383.60000002</v>
      </c>
      <c r="P2163" s="319">
        <f t="shared" si="1609"/>
        <v>922326221.96000016</v>
      </c>
      <c r="R2163" s="317"/>
      <c r="U2163" s="320" t="s">
        <v>1803</v>
      </c>
    </row>
    <row r="2164" spans="1:21" s="344" customFormat="1" outlineLevel="3">
      <c r="A2164" s="402"/>
      <c r="B2164" s="402"/>
      <c r="C2164" s="401">
        <v>2110102</v>
      </c>
      <c r="D2164" s="402" t="s">
        <v>2550</v>
      </c>
      <c r="E2164" s="778"/>
      <c r="F2164" s="333"/>
      <c r="G2164" s="333"/>
      <c r="H2164" s="333"/>
      <c r="I2164" s="324"/>
      <c r="J2164" s="333">
        <v>43756694</v>
      </c>
      <c r="K2164" s="846"/>
      <c r="L2164" s="317">
        <f t="shared" si="1575"/>
        <v>43756694</v>
      </c>
      <c r="M2164" s="317"/>
      <c r="N2164" s="372">
        <f t="shared" si="1579"/>
        <v>0</v>
      </c>
      <c r="O2164" s="319"/>
      <c r="P2164" s="319"/>
      <c r="R2164" s="317"/>
      <c r="U2164" s="320" t="s">
        <v>1803</v>
      </c>
    </row>
    <row r="2165" spans="1:21" s="344" customFormat="1" outlineLevel="3">
      <c r="A2165" s="404"/>
      <c r="B2165" s="404"/>
      <c r="C2165" s="403">
        <v>2110200</v>
      </c>
      <c r="D2165" s="404" t="s">
        <v>148</v>
      </c>
      <c r="E2165" s="772">
        <f>E2166</f>
        <v>1200000</v>
      </c>
      <c r="F2165" s="772">
        <f t="shared" ref="F2165:K2165" si="1611">F2166</f>
        <v>0</v>
      </c>
      <c r="G2165" s="772">
        <f t="shared" si="1611"/>
        <v>0</v>
      </c>
      <c r="H2165" s="772">
        <f t="shared" si="1611"/>
        <v>0</v>
      </c>
      <c r="I2165" s="772">
        <f t="shared" si="1611"/>
        <v>1200000</v>
      </c>
      <c r="J2165" s="772">
        <f t="shared" si="1611"/>
        <v>0</v>
      </c>
      <c r="K2165" s="772">
        <f t="shared" si="1611"/>
        <v>0</v>
      </c>
      <c r="L2165" s="317">
        <f t="shared" si="1575"/>
        <v>1200000</v>
      </c>
      <c r="M2165" s="317"/>
      <c r="N2165" s="372">
        <f t="shared" si="1579"/>
        <v>0</v>
      </c>
      <c r="O2165" s="772">
        <f t="shared" ref="O2165:P2165" si="1612">O2166</f>
        <v>1320000</v>
      </c>
      <c r="P2165" s="772">
        <f t="shared" si="1612"/>
        <v>1452000.0000000002</v>
      </c>
      <c r="R2165" s="317"/>
      <c r="U2165" s="320"/>
    </row>
    <row r="2166" spans="1:21" s="344" customFormat="1" outlineLevel="3">
      <c r="A2166" s="404"/>
      <c r="B2166" s="404"/>
      <c r="C2166" s="401">
        <v>2110202</v>
      </c>
      <c r="D2166" s="402" t="s">
        <v>150</v>
      </c>
      <c r="E2166" s="778">
        <v>1200000</v>
      </c>
      <c r="F2166" s="333"/>
      <c r="G2166" s="333"/>
      <c r="H2166" s="333"/>
      <c r="I2166" s="324">
        <f t="shared" si="1581"/>
        <v>1200000</v>
      </c>
      <c r="J2166" s="333"/>
      <c r="K2166" s="849"/>
      <c r="L2166" s="317">
        <f t="shared" si="1575"/>
        <v>1200000</v>
      </c>
      <c r="M2166" s="317"/>
      <c r="N2166" s="372">
        <f t="shared" si="1579"/>
        <v>0</v>
      </c>
      <c r="O2166" s="319">
        <f t="shared" ref="O2166" si="1613">L2166*1.1</f>
        <v>1320000</v>
      </c>
      <c r="P2166" s="319">
        <f t="shared" ref="P2166" si="1614">O2166*1.1</f>
        <v>1452000.0000000002</v>
      </c>
      <c r="R2166" s="317"/>
      <c r="U2166" s="320"/>
    </row>
    <row r="2167" spans="1:21" s="344" customFormat="1" outlineLevel="3">
      <c r="A2167" s="404"/>
      <c r="B2167" s="404"/>
      <c r="C2167" s="403">
        <v>2210200</v>
      </c>
      <c r="D2167" s="404" t="s">
        <v>20</v>
      </c>
      <c r="E2167" s="772">
        <f>E2168+E2169</f>
        <v>129197.842</v>
      </c>
      <c r="F2167" s="772">
        <f t="shared" ref="F2167:K2167" si="1615">F2168+F2169</f>
        <v>0</v>
      </c>
      <c r="G2167" s="772">
        <f t="shared" si="1615"/>
        <v>0</v>
      </c>
      <c r="H2167" s="772">
        <f t="shared" si="1615"/>
        <v>0</v>
      </c>
      <c r="I2167" s="772">
        <f t="shared" si="1615"/>
        <v>129197.842</v>
      </c>
      <c r="J2167" s="772">
        <f t="shared" si="1615"/>
        <v>0</v>
      </c>
      <c r="K2167" s="772">
        <f t="shared" si="1615"/>
        <v>0</v>
      </c>
      <c r="L2167" s="317">
        <f t="shared" si="1575"/>
        <v>129197.842</v>
      </c>
      <c r="M2167" s="317"/>
      <c r="N2167" s="372">
        <f t="shared" si="1579"/>
        <v>0</v>
      </c>
      <c r="O2167" s="772">
        <f t="shared" ref="O2167:P2167" si="1616">O2168+O2169</f>
        <v>142117.62620000003</v>
      </c>
      <c r="P2167" s="772">
        <f t="shared" si="1616"/>
        <v>156329.38882000002</v>
      </c>
      <c r="R2167" s="317"/>
      <c r="U2167" s="320"/>
    </row>
    <row r="2168" spans="1:21" s="344" customFormat="1" outlineLevel="3">
      <c r="A2168" s="402"/>
      <c r="B2168" s="402"/>
      <c r="C2168" s="401">
        <v>2210201</v>
      </c>
      <c r="D2168" s="402" t="s">
        <v>187</v>
      </c>
      <c r="E2168" s="778">
        <v>116000</v>
      </c>
      <c r="F2168" s="333"/>
      <c r="G2168" s="333"/>
      <c r="H2168" s="333"/>
      <c r="I2168" s="324">
        <f t="shared" si="1581"/>
        <v>116000</v>
      </c>
      <c r="J2168" s="333"/>
      <c r="K2168" s="849"/>
      <c r="L2168" s="317">
        <f t="shared" si="1575"/>
        <v>116000</v>
      </c>
      <c r="M2168" s="317"/>
      <c r="N2168" s="372">
        <f t="shared" si="1579"/>
        <v>0</v>
      </c>
      <c r="O2168" s="319">
        <f>L2168*1.1</f>
        <v>127600.00000000001</v>
      </c>
      <c r="P2168" s="319">
        <f t="shared" si="1609"/>
        <v>140360.00000000003</v>
      </c>
      <c r="R2168" s="317"/>
      <c r="U2168" s="320"/>
    </row>
    <row r="2169" spans="1:21" s="344" customFormat="1" outlineLevel="3">
      <c r="A2169" s="404"/>
      <c r="B2169" s="404"/>
      <c r="C2169" s="401">
        <v>2210202</v>
      </c>
      <c r="D2169" s="402" t="s">
        <v>22</v>
      </c>
      <c r="E2169" s="778">
        <v>13197.842000000001</v>
      </c>
      <c r="F2169" s="333"/>
      <c r="G2169" s="333"/>
      <c r="H2169" s="333"/>
      <c r="I2169" s="324">
        <f t="shared" si="1581"/>
        <v>13197.842000000001</v>
      </c>
      <c r="J2169" s="333"/>
      <c r="K2169" s="849"/>
      <c r="L2169" s="317">
        <f t="shared" si="1575"/>
        <v>13197.842000000001</v>
      </c>
      <c r="M2169" s="317"/>
      <c r="N2169" s="372">
        <f t="shared" si="1579"/>
        <v>0</v>
      </c>
      <c r="O2169" s="319">
        <f>L2169*1.1</f>
        <v>14517.626200000002</v>
      </c>
      <c r="P2169" s="319">
        <f t="shared" si="1609"/>
        <v>15969.388820000004</v>
      </c>
      <c r="R2169" s="317"/>
      <c r="U2169" s="320"/>
    </row>
    <row r="2170" spans="1:21" s="344" customFormat="1" outlineLevel="3">
      <c r="A2170" s="402"/>
      <c r="B2170" s="402"/>
      <c r="C2170" s="403">
        <v>2210300</v>
      </c>
      <c r="D2170" s="404" t="s">
        <v>24</v>
      </c>
      <c r="E2170" s="772">
        <f>E2171+E2172+E2173</f>
        <v>4578234</v>
      </c>
      <c r="F2170" s="772">
        <f t="shared" ref="F2170:P2170" si="1617">F2171+F2172+F2173</f>
        <v>0</v>
      </c>
      <c r="G2170" s="772">
        <f t="shared" si="1617"/>
        <v>0</v>
      </c>
      <c r="H2170" s="772">
        <f t="shared" si="1617"/>
        <v>0</v>
      </c>
      <c r="I2170" s="772">
        <f t="shared" si="1617"/>
        <v>4578234</v>
      </c>
      <c r="J2170" s="772">
        <f t="shared" si="1617"/>
        <v>0</v>
      </c>
      <c r="K2170" s="772">
        <f t="shared" si="1617"/>
        <v>2850000</v>
      </c>
      <c r="L2170" s="317">
        <f t="shared" si="1575"/>
        <v>7428234</v>
      </c>
      <c r="M2170" s="317"/>
      <c r="N2170" s="372">
        <f t="shared" si="1579"/>
        <v>-2850000</v>
      </c>
      <c r="O2170" s="772">
        <f t="shared" si="1617"/>
        <v>8171057.4000000004</v>
      </c>
      <c r="P2170" s="772">
        <f t="shared" si="1617"/>
        <v>8988163.1400000006</v>
      </c>
      <c r="R2170" s="317"/>
      <c r="U2170" s="320"/>
    </row>
    <row r="2171" spans="1:21" s="344" customFormat="1" outlineLevel="3">
      <c r="A2171" s="404"/>
      <c r="B2171" s="404"/>
      <c r="C2171" s="401">
        <v>2210301</v>
      </c>
      <c r="D2171" s="402" t="s">
        <v>470</v>
      </c>
      <c r="E2171" s="778">
        <f>3580000-180000-1000000-500000</f>
        <v>1900000</v>
      </c>
      <c r="F2171" s="333"/>
      <c r="G2171" s="333"/>
      <c r="H2171" s="333"/>
      <c r="I2171" s="324">
        <f t="shared" si="1581"/>
        <v>1900000</v>
      </c>
      <c r="J2171" s="333"/>
      <c r="K2171" s="850">
        <f>650000+500000</f>
        <v>1150000</v>
      </c>
      <c r="L2171" s="317">
        <f t="shared" si="1575"/>
        <v>3050000</v>
      </c>
      <c r="M2171" s="317"/>
      <c r="N2171" s="372">
        <f t="shared" si="1579"/>
        <v>-1150000</v>
      </c>
      <c r="O2171" s="319">
        <f>L2171*1.1</f>
        <v>3355000.0000000005</v>
      </c>
      <c r="P2171" s="319">
        <f t="shared" si="1609"/>
        <v>3690500.0000000009</v>
      </c>
      <c r="R2171" s="317"/>
      <c r="U2171" s="320"/>
    </row>
    <row r="2172" spans="1:21" s="344" customFormat="1" outlineLevel="3">
      <c r="A2172" s="404"/>
      <c r="B2172" s="404"/>
      <c r="C2172" s="401">
        <v>2210302</v>
      </c>
      <c r="D2172" s="402" t="s">
        <v>1595</v>
      </c>
      <c r="E2172" s="778">
        <v>1000000</v>
      </c>
      <c r="F2172" s="333"/>
      <c r="G2172" s="333"/>
      <c r="H2172" s="333"/>
      <c r="I2172" s="324">
        <f t="shared" si="1581"/>
        <v>1000000</v>
      </c>
      <c r="J2172" s="333"/>
      <c r="K2172" s="850">
        <f>550000+500000</f>
        <v>1050000</v>
      </c>
      <c r="L2172" s="317">
        <f t="shared" si="1575"/>
        <v>2050000</v>
      </c>
      <c r="M2172" s="317"/>
      <c r="N2172" s="372">
        <f t="shared" si="1579"/>
        <v>-1050000</v>
      </c>
      <c r="O2172" s="319">
        <f>L2172*1.1</f>
        <v>2255000</v>
      </c>
      <c r="P2172" s="319">
        <f t="shared" si="1609"/>
        <v>2480500</v>
      </c>
      <c r="R2172" s="317"/>
      <c r="U2172" s="320"/>
    </row>
    <row r="2173" spans="1:21" s="344" customFormat="1" outlineLevel="3">
      <c r="A2173" s="402"/>
      <c r="B2173" s="402"/>
      <c r="C2173" s="401">
        <v>2210303</v>
      </c>
      <c r="D2173" s="402" t="s">
        <v>1638</v>
      </c>
      <c r="E2173" s="778">
        <f>998234+1180000-500000</f>
        <v>1678234</v>
      </c>
      <c r="F2173" s="333"/>
      <c r="G2173" s="333"/>
      <c r="H2173" s="333"/>
      <c r="I2173" s="324">
        <f t="shared" si="1581"/>
        <v>1678234</v>
      </c>
      <c r="J2173" s="333"/>
      <c r="K2173" s="850">
        <v>650000</v>
      </c>
      <c r="L2173" s="317">
        <f t="shared" si="1575"/>
        <v>2328234</v>
      </c>
      <c r="M2173" s="317"/>
      <c r="N2173" s="372">
        <f t="shared" si="1579"/>
        <v>-650000</v>
      </c>
      <c r="O2173" s="319">
        <f>L2173*1.1</f>
        <v>2561057.4000000004</v>
      </c>
      <c r="P2173" s="319">
        <f t="shared" si="1609"/>
        <v>2817163.1400000006</v>
      </c>
      <c r="R2173" s="317"/>
      <c r="U2173" s="320"/>
    </row>
    <row r="2174" spans="1:21" s="344" customFormat="1" outlineLevel="3">
      <c r="A2174" s="402"/>
      <c r="B2174" s="402"/>
      <c r="C2174" s="403">
        <v>2210400</v>
      </c>
      <c r="D2174" s="404" t="s">
        <v>189</v>
      </c>
      <c r="E2174" s="772">
        <f>E2175+E2176</f>
        <v>439999.73</v>
      </c>
      <c r="F2174" s="772">
        <f t="shared" ref="F2174:K2174" si="1618">F2175+F2176</f>
        <v>0</v>
      </c>
      <c r="G2174" s="772">
        <f t="shared" si="1618"/>
        <v>0</v>
      </c>
      <c r="H2174" s="772">
        <f t="shared" si="1618"/>
        <v>0</v>
      </c>
      <c r="I2174" s="772">
        <f t="shared" si="1618"/>
        <v>439999.73</v>
      </c>
      <c r="J2174" s="772">
        <f t="shared" si="1618"/>
        <v>0</v>
      </c>
      <c r="K2174" s="772">
        <f t="shared" si="1618"/>
        <v>0</v>
      </c>
      <c r="L2174" s="317">
        <f t="shared" si="1575"/>
        <v>439999.73</v>
      </c>
      <c r="M2174" s="317"/>
      <c r="N2174" s="372">
        <f t="shared" si="1579"/>
        <v>0</v>
      </c>
      <c r="O2174" s="772">
        <f t="shared" ref="O2174:P2174" si="1619">O2175+O2176</f>
        <v>483999.70300000004</v>
      </c>
      <c r="P2174" s="772">
        <f t="shared" si="1619"/>
        <v>532399.67330000002</v>
      </c>
      <c r="R2174" s="317"/>
      <c r="U2174" s="320"/>
    </row>
    <row r="2175" spans="1:21" s="344" customFormat="1" outlineLevel="3">
      <c r="A2175" s="402"/>
      <c r="B2175" s="402"/>
      <c r="C2175" s="401">
        <v>2210403</v>
      </c>
      <c r="D2175" s="402" t="s">
        <v>1638</v>
      </c>
      <c r="E2175" s="778">
        <f>161766+150000</f>
        <v>311766</v>
      </c>
      <c r="F2175" s="333"/>
      <c r="G2175" s="333"/>
      <c r="H2175" s="333"/>
      <c r="I2175" s="324">
        <f t="shared" si="1581"/>
        <v>311766</v>
      </c>
      <c r="J2175" s="333"/>
      <c r="K2175" s="849"/>
      <c r="L2175" s="317">
        <f t="shared" si="1575"/>
        <v>311766</v>
      </c>
      <c r="M2175" s="317"/>
      <c r="N2175" s="372">
        <f t="shared" si="1579"/>
        <v>0</v>
      </c>
      <c r="O2175" s="319">
        <f>L2175*1.1</f>
        <v>342942.60000000003</v>
      </c>
      <c r="P2175" s="319">
        <f t="shared" si="1609"/>
        <v>377236.86000000004</v>
      </c>
      <c r="R2175" s="317"/>
      <c r="U2175" s="320"/>
    </row>
    <row r="2176" spans="1:21" s="344" customFormat="1" outlineLevel="3">
      <c r="A2176" s="402"/>
      <c r="B2176" s="402"/>
      <c r="C2176" s="401">
        <v>2210404</v>
      </c>
      <c r="D2176" s="402" t="s">
        <v>28</v>
      </c>
      <c r="E2176" s="778">
        <f>98233.73+30000</f>
        <v>128233.73</v>
      </c>
      <c r="F2176" s="333"/>
      <c r="G2176" s="333"/>
      <c r="H2176" s="333"/>
      <c r="I2176" s="324">
        <f t="shared" si="1581"/>
        <v>128233.73</v>
      </c>
      <c r="J2176" s="333"/>
      <c r="K2176" s="849"/>
      <c r="L2176" s="317">
        <f t="shared" si="1575"/>
        <v>128233.73</v>
      </c>
      <c r="M2176" s="317"/>
      <c r="N2176" s="372">
        <f t="shared" si="1579"/>
        <v>0</v>
      </c>
      <c r="O2176" s="319">
        <f>L2176*1.1</f>
        <v>141057.103</v>
      </c>
      <c r="P2176" s="319">
        <f t="shared" si="1609"/>
        <v>155162.81330000001</v>
      </c>
      <c r="R2176" s="317"/>
      <c r="U2176" s="320"/>
    </row>
    <row r="2177" spans="1:21" s="344" customFormat="1" outlineLevel="3">
      <c r="A2177" s="404"/>
      <c r="B2177" s="404"/>
      <c r="C2177" s="403">
        <v>2210500</v>
      </c>
      <c r="D2177" s="404" t="s">
        <v>31</v>
      </c>
      <c r="E2177" s="772">
        <f>E2178+E2179</f>
        <v>1116000</v>
      </c>
      <c r="F2177" s="772">
        <f t="shared" ref="F2177:K2177" si="1620">F2178+F2179</f>
        <v>0</v>
      </c>
      <c r="G2177" s="772">
        <f t="shared" si="1620"/>
        <v>0</v>
      </c>
      <c r="H2177" s="772">
        <f t="shared" si="1620"/>
        <v>0</v>
      </c>
      <c r="I2177" s="772">
        <f t="shared" si="1620"/>
        <v>1116000</v>
      </c>
      <c r="J2177" s="772">
        <f t="shared" si="1620"/>
        <v>0</v>
      </c>
      <c r="K2177" s="772">
        <f t="shared" si="1620"/>
        <v>350000</v>
      </c>
      <c r="L2177" s="317">
        <f t="shared" si="1575"/>
        <v>1466000</v>
      </c>
      <c r="M2177" s="317"/>
      <c r="N2177" s="372">
        <f t="shared" si="1579"/>
        <v>-350000</v>
      </c>
      <c r="O2177" s="772">
        <f t="shared" ref="O2177:P2177" si="1621">O2178+O2179</f>
        <v>1612600</v>
      </c>
      <c r="P2177" s="772">
        <f t="shared" si="1621"/>
        <v>1773860.0000000005</v>
      </c>
      <c r="R2177" s="317"/>
      <c r="U2177" s="320"/>
    </row>
    <row r="2178" spans="1:21" s="344" customFormat="1" outlineLevel="3">
      <c r="A2178" s="404"/>
      <c r="B2178" s="404"/>
      <c r="C2178" s="401">
        <v>2210502</v>
      </c>
      <c r="D2178" s="402" t="s">
        <v>397</v>
      </c>
      <c r="E2178" s="778">
        <f>116000+500000</f>
        <v>616000</v>
      </c>
      <c r="F2178" s="333"/>
      <c r="G2178" s="333"/>
      <c r="H2178" s="333"/>
      <c r="I2178" s="324">
        <f t="shared" si="1581"/>
        <v>616000</v>
      </c>
      <c r="J2178" s="333"/>
      <c r="K2178" s="849"/>
      <c r="L2178" s="317">
        <f t="shared" si="1575"/>
        <v>616000</v>
      </c>
      <c r="M2178" s="317"/>
      <c r="N2178" s="372">
        <f t="shared" si="1579"/>
        <v>0</v>
      </c>
      <c r="O2178" s="319">
        <f t="shared" ref="O2178:O2181" si="1622">L2178*1.1</f>
        <v>677600</v>
      </c>
      <c r="P2178" s="319">
        <f t="shared" ref="P2178:P2181" si="1623">O2178*1.1</f>
        <v>745360.00000000012</v>
      </c>
      <c r="R2178" s="317"/>
      <c r="U2178" s="320"/>
    </row>
    <row r="2179" spans="1:21" s="344" customFormat="1" outlineLevel="3">
      <c r="A2179" s="404"/>
      <c r="B2179" s="404"/>
      <c r="C2179" s="401">
        <v>2210504</v>
      </c>
      <c r="D2179" s="402" t="s">
        <v>1639</v>
      </c>
      <c r="E2179" s="778">
        <v>500000</v>
      </c>
      <c r="F2179" s="333"/>
      <c r="G2179" s="333"/>
      <c r="H2179" s="333"/>
      <c r="I2179" s="324">
        <f t="shared" si="1581"/>
        <v>500000</v>
      </c>
      <c r="J2179" s="333"/>
      <c r="K2179" s="850">
        <v>350000</v>
      </c>
      <c r="L2179" s="317">
        <f t="shared" si="1575"/>
        <v>850000</v>
      </c>
      <c r="M2179" s="317"/>
      <c r="N2179" s="372">
        <f t="shared" si="1579"/>
        <v>-350000</v>
      </c>
      <c r="O2179" s="319">
        <f t="shared" si="1622"/>
        <v>935000.00000000012</v>
      </c>
      <c r="P2179" s="319">
        <f t="shared" si="1623"/>
        <v>1028500.0000000002</v>
      </c>
      <c r="R2179" s="317"/>
      <c r="U2179" s="320"/>
    </row>
    <row r="2180" spans="1:21" s="344" customFormat="1" outlineLevel="3">
      <c r="A2180" s="404"/>
      <c r="B2180" s="404"/>
      <c r="C2180" s="403">
        <v>2210700</v>
      </c>
      <c r="D2180" s="404" t="s">
        <v>35</v>
      </c>
      <c r="E2180" s="772">
        <f>E2181+E2182+E2183+E2184+E2185</f>
        <v>1500000</v>
      </c>
      <c r="F2180" s="772">
        <f t="shared" ref="F2180:P2180" si="1624">F2181+F2182+F2183+F2184+F2185</f>
        <v>0</v>
      </c>
      <c r="G2180" s="772">
        <f t="shared" si="1624"/>
        <v>0</v>
      </c>
      <c r="H2180" s="772">
        <f t="shared" si="1624"/>
        <v>0</v>
      </c>
      <c r="I2180" s="772">
        <f t="shared" si="1624"/>
        <v>1500000</v>
      </c>
      <c r="J2180" s="772">
        <f t="shared" si="1624"/>
        <v>0</v>
      </c>
      <c r="K2180" s="772">
        <f t="shared" si="1624"/>
        <v>3800000</v>
      </c>
      <c r="L2180" s="317">
        <f t="shared" si="1575"/>
        <v>5300000</v>
      </c>
      <c r="M2180" s="317"/>
      <c r="N2180" s="372">
        <f t="shared" si="1579"/>
        <v>-3800000</v>
      </c>
      <c r="O2180" s="772">
        <f t="shared" si="1624"/>
        <v>5830000</v>
      </c>
      <c r="P2180" s="772">
        <f t="shared" si="1624"/>
        <v>6413000.0000000009</v>
      </c>
      <c r="R2180" s="317"/>
      <c r="U2180" s="320"/>
    </row>
    <row r="2181" spans="1:21" s="344" customFormat="1" outlineLevel="3">
      <c r="A2181" s="404"/>
      <c r="B2181" s="404"/>
      <c r="C2181" s="401">
        <v>2210710</v>
      </c>
      <c r="D2181" s="402" t="s">
        <v>39</v>
      </c>
      <c r="E2181" s="778">
        <f>87000+76000</f>
        <v>163000</v>
      </c>
      <c r="F2181" s="333"/>
      <c r="G2181" s="333"/>
      <c r="H2181" s="333"/>
      <c r="I2181" s="324">
        <f t="shared" si="1581"/>
        <v>163000</v>
      </c>
      <c r="J2181" s="333"/>
      <c r="K2181" s="850">
        <f>150000+1000000</f>
        <v>1150000</v>
      </c>
      <c r="L2181" s="317">
        <f t="shared" ref="L2181:L2244" si="1625">I2181+J2181+K2181</f>
        <v>1313000</v>
      </c>
      <c r="M2181" s="317"/>
      <c r="N2181" s="372">
        <f t="shared" si="1579"/>
        <v>-1150000</v>
      </c>
      <c r="O2181" s="319">
        <f t="shared" si="1622"/>
        <v>1444300.0000000002</v>
      </c>
      <c r="P2181" s="319">
        <f t="shared" si="1623"/>
        <v>1588730.0000000005</v>
      </c>
      <c r="R2181" s="317"/>
      <c r="U2181" s="320"/>
    </row>
    <row r="2182" spans="1:21" s="344" customFormat="1" outlineLevel="3">
      <c r="A2182" s="404"/>
      <c r="B2182" s="404"/>
      <c r="C2182" s="401">
        <v>2210711</v>
      </c>
      <c r="D2182" s="402" t="s">
        <v>399</v>
      </c>
      <c r="E2182" s="778">
        <v>290000</v>
      </c>
      <c r="F2182" s="333"/>
      <c r="G2182" s="333"/>
      <c r="H2182" s="333"/>
      <c r="I2182" s="324">
        <f t="shared" si="1581"/>
        <v>290000</v>
      </c>
      <c r="J2182" s="333"/>
      <c r="K2182" s="850">
        <f>300000+1000000-350000-150000</f>
        <v>800000</v>
      </c>
      <c r="L2182" s="317">
        <f t="shared" si="1625"/>
        <v>1090000</v>
      </c>
      <c r="M2182" s="317"/>
      <c r="N2182" s="372">
        <f t="shared" si="1579"/>
        <v>-800000</v>
      </c>
      <c r="O2182" s="319">
        <f>L2182*1.1</f>
        <v>1199000</v>
      </c>
      <c r="P2182" s="319">
        <f t="shared" si="1609"/>
        <v>1318900</v>
      </c>
      <c r="R2182" s="317"/>
      <c r="U2182" s="320"/>
    </row>
    <row r="2183" spans="1:21" s="344" customFormat="1" outlineLevel="3">
      <c r="A2183" s="404"/>
      <c r="B2183" s="404"/>
      <c r="C2183" s="401">
        <v>2210712</v>
      </c>
      <c r="D2183" s="402" t="s">
        <v>339</v>
      </c>
      <c r="E2183" s="778">
        <v>145000</v>
      </c>
      <c r="F2183" s="333"/>
      <c r="G2183" s="333"/>
      <c r="H2183" s="333"/>
      <c r="I2183" s="324">
        <f t="shared" si="1581"/>
        <v>145000</v>
      </c>
      <c r="J2183" s="333"/>
      <c r="K2183" s="850">
        <f>300000+1000000</f>
        <v>1300000</v>
      </c>
      <c r="L2183" s="317">
        <f t="shared" si="1625"/>
        <v>1445000</v>
      </c>
      <c r="M2183" s="317"/>
      <c r="N2183" s="372">
        <f t="shared" si="1579"/>
        <v>-1300000</v>
      </c>
      <c r="O2183" s="319">
        <f t="shared" ref="O2183:O2184" si="1626">L2183*1.1</f>
        <v>1589500.0000000002</v>
      </c>
      <c r="P2183" s="319">
        <f t="shared" ref="P2183:P2184" si="1627">O2183*1.1</f>
        <v>1748450.0000000005</v>
      </c>
      <c r="R2183" s="317"/>
      <c r="U2183" s="320"/>
    </row>
    <row r="2184" spans="1:21" s="344" customFormat="1" outlineLevel="3">
      <c r="A2184" s="404"/>
      <c r="B2184" s="404"/>
      <c r="C2184" s="401">
        <v>2210715</v>
      </c>
      <c r="D2184" s="402" t="s">
        <v>40</v>
      </c>
      <c r="E2184" s="778">
        <v>804000</v>
      </c>
      <c r="F2184" s="333"/>
      <c r="G2184" s="333"/>
      <c r="H2184" s="333"/>
      <c r="I2184" s="324">
        <f t="shared" si="1581"/>
        <v>804000</v>
      </c>
      <c r="J2184" s="333"/>
      <c r="K2184" s="850"/>
      <c r="L2184" s="317">
        <f t="shared" si="1625"/>
        <v>804000</v>
      </c>
      <c r="M2184" s="317"/>
      <c r="N2184" s="372">
        <f t="shared" si="1579"/>
        <v>0</v>
      </c>
      <c r="O2184" s="319">
        <f t="shared" si="1626"/>
        <v>884400.00000000012</v>
      </c>
      <c r="P2184" s="319">
        <f t="shared" si="1627"/>
        <v>972840.00000000023</v>
      </c>
      <c r="R2184" s="317"/>
      <c r="U2184" s="320"/>
    </row>
    <row r="2185" spans="1:21" s="344" customFormat="1" outlineLevel="3">
      <c r="A2185" s="404"/>
      <c r="B2185" s="404"/>
      <c r="C2185" s="401">
        <v>2210799</v>
      </c>
      <c r="D2185" s="402" t="s">
        <v>400</v>
      </c>
      <c r="E2185" s="778">
        <f>174000-76000</f>
        <v>98000</v>
      </c>
      <c r="F2185" s="333"/>
      <c r="G2185" s="333"/>
      <c r="H2185" s="333"/>
      <c r="I2185" s="324">
        <f t="shared" si="1581"/>
        <v>98000</v>
      </c>
      <c r="J2185" s="333"/>
      <c r="K2185" s="850">
        <f>50000+350000+150000</f>
        <v>550000</v>
      </c>
      <c r="L2185" s="317">
        <f t="shared" si="1625"/>
        <v>648000</v>
      </c>
      <c r="M2185" s="317"/>
      <c r="N2185" s="372">
        <f t="shared" ref="N2185:N2248" si="1628">M2185-K2185</f>
        <v>-550000</v>
      </c>
      <c r="O2185" s="319">
        <f>L2185*1.1</f>
        <v>712800</v>
      </c>
      <c r="P2185" s="319">
        <f t="shared" si="1609"/>
        <v>784080.00000000012</v>
      </c>
      <c r="R2185" s="317"/>
      <c r="U2185" s="320"/>
    </row>
    <row r="2186" spans="1:21" s="344" customFormat="1" outlineLevel="3">
      <c r="A2186" s="404"/>
      <c r="B2186" s="404"/>
      <c r="C2186" s="403">
        <v>2210800</v>
      </c>
      <c r="D2186" s="404" t="s">
        <v>42</v>
      </c>
      <c r="E2186" s="784">
        <f>E2187+E2188+E2189</f>
        <v>1900000</v>
      </c>
      <c r="F2186" s="784">
        <f t="shared" ref="F2186:K2186" si="1629">F2187+F2188+F2189</f>
        <v>0</v>
      </c>
      <c r="G2186" s="784">
        <f t="shared" si="1629"/>
        <v>0</v>
      </c>
      <c r="H2186" s="784">
        <f t="shared" si="1629"/>
        <v>0</v>
      </c>
      <c r="I2186" s="784">
        <f t="shared" si="1629"/>
        <v>1900000</v>
      </c>
      <c r="J2186" s="784">
        <f t="shared" si="1629"/>
        <v>0</v>
      </c>
      <c r="K2186" s="784">
        <f t="shared" si="1629"/>
        <v>2000000</v>
      </c>
      <c r="L2186" s="317">
        <f t="shared" si="1625"/>
        <v>3900000</v>
      </c>
      <c r="M2186" s="317"/>
      <c r="N2186" s="372">
        <f t="shared" si="1628"/>
        <v>-2000000</v>
      </c>
      <c r="O2186" s="784">
        <f t="shared" ref="O2186:P2186" si="1630">O2187+O2188+O2189</f>
        <v>4290000</v>
      </c>
      <c r="P2186" s="784">
        <f t="shared" si="1630"/>
        <v>4719000.0000000009</v>
      </c>
      <c r="R2186" s="317"/>
      <c r="U2186" s="320"/>
    </row>
    <row r="2187" spans="1:21" s="344" customFormat="1" outlineLevel="3">
      <c r="A2187" s="404"/>
      <c r="B2187" s="404"/>
      <c r="C2187" s="401">
        <v>2210802</v>
      </c>
      <c r="D2187" s="402" t="s">
        <v>97</v>
      </c>
      <c r="E2187" s="778">
        <f>640000-140000</f>
        <v>500000</v>
      </c>
      <c r="F2187" s="333"/>
      <c r="G2187" s="333"/>
      <c r="H2187" s="333"/>
      <c r="I2187" s="324">
        <f t="shared" si="1581"/>
        <v>500000</v>
      </c>
      <c r="J2187" s="333"/>
      <c r="K2187" s="850">
        <f>1000000+1000000</f>
        <v>2000000</v>
      </c>
      <c r="L2187" s="317">
        <f t="shared" si="1625"/>
        <v>2500000</v>
      </c>
      <c r="M2187" s="317"/>
      <c r="N2187" s="372">
        <f t="shared" si="1628"/>
        <v>-2000000</v>
      </c>
      <c r="O2187" s="319">
        <f>L2187*1.1</f>
        <v>2750000</v>
      </c>
      <c r="P2187" s="319">
        <f t="shared" ref="P2187:P2205" si="1631">O2187*1.1</f>
        <v>3025000.0000000005</v>
      </c>
      <c r="R2187" s="317"/>
      <c r="U2187" s="320"/>
    </row>
    <row r="2188" spans="1:21" s="344" customFormat="1" outlineLevel="3">
      <c r="A2188" s="404"/>
      <c r="B2188" s="404"/>
      <c r="C2188" s="401">
        <v>2210803</v>
      </c>
      <c r="D2188" s="402" t="s">
        <v>2421</v>
      </c>
      <c r="E2188" s="778">
        <f>960000-360000</f>
        <v>600000</v>
      </c>
      <c r="F2188" s="333"/>
      <c r="G2188" s="333"/>
      <c r="H2188" s="333"/>
      <c r="I2188" s="324">
        <f t="shared" si="1581"/>
        <v>600000</v>
      </c>
      <c r="J2188" s="333"/>
      <c r="K2188" s="849"/>
      <c r="L2188" s="317">
        <f t="shared" si="1625"/>
        <v>600000</v>
      </c>
      <c r="M2188" s="317"/>
      <c r="N2188" s="372">
        <f t="shared" si="1628"/>
        <v>0</v>
      </c>
      <c r="O2188" s="319">
        <f>L2188*1.1</f>
        <v>660000</v>
      </c>
      <c r="P2188" s="319">
        <f t="shared" si="1631"/>
        <v>726000.00000000012</v>
      </c>
      <c r="R2188" s="317"/>
      <c r="U2188" s="320"/>
    </row>
    <row r="2189" spans="1:21" s="344" customFormat="1" outlineLevel="3">
      <c r="A2189" s="836"/>
      <c r="B2189" s="836"/>
      <c r="C2189" s="649">
        <v>2210803</v>
      </c>
      <c r="D2189" s="853" t="s">
        <v>1640</v>
      </c>
      <c r="E2189" s="801">
        <v>800000</v>
      </c>
      <c r="F2189" s="355"/>
      <c r="G2189" s="355"/>
      <c r="H2189" s="355"/>
      <c r="I2189" s="324">
        <f t="shared" si="1581"/>
        <v>800000</v>
      </c>
      <c r="J2189" s="355"/>
      <c r="K2189" s="849"/>
      <c r="L2189" s="317">
        <f t="shared" si="1625"/>
        <v>800000</v>
      </c>
      <c r="M2189" s="317"/>
      <c r="N2189" s="372">
        <f t="shared" si="1628"/>
        <v>0</v>
      </c>
      <c r="O2189" s="319">
        <f>L2189*1.1</f>
        <v>880000.00000000012</v>
      </c>
      <c r="P2189" s="319">
        <f t="shared" si="1631"/>
        <v>968000.00000000023</v>
      </c>
      <c r="R2189" s="317"/>
      <c r="U2189" s="320"/>
    </row>
    <row r="2190" spans="1:21" s="344" customFormat="1" outlineLevel="3">
      <c r="A2190" s="404"/>
      <c r="B2190" s="404"/>
      <c r="C2190" s="403">
        <v>2211000</v>
      </c>
      <c r="D2190" s="404" t="s">
        <v>118</v>
      </c>
      <c r="E2190" s="772">
        <f>E2191+E2192+E2193</f>
        <v>340000000</v>
      </c>
      <c r="F2190" s="772">
        <f t="shared" ref="F2190:P2190" si="1632">F2191+F2192+F2193</f>
        <v>0</v>
      </c>
      <c r="G2190" s="772">
        <f t="shared" si="1632"/>
        <v>98964566</v>
      </c>
      <c r="H2190" s="772">
        <f t="shared" si="1632"/>
        <v>0</v>
      </c>
      <c r="I2190" s="772">
        <f t="shared" si="1632"/>
        <v>438964566</v>
      </c>
      <c r="J2190" s="772">
        <f t="shared" si="1632"/>
        <v>0</v>
      </c>
      <c r="K2190" s="772">
        <f t="shared" si="1632"/>
        <v>-14100000</v>
      </c>
      <c r="L2190" s="317">
        <f t="shared" si="1625"/>
        <v>424864566</v>
      </c>
      <c r="M2190" s="317"/>
      <c r="N2190" s="372">
        <f t="shared" si="1628"/>
        <v>14100000</v>
      </c>
      <c r="O2190" s="772">
        <f t="shared" si="1632"/>
        <v>457930000</v>
      </c>
      <c r="P2190" s="772">
        <f t="shared" si="1632"/>
        <v>503723000.00000012</v>
      </c>
      <c r="R2190" s="317"/>
      <c r="U2190" s="320"/>
    </row>
    <row r="2191" spans="1:21" s="344" customFormat="1" outlineLevel="3">
      <c r="A2191" s="404"/>
      <c r="B2191" s="404"/>
      <c r="C2191" s="401">
        <v>2211001</v>
      </c>
      <c r="D2191" s="402" t="s">
        <v>471</v>
      </c>
      <c r="E2191" s="778">
        <f>218512729-512729+6606061</f>
        <v>224606061</v>
      </c>
      <c r="F2191" s="333"/>
      <c r="G2191" s="333">
        <f>70000000-9000000-7700000</f>
        <v>53300000</v>
      </c>
      <c r="H2191" s="333"/>
      <c r="I2191" s="324">
        <f t="shared" ref="I2191:I2259" si="1633">E2191+F2191+G2191+H2191</f>
        <v>277906061</v>
      </c>
      <c r="J2191" s="333"/>
      <c r="K2191" s="850">
        <f>-3000000-3000000</f>
        <v>-6000000</v>
      </c>
      <c r="L2191" s="317">
        <f t="shared" si="1625"/>
        <v>271906061</v>
      </c>
      <c r="M2191" s="2210"/>
      <c r="N2191" s="372">
        <f t="shared" si="1628"/>
        <v>6000000</v>
      </c>
      <c r="O2191" s="318">
        <f>L2191*1.1</f>
        <v>299096667.10000002</v>
      </c>
      <c r="P2191" s="319">
        <f t="shared" si="1631"/>
        <v>329006333.81000006</v>
      </c>
      <c r="R2191" s="317"/>
      <c r="U2191" s="320"/>
    </row>
    <row r="2192" spans="1:21" s="344" customFormat="1" outlineLevel="3">
      <c r="A2192" s="404"/>
      <c r="B2192" s="404"/>
      <c r="C2192" s="401">
        <v>2211002</v>
      </c>
      <c r="D2192" s="402" t="s">
        <v>472</v>
      </c>
      <c r="E2192" s="778">
        <f>104725571+6761700+587834-75105+3393939</f>
        <v>115393939</v>
      </c>
      <c r="F2192" s="333"/>
      <c r="G2192" s="333">
        <v>35000000</v>
      </c>
      <c r="H2192" s="333"/>
      <c r="I2192" s="324">
        <f t="shared" si="1633"/>
        <v>150393939</v>
      </c>
      <c r="J2192" s="333"/>
      <c r="K2192" s="850">
        <f>-3000000-3000000</f>
        <v>-6000000</v>
      </c>
      <c r="L2192" s="317">
        <f t="shared" si="1625"/>
        <v>144393939</v>
      </c>
      <c r="M2192" s="2210"/>
      <c r="N2192" s="372">
        <f t="shared" si="1628"/>
        <v>6000000</v>
      </c>
      <c r="O2192" s="318">
        <f>L2192*1.1</f>
        <v>158833332.90000001</v>
      </c>
      <c r="P2192" s="319">
        <f t="shared" si="1631"/>
        <v>174716666.19000003</v>
      </c>
      <c r="R2192" s="317"/>
      <c r="U2192" s="320"/>
    </row>
    <row r="2193" spans="1:21" s="344" customFormat="1" outlineLevel="3">
      <c r="A2193" s="404"/>
      <c r="B2193" s="404"/>
      <c r="C2193" s="401">
        <v>2211001</v>
      </c>
      <c r="D2193" s="402" t="s">
        <v>2092</v>
      </c>
      <c r="E2193" s="778"/>
      <c r="F2193" s="333"/>
      <c r="G2193" s="333">
        <v>10664566</v>
      </c>
      <c r="H2193" s="333"/>
      <c r="I2193" s="324">
        <f t="shared" si="1633"/>
        <v>10664566</v>
      </c>
      <c r="J2193" s="850"/>
      <c r="K2193" s="850">
        <v>-2100000</v>
      </c>
      <c r="L2193" s="317">
        <f t="shared" si="1625"/>
        <v>8564566</v>
      </c>
      <c r="M2193" s="2210"/>
      <c r="N2193" s="372">
        <f t="shared" si="1628"/>
        <v>2100000</v>
      </c>
      <c r="O2193" s="318"/>
      <c r="P2193" s="319"/>
      <c r="R2193" s="317"/>
      <c r="U2193" s="320"/>
    </row>
    <row r="2194" spans="1:21" s="344" customFormat="1" outlineLevel="3">
      <c r="A2194" s="847"/>
      <c r="B2194" s="847"/>
      <c r="C2194" s="652">
        <v>2211100</v>
      </c>
      <c r="D2194" s="847" t="s">
        <v>51</v>
      </c>
      <c r="E2194" s="883">
        <f>SUM(E2195:E2197)</f>
        <v>499999.77399999998</v>
      </c>
      <c r="F2194" s="883">
        <f t="shared" ref="F2194:K2194" si="1634">SUM(F2195:F2197)</f>
        <v>0</v>
      </c>
      <c r="G2194" s="883">
        <f t="shared" si="1634"/>
        <v>0</v>
      </c>
      <c r="H2194" s="883">
        <f t="shared" si="1634"/>
        <v>0</v>
      </c>
      <c r="I2194" s="883">
        <f t="shared" si="1634"/>
        <v>499999.77399999998</v>
      </c>
      <c r="J2194" s="883">
        <f t="shared" si="1634"/>
        <v>0</v>
      </c>
      <c r="K2194" s="883">
        <f t="shared" si="1634"/>
        <v>0</v>
      </c>
      <c r="L2194" s="317">
        <f t="shared" si="1625"/>
        <v>499999.77399999998</v>
      </c>
      <c r="M2194" s="2211"/>
      <c r="N2194" s="372">
        <f t="shared" si="1628"/>
        <v>0</v>
      </c>
      <c r="O2194" s="883">
        <f t="shared" ref="O2194:P2194" si="1635">SUM(O2195:O2197)</f>
        <v>549999.75139999995</v>
      </c>
      <c r="P2194" s="883">
        <f t="shared" si="1635"/>
        <v>604999.72654000006</v>
      </c>
      <c r="R2194" s="317"/>
      <c r="U2194" s="320"/>
    </row>
    <row r="2195" spans="1:21" s="344" customFormat="1" outlineLevel="3">
      <c r="A2195" s="404"/>
      <c r="B2195" s="404"/>
      <c r="C2195" s="401">
        <v>2211101</v>
      </c>
      <c r="D2195" s="402" t="s">
        <v>289</v>
      </c>
      <c r="E2195" s="778">
        <v>278357.53999999998</v>
      </c>
      <c r="F2195" s="333"/>
      <c r="G2195" s="333"/>
      <c r="H2195" s="333"/>
      <c r="I2195" s="324">
        <f t="shared" si="1633"/>
        <v>278357.53999999998</v>
      </c>
      <c r="J2195" s="333"/>
      <c r="K2195" s="849"/>
      <c r="L2195" s="317">
        <f t="shared" si="1625"/>
        <v>278357.53999999998</v>
      </c>
      <c r="M2195" s="317"/>
      <c r="N2195" s="372">
        <f t="shared" si="1628"/>
        <v>0</v>
      </c>
      <c r="O2195" s="319">
        <f>L2195*1.1</f>
        <v>306193.29399999999</v>
      </c>
      <c r="P2195" s="319">
        <f t="shared" si="1631"/>
        <v>336812.62340000004</v>
      </c>
      <c r="R2195" s="317"/>
      <c r="U2195" s="320"/>
    </row>
    <row r="2196" spans="1:21" outlineLevel="3">
      <c r="A2196" s="404"/>
      <c r="B2196" s="404"/>
      <c r="C2196" s="401">
        <v>2211102</v>
      </c>
      <c r="D2196" s="402" t="s">
        <v>53</v>
      </c>
      <c r="E2196" s="778">
        <v>161136.234</v>
      </c>
      <c r="F2196" s="333"/>
      <c r="G2196" s="333"/>
      <c r="H2196" s="333"/>
      <c r="I2196" s="324">
        <f t="shared" si="1633"/>
        <v>161136.234</v>
      </c>
      <c r="J2196" s="333"/>
      <c r="K2196" s="849"/>
      <c r="L2196" s="317">
        <f t="shared" si="1625"/>
        <v>161136.234</v>
      </c>
      <c r="M2196" s="317"/>
      <c r="N2196" s="372">
        <f t="shared" si="1628"/>
        <v>0</v>
      </c>
      <c r="O2196" s="319">
        <f>L2196*1.1</f>
        <v>177249.85740000001</v>
      </c>
      <c r="P2196" s="319">
        <f t="shared" si="1631"/>
        <v>194974.84314000001</v>
      </c>
      <c r="R2196" s="317"/>
      <c r="U2196" s="320"/>
    </row>
    <row r="2197" spans="1:21" s="344" customFormat="1" outlineLevel="3">
      <c r="A2197" s="402"/>
      <c r="B2197" s="402"/>
      <c r="C2197" s="401">
        <v>2211103</v>
      </c>
      <c r="D2197" s="402" t="s">
        <v>402</v>
      </c>
      <c r="E2197" s="778">
        <f>43500+17006</f>
        <v>60506</v>
      </c>
      <c r="F2197" s="333"/>
      <c r="G2197" s="333"/>
      <c r="H2197" s="333"/>
      <c r="I2197" s="324">
        <f t="shared" si="1633"/>
        <v>60506</v>
      </c>
      <c r="J2197" s="333"/>
      <c r="K2197" s="849"/>
      <c r="L2197" s="317">
        <f t="shared" si="1625"/>
        <v>60506</v>
      </c>
      <c r="M2197" s="317"/>
      <c r="N2197" s="372">
        <f t="shared" si="1628"/>
        <v>0</v>
      </c>
      <c r="O2197" s="319">
        <f>L2197*1.1</f>
        <v>66556.600000000006</v>
      </c>
      <c r="P2197" s="319">
        <f t="shared" si="1631"/>
        <v>73212.260000000009</v>
      </c>
      <c r="R2197" s="317"/>
      <c r="U2197" s="320"/>
    </row>
    <row r="2198" spans="1:21" outlineLevel="3">
      <c r="A2198" s="402"/>
      <c r="B2198" s="402"/>
      <c r="C2198" s="403">
        <v>2211200</v>
      </c>
      <c r="D2198" s="404" t="s">
        <v>55</v>
      </c>
      <c r="E2198" s="772">
        <f>E2199</f>
        <v>3000000</v>
      </c>
      <c r="F2198" s="772">
        <f t="shared" ref="F2198:K2198" si="1636">F2199</f>
        <v>0</v>
      </c>
      <c r="G2198" s="772">
        <f t="shared" si="1636"/>
        <v>0</v>
      </c>
      <c r="H2198" s="772">
        <f t="shared" si="1636"/>
        <v>0</v>
      </c>
      <c r="I2198" s="772">
        <f t="shared" si="1636"/>
        <v>3000000</v>
      </c>
      <c r="J2198" s="772">
        <f t="shared" si="1636"/>
        <v>0</v>
      </c>
      <c r="K2198" s="772">
        <f t="shared" si="1636"/>
        <v>0</v>
      </c>
      <c r="L2198" s="317">
        <f t="shared" si="1625"/>
        <v>3000000</v>
      </c>
      <c r="M2198" s="317"/>
      <c r="N2198" s="372">
        <f t="shared" si="1628"/>
        <v>0</v>
      </c>
      <c r="O2198" s="772">
        <f t="shared" ref="O2198:P2198" si="1637">O2199</f>
        <v>3300000.0000000005</v>
      </c>
      <c r="P2198" s="772">
        <f t="shared" si="1637"/>
        <v>3630000.0000000009</v>
      </c>
      <c r="R2198" s="317"/>
      <c r="U2198" s="320"/>
    </row>
    <row r="2199" spans="1:21" s="344" customFormat="1" outlineLevel="3">
      <c r="A2199" s="402"/>
      <c r="B2199" s="402"/>
      <c r="C2199" s="401">
        <v>2211201</v>
      </c>
      <c r="D2199" s="402" t="s">
        <v>56</v>
      </c>
      <c r="E2199" s="778">
        <v>3000000</v>
      </c>
      <c r="F2199" s="333"/>
      <c r="G2199" s="333"/>
      <c r="H2199" s="333"/>
      <c r="I2199" s="324">
        <f t="shared" si="1633"/>
        <v>3000000</v>
      </c>
      <c r="J2199" s="333"/>
      <c r="K2199" s="849"/>
      <c r="L2199" s="317">
        <f t="shared" si="1625"/>
        <v>3000000</v>
      </c>
      <c r="M2199" s="317"/>
      <c r="N2199" s="372">
        <f t="shared" si="1628"/>
        <v>0</v>
      </c>
      <c r="O2199" s="319">
        <f>L2199*1.1</f>
        <v>3300000.0000000005</v>
      </c>
      <c r="P2199" s="319">
        <f t="shared" si="1631"/>
        <v>3630000.0000000009</v>
      </c>
      <c r="R2199" s="317"/>
      <c r="U2199" s="320"/>
    </row>
    <row r="2200" spans="1:21" s="344" customFormat="1" outlineLevel="3">
      <c r="A2200" s="404"/>
      <c r="B2200" s="404"/>
      <c r="C2200" s="403">
        <v>2220100</v>
      </c>
      <c r="D2200" s="404" t="s">
        <v>62</v>
      </c>
      <c r="E2200" s="772">
        <f>E2201+E2202</f>
        <v>999999.6</v>
      </c>
      <c r="F2200" s="772">
        <f t="shared" ref="F2200:P2200" si="1638">F2201+F2202</f>
        <v>0</v>
      </c>
      <c r="G2200" s="772">
        <f t="shared" si="1638"/>
        <v>0</v>
      </c>
      <c r="H2200" s="772">
        <f t="shared" si="1638"/>
        <v>0</v>
      </c>
      <c r="I2200" s="772">
        <f t="shared" si="1638"/>
        <v>999999.6</v>
      </c>
      <c r="J2200" s="772">
        <f t="shared" si="1638"/>
        <v>0</v>
      </c>
      <c r="K2200" s="772">
        <f t="shared" si="1638"/>
        <v>0</v>
      </c>
      <c r="L2200" s="317">
        <f t="shared" si="1625"/>
        <v>999999.6</v>
      </c>
      <c r="M2200" s="317"/>
      <c r="N2200" s="372">
        <f t="shared" si="1628"/>
        <v>0</v>
      </c>
      <c r="O2200" s="772">
        <f t="shared" si="1638"/>
        <v>1099999.56</v>
      </c>
      <c r="P2200" s="772">
        <f t="shared" si="1638"/>
        <v>1209999.5160000003</v>
      </c>
      <c r="R2200" s="317"/>
      <c r="U2200" s="320"/>
    </row>
    <row r="2201" spans="1:21" s="344" customFormat="1" outlineLevel="3">
      <c r="A2201" s="404"/>
      <c r="B2201" s="404"/>
      <c r="C2201" s="401">
        <v>2220101</v>
      </c>
      <c r="D2201" s="402" t="s">
        <v>403</v>
      </c>
      <c r="E2201" s="778">
        <v>737749</v>
      </c>
      <c r="F2201" s="333"/>
      <c r="G2201" s="333"/>
      <c r="H2201" s="333"/>
      <c r="I2201" s="324">
        <f t="shared" si="1633"/>
        <v>737749</v>
      </c>
      <c r="J2201" s="333"/>
      <c r="K2201" s="849"/>
      <c r="L2201" s="317">
        <f t="shared" si="1625"/>
        <v>737749</v>
      </c>
      <c r="M2201" s="317"/>
      <c r="N2201" s="372">
        <f t="shared" si="1628"/>
        <v>0</v>
      </c>
      <c r="O2201" s="319">
        <f>L2201*1.1</f>
        <v>811523.9</v>
      </c>
      <c r="P2201" s="319">
        <f t="shared" si="1631"/>
        <v>892676.29000000015</v>
      </c>
      <c r="R2201" s="317"/>
      <c r="U2201" s="320"/>
    </row>
    <row r="2202" spans="1:21" s="344" customFormat="1" outlineLevel="3">
      <c r="A2202" s="404"/>
      <c r="B2202" s="404"/>
      <c r="C2202" s="401">
        <v>2220105</v>
      </c>
      <c r="D2202" s="402" t="s">
        <v>404</v>
      </c>
      <c r="E2202" s="778">
        <f>962250.6-600000-100000</f>
        <v>262250.59999999998</v>
      </c>
      <c r="F2202" s="333"/>
      <c r="G2202" s="333"/>
      <c r="H2202" s="333"/>
      <c r="I2202" s="324">
        <f t="shared" si="1633"/>
        <v>262250.59999999998</v>
      </c>
      <c r="J2202" s="333"/>
      <c r="K2202" s="849"/>
      <c r="L2202" s="317">
        <f t="shared" si="1625"/>
        <v>262250.59999999998</v>
      </c>
      <c r="M2202" s="317"/>
      <c r="N2202" s="372">
        <f t="shared" si="1628"/>
        <v>0</v>
      </c>
      <c r="O2202" s="319">
        <f>L2202*1.1</f>
        <v>288475.65999999997</v>
      </c>
      <c r="P2202" s="319">
        <f t="shared" si="1631"/>
        <v>317323.22600000002</v>
      </c>
      <c r="R2202" s="317"/>
      <c r="U2202" s="320"/>
    </row>
    <row r="2203" spans="1:21" s="344" customFormat="1" outlineLevel="3">
      <c r="A2203" s="404"/>
      <c r="B2203" s="404"/>
      <c r="C2203" s="403">
        <v>2220200</v>
      </c>
      <c r="D2203" s="404" t="s">
        <v>405</v>
      </c>
      <c r="E2203" s="772">
        <f>E2204+E2205</f>
        <v>6529307.0539999995</v>
      </c>
      <c r="F2203" s="772">
        <f t="shared" ref="F2203:K2203" si="1639">F2204+F2205</f>
        <v>0</v>
      </c>
      <c r="G2203" s="772">
        <f t="shared" si="1639"/>
        <v>0</v>
      </c>
      <c r="H2203" s="772">
        <f t="shared" si="1639"/>
        <v>0</v>
      </c>
      <c r="I2203" s="772">
        <f t="shared" si="1639"/>
        <v>6529307.0539999995</v>
      </c>
      <c r="J2203" s="772">
        <f t="shared" si="1639"/>
        <v>0</v>
      </c>
      <c r="K2203" s="772">
        <f t="shared" si="1639"/>
        <v>3000000</v>
      </c>
      <c r="L2203" s="317">
        <f t="shared" si="1625"/>
        <v>9529307.0539999995</v>
      </c>
      <c r="M2203" s="317"/>
      <c r="N2203" s="372">
        <f t="shared" si="1628"/>
        <v>-3000000</v>
      </c>
      <c r="O2203" s="772">
        <f t="shared" ref="O2203:P2203" si="1640">O2204+O2205</f>
        <v>10482237.759400001</v>
      </c>
      <c r="P2203" s="772">
        <f t="shared" si="1640"/>
        <v>11530461.53534</v>
      </c>
      <c r="R2203" s="317"/>
      <c r="U2203" s="320"/>
    </row>
    <row r="2204" spans="1:21" s="344" customFormat="1" outlineLevel="3">
      <c r="A2204" s="404"/>
      <c r="B2204" s="404"/>
      <c r="C2204" s="401" t="s">
        <v>473</v>
      </c>
      <c r="D2204" s="856" t="s">
        <v>1641</v>
      </c>
      <c r="E2204" s="778">
        <f>8000000-500000-1000000</f>
        <v>6500000</v>
      </c>
      <c r="F2204" s="333"/>
      <c r="G2204" s="333"/>
      <c r="H2204" s="333"/>
      <c r="I2204" s="324">
        <f t="shared" si="1633"/>
        <v>6500000</v>
      </c>
      <c r="J2204" s="333"/>
      <c r="K2204" s="850">
        <v>3000000</v>
      </c>
      <c r="L2204" s="317">
        <f t="shared" si="1625"/>
        <v>9500000</v>
      </c>
      <c r="M2204" s="317"/>
      <c r="N2204" s="372">
        <f t="shared" si="1628"/>
        <v>-3000000</v>
      </c>
      <c r="O2204" s="319">
        <f>L2204*1.1</f>
        <v>10450000</v>
      </c>
      <c r="P2204" s="319">
        <f t="shared" si="1631"/>
        <v>11495000</v>
      </c>
      <c r="R2204" s="317"/>
      <c r="U2204" s="320"/>
    </row>
    <row r="2205" spans="1:21" s="344" customFormat="1" outlineLevel="3">
      <c r="A2205" s="404"/>
      <c r="B2205" s="404"/>
      <c r="C2205" s="401">
        <v>2220205</v>
      </c>
      <c r="D2205" s="402" t="s">
        <v>125</v>
      </c>
      <c r="E2205" s="778">
        <f>29306.82+0.234</f>
        <v>29307.054</v>
      </c>
      <c r="F2205" s="333"/>
      <c r="G2205" s="333"/>
      <c r="H2205" s="333"/>
      <c r="I2205" s="324">
        <f t="shared" si="1633"/>
        <v>29307.054</v>
      </c>
      <c r="J2205" s="333"/>
      <c r="K2205" s="849"/>
      <c r="L2205" s="317">
        <f t="shared" si="1625"/>
        <v>29307.054</v>
      </c>
      <c r="M2205" s="317"/>
      <c r="N2205" s="372">
        <f t="shared" si="1628"/>
        <v>0</v>
      </c>
      <c r="O2205" s="319">
        <f>L2205*1.1</f>
        <v>32237.759400000003</v>
      </c>
      <c r="P2205" s="319">
        <f t="shared" si="1631"/>
        <v>35461.535340000002</v>
      </c>
      <c r="R2205" s="317"/>
      <c r="U2205" s="320"/>
    </row>
    <row r="2206" spans="1:21" s="344" customFormat="1" outlineLevel="3">
      <c r="A2206" s="404"/>
      <c r="B2206" s="404"/>
      <c r="C2206" s="403">
        <v>3111000</v>
      </c>
      <c r="D2206" s="404" t="s">
        <v>69</v>
      </c>
      <c r="E2206" s="772">
        <f>E2207+E2208</f>
        <v>1800000</v>
      </c>
      <c r="F2206" s="772">
        <f t="shared" ref="F2206:K2206" si="1641">F2207+F2208</f>
        <v>0</v>
      </c>
      <c r="G2206" s="772">
        <f t="shared" si="1641"/>
        <v>0</v>
      </c>
      <c r="H2206" s="772">
        <f t="shared" si="1641"/>
        <v>0</v>
      </c>
      <c r="I2206" s="772">
        <f t="shared" si="1641"/>
        <v>1800000</v>
      </c>
      <c r="J2206" s="772">
        <f t="shared" si="1641"/>
        <v>0</v>
      </c>
      <c r="K2206" s="772">
        <f t="shared" si="1641"/>
        <v>0</v>
      </c>
      <c r="L2206" s="317">
        <f t="shared" si="1625"/>
        <v>1800000</v>
      </c>
      <c r="M2206" s="317"/>
      <c r="N2206" s="372">
        <f t="shared" si="1628"/>
        <v>0</v>
      </c>
      <c r="O2206" s="772">
        <f t="shared" ref="O2206:P2206" si="1642">O2207+O2208</f>
        <v>1980000.0000000002</v>
      </c>
      <c r="P2206" s="772">
        <f t="shared" si="1642"/>
        <v>2178000.0000000005</v>
      </c>
      <c r="R2206" s="317"/>
      <c r="U2206" s="320"/>
    </row>
    <row r="2207" spans="1:21" s="344" customFormat="1" outlineLevel="3">
      <c r="A2207" s="404"/>
      <c r="B2207" s="404"/>
      <c r="C2207" s="405">
        <v>3111001</v>
      </c>
      <c r="D2207" s="345" t="s">
        <v>70</v>
      </c>
      <c r="E2207" s="778">
        <v>950000</v>
      </c>
      <c r="F2207" s="406"/>
      <c r="G2207" s="406"/>
      <c r="H2207" s="406"/>
      <c r="I2207" s="324">
        <f t="shared" si="1633"/>
        <v>950000</v>
      </c>
      <c r="J2207" s="406"/>
      <c r="K2207" s="849"/>
      <c r="L2207" s="317">
        <f t="shared" si="1625"/>
        <v>950000</v>
      </c>
      <c r="M2207" s="317"/>
      <c r="N2207" s="372">
        <f t="shared" si="1628"/>
        <v>0</v>
      </c>
      <c r="O2207" s="319">
        <f>L2207*1.1</f>
        <v>1045000.0000000001</v>
      </c>
      <c r="P2207" s="319">
        <f t="shared" ref="P2207:P2211" si="1643">O2207*1.1</f>
        <v>1149500.0000000002</v>
      </c>
      <c r="R2207" s="317"/>
      <c r="U2207" s="320"/>
    </row>
    <row r="2208" spans="1:21" s="344" customFormat="1" outlineLevel="3">
      <c r="A2208" s="404"/>
      <c r="B2208" s="404"/>
      <c r="C2208" s="401">
        <v>3111002</v>
      </c>
      <c r="D2208" s="845" t="s">
        <v>1642</v>
      </c>
      <c r="E2208" s="778">
        <v>850000</v>
      </c>
      <c r="F2208" s="529"/>
      <c r="G2208" s="529"/>
      <c r="H2208" s="529"/>
      <c r="I2208" s="324">
        <f t="shared" si="1633"/>
        <v>850000</v>
      </c>
      <c r="J2208" s="529"/>
      <c r="K2208" s="849"/>
      <c r="L2208" s="317">
        <f t="shared" si="1625"/>
        <v>850000</v>
      </c>
      <c r="M2208" s="317"/>
      <c r="N2208" s="372">
        <f t="shared" si="1628"/>
        <v>0</v>
      </c>
      <c r="O2208" s="319">
        <f>L2208*1.1</f>
        <v>935000.00000000012</v>
      </c>
      <c r="P2208" s="319">
        <f t="shared" si="1643"/>
        <v>1028500.0000000002</v>
      </c>
      <c r="R2208" s="317"/>
      <c r="U2208" s="320"/>
    </row>
    <row r="2209" spans="1:21" s="344" customFormat="1" outlineLevel="2">
      <c r="A2209" s="859"/>
      <c r="B2209" s="859"/>
      <c r="C2209" s="829" t="s">
        <v>99</v>
      </c>
      <c r="D2209" s="859"/>
      <c r="E2209" s="666">
        <f>E2206+E2203+E2200+E2198+E2194+E2190+E2186+E2180+E2177+E2174+E2170+E2167+E2165+E2162</f>
        <v>1135945814</v>
      </c>
      <c r="F2209" s="666">
        <f t="shared" ref="F2209:P2209" si="1644">F2206+F2203+F2200+F2198+F2194+F2190+F2186+F2180+F2177+F2174+F2170+F2167+F2165+F2162</f>
        <v>0</v>
      </c>
      <c r="G2209" s="666">
        <f t="shared" si="1644"/>
        <v>98964566</v>
      </c>
      <c r="H2209" s="666">
        <f t="shared" si="1644"/>
        <v>0</v>
      </c>
      <c r="I2209" s="666">
        <f t="shared" si="1644"/>
        <v>1234910380</v>
      </c>
      <c r="J2209" s="666">
        <f t="shared" si="1644"/>
        <v>33756694</v>
      </c>
      <c r="K2209" s="666">
        <f t="shared" si="1644"/>
        <v>-2100000</v>
      </c>
      <c r="L2209" s="317">
        <f t="shared" si="1625"/>
        <v>1266567074</v>
      </c>
      <c r="M2209" s="317"/>
      <c r="N2209" s="372">
        <f t="shared" si="1628"/>
        <v>2100000</v>
      </c>
      <c r="O2209" s="666">
        <f t="shared" si="1644"/>
        <v>1335670395.4000001</v>
      </c>
      <c r="P2209" s="666">
        <f t="shared" si="1644"/>
        <v>1469237434.9400005</v>
      </c>
      <c r="R2209" s="317"/>
      <c r="U2209" s="320"/>
    </row>
    <row r="2210" spans="1:21" s="344" customFormat="1" outlineLevel="2">
      <c r="A2210" s="404"/>
      <c r="B2210" s="404"/>
      <c r="C2210" s="403"/>
      <c r="D2210" s="404"/>
      <c r="E2210" s="406">
        <v>0</v>
      </c>
      <c r="F2210" s="329"/>
      <c r="G2210" s="329"/>
      <c r="H2210" s="329"/>
      <c r="I2210" s="324">
        <f t="shared" si="1633"/>
        <v>0</v>
      </c>
      <c r="J2210" s="329"/>
      <c r="K2210" s="849"/>
      <c r="L2210" s="317">
        <f t="shared" si="1625"/>
        <v>0</v>
      </c>
      <c r="M2210" s="317"/>
      <c r="N2210" s="372">
        <f t="shared" si="1628"/>
        <v>0</v>
      </c>
      <c r="O2210" s="319">
        <f>L2210*1.1</f>
        <v>0</v>
      </c>
      <c r="P2210" s="319">
        <f t="shared" si="1643"/>
        <v>0</v>
      </c>
      <c r="R2210" s="317"/>
      <c r="U2210" s="320"/>
    </row>
    <row r="2211" spans="1:21" s="344" customFormat="1" outlineLevel="2">
      <c r="A2211" s="402"/>
      <c r="B2211" s="402"/>
      <c r="C2211" s="403" t="s">
        <v>474</v>
      </c>
      <c r="D2211" s="402"/>
      <c r="E2211" s="406">
        <v>0</v>
      </c>
      <c r="F2211" s="333"/>
      <c r="G2211" s="333"/>
      <c r="H2211" s="333"/>
      <c r="I2211" s="324">
        <f t="shared" si="1633"/>
        <v>0</v>
      </c>
      <c r="J2211" s="333"/>
      <c r="K2211" s="849"/>
      <c r="L2211" s="317">
        <f t="shared" si="1625"/>
        <v>0</v>
      </c>
      <c r="M2211" s="317"/>
      <c r="N2211" s="372">
        <f t="shared" si="1628"/>
        <v>0</v>
      </c>
      <c r="O2211" s="319">
        <f>L2211*1.1</f>
        <v>0</v>
      </c>
      <c r="P2211" s="319">
        <f t="shared" si="1643"/>
        <v>0</v>
      </c>
      <c r="R2211" s="317"/>
      <c r="U2211" s="320"/>
    </row>
    <row r="2212" spans="1:21" s="344" customFormat="1" outlineLevel="3">
      <c r="A2212" s="402"/>
      <c r="B2212" s="402"/>
      <c r="C2212" s="403">
        <v>3111100</v>
      </c>
      <c r="D2212" s="404" t="s">
        <v>475</v>
      </c>
      <c r="E2212" s="772">
        <f>SUM(E2213:E2238)</f>
        <v>43287168</v>
      </c>
      <c r="F2212" s="772">
        <f t="shared" ref="F2212:K2212" si="1645">SUM(F2213:F2238)</f>
        <v>17501724</v>
      </c>
      <c r="G2212" s="772">
        <f t="shared" si="1645"/>
        <v>30407000</v>
      </c>
      <c r="H2212" s="772">
        <f t="shared" si="1645"/>
        <v>-4500000</v>
      </c>
      <c r="I2212" s="772">
        <f t="shared" si="1645"/>
        <v>86695892</v>
      </c>
      <c r="J2212" s="772">
        <f t="shared" si="1645"/>
        <v>0</v>
      </c>
      <c r="K2212" s="772">
        <f t="shared" si="1645"/>
        <v>-3107000</v>
      </c>
      <c r="L2212" s="317">
        <f t="shared" si="1625"/>
        <v>83588892</v>
      </c>
      <c r="M2212" s="317"/>
      <c r="N2212" s="372">
        <f t="shared" si="1628"/>
        <v>3107000</v>
      </c>
      <c r="O2212" s="772">
        <f t="shared" ref="O2212:P2212" si="1646">SUM(O2213:O2238)</f>
        <v>39196484.800000004</v>
      </c>
      <c r="P2212" s="772">
        <f t="shared" si="1646"/>
        <v>43116133.280000001</v>
      </c>
      <c r="R2212" s="317"/>
      <c r="U2212" s="320"/>
    </row>
    <row r="2213" spans="1:21" s="325" customFormat="1" outlineLevel="3">
      <c r="A2213" s="860"/>
      <c r="B2213" s="404"/>
      <c r="C2213" s="401">
        <v>3111101</v>
      </c>
      <c r="D2213" s="900" t="s">
        <v>1643</v>
      </c>
      <c r="E2213" s="778">
        <v>5200000</v>
      </c>
      <c r="F2213" s="333"/>
      <c r="G2213" s="333"/>
      <c r="H2213" s="333"/>
      <c r="I2213" s="324">
        <f t="shared" si="1633"/>
        <v>5200000</v>
      </c>
      <c r="J2213" s="333"/>
      <c r="K2213" s="389">
        <v>-500000</v>
      </c>
      <c r="L2213" s="317">
        <f t="shared" si="1625"/>
        <v>4700000</v>
      </c>
      <c r="M2213" s="317"/>
      <c r="N2213" s="372">
        <f t="shared" si="1628"/>
        <v>500000</v>
      </c>
      <c r="O2213" s="464">
        <f t="shared" ref="O2213:O2225" si="1647">L2213*1.1</f>
        <v>5170000</v>
      </c>
      <c r="P2213" s="464">
        <f t="shared" ref="P2213:P2225" si="1648">O2213*1.1</f>
        <v>5687000</v>
      </c>
      <c r="R2213" s="317"/>
      <c r="U2213" s="320"/>
    </row>
    <row r="2214" spans="1:21" s="325" customFormat="1" outlineLevel="3">
      <c r="A2214" s="860" t="s">
        <v>468</v>
      </c>
      <c r="B2214" s="404" t="s">
        <v>146</v>
      </c>
      <c r="C2214" s="401">
        <v>3111101</v>
      </c>
      <c r="D2214" s="900" t="s">
        <v>1644</v>
      </c>
      <c r="E2214" s="778">
        <v>3000000</v>
      </c>
      <c r="F2214" s="333"/>
      <c r="G2214" s="333"/>
      <c r="H2214" s="778">
        <v>-3000000</v>
      </c>
      <c r="I2214" s="324">
        <f t="shared" si="1633"/>
        <v>0</v>
      </c>
      <c r="J2214" s="778"/>
      <c r="K2214" s="529">
        <v>3610000</v>
      </c>
      <c r="L2214" s="317">
        <f t="shared" si="1625"/>
        <v>3610000</v>
      </c>
      <c r="M2214" s="317"/>
      <c r="N2214" s="372">
        <f t="shared" si="1628"/>
        <v>-3610000</v>
      </c>
      <c r="O2214" s="464">
        <f t="shared" si="1647"/>
        <v>3971000.0000000005</v>
      </c>
      <c r="P2214" s="464">
        <f t="shared" si="1648"/>
        <v>4368100.0000000009</v>
      </c>
      <c r="R2214" s="317"/>
      <c r="U2214" s="320"/>
    </row>
    <row r="2215" spans="1:21" s="325" customFormat="1" outlineLevel="3">
      <c r="A2215" s="860"/>
      <c r="B2215" s="404"/>
      <c r="C2215" s="401">
        <v>3111101</v>
      </c>
      <c r="D2215" s="901" t="s">
        <v>1645</v>
      </c>
      <c r="E2215" s="851">
        <v>452400</v>
      </c>
      <c r="F2215" s="406"/>
      <c r="G2215" s="406"/>
      <c r="H2215" s="778">
        <v>-452400</v>
      </c>
      <c r="I2215" s="324">
        <f t="shared" si="1633"/>
        <v>0</v>
      </c>
      <c r="J2215" s="778"/>
      <c r="K2215" s="902"/>
      <c r="L2215" s="317">
        <f t="shared" si="1625"/>
        <v>0</v>
      </c>
      <c r="M2215" s="317"/>
      <c r="N2215" s="372">
        <f t="shared" si="1628"/>
        <v>0</v>
      </c>
      <c r="O2215" s="464">
        <f t="shared" si="1647"/>
        <v>0</v>
      </c>
      <c r="P2215" s="464">
        <f t="shared" si="1648"/>
        <v>0</v>
      </c>
      <c r="R2215" s="317"/>
      <c r="U2215" s="320"/>
    </row>
    <row r="2216" spans="1:21" s="325" customFormat="1" outlineLevel="3">
      <c r="A2216" s="860"/>
      <c r="B2216" s="404"/>
      <c r="C2216" s="401">
        <v>3111101</v>
      </c>
      <c r="D2216" s="901" t="s">
        <v>1646</v>
      </c>
      <c r="E2216" s="851">
        <v>4200000</v>
      </c>
      <c r="F2216" s="406"/>
      <c r="G2216" s="406"/>
      <c r="H2216" s="406"/>
      <c r="I2216" s="324">
        <f t="shared" si="1633"/>
        <v>4200000</v>
      </c>
      <c r="J2216" s="406"/>
      <c r="K2216" s="529">
        <v>200000</v>
      </c>
      <c r="L2216" s="317">
        <f t="shared" si="1625"/>
        <v>4400000</v>
      </c>
      <c r="M2216" s="317"/>
      <c r="N2216" s="372">
        <f t="shared" si="1628"/>
        <v>-200000</v>
      </c>
      <c r="O2216" s="464">
        <f t="shared" si="1647"/>
        <v>4840000</v>
      </c>
      <c r="P2216" s="464">
        <f t="shared" si="1648"/>
        <v>5324000</v>
      </c>
      <c r="R2216" s="317"/>
      <c r="U2216" s="320"/>
    </row>
    <row r="2217" spans="1:21" s="325" customFormat="1" outlineLevel="3">
      <c r="A2217" s="860"/>
      <c r="B2217" s="404"/>
      <c r="C2217" s="401">
        <v>3111101</v>
      </c>
      <c r="D2217" s="345" t="s">
        <v>1647</v>
      </c>
      <c r="E2217" s="778">
        <v>2000000</v>
      </c>
      <c r="F2217" s="406"/>
      <c r="G2217" s="406"/>
      <c r="H2217" s="406"/>
      <c r="I2217" s="324">
        <f t="shared" si="1633"/>
        <v>2000000</v>
      </c>
      <c r="J2217" s="406"/>
      <c r="K2217" s="902"/>
      <c r="L2217" s="317">
        <f t="shared" si="1625"/>
        <v>2000000</v>
      </c>
      <c r="M2217" s="317"/>
      <c r="N2217" s="372">
        <f t="shared" si="1628"/>
        <v>0</v>
      </c>
      <c r="O2217" s="464">
        <f t="shared" si="1647"/>
        <v>2200000</v>
      </c>
      <c r="P2217" s="464">
        <f t="shared" si="1648"/>
        <v>2420000</v>
      </c>
      <c r="R2217" s="317"/>
      <c r="U2217" s="320"/>
    </row>
    <row r="2218" spans="1:21" s="325" customFormat="1" outlineLevel="3">
      <c r="A2218" s="860"/>
      <c r="B2218" s="404"/>
      <c r="C2218" s="401">
        <v>3111101</v>
      </c>
      <c r="D2218" s="901" t="s">
        <v>1648</v>
      </c>
      <c r="E2218" s="778">
        <v>2000000</v>
      </c>
      <c r="F2218" s="406"/>
      <c r="G2218" s="406"/>
      <c r="H2218" s="406"/>
      <c r="I2218" s="324">
        <f t="shared" si="1633"/>
        <v>2000000</v>
      </c>
      <c r="J2218" s="406"/>
      <c r="K2218" s="902"/>
      <c r="L2218" s="317">
        <f t="shared" si="1625"/>
        <v>2000000</v>
      </c>
      <c r="M2218" s="317"/>
      <c r="N2218" s="372">
        <f t="shared" si="1628"/>
        <v>0</v>
      </c>
      <c r="O2218" s="464">
        <f t="shared" si="1647"/>
        <v>2200000</v>
      </c>
      <c r="P2218" s="464">
        <f t="shared" si="1648"/>
        <v>2420000</v>
      </c>
      <c r="R2218" s="317"/>
      <c r="U2218" s="320"/>
    </row>
    <row r="2219" spans="1:21" s="325" customFormat="1" outlineLevel="3">
      <c r="A2219" s="860"/>
      <c r="B2219" s="404"/>
      <c r="C2219" s="888">
        <v>3111101</v>
      </c>
      <c r="D2219" s="901" t="s">
        <v>1649</v>
      </c>
      <c r="E2219" s="851">
        <f>2634500-80680-500000</f>
        <v>2053820</v>
      </c>
      <c r="F2219" s="406"/>
      <c r="G2219" s="406"/>
      <c r="H2219" s="406"/>
      <c r="I2219" s="324">
        <f t="shared" si="1633"/>
        <v>2053820</v>
      </c>
      <c r="J2219" s="406"/>
      <c r="K2219" s="902"/>
      <c r="L2219" s="317">
        <f t="shared" si="1625"/>
        <v>2053820</v>
      </c>
      <c r="M2219" s="317"/>
      <c r="N2219" s="372">
        <f t="shared" si="1628"/>
        <v>0</v>
      </c>
      <c r="O2219" s="464">
        <f t="shared" si="1647"/>
        <v>2259202</v>
      </c>
      <c r="P2219" s="464">
        <f t="shared" si="1648"/>
        <v>2485122.2000000002</v>
      </c>
      <c r="R2219" s="317"/>
      <c r="U2219" s="320"/>
    </row>
    <row r="2220" spans="1:21" s="325" customFormat="1" outlineLevel="3">
      <c r="A2220" s="860"/>
      <c r="B2220" s="404"/>
      <c r="C2220" s="888">
        <v>3111101</v>
      </c>
      <c r="D2220" s="901" t="s">
        <v>1650</v>
      </c>
      <c r="E2220" s="851">
        <v>2500000</v>
      </c>
      <c r="F2220" s="406"/>
      <c r="G2220" s="406"/>
      <c r="H2220" s="406"/>
      <c r="I2220" s="324">
        <f t="shared" si="1633"/>
        <v>2500000</v>
      </c>
      <c r="J2220" s="406"/>
      <c r="K2220" s="902"/>
      <c r="L2220" s="317">
        <f t="shared" si="1625"/>
        <v>2500000</v>
      </c>
      <c r="M2220" s="317"/>
      <c r="N2220" s="372">
        <f t="shared" si="1628"/>
        <v>0</v>
      </c>
      <c r="O2220" s="464">
        <f t="shared" si="1647"/>
        <v>2750000</v>
      </c>
      <c r="P2220" s="464">
        <f t="shared" si="1648"/>
        <v>3025000.0000000005</v>
      </c>
      <c r="R2220" s="317"/>
      <c r="U2220" s="320"/>
    </row>
    <row r="2221" spans="1:21" s="325" customFormat="1" outlineLevel="3">
      <c r="A2221" s="860"/>
      <c r="B2221" s="404"/>
      <c r="C2221" s="888">
        <v>3111101</v>
      </c>
      <c r="D2221" s="901" t="s">
        <v>1651</v>
      </c>
      <c r="E2221" s="851">
        <v>3250000</v>
      </c>
      <c r="F2221" s="406"/>
      <c r="G2221" s="406"/>
      <c r="H2221" s="851">
        <v>-1047600</v>
      </c>
      <c r="I2221" s="324">
        <f t="shared" si="1633"/>
        <v>2202400</v>
      </c>
      <c r="J2221" s="851"/>
      <c r="K2221" s="902"/>
      <c r="L2221" s="317">
        <f t="shared" si="1625"/>
        <v>2202400</v>
      </c>
      <c r="M2221" s="317"/>
      <c r="N2221" s="372">
        <f t="shared" si="1628"/>
        <v>0</v>
      </c>
      <c r="O2221" s="464">
        <f t="shared" si="1647"/>
        <v>2422640</v>
      </c>
      <c r="P2221" s="464">
        <f t="shared" si="1648"/>
        <v>2664904</v>
      </c>
      <c r="R2221" s="317"/>
      <c r="U2221" s="320"/>
    </row>
    <row r="2222" spans="1:21" s="325" customFormat="1" outlineLevel="3">
      <c r="A2222" s="860"/>
      <c r="B2222" s="404"/>
      <c r="C2222" s="888">
        <v>3111101</v>
      </c>
      <c r="D2222" s="901" t="s">
        <v>1652</v>
      </c>
      <c r="E2222" s="851">
        <f>3250000-500000</f>
        <v>2750000</v>
      </c>
      <c r="F2222" s="406"/>
      <c r="G2222" s="406"/>
      <c r="H2222" s="406"/>
      <c r="I2222" s="324">
        <f t="shared" si="1633"/>
        <v>2750000</v>
      </c>
      <c r="J2222" s="406"/>
      <c r="K2222" s="902"/>
      <c r="L2222" s="317">
        <f t="shared" si="1625"/>
        <v>2750000</v>
      </c>
      <c r="M2222" s="317"/>
      <c r="N2222" s="372">
        <f t="shared" si="1628"/>
        <v>0</v>
      </c>
      <c r="O2222" s="464">
        <f t="shared" si="1647"/>
        <v>3025000.0000000005</v>
      </c>
      <c r="P2222" s="464">
        <f t="shared" si="1648"/>
        <v>3327500.0000000009</v>
      </c>
      <c r="R2222" s="317"/>
      <c r="U2222" s="320"/>
    </row>
    <row r="2223" spans="1:21" s="325" customFormat="1" outlineLevel="3">
      <c r="A2223" s="860"/>
      <c r="B2223" s="404"/>
      <c r="C2223" s="888">
        <v>3111101</v>
      </c>
      <c r="D2223" s="901" t="s">
        <v>1653</v>
      </c>
      <c r="E2223" s="851">
        <f>3571948-571000-500000</f>
        <v>2500948</v>
      </c>
      <c r="F2223" s="406"/>
      <c r="G2223" s="406"/>
      <c r="H2223" s="406"/>
      <c r="I2223" s="324">
        <f t="shared" si="1633"/>
        <v>2500948</v>
      </c>
      <c r="J2223" s="406"/>
      <c r="K2223" s="529">
        <f>-993000+22000</f>
        <v>-971000</v>
      </c>
      <c r="L2223" s="317">
        <f t="shared" si="1625"/>
        <v>1529948</v>
      </c>
      <c r="M2223" s="317"/>
      <c r="N2223" s="372">
        <f t="shared" si="1628"/>
        <v>971000</v>
      </c>
      <c r="O2223" s="464">
        <f t="shared" si="1647"/>
        <v>1682942.8</v>
      </c>
      <c r="P2223" s="464">
        <f t="shared" si="1648"/>
        <v>1851237.0800000003</v>
      </c>
      <c r="R2223" s="317"/>
      <c r="U2223" s="320"/>
    </row>
    <row r="2224" spans="1:21" s="325" customFormat="1" outlineLevel="3">
      <c r="A2224" s="404"/>
      <c r="B2224" s="404"/>
      <c r="C2224" s="888">
        <v>3111101</v>
      </c>
      <c r="D2224" s="901" t="s">
        <v>1654</v>
      </c>
      <c r="E2224" s="851">
        <v>600000</v>
      </c>
      <c r="F2224" s="406"/>
      <c r="G2224" s="406"/>
      <c r="H2224" s="406"/>
      <c r="I2224" s="324">
        <f t="shared" si="1633"/>
        <v>600000</v>
      </c>
      <c r="J2224" s="406"/>
      <c r="K2224" s="529">
        <v>270000</v>
      </c>
      <c r="L2224" s="317">
        <f t="shared" si="1625"/>
        <v>870000</v>
      </c>
      <c r="M2224" s="317"/>
      <c r="N2224" s="372">
        <f t="shared" si="1628"/>
        <v>-270000</v>
      </c>
      <c r="O2224" s="464">
        <f t="shared" si="1647"/>
        <v>957000.00000000012</v>
      </c>
      <c r="P2224" s="464">
        <f t="shared" si="1648"/>
        <v>1052700.0000000002</v>
      </c>
      <c r="R2224" s="317"/>
      <c r="U2224" s="320"/>
    </row>
    <row r="2225" spans="1:21" s="325" customFormat="1" outlineLevel="3">
      <c r="A2225" s="404"/>
      <c r="B2225" s="404"/>
      <c r="C2225" s="888">
        <v>3111101</v>
      </c>
      <c r="D2225" s="901" t="s">
        <v>1834</v>
      </c>
      <c r="E2225" s="851">
        <f>3728320+571000+80680+3500000</f>
        <v>7880000</v>
      </c>
      <c r="F2225" s="406"/>
      <c r="G2225" s="406"/>
      <c r="H2225" s="406"/>
      <c r="I2225" s="324">
        <f t="shared" si="1633"/>
        <v>7880000</v>
      </c>
      <c r="J2225" s="406"/>
      <c r="K2225" s="529">
        <f>-25000-800000-22000-16000</f>
        <v>-863000</v>
      </c>
      <c r="L2225" s="317">
        <f t="shared" si="1625"/>
        <v>7017000</v>
      </c>
      <c r="M2225" s="317"/>
      <c r="N2225" s="372">
        <f t="shared" si="1628"/>
        <v>863000</v>
      </c>
      <c r="O2225" s="464">
        <f t="shared" si="1647"/>
        <v>7718700.0000000009</v>
      </c>
      <c r="P2225" s="464">
        <f t="shared" si="1648"/>
        <v>8490570.0000000019</v>
      </c>
      <c r="R2225" s="317"/>
      <c r="U2225" s="320"/>
    </row>
    <row r="2226" spans="1:21" s="325" customFormat="1" outlineLevel="3">
      <c r="A2226" s="404"/>
      <c r="B2226" s="404"/>
      <c r="C2226" s="888">
        <v>3111101</v>
      </c>
      <c r="D2226" s="901" t="s">
        <v>2026</v>
      </c>
      <c r="E2226" s="851">
        <v>4900000</v>
      </c>
      <c r="F2226" s="406"/>
      <c r="G2226" s="406"/>
      <c r="H2226" s="406"/>
      <c r="I2226" s="324">
        <f t="shared" si="1633"/>
        <v>4900000</v>
      </c>
      <c r="J2226" s="406"/>
      <c r="K2226" s="529">
        <v>-1200000</v>
      </c>
      <c r="L2226" s="317">
        <f t="shared" si="1625"/>
        <v>3700000</v>
      </c>
      <c r="M2226" s="317"/>
      <c r="N2226" s="372">
        <f t="shared" si="1628"/>
        <v>1200000</v>
      </c>
      <c r="O2226" s="464"/>
      <c r="P2226" s="464"/>
      <c r="R2226" s="317"/>
      <c r="U2226" s="320"/>
    </row>
    <row r="2227" spans="1:21" s="325" customFormat="1" outlineLevel="3">
      <c r="A2227" s="404"/>
      <c r="B2227" s="404"/>
      <c r="C2227" s="888">
        <v>3111101</v>
      </c>
      <c r="D2227" s="901" t="s">
        <v>2093</v>
      </c>
      <c r="E2227" s="851"/>
      <c r="F2227" s="406"/>
      <c r="G2227" s="851">
        <v>1300000</v>
      </c>
      <c r="H2227" s="851">
        <v>0</v>
      </c>
      <c r="I2227" s="324">
        <f t="shared" si="1633"/>
        <v>1300000</v>
      </c>
      <c r="J2227" s="851"/>
      <c r="K2227" s="529">
        <v>-1300000</v>
      </c>
      <c r="L2227" s="317">
        <f t="shared" si="1625"/>
        <v>0</v>
      </c>
      <c r="M2227" s="317"/>
      <c r="N2227" s="372">
        <f t="shared" si="1628"/>
        <v>1300000</v>
      </c>
      <c r="O2227" s="464"/>
      <c r="P2227" s="464"/>
      <c r="R2227" s="317"/>
      <c r="U2227" s="320"/>
    </row>
    <row r="2228" spans="1:21" s="325" customFormat="1" outlineLevel="3">
      <c r="A2228" s="404"/>
      <c r="B2228" s="404"/>
      <c r="C2228" s="888">
        <v>3111101</v>
      </c>
      <c r="D2228" s="901" t="s">
        <v>2094</v>
      </c>
      <c r="E2228" s="851"/>
      <c r="F2228" s="406"/>
      <c r="G2228" s="851">
        <v>2800000</v>
      </c>
      <c r="H2228" s="851">
        <v>0</v>
      </c>
      <c r="I2228" s="324">
        <f t="shared" si="1633"/>
        <v>2800000</v>
      </c>
      <c r="J2228" s="851"/>
      <c r="K2228" s="529">
        <v>-2800000</v>
      </c>
      <c r="L2228" s="317">
        <f t="shared" si="1625"/>
        <v>0</v>
      </c>
      <c r="M2228" s="317"/>
      <c r="N2228" s="372">
        <f t="shared" si="1628"/>
        <v>2800000</v>
      </c>
      <c r="O2228" s="464"/>
      <c r="P2228" s="464"/>
      <c r="R2228" s="317"/>
      <c r="U2228" s="320"/>
    </row>
    <row r="2229" spans="1:21" s="325" customFormat="1" outlineLevel="3">
      <c r="A2229" s="404"/>
      <c r="B2229" s="404"/>
      <c r="C2229" s="888">
        <v>3111101</v>
      </c>
      <c r="D2229" s="901" t="s">
        <v>2095</v>
      </c>
      <c r="E2229" s="851"/>
      <c r="F2229" s="406"/>
      <c r="G2229" s="851">
        <v>400000</v>
      </c>
      <c r="H2229" s="851">
        <v>0</v>
      </c>
      <c r="I2229" s="324">
        <f t="shared" si="1633"/>
        <v>400000</v>
      </c>
      <c r="J2229" s="851"/>
      <c r="K2229" s="529">
        <v>-400000</v>
      </c>
      <c r="L2229" s="317">
        <f t="shared" si="1625"/>
        <v>0</v>
      </c>
      <c r="M2229" s="317"/>
      <c r="N2229" s="372">
        <f t="shared" si="1628"/>
        <v>400000</v>
      </c>
      <c r="O2229" s="464"/>
      <c r="P2229" s="464"/>
      <c r="R2229" s="317"/>
      <c r="U2229" s="320"/>
    </row>
    <row r="2230" spans="1:21" s="325" customFormat="1" outlineLevel="3">
      <c r="A2230" s="404"/>
      <c r="B2230" s="404"/>
      <c r="C2230" s="888">
        <v>3111101</v>
      </c>
      <c r="D2230" s="901" t="s">
        <v>2096</v>
      </c>
      <c r="E2230" s="851"/>
      <c r="F2230" s="406"/>
      <c r="G2230" s="406">
        <v>18207000</v>
      </c>
      <c r="H2230" s="406"/>
      <c r="I2230" s="324">
        <f t="shared" si="1633"/>
        <v>18207000</v>
      </c>
      <c r="J2230" s="406"/>
      <c r="K2230" s="529">
        <v>-8000000</v>
      </c>
      <c r="L2230" s="317">
        <f t="shared" si="1625"/>
        <v>10207000</v>
      </c>
      <c r="M2230" s="317"/>
      <c r="N2230" s="372">
        <f t="shared" si="1628"/>
        <v>8000000</v>
      </c>
      <c r="O2230" s="464"/>
      <c r="P2230" s="464"/>
      <c r="R2230" s="317"/>
      <c r="U2230" s="320"/>
    </row>
    <row r="2231" spans="1:21" s="325" customFormat="1" outlineLevel="3">
      <c r="A2231" s="404"/>
      <c r="B2231" s="404"/>
      <c r="C2231" s="888">
        <v>3111101</v>
      </c>
      <c r="D2231" s="901" t="s">
        <v>2435</v>
      </c>
      <c r="E2231" s="851"/>
      <c r="F2231" s="406">
        <v>1175040</v>
      </c>
      <c r="G2231" s="406">
        <v>7700000</v>
      </c>
      <c r="H2231" s="406"/>
      <c r="I2231" s="324">
        <f t="shared" si="1633"/>
        <v>8875040</v>
      </c>
      <c r="J2231" s="406"/>
      <c r="K2231" s="902"/>
      <c r="L2231" s="317">
        <f t="shared" si="1625"/>
        <v>8875040</v>
      </c>
      <c r="M2231" s="317"/>
      <c r="N2231" s="372">
        <f t="shared" si="1628"/>
        <v>0</v>
      </c>
      <c r="O2231" s="464"/>
      <c r="P2231" s="464"/>
      <c r="R2231" s="317"/>
      <c r="U2231" s="320"/>
    </row>
    <row r="2232" spans="1:21" s="325" customFormat="1" outlineLevel="3">
      <c r="A2232" s="404"/>
      <c r="B2232" s="404"/>
      <c r="C2232" s="401">
        <v>3111101</v>
      </c>
      <c r="D2232" s="903" t="s">
        <v>2566</v>
      </c>
      <c r="E2232" s="851"/>
      <c r="F2232" s="406"/>
      <c r="G2232" s="406"/>
      <c r="H2232" s="406"/>
      <c r="I2232" s="324"/>
      <c r="J2232" s="406"/>
      <c r="K2232" s="529">
        <f>1300000-1000000</f>
        <v>300000</v>
      </c>
      <c r="L2232" s="317">
        <f t="shared" si="1625"/>
        <v>300000</v>
      </c>
      <c r="M2232" s="317"/>
      <c r="N2232" s="372">
        <f t="shared" si="1628"/>
        <v>-300000</v>
      </c>
      <c r="O2232" s="464"/>
      <c r="P2232" s="464"/>
      <c r="R2232" s="317"/>
      <c r="U2232" s="320"/>
    </row>
    <row r="2233" spans="1:21" s="325" customFormat="1" outlineLevel="3">
      <c r="A2233" s="404"/>
      <c r="B2233" s="404"/>
      <c r="C2233" s="401">
        <v>3111101</v>
      </c>
      <c r="D2233" s="903" t="s">
        <v>2567</v>
      </c>
      <c r="E2233" s="851"/>
      <c r="F2233" s="406"/>
      <c r="G2233" s="406"/>
      <c r="H2233" s="406"/>
      <c r="I2233" s="324"/>
      <c r="J2233" s="406"/>
      <c r="K2233" s="529">
        <f>400000+445000</f>
        <v>845000</v>
      </c>
      <c r="L2233" s="317">
        <f t="shared" si="1625"/>
        <v>845000</v>
      </c>
      <c r="M2233" s="317"/>
      <c r="N2233" s="372">
        <f t="shared" si="1628"/>
        <v>-845000</v>
      </c>
      <c r="O2233" s="464"/>
      <c r="P2233" s="464"/>
      <c r="R2233" s="317"/>
      <c r="U2233" s="320"/>
    </row>
    <row r="2234" spans="1:21" s="325" customFormat="1" outlineLevel="3">
      <c r="A2234" s="404"/>
      <c r="B2234" s="404"/>
      <c r="C2234" s="401">
        <v>3111101</v>
      </c>
      <c r="D2234" s="903" t="s">
        <v>2568</v>
      </c>
      <c r="E2234" s="851"/>
      <c r="F2234" s="406"/>
      <c r="G2234" s="406"/>
      <c r="H2234" s="406"/>
      <c r="I2234" s="324"/>
      <c r="J2234" s="406"/>
      <c r="K2234" s="529">
        <v>1700000</v>
      </c>
      <c r="L2234" s="317">
        <f t="shared" si="1625"/>
        <v>1700000</v>
      </c>
      <c r="M2234" s="317"/>
      <c r="N2234" s="372">
        <f t="shared" si="1628"/>
        <v>-1700000</v>
      </c>
      <c r="O2234" s="464"/>
      <c r="P2234" s="464"/>
      <c r="R2234" s="317"/>
      <c r="U2234" s="320"/>
    </row>
    <row r="2235" spans="1:21" s="325" customFormat="1" outlineLevel="3">
      <c r="A2235" s="404"/>
      <c r="B2235" s="404"/>
      <c r="C2235" s="401">
        <v>3111101</v>
      </c>
      <c r="D2235" s="903" t="s">
        <v>2569</v>
      </c>
      <c r="E2235" s="851"/>
      <c r="F2235" s="406"/>
      <c r="G2235" s="406"/>
      <c r="H2235" s="406"/>
      <c r="I2235" s="324"/>
      <c r="J2235" s="406"/>
      <c r="K2235" s="529">
        <v>500000</v>
      </c>
      <c r="L2235" s="317">
        <f t="shared" si="1625"/>
        <v>500000</v>
      </c>
      <c r="M2235" s="317"/>
      <c r="N2235" s="372">
        <f t="shared" si="1628"/>
        <v>-500000</v>
      </c>
      <c r="O2235" s="464"/>
      <c r="P2235" s="464"/>
      <c r="R2235" s="317"/>
      <c r="U2235" s="320"/>
    </row>
    <row r="2236" spans="1:21" s="325" customFormat="1" outlineLevel="3">
      <c r="A2236" s="404"/>
      <c r="B2236" s="404"/>
      <c r="C2236" s="401">
        <v>3111101</v>
      </c>
      <c r="D2236" s="903" t="s">
        <v>2570</v>
      </c>
      <c r="E2236" s="851"/>
      <c r="F2236" s="406"/>
      <c r="G2236" s="406"/>
      <c r="H2236" s="406"/>
      <c r="I2236" s="324"/>
      <c r="J2236" s="406"/>
      <c r="K2236" s="529">
        <v>2993000</v>
      </c>
      <c r="L2236" s="317">
        <f t="shared" si="1625"/>
        <v>2993000</v>
      </c>
      <c r="M2236" s="317"/>
      <c r="N2236" s="372">
        <f t="shared" si="1628"/>
        <v>-2993000</v>
      </c>
      <c r="O2236" s="464"/>
      <c r="P2236" s="464"/>
      <c r="R2236" s="317"/>
      <c r="U2236" s="320"/>
    </row>
    <row r="2237" spans="1:21" s="325" customFormat="1" outlineLevel="3">
      <c r="A2237" s="404"/>
      <c r="B2237" s="404"/>
      <c r="C2237" s="401">
        <v>3111101</v>
      </c>
      <c r="D2237" s="903" t="s">
        <v>2571</v>
      </c>
      <c r="E2237" s="851"/>
      <c r="F2237" s="406"/>
      <c r="G2237" s="406"/>
      <c r="H2237" s="406"/>
      <c r="I2237" s="324"/>
      <c r="J2237" s="406"/>
      <c r="K2237" s="529">
        <f>1300000+193000+1000000+16000</f>
        <v>2509000</v>
      </c>
      <c r="L2237" s="317">
        <f t="shared" si="1625"/>
        <v>2509000</v>
      </c>
      <c r="M2237" s="317"/>
      <c r="N2237" s="372">
        <f t="shared" si="1628"/>
        <v>-2509000</v>
      </c>
      <c r="O2237" s="464"/>
      <c r="P2237" s="464"/>
      <c r="R2237" s="317"/>
      <c r="U2237" s="320"/>
    </row>
    <row r="2238" spans="1:21" s="325" customFormat="1" outlineLevel="3">
      <c r="A2238" s="404"/>
      <c r="B2238" s="404"/>
      <c r="C2238" s="888">
        <v>2211023</v>
      </c>
      <c r="D2238" s="901" t="s">
        <v>2436</v>
      </c>
      <c r="E2238" s="851"/>
      <c r="F2238" s="406">
        <v>16326684</v>
      </c>
      <c r="G2238" s="406"/>
      <c r="H2238" s="406"/>
      <c r="I2238" s="324">
        <f t="shared" si="1633"/>
        <v>16326684</v>
      </c>
      <c r="J2238" s="406"/>
      <c r="K2238" s="902"/>
      <c r="L2238" s="317">
        <f t="shared" si="1625"/>
        <v>16326684</v>
      </c>
      <c r="M2238" s="317"/>
      <c r="N2238" s="372">
        <f t="shared" si="1628"/>
        <v>0</v>
      </c>
      <c r="O2238" s="464"/>
      <c r="P2238" s="464"/>
      <c r="R2238" s="317"/>
      <c r="U2238" s="320"/>
    </row>
    <row r="2239" spans="1:21" s="325" customFormat="1" outlineLevel="3">
      <c r="A2239" s="404"/>
      <c r="B2239" s="404"/>
      <c r="C2239" s="403">
        <v>3110202</v>
      </c>
      <c r="D2239" s="404" t="s">
        <v>413</v>
      </c>
      <c r="E2239" s="896">
        <f>E2240+E2241+E2242+E2243</f>
        <v>8000000</v>
      </c>
      <c r="F2239" s="896">
        <f t="shared" ref="F2239:K2239" si="1649">F2240+F2241+F2242+F2243</f>
        <v>0</v>
      </c>
      <c r="G2239" s="896">
        <f t="shared" si="1649"/>
        <v>0</v>
      </c>
      <c r="H2239" s="896">
        <f t="shared" si="1649"/>
        <v>1300000</v>
      </c>
      <c r="I2239" s="896">
        <f t="shared" si="1649"/>
        <v>9300000</v>
      </c>
      <c r="J2239" s="896">
        <f t="shared" si="1649"/>
        <v>0</v>
      </c>
      <c r="K2239" s="896">
        <f t="shared" si="1649"/>
        <v>-2793000</v>
      </c>
      <c r="L2239" s="317">
        <f t="shared" si="1625"/>
        <v>6507000</v>
      </c>
      <c r="M2239" s="317"/>
      <c r="N2239" s="372">
        <f t="shared" si="1628"/>
        <v>2793000</v>
      </c>
      <c r="O2239" s="896">
        <f t="shared" ref="O2239:P2239" si="1650">O2240+O2241+O2242+O2243</f>
        <v>7157700.0000000009</v>
      </c>
      <c r="P2239" s="896">
        <f t="shared" si="1650"/>
        <v>7873470.0000000019</v>
      </c>
      <c r="R2239" s="317"/>
      <c r="U2239" s="320"/>
    </row>
    <row r="2240" spans="1:21" s="325" customFormat="1" ht="123" customHeight="1" outlineLevel="3">
      <c r="A2240" s="404"/>
      <c r="B2240" s="404"/>
      <c r="C2240" s="401">
        <v>3110202</v>
      </c>
      <c r="D2240" s="839" t="s">
        <v>1655</v>
      </c>
      <c r="E2240" s="851">
        <f>5000000-1000000</f>
        <v>4000000</v>
      </c>
      <c r="F2240" s="529"/>
      <c r="G2240" s="529"/>
      <c r="H2240" s="529"/>
      <c r="I2240" s="324">
        <f t="shared" si="1633"/>
        <v>4000000</v>
      </c>
      <c r="J2240" s="529"/>
      <c r="K2240" s="529">
        <v>-193000</v>
      </c>
      <c r="L2240" s="317">
        <f t="shared" si="1625"/>
        <v>3807000</v>
      </c>
      <c r="M2240" s="317"/>
      <c r="N2240" s="372">
        <f t="shared" si="1628"/>
        <v>193000</v>
      </c>
      <c r="O2240" s="464">
        <f>L2240*1.1</f>
        <v>4187700.0000000005</v>
      </c>
      <c r="P2240" s="464">
        <f t="shared" ref="P2240:P2242" si="1651">O2240*1.1</f>
        <v>4606470.0000000009</v>
      </c>
      <c r="R2240" s="317"/>
      <c r="U2240" s="320"/>
    </row>
    <row r="2241" spans="1:21" s="325" customFormat="1" outlineLevel="3">
      <c r="A2241" s="404"/>
      <c r="B2241" s="404"/>
      <c r="C2241" s="401">
        <v>3110202</v>
      </c>
      <c r="D2241" s="901" t="s">
        <v>1656</v>
      </c>
      <c r="E2241" s="851">
        <v>1300000</v>
      </c>
      <c r="F2241" s="406"/>
      <c r="G2241" s="406"/>
      <c r="H2241" s="406"/>
      <c r="I2241" s="324">
        <f t="shared" si="1633"/>
        <v>1300000</v>
      </c>
      <c r="J2241" s="406"/>
      <c r="K2241" s="529">
        <v>-1300000</v>
      </c>
      <c r="L2241" s="317">
        <f t="shared" si="1625"/>
        <v>0</v>
      </c>
      <c r="M2241" s="317"/>
      <c r="N2241" s="372">
        <f t="shared" si="1628"/>
        <v>1300000</v>
      </c>
      <c r="O2241" s="464">
        <f>L2241*1.1</f>
        <v>0</v>
      </c>
      <c r="P2241" s="464">
        <f t="shared" si="1651"/>
        <v>0</v>
      </c>
      <c r="R2241" s="317"/>
      <c r="U2241" s="320"/>
    </row>
    <row r="2242" spans="1:21" s="325" customFormat="1" outlineLevel="3">
      <c r="A2242" s="404"/>
      <c r="B2242" s="404"/>
      <c r="C2242" s="401">
        <v>3110202</v>
      </c>
      <c r="D2242" s="901" t="s">
        <v>1657</v>
      </c>
      <c r="E2242" s="851">
        <f>3700000-1000000</f>
        <v>2700000</v>
      </c>
      <c r="F2242" s="406"/>
      <c r="G2242" s="406"/>
      <c r="H2242" s="406"/>
      <c r="I2242" s="324">
        <f t="shared" si="1633"/>
        <v>2700000</v>
      </c>
      <c r="J2242" s="406"/>
      <c r="K2242" s="902"/>
      <c r="L2242" s="317">
        <f t="shared" si="1625"/>
        <v>2700000</v>
      </c>
      <c r="M2242" s="317"/>
      <c r="N2242" s="372">
        <f t="shared" si="1628"/>
        <v>0</v>
      </c>
      <c r="O2242" s="464">
        <f>L2242*1.1</f>
        <v>2970000.0000000005</v>
      </c>
      <c r="P2242" s="464">
        <f t="shared" si="1651"/>
        <v>3267000.0000000009</v>
      </c>
      <c r="R2242" s="317"/>
      <c r="U2242" s="320"/>
    </row>
    <row r="2243" spans="1:21" s="325" customFormat="1" outlineLevel="3">
      <c r="A2243" s="404"/>
      <c r="B2243" s="404"/>
      <c r="C2243" s="401">
        <v>3110302</v>
      </c>
      <c r="D2243" s="901" t="s">
        <v>2103</v>
      </c>
      <c r="E2243" s="851"/>
      <c r="F2243" s="406"/>
      <c r="G2243" s="406"/>
      <c r="H2243" s="851">
        <v>1300000</v>
      </c>
      <c r="I2243" s="324">
        <f t="shared" si="1633"/>
        <v>1300000</v>
      </c>
      <c r="J2243" s="851"/>
      <c r="K2243" s="529">
        <v>-1300000</v>
      </c>
      <c r="L2243" s="317">
        <f t="shared" si="1625"/>
        <v>0</v>
      </c>
      <c r="M2243" s="317"/>
      <c r="N2243" s="372">
        <f t="shared" si="1628"/>
        <v>1300000</v>
      </c>
      <c r="O2243" s="464"/>
      <c r="P2243" s="464"/>
      <c r="R2243" s="317"/>
      <c r="U2243" s="320"/>
    </row>
    <row r="2244" spans="1:21" s="344" customFormat="1" outlineLevel="2">
      <c r="A2244" s="404"/>
      <c r="B2244" s="404"/>
      <c r="C2244" s="403" t="s">
        <v>175</v>
      </c>
      <c r="D2244" s="404"/>
      <c r="E2244" s="438">
        <f>E2239+E2212</f>
        <v>51287168</v>
      </c>
      <c r="F2244" s="438">
        <f t="shared" ref="F2244:K2244" si="1652">F2239+F2212</f>
        <v>17501724</v>
      </c>
      <c r="G2244" s="438">
        <f t="shared" si="1652"/>
        <v>30407000</v>
      </c>
      <c r="H2244" s="438">
        <f t="shared" si="1652"/>
        <v>-3200000</v>
      </c>
      <c r="I2244" s="438">
        <f t="shared" si="1652"/>
        <v>95995892</v>
      </c>
      <c r="J2244" s="438">
        <f t="shared" si="1652"/>
        <v>0</v>
      </c>
      <c r="K2244" s="438">
        <f t="shared" si="1652"/>
        <v>-5900000</v>
      </c>
      <c r="L2244" s="317">
        <f t="shared" si="1625"/>
        <v>90095892</v>
      </c>
      <c r="M2244" s="317"/>
      <c r="N2244" s="372">
        <f t="shared" si="1628"/>
        <v>5900000</v>
      </c>
      <c r="O2244" s="438">
        <f t="shared" ref="O2244:P2244" si="1653">O2239+O2212</f>
        <v>46354184.800000004</v>
      </c>
      <c r="P2244" s="438">
        <f t="shared" si="1653"/>
        <v>50989603.280000001</v>
      </c>
      <c r="R2244" s="317"/>
      <c r="U2244" s="320"/>
    </row>
    <row r="2245" spans="1:21" s="344" customFormat="1" outlineLevel="1">
      <c r="A2245" s="859"/>
      <c r="B2245" s="859"/>
      <c r="C2245" s="829" t="s">
        <v>476</v>
      </c>
      <c r="D2245" s="859"/>
      <c r="E2245" s="666">
        <f>E2244+E2209</f>
        <v>1187232982</v>
      </c>
      <c r="F2245" s="666">
        <f t="shared" ref="F2245:K2245" si="1654">F2244+F2209</f>
        <v>17501724</v>
      </c>
      <c r="G2245" s="666">
        <f t="shared" si="1654"/>
        <v>129371566</v>
      </c>
      <c r="H2245" s="666">
        <f t="shared" si="1654"/>
        <v>-3200000</v>
      </c>
      <c r="I2245" s="666">
        <f t="shared" si="1654"/>
        <v>1330906272</v>
      </c>
      <c r="J2245" s="666">
        <f t="shared" si="1654"/>
        <v>33756694</v>
      </c>
      <c r="K2245" s="666">
        <f t="shared" si="1654"/>
        <v>-8000000</v>
      </c>
      <c r="L2245" s="317">
        <f t="shared" ref="L2245:L2308" si="1655">I2245+J2245+K2245</f>
        <v>1356662966</v>
      </c>
      <c r="M2245" s="317"/>
      <c r="N2245" s="372">
        <f t="shared" si="1628"/>
        <v>8000000</v>
      </c>
      <c r="O2245" s="666">
        <f t="shared" ref="O2245:P2245" si="1656">O2244+O2209</f>
        <v>1382024580.2</v>
      </c>
      <c r="P2245" s="666">
        <f t="shared" si="1656"/>
        <v>1520227038.2200005</v>
      </c>
      <c r="R2245" s="317"/>
      <c r="U2245" s="320"/>
    </row>
    <row r="2246" spans="1:21" s="344" customFormat="1">
      <c r="A2246" s="859"/>
      <c r="B2246" s="859"/>
      <c r="C2246" s="829"/>
      <c r="D2246" s="859" t="s">
        <v>99</v>
      </c>
      <c r="E2246" s="666">
        <f>E2209+E2154+E2005</f>
        <v>3653497432.6692944</v>
      </c>
      <c r="F2246" s="666">
        <f t="shared" ref="F2246:L2246" si="1657">F2209+F2154+F2005</f>
        <v>0</v>
      </c>
      <c r="G2246" s="666">
        <f t="shared" si="1657"/>
        <v>168085006.75816536</v>
      </c>
      <c r="H2246" s="666">
        <f t="shared" si="1657"/>
        <v>1080456</v>
      </c>
      <c r="I2246" s="666">
        <f t="shared" si="1657"/>
        <v>3822662895.4274597</v>
      </c>
      <c r="J2246" s="666">
        <f t="shared" si="1657"/>
        <v>156685365.87</v>
      </c>
      <c r="K2246" s="666">
        <f t="shared" si="1657"/>
        <v>165000</v>
      </c>
      <c r="L2246" s="666">
        <f t="shared" si="1657"/>
        <v>3979513261.2974596</v>
      </c>
      <c r="M2246" s="666"/>
      <c r="N2246" s="372">
        <f t="shared" si="1628"/>
        <v>-165000</v>
      </c>
      <c r="O2246" s="666">
        <f>O2209+O2156+O2005</f>
        <v>2991963418.9355459</v>
      </c>
      <c r="P2246" s="666">
        <f>P2209+P2156+P2005</f>
        <v>3291159760.8291016</v>
      </c>
      <c r="R2246" s="666"/>
      <c r="U2246" s="904"/>
    </row>
    <row r="2247" spans="1:21">
      <c r="A2247" s="859"/>
      <c r="B2247" s="859"/>
      <c r="C2247" s="829"/>
      <c r="D2247" s="859" t="s">
        <v>175</v>
      </c>
      <c r="E2247" s="666">
        <f>E2244+E2006+E2155</f>
        <v>198674729</v>
      </c>
      <c r="F2247" s="666">
        <f t="shared" ref="F2247:L2247" si="1658">F2244+F2006+F2155</f>
        <v>41277805.299999997</v>
      </c>
      <c r="G2247" s="666">
        <f t="shared" si="1658"/>
        <v>220240344.00000185</v>
      </c>
      <c r="H2247" s="666">
        <f t="shared" si="1658"/>
        <v>-34390869</v>
      </c>
      <c r="I2247" s="666">
        <f t="shared" si="1658"/>
        <v>425802009.30000186</v>
      </c>
      <c r="J2247" s="666">
        <f t="shared" si="1658"/>
        <v>-40500000</v>
      </c>
      <c r="K2247" s="666">
        <f t="shared" si="1658"/>
        <v>-165000</v>
      </c>
      <c r="L2247" s="666">
        <f t="shared" si="1658"/>
        <v>385137009.30000186</v>
      </c>
      <c r="M2247" s="666"/>
      <c r="N2247" s="372">
        <f t="shared" si="1628"/>
        <v>165000</v>
      </c>
      <c r="O2247" s="666">
        <f>O2244+O2006+O2070+O2087</f>
        <v>226368023.20000002</v>
      </c>
      <c r="P2247" s="666">
        <f>P2244+P2006+P2070+P2087</f>
        <v>249004825.52000004</v>
      </c>
      <c r="R2247" s="666"/>
      <c r="U2247" s="904"/>
    </row>
    <row r="2248" spans="1:21">
      <c r="A2248" s="859"/>
      <c r="B2248" s="859"/>
      <c r="C2248" s="905" t="s">
        <v>477</v>
      </c>
      <c r="D2248" s="906"/>
      <c r="E2248" s="666">
        <f>E2247+E2246</f>
        <v>3852172161.6692944</v>
      </c>
      <c r="F2248" s="666">
        <f t="shared" ref="F2248:L2248" si="1659">F2247+F2246</f>
        <v>41277805.299999997</v>
      </c>
      <c r="G2248" s="666">
        <f t="shared" si="1659"/>
        <v>388325350.75816721</v>
      </c>
      <c r="H2248" s="666">
        <f t="shared" si="1659"/>
        <v>-33310413</v>
      </c>
      <c r="I2248" s="666">
        <f t="shared" si="1659"/>
        <v>4248464904.7274618</v>
      </c>
      <c r="J2248" s="666">
        <f t="shared" si="1659"/>
        <v>116185365.87</v>
      </c>
      <c r="K2248" s="666">
        <f t="shared" si="1659"/>
        <v>0</v>
      </c>
      <c r="L2248" s="666">
        <f t="shared" si="1659"/>
        <v>4364650270.5974617</v>
      </c>
      <c r="M2248" s="666"/>
      <c r="N2248" s="372">
        <f t="shared" si="1628"/>
        <v>0</v>
      </c>
      <c r="O2248" s="666">
        <f t="shared" ref="O2248:P2248" si="1660">O2247+O2246</f>
        <v>3218331442.1355457</v>
      </c>
      <c r="P2248" s="666">
        <f t="shared" si="1660"/>
        <v>3540164586.3491015</v>
      </c>
      <c r="Q2248" s="577">
        <f>100000000+J2248-'WRONG&gt;&gt;&gt;Revenue Projections'!E23-'WRONG&gt;&gt;&gt;Revenue Projections'!E22</f>
        <v>156379117</v>
      </c>
      <c r="R2248" s="666"/>
      <c r="U2248" s="904" t="s">
        <v>1803</v>
      </c>
    </row>
    <row r="2249" spans="1:21" s="344" customFormat="1">
      <c r="A2249" s="907"/>
      <c r="B2249" s="907"/>
      <c r="C2249" s="332"/>
      <c r="D2249" s="908"/>
      <c r="E2249" s="790"/>
      <c r="F2249" s="389"/>
      <c r="G2249" s="389"/>
      <c r="H2249" s="389"/>
      <c r="I2249" s="324">
        <f t="shared" si="1633"/>
        <v>0</v>
      </c>
      <c r="J2249" s="389"/>
      <c r="K2249" s="529"/>
      <c r="L2249" s="317"/>
      <c r="M2249" s="317"/>
      <c r="N2249" s="372">
        <f t="shared" ref="N2249:N2312" si="1661">M2249-K2249</f>
        <v>0</v>
      </c>
      <c r="O2249" s="319"/>
      <c r="P2249" s="319"/>
      <c r="R2249" s="317"/>
      <c r="U2249" s="320"/>
    </row>
    <row r="2250" spans="1:21" s="344" customFormat="1">
      <c r="A2250" s="658"/>
      <c r="B2250" s="658"/>
      <c r="C2250" s="659"/>
      <c r="D2250" s="909"/>
      <c r="E2250" s="660"/>
      <c r="F2250" s="661"/>
      <c r="G2250" s="661"/>
      <c r="H2250" s="661"/>
      <c r="I2250" s="324">
        <f t="shared" si="1633"/>
        <v>0</v>
      </c>
      <c r="J2250" s="661"/>
      <c r="K2250" s="661"/>
      <c r="L2250" s="317"/>
      <c r="M2250" s="317"/>
      <c r="N2250" s="372">
        <f t="shared" si="1661"/>
        <v>0</v>
      </c>
      <c r="O2250" s="319"/>
      <c r="P2250" s="319"/>
      <c r="R2250" s="317"/>
      <c r="U2250" s="320"/>
    </row>
    <row r="2251" spans="1:21" s="344" customFormat="1">
      <c r="A2251" s="345"/>
      <c r="B2251" s="345"/>
      <c r="C2251" s="314" t="s">
        <v>1254</v>
      </c>
      <c r="D2251" s="326"/>
      <c r="E2251" s="910"/>
      <c r="F2251" s="461"/>
      <c r="G2251" s="461"/>
      <c r="H2251" s="461"/>
      <c r="I2251" s="324">
        <f t="shared" si="1633"/>
        <v>0</v>
      </c>
      <c r="J2251" s="461"/>
      <c r="K2251" s="461"/>
      <c r="L2251" s="317"/>
      <c r="M2251" s="2210"/>
      <c r="N2251" s="372">
        <f t="shared" si="1661"/>
        <v>0</v>
      </c>
      <c r="O2251" s="318"/>
      <c r="P2251" s="319"/>
      <c r="R2251" s="317"/>
      <c r="U2251" s="320" t="s">
        <v>1803</v>
      </c>
    </row>
    <row r="2252" spans="1:21" s="344" customFormat="1" outlineLevel="1">
      <c r="A2252" s="506"/>
      <c r="B2252" s="506"/>
      <c r="C2252" s="322" t="s">
        <v>478</v>
      </c>
      <c r="D2252" s="493"/>
      <c r="E2252" s="911"/>
      <c r="F2252" s="858"/>
      <c r="G2252" s="858"/>
      <c r="H2252" s="858"/>
      <c r="I2252" s="324">
        <f t="shared" si="1633"/>
        <v>0</v>
      </c>
      <c r="J2252" s="858"/>
      <c r="K2252" s="858"/>
      <c r="L2252" s="317">
        <f t="shared" si="1655"/>
        <v>0</v>
      </c>
      <c r="M2252" s="317"/>
      <c r="N2252" s="372">
        <f t="shared" si="1661"/>
        <v>0</v>
      </c>
      <c r="O2252" s="319">
        <f>L2252*1.1</f>
        <v>0</v>
      </c>
      <c r="P2252" s="319">
        <f t="shared" ref="P2252:P2272" si="1662">O2252*1.1</f>
        <v>0</v>
      </c>
      <c r="R2252" s="317"/>
      <c r="U2252" s="320"/>
    </row>
    <row r="2253" spans="1:21" s="344" customFormat="1" outlineLevel="2">
      <c r="A2253" s="345"/>
      <c r="B2253" s="345"/>
      <c r="C2253" s="328">
        <v>2110100</v>
      </c>
      <c r="D2253" s="326" t="s">
        <v>13</v>
      </c>
      <c r="E2253" s="912">
        <f>E2254+0</f>
        <v>85147508</v>
      </c>
      <c r="F2253" s="912">
        <f t="shared" ref="F2253:K2253" si="1663">F2254+0</f>
        <v>0</v>
      </c>
      <c r="G2253" s="912">
        <f t="shared" si="1663"/>
        <v>0</v>
      </c>
      <c r="H2253" s="912">
        <f t="shared" si="1663"/>
        <v>0</v>
      </c>
      <c r="I2253" s="912">
        <f t="shared" si="1663"/>
        <v>85147508</v>
      </c>
      <c r="J2253" s="912">
        <f t="shared" si="1663"/>
        <v>0</v>
      </c>
      <c r="K2253" s="912">
        <f t="shared" si="1663"/>
        <v>0</v>
      </c>
      <c r="L2253" s="317">
        <f t="shared" si="1655"/>
        <v>85147508</v>
      </c>
      <c r="M2253" s="317"/>
      <c r="N2253" s="372">
        <f t="shared" si="1661"/>
        <v>0</v>
      </c>
      <c r="O2253" s="912">
        <f t="shared" ref="O2253:P2253" si="1664">O2254+0</f>
        <v>93662258.800000012</v>
      </c>
      <c r="P2253" s="912">
        <f t="shared" si="1664"/>
        <v>103028484.68000002</v>
      </c>
      <c r="R2253" s="317"/>
      <c r="U2253" s="320"/>
    </row>
    <row r="2254" spans="1:21" s="344" customFormat="1" outlineLevel="2">
      <c r="A2254" s="345"/>
      <c r="B2254" s="345"/>
      <c r="C2254" s="405">
        <v>2110101</v>
      </c>
      <c r="D2254" s="345" t="s">
        <v>479</v>
      </c>
      <c r="E2254" s="913">
        <v>85147508</v>
      </c>
      <c r="F2254" s="406"/>
      <c r="G2254" s="406"/>
      <c r="H2254" s="406"/>
      <c r="I2254" s="324">
        <f t="shared" si="1633"/>
        <v>85147508</v>
      </c>
      <c r="J2254" s="406"/>
      <c r="K2254" s="914"/>
      <c r="L2254" s="317">
        <f t="shared" si="1655"/>
        <v>85147508</v>
      </c>
      <c r="M2254" s="317"/>
      <c r="N2254" s="372">
        <f t="shared" si="1661"/>
        <v>0</v>
      </c>
      <c r="O2254" s="336">
        <f>L2254*1.1</f>
        <v>93662258.800000012</v>
      </c>
      <c r="P2254" s="336">
        <f t="shared" si="1662"/>
        <v>103028484.68000002</v>
      </c>
      <c r="R2254" s="317"/>
      <c r="U2254" s="320"/>
    </row>
    <row r="2255" spans="1:21" s="344" customFormat="1" outlineLevel="2">
      <c r="A2255" s="345"/>
      <c r="B2255" s="345"/>
      <c r="C2255" s="328">
        <v>2210100</v>
      </c>
      <c r="D2255" s="326" t="s">
        <v>16</v>
      </c>
      <c r="E2255" s="912">
        <f>E2256+E2257</f>
        <v>1029300</v>
      </c>
      <c r="F2255" s="912">
        <f t="shared" ref="F2255:K2255" si="1665">F2256+F2257</f>
        <v>0</v>
      </c>
      <c r="G2255" s="912">
        <f t="shared" si="1665"/>
        <v>0</v>
      </c>
      <c r="H2255" s="912">
        <f t="shared" si="1665"/>
        <v>0</v>
      </c>
      <c r="I2255" s="912">
        <f t="shared" si="1665"/>
        <v>1029300</v>
      </c>
      <c r="J2255" s="912">
        <f t="shared" si="1665"/>
        <v>0</v>
      </c>
      <c r="K2255" s="912">
        <f t="shared" si="1665"/>
        <v>-534528</v>
      </c>
      <c r="L2255" s="317">
        <f t="shared" si="1655"/>
        <v>494772</v>
      </c>
      <c r="M2255" s="317"/>
      <c r="N2255" s="372">
        <f t="shared" si="1661"/>
        <v>534528</v>
      </c>
      <c r="O2255" s="912">
        <f t="shared" ref="O2255:P2255" si="1666">O2256+O2257</f>
        <v>544249.20000000007</v>
      </c>
      <c r="P2255" s="912">
        <f t="shared" si="1666"/>
        <v>598674.12000000011</v>
      </c>
      <c r="R2255" s="317"/>
      <c r="U2255" s="320"/>
    </row>
    <row r="2256" spans="1:21" s="344" customFormat="1" outlineLevel="2">
      <c r="A2256" s="345"/>
      <c r="B2256" s="345"/>
      <c r="C2256" s="405">
        <v>2210101</v>
      </c>
      <c r="D2256" s="345" t="s">
        <v>481</v>
      </c>
      <c r="E2256" s="913">
        <v>941300</v>
      </c>
      <c r="F2256" s="406"/>
      <c r="G2256" s="406"/>
      <c r="H2256" s="406"/>
      <c r="I2256" s="324">
        <f t="shared" si="1633"/>
        <v>941300</v>
      </c>
      <c r="J2256" s="406"/>
      <c r="K2256" s="914">
        <v>-534528</v>
      </c>
      <c r="L2256" s="317">
        <f t="shared" si="1655"/>
        <v>406772</v>
      </c>
      <c r="M2256" s="317"/>
      <c r="N2256" s="372">
        <f t="shared" si="1661"/>
        <v>534528</v>
      </c>
      <c r="O2256" s="336">
        <f>L2256*1.1</f>
        <v>447449.2</v>
      </c>
      <c r="P2256" s="336">
        <f t="shared" si="1662"/>
        <v>492194.12000000005</v>
      </c>
      <c r="R2256" s="317"/>
      <c r="U2256" s="320"/>
    </row>
    <row r="2257" spans="1:21" s="344" customFormat="1" outlineLevel="2">
      <c r="A2257" s="345"/>
      <c r="B2257" s="345"/>
      <c r="C2257" s="405">
        <v>2210103</v>
      </c>
      <c r="D2257" s="345" t="s">
        <v>482</v>
      </c>
      <c r="E2257" s="913">
        <v>88000</v>
      </c>
      <c r="F2257" s="406"/>
      <c r="G2257" s="406"/>
      <c r="H2257" s="406"/>
      <c r="I2257" s="324">
        <f t="shared" si="1633"/>
        <v>88000</v>
      </c>
      <c r="J2257" s="406"/>
      <c r="K2257" s="914"/>
      <c r="L2257" s="317">
        <f t="shared" si="1655"/>
        <v>88000</v>
      </c>
      <c r="M2257" s="317"/>
      <c r="N2257" s="372">
        <f t="shared" si="1661"/>
        <v>0</v>
      </c>
      <c r="O2257" s="336">
        <f>L2257*1.1</f>
        <v>96800.000000000015</v>
      </c>
      <c r="P2257" s="336">
        <f t="shared" si="1662"/>
        <v>106480.00000000003</v>
      </c>
      <c r="R2257" s="317"/>
      <c r="U2257" s="320"/>
    </row>
    <row r="2258" spans="1:21" s="344" customFormat="1" outlineLevel="2">
      <c r="A2258" s="345"/>
      <c r="B2258" s="345"/>
      <c r="C2258" s="328">
        <v>2210200</v>
      </c>
      <c r="D2258" s="326" t="s">
        <v>20</v>
      </c>
      <c r="E2258" s="912">
        <f>E2259+E2260+E2261+E2262</f>
        <v>1538420</v>
      </c>
      <c r="F2258" s="912">
        <f t="shared" ref="F2258:P2258" si="1667">F2259+F2260+F2261+F2262</f>
        <v>309000</v>
      </c>
      <c r="G2258" s="912">
        <f t="shared" si="1667"/>
        <v>0</v>
      </c>
      <c r="H2258" s="912">
        <f t="shared" si="1667"/>
        <v>0</v>
      </c>
      <c r="I2258" s="912">
        <f t="shared" si="1667"/>
        <v>1847420</v>
      </c>
      <c r="J2258" s="912">
        <f t="shared" si="1667"/>
        <v>0</v>
      </c>
      <c r="K2258" s="912">
        <f t="shared" si="1667"/>
        <v>0</v>
      </c>
      <c r="L2258" s="317">
        <f t="shared" si="1655"/>
        <v>1847420</v>
      </c>
      <c r="M2258" s="317"/>
      <c r="N2258" s="372">
        <f t="shared" si="1661"/>
        <v>0</v>
      </c>
      <c r="O2258" s="912">
        <f t="shared" si="1667"/>
        <v>2032162.0000000002</v>
      </c>
      <c r="P2258" s="912">
        <f t="shared" si="1667"/>
        <v>2235378.2000000002</v>
      </c>
      <c r="R2258" s="317"/>
      <c r="U2258" s="320"/>
    </row>
    <row r="2259" spans="1:21" s="344" customFormat="1" outlineLevel="2">
      <c r="A2259" s="345"/>
      <c r="B2259" s="345"/>
      <c r="C2259" s="405">
        <v>2210201</v>
      </c>
      <c r="D2259" s="345" t="s">
        <v>21</v>
      </c>
      <c r="E2259" s="913">
        <v>541420</v>
      </c>
      <c r="F2259" s="406">
        <v>309000</v>
      </c>
      <c r="G2259" s="406"/>
      <c r="H2259" s="406"/>
      <c r="I2259" s="324">
        <f t="shared" si="1633"/>
        <v>850420</v>
      </c>
      <c r="J2259" s="406"/>
      <c r="K2259" s="914"/>
      <c r="L2259" s="317">
        <f t="shared" si="1655"/>
        <v>850420</v>
      </c>
      <c r="M2259" s="317"/>
      <c r="N2259" s="372">
        <f t="shared" si="1661"/>
        <v>0</v>
      </c>
      <c r="O2259" s="336">
        <f t="shared" ref="O2259:O2260" si="1668">L2259*1.1</f>
        <v>935462.00000000012</v>
      </c>
      <c r="P2259" s="336">
        <f t="shared" ref="P2259:P2260" si="1669">O2259*1.1</f>
        <v>1029008.2000000002</v>
      </c>
      <c r="R2259" s="317"/>
      <c r="U2259" s="320"/>
    </row>
    <row r="2260" spans="1:21" s="344" customFormat="1" outlineLevel="2">
      <c r="A2260" s="345"/>
      <c r="B2260" s="345"/>
      <c r="C2260" s="708">
        <v>2210202</v>
      </c>
      <c r="D2260" s="709" t="s">
        <v>1413</v>
      </c>
      <c r="E2260" s="913">
        <v>432200</v>
      </c>
      <c r="F2260" s="334"/>
      <c r="G2260" s="334"/>
      <c r="H2260" s="334"/>
      <c r="I2260" s="324">
        <f t="shared" ref="I2260:I2323" si="1670">E2260+F2260+G2260+H2260</f>
        <v>432200</v>
      </c>
      <c r="J2260" s="334"/>
      <c r="K2260" s="914"/>
      <c r="L2260" s="317">
        <f t="shared" si="1655"/>
        <v>432200</v>
      </c>
      <c r="M2260" s="317"/>
      <c r="N2260" s="372">
        <f t="shared" si="1661"/>
        <v>0</v>
      </c>
      <c r="O2260" s="336">
        <f t="shared" si="1668"/>
        <v>475420.00000000006</v>
      </c>
      <c r="P2260" s="336">
        <f t="shared" si="1669"/>
        <v>522962.00000000012</v>
      </c>
      <c r="R2260" s="317"/>
      <c r="U2260" s="320"/>
    </row>
    <row r="2261" spans="1:21" s="344" customFormat="1" outlineLevel="2">
      <c r="A2261" s="345"/>
      <c r="B2261" s="345"/>
      <c r="C2261" s="405">
        <v>2210203</v>
      </c>
      <c r="D2261" s="345" t="s">
        <v>23</v>
      </c>
      <c r="E2261" s="913">
        <v>14800</v>
      </c>
      <c r="F2261" s="406"/>
      <c r="G2261" s="406"/>
      <c r="H2261" s="406"/>
      <c r="I2261" s="324">
        <f t="shared" si="1670"/>
        <v>14800</v>
      </c>
      <c r="J2261" s="406"/>
      <c r="K2261" s="914"/>
      <c r="L2261" s="317">
        <f t="shared" si="1655"/>
        <v>14800</v>
      </c>
      <c r="M2261" s="317"/>
      <c r="N2261" s="372">
        <f t="shared" si="1661"/>
        <v>0</v>
      </c>
      <c r="O2261" s="336">
        <f>L2261*1.1</f>
        <v>16280.000000000002</v>
      </c>
      <c r="P2261" s="336">
        <f t="shared" si="1662"/>
        <v>17908.000000000004</v>
      </c>
      <c r="R2261" s="317"/>
      <c r="U2261" s="320"/>
    </row>
    <row r="2262" spans="1:21" s="344" customFormat="1" outlineLevel="2">
      <c r="A2262" s="345"/>
      <c r="B2262" s="345"/>
      <c r="C2262" s="405">
        <v>2210299</v>
      </c>
      <c r="D2262" s="345" t="s">
        <v>1414</v>
      </c>
      <c r="E2262" s="913">
        <v>550000</v>
      </c>
      <c r="F2262" s="406"/>
      <c r="G2262" s="406"/>
      <c r="H2262" s="406"/>
      <c r="I2262" s="324">
        <f t="shared" si="1670"/>
        <v>550000</v>
      </c>
      <c r="J2262" s="406"/>
      <c r="K2262" s="914"/>
      <c r="L2262" s="317">
        <f t="shared" si="1655"/>
        <v>550000</v>
      </c>
      <c r="M2262" s="317"/>
      <c r="N2262" s="372">
        <f t="shared" si="1661"/>
        <v>0</v>
      </c>
      <c r="O2262" s="336">
        <f>L2262*1.1</f>
        <v>605000</v>
      </c>
      <c r="P2262" s="336">
        <f t="shared" si="1662"/>
        <v>665500</v>
      </c>
      <c r="R2262" s="317"/>
      <c r="U2262" s="320"/>
    </row>
    <row r="2263" spans="1:21" s="344" customFormat="1" outlineLevel="2">
      <c r="A2263" s="345"/>
      <c r="B2263" s="345"/>
      <c r="C2263" s="328">
        <v>2210300</v>
      </c>
      <c r="D2263" s="326" t="s">
        <v>24</v>
      </c>
      <c r="E2263" s="912">
        <f>E2264+E2265+E2266+E2267+E2268</f>
        <v>1744410</v>
      </c>
      <c r="F2263" s="912">
        <f t="shared" ref="F2263:P2263" si="1671">F2264+F2265+F2266+F2267+F2268</f>
        <v>536000</v>
      </c>
      <c r="G2263" s="912">
        <f t="shared" si="1671"/>
        <v>0</v>
      </c>
      <c r="H2263" s="912">
        <f t="shared" si="1671"/>
        <v>-185212</v>
      </c>
      <c r="I2263" s="912">
        <f t="shared" si="1671"/>
        <v>2095198</v>
      </c>
      <c r="J2263" s="912">
        <f t="shared" si="1671"/>
        <v>0</v>
      </c>
      <c r="K2263" s="912">
        <f t="shared" si="1671"/>
        <v>2088235</v>
      </c>
      <c r="L2263" s="317">
        <f t="shared" si="1655"/>
        <v>4183433</v>
      </c>
      <c r="M2263" s="317"/>
      <c r="N2263" s="372">
        <f t="shared" si="1661"/>
        <v>-2088235</v>
      </c>
      <c r="O2263" s="912">
        <f t="shared" si="1671"/>
        <v>4601776.3000000007</v>
      </c>
      <c r="P2263" s="912">
        <f t="shared" si="1671"/>
        <v>5061953.9300000016</v>
      </c>
      <c r="R2263" s="317"/>
      <c r="U2263" s="320"/>
    </row>
    <row r="2264" spans="1:21" s="344" customFormat="1" outlineLevel="2">
      <c r="A2264" s="345"/>
      <c r="B2264" s="345"/>
      <c r="C2264" s="405">
        <v>2210301</v>
      </c>
      <c r="D2264" s="345" t="s">
        <v>25</v>
      </c>
      <c r="E2264" s="913">
        <f>667350-200000</f>
        <v>467350</v>
      </c>
      <c r="F2264" s="406"/>
      <c r="G2264" s="406"/>
      <c r="H2264" s="406"/>
      <c r="I2264" s="324">
        <f t="shared" si="1670"/>
        <v>467350</v>
      </c>
      <c r="J2264" s="406"/>
      <c r="K2264" s="915">
        <v>1373235</v>
      </c>
      <c r="L2264" s="317">
        <f t="shared" si="1655"/>
        <v>1840585</v>
      </c>
      <c r="M2264" s="317"/>
      <c r="N2264" s="372">
        <f t="shared" si="1661"/>
        <v>-1373235</v>
      </c>
      <c r="O2264" s="336">
        <f>L2264*1.1</f>
        <v>2024643.5000000002</v>
      </c>
      <c r="P2264" s="336">
        <f t="shared" si="1662"/>
        <v>2227107.8500000006</v>
      </c>
      <c r="R2264" s="317"/>
      <c r="U2264" s="320"/>
    </row>
    <row r="2265" spans="1:21" s="344" customFormat="1" outlineLevel="2">
      <c r="A2265" s="345"/>
      <c r="B2265" s="345"/>
      <c r="C2265" s="405">
        <v>2210302</v>
      </c>
      <c r="D2265" s="345" t="s">
        <v>26</v>
      </c>
      <c r="E2265" s="913">
        <f>670900-100000</f>
        <v>570900</v>
      </c>
      <c r="F2265" s="913">
        <v>536000</v>
      </c>
      <c r="G2265" s="913"/>
      <c r="H2265" s="913">
        <v>-185212</v>
      </c>
      <c r="I2265" s="324">
        <f t="shared" si="1670"/>
        <v>921688</v>
      </c>
      <c r="J2265" s="913"/>
      <c r="K2265" s="914">
        <v>300000</v>
      </c>
      <c r="L2265" s="317">
        <f t="shared" si="1655"/>
        <v>1221688</v>
      </c>
      <c r="M2265" s="317"/>
      <c r="N2265" s="372">
        <f t="shared" si="1661"/>
        <v>-300000</v>
      </c>
      <c r="O2265" s="336">
        <f>L2265*1.1</f>
        <v>1343856.8</v>
      </c>
      <c r="P2265" s="336">
        <f t="shared" si="1662"/>
        <v>1478242.4800000002</v>
      </c>
      <c r="R2265" s="317"/>
      <c r="U2265" s="320"/>
    </row>
    <row r="2266" spans="1:21" s="344" customFormat="1" outlineLevel="2">
      <c r="A2266" s="345"/>
      <c r="B2266" s="345"/>
      <c r="C2266" s="405">
        <v>2210303</v>
      </c>
      <c r="D2266" s="345" t="s">
        <v>27</v>
      </c>
      <c r="E2266" s="913">
        <f>768720-100000</f>
        <v>668720</v>
      </c>
      <c r="F2266" s="406"/>
      <c r="G2266" s="406"/>
      <c r="H2266" s="406"/>
      <c r="I2266" s="324">
        <f t="shared" si="1670"/>
        <v>668720</v>
      </c>
      <c r="J2266" s="406"/>
      <c r="K2266" s="914">
        <v>415000</v>
      </c>
      <c r="L2266" s="317">
        <f t="shared" si="1655"/>
        <v>1083720</v>
      </c>
      <c r="M2266" s="317"/>
      <c r="N2266" s="372">
        <f t="shared" si="1661"/>
        <v>-415000</v>
      </c>
      <c r="O2266" s="336">
        <f>L2266*1.1</f>
        <v>1192092</v>
      </c>
      <c r="P2266" s="336">
        <f t="shared" si="1662"/>
        <v>1311301.2000000002</v>
      </c>
      <c r="R2266" s="317"/>
      <c r="U2266" s="320"/>
    </row>
    <row r="2267" spans="1:21" s="344" customFormat="1" outlineLevel="2">
      <c r="A2267" s="345"/>
      <c r="B2267" s="345"/>
      <c r="C2267" s="405">
        <v>2210304</v>
      </c>
      <c r="D2267" s="345" t="s">
        <v>28</v>
      </c>
      <c r="E2267" s="913">
        <v>10640</v>
      </c>
      <c r="F2267" s="406"/>
      <c r="G2267" s="406"/>
      <c r="H2267" s="406"/>
      <c r="I2267" s="324">
        <f t="shared" si="1670"/>
        <v>10640</v>
      </c>
      <c r="J2267" s="406"/>
      <c r="K2267" s="914"/>
      <c r="L2267" s="317">
        <f t="shared" si="1655"/>
        <v>10640</v>
      </c>
      <c r="M2267" s="317"/>
      <c r="N2267" s="372">
        <f t="shared" si="1661"/>
        <v>0</v>
      </c>
      <c r="O2267" s="336">
        <f>L2267*1.1</f>
        <v>11704.000000000002</v>
      </c>
      <c r="P2267" s="336">
        <f t="shared" si="1662"/>
        <v>12874.400000000003</v>
      </c>
      <c r="R2267" s="317"/>
      <c r="U2267" s="320"/>
    </row>
    <row r="2268" spans="1:21" s="344" customFormat="1" outlineLevel="2">
      <c r="A2268" s="345"/>
      <c r="B2268" s="345"/>
      <c r="C2268" s="405">
        <v>2210307</v>
      </c>
      <c r="D2268" s="345" t="s">
        <v>483</v>
      </c>
      <c r="E2268" s="913">
        <v>26800</v>
      </c>
      <c r="F2268" s="406"/>
      <c r="G2268" s="406"/>
      <c r="H2268" s="406"/>
      <c r="I2268" s="324">
        <f t="shared" si="1670"/>
        <v>26800</v>
      </c>
      <c r="J2268" s="406"/>
      <c r="K2268" s="914"/>
      <c r="L2268" s="317">
        <f t="shared" si="1655"/>
        <v>26800</v>
      </c>
      <c r="M2268" s="317"/>
      <c r="N2268" s="372">
        <f t="shared" si="1661"/>
        <v>0</v>
      </c>
      <c r="O2268" s="336">
        <f>L2268*1.1</f>
        <v>29480.000000000004</v>
      </c>
      <c r="P2268" s="336">
        <f t="shared" si="1662"/>
        <v>32428.000000000007</v>
      </c>
      <c r="R2268" s="317"/>
      <c r="U2268" s="320"/>
    </row>
    <row r="2269" spans="1:21" s="344" customFormat="1" outlineLevel="2">
      <c r="A2269" s="345"/>
      <c r="B2269" s="345"/>
      <c r="C2269" s="328">
        <v>2210400</v>
      </c>
      <c r="D2269" s="326" t="s">
        <v>484</v>
      </c>
      <c r="E2269" s="912">
        <f>E2270+E2271+E2272+E2273</f>
        <v>1252516</v>
      </c>
      <c r="F2269" s="912">
        <f t="shared" ref="F2269:K2269" si="1672">F2270+F2271+F2272+F2273</f>
        <v>0</v>
      </c>
      <c r="G2269" s="912">
        <f t="shared" si="1672"/>
        <v>0</v>
      </c>
      <c r="H2269" s="912">
        <f t="shared" si="1672"/>
        <v>0</v>
      </c>
      <c r="I2269" s="912">
        <f t="shared" si="1672"/>
        <v>1252516</v>
      </c>
      <c r="J2269" s="912">
        <f t="shared" si="1672"/>
        <v>0</v>
      </c>
      <c r="K2269" s="912">
        <f t="shared" si="1672"/>
        <v>-715000</v>
      </c>
      <c r="L2269" s="317">
        <f t="shared" si="1655"/>
        <v>537516</v>
      </c>
      <c r="M2269" s="317"/>
      <c r="N2269" s="372">
        <f t="shared" si="1661"/>
        <v>715000</v>
      </c>
      <c r="O2269" s="912">
        <f t="shared" ref="O2269:P2269" si="1673">O2270+O2271+O2272+O2273</f>
        <v>591267.60000000009</v>
      </c>
      <c r="P2269" s="912">
        <f t="shared" si="1673"/>
        <v>650394.3600000001</v>
      </c>
      <c r="R2269" s="317"/>
      <c r="U2269" s="320"/>
    </row>
    <row r="2270" spans="1:21" s="344" customFormat="1" outlineLevel="2">
      <c r="A2270" s="345"/>
      <c r="B2270" s="345"/>
      <c r="C2270" s="405">
        <v>2210401</v>
      </c>
      <c r="D2270" s="345" t="s">
        <v>25</v>
      </c>
      <c r="E2270" s="913">
        <f>460400-100000</f>
        <v>360400</v>
      </c>
      <c r="F2270" s="406"/>
      <c r="G2270" s="406"/>
      <c r="H2270" s="406"/>
      <c r="I2270" s="324">
        <f t="shared" si="1670"/>
        <v>360400</v>
      </c>
      <c r="J2270" s="406"/>
      <c r="K2270" s="915">
        <v>-275000</v>
      </c>
      <c r="L2270" s="317">
        <f t="shared" si="1655"/>
        <v>85400</v>
      </c>
      <c r="M2270" s="317"/>
      <c r="N2270" s="372">
        <f t="shared" si="1661"/>
        <v>275000</v>
      </c>
      <c r="O2270" s="336">
        <f>L2270*1.1</f>
        <v>93940.000000000015</v>
      </c>
      <c r="P2270" s="336">
        <f t="shared" si="1662"/>
        <v>103334.00000000003</v>
      </c>
      <c r="R2270" s="317"/>
      <c r="U2270" s="320"/>
    </row>
    <row r="2271" spans="1:21" s="344" customFormat="1" outlineLevel="2">
      <c r="A2271" s="345"/>
      <c r="B2271" s="345"/>
      <c r="C2271" s="405">
        <v>2210402</v>
      </c>
      <c r="D2271" s="345" t="s">
        <v>485</v>
      </c>
      <c r="E2271" s="913">
        <v>240700</v>
      </c>
      <c r="F2271" s="406"/>
      <c r="G2271" s="406"/>
      <c r="H2271" s="406"/>
      <c r="I2271" s="324">
        <f t="shared" si="1670"/>
        <v>240700</v>
      </c>
      <c r="J2271" s="406"/>
      <c r="K2271" s="915">
        <v>-240000</v>
      </c>
      <c r="L2271" s="317">
        <f t="shared" si="1655"/>
        <v>700</v>
      </c>
      <c r="M2271" s="317"/>
      <c r="N2271" s="372">
        <f t="shared" si="1661"/>
        <v>240000</v>
      </c>
      <c r="O2271" s="336">
        <f t="shared" ref="O2271" si="1674">L2271*1.1</f>
        <v>770.00000000000011</v>
      </c>
      <c r="P2271" s="336">
        <f t="shared" ref="P2271" si="1675">O2271*1.1</f>
        <v>847.00000000000023</v>
      </c>
      <c r="R2271" s="317"/>
      <c r="U2271" s="320"/>
    </row>
    <row r="2272" spans="1:21" s="344" customFormat="1" outlineLevel="2">
      <c r="A2272" s="345"/>
      <c r="B2272" s="345"/>
      <c r="C2272" s="405">
        <v>2210403</v>
      </c>
      <c r="D2272" s="345" t="s">
        <v>27</v>
      </c>
      <c r="E2272" s="913">
        <v>640616</v>
      </c>
      <c r="F2272" s="406"/>
      <c r="G2272" s="406"/>
      <c r="H2272" s="406"/>
      <c r="I2272" s="324">
        <f t="shared" si="1670"/>
        <v>640616</v>
      </c>
      <c r="J2272" s="406"/>
      <c r="K2272" s="915">
        <v>-200000</v>
      </c>
      <c r="L2272" s="317">
        <f t="shared" si="1655"/>
        <v>440616</v>
      </c>
      <c r="M2272" s="317"/>
      <c r="N2272" s="372">
        <f t="shared" si="1661"/>
        <v>200000</v>
      </c>
      <c r="O2272" s="336">
        <f>L2272*1.1</f>
        <v>484677.60000000003</v>
      </c>
      <c r="P2272" s="336">
        <f t="shared" si="1662"/>
        <v>533145.3600000001</v>
      </c>
      <c r="R2272" s="317"/>
      <c r="U2272" s="320"/>
    </row>
    <row r="2273" spans="1:21" s="344" customFormat="1" outlineLevel="2">
      <c r="A2273" s="345"/>
      <c r="B2273" s="345"/>
      <c r="C2273" s="405">
        <v>2210404</v>
      </c>
      <c r="D2273" s="345" t="s">
        <v>486</v>
      </c>
      <c r="E2273" s="913">
        <v>10800</v>
      </c>
      <c r="F2273" s="406"/>
      <c r="G2273" s="406"/>
      <c r="H2273" s="406"/>
      <c r="I2273" s="324">
        <f t="shared" si="1670"/>
        <v>10800</v>
      </c>
      <c r="J2273" s="406"/>
      <c r="K2273" s="914"/>
      <c r="L2273" s="317">
        <f t="shared" si="1655"/>
        <v>10800</v>
      </c>
      <c r="M2273" s="317"/>
      <c r="N2273" s="372">
        <f t="shared" si="1661"/>
        <v>0</v>
      </c>
      <c r="O2273" s="336">
        <f>L2273*1.1</f>
        <v>11880.000000000002</v>
      </c>
      <c r="P2273" s="336">
        <f t="shared" ref="P2273:P2291" si="1676">O2273*1.1</f>
        <v>13068.000000000004</v>
      </c>
      <c r="R2273" s="317"/>
      <c r="U2273" s="320"/>
    </row>
    <row r="2274" spans="1:21" s="344" customFormat="1" outlineLevel="2">
      <c r="A2274" s="345"/>
      <c r="B2274" s="345"/>
      <c r="C2274" s="328">
        <v>2210500</v>
      </c>
      <c r="D2274" s="326" t="s">
        <v>31</v>
      </c>
      <c r="E2274" s="912">
        <f>E2275+E2276+E2277+E2278</f>
        <v>982723</v>
      </c>
      <c r="F2274" s="912">
        <f t="shared" ref="F2274:P2274" si="1677">F2275+F2276+F2277+F2278</f>
        <v>152424</v>
      </c>
      <c r="G2274" s="912">
        <f t="shared" si="1677"/>
        <v>0</v>
      </c>
      <c r="H2274" s="912">
        <f t="shared" si="1677"/>
        <v>0</v>
      </c>
      <c r="I2274" s="912">
        <f t="shared" si="1677"/>
        <v>1135147</v>
      </c>
      <c r="J2274" s="912">
        <f t="shared" si="1677"/>
        <v>0</v>
      </c>
      <c r="K2274" s="912">
        <f t="shared" si="1677"/>
        <v>-197055</v>
      </c>
      <c r="L2274" s="317">
        <f t="shared" si="1655"/>
        <v>938092</v>
      </c>
      <c r="M2274" s="317"/>
      <c r="N2274" s="372">
        <f t="shared" si="1661"/>
        <v>197055</v>
      </c>
      <c r="O2274" s="912">
        <f t="shared" si="1677"/>
        <v>1031901.2000000001</v>
      </c>
      <c r="P2274" s="912">
        <f t="shared" si="1677"/>
        <v>1135091.3200000003</v>
      </c>
      <c r="R2274" s="317"/>
      <c r="U2274" s="320"/>
    </row>
    <row r="2275" spans="1:21" s="344" customFormat="1" outlineLevel="2">
      <c r="A2275" s="345"/>
      <c r="B2275" s="345"/>
      <c r="C2275" s="405">
        <v>2210502</v>
      </c>
      <c r="D2275" s="345" t="s">
        <v>487</v>
      </c>
      <c r="E2275" s="348">
        <v>227281</v>
      </c>
      <c r="F2275" s="406">
        <v>152424</v>
      </c>
      <c r="G2275" s="406"/>
      <c r="H2275" s="406"/>
      <c r="I2275" s="324">
        <f t="shared" si="1670"/>
        <v>379705</v>
      </c>
      <c r="J2275" s="406"/>
      <c r="K2275" s="914"/>
      <c r="L2275" s="317">
        <f t="shared" si="1655"/>
        <v>379705</v>
      </c>
      <c r="M2275" s="317"/>
      <c r="N2275" s="372">
        <f t="shared" si="1661"/>
        <v>0</v>
      </c>
      <c r="O2275" s="336">
        <f>L2275*1.1</f>
        <v>417675.50000000006</v>
      </c>
      <c r="P2275" s="336">
        <f t="shared" si="1676"/>
        <v>459443.0500000001</v>
      </c>
      <c r="R2275" s="317"/>
      <c r="U2275" s="320"/>
    </row>
    <row r="2276" spans="1:21" s="344" customFormat="1" outlineLevel="2">
      <c r="A2276" s="345"/>
      <c r="B2276" s="345"/>
      <c r="C2276" s="405">
        <v>2210503</v>
      </c>
      <c r="D2276" s="345" t="s">
        <v>32</v>
      </c>
      <c r="E2276" s="348">
        <v>58058</v>
      </c>
      <c r="F2276" s="406"/>
      <c r="G2276" s="406"/>
      <c r="H2276" s="406"/>
      <c r="I2276" s="324">
        <f t="shared" si="1670"/>
        <v>58058</v>
      </c>
      <c r="J2276" s="406"/>
      <c r="K2276" s="914"/>
      <c r="L2276" s="317">
        <f t="shared" si="1655"/>
        <v>58058</v>
      </c>
      <c r="M2276" s="317"/>
      <c r="N2276" s="372">
        <f t="shared" si="1661"/>
        <v>0</v>
      </c>
      <c r="O2276" s="336">
        <f>L2276*1.1</f>
        <v>63863.8</v>
      </c>
      <c r="P2276" s="336">
        <f t="shared" si="1676"/>
        <v>70250.180000000008</v>
      </c>
      <c r="R2276" s="317"/>
      <c r="U2276" s="320"/>
    </row>
    <row r="2277" spans="1:21" s="344" customFormat="1" outlineLevel="2">
      <c r="A2277" s="345"/>
      <c r="B2277" s="345"/>
      <c r="C2277" s="405">
        <v>2210504</v>
      </c>
      <c r="D2277" s="345" t="s">
        <v>33</v>
      </c>
      <c r="E2277" s="348">
        <v>271105</v>
      </c>
      <c r="F2277" s="406"/>
      <c r="G2277" s="406"/>
      <c r="H2277" s="406"/>
      <c r="I2277" s="324">
        <f t="shared" si="1670"/>
        <v>271105</v>
      </c>
      <c r="J2277" s="406"/>
      <c r="K2277" s="914">
        <v>-197055</v>
      </c>
      <c r="L2277" s="317">
        <f t="shared" si="1655"/>
        <v>74050</v>
      </c>
      <c r="M2277" s="317"/>
      <c r="N2277" s="372">
        <f t="shared" si="1661"/>
        <v>197055</v>
      </c>
      <c r="O2277" s="336">
        <f>L2277*1.1</f>
        <v>81455</v>
      </c>
      <c r="P2277" s="336">
        <f t="shared" si="1676"/>
        <v>89600.5</v>
      </c>
      <c r="R2277" s="317"/>
      <c r="U2277" s="320"/>
    </row>
    <row r="2278" spans="1:21" s="344" customFormat="1" outlineLevel="2">
      <c r="A2278" s="345"/>
      <c r="B2278" s="345"/>
      <c r="C2278" s="405">
        <v>2210505</v>
      </c>
      <c r="D2278" s="345" t="s">
        <v>488</v>
      </c>
      <c r="E2278" s="348">
        <v>426279</v>
      </c>
      <c r="F2278" s="406"/>
      <c r="G2278" s="406"/>
      <c r="H2278" s="406"/>
      <c r="I2278" s="324">
        <f t="shared" si="1670"/>
        <v>426279</v>
      </c>
      <c r="J2278" s="406"/>
      <c r="K2278" s="914"/>
      <c r="L2278" s="317">
        <f t="shared" si="1655"/>
        <v>426279</v>
      </c>
      <c r="M2278" s="317"/>
      <c r="N2278" s="372">
        <f t="shared" si="1661"/>
        <v>0</v>
      </c>
      <c r="O2278" s="336">
        <f>L2278*1.1</f>
        <v>468906.9</v>
      </c>
      <c r="P2278" s="336">
        <f t="shared" si="1676"/>
        <v>515797.59000000008</v>
      </c>
      <c r="R2278" s="317"/>
      <c r="U2278" s="320"/>
    </row>
    <row r="2279" spans="1:21" s="344" customFormat="1" outlineLevel="2">
      <c r="A2279" s="345"/>
      <c r="B2279" s="345"/>
      <c r="C2279" s="328">
        <v>2210600</v>
      </c>
      <c r="D2279" s="326" t="s">
        <v>154</v>
      </c>
      <c r="E2279" s="912">
        <f>E2280+0</f>
        <v>176214</v>
      </c>
      <c r="F2279" s="912">
        <f t="shared" ref="F2279:K2279" si="1678">F2280+0</f>
        <v>0</v>
      </c>
      <c r="G2279" s="912">
        <f t="shared" si="1678"/>
        <v>0</v>
      </c>
      <c r="H2279" s="912">
        <f t="shared" si="1678"/>
        <v>0</v>
      </c>
      <c r="I2279" s="912">
        <f t="shared" si="1678"/>
        <v>176214</v>
      </c>
      <c r="J2279" s="912">
        <f t="shared" si="1678"/>
        <v>0</v>
      </c>
      <c r="K2279" s="912">
        <f t="shared" si="1678"/>
        <v>183786</v>
      </c>
      <c r="L2279" s="317">
        <f t="shared" si="1655"/>
        <v>360000</v>
      </c>
      <c r="M2279" s="317"/>
      <c r="N2279" s="372">
        <f t="shared" si="1661"/>
        <v>-183786</v>
      </c>
      <c r="O2279" s="912">
        <f t="shared" ref="O2279:P2279" si="1679">O2280+0</f>
        <v>396000.00000000006</v>
      </c>
      <c r="P2279" s="912">
        <f t="shared" si="1679"/>
        <v>435600.00000000012</v>
      </c>
      <c r="R2279" s="317"/>
      <c r="U2279" s="320"/>
    </row>
    <row r="2280" spans="1:21" s="344" customFormat="1" outlineLevel="2">
      <c r="A2280" s="345"/>
      <c r="B2280" s="345"/>
      <c r="C2280" s="405">
        <v>2210603</v>
      </c>
      <c r="D2280" s="345" t="s">
        <v>489</v>
      </c>
      <c r="E2280" s="913">
        <v>176214</v>
      </c>
      <c r="F2280" s="406"/>
      <c r="G2280" s="406"/>
      <c r="H2280" s="406"/>
      <c r="I2280" s="324">
        <f t="shared" si="1670"/>
        <v>176214</v>
      </c>
      <c r="J2280" s="406"/>
      <c r="K2280" s="915">
        <v>183786</v>
      </c>
      <c r="L2280" s="317">
        <f t="shared" si="1655"/>
        <v>360000</v>
      </c>
      <c r="M2280" s="317"/>
      <c r="N2280" s="372">
        <f t="shared" si="1661"/>
        <v>-183786</v>
      </c>
      <c r="O2280" s="336">
        <f>L2280*1.1</f>
        <v>396000.00000000006</v>
      </c>
      <c r="P2280" s="336">
        <f t="shared" si="1676"/>
        <v>435600.00000000012</v>
      </c>
      <c r="R2280" s="317"/>
      <c r="U2280" s="320"/>
    </row>
    <row r="2281" spans="1:21" s="344" customFormat="1" outlineLevel="2">
      <c r="A2281" s="345"/>
      <c r="B2281" s="345"/>
      <c r="C2281" s="328">
        <v>2210700</v>
      </c>
      <c r="D2281" s="326" t="s">
        <v>35</v>
      </c>
      <c r="E2281" s="912">
        <f>E2282+E2283+E2284+E2285+E2286</f>
        <v>1286807</v>
      </c>
      <c r="F2281" s="912">
        <f t="shared" ref="F2281:K2281" si="1680">F2282+F2283+F2284+F2285+F2286</f>
        <v>259380</v>
      </c>
      <c r="G2281" s="912">
        <f t="shared" si="1680"/>
        <v>0</v>
      </c>
      <c r="H2281" s="912">
        <f t="shared" si="1680"/>
        <v>0</v>
      </c>
      <c r="I2281" s="912">
        <f t="shared" si="1680"/>
        <v>1546187</v>
      </c>
      <c r="J2281" s="912">
        <f t="shared" si="1680"/>
        <v>0</v>
      </c>
      <c r="K2281" s="912">
        <f t="shared" si="1680"/>
        <v>724910</v>
      </c>
      <c r="L2281" s="317">
        <f t="shared" si="1655"/>
        <v>2271097</v>
      </c>
      <c r="M2281" s="317"/>
      <c r="N2281" s="372">
        <f t="shared" si="1661"/>
        <v>-724910</v>
      </c>
      <c r="O2281" s="912">
        <f t="shared" ref="O2281:P2281" si="1681">O2282+O2283+O2284+O2285+O2286</f>
        <v>2498206.7000000002</v>
      </c>
      <c r="P2281" s="912">
        <f t="shared" si="1681"/>
        <v>2748027.37</v>
      </c>
      <c r="R2281" s="317"/>
      <c r="U2281" s="320"/>
    </row>
    <row r="2282" spans="1:21" s="344" customFormat="1" outlineLevel="2">
      <c r="A2282" s="345"/>
      <c r="B2282" s="345"/>
      <c r="C2282" s="405">
        <v>2210701</v>
      </c>
      <c r="D2282" s="345" t="s">
        <v>36</v>
      </c>
      <c r="E2282" s="348">
        <v>226227</v>
      </c>
      <c r="F2282" s="406"/>
      <c r="G2282" s="406"/>
      <c r="H2282" s="406"/>
      <c r="I2282" s="324">
        <f t="shared" si="1670"/>
        <v>226227</v>
      </c>
      <c r="J2282" s="406"/>
      <c r="K2282" s="914">
        <v>150000</v>
      </c>
      <c r="L2282" s="317">
        <f t="shared" si="1655"/>
        <v>376227</v>
      </c>
      <c r="M2282" s="317"/>
      <c r="N2282" s="372">
        <f t="shared" si="1661"/>
        <v>-150000</v>
      </c>
      <c r="O2282" s="336">
        <f t="shared" ref="O2282" si="1682">L2282*1.1</f>
        <v>413849.7</v>
      </c>
      <c r="P2282" s="336">
        <f t="shared" ref="P2282" si="1683">O2282*1.1</f>
        <v>455234.67000000004</v>
      </c>
      <c r="R2282" s="317"/>
      <c r="U2282" s="320"/>
    </row>
    <row r="2283" spans="1:21" s="344" customFormat="1" outlineLevel="2">
      <c r="A2283" s="345"/>
      <c r="B2283" s="345"/>
      <c r="C2283" s="405">
        <v>2210710</v>
      </c>
      <c r="D2283" s="345" t="s">
        <v>39</v>
      </c>
      <c r="E2283" s="348">
        <v>243550</v>
      </c>
      <c r="F2283" s="406"/>
      <c r="G2283" s="406"/>
      <c r="H2283" s="406"/>
      <c r="I2283" s="324">
        <f t="shared" si="1670"/>
        <v>243550</v>
      </c>
      <c r="J2283" s="406"/>
      <c r="K2283" s="914">
        <v>200000</v>
      </c>
      <c r="L2283" s="317">
        <f t="shared" si="1655"/>
        <v>443550</v>
      </c>
      <c r="M2283" s="317"/>
      <c r="N2283" s="372">
        <f t="shared" si="1661"/>
        <v>-200000</v>
      </c>
      <c r="O2283" s="336">
        <f>L2283*1.1</f>
        <v>487905.00000000006</v>
      </c>
      <c r="P2283" s="336">
        <f t="shared" si="1676"/>
        <v>536695.50000000012</v>
      </c>
      <c r="R2283" s="317"/>
      <c r="U2283" s="320"/>
    </row>
    <row r="2284" spans="1:21" s="344" customFormat="1" outlineLevel="2">
      <c r="A2284" s="345"/>
      <c r="B2284" s="345"/>
      <c r="C2284" s="405">
        <v>2210711</v>
      </c>
      <c r="D2284" s="345" t="s">
        <v>490</v>
      </c>
      <c r="E2284" s="348">
        <v>175450</v>
      </c>
      <c r="F2284" s="406"/>
      <c r="G2284" s="406"/>
      <c r="H2284" s="406"/>
      <c r="I2284" s="324">
        <f t="shared" si="1670"/>
        <v>175450</v>
      </c>
      <c r="J2284" s="406"/>
      <c r="K2284" s="914"/>
      <c r="L2284" s="317">
        <f t="shared" si="1655"/>
        <v>175450</v>
      </c>
      <c r="M2284" s="317"/>
      <c r="N2284" s="372">
        <f t="shared" si="1661"/>
        <v>0</v>
      </c>
      <c r="O2284" s="336">
        <f>L2284*1.1</f>
        <v>192995.00000000003</v>
      </c>
      <c r="P2284" s="336">
        <f t="shared" si="1676"/>
        <v>212294.50000000006</v>
      </c>
      <c r="R2284" s="317"/>
      <c r="U2284" s="320"/>
    </row>
    <row r="2285" spans="1:21" s="344" customFormat="1" outlineLevel="2">
      <c r="A2285" s="345"/>
      <c r="B2285" s="345"/>
      <c r="C2285" s="405">
        <v>2210715</v>
      </c>
      <c r="D2285" s="345" t="s">
        <v>40</v>
      </c>
      <c r="E2285" s="348">
        <f>610930-100000</f>
        <v>510930</v>
      </c>
      <c r="F2285" s="348">
        <v>239380</v>
      </c>
      <c r="G2285" s="406"/>
      <c r="H2285" s="406"/>
      <c r="I2285" s="324">
        <f t="shared" si="1670"/>
        <v>750310</v>
      </c>
      <c r="J2285" s="406"/>
      <c r="K2285" s="914">
        <v>374910</v>
      </c>
      <c r="L2285" s="317">
        <f t="shared" si="1655"/>
        <v>1125220</v>
      </c>
      <c r="M2285" s="317"/>
      <c r="N2285" s="372">
        <f t="shared" si="1661"/>
        <v>-374910</v>
      </c>
      <c r="O2285" s="336">
        <f>L2285*1.1</f>
        <v>1237742</v>
      </c>
      <c r="P2285" s="336">
        <f t="shared" si="1676"/>
        <v>1361516.2000000002</v>
      </c>
      <c r="R2285" s="317"/>
      <c r="U2285" s="320"/>
    </row>
    <row r="2286" spans="1:21" s="344" customFormat="1" outlineLevel="2">
      <c r="A2286" s="345"/>
      <c r="B2286" s="345"/>
      <c r="C2286" s="405">
        <v>2210799</v>
      </c>
      <c r="D2286" s="345" t="s">
        <v>1415</v>
      </c>
      <c r="E2286" s="348">
        <f>230650-100000</f>
        <v>130650</v>
      </c>
      <c r="F2286" s="348">
        <v>20000</v>
      </c>
      <c r="G2286" s="406"/>
      <c r="H2286" s="406"/>
      <c r="I2286" s="324">
        <f t="shared" si="1670"/>
        <v>150650</v>
      </c>
      <c r="J2286" s="406"/>
      <c r="K2286" s="914"/>
      <c r="L2286" s="317">
        <f t="shared" si="1655"/>
        <v>150650</v>
      </c>
      <c r="M2286" s="317"/>
      <c r="N2286" s="372">
        <f t="shared" si="1661"/>
        <v>0</v>
      </c>
      <c r="O2286" s="336">
        <f>L2286*1.1</f>
        <v>165715</v>
      </c>
      <c r="P2286" s="336">
        <f t="shared" si="1676"/>
        <v>182286.50000000003</v>
      </c>
      <c r="R2286" s="317"/>
      <c r="U2286" s="320"/>
    </row>
    <row r="2287" spans="1:21" s="344" customFormat="1" outlineLevel="2">
      <c r="A2287" s="345"/>
      <c r="B2287" s="345"/>
      <c r="C2287" s="328">
        <v>2210800</v>
      </c>
      <c r="D2287" s="326" t="s">
        <v>42</v>
      </c>
      <c r="E2287" s="912">
        <f>E2288+E2289</f>
        <v>1036277</v>
      </c>
      <c r="F2287" s="912">
        <f t="shared" ref="F2287:K2287" si="1684">F2288+F2289</f>
        <v>412750</v>
      </c>
      <c r="G2287" s="912">
        <f t="shared" si="1684"/>
        <v>0</v>
      </c>
      <c r="H2287" s="912">
        <f t="shared" si="1684"/>
        <v>0</v>
      </c>
      <c r="I2287" s="912">
        <f t="shared" si="1684"/>
        <v>1449027</v>
      </c>
      <c r="J2287" s="912">
        <f t="shared" si="1684"/>
        <v>0</v>
      </c>
      <c r="K2287" s="912">
        <f t="shared" si="1684"/>
        <v>664928</v>
      </c>
      <c r="L2287" s="317">
        <f t="shared" si="1655"/>
        <v>2113955</v>
      </c>
      <c r="M2287" s="317"/>
      <c r="N2287" s="372">
        <f t="shared" si="1661"/>
        <v>-664928</v>
      </c>
      <c r="O2287" s="912">
        <f t="shared" ref="O2287:P2287" si="1685">O2288+O2289</f>
        <v>2325350.5</v>
      </c>
      <c r="P2287" s="912">
        <f t="shared" si="1685"/>
        <v>2557885.5500000003</v>
      </c>
      <c r="R2287" s="317"/>
      <c r="U2287" s="320"/>
    </row>
    <row r="2288" spans="1:21" s="344" customFormat="1" outlineLevel="2">
      <c r="A2288" s="345"/>
      <c r="B2288" s="345"/>
      <c r="C2288" s="405">
        <v>2210801</v>
      </c>
      <c r="D2288" s="345" t="s">
        <v>2421</v>
      </c>
      <c r="E2288" s="913">
        <v>524172</v>
      </c>
      <c r="F2288" s="913">
        <v>292710</v>
      </c>
      <c r="G2288" s="406"/>
      <c r="H2288" s="406"/>
      <c r="I2288" s="324">
        <f t="shared" si="1670"/>
        <v>816882</v>
      </c>
      <c r="J2288" s="406"/>
      <c r="K2288" s="914"/>
      <c r="L2288" s="317">
        <f t="shared" si="1655"/>
        <v>816882</v>
      </c>
      <c r="M2288" s="317"/>
      <c r="N2288" s="372">
        <f t="shared" si="1661"/>
        <v>0</v>
      </c>
      <c r="O2288" s="336">
        <f>L2288*1.1</f>
        <v>898570.20000000007</v>
      </c>
      <c r="P2288" s="336">
        <f t="shared" si="1676"/>
        <v>988427.2200000002</v>
      </c>
      <c r="R2288" s="317"/>
      <c r="U2288" s="320"/>
    </row>
    <row r="2289" spans="1:21" s="344" customFormat="1" outlineLevel="2">
      <c r="A2289" s="345"/>
      <c r="B2289" s="345"/>
      <c r="C2289" s="405">
        <v>2210802</v>
      </c>
      <c r="D2289" s="345" t="s">
        <v>45</v>
      </c>
      <c r="E2289" s="913">
        <v>512105</v>
      </c>
      <c r="F2289" s="913">
        <v>120040</v>
      </c>
      <c r="G2289" s="406"/>
      <c r="H2289" s="406"/>
      <c r="I2289" s="324">
        <f t="shared" si="1670"/>
        <v>632145</v>
      </c>
      <c r="J2289" s="406"/>
      <c r="K2289" s="915">
        <f>790000-125072</f>
        <v>664928</v>
      </c>
      <c r="L2289" s="317">
        <f t="shared" si="1655"/>
        <v>1297073</v>
      </c>
      <c r="M2289" s="317"/>
      <c r="N2289" s="372">
        <f t="shared" si="1661"/>
        <v>-664928</v>
      </c>
      <c r="O2289" s="336">
        <f>L2289*1.1</f>
        <v>1426780.3</v>
      </c>
      <c r="P2289" s="336">
        <f t="shared" si="1676"/>
        <v>1569458.33</v>
      </c>
      <c r="R2289" s="317"/>
      <c r="U2289" s="320"/>
    </row>
    <row r="2290" spans="1:21" s="325" customFormat="1" outlineLevel="2">
      <c r="A2290" s="345"/>
      <c r="B2290" s="345"/>
      <c r="C2290" s="328">
        <v>2210900</v>
      </c>
      <c r="D2290" s="326" t="s">
        <v>46</v>
      </c>
      <c r="E2290" s="912">
        <f>E2291+0</f>
        <v>999000</v>
      </c>
      <c r="F2290" s="912">
        <f t="shared" ref="F2290:K2290" si="1686">F2291+0</f>
        <v>0</v>
      </c>
      <c r="G2290" s="912">
        <f t="shared" si="1686"/>
        <v>0</v>
      </c>
      <c r="H2290" s="912">
        <f t="shared" si="1686"/>
        <v>0</v>
      </c>
      <c r="I2290" s="912">
        <f t="shared" si="1686"/>
        <v>999000</v>
      </c>
      <c r="J2290" s="912">
        <f t="shared" si="1686"/>
        <v>0</v>
      </c>
      <c r="K2290" s="912">
        <f t="shared" si="1686"/>
        <v>-999000</v>
      </c>
      <c r="L2290" s="317">
        <f t="shared" si="1655"/>
        <v>0</v>
      </c>
      <c r="M2290" s="317"/>
      <c r="N2290" s="372">
        <f t="shared" si="1661"/>
        <v>999000</v>
      </c>
      <c r="O2290" s="912">
        <f t="shared" ref="O2290:P2290" si="1687">O2291+0</f>
        <v>0</v>
      </c>
      <c r="P2290" s="912">
        <f t="shared" si="1687"/>
        <v>0</v>
      </c>
      <c r="R2290" s="317"/>
      <c r="U2290" s="320"/>
    </row>
    <row r="2291" spans="1:21" s="325" customFormat="1" outlineLevel="2">
      <c r="A2291" s="345"/>
      <c r="B2291" s="345"/>
      <c r="C2291" s="405">
        <v>2210903</v>
      </c>
      <c r="D2291" s="345" t="s">
        <v>491</v>
      </c>
      <c r="E2291" s="913">
        <f>1199000-200000</f>
        <v>999000</v>
      </c>
      <c r="F2291" s="406"/>
      <c r="G2291" s="406"/>
      <c r="H2291" s="406"/>
      <c r="I2291" s="324">
        <f t="shared" si="1670"/>
        <v>999000</v>
      </c>
      <c r="J2291" s="406"/>
      <c r="K2291" s="914">
        <v>-999000</v>
      </c>
      <c r="L2291" s="317">
        <f t="shared" si="1655"/>
        <v>0</v>
      </c>
      <c r="M2291" s="317"/>
      <c r="N2291" s="372">
        <f t="shared" si="1661"/>
        <v>999000</v>
      </c>
      <c r="O2291" s="336">
        <f>L2291*1.1</f>
        <v>0</v>
      </c>
      <c r="P2291" s="336">
        <f t="shared" si="1676"/>
        <v>0</v>
      </c>
      <c r="R2291" s="317"/>
      <c r="U2291" s="320"/>
    </row>
    <row r="2292" spans="1:21" s="344" customFormat="1" outlineLevel="2">
      <c r="A2292" s="326"/>
      <c r="B2292" s="326"/>
      <c r="C2292" s="328">
        <v>2211000</v>
      </c>
      <c r="D2292" s="326" t="s">
        <v>118</v>
      </c>
      <c r="E2292" s="912">
        <f>E2293+0</f>
        <v>256800</v>
      </c>
      <c r="F2292" s="912">
        <f t="shared" ref="F2292:K2292" si="1688">F2293+0</f>
        <v>0</v>
      </c>
      <c r="G2292" s="912">
        <f t="shared" si="1688"/>
        <v>0</v>
      </c>
      <c r="H2292" s="912">
        <f t="shared" si="1688"/>
        <v>0</v>
      </c>
      <c r="I2292" s="912">
        <f t="shared" si="1688"/>
        <v>256800</v>
      </c>
      <c r="J2292" s="912">
        <f t="shared" si="1688"/>
        <v>0</v>
      </c>
      <c r="K2292" s="912">
        <f t="shared" si="1688"/>
        <v>-256800</v>
      </c>
      <c r="L2292" s="317">
        <f t="shared" si="1655"/>
        <v>0</v>
      </c>
      <c r="M2292" s="317"/>
      <c r="N2292" s="372">
        <f t="shared" si="1661"/>
        <v>256800</v>
      </c>
      <c r="O2292" s="912">
        <f t="shared" ref="O2292:P2292" si="1689">O2293+0</f>
        <v>0</v>
      </c>
      <c r="P2292" s="912">
        <f t="shared" si="1689"/>
        <v>0</v>
      </c>
      <c r="R2292" s="317"/>
      <c r="U2292" s="320"/>
    </row>
    <row r="2293" spans="1:21" s="344" customFormat="1" outlineLevel="2">
      <c r="A2293" s="326"/>
      <c r="B2293" s="326"/>
      <c r="C2293" s="405">
        <v>2211016</v>
      </c>
      <c r="D2293" s="916" t="s">
        <v>196</v>
      </c>
      <c r="E2293" s="913">
        <v>256800</v>
      </c>
      <c r="F2293" s="917"/>
      <c r="G2293" s="917"/>
      <c r="H2293" s="917"/>
      <c r="I2293" s="324">
        <f t="shared" si="1670"/>
        <v>256800</v>
      </c>
      <c r="J2293" s="917"/>
      <c r="K2293" s="914">
        <v>-256800</v>
      </c>
      <c r="L2293" s="317">
        <f t="shared" si="1655"/>
        <v>0</v>
      </c>
      <c r="M2293" s="317"/>
      <c r="N2293" s="372">
        <f t="shared" si="1661"/>
        <v>256800</v>
      </c>
      <c r="O2293" s="336">
        <f>L2293*1.1</f>
        <v>0</v>
      </c>
      <c r="P2293" s="336">
        <f t="shared" ref="P2293:P2313" si="1690">O2293*1.1</f>
        <v>0</v>
      </c>
      <c r="R2293" s="317"/>
      <c r="U2293" s="320"/>
    </row>
    <row r="2294" spans="1:21" s="344" customFormat="1" outlineLevel="2">
      <c r="A2294" s="345"/>
      <c r="B2294" s="345"/>
      <c r="C2294" s="328">
        <v>2211100</v>
      </c>
      <c r="D2294" s="326" t="s">
        <v>51</v>
      </c>
      <c r="E2294" s="912">
        <f>E2295+E2296+E2297</f>
        <v>989812</v>
      </c>
      <c r="F2294" s="912">
        <f t="shared" ref="F2294:P2294" si="1691">F2295+F2296+F2297</f>
        <v>0</v>
      </c>
      <c r="G2294" s="912">
        <f t="shared" si="1691"/>
        <v>0</v>
      </c>
      <c r="H2294" s="912">
        <f t="shared" si="1691"/>
        <v>0</v>
      </c>
      <c r="I2294" s="912">
        <f t="shared" si="1691"/>
        <v>989812</v>
      </c>
      <c r="J2294" s="912">
        <f t="shared" si="1691"/>
        <v>0</v>
      </c>
      <c r="K2294" s="912">
        <f t="shared" si="1691"/>
        <v>0</v>
      </c>
      <c r="L2294" s="317">
        <f t="shared" si="1655"/>
        <v>989812</v>
      </c>
      <c r="M2294" s="317"/>
      <c r="N2294" s="372">
        <f t="shared" si="1661"/>
        <v>0</v>
      </c>
      <c r="O2294" s="912">
        <f t="shared" si="1691"/>
        <v>1088793.2000000002</v>
      </c>
      <c r="P2294" s="912">
        <f t="shared" si="1691"/>
        <v>1197672.52</v>
      </c>
      <c r="R2294" s="317"/>
      <c r="U2294" s="320"/>
    </row>
    <row r="2295" spans="1:21" s="344" customFormat="1" outlineLevel="2">
      <c r="A2295" s="345"/>
      <c r="B2295" s="345"/>
      <c r="C2295" s="405">
        <v>2211101</v>
      </c>
      <c r="D2295" s="345" t="s">
        <v>52</v>
      </c>
      <c r="E2295" s="348">
        <f>531862-200000</f>
        <v>331862</v>
      </c>
      <c r="F2295" s="406"/>
      <c r="G2295" s="406"/>
      <c r="H2295" s="406"/>
      <c r="I2295" s="324">
        <f t="shared" si="1670"/>
        <v>331862</v>
      </c>
      <c r="J2295" s="406"/>
      <c r="K2295" s="914"/>
      <c r="L2295" s="317">
        <f t="shared" si="1655"/>
        <v>331862</v>
      </c>
      <c r="M2295" s="317"/>
      <c r="N2295" s="372">
        <f t="shared" si="1661"/>
        <v>0</v>
      </c>
      <c r="O2295" s="336">
        <f>L2295*1.1</f>
        <v>365048.2</v>
      </c>
      <c r="P2295" s="336">
        <f t="shared" si="1690"/>
        <v>401553.02</v>
      </c>
      <c r="R2295" s="317"/>
      <c r="U2295" s="320"/>
    </row>
    <row r="2296" spans="1:21" s="344" customFormat="1" outlineLevel="2">
      <c r="A2296" s="345"/>
      <c r="B2296" s="345"/>
      <c r="C2296" s="405">
        <v>2211102</v>
      </c>
      <c r="D2296" s="709" t="s">
        <v>53</v>
      </c>
      <c r="E2296" s="348">
        <v>474970</v>
      </c>
      <c r="F2296" s="334"/>
      <c r="G2296" s="334"/>
      <c r="H2296" s="334"/>
      <c r="I2296" s="324">
        <f t="shared" si="1670"/>
        <v>474970</v>
      </c>
      <c r="J2296" s="334"/>
      <c r="K2296" s="914"/>
      <c r="L2296" s="317">
        <f t="shared" si="1655"/>
        <v>474970</v>
      </c>
      <c r="M2296" s="317"/>
      <c r="N2296" s="372">
        <f t="shared" si="1661"/>
        <v>0</v>
      </c>
      <c r="O2296" s="336">
        <f t="shared" ref="O2296" si="1692">L2296*1.1</f>
        <v>522467.00000000006</v>
      </c>
      <c r="P2296" s="336">
        <f t="shared" ref="P2296" si="1693">O2296*1.1</f>
        <v>574713.70000000007</v>
      </c>
      <c r="R2296" s="317"/>
      <c r="U2296" s="320"/>
    </row>
    <row r="2297" spans="1:21" s="344" customFormat="1" outlineLevel="2">
      <c r="A2297" s="345"/>
      <c r="B2297" s="345"/>
      <c r="C2297" s="405">
        <v>2211103</v>
      </c>
      <c r="D2297" s="345" t="s">
        <v>54</v>
      </c>
      <c r="E2297" s="913">
        <v>182980</v>
      </c>
      <c r="F2297" s="406"/>
      <c r="G2297" s="406"/>
      <c r="H2297" s="406"/>
      <c r="I2297" s="324">
        <f t="shared" si="1670"/>
        <v>182980</v>
      </c>
      <c r="J2297" s="406"/>
      <c r="K2297" s="914"/>
      <c r="L2297" s="317">
        <f t="shared" si="1655"/>
        <v>182980</v>
      </c>
      <c r="M2297" s="317"/>
      <c r="N2297" s="372">
        <f t="shared" si="1661"/>
        <v>0</v>
      </c>
      <c r="O2297" s="336">
        <f>L2297*1.1</f>
        <v>201278.00000000003</v>
      </c>
      <c r="P2297" s="336">
        <f t="shared" si="1690"/>
        <v>221405.80000000005</v>
      </c>
      <c r="R2297" s="317"/>
      <c r="U2297" s="320"/>
    </row>
    <row r="2298" spans="1:21" s="344" customFormat="1" outlineLevel="2">
      <c r="A2298" s="345"/>
      <c r="B2298" s="345"/>
      <c r="C2298" s="328">
        <v>2211200</v>
      </c>
      <c r="D2298" s="326" t="s">
        <v>492</v>
      </c>
      <c r="E2298" s="912">
        <f>E2299+0</f>
        <v>1040000</v>
      </c>
      <c r="F2298" s="912">
        <f t="shared" ref="F2298:K2298" si="1694">F2299+0</f>
        <v>0</v>
      </c>
      <c r="G2298" s="912">
        <f t="shared" si="1694"/>
        <v>0</v>
      </c>
      <c r="H2298" s="912">
        <f t="shared" si="1694"/>
        <v>0</v>
      </c>
      <c r="I2298" s="912">
        <f t="shared" si="1694"/>
        <v>1040000</v>
      </c>
      <c r="J2298" s="912">
        <f t="shared" si="1694"/>
        <v>0</v>
      </c>
      <c r="K2298" s="912">
        <f t="shared" si="1694"/>
        <v>0</v>
      </c>
      <c r="L2298" s="317">
        <f t="shared" si="1655"/>
        <v>1040000</v>
      </c>
      <c r="M2298" s="317"/>
      <c r="N2298" s="372">
        <f t="shared" si="1661"/>
        <v>0</v>
      </c>
      <c r="O2298" s="912">
        <f t="shared" ref="O2298:P2298" si="1695">O2299+0</f>
        <v>1144000</v>
      </c>
      <c r="P2298" s="912">
        <f t="shared" si="1695"/>
        <v>1258400</v>
      </c>
      <c r="R2298" s="317"/>
      <c r="U2298" s="320"/>
    </row>
    <row r="2299" spans="1:21" s="344" customFormat="1" outlineLevel="2">
      <c r="A2299" s="345"/>
      <c r="B2299" s="345"/>
      <c r="C2299" s="405">
        <v>2211201</v>
      </c>
      <c r="D2299" s="345" t="s">
        <v>493</v>
      </c>
      <c r="E2299" s="913">
        <v>1040000</v>
      </c>
      <c r="F2299" s="406"/>
      <c r="G2299" s="406"/>
      <c r="H2299" s="406"/>
      <c r="I2299" s="324">
        <f t="shared" si="1670"/>
        <v>1040000</v>
      </c>
      <c r="J2299" s="406"/>
      <c r="K2299" s="914"/>
      <c r="L2299" s="317">
        <f t="shared" si="1655"/>
        <v>1040000</v>
      </c>
      <c r="M2299" s="317"/>
      <c r="N2299" s="372">
        <f t="shared" si="1661"/>
        <v>0</v>
      </c>
      <c r="O2299" s="336">
        <f>L2299*1.1</f>
        <v>1144000</v>
      </c>
      <c r="P2299" s="336">
        <f t="shared" si="1690"/>
        <v>1258400</v>
      </c>
      <c r="R2299" s="317"/>
      <c r="U2299" s="320"/>
    </row>
    <row r="2300" spans="1:21" s="344" customFormat="1" outlineLevel="2">
      <c r="A2300" s="345"/>
      <c r="B2300" s="345"/>
      <c r="C2300" s="328">
        <v>2211300</v>
      </c>
      <c r="D2300" s="326" t="s">
        <v>57</v>
      </c>
      <c r="E2300" s="912">
        <f>E2302+E2301</f>
        <v>1155331</v>
      </c>
      <c r="F2300" s="912">
        <f t="shared" ref="F2300:P2300" si="1696">F2302+F2301</f>
        <v>76150</v>
      </c>
      <c r="G2300" s="912">
        <f t="shared" si="1696"/>
        <v>0</v>
      </c>
      <c r="H2300" s="912">
        <f t="shared" si="1696"/>
        <v>0</v>
      </c>
      <c r="I2300" s="912">
        <f t="shared" si="1696"/>
        <v>1231481</v>
      </c>
      <c r="J2300" s="912">
        <f t="shared" si="1696"/>
        <v>0</v>
      </c>
      <c r="K2300" s="912">
        <f t="shared" si="1696"/>
        <v>-370000</v>
      </c>
      <c r="L2300" s="317">
        <f t="shared" si="1655"/>
        <v>861481</v>
      </c>
      <c r="M2300" s="317"/>
      <c r="N2300" s="372">
        <f t="shared" si="1661"/>
        <v>370000</v>
      </c>
      <c r="O2300" s="912">
        <f t="shared" si="1696"/>
        <v>947629.10000000009</v>
      </c>
      <c r="P2300" s="912">
        <f t="shared" si="1696"/>
        <v>1042392.0100000002</v>
      </c>
      <c r="R2300" s="317"/>
      <c r="U2300" s="320"/>
    </row>
    <row r="2301" spans="1:21" s="344" customFormat="1" outlineLevel="2">
      <c r="A2301" s="345"/>
      <c r="B2301" s="345"/>
      <c r="C2301" s="918">
        <v>2211305</v>
      </c>
      <c r="D2301" s="919" t="s">
        <v>1416</v>
      </c>
      <c r="E2301" s="913">
        <v>778875</v>
      </c>
      <c r="F2301" s="913">
        <v>60000</v>
      </c>
      <c r="G2301" s="920"/>
      <c r="H2301" s="920"/>
      <c r="I2301" s="324">
        <f t="shared" si="1670"/>
        <v>838875</v>
      </c>
      <c r="J2301" s="920"/>
      <c r="K2301" s="915"/>
      <c r="L2301" s="317">
        <f t="shared" si="1655"/>
        <v>838875</v>
      </c>
      <c r="M2301" s="317"/>
      <c r="N2301" s="372">
        <f t="shared" si="1661"/>
        <v>0</v>
      </c>
      <c r="O2301" s="336">
        <f t="shared" ref="O2301" si="1697">L2301*1.1</f>
        <v>922762.50000000012</v>
      </c>
      <c r="P2301" s="336">
        <f t="shared" ref="P2301" si="1698">O2301*1.1</f>
        <v>1015038.7500000002</v>
      </c>
      <c r="R2301" s="317"/>
      <c r="U2301" s="320"/>
    </row>
    <row r="2302" spans="1:21" s="344" customFormat="1" outlineLevel="2">
      <c r="A2302" s="345"/>
      <c r="B2302" s="345"/>
      <c r="C2302" s="405">
        <v>2211306</v>
      </c>
      <c r="D2302" s="345" t="s">
        <v>494</v>
      </c>
      <c r="E2302" s="913">
        <v>376456</v>
      </c>
      <c r="F2302" s="913">
        <v>16150</v>
      </c>
      <c r="G2302" s="406"/>
      <c r="H2302" s="406"/>
      <c r="I2302" s="324">
        <f t="shared" si="1670"/>
        <v>392606</v>
      </c>
      <c r="J2302" s="406"/>
      <c r="K2302" s="914">
        <v>-370000</v>
      </c>
      <c r="L2302" s="317">
        <f t="shared" si="1655"/>
        <v>22606</v>
      </c>
      <c r="M2302" s="317"/>
      <c r="N2302" s="372">
        <f t="shared" si="1661"/>
        <v>370000</v>
      </c>
      <c r="O2302" s="336">
        <f>L2302*1.1</f>
        <v>24866.600000000002</v>
      </c>
      <c r="P2302" s="336">
        <f t="shared" si="1690"/>
        <v>27353.260000000006</v>
      </c>
      <c r="R2302" s="317"/>
      <c r="U2302" s="320"/>
    </row>
    <row r="2303" spans="1:21" s="344" customFormat="1" outlineLevel="2">
      <c r="A2303" s="345"/>
      <c r="B2303" s="345"/>
      <c r="C2303" s="328">
        <v>2220100</v>
      </c>
      <c r="D2303" s="326" t="s">
        <v>62</v>
      </c>
      <c r="E2303" s="912">
        <f>E2304+0</f>
        <v>447690</v>
      </c>
      <c r="F2303" s="912">
        <f t="shared" ref="F2303:K2303" si="1699">F2304+0</f>
        <v>49000</v>
      </c>
      <c r="G2303" s="912">
        <f t="shared" si="1699"/>
        <v>0</v>
      </c>
      <c r="H2303" s="912">
        <f t="shared" si="1699"/>
        <v>0</v>
      </c>
      <c r="I2303" s="912">
        <f t="shared" si="1699"/>
        <v>496690</v>
      </c>
      <c r="J2303" s="912">
        <f t="shared" si="1699"/>
        <v>0</v>
      </c>
      <c r="K2303" s="912">
        <f t="shared" si="1699"/>
        <v>0</v>
      </c>
      <c r="L2303" s="317">
        <f t="shared" si="1655"/>
        <v>496690</v>
      </c>
      <c r="M2303" s="317"/>
      <c r="N2303" s="372">
        <f t="shared" si="1661"/>
        <v>0</v>
      </c>
      <c r="O2303" s="912">
        <f t="shared" ref="O2303:P2303" si="1700">O2304+0</f>
        <v>546359</v>
      </c>
      <c r="P2303" s="912">
        <f t="shared" si="1700"/>
        <v>600994.9</v>
      </c>
      <c r="R2303" s="317"/>
      <c r="U2303" s="320"/>
    </row>
    <row r="2304" spans="1:21" s="344" customFormat="1" outlineLevel="2">
      <c r="A2304" s="345"/>
      <c r="B2304" s="345"/>
      <c r="C2304" s="405">
        <v>2220101</v>
      </c>
      <c r="D2304" s="345" t="s">
        <v>250</v>
      </c>
      <c r="E2304" s="348">
        <v>447690</v>
      </c>
      <c r="F2304" s="348">
        <v>49000</v>
      </c>
      <c r="G2304" s="406"/>
      <c r="H2304" s="406"/>
      <c r="I2304" s="324">
        <f t="shared" si="1670"/>
        <v>496690</v>
      </c>
      <c r="J2304" s="406"/>
      <c r="K2304" s="915"/>
      <c r="L2304" s="317">
        <f t="shared" si="1655"/>
        <v>496690</v>
      </c>
      <c r="M2304" s="317"/>
      <c r="N2304" s="372">
        <f t="shared" si="1661"/>
        <v>0</v>
      </c>
      <c r="O2304" s="336">
        <f>L2304*1.1</f>
        <v>546359</v>
      </c>
      <c r="P2304" s="336">
        <f t="shared" si="1690"/>
        <v>600994.9</v>
      </c>
      <c r="R2304" s="317"/>
      <c r="U2304" s="320"/>
    </row>
    <row r="2305" spans="1:21" s="344" customFormat="1" outlineLevel="2">
      <c r="A2305" s="345"/>
      <c r="B2305" s="345"/>
      <c r="C2305" s="328">
        <v>2220200</v>
      </c>
      <c r="D2305" s="326" t="s">
        <v>86</v>
      </c>
      <c r="E2305" s="912">
        <f>E2306+E2307</f>
        <v>892035</v>
      </c>
      <c r="F2305" s="912">
        <f t="shared" ref="F2305:K2305" si="1701">F2306+F2307</f>
        <v>1770920</v>
      </c>
      <c r="G2305" s="912">
        <f t="shared" si="1701"/>
        <v>0</v>
      </c>
      <c r="H2305" s="912">
        <f t="shared" si="1701"/>
        <v>0</v>
      </c>
      <c r="I2305" s="912">
        <f t="shared" si="1701"/>
        <v>2662955</v>
      </c>
      <c r="J2305" s="912">
        <f t="shared" si="1701"/>
        <v>0</v>
      </c>
      <c r="K2305" s="912">
        <f t="shared" si="1701"/>
        <v>-1466540</v>
      </c>
      <c r="L2305" s="317">
        <f t="shared" si="1655"/>
        <v>1196415</v>
      </c>
      <c r="M2305" s="317"/>
      <c r="N2305" s="372">
        <f t="shared" si="1661"/>
        <v>1466540</v>
      </c>
      <c r="O2305" s="912">
        <f t="shared" ref="O2305:P2305" si="1702">O2306+O2307</f>
        <v>1316056.5</v>
      </c>
      <c r="P2305" s="912">
        <f t="shared" si="1702"/>
        <v>1447662.1500000001</v>
      </c>
      <c r="R2305" s="317"/>
      <c r="U2305" s="320"/>
    </row>
    <row r="2306" spans="1:21" s="344" customFormat="1" outlineLevel="2">
      <c r="A2306" s="345"/>
      <c r="B2306" s="345"/>
      <c r="C2306" s="405">
        <v>2220202</v>
      </c>
      <c r="D2306" s="345" t="s">
        <v>495</v>
      </c>
      <c r="E2306" s="913">
        <v>316415</v>
      </c>
      <c r="F2306" s="406"/>
      <c r="G2306" s="406"/>
      <c r="H2306" s="406"/>
      <c r="I2306" s="324">
        <f t="shared" si="1670"/>
        <v>316415</v>
      </c>
      <c r="J2306" s="406"/>
      <c r="K2306" s="914">
        <v>-150000</v>
      </c>
      <c r="L2306" s="317">
        <f t="shared" si="1655"/>
        <v>166415</v>
      </c>
      <c r="M2306" s="317"/>
      <c r="N2306" s="372">
        <f t="shared" si="1661"/>
        <v>150000</v>
      </c>
      <c r="O2306" s="336">
        <f>L2306*1.1</f>
        <v>183056.50000000003</v>
      </c>
      <c r="P2306" s="336">
        <f t="shared" si="1690"/>
        <v>201362.15000000005</v>
      </c>
      <c r="R2306" s="317"/>
      <c r="U2306" s="320"/>
    </row>
    <row r="2307" spans="1:21" s="344" customFormat="1" outlineLevel="2">
      <c r="A2307" s="345"/>
      <c r="B2307" s="345"/>
      <c r="C2307" s="405">
        <v>2220205</v>
      </c>
      <c r="D2307" s="345" t="s">
        <v>1568</v>
      </c>
      <c r="E2307" s="913">
        <f>1075620-500000</f>
        <v>575620</v>
      </c>
      <c r="F2307" s="913">
        <v>1770920</v>
      </c>
      <c r="G2307" s="406"/>
      <c r="H2307" s="406"/>
      <c r="I2307" s="324">
        <f t="shared" si="1670"/>
        <v>2346540</v>
      </c>
      <c r="J2307" s="406"/>
      <c r="K2307" s="915">
        <v>-1316540</v>
      </c>
      <c r="L2307" s="317">
        <f t="shared" si="1655"/>
        <v>1030000</v>
      </c>
      <c r="M2307" s="317"/>
      <c r="N2307" s="372">
        <f t="shared" si="1661"/>
        <v>1316540</v>
      </c>
      <c r="O2307" s="336">
        <f>L2307*1.1</f>
        <v>1133000</v>
      </c>
      <c r="P2307" s="336">
        <f t="shared" si="1690"/>
        <v>1246300</v>
      </c>
      <c r="R2307" s="317"/>
      <c r="U2307" s="320"/>
    </row>
    <row r="2308" spans="1:21" s="344" customFormat="1" outlineLevel="2">
      <c r="A2308" s="345"/>
      <c r="B2308" s="345"/>
      <c r="C2308" s="328">
        <v>3110700</v>
      </c>
      <c r="D2308" s="326" t="s">
        <v>65</v>
      </c>
      <c r="E2308" s="912">
        <f>E2309+0</f>
        <v>8500000</v>
      </c>
      <c r="F2308" s="912">
        <f t="shared" ref="F2308:K2308" si="1703">F2309+0</f>
        <v>0</v>
      </c>
      <c r="G2308" s="912">
        <f t="shared" si="1703"/>
        <v>0</v>
      </c>
      <c r="H2308" s="912">
        <f t="shared" si="1703"/>
        <v>0</v>
      </c>
      <c r="I2308" s="912">
        <f t="shared" si="1703"/>
        <v>8500000</v>
      </c>
      <c r="J2308" s="912">
        <f t="shared" si="1703"/>
        <v>0</v>
      </c>
      <c r="K2308" s="912">
        <f t="shared" si="1703"/>
        <v>-1500000</v>
      </c>
      <c r="L2308" s="317">
        <f t="shared" si="1655"/>
        <v>7000000</v>
      </c>
      <c r="M2308" s="317"/>
      <c r="N2308" s="372">
        <f t="shared" si="1661"/>
        <v>1500000</v>
      </c>
      <c r="O2308" s="912">
        <f t="shared" ref="O2308:P2308" si="1704">O2309+0</f>
        <v>7700000.0000000009</v>
      </c>
      <c r="P2308" s="912">
        <f t="shared" si="1704"/>
        <v>8470000.0000000019</v>
      </c>
      <c r="R2308" s="317"/>
      <c r="U2308" s="320"/>
    </row>
    <row r="2309" spans="1:21" s="344" customFormat="1" outlineLevel="2">
      <c r="A2309" s="345"/>
      <c r="B2309" s="345"/>
      <c r="C2309" s="405">
        <v>3110701</v>
      </c>
      <c r="D2309" s="345" t="s">
        <v>140</v>
      </c>
      <c r="E2309" s="913">
        <v>8500000</v>
      </c>
      <c r="F2309" s="406"/>
      <c r="G2309" s="406"/>
      <c r="H2309" s="406"/>
      <c r="I2309" s="324">
        <f t="shared" si="1670"/>
        <v>8500000</v>
      </c>
      <c r="J2309" s="406"/>
      <c r="K2309" s="915">
        <v>-1500000</v>
      </c>
      <c r="L2309" s="317">
        <f t="shared" ref="L2309:L2372" si="1705">I2309+J2309+K2309</f>
        <v>7000000</v>
      </c>
      <c r="M2309" s="317"/>
      <c r="N2309" s="372">
        <f t="shared" si="1661"/>
        <v>1500000</v>
      </c>
      <c r="O2309" s="336">
        <f>L2309*1.1</f>
        <v>7700000.0000000009</v>
      </c>
      <c r="P2309" s="336">
        <f t="shared" si="1690"/>
        <v>8470000.0000000019</v>
      </c>
      <c r="R2309" s="317"/>
      <c r="U2309" s="320"/>
    </row>
    <row r="2310" spans="1:21" s="344" customFormat="1" outlineLevel="2">
      <c r="A2310" s="345"/>
      <c r="B2310" s="345"/>
      <c r="C2310" s="328">
        <v>3111000</v>
      </c>
      <c r="D2310" s="326" t="s">
        <v>69</v>
      </c>
      <c r="E2310" s="912">
        <f>E2311+E2312+E2313</f>
        <v>1665215</v>
      </c>
      <c r="F2310" s="912">
        <f t="shared" ref="F2310:K2310" si="1706">F2311+F2312+F2313</f>
        <v>0</v>
      </c>
      <c r="G2310" s="912">
        <f t="shared" si="1706"/>
        <v>0</v>
      </c>
      <c r="H2310" s="912">
        <f t="shared" si="1706"/>
        <v>0</v>
      </c>
      <c r="I2310" s="912">
        <f t="shared" si="1706"/>
        <v>1665215</v>
      </c>
      <c r="J2310" s="912">
        <f t="shared" si="1706"/>
        <v>0</v>
      </c>
      <c r="K2310" s="912">
        <f t="shared" si="1706"/>
        <v>-200000</v>
      </c>
      <c r="L2310" s="317">
        <f t="shared" si="1705"/>
        <v>1465215</v>
      </c>
      <c r="M2310" s="317"/>
      <c r="N2310" s="372">
        <f t="shared" si="1661"/>
        <v>200000</v>
      </c>
      <c r="O2310" s="912">
        <f t="shared" ref="O2310:P2310" si="1707">O2311+O2312+O2313</f>
        <v>1611736.5</v>
      </c>
      <c r="P2310" s="912">
        <f t="shared" si="1707"/>
        <v>1772910.1500000001</v>
      </c>
      <c r="R2310" s="317"/>
      <c r="U2310" s="320"/>
    </row>
    <row r="2311" spans="1:21" s="446" customFormat="1" outlineLevel="2">
      <c r="A2311" s="345"/>
      <c r="B2311" s="345"/>
      <c r="C2311" s="405">
        <v>3111001</v>
      </c>
      <c r="D2311" s="345" t="s">
        <v>70</v>
      </c>
      <c r="E2311" s="913">
        <v>640000</v>
      </c>
      <c r="F2311" s="406"/>
      <c r="G2311" s="406"/>
      <c r="H2311" s="406"/>
      <c r="I2311" s="324">
        <f t="shared" si="1670"/>
        <v>640000</v>
      </c>
      <c r="J2311" s="406"/>
      <c r="K2311" s="914">
        <v>-200000</v>
      </c>
      <c r="L2311" s="317">
        <f t="shared" si="1705"/>
        <v>440000</v>
      </c>
      <c r="M2311" s="317"/>
      <c r="N2311" s="372">
        <f t="shared" si="1661"/>
        <v>200000</v>
      </c>
      <c r="O2311" s="336">
        <f>L2311*1.1</f>
        <v>484000.00000000006</v>
      </c>
      <c r="P2311" s="336">
        <f t="shared" si="1690"/>
        <v>532400.00000000012</v>
      </c>
      <c r="R2311" s="317"/>
      <c r="U2311" s="320"/>
    </row>
    <row r="2312" spans="1:21" s="446" customFormat="1" outlineLevel="2">
      <c r="A2312" s="345"/>
      <c r="B2312" s="345"/>
      <c r="C2312" s="405">
        <v>3111002</v>
      </c>
      <c r="D2312" s="345" t="s">
        <v>71</v>
      </c>
      <c r="E2312" s="913">
        <f>1050000-500000</f>
        <v>550000</v>
      </c>
      <c r="F2312" s="406"/>
      <c r="G2312" s="406"/>
      <c r="H2312" s="406"/>
      <c r="I2312" s="324">
        <f t="shared" si="1670"/>
        <v>550000</v>
      </c>
      <c r="J2312" s="406"/>
      <c r="K2312" s="915"/>
      <c r="L2312" s="317">
        <f t="shared" si="1705"/>
        <v>550000</v>
      </c>
      <c r="M2312" s="317"/>
      <c r="N2312" s="372">
        <f t="shared" si="1661"/>
        <v>0</v>
      </c>
      <c r="O2312" s="336">
        <f t="shared" ref="O2312" si="1708">L2312*1.1</f>
        <v>605000</v>
      </c>
      <c r="P2312" s="336">
        <f t="shared" ref="P2312" si="1709">O2312*1.1</f>
        <v>665500</v>
      </c>
      <c r="R2312" s="317"/>
      <c r="U2312" s="320"/>
    </row>
    <row r="2313" spans="1:21" s="344" customFormat="1" outlineLevel="2">
      <c r="A2313" s="345"/>
      <c r="B2313" s="345"/>
      <c r="C2313" s="405">
        <v>3111005</v>
      </c>
      <c r="D2313" s="345" t="s">
        <v>1417</v>
      </c>
      <c r="E2313" s="913">
        <v>475215</v>
      </c>
      <c r="F2313" s="406"/>
      <c r="G2313" s="406"/>
      <c r="H2313" s="406"/>
      <c r="I2313" s="324">
        <f t="shared" si="1670"/>
        <v>475215</v>
      </c>
      <c r="J2313" s="406"/>
      <c r="K2313" s="914"/>
      <c r="L2313" s="317">
        <f t="shared" si="1705"/>
        <v>475215</v>
      </c>
      <c r="M2313" s="317"/>
      <c r="N2313" s="372">
        <f t="shared" ref="N2313:N2376" si="1710">M2313-K2313</f>
        <v>0</v>
      </c>
      <c r="O2313" s="336">
        <f>L2313*1.1</f>
        <v>522736.50000000006</v>
      </c>
      <c r="P2313" s="336">
        <f t="shared" si="1690"/>
        <v>575010.15000000014</v>
      </c>
      <c r="R2313" s="317"/>
      <c r="U2313" s="320"/>
    </row>
    <row r="2314" spans="1:21" s="344" customFormat="1" outlineLevel="1">
      <c r="A2314" s="326"/>
      <c r="B2314" s="326"/>
      <c r="C2314" s="328"/>
      <c r="D2314" s="326" t="s">
        <v>310</v>
      </c>
      <c r="E2314" s="912">
        <f>E2310+E2308+E2305+E2303+E2300+E2298+E2294+E2292+E2290+E2287+E2281+E2279+E2274+E2269+E2263+E2258+E2255+E2253</f>
        <v>110140058</v>
      </c>
      <c r="F2314" s="912">
        <f t="shared" ref="F2314:K2314" si="1711">F2310+F2308+F2305+F2303+F2300+F2298+F2294+F2292+F2290+F2287+F2281+F2279+F2274+F2269+F2263+F2258+F2255+F2253</f>
        <v>3565624</v>
      </c>
      <c r="G2314" s="912">
        <f t="shared" si="1711"/>
        <v>0</v>
      </c>
      <c r="H2314" s="912">
        <f t="shared" si="1711"/>
        <v>-185212</v>
      </c>
      <c r="I2314" s="912">
        <f t="shared" si="1711"/>
        <v>113520470</v>
      </c>
      <c r="J2314" s="912">
        <f t="shared" si="1711"/>
        <v>0</v>
      </c>
      <c r="K2314" s="912">
        <f t="shared" si="1711"/>
        <v>-2577064</v>
      </c>
      <c r="L2314" s="317">
        <f t="shared" si="1705"/>
        <v>110943406</v>
      </c>
      <c r="M2314" s="317"/>
      <c r="N2314" s="372">
        <f t="shared" si="1710"/>
        <v>2577064</v>
      </c>
      <c r="O2314" s="912">
        <f t="shared" ref="O2314:P2314" si="1712">O2310+O2308+O2305+O2303+O2300+O2298+O2294+O2292+O2290+O2287+O2281+O2279+O2274+O2269+O2263+O2258+O2255+O2253</f>
        <v>122037746.60000001</v>
      </c>
      <c r="P2314" s="912">
        <f t="shared" si="1712"/>
        <v>134241521.26000002</v>
      </c>
      <c r="R2314" s="317"/>
      <c r="U2314" s="320"/>
    </row>
    <row r="2315" spans="1:21" s="344" customFormat="1" outlineLevel="1">
      <c r="A2315" s="345"/>
      <c r="B2315" s="345"/>
      <c r="C2315" s="405"/>
      <c r="D2315" s="345"/>
      <c r="E2315" s="913"/>
      <c r="F2315" s="406"/>
      <c r="G2315" s="406"/>
      <c r="H2315" s="406"/>
      <c r="I2315" s="324">
        <f t="shared" si="1670"/>
        <v>0</v>
      </c>
      <c r="J2315" s="406"/>
      <c r="K2315" s="921"/>
      <c r="L2315" s="317">
        <f t="shared" si="1705"/>
        <v>0</v>
      </c>
      <c r="M2315" s="317"/>
      <c r="N2315" s="372">
        <f t="shared" si="1710"/>
        <v>0</v>
      </c>
      <c r="O2315" s="336">
        <f>L2315*1.1</f>
        <v>0</v>
      </c>
      <c r="P2315" s="336">
        <f t="shared" ref="P2315:P2336" si="1713">O2315*1.1</f>
        <v>0</v>
      </c>
      <c r="R2315" s="317"/>
      <c r="U2315" s="320"/>
    </row>
    <row r="2316" spans="1:21" s="344" customFormat="1" outlineLevel="1">
      <c r="A2316" s="345"/>
      <c r="B2316" s="345"/>
      <c r="C2316" s="922" t="s">
        <v>1780</v>
      </c>
      <c r="D2316" s="922"/>
      <c r="E2316" s="461"/>
      <c r="F2316" s="461"/>
      <c r="G2316" s="461"/>
      <c r="H2316" s="461"/>
      <c r="I2316" s="324">
        <f t="shared" si="1670"/>
        <v>0</v>
      </c>
      <c r="J2316" s="461"/>
      <c r="K2316" s="921"/>
      <c r="L2316" s="317">
        <f t="shared" si="1705"/>
        <v>0</v>
      </c>
      <c r="M2316" s="317"/>
      <c r="N2316" s="372">
        <f t="shared" si="1710"/>
        <v>0</v>
      </c>
      <c r="O2316" s="336">
        <f>L2316*1.1</f>
        <v>0</v>
      </c>
      <c r="P2316" s="336">
        <f t="shared" si="1713"/>
        <v>0</v>
      </c>
      <c r="R2316" s="317"/>
      <c r="U2316" s="320"/>
    </row>
    <row r="2317" spans="1:21" s="344" customFormat="1" outlineLevel="1">
      <c r="A2317" s="345"/>
      <c r="B2317" s="345"/>
      <c r="C2317" s="328" t="s">
        <v>497</v>
      </c>
      <c r="D2317" s="326"/>
      <c r="E2317" s="913"/>
      <c r="F2317" s="461"/>
      <c r="G2317" s="461"/>
      <c r="H2317" s="461"/>
      <c r="I2317" s="324">
        <f t="shared" si="1670"/>
        <v>0</v>
      </c>
      <c r="J2317" s="461"/>
      <c r="K2317" s="921"/>
      <c r="L2317" s="317">
        <f t="shared" si="1705"/>
        <v>0</v>
      </c>
      <c r="M2317" s="317"/>
      <c r="N2317" s="372">
        <f t="shared" si="1710"/>
        <v>0</v>
      </c>
      <c r="O2317" s="336">
        <f>L2317*1.1</f>
        <v>0</v>
      </c>
      <c r="P2317" s="336">
        <f t="shared" si="1713"/>
        <v>0</v>
      </c>
      <c r="R2317" s="317"/>
      <c r="U2317" s="320"/>
    </row>
    <row r="2318" spans="1:21" s="344" customFormat="1" outlineLevel="1">
      <c r="A2318" s="345"/>
      <c r="B2318" s="345"/>
      <c r="C2318" s="328" t="s">
        <v>498</v>
      </c>
      <c r="D2318" s="326"/>
      <c r="E2318" s="913"/>
      <c r="F2318" s="461"/>
      <c r="G2318" s="461"/>
      <c r="H2318" s="461"/>
      <c r="I2318" s="324">
        <f t="shared" si="1670"/>
        <v>0</v>
      </c>
      <c r="J2318" s="461"/>
      <c r="K2318" s="921"/>
      <c r="L2318" s="317">
        <f t="shared" si="1705"/>
        <v>0</v>
      </c>
      <c r="M2318" s="317"/>
      <c r="N2318" s="372">
        <f t="shared" si="1710"/>
        <v>0</v>
      </c>
      <c r="O2318" s="336">
        <f>L2318*1.1</f>
        <v>0</v>
      </c>
      <c r="P2318" s="336">
        <f t="shared" si="1713"/>
        <v>0</v>
      </c>
      <c r="R2318" s="317"/>
      <c r="U2318" s="320"/>
    </row>
    <row r="2319" spans="1:21" s="344" customFormat="1" outlineLevel="3">
      <c r="A2319" s="345"/>
      <c r="B2319" s="345"/>
      <c r="C2319" s="328">
        <v>2210100</v>
      </c>
      <c r="D2319" s="326" t="s">
        <v>16</v>
      </c>
      <c r="E2319" s="912">
        <f>E2320+E2321</f>
        <v>435751</v>
      </c>
      <c r="F2319" s="912">
        <f t="shared" ref="F2319:K2319" si="1714">F2320+F2321</f>
        <v>0</v>
      </c>
      <c r="G2319" s="912">
        <f t="shared" si="1714"/>
        <v>0</v>
      </c>
      <c r="H2319" s="912">
        <f t="shared" si="1714"/>
        <v>0</v>
      </c>
      <c r="I2319" s="912">
        <f t="shared" si="1714"/>
        <v>435751</v>
      </c>
      <c r="J2319" s="912">
        <f t="shared" si="1714"/>
        <v>0</v>
      </c>
      <c r="K2319" s="912">
        <f t="shared" si="1714"/>
        <v>0</v>
      </c>
      <c r="L2319" s="317">
        <f t="shared" si="1705"/>
        <v>435751</v>
      </c>
      <c r="M2319" s="317"/>
      <c r="N2319" s="372">
        <f t="shared" si="1710"/>
        <v>0</v>
      </c>
      <c r="O2319" s="912">
        <f t="shared" ref="O2319:P2319" si="1715">O2320+O2321</f>
        <v>479326.1</v>
      </c>
      <c r="P2319" s="912">
        <f t="shared" si="1715"/>
        <v>527258.71000000008</v>
      </c>
      <c r="R2319" s="317"/>
      <c r="U2319" s="320"/>
    </row>
    <row r="2320" spans="1:21" s="344" customFormat="1" outlineLevel="3">
      <c r="A2320" s="345"/>
      <c r="B2320" s="345"/>
      <c r="C2320" s="405">
        <v>2210101</v>
      </c>
      <c r="D2320" s="345" t="s">
        <v>499</v>
      </c>
      <c r="E2320" s="913">
        <v>261235</v>
      </c>
      <c r="F2320" s="406"/>
      <c r="G2320" s="406"/>
      <c r="H2320" s="406"/>
      <c r="I2320" s="324">
        <f t="shared" si="1670"/>
        <v>261235</v>
      </c>
      <c r="J2320" s="406"/>
      <c r="K2320" s="915"/>
      <c r="L2320" s="317">
        <f t="shared" si="1705"/>
        <v>261235</v>
      </c>
      <c r="M2320" s="317"/>
      <c r="N2320" s="372">
        <f t="shared" si="1710"/>
        <v>0</v>
      </c>
      <c r="O2320" s="336">
        <f>L2320*1.1</f>
        <v>287358.5</v>
      </c>
      <c r="P2320" s="336">
        <f t="shared" si="1713"/>
        <v>316094.35000000003</v>
      </c>
      <c r="R2320" s="317"/>
      <c r="U2320" s="320"/>
    </row>
    <row r="2321" spans="1:21" s="344" customFormat="1" outlineLevel="3">
      <c r="A2321" s="345"/>
      <c r="B2321" s="345"/>
      <c r="C2321" s="405">
        <v>2210102</v>
      </c>
      <c r="D2321" s="345" t="s">
        <v>500</v>
      </c>
      <c r="E2321" s="913">
        <v>174516</v>
      </c>
      <c r="F2321" s="406"/>
      <c r="G2321" s="406"/>
      <c r="H2321" s="406"/>
      <c r="I2321" s="324">
        <f t="shared" si="1670"/>
        <v>174516</v>
      </c>
      <c r="J2321" s="406"/>
      <c r="K2321" s="914"/>
      <c r="L2321" s="317">
        <f t="shared" si="1705"/>
        <v>174516</v>
      </c>
      <c r="M2321" s="317"/>
      <c r="N2321" s="372">
        <f t="shared" si="1710"/>
        <v>0</v>
      </c>
      <c r="O2321" s="336">
        <f>L2321*1.1</f>
        <v>191967.6</v>
      </c>
      <c r="P2321" s="336">
        <f t="shared" si="1713"/>
        <v>211164.36000000002</v>
      </c>
      <c r="R2321" s="317"/>
      <c r="U2321" s="320"/>
    </row>
    <row r="2322" spans="1:21" s="344" customFormat="1" outlineLevel="3">
      <c r="A2322" s="345"/>
      <c r="B2322" s="345"/>
      <c r="C2322" s="328">
        <v>2210200</v>
      </c>
      <c r="D2322" s="326" t="s">
        <v>20</v>
      </c>
      <c r="E2322" s="912">
        <f>E2323+0</f>
        <v>274815</v>
      </c>
      <c r="F2322" s="912">
        <f t="shared" ref="F2322:K2322" si="1716">F2323+0</f>
        <v>0</v>
      </c>
      <c r="G2322" s="912">
        <f t="shared" si="1716"/>
        <v>0</v>
      </c>
      <c r="H2322" s="912">
        <f t="shared" si="1716"/>
        <v>0</v>
      </c>
      <c r="I2322" s="912">
        <f t="shared" si="1716"/>
        <v>274815</v>
      </c>
      <c r="J2322" s="912">
        <f t="shared" si="1716"/>
        <v>0</v>
      </c>
      <c r="K2322" s="912">
        <f t="shared" si="1716"/>
        <v>0</v>
      </c>
      <c r="L2322" s="317">
        <f t="shared" si="1705"/>
        <v>274815</v>
      </c>
      <c r="M2322" s="317"/>
      <c r="N2322" s="372">
        <f t="shared" si="1710"/>
        <v>0</v>
      </c>
      <c r="O2322" s="912">
        <f t="shared" ref="O2322:P2322" si="1717">O2323+0</f>
        <v>302296.5</v>
      </c>
      <c r="P2322" s="912">
        <f t="shared" si="1717"/>
        <v>332526.15000000002</v>
      </c>
      <c r="R2322" s="317"/>
      <c r="U2322" s="320"/>
    </row>
    <row r="2323" spans="1:21" s="344" customFormat="1" outlineLevel="3">
      <c r="A2323" s="345"/>
      <c r="B2323" s="345"/>
      <c r="C2323" s="405">
        <v>2210201</v>
      </c>
      <c r="D2323" s="345" t="s">
        <v>21</v>
      </c>
      <c r="E2323" s="913">
        <v>274815</v>
      </c>
      <c r="F2323" s="406"/>
      <c r="G2323" s="406"/>
      <c r="H2323" s="406"/>
      <c r="I2323" s="324">
        <f t="shared" si="1670"/>
        <v>274815</v>
      </c>
      <c r="J2323" s="406"/>
      <c r="K2323" s="914"/>
      <c r="L2323" s="317">
        <f t="shared" si="1705"/>
        <v>274815</v>
      </c>
      <c r="M2323" s="317"/>
      <c r="N2323" s="372">
        <f t="shared" si="1710"/>
        <v>0</v>
      </c>
      <c r="O2323" s="336">
        <f>L2323*1.1</f>
        <v>302296.5</v>
      </c>
      <c r="P2323" s="336">
        <f t="shared" si="1713"/>
        <v>332526.15000000002</v>
      </c>
      <c r="R2323" s="317"/>
      <c r="U2323" s="320"/>
    </row>
    <row r="2324" spans="1:21" s="344" customFormat="1" outlineLevel="3">
      <c r="A2324" s="345"/>
      <c r="B2324" s="345"/>
      <c r="C2324" s="328">
        <v>2210300</v>
      </c>
      <c r="D2324" s="326" t="s">
        <v>24</v>
      </c>
      <c r="E2324" s="912">
        <f>E2325+E2326+E2327+E2328</f>
        <v>1531325</v>
      </c>
      <c r="F2324" s="912">
        <f t="shared" ref="F2324:K2324" si="1718">F2325+F2326+F2327+F2328</f>
        <v>0</v>
      </c>
      <c r="G2324" s="912">
        <f t="shared" si="1718"/>
        <v>0</v>
      </c>
      <c r="H2324" s="912">
        <f t="shared" si="1718"/>
        <v>2500000</v>
      </c>
      <c r="I2324" s="912">
        <f t="shared" si="1718"/>
        <v>4031325</v>
      </c>
      <c r="J2324" s="912">
        <f t="shared" si="1718"/>
        <v>0</v>
      </c>
      <c r="K2324" s="912">
        <f t="shared" si="1718"/>
        <v>3000000</v>
      </c>
      <c r="L2324" s="317">
        <f t="shared" si="1705"/>
        <v>7031325</v>
      </c>
      <c r="M2324" s="317"/>
      <c r="N2324" s="372">
        <f t="shared" si="1710"/>
        <v>-3000000</v>
      </c>
      <c r="O2324" s="912">
        <f t="shared" ref="O2324:P2324" si="1719">O2325+O2326+O2327+O2328</f>
        <v>7734457.5</v>
      </c>
      <c r="P2324" s="912">
        <f t="shared" si="1719"/>
        <v>8507903.25</v>
      </c>
      <c r="R2324" s="317"/>
      <c r="U2324" s="320"/>
    </row>
    <row r="2325" spans="1:21" s="344" customFormat="1" outlineLevel="3">
      <c r="A2325" s="345"/>
      <c r="B2325" s="345"/>
      <c r="C2325" s="405">
        <v>2210301</v>
      </c>
      <c r="D2325" s="345" t="s">
        <v>25</v>
      </c>
      <c r="E2325" s="913">
        <v>274675</v>
      </c>
      <c r="F2325" s="406"/>
      <c r="G2325" s="406"/>
      <c r="H2325" s="406">
        <v>1100000</v>
      </c>
      <c r="I2325" s="324">
        <f t="shared" ref="I2325:I2386" si="1720">E2325+F2325+G2325+H2325</f>
        <v>1374675</v>
      </c>
      <c r="J2325" s="406"/>
      <c r="K2325" s="915">
        <v>950000</v>
      </c>
      <c r="L2325" s="317">
        <f t="shared" si="1705"/>
        <v>2324675</v>
      </c>
      <c r="M2325" s="317"/>
      <c r="N2325" s="372">
        <f t="shared" si="1710"/>
        <v>-950000</v>
      </c>
      <c r="O2325" s="336">
        <f>L2325*1.1</f>
        <v>2557142.5</v>
      </c>
      <c r="P2325" s="336">
        <f t="shared" si="1713"/>
        <v>2812856.75</v>
      </c>
      <c r="R2325" s="317"/>
      <c r="U2325" s="320"/>
    </row>
    <row r="2326" spans="1:21" s="344" customFormat="1" outlineLevel="3">
      <c r="A2326" s="345"/>
      <c r="B2326" s="345"/>
      <c r="C2326" s="405">
        <v>2210302</v>
      </c>
      <c r="D2326" s="345" t="s">
        <v>26</v>
      </c>
      <c r="E2326" s="913">
        <v>454850</v>
      </c>
      <c r="F2326" s="406"/>
      <c r="G2326" s="406"/>
      <c r="H2326" s="406">
        <v>580000</v>
      </c>
      <c r="I2326" s="324">
        <f t="shared" si="1720"/>
        <v>1034850</v>
      </c>
      <c r="J2326" s="406"/>
      <c r="K2326" s="914">
        <v>1200000</v>
      </c>
      <c r="L2326" s="317">
        <f t="shared" si="1705"/>
        <v>2234850</v>
      </c>
      <c r="M2326" s="317"/>
      <c r="N2326" s="372">
        <f t="shared" si="1710"/>
        <v>-1200000</v>
      </c>
      <c r="O2326" s="336">
        <f>L2326*1.1</f>
        <v>2458335</v>
      </c>
      <c r="P2326" s="336">
        <f t="shared" si="1713"/>
        <v>2704168.5</v>
      </c>
      <c r="R2326" s="317"/>
      <c r="U2326" s="320"/>
    </row>
    <row r="2327" spans="1:21" s="344" customFormat="1" outlineLevel="3">
      <c r="A2327" s="345"/>
      <c r="B2327" s="345"/>
      <c r="C2327" s="405">
        <v>2210303</v>
      </c>
      <c r="D2327" s="345" t="s">
        <v>27</v>
      </c>
      <c r="E2327" s="913">
        <v>796000</v>
      </c>
      <c r="F2327" s="406"/>
      <c r="G2327" s="406"/>
      <c r="H2327" s="406">
        <v>820000</v>
      </c>
      <c r="I2327" s="324">
        <f t="shared" si="1720"/>
        <v>1616000</v>
      </c>
      <c r="J2327" s="406"/>
      <c r="K2327" s="914">
        <v>850000</v>
      </c>
      <c r="L2327" s="317">
        <f t="shared" si="1705"/>
        <v>2466000</v>
      </c>
      <c r="M2327" s="317"/>
      <c r="N2327" s="372">
        <f t="shared" si="1710"/>
        <v>-850000</v>
      </c>
      <c r="O2327" s="336">
        <f>L2327*1.1</f>
        <v>2712600</v>
      </c>
      <c r="P2327" s="336">
        <f t="shared" si="1713"/>
        <v>2983860.0000000005</v>
      </c>
      <c r="R2327" s="317"/>
      <c r="U2327" s="320"/>
    </row>
    <row r="2328" spans="1:21" s="344" customFormat="1" outlineLevel="3">
      <c r="A2328" s="345"/>
      <c r="B2328" s="345"/>
      <c r="C2328" s="405">
        <v>2210307</v>
      </c>
      <c r="D2328" s="345" t="s">
        <v>483</v>
      </c>
      <c r="E2328" s="913">
        <v>5800</v>
      </c>
      <c r="F2328" s="406"/>
      <c r="G2328" s="406"/>
      <c r="H2328" s="406"/>
      <c r="I2328" s="324">
        <f t="shared" si="1720"/>
        <v>5800</v>
      </c>
      <c r="J2328" s="406"/>
      <c r="K2328" s="914"/>
      <c r="L2328" s="317">
        <f t="shared" si="1705"/>
        <v>5800</v>
      </c>
      <c r="M2328" s="317"/>
      <c r="N2328" s="372">
        <f t="shared" si="1710"/>
        <v>0</v>
      </c>
      <c r="O2328" s="336">
        <f>L2328*1.1</f>
        <v>6380.0000000000009</v>
      </c>
      <c r="P2328" s="336">
        <f t="shared" si="1713"/>
        <v>7018.0000000000018</v>
      </c>
      <c r="R2328" s="317"/>
      <c r="U2328" s="320"/>
    </row>
    <row r="2329" spans="1:21" s="344" customFormat="1" outlineLevel="3">
      <c r="A2329" s="345"/>
      <c r="B2329" s="345"/>
      <c r="C2329" s="328">
        <v>2210500</v>
      </c>
      <c r="D2329" s="326" t="s">
        <v>31</v>
      </c>
      <c r="E2329" s="912">
        <f>E2330+E2331</f>
        <v>3815710</v>
      </c>
      <c r="F2329" s="912">
        <f t="shared" ref="F2329:P2329" si="1721">F2330+F2331</f>
        <v>0</v>
      </c>
      <c r="G2329" s="912">
        <f t="shared" si="1721"/>
        <v>0</v>
      </c>
      <c r="H2329" s="912">
        <f t="shared" si="1721"/>
        <v>0</v>
      </c>
      <c r="I2329" s="912">
        <f t="shared" si="1721"/>
        <v>3815710</v>
      </c>
      <c r="J2329" s="912">
        <f t="shared" si="1721"/>
        <v>0</v>
      </c>
      <c r="K2329" s="912">
        <f t="shared" si="1721"/>
        <v>-445746</v>
      </c>
      <c r="L2329" s="317">
        <f t="shared" si="1705"/>
        <v>3369964</v>
      </c>
      <c r="M2329" s="317"/>
      <c r="N2329" s="372">
        <f t="shared" si="1710"/>
        <v>445746</v>
      </c>
      <c r="O2329" s="912">
        <f t="shared" si="1721"/>
        <v>3706960.4000000004</v>
      </c>
      <c r="P2329" s="912">
        <f t="shared" si="1721"/>
        <v>4077656.4400000004</v>
      </c>
      <c r="R2329" s="317"/>
      <c r="U2329" s="320"/>
    </row>
    <row r="2330" spans="1:21" s="344" customFormat="1" outlineLevel="3">
      <c r="A2330" s="345"/>
      <c r="B2330" s="345"/>
      <c r="C2330" s="405">
        <v>2210504</v>
      </c>
      <c r="D2330" s="345" t="s">
        <v>1418</v>
      </c>
      <c r="E2330" s="913">
        <f>2815710-1000000</f>
        <v>1815710</v>
      </c>
      <c r="F2330" s="406"/>
      <c r="G2330" s="406"/>
      <c r="H2330" s="406"/>
      <c r="I2330" s="324">
        <f t="shared" si="1720"/>
        <v>1815710</v>
      </c>
      <c r="J2330" s="406"/>
      <c r="K2330" s="914">
        <v>-445746</v>
      </c>
      <c r="L2330" s="317">
        <f t="shared" si="1705"/>
        <v>1369964</v>
      </c>
      <c r="M2330" s="317"/>
      <c r="N2330" s="372">
        <f t="shared" si="1710"/>
        <v>445746</v>
      </c>
      <c r="O2330" s="336">
        <f>L2330*1.1</f>
        <v>1506960.4000000001</v>
      </c>
      <c r="P2330" s="336">
        <f t="shared" si="1713"/>
        <v>1657656.4400000002</v>
      </c>
      <c r="R2330" s="317"/>
      <c r="U2330" s="320"/>
    </row>
    <row r="2331" spans="1:21" s="344" customFormat="1" outlineLevel="3">
      <c r="A2331" s="345"/>
      <c r="B2331" s="345"/>
      <c r="C2331" s="405">
        <v>2210505</v>
      </c>
      <c r="D2331" s="345" t="s">
        <v>501</v>
      </c>
      <c r="E2331" s="913">
        <f>3000000-1000000</f>
        <v>2000000</v>
      </c>
      <c r="F2331" s="406"/>
      <c r="G2331" s="406"/>
      <c r="H2331" s="406"/>
      <c r="I2331" s="324">
        <f t="shared" si="1720"/>
        <v>2000000</v>
      </c>
      <c r="J2331" s="406"/>
      <c r="K2331" s="914"/>
      <c r="L2331" s="317">
        <f t="shared" si="1705"/>
        <v>2000000</v>
      </c>
      <c r="M2331" s="317"/>
      <c r="N2331" s="372">
        <f t="shared" si="1710"/>
        <v>0</v>
      </c>
      <c r="O2331" s="336">
        <f>L2331*1.1</f>
        <v>2200000</v>
      </c>
      <c r="P2331" s="336">
        <f t="shared" si="1713"/>
        <v>2420000</v>
      </c>
      <c r="R2331" s="317"/>
      <c r="U2331" s="320"/>
    </row>
    <row r="2332" spans="1:21" s="344" customFormat="1" outlineLevel="3">
      <c r="A2332" s="345"/>
      <c r="B2332" s="345"/>
      <c r="C2332" s="328">
        <v>2210700</v>
      </c>
      <c r="D2332" s="326" t="s">
        <v>35</v>
      </c>
      <c r="E2332" s="912">
        <f>E2333+E2334+E2336+E2337+E2335</f>
        <v>3383295</v>
      </c>
      <c r="F2332" s="912">
        <f t="shared" ref="F2332:K2332" si="1722">F2333+F2334+F2336+F2337+F2335</f>
        <v>0</v>
      </c>
      <c r="G2332" s="912">
        <f t="shared" si="1722"/>
        <v>0</v>
      </c>
      <c r="H2332" s="912">
        <f t="shared" si="1722"/>
        <v>0</v>
      </c>
      <c r="I2332" s="912">
        <f t="shared" si="1722"/>
        <v>3383295</v>
      </c>
      <c r="J2332" s="912">
        <f t="shared" si="1722"/>
        <v>0</v>
      </c>
      <c r="K2332" s="912">
        <f t="shared" si="1722"/>
        <v>-310000</v>
      </c>
      <c r="L2332" s="317">
        <f t="shared" si="1705"/>
        <v>3073295</v>
      </c>
      <c r="M2332" s="317"/>
      <c r="N2332" s="372">
        <f t="shared" si="1710"/>
        <v>310000</v>
      </c>
      <c r="O2332" s="912">
        <f t="shared" ref="O2332:P2332" si="1723">O2333+O2334+O2336+O2337+O2335</f>
        <v>3380624.5</v>
      </c>
      <c r="P2332" s="912">
        <f t="shared" si="1723"/>
        <v>3718686.95</v>
      </c>
      <c r="R2332" s="317"/>
      <c r="U2332" s="320"/>
    </row>
    <row r="2333" spans="1:21" s="344" customFormat="1" outlineLevel="3">
      <c r="A2333" s="345"/>
      <c r="B2333" s="345"/>
      <c r="C2333" s="405">
        <v>2210702</v>
      </c>
      <c r="D2333" s="345" t="s">
        <v>37</v>
      </c>
      <c r="E2333" s="348">
        <v>219050</v>
      </c>
      <c r="F2333" s="406"/>
      <c r="G2333" s="406"/>
      <c r="H2333" s="406"/>
      <c r="I2333" s="324">
        <f t="shared" si="1720"/>
        <v>219050</v>
      </c>
      <c r="J2333" s="406"/>
      <c r="K2333" s="914"/>
      <c r="L2333" s="317">
        <f t="shared" si="1705"/>
        <v>219050</v>
      </c>
      <c r="M2333" s="317"/>
      <c r="N2333" s="372">
        <f t="shared" si="1710"/>
        <v>0</v>
      </c>
      <c r="O2333" s="336">
        <f>L2333*1.1</f>
        <v>240955.00000000003</v>
      </c>
      <c r="P2333" s="336">
        <f t="shared" si="1713"/>
        <v>265050.50000000006</v>
      </c>
      <c r="R2333" s="317"/>
      <c r="U2333" s="320"/>
    </row>
    <row r="2334" spans="1:21" s="344" customFormat="1" outlineLevel="3">
      <c r="A2334" s="345"/>
      <c r="B2334" s="345"/>
      <c r="C2334" s="405">
        <v>2210704</v>
      </c>
      <c r="D2334" s="345" t="s">
        <v>38</v>
      </c>
      <c r="E2334" s="348">
        <v>323350</v>
      </c>
      <c r="F2334" s="406"/>
      <c r="G2334" s="406"/>
      <c r="H2334" s="406"/>
      <c r="I2334" s="324">
        <f t="shared" si="1720"/>
        <v>323350</v>
      </c>
      <c r="J2334" s="406"/>
      <c r="K2334" s="914">
        <v>-200000</v>
      </c>
      <c r="L2334" s="317">
        <f t="shared" si="1705"/>
        <v>123350</v>
      </c>
      <c r="M2334" s="317"/>
      <c r="N2334" s="372">
        <f t="shared" si="1710"/>
        <v>200000</v>
      </c>
      <c r="O2334" s="336">
        <f t="shared" ref="O2334:O2335" si="1724">L2334*1.1</f>
        <v>135685</v>
      </c>
      <c r="P2334" s="336">
        <f t="shared" ref="P2334:P2335" si="1725">O2334*1.1</f>
        <v>149253.5</v>
      </c>
      <c r="R2334" s="317"/>
      <c r="U2334" s="320"/>
    </row>
    <row r="2335" spans="1:21" s="344" customFormat="1" outlineLevel="3">
      <c r="A2335" s="345"/>
      <c r="B2335" s="345"/>
      <c r="C2335" s="405">
        <v>2210707</v>
      </c>
      <c r="D2335" s="345" t="s">
        <v>502</v>
      </c>
      <c r="E2335" s="348">
        <f>3200000-1100000-300000</f>
        <v>1800000</v>
      </c>
      <c r="F2335" s="406"/>
      <c r="G2335" s="406"/>
      <c r="H2335" s="406"/>
      <c r="I2335" s="324">
        <f t="shared" si="1720"/>
        <v>1800000</v>
      </c>
      <c r="J2335" s="406"/>
      <c r="K2335" s="914">
        <v>200000</v>
      </c>
      <c r="L2335" s="317">
        <f t="shared" si="1705"/>
        <v>2000000</v>
      </c>
      <c r="M2335" s="317"/>
      <c r="N2335" s="372">
        <f t="shared" si="1710"/>
        <v>-200000</v>
      </c>
      <c r="O2335" s="336">
        <f t="shared" si="1724"/>
        <v>2200000</v>
      </c>
      <c r="P2335" s="336">
        <f t="shared" si="1725"/>
        <v>2420000</v>
      </c>
      <c r="R2335" s="317"/>
      <c r="U2335" s="320"/>
    </row>
    <row r="2336" spans="1:21" s="344" customFormat="1" outlineLevel="3">
      <c r="A2336" s="345"/>
      <c r="B2336" s="345"/>
      <c r="C2336" s="405">
        <v>2210710</v>
      </c>
      <c r="D2336" s="345" t="s">
        <v>1419</v>
      </c>
      <c r="E2336" s="348">
        <v>440895</v>
      </c>
      <c r="F2336" s="406"/>
      <c r="G2336" s="406"/>
      <c r="H2336" s="406"/>
      <c r="I2336" s="324">
        <f t="shared" si="1720"/>
        <v>440895</v>
      </c>
      <c r="J2336" s="406"/>
      <c r="K2336" s="914">
        <v>240000</v>
      </c>
      <c r="L2336" s="317">
        <f t="shared" si="1705"/>
        <v>680895</v>
      </c>
      <c r="M2336" s="317"/>
      <c r="N2336" s="372">
        <f t="shared" si="1710"/>
        <v>-240000</v>
      </c>
      <c r="O2336" s="336">
        <f>L2336*1.1</f>
        <v>748984.50000000012</v>
      </c>
      <c r="P2336" s="336">
        <f t="shared" si="1713"/>
        <v>823882.95000000019</v>
      </c>
      <c r="R2336" s="317"/>
      <c r="U2336" s="320"/>
    </row>
    <row r="2337" spans="1:21" s="344" customFormat="1" outlineLevel="3">
      <c r="A2337" s="345"/>
      <c r="B2337" s="345"/>
      <c r="C2337" s="405">
        <v>2210715</v>
      </c>
      <c r="D2337" s="345" t="s">
        <v>40</v>
      </c>
      <c r="E2337" s="348">
        <v>600000</v>
      </c>
      <c r="F2337" s="406"/>
      <c r="G2337" s="406"/>
      <c r="H2337" s="406"/>
      <c r="I2337" s="324">
        <f t="shared" si="1720"/>
        <v>600000</v>
      </c>
      <c r="J2337" s="406"/>
      <c r="K2337" s="914">
        <v>-550000</v>
      </c>
      <c r="L2337" s="317">
        <f t="shared" si="1705"/>
        <v>50000</v>
      </c>
      <c r="M2337" s="317"/>
      <c r="N2337" s="372">
        <f t="shared" si="1710"/>
        <v>550000</v>
      </c>
      <c r="O2337" s="336">
        <f>L2337*1.1</f>
        <v>55000.000000000007</v>
      </c>
      <c r="P2337" s="336">
        <f t="shared" ref="P2337:P2363" si="1726">O2337*1.1</f>
        <v>60500.000000000015</v>
      </c>
      <c r="R2337" s="317"/>
      <c r="U2337" s="320"/>
    </row>
    <row r="2338" spans="1:21" s="344" customFormat="1" outlineLevel="3">
      <c r="A2338" s="345"/>
      <c r="B2338" s="345"/>
      <c r="C2338" s="328">
        <v>2210800</v>
      </c>
      <c r="D2338" s="326" t="s">
        <v>42</v>
      </c>
      <c r="E2338" s="912">
        <f>E2339+E2340</f>
        <v>979970</v>
      </c>
      <c r="F2338" s="912">
        <f t="shared" ref="F2338:P2338" si="1727">F2339+F2340</f>
        <v>0</v>
      </c>
      <c r="G2338" s="912">
        <f t="shared" si="1727"/>
        <v>0</v>
      </c>
      <c r="H2338" s="912">
        <f t="shared" si="1727"/>
        <v>0</v>
      </c>
      <c r="I2338" s="912">
        <f t="shared" si="1727"/>
        <v>979970</v>
      </c>
      <c r="J2338" s="912">
        <f t="shared" si="1727"/>
        <v>0</v>
      </c>
      <c r="K2338" s="912">
        <f t="shared" si="1727"/>
        <v>0</v>
      </c>
      <c r="L2338" s="317">
        <f t="shared" si="1705"/>
        <v>979970</v>
      </c>
      <c r="M2338" s="317"/>
      <c r="N2338" s="372">
        <f t="shared" si="1710"/>
        <v>0</v>
      </c>
      <c r="O2338" s="912">
        <f t="shared" si="1727"/>
        <v>1077967</v>
      </c>
      <c r="P2338" s="912">
        <f t="shared" si="1727"/>
        <v>1185763.7000000002</v>
      </c>
      <c r="R2338" s="317"/>
      <c r="U2338" s="320"/>
    </row>
    <row r="2339" spans="1:21" s="344" customFormat="1" outlineLevel="3">
      <c r="A2339" s="345"/>
      <c r="B2339" s="345"/>
      <c r="C2339" s="405">
        <v>2210801</v>
      </c>
      <c r="D2339" s="345" t="s">
        <v>2421</v>
      </c>
      <c r="E2339" s="913">
        <v>423700</v>
      </c>
      <c r="F2339" s="406"/>
      <c r="G2339" s="406"/>
      <c r="H2339" s="406"/>
      <c r="I2339" s="324">
        <f t="shared" si="1720"/>
        <v>423700</v>
      </c>
      <c r="J2339" s="406"/>
      <c r="K2339" s="914"/>
      <c r="L2339" s="317">
        <f t="shared" si="1705"/>
        <v>423700</v>
      </c>
      <c r="M2339" s="317"/>
      <c r="N2339" s="372">
        <f t="shared" si="1710"/>
        <v>0</v>
      </c>
      <c r="O2339" s="336">
        <f t="shared" ref="O2339" si="1728">L2339*1.1</f>
        <v>466070.00000000006</v>
      </c>
      <c r="P2339" s="336">
        <f t="shared" ref="P2339" si="1729">O2339*1.1</f>
        <v>512677.00000000012</v>
      </c>
      <c r="R2339" s="317"/>
      <c r="U2339" s="320"/>
    </row>
    <row r="2340" spans="1:21" s="344" customFormat="1" outlineLevel="3">
      <c r="A2340" s="345"/>
      <c r="B2340" s="345"/>
      <c r="C2340" s="405">
        <v>2210802</v>
      </c>
      <c r="D2340" s="345" t="s">
        <v>45</v>
      </c>
      <c r="E2340" s="913">
        <v>556270</v>
      </c>
      <c r="F2340" s="406"/>
      <c r="G2340" s="406"/>
      <c r="H2340" s="406"/>
      <c r="I2340" s="324">
        <f t="shared" si="1720"/>
        <v>556270</v>
      </c>
      <c r="J2340" s="406"/>
      <c r="K2340" s="915"/>
      <c r="L2340" s="317">
        <f t="shared" si="1705"/>
        <v>556270</v>
      </c>
      <c r="M2340" s="317"/>
      <c r="N2340" s="372">
        <f t="shared" si="1710"/>
        <v>0</v>
      </c>
      <c r="O2340" s="336">
        <f>L2340*1.1</f>
        <v>611897</v>
      </c>
      <c r="P2340" s="336">
        <f t="shared" si="1726"/>
        <v>673086.70000000007</v>
      </c>
      <c r="R2340" s="317"/>
      <c r="U2340" s="320"/>
    </row>
    <row r="2341" spans="1:21" s="344" customFormat="1" outlineLevel="3">
      <c r="A2341" s="345"/>
      <c r="B2341" s="345"/>
      <c r="C2341" s="328">
        <v>2211100</v>
      </c>
      <c r="D2341" s="326" t="s">
        <v>51</v>
      </c>
      <c r="E2341" s="912">
        <f>E2342+E2343</f>
        <v>495668</v>
      </c>
      <c r="F2341" s="912">
        <f t="shared" ref="F2341:P2341" si="1730">F2342+F2343</f>
        <v>0</v>
      </c>
      <c r="G2341" s="912">
        <f t="shared" si="1730"/>
        <v>0</v>
      </c>
      <c r="H2341" s="912">
        <f t="shared" si="1730"/>
        <v>0</v>
      </c>
      <c r="I2341" s="912">
        <f t="shared" si="1730"/>
        <v>495668</v>
      </c>
      <c r="J2341" s="912">
        <f t="shared" si="1730"/>
        <v>0</v>
      </c>
      <c r="K2341" s="912">
        <f t="shared" si="1730"/>
        <v>0</v>
      </c>
      <c r="L2341" s="317">
        <f t="shared" si="1705"/>
        <v>495668</v>
      </c>
      <c r="M2341" s="317"/>
      <c r="N2341" s="372">
        <f t="shared" si="1710"/>
        <v>0</v>
      </c>
      <c r="O2341" s="912">
        <f t="shared" si="1730"/>
        <v>545234.80000000005</v>
      </c>
      <c r="P2341" s="912">
        <f t="shared" si="1730"/>
        <v>599758.28</v>
      </c>
      <c r="R2341" s="317"/>
      <c r="U2341" s="320"/>
    </row>
    <row r="2342" spans="1:21" s="344" customFormat="1" outlineLevel="3">
      <c r="A2342" s="345"/>
      <c r="B2342" s="345"/>
      <c r="C2342" s="405">
        <v>2211101</v>
      </c>
      <c r="D2342" s="345" t="s">
        <v>52</v>
      </c>
      <c r="E2342" s="348">
        <v>339416</v>
      </c>
      <c r="F2342" s="406"/>
      <c r="G2342" s="406"/>
      <c r="H2342" s="406"/>
      <c r="I2342" s="324">
        <f t="shared" si="1720"/>
        <v>339416</v>
      </c>
      <c r="J2342" s="406"/>
      <c r="K2342" s="914"/>
      <c r="L2342" s="317">
        <f t="shared" si="1705"/>
        <v>339416</v>
      </c>
      <c r="M2342" s="317"/>
      <c r="N2342" s="372">
        <f t="shared" si="1710"/>
        <v>0</v>
      </c>
      <c r="O2342" s="336">
        <f>L2342*1.1</f>
        <v>373357.60000000003</v>
      </c>
      <c r="P2342" s="336">
        <f t="shared" si="1726"/>
        <v>410693.36000000004</v>
      </c>
      <c r="R2342" s="317"/>
      <c r="U2342" s="320"/>
    </row>
    <row r="2343" spans="1:21" s="344" customFormat="1" outlineLevel="3">
      <c r="A2343" s="345"/>
      <c r="B2343" s="345"/>
      <c r="C2343" s="405">
        <v>2211103</v>
      </c>
      <c r="D2343" s="345" t="s">
        <v>54</v>
      </c>
      <c r="E2343" s="913">
        <v>156252</v>
      </c>
      <c r="F2343" s="406"/>
      <c r="G2343" s="406"/>
      <c r="H2343" s="406"/>
      <c r="I2343" s="324">
        <f t="shared" si="1720"/>
        <v>156252</v>
      </c>
      <c r="J2343" s="406"/>
      <c r="K2343" s="914"/>
      <c r="L2343" s="317">
        <f t="shared" si="1705"/>
        <v>156252</v>
      </c>
      <c r="M2343" s="317"/>
      <c r="N2343" s="372">
        <f t="shared" si="1710"/>
        <v>0</v>
      </c>
      <c r="O2343" s="336">
        <f>L2343*1.1</f>
        <v>171877.2</v>
      </c>
      <c r="P2343" s="336">
        <f t="shared" si="1726"/>
        <v>189064.92000000004</v>
      </c>
      <c r="R2343" s="317"/>
      <c r="U2343" s="320"/>
    </row>
    <row r="2344" spans="1:21" s="344" customFormat="1" outlineLevel="3">
      <c r="A2344" s="345"/>
      <c r="B2344" s="345"/>
      <c r="C2344" s="328">
        <v>2211200</v>
      </c>
      <c r="D2344" s="326" t="s">
        <v>55</v>
      </c>
      <c r="E2344" s="912">
        <f>E2345+0</f>
        <v>729880</v>
      </c>
      <c r="F2344" s="912">
        <f t="shared" ref="F2344:K2344" si="1731">F2345+0</f>
        <v>0</v>
      </c>
      <c r="G2344" s="912">
        <f t="shared" si="1731"/>
        <v>0</v>
      </c>
      <c r="H2344" s="912">
        <f t="shared" si="1731"/>
        <v>0</v>
      </c>
      <c r="I2344" s="912">
        <f t="shared" si="1731"/>
        <v>729880</v>
      </c>
      <c r="J2344" s="912">
        <f t="shared" si="1731"/>
        <v>0</v>
      </c>
      <c r="K2344" s="912">
        <f t="shared" si="1731"/>
        <v>0</v>
      </c>
      <c r="L2344" s="317">
        <f t="shared" si="1705"/>
        <v>729880</v>
      </c>
      <c r="M2344" s="317"/>
      <c r="N2344" s="372">
        <f t="shared" si="1710"/>
        <v>0</v>
      </c>
      <c r="O2344" s="912">
        <f t="shared" ref="O2344:P2344" si="1732">O2345+0</f>
        <v>802868.00000000012</v>
      </c>
      <c r="P2344" s="912">
        <f t="shared" si="1732"/>
        <v>883154.80000000016</v>
      </c>
      <c r="R2344" s="317"/>
      <c r="U2344" s="320"/>
    </row>
    <row r="2345" spans="1:21" s="344" customFormat="1" outlineLevel="3">
      <c r="A2345" s="345"/>
      <c r="B2345" s="345"/>
      <c r="C2345" s="405">
        <v>2211201</v>
      </c>
      <c r="D2345" s="345" t="s">
        <v>1420</v>
      </c>
      <c r="E2345" s="348">
        <v>729880</v>
      </c>
      <c r="F2345" s="406"/>
      <c r="G2345" s="406"/>
      <c r="H2345" s="406"/>
      <c r="I2345" s="324">
        <f t="shared" si="1720"/>
        <v>729880</v>
      </c>
      <c r="J2345" s="406"/>
      <c r="K2345" s="915"/>
      <c r="L2345" s="317">
        <f t="shared" si="1705"/>
        <v>729880</v>
      </c>
      <c r="M2345" s="317"/>
      <c r="N2345" s="372">
        <f t="shared" si="1710"/>
        <v>0</v>
      </c>
      <c r="O2345" s="336">
        <f>L2345*1.1</f>
        <v>802868.00000000012</v>
      </c>
      <c r="P2345" s="336">
        <f t="shared" si="1726"/>
        <v>883154.80000000016</v>
      </c>
      <c r="R2345" s="317"/>
      <c r="U2345" s="320"/>
    </row>
    <row r="2346" spans="1:21" s="344" customFormat="1" outlineLevel="3">
      <c r="A2346" s="326"/>
      <c r="B2346" s="326"/>
      <c r="C2346" s="328">
        <v>2211300</v>
      </c>
      <c r="D2346" s="326" t="s">
        <v>57</v>
      </c>
      <c r="E2346" s="459">
        <f>E2347+0</f>
        <v>8469562</v>
      </c>
      <c r="F2346" s="459">
        <f t="shared" ref="F2346:K2346" si="1733">F2347+0</f>
        <v>0</v>
      </c>
      <c r="G2346" s="459">
        <f t="shared" si="1733"/>
        <v>0</v>
      </c>
      <c r="H2346" s="459">
        <f t="shared" si="1733"/>
        <v>-865390</v>
      </c>
      <c r="I2346" s="459">
        <f t="shared" si="1733"/>
        <v>7604172</v>
      </c>
      <c r="J2346" s="459">
        <f t="shared" si="1733"/>
        <v>0</v>
      </c>
      <c r="K2346" s="459">
        <f t="shared" si="1733"/>
        <v>0</v>
      </c>
      <c r="L2346" s="317">
        <f t="shared" si="1705"/>
        <v>7604172</v>
      </c>
      <c r="M2346" s="317"/>
      <c r="N2346" s="372">
        <f t="shared" si="1710"/>
        <v>0</v>
      </c>
      <c r="O2346" s="459">
        <f t="shared" ref="O2346:P2346" si="1734">O2347+0</f>
        <v>8364589.2000000011</v>
      </c>
      <c r="P2346" s="459">
        <f t="shared" si="1734"/>
        <v>9201048.120000001</v>
      </c>
      <c r="R2346" s="317"/>
      <c r="U2346" s="320"/>
    </row>
    <row r="2347" spans="1:21" s="344" customFormat="1" outlineLevel="3">
      <c r="A2347" s="345"/>
      <c r="B2347" s="345"/>
      <c r="C2347" s="918">
        <v>2211320</v>
      </c>
      <c r="D2347" s="919" t="s">
        <v>1569</v>
      </c>
      <c r="E2347" s="348">
        <v>8469562</v>
      </c>
      <c r="F2347" s="920"/>
      <c r="G2347" s="920"/>
      <c r="H2347" s="920">
        <v>-865390</v>
      </c>
      <c r="I2347" s="324">
        <f t="shared" si="1720"/>
        <v>7604172</v>
      </c>
      <c r="J2347" s="920"/>
      <c r="K2347" s="915"/>
      <c r="L2347" s="317">
        <f t="shared" si="1705"/>
        <v>7604172</v>
      </c>
      <c r="M2347" s="317"/>
      <c r="N2347" s="372">
        <f t="shared" si="1710"/>
        <v>0</v>
      </c>
      <c r="O2347" s="336">
        <f t="shared" ref="O2347" si="1735">L2347*1.1</f>
        <v>8364589.2000000011</v>
      </c>
      <c r="P2347" s="336">
        <f t="shared" ref="P2347" si="1736">O2347*1.1</f>
        <v>9201048.120000001</v>
      </c>
      <c r="R2347" s="317"/>
      <c r="U2347" s="320"/>
    </row>
    <row r="2348" spans="1:21" s="344" customFormat="1" outlineLevel="3">
      <c r="A2348" s="345"/>
      <c r="B2348" s="345"/>
      <c r="C2348" s="328">
        <v>2220100</v>
      </c>
      <c r="D2348" s="326" t="s">
        <v>503</v>
      </c>
      <c r="E2348" s="912">
        <f>E2349+0</f>
        <v>468200</v>
      </c>
      <c r="F2348" s="912">
        <f t="shared" ref="F2348:K2348" si="1737">F2349+0</f>
        <v>0</v>
      </c>
      <c r="G2348" s="912">
        <f t="shared" si="1737"/>
        <v>0</v>
      </c>
      <c r="H2348" s="912">
        <f t="shared" si="1737"/>
        <v>0</v>
      </c>
      <c r="I2348" s="912">
        <f t="shared" si="1737"/>
        <v>468200</v>
      </c>
      <c r="J2348" s="912">
        <f t="shared" si="1737"/>
        <v>0</v>
      </c>
      <c r="K2348" s="912">
        <f t="shared" si="1737"/>
        <v>0</v>
      </c>
      <c r="L2348" s="317">
        <f t="shared" si="1705"/>
        <v>468200</v>
      </c>
      <c r="M2348" s="317"/>
      <c r="N2348" s="372">
        <f t="shared" si="1710"/>
        <v>0</v>
      </c>
      <c r="O2348" s="912">
        <f t="shared" ref="O2348:P2348" si="1738">O2349+0</f>
        <v>515020.00000000006</v>
      </c>
      <c r="P2348" s="912">
        <f t="shared" si="1738"/>
        <v>566522.00000000012</v>
      </c>
      <c r="R2348" s="317"/>
      <c r="U2348" s="320"/>
    </row>
    <row r="2349" spans="1:21" s="344" customFormat="1" outlineLevel="3">
      <c r="A2349" s="345"/>
      <c r="B2349" s="345"/>
      <c r="C2349" s="405">
        <v>2220101</v>
      </c>
      <c r="D2349" s="345" t="s">
        <v>1421</v>
      </c>
      <c r="E2349" s="913">
        <v>468200</v>
      </c>
      <c r="F2349" s="406"/>
      <c r="G2349" s="406"/>
      <c r="H2349" s="406"/>
      <c r="I2349" s="324">
        <f t="shared" si="1720"/>
        <v>468200</v>
      </c>
      <c r="J2349" s="406"/>
      <c r="K2349" s="914"/>
      <c r="L2349" s="317">
        <f t="shared" si="1705"/>
        <v>468200</v>
      </c>
      <c r="M2349" s="317"/>
      <c r="N2349" s="372">
        <f t="shared" si="1710"/>
        <v>0</v>
      </c>
      <c r="O2349" s="336">
        <f>L2349*1.1</f>
        <v>515020.00000000006</v>
      </c>
      <c r="P2349" s="336">
        <f t="shared" si="1726"/>
        <v>566522.00000000012</v>
      </c>
      <c r="R2349" s="317"/>
      <c r="U2349" s="320"/>
    </row>
    <row r="2350" spans="1:21" s="325" customFormat="1" outlineLevel="3">
      <c r="A2350" s="345"/>
      <c r="B2350" s="345"/>
      <c r="C2350" s="328">
        <v>2220200</v>
      </c>
      <c r="D2350" s="326" t="s">
        <v>504</v>
      </c>
      <c r="E2350" s="912">
        <f>E2351+0</f>
        <v>58000</v>
      </c>
      <c r="F2350" s="912">
        <f t="shared" ref="F2350:K2350" si="1739">F2351+0</f>
        <v>0</v>
      </c>
      <c r="G2350" s="912">
        <f t="shared" si="1739"/>
        <v>0</v>
      </c>
      <c r="H2350" s="912">
        <f t="shared" si="1739"/>
        <v>0</v>
      </c>
      <c r="I2350" s="912">
        <f t="shared" si="1739"/>
        <v>58000</v>
      </c>
      <c r="J2350" s="912">
        <f t="shared" si="1739"/>
        <v>0</v>
      </c>
      <c r="K2350" s="912">
        <f t="shared" si="1739"/>
        <v>0</v>
      </c>
      <c r="L2350" s="317">
        <f t="shared" si="1705"/>
        <v>58000</v>
      </c>
      <c r="M2350" s="317"/>
      <c r="N2350" s="372">
        <f t="shared" si="1710"/>
        <v>0</v>
      </c>
      <c r="O2350" s="912">
        <f t="shared" ref="O2350:P2350" si="1740">O2351+0</f>
        <v>63800.000000000007</v>
      </c>
      <c r="P2350" s="912">
        <f t="shared" si="1740"/>
        <v>70180.000000000015</v>
      </c>
      <c r="R2350" s="317"/>
      <c r="U2350" s="320"/>
    </row>
    <row r="2351" spans="1:21" s="344" customFormat="1" outlineLevel="3">
      <c r="A2351" s="345"/>
      <c r="B2351" s="345"/>
      <c r="C2351" s="405">
        <v>2220205</v>
      </c>
      <c r="D2351" s="916" t="s">
        <v>125</v>
      </c>
      <c r="E2351" s="913">
        <v>58000</v>
      </c>
      <c r="F2351" s="917"/>
      <c r="G2351" s="917"/>
      <c r="H2351" s="917"/>
      <c r="I2351" s="324">
        <f t="shared" si="1720"/>
        <v>58000</v>
      </c>
      <c r="J2351" s="917"/>
      <c r="K2351" s="914"/>
      <c r="L2351" s="317">
        <f t="shared" si="1705"/>
        <v>58000</v>
      </c>
      <c r="M2351" s="317"/>
      <c r="N2351" s="372">
        <f t="shared" si="1710"/>
        <v>0</v>
      </c>
      <c r="O2351" s="336">
        <f>L2351*1.1</f>
        <v>63800.000000000007</v>
      </c>
      <c r="P2351" s="336">
        <f t="shared" si="1726"/>
        <v>70180.000000000015</v>
      </c>
      <c r="R2351" s="317"/>
      <c r="U2351" s="320"/>
    </row>
    <row r="2352" spans="1:21" s="344" customFormat="1" outlineLevel="3">
      <c r="A2352" s="326"/>
      <c r="B2352" s="326"/>
      <c r="C2352" s="328">
        <v>3111000</v>
      </c>
      <c r="D2352" s="326" t="s">
        <v>69</v>
      </c>
      <c r="E2352" s="912">
        <f>E2353+E2354</f>
        <v>746267</v>
      </c>
      <c r="F2352" s="912">
        <f t="shared" ref="F2352:K2352" si="1741">F2353+F2354</f>
        <v>0</v>
      </c>
      <c r="G2352" s="912">
        <f t="shared" si="1741"/>
        <v>0</v>
      </c>
      <c r="H2352" s="912">
        <f t="shared" si="1741"/>
        <v>0</v>
      </c>
      <c r="I2352" s="912">
        <f t="shared" si="1741"/>
        <v>746267</v>
      </c>
      <c r="J2352" s="912">
        <f t="shared" si="1741"/>
        <v>0</v>
      </c>
      <c r="K2352" s="912">
        <f t="shared" si="1741"/>
        <v>-225450</v>
      </c>
      <c r="L2352" s="317">
        <f t="shared" si="1705"/>
        <v>520817</v>
      </c>
      <c r="M2352" s="317"/>
      <c r="N2352" s="372">
        <f t="shared" si="1710"/>
        <v>225450</v>
      </c>
      <c r="O2352" s="912">
        <f t="shared" ref="O2352:P2352" si="1742">O2353+O2354</f>
        <v>572898.70000000007</v>
      </c>
      <c r="P2352" s="912">
        <f t="shared" si="1742"/>
        <v>630188.57000000018</v>
      </c>
      <c r="R2352" s="317"/>
      <c r="U2352" s="320"/>
    </row>
    <row r="2353" spans="1:21" s="344" customFormat="1" outlineLevel="3">
      <c r="A2353" s="345"/>
      <c r="B2353" s="345"/>
      <c r="C2353" s="405">
        <v>3111001</v>
      </c>
      <c r="D2353" s="345" t="s">
        <v>70</v>
      </c>
      <c r="E2353" s="913">
        <v>225450</v>
      </c>
      <c r="F2353" s="406"/>
      <c r="G2353" s="406"/>
      <c r="H2353" s="406"/>
      <c r="I2353" s="324">
        <f t="shared" si="1720"/>
        <v>225450</v>
      </c>
      <c r="J2353" s="406"/>
      <c r="K2353" s="914">
        <v>-225450</v>
      </c>
      <c r="L2353" s="317">
        <f t="shared" si="1705"/>
        <v>0</v>
      </c>
      <c r="M2353" s="317"/>
      <c r="N2353" s="372">
        <f t="shared" si="1710"/>
        <v>225450</v>
      </c>
      <c r="O2353" s="336">
        <f t="shared" ref="O2353:O2354" si="1743">L2353*1.1</f>
        <v>0</v>
      </c>
      <c r="P2353" s="336">
        <f t="shared" ref="P2353:P2354" si="1744">O2353*1.1</f>
        <v>0</v>
      </c>
      <c r="R2353" s="317"/>
      <c r="U2353" s="320"/>
    </row>
    <row r="2354" spans="1:21" s="344" customFormat="1" outlineLevel="3">
      <c r="A2354" s="345"/>
      <c r="B2354" s="345"/>
      <c r="C2354" s="405">
        <v>3111002</v>
      </c>
      <c r="D2354" s="345" t="s">
        <v>71</v>
      </c>
      <c r="E2354" s="913">
        <f>1020817-500000</f>
        <v>520817</v>
      </c>
      <c r="F2354" s="406"/>
      <c r="G2354" s="406"/>
      <c r="H2354" s="406"/>
      <c r="I2354" s="324">
        <f t="shared" si="1720"/>
        <v>520817</v>
      </c>
      <c r="J2354" s="406"/>
      <c r="K2354" s="914"/>
      <c r="L2354" s="317">
        <f t="shared" si="1705"/>
        <v>520817</v>
      </c>
      <c r="M2354" s="317"/>
      <c r="N2354" s="372">
        <f t="shared" si="1710"/>
        <v>0</v>
      </c>
      <c r="O2354" s="336">
        <f t="shared" si="1743"/>
        <v>572898.70000000007</v>
      </c>
      <c r="P2354" s="336">
        <f t="shared" si="1744"/>
        <v>630188.57000000018</v>
      </c>
      <c r="R2354" s="317"/>
      <c r="U2354" s="320"/>
    </row>
    <row r="2355" spans="1:21" s="325" customFormat="1" outlineLevel="3">
      <c r="A2355" s="326"/>
      <c r="B2355" s="326"/>
      <c r="C2355" s="328">
        <v>3111100</v>
      </c>
      <c r="D2355" s="326" t="s">
        <v>73</v>
      </c>
      <c r="E2355" s="912">
        <f>E2356</f>
        <v>0</v>
      </c>
      <c r="F2355" s="912">
        <f t="shared" ref="F2355:K2355" si="1745">F2356</f>
        <v>0</v>
      </c>
      <c r="G2355" s="912">
        <f t="shared" si="1745"/>
        <v>0</v>
      </c>
      <c r="H2355" s="912">
        <f t="shared" si="1745"/>
        <v>3000000</v>
      </c>
      <c r="I2355" s="912">
        <f t="shared" si="1745"/>
        <v>3000000</v>
      </c>
      <c r="J2355" s="912">
        <f t="shared" si="1745"/>
        <v>0</v>
      </c>
      <c r="K2355" s="912">
        <f t="shared" si="1745"/>
        <v>-3000000</v>
      </c>
      <c r="L2355" s="317">
        <f t="shared" si="1705"/>
        <v>0</v>
      </c>
      <c r="M2355" s="317"/>
      <c r="N2355" s="372">
        <f t="shared" si="1710"/>
        <v>3000000</v>
      </c>
      <c r="O2355" s="912">
        <f t="shared" ref="O2355:P2355" si="1746">O2356</f>
        <v>0</v>
      </c>
      <c r="P2355" s="912">
        <f t="shared" si="1746"/>
        <v>0</v>
      </c>
      <c r="R2355" s="317"/>
      <c r="U2355" s="320"/>
    </row>
    <row r="2356" spans="1:21" s="344" customFormat="1" outlineLevel="3">
      <c r="A2356" s="345"/>
      <c r="B2356" s="345"/>
      <c r="C2356" s="405">
        <v>3111112</v>
      </c>
      <c r="D2356" s="345" t="s">
        <v>2065</v>
      </c>
      <c r="E2356" s="913"/>
      <c r="F2356" s="406"/>
      <c r="G2356" s="406"/>
      <c r="H2356" s="913">
        <v>3000000</v>
      </c>
      <c r="I2356" s="324">
        <f t="shared" si="1720"/>
        <v>3000000</v>
      </c>
      <c r="J2356" s="913"/>
      <c r="K2356" s="914">
        <v>-3000000</v>
      </c>
      <c r="L2356" s="317">
        <f t="shared" si="1705"/>
        <v>0</v>
      </c>
      <c r="M2356" s="317"/>
      <c r="N2356" s="372">
        <f t="shared" si="1710"/>
        <v>3000000</v>
      </c>
      <c r="O2356" s="336">
        <f>L2356*1.1</f>
        <v>0</v>
      </c>
      <c r="P2356" s="336">
        <f>O2356*1.1</f>
        <v>0</v>
      </c>
      <c r="R2356" s="317"/>
      <c r="U2356" s="320"/>
    </row>
    <row r="2357" spans="1:21" s="312" customFormat="1" outlineLevel="3">
      <c r="A2357" s="326"/>
      <c r="B2357" s="326"/>
      <c r="C2357" s="328">
        <v>3111400</v>
      </c>
      <c r="D2357" s="326" t="s">
        <v>1316</v>
      </c>
      <c r="E2357" s="912">
        <f>E2358</f>
        <v>800000</v>
      </c>
      <c r="F2357" s="912">
        <f t="shared" ref="F2357:K2357" si="1747">F2358</f>
        <v>0</v>
      </c>
      <c r="G2357" s="912">
        <f t="shared" si="1747"/>
        <v>0</v>
      </c>
      <c r="H2357" s="912">
        <f t="shared" si="1747"/>
        <v>0</v>
      </c>
      <c r="I2357" s="912">
        <f t="shared" si="1747"/>
        <v>800000</v>
      </c>
      <c r="J2357" s="912">
        <f t="shared" si="1747"/>
        <v>0</v>
      </c>
      <c r="K2357" s="912">
        <f t="shared" si="1747"/>
        <v>0</v>
      </c>
      <c r="L2357" s="317">
        <f t="shared" si="1705"/>
        <v>800000</v>
      </c>
      <c r="M2357" s="317"/>
      <c r="N2357" s="372">
        <f t="shared" si="1710"/>
        <v>0</v>
      </c>
      <c r="O2357" s="912">
        <f t="shared" ref="O2357:P2357" si="1748">O2358</f>
        <v>880000.00000000012</v>
      </c>
      <c r="P2357" s="912">
        <f t="shared" si="1748"/>
        <v>968000.00000000023</v>
      </c>
      <c r="R2357" s="317"/>
      <c r="U2357" s="320"/>
    </row>
    <row r="2358" spans="1:21" s="312" customFormat="1" outlineLevel="3">
      <c r="A2358" s="345"/>
      <c r="B2358" s="345"/>
      <c r="C2358" s="405">
        <v>3111401</v>
      </c>
      <c r="D2358" s="345" t="s">
        <v>1422</v>
      </c>
      <c r="E2358" s="913">
        <f>2500000-1000000-700000</f>
        <v>800000</v>
      </c>
      <c r="F2358" s="406"/>
      <c r="G2358" s="406"/>
      <c r="H2358" s="406"/>
      <c r="I2358" s="324">
        <f t="shared" si="1720"/>
        <v>800000</v>
      </c>
      <c r="J2358" s="406"/>
      <c r="K2358" s="914"/>
      <c r="L2358" s="317">
        <f t="shared" si="1705"/>
        <v>800000</v>
      </c>
      <c r="M2358" s="317"/>
      <c r="N2358" s="372">
        <f t="shared" si="1710"/>
        <v>0</v>
      </c>
      <c r="O2358" s="336">
        <f>L2358*1.1</f>
        <v>880000.00000000012</v>
      </c>
      <c r="P2358" s="336">
        <f t="shared" si="1726"/>
        <v>968000.00000000023</v>
      </c>
      <c r="R2358" s="317"/>
      <c r="U2358" s="320"/>
    </row>
    <row r="2359" spans="1:21" s="312" customFormat="1" outlineLevel="2">
      <c r="A2359" s="345"/>
      <c r="B2359" s="345"/>
      <c r="C2359" s="405"/>
      <c r="D2359" s="326" t="s">
        <v>310</v>
      </c>
      <c r="E2359" s="912">
        <f>E2357+E2352+E2350+E2348+E2346+E2344+E2341+E2338+E2332+E2329+E2324+E2322+E2319+E2355</f>
        <v>22188443</v>
      </c>
      <c r="F2359" s="912">
        <f t="shared" ref="F2359:P2359" si="1749">F2357+F2352+F2350+F2348+F2346+F2344+F2341+F2338+F2332+F2329+F2324+F2322+F2319+F2355</f>
        <v>0</v>
      </c>
      <c r="G2359" s="912">
        <f t="shared" si="1749"/>
        <v>0</v>
      </c>
      <c r="H2359" s="912">
        <f t="shared" si="1749"/>
        <v>4634610</v>
      </c>
      <c r="I2359" s="912">
        <f t="shared" si="1749"/>
        <v>26823053</v>
      </c>
      <c r="J2359" s="912">
        <f t="shared" si="1749"/>
        <v>0</v>
      </c>
      <c r="K2359" s="912">
        <f t="shared" si="1749"/>
        <v>-981196</v>
      </c>
      <c r="L2359" s="317">
        <f t="shared" si="1705"/>
        <v>25841857</v>
      </c>
      <c r="M2359" s="317"/>
      <c r="N2359" s="372">
        <f t="shared" si="1710"/>
        <v>981196</v>
      </c>
      <c r="O2359" s="912">
        <f t="shared" si="1749"/>
        <v>28426042.700000003</v>
      </c>
      <c r="P2359" s="912">
        <f t="shared" si="1749"/>
        <v>31268646.970000003</v>
      </c>
      <c r="R2359" s="317"/>
      <c r="U2359" s="320"/>
    </row>
    <row r="2360" spans="1:21" s="325" customFormat="1" outlineLevel="2">
      <c r="A2360" s="345"/>
      <c r="B2360" s="345"/>
      <c r="C2360" s="405"/>
      <c r="D2360" s="345"/>
      <c r="E2360" s="913"/>
      <c r="F2360" s="406"/>
      <c r="G2360" s="406"/>
      <c r="H2360" s="406"/>
      <c r="I2360" s="324">
        <f t="shared" si="1720"/>
        <v>0</v>
      </c>
      <c r="J2360" s="406"/>
      <c r="K2360" s="914"/>
      <c r="L2360" s="317">
        <f t="shared" si="1705"/>
        <v>0</v>
      </c>
      <c r="M2360" s="317"/>
      <c r="N2360" s="372">
        <f t="shared" si="1710"/>
        <v>0</v>
      </c>
      <c r="O2360" s="336">
        <f>L2360*1.1</f>
        <v>0</v>
      </c>
      <c r="P2360" s="336">
        <f t="shared" si="1726"/>
        <v>0</v>
      </c>
      <c r="R2360" s="317"/>
      <c r="U2360" s="320"/>
    </row>
    <row r="2361" spans="1:21" s="344" customFormat="1" outlineLevel="2">
      <c r="A2361" s="345"/>
      <c r="B2361" s="345"/>
      <c r="C2361" s="328" t="s">
        <v>92</v>
      </c>
      <c r="D2361" s="345"/>
      <c r="E2361" s="913"/>
      <c r="F2361" s="406"/>
      <c r="G2361" s="406"/>
      <c r="H2361" s="406"/>
      <c r="I2361" s="324">
        <f t="shared" si="1720"/>
        <v>0</v>
      </c>
      <c r="J2361" s="406"/>
      <c r="K2361" s="921"/>
      <c r="L2361" s="317">
        <f t="shared" si="1705"/>
        <v>0</v>
      </c>
      <c r="M2361" s="317"/>
      <c r="N2361" s="372">
        <f t="shared" si="1710"/>
        <v>0</v>
      </c>
      <c r="O2361" s="336">
        <f>L2361*1.1</f>
        <v>0</v>
      </c>
      <c r="P2361" s="336">
        <f t="shared" si="1726"/>
        <v>0</v>
      </c>
      <c r="R2361" s="317"/>
      <c r="U2361" s="320"/>
    </row>
    <row r="2362" spans="1:21" s="325" customFormat="1" outlineLevel="3">
      <c r="A2362" s="923"/>
      <c r="B2362" s="923"/>
      <c r="C2362" s="924">
        <v>3110200</v>
      </c>
      <c r="D2362" s="923" t="s">
        <v>505</v>
      </c>
      <c r="E2362" s="925">
        <f>E2363+E2364</f>
        <v>44049631</v>
      </c>
      <c r="F2362" s="925">
        <f t="shared" ref="F2362:K2362" si="1750">F2363+F2364</f>
        <v>14535384.947757974</v>
      </c>
      <c r="G2362" s="925">
        <f t="shared" si="1750"/>
        <v>0</v>
      </c>
      <c r="H2362" s="925">
        <f t="shared" si="1750"/>
        <v>7185212</v>
      </c>
      <c r="I2362" s="925">
        <f t="shared" si="1750"/>
        <v>65770227.947757974</v>
      </c>
      <c r="J2362" s="925">
        <f t="shared" si="1750"/>
        <v>-11797421</v>
      </c>
      <c r="K2362" s="925">
        <f t="shared" si="1750"/>
        <v>0</v>
      </c>
      <c r="L2362" s="317">
        <f t="shared" si="1705"/>
        <v>53972806.947757974</v>
      </c>
      <c r="M2362" s="2212"/>
      <c r="N2362" s="372">
        <f t="shared" si="1710"/>
        <v>0</v>
      </c>
      <c r="O2362" s="925">
        <f t="shared" ref="O2362:P2362" si="1751">O2363+O2364</f>
        <v>59370087.642533772</v>
      </c>
      <c r="P2362" s="925">
        <f t="shared" si="1751"/>
        <v>65307096.406787157</v>
      </c>
      <c r="R2362" s="317"/>
      <c r="U2362" s="320"/>
    </row>
    <row r="2363" spans="1:21" s="344" customFormat="1" outlineLevel="3">
      <c r="A2363" s="345"/>
      <c r="B2363" s="345"/>
      <c r="C2363" s="405">
        <v>3110202</v>
      </c>
      <c r="D2363" s="345" t="s">
        <v>1423</v>
      </c>
      <c r="E2363" s="913">
        <f>19000000+6000000</f>
        <v>25000000</v>
      </c>
      <c r="F2363" s="913"/>
      <c r="G2363" s="913">
        <v>0</v>
      </c>
      <c r="H2363" s="913">
        <f>-7000000+7000000</f>
        <v>0</v>
      </c>
      <c r="I2363" s="324">
        <f t="shared" si="1720"/>
        <v>25000000</v>
      </c>
      <c r="J2363" s="926">
        <v>-11797421</v>
      </c>
      <c r="K2363" s="915"/>
      <c r="L2363" s="317">
        <f t="shared" si="1705"/>
        <v>13202579</v>
      </c>
      <c r="M2363" s="2210"/>
      <c r="N2363" s="372">
        <f t="shared" si="1710"/>
        <v>0</v>
      </c>
      <c r="O2363" s="357">
        <f>L2363*1.1</f>
        <v>14522836.9</v>
      </c>
      <c r="P2363" s="336">
        <f t="shared" si="1726"/>
        <v>15975120.590000002</v>
      </c>
      <c r="R2363" s="317"/>
      <c r="U2363" s="320" t="s">
        <v>1803</v>
      </c>
    </row>
    <row r="2364" spans="1:21" s="325" customFormat="1" outlineLevel="3">
      <c r="A2364" s="506"/>
      <c r="B2364" s="506"/>
      <c r="C2364" s="927">
        <v>3110202</v>
      </c>
      <c r="D2364" s="506" t="s">
        <v>2437</v>
      </c>
      <c r="E2364" s="928">
        <v>19049631</v>
      </c>
      <c r="F2364" s="928">
        <v>14535384.947757974</v>
      </c>
      <c r="G2364" s="496"/>
      <c r="H2364" s="928">
        <v>7185212</v>
      </c>
      <c r="I2364" s="324">
        <f t="shared" si="1720"/>
        <v>40770227.947757974</v>
      </c>
      <c r="J2364" s="928"/>
      <c r="K2364" s="914"/>
      <c r="L2364" s="317">
        <f t="shared" si="1705"/>
        <v>40770227.947757974</v>
      </c>
      <c r="M2364" s="317"/>
      <c r="N2364" s="372">
        <f t="shared" si="1710"/>
        <v>0</v>
      </c>
      <c r="O2364" s="336">
        <f>L2364*1.1</f>
        <v>44847250.742533773</v>
      </c>
      <c r="P2364" s="336">
        <f t="shared" ref="P2364:P2405" si="1752">O2364*1.1</f>
        <v>49331975.816787153</v>
      </c>
      <c r="R2364" s="317"/>
      <c r="U2364" s="320"/>
    </row>
    <row r="2365" spans="1:21" s="344" customFormat="1" outlineLevel="3">
      <c r="A2365" s="326"/>
      <c r="B2365" s="326"/>
      <c r="C2365" s="328">
        <v>3110500</v>
      </c>
      <c r="D2365" s="326" t="s">
        <v>506</v>
      </c>
      <c r="E2365" s="912">
        <f>E2366+0</f>
        <v>33800000</v>
      </c>
      <c r="F2365" s="912">
        <f t="shared" ref="F2365:K2365" si="1753">F2366+0</f>
        <v>4123858</v>
      </c>
      <c r="G2365" s="912">
        <f t="shared" si="1753"/>
        <v>0</v>
      </c>
      <c r="H2365" s="912">
        <f t="shared" si="1753"/>
        <v>0</v>
      </c>
      <c r="I2365" s="912">
        <f t="shared" si="1753"/>
        <v>37923858</v>
      </c>
      <c r="J2365" s="912">
        <f t="shared" si="1753"/>
        <v>0</v>
      </c>
      <c r="K2365" s="912">
        <f t="shared" si="1753"/>
        <v>-8000000</v>
      </c>
      <c r="L2365" s="317">
        <f t="shared" si="1705"/>
        <v>29923858</v>
      </c>
      <c r="M2365" s="317"/>
      <c r="N2365" s="372">
        <f t="shared" si="1710"/>
        <v>8000000</v>
      </c>
      <c r="O2365" s="912">
        <f t="shared" ref="O2365:P2365" si="1754">O2366+0</f>
        <v>32916243.800000004</v>
      </c>
      <c r="P2365" s="912">
        <f t="shared" si="1754"/>
        <v>36207868.180000007</v>
      </c>
      <c r="R2365" s="317"/>
      <c r="U2365" s="320"/>
    </row>
    <row r="2366" spans="1:21" s="344" customFormat="1" outlineLevel="3">
      <c r="A2366" s="345"/>
      <c r="B2366" s="345"/>
      <c r="C2366" s="405">
        <v>3110504</v>
      </c>
      <c r="D2366" s="345" t="s">
        <v>1425</v>
      </c>
      <c r="E2366" s="913">
        <f>21500000+12300000</f>
        <v>33800000</v>
      </c>
      <c r="F2366" s="913">
        <v>4123858</v>
      </c>
      <c r="G2366" s="406"/>
      <c r="H2366" s="913">
        <v>0</v>
      </c>
      <c r="I2366" s="324">
        <f t="shared" si="1720"/>
        <v>37923858</v>
      </c>
      <c r="J2366" s="913"/>
      <c r="K2366" s="915">
        <v>-8000000</v>
      </c>
      <c r="L2366" s="317">
        <f t="shared" si="1705"/>
        <v>29923858</v>
      </c>
      <c r="M2366" s="317"/>
      <c r="N2366" s="372">
        <f t="shared" si="1710"/>
        <v>8000000</v>
      </c>
      <c r="O2366" s="336">
        <f t="shared" ref="O2366" si="1755">L2366*1.1</f>
        <v>32916243.800000004</v>
      </c>
      <c r="P2366" s="336">
        <f t="shared" ref="P2366" si="1756">O2366*1.1</f>
        <v>36207868.180000007</v>
      </c>
      <c r="R2366" s="317"/>
      <c r="U2366" s="320"/>
    </row>
    <row r="2367" spans="1:21" s="312" customFormat="1" outlineLevel="3">
      <c r="A2367" s="326"/>
      <c r="B2367" s="326"/>
      <c r="C2367" s="328">
        <v>3110500</v>
      </c>
      <c r="D2367" s="326" t="s">
        <v>506</v>
      </c>
      <c r="E2367" s="912">
        <f>E2368</f>
        <v>1000000</v>
      </c>
      <c r="F2367" s="912">
        <f t="shared" ref="F2367:K2367" si="1757">F2368</f>
        <v>0</v>
      </c>
      <c r="G2367" s="912">
        <f t="shared" si="1757"/>
        <v>0</v>
      </c>
      <c r="H2367" s="912">
        <f t="shared" si="1757"/>
        <v>0</v>
      </c>
      <c r="I2367" s="912">
        <f t="shared" si="1757"/>
        <v>1000000</v>
      </c>
      <c r="J2367" s="912">
        <f t="shared" si="1757"/>
        <v>0</v>
      </c>
      <c r="K2367" s="912">
        <f t="shared" si="1757"/>
        <v>0</v>
      </c>
      <c r="L2367" s="317">
        <f t="shared" si="1705"/>
        <v>1000000</v>
      </c>
      <c r="M2367" s="317"/>
      <c r="N2367" s="372">
        <f t="shared" si="1710"/>
        <v>0</v>
      </c>
      <c r="O2367" s="912">
        <f t="shared" ref="O2367:P2367" si="1758">O2368</f>
        <v>1100000</v>
      </c>
      <c r="P2367" s="912">
        <f t="shared" si="1758"/>
        <v>1210000</v>
      </c>
      <c r="R2367" s="317"/>
      <c r="U2367" s="320"/>
    </row>
    <row r="2368" spans="1:21" s="312" customFormat="1" outlineLevel="3">
      <c r="A2368" s="345"/>
      <c r="B2368" s="345"/>
      <c r="C2368" s="405">
        <v>3110504</v>
      </c>
      <c r="D2368" s="345" t="s">
        <v>1426</v>
      </c>
      <c r="E2368" s="913">
        <v>1000000</v>
      </c>
      <c r="F2368" s="406"/>
      <c r="G2368" s="406"/>
      <c r="H2368" s="406"/>
      <c r="I2368" s="324">
        <f t="shared" si="1720"/>
        <v>1000000</v>
      </c>
      <c r="J2368" s="406"/>
      <c r="K2368" s="914"/>
      <c r="L2368" s="317">
        <f t="shared" si="1705"/>
        <v>1000000</v>
      </c>
      <c r="M2368" s="317"/>
      <c r="N2368" s="372">
        <f t="shared" si="1710"/>
        <v>0</v>
      </c>
      <c r="O2368" s="336">
        <f>L2368*1.1</f>
        <v>1100000</v>
      </c>
      <c r="P2368" s="336">
        <f t="shared" si="1752"/>
        <v>1210000</v>
      </c>
      <c r="R2368" s="317"/>
      <c r="U2368" s="320"/>
    </row>
    <row r="2369" spans="1:21" s="312" customFormat="1" outlineLevel="2">
      <c r="A2369" s="326"/>
      <c r="B2369" s="326"/>
      <c r="C2369" s="929">
        <v>3111100</v>
      </c>
      <c r="D2369" s="922" t="s">
        <v>73</v>
      </c>
      <c r="E2369" s="912">
        <f>E2370+0</f>
        <v>7000000</v>
      </c>
      <c r="F2369" s="912">
        <f t="shared" ref="F2369:K2369" si="1759">F2370+0</f>
        <v>0</v>
      </c>
      <c r="G2369" s="912">
        <f t="shared" si="1759"/>
        <v>0</v>
      </c>
      <c r="H2369" s="912">
        <f t="shared" si="1759"/>
        <v>0</v>
      </c>
      <c r="I2369" s="912">
        <f t="shared" si="1759"/>
        <v>7000000</v>
      </c>
      <c r="J2369" s="912">
        <f t="shared" si="1759"/>
        <v>0</v>
      </c>
      <c r="K2369" s="912">
        <f t="shared" si="1759"/>
        <v>-7000000</v>
      </c>
      <c r="L2369" s="317">
        <f t="shared" si="1705"/>
        <v>0</v>
      </c>
      <c r="M2369" s="317"/>
      <c r="N2369" s="372">
        <f t="shared" si="1710"/>
        <v>7000000</v>
      </c>
      <c r="O2369" s="912">
        <f t="shared" ref="O2369:P2369" si="1760">O2370+0</f>
        <v>0</v>
      </c>
      <c r="P2369" s="912">
        <f t="shared" si="1760"/>
        <v>0</v>
      </c>
      <c r="R2369" s="317"/>
      <c r="U2369" s="320"/>
    </row>
    <row r="2370" spans="1:21" s="446" customFormat="1" outlineLevel="1">
      <c r="A2370" s="345"/>
      <c r="B2370" s="345"/>
      <c r="C2370" s="930">
        <v>3130101</v>
      </c>
      <c r="D2370" s="931" t="s">
        <v>1781</v>
      </c>
      <c r="E2370" s="913">
        <f>4000000+3000000</f>
        <v>7000000</v>
      </c>
      <c r="F2370" s="406"/>
      <c r="G2370" s="406"/>
      <c r="H2370" s="406"/>
      <c r="I2370" s="324">
        <f t="shared" si="1720"/>
        <v>7000000</v>
      </c>
      <c r="J2370" s="406"/>
      <c r="K2370" s="915">
        <v>-7000000</v>
      </c>
      <c r="L2370" s="317">
        <f t="shared" si="1705"/>
        <v>0</v>
      </c>
      <c r="M2370" s="317"/>
      <c r="N2370" s="372">
        <f t="shared" si="1710"/>
        <v>7000000</v>
      </c>
      <c r="O2370" s="932">
        <f>L2370*1.1</f>
        <v>0</v>
      </c>
      <c r="P2370" s="932">
        <f>O2370*1.1</f>
        <v>0</v>
      </c>
      <c r="R2370" s="317"/>
      <c r="U2370" s="320"/>
    </row>
    <row r="2371" spans="1:21" s="344" customFormat="1" outlineLevel="1">
      <c r="A2371" s="345"/>
      <c r="B2371" s="345"/>
      <c r="C2371" s="405"/>
      <c r="D2371" s="326" t="s">
        <v>261</v>
      </c>
      <c r="E2371" s="912">
        <f>E2369+E2367+E2365+E2362</f>
        <v>85849631</v>
      </c>
      <c r="F2371" s="912">
        <f t="shared" ref="F2371:K2371" si="1761">F2369+F2367+F2365+F2362</f>
        <v>18659242.947757974</v>
      </c>
      <c r="G2371" s="912">
        <f t="shared" si="1761"/>
        <v>0</v>
      </c>
      <c r="H2371" s="912">
        <f t="shared" si="1761"/>
        <v>7185212</v>
      </c>
      <c r="I2371" s="912">
        <f t="shared" si="1761"/>
        <v>111694085.94775797</v>
      </c>
      <c r="J2371" s="912">
        <f t="shared" si="1761"/>
        <v>-11797421</v>
      </c>
      <c r="K2371" s="912">
        <f t="shared" si="1761"/>
        <v>-15000000</v>
      </c>
      <c r="L2371" s="317">
        <f t="shared" si="1705"/>
        <v>84896664.947757974</v>
      </c>
      <c r="M2371" s="317"/>
      <c r="N2371" s="372">
        <f t="shared" si="1710"/>
        <v>15000000</v>
      </c>
      <c r="O2371" s="912">
        <f t="shared" ref="O2371:P2371" si="1762">O2369+O2367+O2365+O2362</f>
        <v>93386331.442533776</v>
      </c>
      <c r="P2371" s="912">
        <f t="shared" si="1762"/>
        <v>102724964.58678716</v>
      </c>
      <c r="R2371" s="317"/>
      <c r="U2371" s="320"/>
    </row>
    <row r="2372" spans="1:21" s="344" customFormat="1" outlineLevel="1">
      <c r="A2372" s="345"/>
      <c r="B2372" s="345"/>
      <c r="C2372" s="405"/>
      <c r="D2372" s="326" t="s">
        <v>84</v>
      </c>
      <c r="E2372" s="912">
        <f>E2371+E2359</f>
        <v>108038074</v>
      </c>
      <c r="F2372" s="912">
        <f t="shared" ref="F2372:P2372" si="1763">F2371+F2359</f>
        <v>18659242.947757974</v>
      </c>
      <c r="G2372" s="912">
        <f t="shared" si="1763"/>
        <v>0</v>
      </c>
      <c r="H2372" s="912">
        <f t="shared" si="1763"/>
        <v>11819822</v>
      </c>
      <c r="I2372" s="912">
        <f t="shared" si="1763"/>
        <v>138517138.94775796</v>
      </c>
      <c r="J2372" s="912">
        <f t="shared" si="1763"/>
        <v>-11797421</v>
      </c>
      <c r="K2372" s="912">
        <f t="shared" si="1763"/>
        <v>-15981196</v>
      </c>
      <c r="L2372" s="317">
        <f t="shared" si="1705"/>
        <v>110738521.94775796</v>
      </c>
      <c r="M2372" s="317"/>
      <c r="N2372" s="372">
        <f t="shared" si="1710"/>
        <v>15981196</v>
      </c>
      <c r="O2372" s="912">
        <f t="shared" si="1763"/>
        <v>121812374.14253378</v>
      </c>
      <c r="P2372" s="912">
        <f t="shared" si="1763"/>
        <v>133993611.55678716</v>
      </c>
      <c r="R2372" s="317"/>
      <c r="U2372" s="320"/>
    </row>
    <row r="2373" spans="1:21" s="344" customFormat="1" outlineLevel="2">
      <c r="A2373" s="345"/>
      <c r="B2373" s="345"/>
      <c r="C2373" s="405"/>
      <c r="D2373" s="345"/>
      <c r="E2373" s="913"/>
      <c r="F2373" s="406"/>
      <c r="G2373" s="406"/>
      <c r="H2373" s="406"/>
      <c r="I2373" s="324">
        <f t="shared" si="1720"/>
        <v>0</v>
      </c>
      <c r="J2373" s="406"/>
      <c r="K2373" s="921"/>
      <c r="L2373" s="317">
        <f t="shared" ref="L2373:L2436" si="1764">I2373+J2373+K2373</f>
        <v>0</v>
      </c>
      <c r="M2373" s="317"/>
      <c r="N2373" s="372">
        <f t="shared" si="1710"/>
        <v>0</v>
      </c>
      <c r="O2373" s="933"/>
      <c r="P2373" s="933"/>
      <c r="R2373" s="317"/>
      <c r="U2373" s="320"/>
    </row>
    <row r="2374" spans="1:21" s="344" customFormat="1" outlineLevel="2">
      <c r="A2374" s="326"/>
      <c r="B2374" s="326"/>
      <c r="C2374" s="328" t="s">
        <v>1782</v>
      </c>
      <c r="D2374" s="326"/>
      <c r="E2374" s="912"/>
      <c r="F2374" s="461"/>
      <c r="G2374" s="461"/>
      <c r="H2374" s="461"/>
      <c r="I2374" s="324">
        <f t="shared" si="1720"/>
        <v>0</v>
      </c>
      <c r="J2374" s="461"/>
      <c r="K2374" s="921"/>
      <c r="L2374" s="317">
        <f t="shared" si="1764"/>
        <v>0</v>
      </c>
      <c r="M2374" s="317"/>
      <c r="N2374" s="372">
        <f t="shared" si="1710"/>
        <v>0</v>
      </c>
      <c r="O2374" s="336">
        <f>L2374*1.1</f>
        <v>0</v>
      </c>
      <c r="P2374" s="336">
        <f t="shared" si="1752"/>
        <v>0</v>
      </c>
      <c r="R2374" s="317"/>
      <c r="U2374" s="320"/>
    </row>
    <row r="2375" spans="1:21" s="344" customFormat="1" outlineLevel="2">
      <c r="A2375" s="345"/>
      <c r="B2375" s="345"/>
      <c r="C2375" s="328">
        <v>2210100</v>
      </c>
      <c r="D2375" s="326" t="s">
        <v>16</v>
      </c>
      <c r="E2375" s="912">
        <f>E2376+E2377</f>
        <v>200300</v>
      </c>
      <c r="F2375" s="912">
        <f t="shared" ref="F2375:K2375" si="1765">F2376+F2377</f>
        <v>0</v>
      </c>
      <c r="G2375" s="912">
        <f t="shared" si="1765"/>
        <v>0</v>
      </c>
      <c r="H2375" s="912">
        <f t="shared" si="1765"/>
        <v>0</v>
      </c>
      <c r="I2375" s="912">
        <f t="shared" si="1765"/>
        <v>200300</v>
      </c>
      <c r="J2375" s="912">
        <f t="shared" si="1765"/>
        <v>0</v>
      </c>
      <c r="K2375" s="912">
        <f t="shared" si="1765"/>
        <v>-150000</v>
      </c>
      <c r="L2375" s="317">
        <f t="shared" si="1764"/>
        <v>50300</v>
      </c>
      <c r="M2375" s="317"/>
      <c r="N2375" s="372">
        <f t="shared" si="1710"/>
        <v>150000</v>
      </c>
      <c r="O2375" s="912">
        <f t="shared" ref="O2375:P2375" si="1766">O2376+O2377</f>
        <v>55330</v>
      </c>
      <c r="P2375" s="912">
        <f t="shared" si="1766"/>
        <v>60863</v>
      </c>
      <c r="R2375" s="317"/>
      <c r="U2375" s="320"/>
    </row>
    <row r="2376" spans="1:21" s="344" customFormat="1" outlineLevel="2">
      <c r="A2376" s="345"/>
      <c r="B2376" s="345"/>
      <c r="C2376" s="405">
        <v>2210101</v>
      </c>
      <c r="D2376" s="345" t="s">
        <v>17</v>
      </c>
      <c r="E2376" s="913">
        <v>168700</v>
      </c>
      <c r="F2376" s="406"/>
      <c r="G2376" s="406"/>
      <c r="H2376" s="406"/>
      <c r="I2376" s="324">
        <f t="shared" si="1720"/>
        <v>168700</v>
      </c>
      <c r="J2376" s="406"/>
      <c r="K2376" s="914">
        <v>-150000</v>
      </c>
      <c r="L2376" s="317">
        <f t="shared" si="1764"/>
        <v>18700</v>
      </c>
      <c r="M2376" s="317"/>
      <c r="N2376" s="372">
        <f t="shared" si="1710"/>
        <v>150000</v>
      </c>
      <c r="O2376" s="934">
        <f>L2376*1.1</f>
        <v>20570</v>
      </c>
      <c r="P2376" s="934">
        <f>O2376*1.1</f>
        <v>22627.000000000004</v>
      </c>
      <c r="R2376" s="317"/>
      <c r="U2376" s="320"/>
    </row>
    <row r="2377" spans="1:21" s="344" customFormat="1" outlineLevel="2">
      <c r="A2377" s="345"/>
      <c r="B2377" s="345"/>
      <c r="C2377" s="405">
        <v>2210102</v>
      </c>
      <c r="D2377" s="345" t="s">
        <v>18</v>
      </c>
      <c r="E2377" s="913">
        <v>31600</v>
      </c>
      <c r="F2377" s="406"/>
      <c r="G2377" s="406"/>
      <c r="H2377" s="406"/>
      <c r="I2377" s="324">
        <f t="shared" si="1720"/>
        <v>31600</v>
      </c>
      <c r="J2377" s="406"/>
      <c r="K2377" s="914"/>
      <c r="L2377" s="317">
        <f t="shared" si="1764"/>
        <v>31600</v>
      </c>
      <c r="M2377" s="317"/>
      <c r="N2377" s="372">
        <f t="shared" ref="N2377:N2440" si="1767">M2377-K2377</f>
        <v>0</v>
      </c>
      <c r="O2377" s="336">
        <f>L2377*1.1</f>
        <v>34760</v>
      </c>
      <c r="P2377" s="336">
        <f t="shared" si="1752"/>
        <v>38236</v>
      </c>
      <c r="R2377" s="317"/>
      <c r="U2377" s="320"/>
    </row>
    <row r="2378" spans="1:21" s="344" customFormat="1" outlineLevel="2">
      <c r="A2378" s="345"/>
      <c r="B2378" s="345"/>
      <c r="C2378" s="328">
        <v>2210200</v>
      </c>
      <c r="D2378" s="326" t="s">
        <v>20</v>
      </c>
      <c r="E2378" s="912">
        <f>E2379+0</f>
        <v>14000</v>
      </c>
      <c r="F2378" s="912">
        <f t="shared" ref="F2378:K2378" si="1768">F2379+0</f>
        <v>0</v>
      </c>
      <c r="G2378" s="912">
        <f t="shared" si="1768"/>
        <v>0</v>
      </c>
      <c r="H2378" s="912">
        <f t="shared" si="1768"/>
        <v>0</v>
      </c>
      <c r="I2378" s="912">
        <f t="shared" si="1768"/>
        <v>14000</v>
      </c>
      <c r="J2378" s="912">
        <f t="shared" si="1768"/>
        <v>0</v>
      </c>
      <c r="K2378" s="912">
        <f t="shared" si="1768"/>
        <v>0</v>
      </c>
      <c r="L2378" s="317">
        <f t="shared" si="1764"/>
        <v>14000</v>
      </c>
      <c r="M2378" s="317"/>
      <c r="N2378" s="372">
        <f t="shared" si="1767"/>
        <v>0</v>
      </c>
      <c r="O2378" s="912">
        <f t="shared" ref="O2378:P2378" si="1769">O2379+0</f>
        <v>15400.000000000002</v>
      </c>
      <c r="P2378" s="912">
        <f t="shared" si="1769"/>
        <v>16940.000000000004</v>
      </c>
      <c r="R2378" s="317"/>
      <c r="U2378" s="320"/>
    </row>
    <row r="2379" spans="1:21" s="325" customFormat="1" outlineLevel="2">
      <c r="A2379" s="345"/>
      <c r="B2379" s="345"/>
      <c r="C2379" s="405">
        <v>2210203</v>
      </c>
      <c r="D2379" s="345" t="s">
        <v>23</v>
      </c>
      <c r="E2379" s="913">
        <v>14000</v>
      </c>
      <c r="F2379" s="406"/>
      <c r="G2379" s="406"/>
      <c r="H2379" s="406"/>
      <c r="I2379" s="324">
        <f t="shared" si="1720"/>
        <v>14000</v>
      </c>
      <c r="J2379" s="406"/>
      <c r="K2379" s="914"/>
      <c r="L2379" s="317">
        <f t="shared" si="1764"/>
        <v>14000</v>
      </c>
      <c r="M2379" s="317"/>
      <c r="N2379" s="372">
        <f t="shared" si="1767"/>
        <v>0</v>
      </c>
      <c r="O2379" s="336">
        <f>L2379*1.1</f>
        <v>15400.000000000002</v>
      </c>
      <c r="P2379" s="336">
        <f t="shared" si="1752"/>
        <v>16940.000000000004</v>
      </c>
      <c r="R2379" s="317"/>
      <c r="U2379" s="320"/>
    </row>
    <row r="2380" spans="1:21" s="325" customFormat="1" outlineLevel="2">
      <c r="A2380" s="345"/>
      <c r="B2380" s="345"/>
      <c r="C2380" s="328">
        <v>2210300</v>
      </c>
      <c r="D2380" s="326" t="s">
        <v>24</v>
      </c>
      <c r="E2380" s="912">
        <f>E2381+E2382+E2383</f>
        <v>1699718</v>
      </c>
      <c r="F2380" s="912">
        <f t="shared" ref="F2380:K2380" si="1770">F2381+F2382+F2383</f>
        <v>0</v>
      </c>
      <c r="G2380" s="912">
        <f t="shared" si="1770"/>
        <v>0</v>
      </c>
      <c r="H2380" s="912">
        <f t="shared" si="1770"/>
        <v>0</v>
      </c>
      <c r="I2380" s="912">
        <f t="shared" si="1770"/>
        <v>1699718</v>
      </c>
      <c r="J2380" s="912">
        <f t="shared" si="1770"/>
        <v>0</v>
      </c>
      <c r="K2380" s="912">
        <f t="shared" si="1770"/>
        <v>2000000</v>
      </c>
      <c r="L2380" s="317">
        <f t="shared" si="1764"/>
        <v>3699718</v>
      </c>
      <c r="M2380" s="317"/>
      <c r="N2380" s="372">
        <f t="shared" si="1767"/>
        <v>-2000000</v>
      </c>
      <c r="O2380" s="912">
        <f t="shared" ref="O2380:P2380" si="1771">O2381+O2382+O2383</f>
        <v>4069689.8000000003</v>
      </c>
      <c r="P2380" s="912">
        <f t="shared" si="1771"/>
        <v>4476658.7800000012</v>
      </c>
      <c r="R2380" s="317"/>
      <c r="U2380" s="320"/>
    </row>
    <row r="2381" spans="1:21" s="325" customFormat="1" outlineLevel="2">
      <c r="A2381" s="345"/>
      <c r="B2381" s="345"/>
      <c r="C2381" s="405">
        <v>2210301</v>
      </c>
      <c r="D2381" s="345" t="s">
        <v>25</v>
      </c>
      <c r="E2381" s="913">
        <f>438718-100000</f>
        <v>338718</v>
      </c>
      <c r="F2381" s="406"/>
      <c r="G2381" s="406"/>
      <c r="H2381" s="406"/>
      <c r="I2381" s="324">
        <f t="shared" si="1720"/>
        <v>338718</v>
      </c>
      <c r="J2381" s="406"/>
      <c r="K2381" s="915">
        <v>650000</v>
      </c>
      <c r="L2381" s="317">
        <f t="shared" si="1764"/>
        <v>988718</v>
      </c>
      <c r="M2381" s="317"/>
      <c r="N2381" s="372">
        <f t="shared" si="1767"/>
        <v>-650000</v>
      </c>
      <c r="O2381" s="336">
        <f t="shared" ref="O2381" si="1772">L2381*1.1</f>
        <v>1087589.8</v>
      </c>
      <c r="P2381" s="336">
        <f t="shared" ref="P2381" si="1773">O2381*1.1</f>
        <v>1196348.7800000003</v>
      </c>
      <c r="R2381" s="317"/>
      <c r="U2381" s="320"/>
    </row>
    <row r="2382" spans="1:21" s="325" customFormat="1" outlineLevel="2">
      <c r="A2382" s="345"/>
      <c r="B2382" s="345"/>
      <c r="C2382" s="405">
        <v>2210302</v>
      </c>
      <c r="D2382" s="345" t="s">
        <v>26</v>
      </c>
      <c r="E2382" s="913">
        <v>578600</v>
      </c>
      <c r="F2382" s="406"/>
      <c r="G2382" s="406"/>
      <c r="H2382" s="406"/>
      <c r="I2382" s="324">
        <f t="shared" si="1720"/>
        <v>578600</v>
      </c>
      <c r="J2382" s="406"/>
      <c r="K2382" s="915">
        <v>900000</v>
      </c>
      <c r="L2382" s="317">
        <f t="shared" si="1764"/>
        <v>1478600</v>
      </c>
      <c r="M2382" s="317"/>
      <c r="N2382" s="372">
        <f t="shared" si="1767"/>
        <v>-900000</v>
      </c>
      <c r="O2382" s="934">
        <f>L2382*1.1</f>
        <v>1626460.0000000002</v>
      </c>
      <c r="P2382" s="934">
        <f>O2382*1.1</f>
        <v>1789106.0000000005</v>
      </c>
      <c r="R2382" s="317"/>
      <c r="U2382" s="320"/>
    </row>
    <row r="2383" spans="1:21" s="325" customFormat="1" outlineLevel="2">
      <c r="A2383" s="345"/>
      <c r="B2383" s="345"/>
      <c r="C2383" s="405">
        <v>2210303</v>
      </c>
      <c r="D2383" s="345" t="s">
        <v>27</v>
      </c>
      <c r="E2383" s="913">
        <f>982400-200000</f>
        <v>782400</v>
      </c>
      <c r="F2383" s="406"/>
      <c r="G2383" s="406"/>
      <c r="H2383" s="406"/>
      <c r="I2383" s="324">
        <f t="shared" si="1720"/>
        <v>782400</v>
      </c>
      <c r="J2383" s="406"/>
      <c r="K2383" s="915">
        <v>450000</v>
      </c>
      <c r="L2383" s="317">
        <f t="shared" si="1764"/>
        <v>1232400</v>
      </c>
      <c r="M2383" s="317"/>
      <c r="N2383" s="372">
        <f t="shared" si="1767"/>
        <v>-450000</v>
      </c>
      <c r="O2383" s="336">
        <f t="shared" ref="O2383:O2386" si="1774">L2383*1.1</f>
        <v>1355640</v>
      </c>
      <c r="P2383" s="336">
        <f t="shared" ref="P2383:P2386" si="1775">O2383*1.1</f>
        <v>1491204.0000000002</v>
      </c>
      <c r="R2383" s="317"/>
      <c r="U2383" s="320"/>
    </row>
    <row r="2384" spans="1:21" s="325" customFormat="1" outlineLevel="2">
      <c r="A2384" s="345"/>
      <c r="B2384" s="345"/>
      <c r="C2384" s="328">
        <v>2210400</v>
      </c>
      <c r="D2384" s="326" t="s">
        <v>484</v>
      </c>
      <c r="E2384" s="912">
        <f>E2385+E2386</f>
        <v>1204150</v>
      </c>
      <c r="F2384" s="912">
        <f t="shared" ref="F2384:P2384" si="1776">F2385+F2386</f>
        <v>0</v>
      </c>
      <c r="G2384" s="912">
        <f t="shared" si="1776"/>
        <v>0</v>
      </c>
      <c r="H2384" s="912">
        <f t="shared" si="1776"/>
        <v>0</v>
      </c>
      <c r="I2384" s="912">
        <f t="shared" si="1776"/>
        <v>1204150</v>
      </c>
      <c r="J2384" s="912">
        <f t="shared" si="1776"/>
        <v>0</v>
      </c>
      <c r="K2384" s="912">
        <f t="shared" si="1776"/>
        <v>-1204150</v>
      </c>
      <c r="L2384" s="317">
        <f t="shared" si="1764"/>
        <v>0</v>
      </c>
      <c r="M2384" s="317"/>
      <c r="N2384" s="372">
        <f t="shared" si="1767"/>
        <v>1204150</v>
      </c>
      <c r="O2384" s="912">
        <f t="shared" si="1776"/>
        <v>0</v>
      </c>
      <c r="P2384" s="912">
        <f t="shared" si="1776"/>
        <v>0</v>
      </c>
      <c r="R2384" s="317"/>
      <c r="U2384" s="320"/>
    </row>
    <row r="2385" spans="1:21" s="325" customFormat="1" outlineLevel="2">
      <c r="A2385" s="345"/>
      <c r="B2385" s="345"/>
      <c r="C2385" s="405">
        <v>2210401</v>
      </c>
      <c r="D2385" s="345" t="s">
        <v>25</v>
      </c>
      <c r="E2385" s="348">
        <v>791500</v>
      </c>
      <c r="F2385" s="406"/>
      <c r="G2385" s="406"/>
      <c r="H2385" s="406"/>
      <c r="I2385" s="324">
        <f t="shared" si="1720"/>
        <v>791500</v>
      </c>
      <c r="J2385" s="406"/>
      <c r="K2385" s="914">
        <v>-791500</v>
      </c>
      <c r="L2385" s="317">
        <f t="shared" si="1764"/>
        <v>0</v>
      </c>
      <c r="M2385" s="317"/>
      <c r="N2385" s="372">
        <f t="shared" si="1767"/>
        <v>791500</v>
      </c>
      <c r="O2385" s="351">
        <f>L2385*1.1</f>
        <v>0</v>
      </c>
      <c r="P2385" s="351">
        <f>O2385*1.1</f>
        <v>0</v>
      </c>
      <c r="R2385" s="317"/>
      <c r="U2385" s="320"/>
    </row>
    <row r="2386" spans="1:21" s="325" customFormat="1" outlineLevel="2">
      <c r="A2386" s="345"/>
      <c r="B2386" s="345"/>
      <c r="C2386" s="405">
        <v>2210402</v>
      </c>
      <c r="D2386" s="345" t="s">
        <v>485</v>
      </c>
      <c r="E2386" s="348">
        <v>412650</v>
      </c>
      <c r="F2386" s="406"/>
      <c r="G2386" s="406"/>
      <c r="H2386" s="406"/>
      <c r="I2386" s="324">
        <f t="shared" si="1720"/>
        <v>412650</v>
      </c>
      <c r="J2386" s="406"/>
      <c r="K2386" s="914">
        <v>-412650</v>
      </c>
      <c r="L2386" s="317">
        <f t="shared" si="1764"/>
        <v>0</v>
      </c>
      <c r="M2386" s="317"/>
      <c r="N2386" s="372">
        <f t="shared" si="1767"/>
        <v>412650</v>
      </c>
      <c r="O2386" s="336">
        <f t="shared" si="1774"/>
        <v>0</v>
      </c>
      <c r="P2386" s="336">
        <f t="shared" si="1775"/>
        <v>0</v>
      </c>
      <c r="R2386" s="317"/>
      <c r="U2386" s="320"/>
    </row>
    <row r="2387" spans="1:21" s="325" customFormat="1" outlineLevel="2">
      <c r="A2387" s="345"/>
      <c r="B2387" s="345"/>
      <c r="C2387" s="707">
        <v>2210700</v>
      </c>
      <c r="D2387" s="635" t="s">
        <v>35</v>
      </c>
      <c r="E2387" s="459">
        <f>E2388+E2389+E2390+E2391</f>
        <v>2079013</v>
      </c>
      <c r="F2387" s="459">
        <f t="shared" ref="F2387:P2387" si="1777">F2388+F2389+F2390+F2391</f>
        <v>0</v>
      </c>
      <c r="G2387" s="459">
        <f t="shared" si="1777"/>
        <v>0</v>
      </c>
      <c r="H2387" s="459">
        <f t="shared" si="1777"/>
        <v>0</v>
      </c>
      <c r="I2387" s="459">
        <f t="shared" si="1777"/>
        <v>2079013</v>
      </c>
      <c r="J2387" s="459">
        <f t="shared" si="1777"/>
        <v>0</v>
      </c>
      <c r="K2387" s="459">
        <f t="shared" si="1777"/>
        <v>0</v>
      </c>
      <c r="L2387" s="317">
        <f t="shared" si="1764"/>
        <v>2079013</v>
      </c>
      <c r="M2387" s="317"/>
      <c r="N2387" s="372">
        <f t="shared" si="1767"/>
        <v>0</v>
      </c>
      <c r="O2387" s="459">
        <f t="shared" si="1777"/>
        <v>2286914.3000000003</v>
      </c>
      <c r="P2387" s="459">
        <f t="shared" si="1777"/>
        <v>2515605.7300000004</v>
      </c>
      <c r="R2387" s="317"/>
      <c r="U2387" s="320"/>
    </row>
    <row r="2388" spans="1:21" s="325" customFormat="1" outlineLevel="2">
      <c r="A2388" s="345"/>
      <c r="B2388" s="345"/>
      <c r="C2388" s="708">
        <v>2210701</v>
      </c>
      <c r="D2388" s="709" t="s">
        <v>36</v>
      </c>
      <c r="E2388" s="348">
        <v>219050</v>
      </c>
      <c r="F2388" s="334"/>
      <c r="G2388" s="334"/>
      <c r="H2388" s="334"/>
      <c r="I2388" s="324">
        <f t="shared" ref="I2388:I2451" si="1778">E2388+F2388+G2388+H2388</f>
        <v>219050</v>
      </c>
      <c r="J2388" s="334"/>
      <c r="K2388" s="914"/>
      <c r="L2388" s="317">
        <f t="shared" si="1764"/>
        <v>219050</v>
      </c>
      <c r="M2388" s="317"/>
      <c r="N2388" s="372">
        <f t="shared" si="1767"/>
        <v>0</v>
      </c>
      <c r="O2388" s="336">
        <f t="shared" ref="O2388:O2391" si="1779">L2388*1.1</f>
        <v>240955.00000000003</v>
      </c>
      <c r="P2388" s="336">
        <f t="shared" ref="P2388:P2391" si="1780">O2388*1.1</f>
        <v>265050.50000000006</v>
      </c>
      <c r="R2388" s="317"/>
      <c r="U2388" s="320"/>
    </row>
    <row r="2389" spans="1:21" s="325" customFormat="1" outlineLevel="2">
      <c r="A2389" s="345"/>
      <c r="B2389" s="345"/>
      <c r="C2389" s="708">
        <v>2210703</v>
      </c>
      <c r="D2389" s="709" t="s">
        <v>38</v>
      </c>
      <c r="E2389" s="348">
        <v>223350</v>
      </c>
      <c r="F2389" s="334"/>
      <c r="G2389" s="334"/>
      <c r="H2389" s="334"/>
      <c r="I2389" s="324">
        <f t="shared" si="1778"/>
        <v>223350</v>
      </c>
      <c r="J2389" s="334"/>
      <c r="K2389" s="914"/>
      <c r="L2389" s="317">
        <f t="shared" si="1764"/>
        <v>223350</v>
      </c>
      <c r="M2389" s="317"/>
      <c r="N2389" s="372">
        <f t="shared" si="1767"/>
        <v>0</v>
      </c>
      <c r="O2389" s="336">
        <f t="shared" si="1779"/>
        <v>245685.00000000003</v>
      </c>
      <c r="P2389" s="336">
        <f t="shared" si="1780"/>
        <v>270253.50000000006</v>
      </c>
      <c r="R2389" s="317"/>
      <c r="U2389" s="320"/>
    </row>
    <row r="2390" spans="1:21" s="325" customFormat="1" outlineLevel="2">
      <c r="A2390" s="345"/>
      <c r="B2390" s="345"/>
      <c r="C2390" s="708">
        <v>2210710</v>
      </c>
      <c r="D2390" s="345" t="s">
        <v>1419</v>
      </c>
      <c r="E2390" s="348">
        <v>340895</v>
      </c>
      <c r="F2390" s="406"/>
      <c r="G2390" s="406"/>
      <c r="H2390" s="406"/>
      <c r="I2390" s="324">
        <f t="shared" si="1778"/>
        <v>340895</v>
      </c>
      <c r="J2390" s="406"/>
      <c r="K2390" s="914"/>
      <c r="L2390" s="317">
        <f t="shared" si="1764"/>
        <v>340895</v>
      </c>
      <c r="M2390" s="317"/>
      <c r="N2390" s="372">
        <f t="shared" si="1767"/>
        <v>0</v>
      </c>
      <c r="O2390" s="351">
        <f>L2390*1.1</f>
        <v>374984.50000000006</v>
      </c>
      <c r="P2390" s="351">
        <f>O2390*1.1</f>
        <v>412482.95000000007</v>
      </c>
      <c r="R2390" s="317"/>
      <c r="U2390" s="320"/>
    </row>
    <row r="2391" spans="1:21" s="325" customFormat="1" outlineLevel="2">
      <c r="A2391" s="345"/>
      <c r="B2391" s="345"/>
      <c r="C2391" s="708">
        <v>2210799</v>
      </c>
      <c r="D2391" s="709" t="s">
        <v>1427</v>
      </c>
      <c r="E2391" s="348">
        <v>1295718</v>
      </c>
      <c r="F2391" s="334"/>
      <c r="G2391" s="334"/>
      <c r="H2391" s="334"/>
      <c r="I2391" s="324">
        <f t="shared" si="1778"/>
        <v>1295718</v>
      </c>
      <c r="J2391" s="334"/>
      <c r="K2391" s="914"/>
      <c r="L2391" s="317">
        <f t="shared" si="1764"/>
        <v>1295718</v>
      </c>
      <c r="M2391" s="317"/>
      <c r="N2391" s="372">
        <f t="shared" si="1767"/>
        <v>0</v>
      </c>
      <c r="O2391" s="336">
        <f t="shared" si="1779"/>
        <v>1425289.8</v>
      </c>
      <c r="P2391" s="336">
        <f t="shared" si="1780"/>
        <v>1567818.7800000003</v>
      </c>
      <c r="R2391" s="317"/>
      <c r="U2391" s="320"/>
    </row>
    <row r="2392" spans="1:21" s="325" customFormat="1" outlineLevel="2">
      <c r="A2392" s="326"/>
      <c r="B2392" s="326"/>
      <c r="C2392" s="328">
        <v>2210800</v>
      </c>
      <c r="D2392" s="326" t="s">
        <v>42</v>
      </c>
      <c r="E2392" s="459">
        <f>E2393+E2394</f>
        <v>979970</v>
      </c>
      <c r="F2392" s="459">
        <f t="shared" ref="F2392:K2392" si="1781">F2393+F2394</f>
        <v>0</v>
      </c>
      <c r="G2392" s="459">
        <f t="shared" si="1781"/>
        <v>0</v>
      </c>
      <c r="H2392" s="459">
        <f t="shared" si="1781"/>
        <v>0</v>
      </c>
      <c r="I2392" s="459">
        <f t="shared" si="1781"/>
        <v>979970</v>
      </c>
      <c r="J2392" s="459">
        <f t="shared" si="1781"/>
        <v>0</v>
      </c>
      <c r="K2392" s="459">
        <f t="shared" si="1781"/>
        <v>794498</v>
      </c>
      <c r="L2392" s="317">
        <f t="shared" si="1764"/>
        <v>1774468</v>
      </c>
      <c r="M2392" s="317"/>
      <c r="N2392" s="372">
        <f t="shared" si="1767"/>
        <v>-794498</v>
      </c>
      <c r="O2392" s="459">
        <f t="shared" ref="O2392:P2392" si="1782">O2393+O2394</f>
        <v>1951914.8000000003</v>
      </c>
      <c r="P2392" s="459">
        <f t="shared" si="1782"/>
        <v>2147106.2800000003</v>
      </c>
      <c r="R2392" s="317"/>
      <c r="U2392" s="320"/>
    </row>
    <row r="2393" spans="1:21" s="325" customFormat="1" outlineLevel="2">
      <c r="A2393" s="345"/>
      <c r="B2393" s="345"/>
      <c r="C2393" s="405">
        <v>2210801</v>
      </c>
      <c r="D2393" s="345" t="s">
        <v>2421</v>
      </c>
      <c r="E2393" s="913">
        <v>423700</v>
      </c>
      <c r="F2393" s="406"/>
      <c r="G2393" s="406"/>
      <c r="H2393" s="406"/>
      <c r="I2393" s="324">
        <f t="shared" si="1778"/>
        <v>423700</v>
      </c>
      <c r="J2393" s="406"/>
      <c r="K2393" s="914">
        <v>300000</v>
      </c>
      <c r="L2393" s="317">
        <f t="shared" si="1764"/>
        <v>723700</v>
      </c>
      <c r="M2393" s="317"/>
      <c r="N2393" s="372">
        <f t="shared" si="1767"/>
        <v>-300000</v>
      </c>
      <c r="O2393" s="934">
        <f>L2393*1.1</f>
        <v>796070.00000000012</v>
      </c>
      <c r="P2393" s="934">
        <f>O2393*1.1</f>
        <v>875677.00000000023</v>
      </c>
      <c r="R2393" s="317"/>
      <c r="U2393" s="320"/>
    </row>
    <row r="2394" spans="1:21" s="325" customFormat="1" outlineLevel="2">
      <c r="A2394" s="345"/>
      <c r="B2394" s="345"/>
      <c r="C2394" s="405">
        <v>2210802</v>
      </c>
      <c r="D2394" s="345" t="s">
        <v>45</v>
      </c>
      <c r="E2394" s="913">
        <v>556270</v>
      </c>
      <c r="F2394" s="406"/>
      <c r="G2394" s="406"/>
      <c r="H2394" s="406"/>
      <c r="I2394" s="324">
        <f t="shared" si="1778"/>
        <v>556270</v>
      </c>
      <c r="J2394" s="406"/>
      <c r="K2394" s="914">
        <v>494498</v>
      </c>
      <c r="L2394" s="317">
        <f t="shared" si="1764"/>
        <v>1050768</v>
      </c>
      <c r="M2394" s="317"/>
      <c r="N2394" s="372">
        <f t="shared" si="1767"/>
        <v>-494498</v>
      </c>
      <c r="O2394" s="336">
        <f t="shared" ref="O2394" si="1783">L2394*1.1</f>
        <v>1155844.8</v>
      </c>
      <c r="P2394" s="336">
        <f t="shared" ref="P2394" si="1784">O2394*1.1</f>
        <v>1271429.2800000003</v>
      </c>
      <c r="R2394" s="317"/>
      <c r="U2394" s="320"/>
    </row>
    <row r="2395" spans="1:21" s="325" customFormat="1" outlineLevel="2">
      <c r="A2395" s="326"/>
      <c r="B2395" s="326"/>
      <c r="C2395" s="328">
        <v>2211000</v>
      </c>
      <c r="D2395" s="326" t="s">
        <v>118</v>
      </c>
      <c r="E2395" s="912">
        <f>E2396+E2397</f>
        <v>1423000</v>
      </c>
      <c r="F2395" s="912">
        <f t="shared" ref="F2395:K2395" si="1785">F2396+F2397</f>
        <v>0</v>
      </c>
      <c r="G2395" s="912">
        <f t="shared" si="1785"/>
        <v>0</v>
      </c>
      <c r="H2395" s="912">
        <f t="shared" si="1785"/>
        <v>0</v>
      </c>
      <c r="I2395" s="912">
        <f t="shared" si="1785"/>
        <v>1423000</v>
      </c>
      <c r="J2395" s="912">
        <f t="shared" si="1785"/>
        <v>0</v>
      </c>
      <c r="K2395" s="912">
        <f t="shared" si="1785"/>
        <v>-922088</v>
      </c>
      <c r="L2395" s="317">
        <f t="shared" si="1764"/>
        <v>500912</v>
      </c>
      <c r="M2395" s="317"/>
      <c r="N2395" s="372">
        <f t="shared" si="1767"/>
        <v>922088</v>
      </c>
      <c r="O2395" s="912">
        <f t="shared" ref="O2395:P2395" si="1786">O2396+O2397</f>
        <v>551003.20000000007</v>
      </c>
      <c r="P2395" s="912">
        <f t="shared" si="1786"/>
        <v>606103.52000000014</v>
      </c>
      <c r="R2395" s="317"/>
      <c r="U2395" s="320"/>
    </row>
    <row r="2396" spans="1:21" s="325" customFormat="1" outlineLevel="2">
      <c r="A2396" s="345"/>
      <c r="B2396" s="345"/>
      <c r="C2396" s="405">
        <v>2211016</v>
      </c>
      <c r="D2396" s="345" t="s">
        <v>196</v>
      </c>
      <c r="E2396" s="913">
        <v>576500</v>
      </c>
      <c r="F2396" s="406"/>
      <c r="G2396" s="406"/>
      <c r="H2396" s="406"/>
      <c r="I2396" s="324">
        <f t="shared" si="1778"/>
        <v>576500</v>
      </c>
      <c r="J2396" s="406"/>
      <c r="K2396" s="915">
        <v>-131740</v>
      </c>
      <c r="L2396" s="317">
        <f t="shared" si="1764"/>
        <v>444760</v>
      </c>
      <c r="M2396" s="317"/>
      <c r="N2396" s="372">
        <f t="shared" si="1767"/>
        <v>131740</v>
      </c>
      <c r="O2396" s="934">
        <f>L2396*1.1</f>
        <v>489236.00000000006</v>
      </c>
      <c r="P2396" s="934">
        <f>O2396*1.1</f>
        <v>538159.60000000009</v>
      </c>
      <c r="R2396" s="317"/>
      <c r="U2396" s="320"/>
    </row>
    <row r="2397" spans="1:21" s="325" customFormat="1" outlineLevel="2">
      <c r="A2397" s="345"/>
      <c r="B2397" s="345"/>
      <c r="C2397" s="405">
        <v>2211006</v>
      </c>
      <c r="D2397" s="345" t="s">
        <v>507</v>
      </c>
      <c r="E2397" s="913">
        <v>846500</v>
      </c>
      <c r="F2397" s="406"/>
      <c r="G2397" s="406"/>
      <c r="H2397" s="406"/>
      <c r="I2397" s="324">
        <f t="shared" si="1778"/>
        <v>846500</v>
      </c>
      <c r="J2397" s="406"/>
      <c r="K2397" s="915">
        <v>-790348</v>
      </c>
      <c r="L2397" s="317">
        <f t="shared" si="1764"/>
        <v>56152</v>
      </c>
      <c r="M2397" s="317"/>
      <c r="N2397" s="372">
        <f t="shared" si="1767"/>
        <v>790348</v>
      </c>
      <c r="O2397" s="336">
        <f t="shared" ref="O2397" si="1787">L2397*1.1</f>
        <v>61767.200000000004</v>
      </c>
      <c r="P2397" s="336">
        <f t="shared" ref="P2397" si="1788">O2397*1.1</f>
        <v>67943.920000000013</v>
      </c>
      <c r="R2397" s="317"/>
      <c r="U2397" s="320"/>
    </row>
    <row r="2398" spans="1:21" s="325" customFormat="1" outlineLevel="2">
      <c r="A2398" s="326"/>
      <c r="B2398" s="326"/>
      <c r="C2398" s="328">
        <v>2211100</v>
      </c>
      <c r="D2398" s="326" t="s">
        <v>51</v>
      </c>
      <c r="E2398" s="912">
        <f>E2399+E2400</f>
        <v>338960</v>
      </c>
      <c r="F2398" s="912">
        <f t="shared" ref="F2398:K2398" si="1789">F2399+F2400</f>
        <v>0</v>
      </c>
      <c r="G2398" s="912">
        <f t="shared" si="1789"/>
        <v>0</v>
      </c>
      <c r="H2398" s="912">
        <f t="shared" si="1789"/>
        <v>0</v>
      </c>
      <c r="I2398" s="912">
        <f t="shared" si="1789"/>
        <v>338960</v>
      </c>
      <c r="J2398" s="912">
        <f t="shared" si="1789"/>
        <v>0</v>
      </c>
      <c r="K2398" s="912">
        <f t="shared" si="1789"/>
        <v>0</v>
      </c>
      <c r="L2398" s="317">
        <f t="shared" si="1764"/>
        <v>338960</v>
      </c>
      <c r="M2398" s="317"/>
      <c r="N2398" s="372">
        <f t="shared" si="1767"/>
        <v>0</v>
      </c>
      <c r="O2398" s="912">
        <f t="shared" ref="O2398:P2398" si="1790">O2399+O2400</f>
        <v>372856</v>
      </c>
      <c r="P2398" s="912">
        <f t="shared" si="1790"/>
        <v>410141.60000000003</v>
      </c>
      <c r="R2398" s="317"/>
      <c r="U2398" s="320"/>
    </row>
    <row r="2399" spans="1:21" s="325" customFormat="1" outlineLevel="2">
      <c r="A2399" s="345"/>
      <c r="B2399" s="345"/>
      <c r="C2399" s="405">
        <v>2211101</v>
      </c>
      <c r="D2399" s="345" t="s">
        <v>52</v>
      </c>
      <c r="E2399" s="913">
        <v>253700</v>
      </c>
      <c r="F2399" s="406"/>
      <c r="G2399" s="406"/>
      <c r="H2399" s="406"/>
      <c r="I2399" s="324">
        <f t="shared" si="1778"/>
        <v>253700</v>
      </c>
      <c r="J2399" s="406"/>
      <c r="K2399" s="914"/>
      <c r="L2399" s="317">
        <f t="shared" si="1764"/>
        <v>253700</v>
      </c>
      <c r="M2399" s="317"/>
      <c r="N2399" s="372">
        <f t="shared" si="1767"/>
        <v>0</v>
      </c>
      <c r="O2399" s="934">
        <f>L2399*1.1</f>
        <v>279070</v>
      </c>
      <c r="P2399" s="934">
        <f>O2399*1.1</f>
        <v>306977</v>
      </c>
      <c r="R2399" s="317"/>
      <c r="U2399" s="320"/>
    </row>
    <row r="2400" spans="1:21" s="344" customFormat="1" outlineLevel="2">
      <c r="A2400" s="345"/>
      <c r="B2400" s="345"/>
      <c r="C2400" s="405">
        <v>2211103</v>
      </c>
      <c r="D2400" s="345" t="s">
        <v>54</v>
      </c>
      <c r="E2400" s="913">
        <v>85260</v>
      </c>
      <c r="F2400" s="406"/>
      <c r="G2400" s="406"/>
      <c r="H2400" s="406"/>
      <c r="I2400" s="324">
        <f t="shared" si="1778"/>
        <v>85260</v>
      </c>
      <c r="J2400" s="406"/>
      <c r="K2400" s="914"/>
      <c r="L2400" s="317">
        <f t="shared" si="1764"/>
        <v>85260</v>
      </c>
      <c r="M2400" s="317"/>
      <c r="N2400" s="372">
        <f t="shared" si="1767"/>
        <v>0</v>
      </c>
      <c r="O2400" s="336">
        <f>L2400*1.1</f>
        <v>93786.000000000015</v>
      </c>
      <c r="P2400" s="336">
        <f t="shared" si="1752"/>
        <v>103164.60000000002</v>
      </c>
      <c r="R2400" s="317"/>
      <c r="U2400" s="320"/>
    </row>
    <row r="2401" spans="1:21" s="344" customFormat="1" outlineLevel="2">
      <c r="A2401" s="326"/>
      <c r="B2401" s="326"/>
      <c r="C2401" s="328">
        <v>2211200</v>
      </c>
      <c r="D2401" s="326" t="s">
        <v>55</v>
      </c>
      <c r="E2401" s="912">
        <f>E2402+0</f>
        <v>1128619</v>
      </c>
      <c r="F2401" s="912">
        <f t="shared" ref="F2401:K2401" si="1791">F2402+0</f>
        <v>0</v>
      </c>
      <c r="G2401" s="912">
        <f t="shared" si="1791"/>
        <v>0</v>
      </c>
      <c r="H2401" s="912">
        <f t="shared" si="1791"/>
        <v>0</v>
      </c>
      <c r="I2401" s="912">
        <f t="shared" si="1791"/>
        <v>1128619</v>
      </c>
      <c r="J2401" s="912">
        <f t="shared" si="1791"/>
        <v>0</v>
      </c>
      <c r="K2401" s="912">
        <f t="shared" si="1791"/>
        <v>1500000</v>
      </c>
      <c r="L2401" s="317">
        <f t="shared" si="1764"/>
        <v>2628619</v>
      </c>
      <c r="M2401" s="317"/>
      <c r="N2401" s="372">
        <f t="shared" si="1767"/>
        <v>-1500000</v>
      </c>
      <c r="O2401" s="912">
        <f t="shared" ref="O2401:P2401" si="1792">O2402+0</f>
        <v>2891480.9000000004</v>
      </c>
      <c r="P2401" s="912">
        <f t="shared" si="1792"/>
        <v>3180628.9900000007</v>
      </c>
      <c r="R2401" s="317"/>
      <c r="U2401" s="320"/>
    </row>
    <row r="2402" spans="1:21" s="344" customFormat="1" outlineLevel="2">
      <c r="A2402" s="345"/>
      <c r="B2402" s="345"/>
      <c r="C2402" s="405">
        <v>2211201</v>
      </c>
      <c r="D2402" s="345" t="s">
        <v>56</v>
      </c>
      <c r="E2402" s="913">
        <v>1128619</v>
      </c>
      <c r="F2402" s="406"/>
      <c r="G2402" s="406"/>
      <c r="H2402" s="406"/>
      <c r="I2402" s="324">
        <f t="shared" si="1778"/>
        <v>1128619</v>
      </c>
      <c r="J2402" s="406"/>
      <c r="K2402" s="914">
        <v>1500000</v>
      </c>
      <c r="L2402" s="317">
        <f t="shared" si="1764"/>
        <v>2628619</v>
      </c>
      <c r="M2402" s="317"/>
      <c r="N2402" s="372">
        <f t="shared" si="1767"/>
        <v>-1500000</v>
      </c>
      <c r="O2402" s="336">
        <f>L2402*1.1</f>
        <v>2891480.9000000004</v>
      </c>
      <c r="P2402" s="336">
        <f t="shared" si="1752"/>
        <v>3180628.9900000007</v>
      </c>
      <c r="R2402" s="317"/>
      <c r="U2402" s="320"/>
    </row>
    <row r="2403" spans="1:21" s="325" customFormat="1" outlineLevel="2">
      <c r="A2403" s="326"/>
      <c r="B2403" s="326"/>
      <c r="C2403" s="328">
        <v>2220100</v>
      </c>
      <c r="D2403" s="326" t="s">
        <v>62</v>
      </c>
      <c r="E2403" s="912">
        <f>E2404+E2405</f>
        <v>1178745</v>
      </c>
      <c r="F2403" s="912">
        <f t="shared" ref="F2403:K2403" si="1793">F2404+F2405</f>
        <v>0</v>
      </c>
      <c r="G2403" s="912">
        <f t="shared" si="1793"/>
        <v>0</v>
      </c>
      <c r="H2403" s="912">
        <f t="shared" si="1793"/>
        <v>0</v>
      </c>
      <c r="I2403" s="912">
        <f t="shared" si="1793"/>
        <v>1178745</v>
      </c>
      <c r="J2403" s="912">
        <f t="shared" si="1793"/>
        <v>0</v>
      </c>
      <c r="K2403" s="912">
        <f t="shared" si="1793"/>
        <v>0</v>
      </c>
      <c r="L2403" s="317">
        <f t="shared" si="1764"/>
        <v>1178745</v>
      </c>
      <c r="M2403" s="317"/>
      <c r="N2403" s="372">
        <f t="shared" si="1767"/>
        <v>0</v>
      </c>
      <c r="O2403" s="912">
        <f t="shared" ref="O2403:P2403" si="1794">O2404+O2405</f>
        <v>1296619.5</v>
      </c>
      <c r="P2403" s="912">
        <f t="shared" si="1794"/>
        <v>1426281.45</v>
      </c>
      <c r="R2403" s="317"/>
      <c r="U2403" s="320"/>
    </row>
    <row r="2404" spans="1:21" s="344" customFormat="1" outlineLevel="2">
      <c r="A2404" s="345"/>
      <c r="B2404" s="345"/>
      <c r="C2404" s="405">
        <v>2220101</v>
      </c>
      <c r="D2404" s="345" t="s">
        <v>250</v>
      </c>
      <c r="E2404" s="913">
        <v>178745</v>
      </c>
      <c r="F2404" s="406"/>
      <c r="G2404" s="406"/>
      <c r="H2404" s="406"/>
      <c r="I2404" s="324">
        <f t="shared" si="1778"/>
        <v>178745</v>
      </c>
      <c r="J2404" s="406"/>
      <c r="K2404" s="914"/>
      <c r="L2404" s="317">
        <f t="shared" si="1764"/>
        <v>178745</v>
      </c>
      <c r="M2404" s="317"/>
      <c r="N2404" s="372">
        <f t="shared" si="1767"/>
        <v>0</v>
      </c>
      <c r="O2404" s="934">
        <f>L2404*1.1</f>
        <v>196619.50000000003</v>
      </c>
      <c r="P2404" s="934">
        <f>O2404*1.1</f>
        <v>216281.45000000004</v>
      </c>
      <c r="R2404" s="317"/>
      <c r="U2404" s="320"/>
    </row>
    <row r="2405" spans="1:21" s="344" customFormat="1" outlineLevel="2">
      <c r="A2405" s="345"/>
      <c r="B2405" s="345"/>
      <c r="C2405" s="405">
        <v>2220202</v>
      </c>
      <c r="D2405" s="345" t="s">
        <v>1428</v>
      </c>
      <c r="E2405" s="913">
        <v>1000000</v>
      </c>
      <c r="F2405" s="406"/>
      <c r="G2405" s="406"/>
      <c r="H2405" s="406"/>
      <c r="I2405" s="324">
        <f t="shared" si="1778"/>
        <v>1000000</v>
      </c>
      <c r="J2405" s="406"/>
      <c r="K2405" s="914"/>
      <c r="L2405" s="317">
        <f t="shared" si="1764"/>
        <v>1000000</v>
      </c>
      <c r="M2405" s="317"/>
      <c r="N2405" s="372">
        <f t="shared" si="1767"/>
        <v>0</v>
      </c>
      <c r="O2405" s="336">
        <f>L2405*1.1</f>
        <v>1100000</v>
      </c>
      <c r="P2405" s="336">
        <f t="shared" si="1752"/>
        <v>1210000</v>
      </c>
      <c r="R2405" s="317"/>
      <c r="U2405" s="320"/>
    </row>
    <row r="2406" spans="1:21" s="325" customFormat="1" outlineLevel="2">
      <c r="A2406" s="326"/>
      <c r="B2406" s="326"/>
      <c r="C2406" s="328">
        <v>2220200</v>
      </c>
      <c r="D2406" s="326" t="s">
        <v>508</v>
      </c>
      <c r="E2406" s="912">
        <f>E2407+0</f>
        <v>2000000</v>
      </c>
      <c r="F2406" s="912">
        <f t="shared" ref="F2406:P2406" si="1795">F2407+0</f>
        <v>0</v>
      </c>
      <c r="G2406" s="912">
        <f t="shared" si="1795"/>
        <v>0</v>
      </c>
      <c r="H2406" s="912">
        <f t="shared" si="1795"/>
        <v>0</v>
      </c>
      <c r="I2406" s="912">
        <f t="shared" si="1795"/>
        <v>2000000</v>
      </c>
      <c r="J2406" s="912">
        <f t="shared" si="1795"/>
        <v>0</v>
      </c>
      <c r="K2406" s="912">
        <f t="shared" si="1795"/>
        <v>-2000000</v>
      </c>
      <c r="L2406" s="317">
        <f t="shared" si="1764"/>
        <v>0</v>
      </c>
      <c r="M2406" s="317"/>
      <c r="N2406" s="372">
        <f t="shared" si="1767"/>
        <v>2000000</v>
      </c>
      <c r="O2406" s="912">
        <f t="shared" si="1795"/>
        <v>0</v>
      </c>
      <c r="P2406" s="912">
        <f t="shared" si="1795"/>
        <v>0</v>
      </c>
      <c r="R2406" s="317"/>
      <c r="U2406" s="320"/>
    </row>
    <row r="2407" spans="1:21" s="344" customFormat="1" outlineLevel="2">
      <c r="A2407" s="345"/>
      <c r="B2407" s="345"/>
      <c r="C2407" s="405">
        <v>2220213</v>
      </c>
      <c r="D2407" s="345" t="s">
        <v>509</v>
      </c>
      <c r="E2407" s="913">
        <v>2000000</v>
      </c>
      <c r="F2407" s="406"/>
      <c r="G2407" s="406"/>
      <c r="H2407" s="406"/>
      <c r="I2407" s="324">
        <f t="shared" si="1778"/>
        <v>2000000</v>
      </c>
      <c r="J2407" s="406"/>
      <c r="K2407" s="914">
        <v>-2000000</v>
      </c>
      <c r="L2407" s="317">
        <f t="shared" si="1764"/>
        <v>0</v>
      </c>
      <c r="M2407" s="317"/>
      <c r="N2407" s="372">
        <f t="shared" si="1767"/>
        <v>2000000</v>
      </c>
      <c r="O2407" s="336">
        <f t="shared" ref="O2407:O2470" si="1796">L2407*1.1</f>
        <v>0</v>
      </c>
      <c r="P2407" s="336">
        <f t="shared" ref="P2407:P2425" si="1797">O2407*1.1</f>
        <v>0</v>
      </c>
      <c r="R2407" s="317"/>
      <c r="U2407" s="320"/>
    </row>
    <row r="2408" spans="1:21" s="325" customFormat="1" outlineLevel="2">
      <c r="A2408" s="326"/>
      <c r="B2408" s="326"/>
      <c r="C2408" s="328">
        <v>3110700</v>
      </c>
      <c r="D2408" s="326" t="s">
        <v>65</v>
      </c>
      <c r="E2408" s="912">
        <f>E2409+0</f>
        <v>1000000</v>
      </c>
      <c r="F2408" s="912">
        <f t="shared" ref="F2408:K2408" si="1798">F2409+0</f>
        <v>0</v>
      </c>
      <c r="G2408" s="912">
        <f t="shared" si="1798"/>
        <v>0</v>
      </c>
      <c r="H2408" s="912">
        <f t="shared" si="1798"/>
        <v>0</v>
      </c>
      <c r="I2408" s="912">
        <f t="shared" si="1798"/>
        <v>1000000</v>
      </c>
      <c r="J2408" s="912">
        <f t="shared" si="1798"/>
        <v>0</v>
      </c>
      <c r="K2408" s="912">
        <f t="shared" si="1798"/>
        <v>0</v>
      </c>
      <c r="L2408" s="317">
        <f t="shared" si="1764"/>
        <v>1000000</v>
      </c>
      <c r="M2408" s="317"/>
      <c r="N2408" s="372">
        <f t="shared" si="1767"/>
        <v>0</v>
      </c>
      <c r="O2408" s="912">
        <f t="shared" ref="O2408:P2408" si="1799">O2409+0</f>
        <v>1100000</v>
      </c>
      <c r="P2408" s="912">
        <f t="shared" si="1799"/>
        <v>1210000</v>
      </c>
      <c r="R2408" s="317"/>
      <c r="U2408" s="320"/>
    </row>
    <row r="2409" spans="1:21" s="344" customFormat="1" outlineLevel="2">
      <c r="A2409" s="345"/>
      <c r="B2409" s="345"/>
      <c r="C2409" s="405">
        <v>3110704</v>
      </c>
      <c r="D2409" s="345" t="s">
        <v>1429</v>
      </c>
      <c r="E2409" s="913">
        <f>1500000-500000</f>
        <v>1000000</v>
      </c>
      <c r="F2409" s="406"/>
      <c r="G2409" s="406"/>
      <c r="H2409" s="406"/>
      <c r="I2409" s="324">
        <f t="shared" si="1778"/>
        <v>1000000</v>
      </c>
      <c r="J2409" s="406"/>
      <c r="K2409" s="914"/>
      <c r="L2409" s="317">
        <f t="shared" si="1764"/>
        <v>1000000</v>
      </c>
      <c r="M2409" s="317"/>
      <c r="N2409" s="372">
        <f t="shared" si="1767"/>
        <v>0</v>
      </c>
      <c r="O2409" s="336">
        <f t="shared" si="1796"/>
        <v>1100000</v>
      </c>
      <c r="P2409" s="336">
        <f t="shared" si="1797"/>
        <v>1210000</v>
      </c>
      <c r="R2409" s="317"/>
      <c r="U2409" s="320"/>
    </row>
    <row r="2410" spans="1:21" s="344" customFormat="1" outlineLevel="2">
      <c r="A2410" s="326"/>
      <c r="B2410" s="326"/>
      <c r="C2410" s="328">
        <v>3111000</v>
      </c>
      <c r="D2410" s="326" t="s">
        <v>69</v>
      </c>
      <c r="E2410" s="912">
        <f>E2411+E2412</f>
        <v>1470000</v>
      </c>
      <c r="F2410" s="912">
        <f t="shared" ref="F2410:P2410" si="1800">F2411+F2412</f>
        <v>0</v>
      </c>
      <c r="G2410" s="912">
        <f t="shared" si="1800"/>
        <v>0</v>
      </c>
      <c r="H2410" s="912">
        <f t="shared" si="1800"/>
        <v>0</v>
      </c>
      <c r="I2410" s="912">
        <f t="shared" si="1800"/>
        <v>1470000</v>
      </c>
      <c r="J2410" s="912">
        <f t="shared" si="1800"/>
        <v>0</v>
      </c>
      <c r="K2410" s="912">
        <f t="shared" si="1800"/>
        <v>-660000</v>
      </c>
      <c r="L2410" s="317">
        <f t="shared" si="1764"/>
        <v>810000</v>
      </c>
      <c r="M2410" s="317"/>
      <c r="N2410" s="372">
        <f t="shared" si="1767"/>
        <v>660000</v>
      </c>
      <c r="O2410" s="912">
        <f t="shared" si="1800"/>
        <v>891000.00000000012</v>
      </c>
      <c r="P2410" s="912">
        <f t="shared" si="1800"/>
        <v>9548979.9900000021</v>
      </c>
      <c r="R2410" s="317"/>
      <c r="U2410" s="320"/>
    </row>
    <row r="2411" spans="1:21" s="312" customFormat="1" outlineLevel="1">
      <c r="A2411" s="345"/>
      <c r="B2411" s="345"/>
      <c r="C2411" s="405">
        <v>3111001</v>
      </c>
      <c r="D2411" s="345" t="s">
        <v>70</v>
      </c>
      <c r="E2411" s="913">
        <v>660000</v>
      </c>
      <c r="F2411" s="406"/>
      <c r="G2411" s="406"/>
      <c r="H2411" s="406"/>
      <c r="I2411" s="324">
        <f t="shared" si="1778"/>
        <v>660000</v>
      </c>
      <c r="J2411" s="406"/>
      <c r="K2411" s="914">
        <v>-660000</v>
      </c>
      <c r="L2411" s="317">
        <f t="shared" si="1764"/>
        <v>0</v>
      </c>
      <c r="M2411" s="317"/>
      <c r="N2411" s="372">
        <f t="shared" si="1767"/>
        <v>660000</v>
      </c>
      <c r="O2411" s="336">
        <f t="shared" si="1796"/>
        <v>0</v>
      </c>
      <c r="P2411" s="932">
        <f t="shared" ref="P2411" si="1801">P2408+P2406+P2404+P2401+P2399+P2396+P2393+P2390+P2385+P2382+P2378+P2376+P2373</f>
        <v>8568879.9900000021</v>
      </c>
      <c r="R2411" s="317"/>
      <c r="U2411" s="320"/>
    </row>
    <row r="2412" spans="1:21" s="312" customFormat="1" outlineLevel="1">
      <c r="A2412" s="345"/>
      <c r="B2412" s="345"/>
      <c r="C2412" s="405">
        <v>3111002</v>
      </c>
      <c r="D2412" s="345" t="s">
        <v>71</v>
      </c>
      <c r="E2412" s="913">
        <v>810000</v>
      </c>
      <c r="F2412" s="406"/>
      <c r="G2412" s="406"/>
      <c r="H2412" s="406"/>
      <c r="I2412" s="324">
        <f t="shared" si="1778"/>
        <v>810000</v>
      </c>
      <c r="J2412" s="406"/>
      <c r="K2412" s="914"/>
      <c r="L2412" s="317">
        <f t="shared" si="1764"/>
        <v>810000</v>
      </c>
      <c r="M2412" s="317"/>
      <c r="N2412" s="372">
        <f t="shared" si="1767"/>
        <v>0</v>
      </c>
      <c r="O2412" s="336">
        <f t="shared" si="1796"/>
        <v>891000.00000000012</v>
      </c>
      <c r="P2412" s="794">
        <f>O2412*1.1</f>
        <v>980100.00000000023</v>
      </c>
      <c r="R2412" s="317"/>
      <c r="U2412" s="320"/>
    </row>
    <row r="2413" spans="1:21" s="312" customFormat="1" outlineLevel="1">
      <c r="A2413" s="345"/>
      <c r="B2413" s="345"/>
      <c r="C2413" s="405"/>
      <c r="D2413" s="345"/>
      <c r="E2413" s="913"/>
      <c r="F2413" s="406"/>
      <c r="G2413" s="406"/>
      <c r="H2413" s="406"/>
      <c r="I2413" s="324">
        <f t="shared" si="1778"/>
        <v>0</v>
      </c>
      <c r="J2413" s="406"/>
      <c r="K2413" s="914"/>
      <c r="L2413" s="317">
        <f t="shared" si="1764"/>
        <v>0</v>
      </c>
      <c r="M2413" s="317"/>
      <c r="N2413" s="372">
        <f t="shared" si="1767"/>
        <v>0</v>
      </c>
      <c r="O2413" s="336">
        <f t="shared" si="1796"/>
        <v>0</v>
      </c>
      <c r="P2413" s="794"/>
      <c r="R2413" s="317"/>
      <c r="U2413" s="320"/>
    </row>
    <row r="2414" spans="1:21" s="312" customFormat="1" outlineLevel="1">
      <c r="A2414" s="345"/>
      <c r="B2414" s="345"/>
      <c r="C2414" s="328"/>
      <c r="D2414" s="326" t="s">
        <v>310</v>
      </c>
      <c r="E2414" s="912">
        <f>E2410+E2406+E2403+E2401+E2398+E2395+E2392+E2387+E2384+E2380+E2378+E2375+E2408</f>
        <v>14716475</v>
      </c>
      <c r="F2414" s="912">
        <f t="shared" ref="F2414:K2414" si="1802">F2410+F2406+F2403+F2401+F2398+F2395+F2392+F2387+F2384+F2380+F2378+F2375+F2408</f>
        <v>0</v>
      </c>
      <c r="G2414" s="912">
        <f t="shared" si="1802"/>
        <v>0</v>
      </c>
      <c r="H2414" s="912">
        <f t="shared" si="1802"/>
        <v>0</v>
      </c>
      <c r="I2414" s="912">
        <f t="shared" si="1802"/>
        <v>14716475</v>
      </c>
      <c r="J2414" s="912">
        <f t="shared" si="1802"/>
        <v>0</v>
      </c>
      <c r="K2414" s="912">
        <f t="shared" si="1802"/>
        <v>-641740</v>
      </c>
      <c r="L2414" s="317">
        <f t="shared" si="1764"/>
        <v>14074735</v>
      </c>
      <c r="M2414" s="317"/>
      <c r="N2414" s="372">
        <f t="shared" si="1767"/>
        <v>641740</v>
      </c>
      <c r="O2414" s="912">
        <f t="shared" ref="O2414:P2414" si="1803">O2410+O2406+O2403+O2401+O2398+O2395+O2392+O2387+O2384+O2380+O2378+O2375+O2408</f>
        <v>15482208.500000002</v>
      </c>
      <c r="P2414" s="912">
        <f t="shared" si="1803"/>
        <v>25599309.340000004</v>
      </c>
      <c r="R2414" s="317"/>
      <c r="U2414" s="320"/>
    </row>
    <row r="2415" spans="1:21" s="312" customFormat="1" outlineLevel="1">
      <c r="A2415" s="345"/>
      <c r="B2415" s="345"/>
      <c r="C2415" s="328"/>
      <c r="D2415" s="326"/>
      <c r="E2415" s="912"/>
      <c r="F2415" s="461"/>
      <c r="G2415" s="461"/>
      <c r="H2415" s="461"/>
      <c r="I2415" s="324">
        <f t="shared" si="1778"/>
        <v>0</v>
      </c>
      <c r="J2415" s="461"/>
      <c r="K2415" s="921"/>
      <c r="L2415" s="317">
        <f t="shared" si="1764"/>
        <v>0</v>
      </c>
      <c r="M2415" s="317"/>
      <c r="N2415" s="372">
        <f t="shared" si="1767"/>
        <v>0</v>
      </c>
      <c r="O2415" s="336">
        <f t="shared" si="1796"/>
        <v>0</v>
      </c>
      <c r="P2415" s="336">
        <f t="shared" ref="P2415:P2417" si="1804">O2415*1.1</f>
        <v>0</v>
      </c>
      <c r="R2415" s="317"/>
      <c r="U2415" s="320"/>
    </row>
    <row r="2416" spans="1:21" s="312" customFormat="1" outlineLevel="1">
      <c r="A2416" s="345"/>
      <c r="B2416" s="345"/>
      <c r="C2416" s="405"/>
      <c r="D2416" s="345"/>
      <c r="E2416" s="912"/>
      <c r="F2416" s="406"/>
      <c r="G2416" s="406"/>
      <c r="H2416" s="406"/>
      <c r="I2416" s="324">
        <f t="shared" si="1778"/>
        <v>0</v>
      </c>
      <c r="J2416" s="406"/>
      <c r="K2416" s="921"/>
      <c r="L2416" s="317">
        <f t="shared" si="1764"/>
        <v>0</v>
      </c>
      <c r="M2416" s="317"/>
      <c r="N2416" s="372">
        <f t="shared" si="1767"/>
        <v>0</v>
      </c>
      <c r="O2416" s="336">
        <f t="shared" si="1796"/>
        <v>0</v>
      </c>
      <c r="P2416" s="336">
        <f t="shared" si="1804"/>
        <v>0</v>
      </c>
      <c r="R2416" s="317"/>
      <c r="U2416" s="320"/>
    </row>
    <row r="2417" spans="1:21" s="312" customFormat="1" outlineLevel="1">
      <c r="A2417" s="345"/>
      <c r="B2417" s="345"/>
      <c r="C2417" s="328" t="s">
        <v>92</v>
      </c>
      <c r="D2417" s="345"/>
      <c r="E2417" s="912"/>
      <c r="F2417" s="406"/>
      <c r="G2417" s="406"/>
      <c r="H2417" s="406"/>
      <c r="I2417" s="324">
        <f t="shared" si="1778"/>
        <v>0</v>
      </c>
      <c r="J2417" s="406"/>
      <c r="K2417" s="921"/>
      <c r="L2417" s="317">
        <f t="shared" si="1764"/>
        <v>0</v>
      </c>
      <c r="M2417" s="317"/>
      <c r="N2417" s="372">
        <f t="shared" si="1767"/>
        <v>0</v>
      </c>
      <c r="O2417" s="336">
        <f t="shared" si="1796"/>
        <v>0</v>
      </c>
      <c r="P2417" s="336">
        <f t="shared" si="1804"/>
        <v>0</v>
      </c>
      <c r="R2417" s="317"/>
      <c r="U2417" s="320"/>
    </row>
    <row r="2418" spans="1:21" s="312" customFormat="1" outlineLevel="1">
      <c r="A2418" s="345"/>
      <c r="B2418" s="345"/>
      <c r="C2418" s="328">
        <v>3110500</v>
      </c>
      <c r="D2418" s="326" t="s">
        <v>506</v>
      </c>
      <c r="E2418" s="912">
        <f>E2419+E2420+E2421</f>
        <v>402000000</v>
      </c>
      <c r="F2418" s="912">
        <f t="shared" ref="F2418:P2418" si="1805">F2419+F2420+F2421</f>
        <v>100000000</v>
      </c>
      <c r="G2418" s="912">
        <f t="shared" si="1805"/>
        <v>0</v>
      </c>
      <c r="H2418" s="912">
        <f t="shared" si="1805"/>
        <v>0</v>
      </c>
      <c r="I2418" s="912">
        <f t="shared" si="1805"/>
        <v>502000000</v>
      </c>
      <c r="J2418" s="912">
        <f t="shared" si="1805"/>
        <v>0</v>
      </c>
      <c r="K2418" s="912">
        <f t="shared" si="1805"/>
        <v>0</v>
      </c>
      <c r="L2418" s="317">
        <f t="shared" si="1764"/>
        <v>502000000</v>
      </c>
      <c r="M2418" s="317"/>
      <c r="N2418" s="372">
        <f t="shared" si="1767"/>
        <v>0</v>
      </c>
      <c r="O2418" s="912">
        <f t="shared" si="1805"/>
        <v>552200000</v>
      </c>
      <c r="P2418" s="912">
        <f t="shared" si="1805"/>
        <v>607420000</v>
      </c>
      <c r="R2418" s="317"/>
      <c r="U2418" s="320"/>
    </row>
    <row r="2419" spans="1:21" s="312" customFormat="1" outlineLevel="1">
      <c r="A2419" s="345"/>
      <c r="B2419" s="345"/>
      <c r="C2419" s="405">
        <v>3110504</v>
      </c>
      <c r="D2419" s="345" t="s">
        <v>1430</v>
      </c>
      <c r="E2419" s="913">
        <v>150000000</v>
      </c>
      <c r="F2419" s="913">
        <v>100000000</v>
      </c>
      <c r="G2419" s="406"/>
      <c r="H2419" s="406"/>
      <c r="I2419" s="324">
        <f t="shared" si="1778"/>
        <v>250000000</v>
      </c>
      <c r="J2419" s="406"/>
      <c r="K2419" s="914"/>
      <c r="L2419" s="317">
        <f t="shared" si="1764"/>
        <v>250000000</v>
      </c>
      <c r="M2419" s="317"/>
      <c r="N2419" s="372">
        <f t="shared" si="1767"/>
        <v>0</v>
      </c>
      <c r="O2419" s="336">
        <f t="shared" si="1796"/>
        <v>275000000</v>
      </c>
      <c r="P2419" s="336">
        <f>O2419*1.1</f>
        <v>302500000</v>
      </c>
      <c r="R2419" s="317"/>
      <c r="U2419" s="320"/>
    </row>
    <row r="2420" spans="1:21" s="312" customFormat="1" outlineLevel="1">
      <c r="A2420" s="345"/>
      <c r="B2420" s="345"/>
      <c r="C2420" s="405">
        <v>3110504</v>
      </c>
      <c r="D2420" s="345" t="s">
        <v>1431</v>
      </c>
      <c r="E2420" s="913">
        <v>250000000</v>
      </c>
      <c r="F2420" s="406"/>
      <c r="G2420" s="406"/>
      <c r="H2420" s="406"/>
      <c r="I2420" s="324">
        <f t="shared" si="1778"/>
        <v>250000000</v>
      </c>
      <c r="J2420" s="406">
        <v>0</v>
      </c>
      <c r="K2420" s="914"/>
      <c r="L2420" s="317">
        <f t="shared" si="1764"/>
        <v>250000000</v>
      </c>
      <c r="M2420" s="317"/>
      <c r="N2420" s="372">
        <f t="shared" si="1767"/>
        <v>0</v>
      </c>
      <c r="O2420" s="336">
        <f t="shared" si="1796"/>
        <v>275000000</v>
      </c>
      <c r="P2420" s="336">
        <f t="shared" ref="P2420:P2421" si="1806">O2420*1.1</f>
        <v>302500000</v>
      </c>
      <c r="R2420" s="317"/>
      <c r="U2420" s="320" t="s">
        <v>1803</v>
      </c>
    </row>
    <row r="2421" spans="1:21" s="312" customFormat="1" outlineLevel="1">
      <c r="A2421" s="345"/>
      <c r="B2421" s="345"/>
      <c r="C2421" s="405">
        <v>3110504</v>
      </c>
      <c r="D2421" s="344" t="s">
        <v>1432</v>
      </c>
      <c r="E2421" s="913">
        <v>2000000</v>
      </c>
      <c r="F2421" s="616"/>
      <c r="G2421" s="616"/>
      <c r="H2421" s="616"/>
      <c r="I2421" s="324">
        <f t="shared" si="1778"/>
        <v>2000000</v>
      </c>
      <c r="J2421" s="616"/>
      <c r="K2421" s="914"/>
      <c r="L2421" s="317">
        <f t="shared" si="1764"/>
        <v>2000000</v>
      </c>
      <c r="M2421" s="317"/>
      <c r="N2421" s="372">
        <f t="shared" si="1767"/>
        <v>0</v>
      </c>
      <c r="O2421" s="336">
        <f t="shared" si="1796"/>
        <v>2200000</v>
      </c>
      <c r="P2421" s="336">
        <f t="shared" si="1806"/>
        <v>2420000</v>
      </c>
      <c r="R2421" s="317"/>
      <c r="U2421" s="320"/>
    </row>
    <row r="2422" spans="1:21" s="312" customFormat="1" outlineLevel="1">
      <c r="A2422" s="483"/>
      <c r="B2422" s="483"/>
      <c r="C2422" s="924">
        <v>3111400</v>
      </c>
      <c r="D2422" s="923" t="s">
        <v>1316</v>
      </c>
      <c r="E2422" s="925">
        <f>E2423+E2424+E2425</f>
        <v>41000000</v>
      </c>
      <c r="F2422" s="925">
        <f t="shared" ref="F2422:K2422" si="1807">F2423+F2424+F2425</f>
        <v>0</v>
      </c>
      <c r="G2422" s="925">
        <f t="shared" si="1807"/>
        <v>-6733810.2418328524</v>
      </c>
      <c r="H2422" s="925">
        <f t="shared" si="1807"/>
        <v>-11266189.758167149</v>
      </c>
      <c r="I2422" s="925">
        <f t="shared" si="1807"/>
        <v>23000000</v>
      </c>
      <c r="J2422" s="925">
        <f t="shared" si="1807"/>
        <v>0</v>
      </c>
      <c r="K2422" s="925">
        <f t="shared" si="1807"/>
        <v>19500000</v>
      </c>
      <c r="L2422" s="317">
        <f t="shared" si="1764"/>
        <v>42500000</v>
      </c>
      <c r="M2422" s="2212"/>
      <c r="N2422" s="372">
        <f t="shared" si="1767"/>
        <v>-19500000</v>
      </c>
      <c r="O2422" s="925">
        <f t="shared" ref="O2422:P2422" si="1808">O2423+O2424+O2425</f>
        <v>46750000</v>
      </c>
      <c r="P2422" s="925">
        <f t="shared" si="1808"/>
        <v>51425000</v>
      </c>
      <c r="R2422" s="317"/>
      <c r="U2422" s="320"/>
    </row>
    <row r="2423" spans="1:21" s="312" customFormat="1" outlineLevel="1">
      <c r="A2423" s="345"/>
      <c r="B2423" s="345"/>
      <c r="C2423" s="405">
        <v>3111401</v>
      </c>
      <c r="D2423" s="345" t="s">
        <v>1248</v>
      </c>
      <c r="E2423" s="913">
        <v>20000000</v>
      </c>
      <c r="F2423" s="406"/>
      <c r="G2423" s="913">
        <v>-1733810.2418328524</v>
      </c>
      <c r="H2423" s="913">
        <f>-2266189.75816715-2000000</f>
        <v>-4266189.7581671495</v>
      </c>
      <c r="I2423" s="324">
        <f t="shared" si="1778"/>
        <v>13999999.999999998</v>
      </c>
      <c r="J2423" s="913"/>
      <c r="K2423" s="915">
        <v>19500000</v>
      </c>
      <c r="L2423" s="317">
        <f t="shared" si="1764"/>
        <v>33500000</v>
      </c>
      <c r="M2423" s="317"/>
      <c r="N2423" s="372">
        <f t="shared" si="1767"/>
        <v>-19500000</v>
      </c>
      <c r="O2423" s="336">
        <f t="shared" si="1796"/>
        <v>36850000</v>
      </c>
      <c r="P2423" s="794">
        <f>O2423*1.1</f>
        <v>40535000</v>
      </c>
      <c r="R2423" s="317"/>
      <c r="U2423" s="320"/>
    </row>
    <row r="2424" spans="1:21" s="312" customFormat="1" outlineLevel="1">
      <c r="A2424" s="345"/>
      <c r="B2424" s="345"/>
      <c r="C2424" s="405">
        <v>3111499</v>
      </c>
      <c r="D2424" s="345" t="s">
        <v>1433</v>
      </c>
      <c r="E2424" s="913">
        <v>20000000</v>
      </c>
      <c r="F2424" s="406"/>
      <c r="G2424" s="913">
        <v>-5000000</v>
      </c>
      <c r="H2424" s="913">
        <f>-3000000-4000000</f>
        <v>-7000000</v>
      </c>
      <c r="I2424" s="324">
        <f t="shared" si="1778"/>
        <v>8000000</v>
      </c>
      <c r="J2424" s="913"/>
      <c r="K2424" s="914"/>
      <c r="L2424" s="317">
        <f t="shared" si="1764"/>
        <v>8000000</v>
      </c>
      <c r="M2424" s="317"/>
      <c r="N2424" s="372">
        <f t="shared" si="1767"/>
        <v>0</v>
      </c>
      <c r="O2424" s="336">
        <f t="shared" si="1796"/>
        <v>8800000</v>
      </c>
      <c r="P2424" s="336">
        <f t="shared" si="1797"/>
        <v>9680000</v>
      </c>
      <c r="R2424" s="317"/>
      <c r="U2424" s="320"/>
    </row>
    <row r="2425" spans="1:21" s="312" customFormat="1" outlineLevel="1">
      <c r="A2425" s="506"/>
      <c r="B2425" s="506"/>
      <c r="C2425" s="927">
        <v>3111499</v>
      </c>
      <c r="D2425" s="506" t="s">
        <v>1434</v>
      </c>
      <c r="E2425" s="928">
        <v>1000000</v>
      </c>
      <c r="F2425" s="496"/>
      <c r="G2425" s="496"/>
      <c r="H2425" s="496"/>
      <c r="I2425" s="324">
        <f t="shared" si="1778"/>
        <v>1000000</v>
      </c>
      <c r="J2425" s="496"/>
      <c r="K2425" s="914"/>
      <c r="L2425" s="317">
        <f t="shared" si="1764"/>
        <v>1000000</v>
      </c>
      <c r="M2425" s="317"/>
      <c r="N2425" s="372">
        <f t="shared" si="1767"/>
        <v>0</v>
      </c>
      <c r="O2425" s="336">
        <f t="shared" si="1796"/>
        <v>1100000</v>
      </c>
      <c r="P2425" s="336">
        <f t="shared" si="1797"/>
        <v>1210000</v>
      </c>
      <c r="R2425" s="317"/>
      <c r="U2425" s="320"/>
    </row>
    <row r="2426" spans="1:21" s="325" customFormat="1" outlineLevel="1">
      <c r="A2426" s="345"/>
      <c r="B2426" s="345"/>
      <c r="C2426" s="328"/>
      <c r="D2426" s="326" t="s">
        <v>261</v>
      </c>
      <c r="E2426" s="912">
        <f>E2422+E2418</f>
        <v>443000000</v>
      </c>
      <c r="F2426" s="912">
        <f t="shared" ref="F2426:P2426" si="1809">F2422+F2418</f>
        <v>100000000</v>
      </c>
      <c r="G2426" s="912">
        <f t="shared" si="1809"/>
        <v>-6733810.2418328524</v>
      </c>
      <c r="H2426" s="912">
        <f t="shared" si="1809"/>
        <v>-11266189.758167149</v>
      </c>
      <c r="I2426" s="912">
        <f t="shared" si="1809"/>
        <v>525000000</v>
      </c>
      <c r="J2426" s="912">
        <f t="shared" si="1809"/>
        <v>0</v>
      </c>
      <c r="K2426" s="912">
        <f t="shared" si="1809"/>
        <v>19500000</v>
      </c>
      <c r="L2426" s="317">
        <f t="shared" si="1764"/>
        <v>544500000</v>
      </c>
      <c r="M2426" s="317"/>
      <c r="N2426" s="372">
        <f t="shared" si="1767"/>
        <v>-19500000</v>
      </c>
      <c r="O2426" s="912">
        <f t="shared" si="1809"/>
        <v>598950000</v>
      </c>
      <c r="P2426" s="912">
        <f t="shared" si="1809"/>
        <v>658845000</v>
      </c>
      <c r="R2426" s="317"/>
      <c r="U2426" s="320"/>
    </row>
    <row r="2427" spans="1:21" s="344" customFormat="1" outlineLevel="1">
      <c r="A2427" s="326"/>
      <c r="B2427" s="326"/>
      <c r="C2427" s="328"/>
      <c r="D2427" s="326" t="s">
        <v>84</v>
      </c>
      <c r="E2427" s="912">
        <f>E2426+E2414</f>
        <v>457716475</v>
      </c>
      <c r="F2427" s="912">
        <f t="shared" ref="F2427:K2427" si="1810">F2426+F2414</f>
        <v>100000000</v>
      </c>
      <c r="G2427" s="912">
        <f t="shared" si="1810"/>
        <v>-6733810.2418328524</v>
      </c>
      <c r="H2427" s="912">
        <f t="shared" si="1810"/>
        <v>-11266189.758167149</v>
      </c>
      <c r="I2427" s="912">
        <f t="shared" si="1810"/>
        <v>539716475</v>
      </c>
      <c r="J2427" s="912">
        <f t="shared" si="1810"/>
        <v>0</v>
      </c>
      <c r="K2427" s="912">
        <f t="shared" si="1810"/>
        <v>18858260</v>
      </c>
      <c r="L2427" s="317">
        <f t="shared" si="1764"/>
        <v>558574735</v>
      </c>
      <c r="M2427" s="317"/>
      <c r="N2427" s="372">
        <f t="shared" si="1767"/>
        <v>-18858260</v>
      </c>
      <c r="O2427" s="912">
        <f t="shared" ref="O2427:P2427" si="1811">O2426+O2414</f>
        <v>614432208.5</v>
      </c>
      <c r="P2427" s="912">
        <f t="shared" si="1811"/>
        <v>684444309.34000003</v>
      </c>
      <c r="R2427" s="317"/>
      <c r="U2427" s="320"/>
    </row>
    <row r="2428" spans="1:21" s="344" customFormat="1" outlineLevel="2">
      <c r="A2428" s="345"/>
      <c r="B2428" s="345"/>
      <c r="C2428" s="405"/>
      <c r="D2428" s="345"/>
      <c r="E2428" s="913"/>
      <c r="F2428" s="406"/>
      <c r="G2428" s="406"/>
      <c r="H2428" s="406"/>
      <c r="I2428" s="324">
        <f t="shared" si="1778"/>
        <v>0</v>
      </c>
      <c r="J2428" s="406"/>
      <c r="K2428" s="914"/>
      <c r="L2428" s="317">
        <f t="shared" si="1764"/>
        <v>0</v>
      </c>
      <c r="M2428" s="317"/>
      <c r="N2428" s="372">
        <f t="shared" si="1767"/>
        <v>0</v>
      </c>
      <c r="O2428" s="336">
        <f t="shared" si="1796"/>
        <v>0</v>
      </c>
      <c r="P2428" s="933">
        <f t="shared" ref="P2428" si="1812">P2429+P2430</f>
        <v>0</v>
      </c>
      <c r="R2428" s="317"/>
      <c r="U2428" s="320"/>
    </row>
    <row r="2429" spans="1:21" s="344" customFormat="1" outlineLevel="2">
      <c r="A2429" s="345"/>
      <c r="B2429" s="345"/>
      <c r="C2429" s="328" t="s">
        <v>511</v>
      </c>
      <c r="D2429" s="326"/>
      <c r="E2429" s="913"/>
      <c r="F2429" s="461"/>
      <c r="G2429" s="461"/>
      <c r="H2429" s="461"/>
      <c r="I2429" s="324">
        <f t="shared" si="1778"/>
        <v>0</v>
      </c>
      <c r="J2429" s="461"/>
      <c r="K2429" s="921"/>
      <c r="L2429" s="317">
        <f t="shared" si="1764"/>
        <v>0</v>
      </c>
      <c r="M2429" s="317"/>
      <c r="N2429" s="372">
        <f t="shared" si="1767"/>
        <v>0</v>
      </c>
      <c r="O2429" s="336">
        <f t="shared" si="1796"/>
        <v>0</v>
      </c>
      <c r="P2429" s="336">
        <f t="shared" ref="P2429:P2466" si="1813">O2429*1.1</f>
        <v>0</v>
      </c>
      <c r="R2429" s="317"/>
      <c r="U2429" s="320"/>
    </row>
    <row r="2430" spans="1:21" s="344" customFormat="1" outlineLevel="2">
      <c r="A2430" s="345"/>
      <c r="B2430" s="345"/>
      <c r="C2430" s="328" t="s">
        <v>512</v>
      </c>
      <c r="D2430" s="326"/>
      <c r="E2430" s="913"/>
      <c r="F2430" s="461"/>
      <c r="G2430" s="461"/>
      <c r="H2430" s="461"/>
      <c r="I2430" s="324">
        <f t="shared" si="1778"/>
        <v>0</v>
      </c>
      <c r="J2430" s="461"/>
      <c r="K2430" s="921"/>
      <c r="L2430" s="317">
        <f t="shared" si="1764"/>
        <v>0</v>
      </c>
      <c r="M2430" s="317"/>
      <c r="N2430" s="372">
        <f t="shared" si="1767"/>
        <v>0</v>
      </c>
      <c r="O2430" s="336">
        <f t="shared" si="1796"/>
        <v>0</v>
      </c>
      <c r="P2430" s="336">
        <f t="shared" si="1813"/>
        <v>0</v>
      </c>
      <c r="R2430" s="317"/>
      <c r="U2430" s="320"/>
    </row>
    <row r="2431" spans="1:21" s="344" customFormat="1" outlineLevel="2">
      <c r="A2431" s="345"/>
      <c r="B2431" s="345"/>
      <c r="C2431" s="328" t="s">
        <v>513</v>
      </c>
      <c r="D2431" s="326"/>
      <c r="E2431" s="913"/>
      <c r="F2431" s="461"/>
      <c r="G2431" s="461"/>
      <c r="H2431" s="461"/>
      <c r="I2431" s="324">
        <f t="shared" si="1778"/>
        <v>0</v>
      </c>
      <c r="J2431" s="461"/>
      <c r="K2431" s="921"/>
      <c r="L2431" s="317">
        <f t="shared" si="1764"/>
        <v>0</v>
      </c>
      <c r="M2431" s="317"/>
      <c r="N2431" s="372">
        <f t="shared" si="1767"/>
        <v>0</v>
      </c>
      <c r="O2431" s="336">
        <f t="shared" si="1796"/>
        <v>0</v>
      </c>
      <c r="P2431" s="933"/>
      <c r="R2431" s="317"/>
      <c r="U2431" s="320"/>
    </row>
    <row r="2432" spans="1:21" s="325" customFormat="1" outlineLevel="2">
      <c r="A2432" s="326"/>
      <c r="B2432" s="326"/>
      <c r="C2432" s="328">
        <v>2210100</v>
      </c>
      <c r="D2432" s="326" t="s">
        <v>16</v>
      </c>
      <c r="E2432" s="912">
        <f>E2433+E2434</f>
        <v>435751</v>
      </c>
      <c r="F2432" s="912">
        <f t="shared" ref="F2432:P2432" si="1814">F2433+F2434</f>
        <v>0</v>
      </c>
      <c r="G2432" s="912">
        <f t="shared" si="1814"/>
        <v>0</v>
      </c>
      <c r="H2432" s="912">
        <f t="shared" si="1814"/>
        <v>0</v>
      </c>
      <c r="I2432" s="912">
        <f t="shared" si="1814"/>
        <v>435751</v>
      </c>
      <c r="J2432" s="912">
        <f t="shared" si="1814"/>
        <v>0</v>
      </c>
      <c r="K2432" s="912">
        <f t="shared" si="1814"/>
        <v>-350000</v>
      </c>
      <c r="L2432" s="317">
        <f t="shared" si="1764"/>
        <v>85751</v>
      </c>
      <c r="M2432" s="317"/>
      <c r="N2432" s="372">
        <f t="shared" si="1767"/>
        <v>350000</v>
      </c>
      <c r="O2432" s="912">
        <f t="shared" si="1814"/>
        <v>94326.1</v>
      </c>
      <c r="P2432" s="912">
        <f t="shared" si="1814"/>
        <v>103758.71</v>
      </c>
      <c r="R2432" s="317"/>
      <c r="U2432" s="320"/>
    </row>
    <row r="2433" spans="1:21" s="344" customFormat="1" outlineLevel="2">
      <c r="A2433" s="345"/>
      <c r="B2433" s="345"/>
      <c r="C2433" s="405">
        <v>2210101</v>
      </c>
      <c r="D2433" s="345" t="s">
        <v>17</v>
      </c>
      <c r="E2433" s="913">
        <v>261235</v>
      </c>
      <c r="F2433" s="406"/>
      <c r="G2433" s="406"/>
      <c r="H2433" s="406"/>
      <c r="I2433" s="324">
        <f t="shared" si="1778"/>
        <v>261235</v>
      </c>
      <c r="J2433" s="406"/>
      <c r="K2433" s="915">
        <v>-200000</v>
      </c>
      <c r="L2433" s="317">
        <f t="shared" si="1764"/>
        <v>61235</v>
      </c>
      <c r="M2433" s="317"/>
      <c r="N2433" s="372">
        <f t="shared" si="1767"/>
        <v>200000</v>
      </c>
      <c r="O2433" s="336">
        <f t="shared" si="1796"/>
        <v>67358.5</v>
      </c>
      <c r="P2433" s="336">
        <f t="shared" si="1813"/>
        <v>74094.350000000006</v>
      </c>
      <c r="R2433" s="317"/>
      <c r="U2433" s="320"/>
    </row>
    <row r="2434" spans="1:21" s="344" customFormat="1" outlineLevel="2">
      <c r="A2434" s="345"/>
      <c r="B2434" s="345"/>
      <c r="C2434" s="405">
        <v>2210102</v>
      </c>
      <c r="D2434" s="345" t="s">
        <v>18</v>
      </c>
      <c r="E2434" s="913">
        <v>174516</v>
      </c>
      <c r="F2434" s="406"/>
      <c r="G2434" s="406"/>
      <c r="H2434" s="406"/>
      <c r="I2434" s="324">
        <f t="shared" si="1778"/>
        <v>174516</v>
      </c>
      <c r="J2434" s="406"/>
      <c r="K2434" s="915">
        <v>-150000</v>
      </c>
      <c r="L2434" s="317">
        <f t="shared" si="1764"/>
        <v>24516</v>
      </c>
      <c r="M2434" s="317"/>
      <c r="N2434" s="372">
        <f t="shared" si="1767"/>
        <v>150000</v>
      </c>
      <c r="O2434" s="336">
        <f t="shared" si="1796"/>
        <v>26967.600000000002</v>
      </c>
      <c r="P2434" s="934">
        <f>O2434*1.1</f>
        <v>29664.360000000004</v>
      </c>
      <c r="R2434" s="317"/>
      <c r="U2434" s="320"/>
    </row>
    <row r="2435" spans="1:21" s="344" customFormat="1" outlineLevel="2">
      <c r="A2435" s="345"/>
      <c r="B2435" s="345"/>
      <c r="C2435" s="328">
        <v>2210200</v>
      </c>
      <c r="D2435" s="326" t="s">
        <v>20</v>
      </c>
      <c r="E2435" s="912">
        <f>E2436+E2437</f>
        <v>345800</v>
      </c>
      <c r="F2435" s="912">
        <f t="shared" ref="F2435:K2435" si="1815">F2436+F2437</f>
        <v>0</v>
      </c>
      <c r="G2435" s="912">
        <f t="shared" si="1815"/>
        <v>0</v>
      </c>
      <c r="H2435" s="912">
        <f t="shared" si="1815"/>
        <v>0</v>
      </c>
      <c r="I2435" s="912">
        <f t="shared" si="1815"/>
        <v>345800</v>
      </c>
      <c r="J2435" s="912">
        <f t="shared" si="1815"/>
        <v>0</v>
      </c>
      <c r="K2435" s="912">
        <f t="shared" si="1815"/>
        <v>50000</v>
      </c>
      <c r="L2435" s="317">
        <f t="shared" si="1764"/>
        <v>395800</v>
      </c>
      <c r="M2435" s="317"/>
      <c r="N2435" s="372">
        <f t="shared" si="1767"/>
        <v>-50000</v>
      </c>
      <c r="O2435" s="912">
        <f t="shared" ref="O2435:P2435" si="1816">O2436+O2437</f>
        <v>435380.00000000006</v>
      </c>
      <c r="P2435" s="912">
        <f t="shared" si="1816"/>
        <v>478918.00000000012</v>
      </c>
      <c r="R2435" s="317"/>
      <c r="U2435" s="320"/>
    </row>
    <row r="2436" spans="1:21" s="344" customFormat="1" outlineLevel="2">
      <c r="A2436" s="345"/>
      <c r="B2436" s="345"/>
      <c r="C2436" s="405">
        <v>2210201</v>
      </c>
      <c r="D2436" s="345" t="s">
        <v>21</v>
      </c>
      <c r="E2436" s="913">
        <v>316800</v>
      </c>
      <c r="F2436" s="406"/>
      <c r="G2436" s="406"/>
      <c r="H2436" s="406"/>
      <c r="I2436" s="324">
        <f t="shared" si="1778"/>
        <v>316800</v>
      </c>
      <c r="J2436" s="406"/>
      <c r="K2436" s="914">
        <v>50000</v>
      </c>
      <c r="L2436" s="317">
        <f t="shared" si="1764"/>
        <v>366800</v>
      </c>
      <c r="M2436" s="317"/>
      <c r="N2436" s="372">
        <f t="shared" si="1767"/>
        <v>-50000</v>
      </c>
      <c r="O2436" s="336">
        <f t="shared" si="1796"/>
        <v>403480.00000000006</v>
      </c>
      <c r="P2436" s="336">
        <f t="shared" si="1813"/>
        <v>443828.00000000012</v>
      </c>
      <c r="R2436" s="317"/>
      <c r="U2436" s="320"/>
    </row>
    <row r="2437" spans="1:21" s="344" customFormat="1" outlineLevel="2">
      <c r="A2437" s="345"/>
      <c r="B2437" s="345"/>
      <c r="C2437" s="405">
        <v>2210203</v>
      </c>
      <c r="D2437" s="345" t="s">
        <v>23</v>
      </c>
      <c r="E2437" s="913">
        <v>29000</v>
      </c>
      <c r="F2437" s="406"/>
      <c r="G2437" s="406"/>
      <c r="H2437" s="406"/>
      <c r="I2437" s="324">
        <f t="shared" si="1778"/>
        <v>29000</v>
      </c>
      <c r="J2437" s="406"/>
      <c r="K2437" s="914"/>
      <c r="L2437" s="317">
        <f t="shared" ref="L2437:L2500" si="1817">I2437+J2437+K2437</f>
        <v>29000</v>
      </c>
      <c r="M2437" s="317"/>
      <c r="N2437" s="372">
        <f t="shared" si="1767"/>
        <v>0</v>
      </c>
      <c r="O2437" s="336">
        <f t="shared" si="1796"/>
        <v>31900.000000000004</v>
      </c>
      <c r="P2437" s="336">
        <f t="shared" si="1813"/>
        <v>35090.000000000007</v>
      </c>
      <c r="R2437" s="317"/>
      <c r="U2437" s="320"/>
    </row>
    <row r="2438" spans="1:21" s="344" customFormat="1" outlineLevel="2">
      <c r="A2438" s="326"/>
      <c r="B2438" s="326"/>
      <c r="C2438" s="328">
        <v>2210300</v>
      </c>
      <c r="D2438" s="326" t="s">
        <v>24</v>
      </c>
      <c r="E2438" s="912">
        <f>E2439+E2440+E2441</f>
        <v>2068341</v>
      </c>
      <c r="F2438" s="912">
        <f t="shared" ref="F2438:P2438" si="1818">F2439+F2440+F2441</f>
        <v>0</v>
      </c>
      <c r="G2438" s="912">
        <f t="shared" si="1818"/>
        <v>0</v>
      </c>
      <c r="H2438" s="912">
        <f t="shared" si="1818"/>
        <v>0</v>
      </c>
      <c r="I2438" s="912">
        <f t="shared" si="1818"/>
        <v>2068341</v>
      </c>
      <c r="J2438" s="912">
        <f t="shared" si="1818"/>
        <v>0</v>
      </c>
      <c r="K2438" s="912">
        <f t="shared" si="1818"/>
        <v>0</v>
      </c>
      <c r="L2438" s="317">
        <f t="shared" si="1817"/>
        <v>2068341</v>
      </c>
      <c r="M2438" s="317"/>
      <c r="N2438" s="372">
        <f t="shared" si="1767"/>
        <v>0</v>
      </c>
      <c r="O2438" s="912">
        <f t="shared" si="1818"/>
        <v>2275175.1</v>
      </c>
      <c r="P2438" s="912">
        <f t="shared" si="1818"/>
        <v>2502692.6100000003</v>
      </c>
      <c r="R2438" s="317"/>
      <c r="U2438" s="320"/>
    </row>
    <row r="2439" spans="1:21" s="344" customFormat="1" outlineLevel="2">
      <c r="A2439" s="345"/>
      <c r="B2439" s="345"/>
      <c r="C2439" s="405">
        <v>2210301</v>
      </c>
      <c r="D2439" s="345" t="s">
        <v>25</v>
      </c>
      <c r="E2439" s="348">
        <v>391500</v>
      </c>
      <c r="F2439" s="406"/>
      <c r="G2439" s="406"/>
      <c r="H2439" s="406"/>
      <c r="I2439" s="324">
        <f t="shared" si="1778"/>
        <v>391500</v>
      </c>
      <c r="J2439" s="406"/>
      <c r="K2439" s="915"/>
      <c r="L2439" s="317">
        <f t="shared" si="1817"/>
        <v>391500</v>
      </c>
      <c r="M2439" s="317"/>
      <c r="N2439" s="372">
        <f t="shared" si="1767"/>
        <v>0</v>
      </c>
      <c r="O2439" s="336">
        <f t="shared" si="1796"/>
        <v>430650.00000000006</v>
      </c>
      <c r="P2439" s="336">
        <f t="shared" si="1813"/>
        <v>473715.00000000012</v>
      </c>
      <c r="R2439" s="317"/>
      <c r="U2439" s="320"/>
    </row>
    <row r="2440" spans="1:21" s="344" customFormat="1" outlineLevel="2">
      <c r="A2440" s="345"/>
      <c r="B2440" s="345"/>
      <c r="C2440" s="405">
        <v>2210302</v>
      </c>
      <c r="D2440" s="345" t="s">
        <v>26</v>
      </c>
      <c r="E2440" s="348">
        <v>712841</v>
      </c>
      <c r="F2440" s="406"/>
      <c r="G2440" s="406"/>
      <c r="H2440" s="406"/>
      <c r="I2440" s="324">
        <f t="shared" si="1778"/>
        <v>712841</v>
      </c>
      <c r="J2440" s="406"/>
      <c r="K2440" s="915"/>
      <c r="L2440" s="317">
        <f t="shared" si="1817"/>
        <v>712841</v>
      </c>
      <c r="M2440" s="317"/>
      <c r="N2440" s="372">
        <f t="shared" si="1767"/>
        <v>0</v>
      </c>
      <c r="O2440" s="336">
        <f t="shared" si="1796"/>
        <v>784125.10000000009</v>
      </c>
      <c r="P2440" s="336">
        <f t="shared" si="1813"/>
        <v>862537.61000000022</v>
      </c>
      <c r="R2440" s="317"/>
      <c r="U2440" s="320"/>
    </row>
    <row r="2441" spans="1:21" s="344" customFormat="1" outlineLevel="2">
      <c r="A2441" s="345"/>
      <c r="B2441" s="345"/>
      <c r="C2441" s="405">
        <v>2210303</v>
      </c>
      <c r="D2441" s="345" t="s">
        <v>27</v>
      </c>
      <c r="E2441" s="348">
        <v>964000</v>
      </c>
      <c r="F2441" s="406"/>
      <c r="G2441" s="406"/>
      <c r="H2441" s="406"/>
      <c r="I2441" s="324">
        <f t="shared" si="1778"/>
        <v>964000</v>
      </c>
      <c r="J2441" s="406"/>
      <c r="K2441" s="914"/>
      <c r="L2441" s="317">
        <f t="shared" si="1817"/>
        <v>964000</v>
      </c>
      <c r="M2441" s="317"/>
      <c r="N2441" s="372">
        <f t="shared" ref="N2441:N2504" si="1819">M2441-K2441</f>
        <v>0</v>
      </c>
      <c r="O2441" s="336">
        <f t="shared" si="1796"/>
        <v>1060400</v>
      </c>
      <c r="P2441" s="934">
        <f>O2441*1.1</f>
        <v>1166440</v>
      </c>
      <c r="R2441" s="317"/>
      <c r="U2441" s="320"/>
    </row>
    <row r="2442" spans="1:21" s="344" customFormat="1" outlineLevel="2">
      <c r="A2442" s="326"/>
      <c r="B2442" s="326"/>
      <c r="C2442" s="328">
        <v>2210400</v>
      </c>
      <c r="D2442" s="326" t="s">
        <v>484</v>
      </c>
      <c r="E2442" s="459">
        <f>E2443+E2444</f>
        <v>1274365</v>
      </c>
      <c r="F2442" s="459">
        <f t="shared" ref="F2442:P2442" si="1820">F2443+F2444</f>
        <v>0</v>
      </c>
      <c r="G2442" s="459">
        <f t="shared" si="1820"/>
        <v>0</v>
      </c>
      <c r="H2442" s="459">
        <f t="shared" si="1820"/>
        <v>0</v>
      </c>
      <c r="I2442" s="459">
        <f t="shared" si="1820"/>
        <v>1274365</v>
      </c>
      <c r="J2442" s="459">
        <f t="shared" si="1820"/>
        <v>0</v>
      </c>
      <c r="K2442" s="459">
        <f t="shared" si="1820"/>
        <v>-1274360</v>
      </c>
      <c r="L2442" s="317">
        <f t="shared" si="1817"/>
        <v>5</v>
      </c>
      <c r="M2442" s="317"/>
      <c r="N2442" s="372">
        <f t="shared" si="1819"/>
        <v>1274360</v>
      </c>
      <c r="O2442" s="459">
        <f t="shared" si="1820"/>
        <v>5.5</v>
      </c>
      <c r="P2442" s="459">
        <f t="shared" si="1820"/>
        <v>6.0500000000000007</v>
      </c>
      <c r="R2442" s="317"/>
      <c r="U2442" s="320"/>
    </row>
    <row r="2443" spans="1:21" s="344" customFormat="1" outlineLevel="2">
      <c r="A2443" s="345"/>
      <c r="B2443" s="345"/>
      <c r="C2443" s="405">
        <v>2210401</v>
      </c>
      <c r="D2443" s="345" t="s">
        <v>25</v>
      </c>
      <c r="E2443" s="348">
        <v>891500</v>
      </c>
      <c r="F2443" s="406"/>
      <c r="G2443" s="406"/>
      <c r="H2443" s="406"/>
      <c r="I2443" s="324">
        <f t="shared" si="1778"/>
        <v>891500</v>
      </c>
      <c r="J2443" s="406"/>
      <c r="K2443" s="914">
        <v>-891500</v>
      </c>
      <c r="L2443" s="317">
        <f t="shared" si="1817"/>
        <v>0</v>
      </c>
      <c r="M2443" s="317"/>
      <c r="N2443" s="372">
        <f t="shared" si="1819"/>
        <v>891500</v>
      </c>
      <c r="O2443" s="336">
        <f t="shared" si="1796"/>
        <v>0</v>
      </c>
      <c r="P2443" s="336">
        <f t="shared" si="1813"/>
        <v>0</v>
      </c>
      <c r="R2443" s="317"/>
      <c r="U2443" s="320"/>
    </row>
    <row r="2444" spans="1:21" s="344" customFormat="1" outlineLevel="2">
      <c r="A2444" s="345"/>
      <c r="B2444" s="345"/>
      <c r="C2444" s="405">
        <v>2210402</v>
      </c>
      <c r="D2444" s="345" t="s">
        <v>485</v>
      </c>
      <c r="E2444" s="348">
        <v>382865</v>
      </c>
      <c r="F2444" s="406"/>
      <c r="G2444" s="406"/>
      <c r="H2444" s="406"/>
      <c r="I2444" s="324">
        <f t="shared" si="1778"/>
        <v>382865</v>
      </c>
      <c r="J2444" s="406"/>
      <c r="K2444" s="915">
        <v>-382860</v>
      </c>
      <c r="L2444" s="317">
        <f t="shared" si="1817"/>
        <v>5</v>
      </c>
      <c r="M2444" s="317"/>
      <c r="N2444" s="372">
        <f t="shared" si="1819"/>
        <v>382860</v>
      </c>
      <c r="O2444" s="336">
        <f t="shared" si="1796"/>
        <v>5.5</v>
      </c>
      <c r="P2444" s="336">
        <f t="shared" si="1813"/>
        <v>6.0500000000000007</v>
      </c>
      <c r="R2444" s="317"/>
      <c r="U2444" s="320"/>
    </row>
    <row r="2445" spans="1:21" s="344" customFormat="1" outlineLevel="2">
      <c r="A2445" s="345"/>
      <c r="B2445" s="345"/>
      <c r="C2445" s="328">
        <v>2210500</v>
      </c>
      <c r="D2445" s="326" t="s">
        <v>31</v>
      </c>
      <c r="E2445" s="912">
        <f>E2446+E2447+E2448</f>
        <v>1256444</v>
      </c>
      <c r="F2445" s="912">
        <f t="shared" ref="F2445:P2445" si="1821">F2446+F2447+F2448</f>
        <v>0</v>
      </c>
      <c r="G2445" s="912">
        <f t="shared" si="1821"/>
        <v>0</v>
      </c>
      <c r="H2445" s="912">
        <f t="shared" si="1821"/>
        <v>0</v>
      </c>
      <c r="I2445" s="912">
        <f t="shared" si="1821"/>
        <v>1256444</v>
      </c>
      <c r="J2445" s="912">
        <f t="shared" si="1821"/>
        <v>0</v>
      </c>
      <c r="K2445" s="912">
        <f t="shared" si="1821"/>
        <v>-250000</v>
      </c>
      <c r="L2445" s="317">
        <f t="shared" si="1817"/>
        <v>1006444</v>
      </c>
      <c r="M2445" s="317"/>
      <c r="N2445" s="372">
        <f t="shared" si="1819"/>
        <v>250000</v>
      </c>
      <c r="O2445" s="912">
        <f t="shared" si="1821"/>
        <v>1107088.3999999999</v>
      </c>
      <c r="P2445" s="912">
        <f t="shared" si="1821"/>
        <v>1217797.2400000002</v>
      </c>
      <c r="R2445" s="317"/>
      <c r="U2445" s="320"/>
    </row>
    <row r="2446" spans="1:21" s="344" customFormat="1" outlineLevel="2">
      <c r="A2446" s="345"/>
      <c r="B2446" s="345"/>
      <c r="C2446" s="405">
        <v>2210502</v>
      </c>
      <c r="D2446" s="345" t="s">
        <v>487</v>
      </c>
      <c r="E2446" s="348">
        <v>327281</v>
      </c>
      <c r="F2446" s="406"/>
      <c r="G2446" s="406"/>
      <c r="H2446" s="406"/>
      <c r="I2446" s="324">
        <f t="shared" si="1778"/>
        <v>327281</v>
      </c>
      <c r="J2446" s="406"/>
      <c r="K2446" s="914"/>
      <c r="L2446" s="317">
        <f t="shared" si="1817"/>
        <v>327281</v>
      </c>
      <c r="M2446" s="317"/>
      <c r="N2446" s="372">
        <f t="shared" si="1819"/>
        <v>0</v>
      </c>
      <c r="O2446" s="336">
        <f t="shared" si="1796"/>
        <v>360009.10000000003</v>
      </c>
      <c r="P2446" s="336">
        <f t="shared" si="1813"/>
        <v>396010.01000000007</v>
      </c>
      <c r="R2446" s="317"/>
      <c r="U2446" s="320"/>
    </row>
    <row r="2447" spans="1:21" s="344" customFormat="1" outlineLevel="2">
      <c r="A2447" s="345"/>
      <c r="B2447" s="345"/>
      <c r="C2447" s="405">
        <v>2210503</v>
      </c>
      <c r="D2447" s="345" t="s">
        <v>32</v>
      </c>
      <c r="E2447" s="348">
        <v>58058</v>
      </c>
      <c r="F2447" s="406"/>
      <c r="G2447" s="406"/>
      <c r="H2447" s="406"/>
      <c r="I2447" s="324">
        <f t="shared" si="1778"/>
        <v>58058</v>
      </c>
      <c r="J2447" s="406"/>
      <c r="K2447" s="914"/>
      <c r="L2447" s="317">
        <f t="shared" si="1817"/>
        <v>58058</v>
      </c>
      <c r="M2447" s="317"/>
      <c r="N2447" s="372">
        <f t="shared" si="1819"/>
        <v>0</v>
      </c>
      <c r="O2447" s="336">
        <f t="shared" si="1796"/>
        <v>63863.8</v>
      </c>
      <c r="P2447" s="336">
        <f t="shared" si="1813"/>
        <v>70250.180000000008</v>
      </c>
      <c r="R2447" s="317"/>
      <c r="U2447" s="320"/>
    </row>
    <row r="2448" spans="1:21" s="344" customFormat="1" outlineLevel="2">
      <c r="A2448" s="345"/>
      <c r="B2448" s="345"/>
      <c r="C2448" s="405">
        <v>2210504</v>
      </c>
      <c r="D2448" s="345" t="s">
        <v>1570</v>
      </c>
      <c r="E2448" s="348">
        <v>871105</v>
      </c>
      <c r="F2448" s="406"/>
      <c r="G2448" s="406"/>
      <c r="H2448" s="406"/>
      <c r="I2448" s="324">
        <f t="shared" si="1778"/>
        <v>871105</v>
      </c>
      <c r="J2448" s="406"/>
      <c r="K2448" s="914">
        <v>-250000</v>
      </c>
      <c r="L2448" s="317">
        <f t="shared" si="1817"/>
        <v>621105</v>
      </c>
      <c r="M2448" s="317"/>
      <c r="N2448" s="372">
        <f t="shared" si="1819"/>
        <v>250000</v>
      </c>
      <c r="O2448" s="336">
        <f t="shared" si="1796"/>
        <v>683215.5</v>
      </c>
      <c r="P2448" s="336">
        <f t="shared" si="1813"/>
        <v>751537.05</v>
      </c>
      <c r="R2448" s="317"/>
      <c r="U2448" s="320"/>
    </row>
    <row r="2449" spans="1:21" s="344" customFormat="1" outlineLevel="2">
      <c r="A2449" s="345"/>
      <c r="B2449" s="345"/>
      <c r="C2449" s="328">
        <v>2210700</v>
      </c>
      <c r="D2449" s="326" t="s">
        <v>114</v>
      </c>
      <c r="E2449" s="912">
        <f>E2450+E2451+E2452+E2453</f>
        <v>7500000</v>
      </c>
      <c r="F2449" s="912">
        <f t="shared" ref="F2449:P2449" si="1822">F2450+F2451+F2452+F2453</f>
        <v>0</v>
      </c>
      <c r="G2449" s="912">
        <f t="shared" si="1822"/>
        <v>-1000000</v>
      </c>
      <c r="H2449" s="912">
        <f t="shared" si="1822"/>
        <v>0</v>
      </c>
      <c r="I2449" s="912">
        <f t="shared" si="1822"/>
        <v>6500000</v>
      </c>
      <c r="J2449" s="912">
        <f t="shared" si="1822"/>
        <v>0</v>
      </c>
      <c r="K2449" s="912">
        <f t="shared" si="1822"/>
        <v>1050000</v>
      </c>
      <c r="L2449" s="317">
        <f t="shared" si="1817"/>
        <v>7550000</v>
      </c>
      <c r="M2449" s="317"/>
      <c r="N2449" s="372">
        <f t="shared" si="1819"/>
        <v>-1050000</v>
      </c>
      <c r="O2449" s="912">
        <f t="shared" si="1822"/>
        <v>8305000</v>
      </c>
      <c r="P2449" s="912">
        <f t="shared" si="1822"/>
        <v>9135500</v>
      </c>
      <c r="R2449" s="317"/>
      <c r="U2449" s="320"/>
    </row>
    <row r="2450" spans="1:21" s="344" customFormat="1" outlineLevel="2">
      <c r="A2450" s="345"/>
      <c r="B2450" s="345"/>
      <c r="C2450" s="405">
        <v>2210704</v>
      </c>
      <c r="D2450" s="345" t="s">
        <v>1435</v>
      </c>
      <c r="E2450" s="913">
        <v>3000000</v>
      </c>
      <c r="F2450" s="406"/>
      <c r="G2450" s="406">
        <v>-1000000</v>
      </c>
      <c r="H2450" s="406"/>
      <c r="I2450" s="324">
        <f t="shared" si="1778"/>
        <v>2000000</v>
      </c>
      <c r="J2450" s="406"/>
      <c r="K2450" s="915">
        <f>-1700000+250000+200000</f>
        <v>-1250000</v>
      </c>
      <c r="L2450" s="317">
        <f t="shared" si="1817"/>
        <v>750000</v>
      </c>
      <c r="M2450" s="317"/>
      <c r="N2450" s="372">
        <f t="shared" si="1819"/>
        <v>1250000</v>
      </c>
      <c r="O2450" s="336">
        <f t="shared" si="1796"/>
        <v>825000.00000000012</v>
      </c>
      <c r="P2450" s="934">
        <f>O2450*1.1</f>
        <v>907500.00000000023</v>
      </c>
      <c r="R2450" s="317"/>
      <c r="U2450" s="320"/>
    </row>
    <row r="2451" spans="1:21" s="344" customFormat="1" outlineLevel="2">
      <c r="A2451" s="345"/>
      <c r="B2451" s="345"/>
      <c r="C2451" s="405">
        <v>2210707</v>
      </c>
      <c r="D2451" s="345" t="s">
        <v>1436</v>
      </c>
      <c r="E2451" s="913">
        <v>1000000</v>
      </c>
      <c r="F2451" s="406"/>
      <c r="G2451" s="406"/>
      <c r="H2451" s="406"/>
      <c r="I2451" s="324">
        <f t="shared" si="1778"/>
        <v>1000000</v>
      </c>
      <c r="J2451" s="406"/>
      <c r="K2451" s="915">
        <v>1200000</v>
      </c>
      <c r="L2451" s="317">
        <f t="shared" si="1817"/>
        <v>2200000</v>
      </c>
      <c r="M2451" s="317"/>
      <c r="N2451" s="372">
        <f t="shared" si="1819"/>
        <v>-1200000</v>
      </c>
      <c r="O2451" s="336">
        <f t="shared" si="1796"/>
        <v>2420000</v>
      </c>
      <c r="P2451" s="336">
        <f t="shared" si="1813"/>
        <v>2662000</v>
      </c>
      <c r="R2451" s="317"/>
      <c r="U2451" s="320"/>
    </row>
    <row r="2452" spans="1:21" s="344" customFormat="1" outlineLevel="2">
      <c r="A2452" s="345"/>
      <c r="B2452" s="345"/>
      <c r="C2452" s="708">
        <v>2210799</v>
      </c>
      <c r="D2452" s="709" t="s">
        <v>1437</v>
      </c>
      <c r="E2452" s="913">
        <v>1500000</v>
      </c>
      <c r="F2452" s="334"/>
      <c r="G2452" s="334"/>
      <c r="H2452" s="334"/>
      <c r="I2452" s="324">
        <f t="shared" ref="I2452:I2514" si="1823">E2452+F2452+G2452+H2452</f>
        <v>1500000</v>
      </c>
      <c r="J2452" s="334"/>
      <c r="K2452" s="915">
        <v>300000</v>
      </c>
      <c r="L2452" s="317">
        <f t="shared" si="1817"/>
        <v>1800000</v>
      </c>
      <c r="M2452" s="317"/>
      <c r="N2452" s="372">
        <f t="shared" si="1819"/>
        <v>-300000</v>
      </c>
      <c r="O2452" s="336">
        <f t="shared" si="1796"/>
        <v>1980000.0000000002</v>
      </c>
      <c r="P2452" s="336">
        <f t="shared" si="1813"/>
        <v>2178000.0000000005</v>
      </c>
      <c r="R2452" s="317"/>
      <c r="U2452" s="320"/>
    </row>
    <row r="2453" spans="1:21" s="344" customFormat="1" outlineLevel="2">
      <c r="A2453" s="345"/>
      <c r="B2453" s="345"/>
      <c r="C2453" s="405">
        <v>2210712</v>
      </c>
      <c r="D2453" s="345" t="s">
        <v>1438</v>
      </c>
      <c r="E2453" s="913">
        <f>2500000-500000</f>
        <v>2000000</v>
      </c>
      <c r="F2453" s="406"/>
      <c r="G2453" s="406"/>
      <c r="H2453" s="406"/>
      <c r="I2453" s="324">
        <f t="shared" si="1823"/>
        <v>2000000</v>
      </c>
      <c r="J2453" s="406"/>
      <c r="K2453" s="915">
        <v>800000</v>
      </c>
      <c r="L2453" s="317">
        <f t="shared" si="1817"/>
        <v>2800000</v>
      </c>
      <c r="M2453" s="317"/>
      <c r="N2453" s="372">
        <f t="shared" si="1819"/>
        <v>-800000</v>
      </c>
      <c r="O2453" s="336">
        <f t="shared" si="1796"/>
        <v>3080000.0000000005</v>
      </c>
      <c r="P2453" s="336">
        <f t="shared" si="1813"/>
        <v>3388000.0000000009</v>
      </c>
      <c r="R2453" s="317"/>
      <c r="U2453" s="320"/>
    </row>
    <row r="2454" spans="1:21" s="344" customFormat="1" outlineLevel="2">
      <c r="A2454" s="345"/>
      <c r="B2454" s="345"/>
      <c r="C2454" s="328">
        <v>2210800</v>
      </c>
      <c r="D2454" s="326" t="s">
        <v>42</v>
      </c>
      <c r="E2454" s="912">
        <f>E2455+E2456+E2457</f>
        <v>3668630</v>
      </c>
      <c r="F2454" s="912">
        <f t="shared" ref="F2454:K2454" si="1824">F2455+F2456+F2457</f>
        <v>0</v>
      </c>
      <c r="G2454" s="912">
        <f t="shared" si="1824"/>
        <v>0</v>
      </c>
      <c r="H2454" s="912">
        <f t="shared" si="1824"/>
        <v>0</v>
      </c>
      <c r="I2454" s="912">
        <f t="shared" si="1824"/>
        <v>3668630</v>
      </c>
      <c r="J2454" s="912">
        <f t="shared" si="1824"/>
        <v>0</v>
      </c>
      <c r="K2454" s="912">
        <f t="shared" si="1824"/>
        <v>2000000</v>
      </c>
      <c r="L2454" s="317">
        <f t="shared" si="1817"/>
        <v>5668630</v>
      </c>
      <c r="M2454" s="317"/>
      <c r="N2454" s="372">
        <f t="shared" si="1819"/>
        <v>-2000000</v>
      </c>
      <c r="O2454" s="912">
        <f t="shared" ref="O2454:P2454" si="1825">O2455+O2456+O2457</f>
        <v>6235493</v>
      </c>
      <c r="P2454" s="912">
        <f t="shared" si="1825"/>
        <v>6859042.3000000007</v>
      </c>
      <c r="R2454" s="317"/>
      <c r="U2454" s="320"/>
    </row>
    <row r="2455" spans="1:21" s="344" customFormat="1" outlineLevel="2">
      <c r="A2455" s="345"/>
      <c r="B2455" s="345"/>
      <c r="C2455" s="405">
        <v>2210801</v>
      </c>
      <c r="D2455" s="345" t="s">
        <v>2421</v>
      </c>
      <c r="E2455" s="913">
        <v>668630</v>
      </c>
      <c r="F2455" s="406"/>
      <c r="G2455" s="406"/>
      <c r="H2455" s="406"/>
      <c r="I2455" s="324">
        <f t="shared" si="1823"/>
        <v>668630</v>
      </c>
      <c r="J2455" s="406"/>
      <c r="K2455" s="914"/>
      <c r="L2455" s="317">
        <f t="shared" si="1817"/>
        <v>668630</v>
      </c>
      <c r="M2455" s="317"/>
      <c r="N2455" s="372">
        <f t="shared" si="1819"/>
        <v>0</v>
      </c>
      <c r="O2455" s="336">
        <f t="shared" si="1796"/>
        <v>735493.00000000012</v>
      </c>
      <c r="P2455" s="336">
        <f t="shared" si="1813"/>
        <v>809042.30000000016</v>
      </c>
      <c r="R2455" s="317"/>
      <c r="U2455" s="320"/>
    </row>
    <row r="2456" spans="1:21" s="344" customFormat="1" outlineLevel="2">
      <c r="A2456" s="345"/>
      <c r="B2456" s="345"/>
      <c r="C2456" s="405">
        <v>2210802</v>
      </c>
      <c r="D2456" s="345" t="s">
        <v>1439</v>
      </c>
      <c r="E2456" s="913">
        <v>1000000</v>
      </c>
      <c r="F2456" s="406"/>
      <c r="G2456" s="406"/>
      <c r="H2456" s="406"/>
      <c r="I2456" s="324">
        <f t="shared" si="1823"/>
        <v>1000000</v>
      </c>
      <c r="J2456" s="406"/>
      <c r="K2456" s="914"/>
      <c r="L2456" s="317">
        <f t="shared" si="1817"/>
        <v>1000000</v>
      </c>
      <c r="M2456" s="317"/>
      <c r="N2456" s="372">
        <f t="shared" si="1819"/>
        <v>0</v>
      </c>
      <c r="O2456" s="336">
        <f t="shared" si="1796"/>
        <v>1100000</v>
      </c>
      <c r="P2456" s="934">
        <f>O2456*1.1</f>
        <v>1210000</v>
      </c>
      <c r="R2456" s="317"/>
      <c r="U2456" s="320"/>
    </row>
    <row r="2457" spans="1:21" s="344" customFormat="1" outlineLevel="2">
      <c r="A2457" s="345"/>
      <c r="B2457" s="345"/>
      <c r="C2457" s="405">
        <v>2210809</v>
      </c>
      <c r="D2457" s="345" t="s">
        <v>514</v>
      </c>
      <c r="E2457" s="913">
        <v>2000000</v>
      </c>
      <c r="F2457" s="406"/>
      <c r="G2457" s="406"/>
      <c r="H2457" s="406"/>
      <c r="I2457" s="324">
        <f t="shared" si="1823"/>
        <v>2000000</v>
      </c>
      <c r="J2457" s="406"/>
      <c r="K2457" s="915">
        <v>2000000</v>
      </c>
      <c r="L2457" s="317">
        <f t="shared" si="1817"/>
        <v>4000000</v>
      </c>
      <c r="M2457" s="317"/>
      <c r="N2457" s="372">
        <f t="shared" si="1819"/>
        <v>-2000000</v>
      </c>
      <c r="O2457" s="336">
        <f t="shared" si="1796"/>
        <v>4400000</v>
      </c>
      <c r="P2457" s="336">
        <f t="shared" si="1813"/>
        <v>4840000</v>
      </c>
      <c r="R2457" s="317"/>
      <c r="U2457" s="320"/>
    </row>
    <row r="2458" spans="1:21" s="344" customFormat="1" outlineLevel="2">
      <c r="A2458" s="345"/>
      <c r="B2458" s="345"/>
      <c r="C2458" s="328">
        <v>2211100</v>
      </c>
      <c r="D2458" s="326" t="s">
        <v>51</v>
      </c>
      <c r="E2458" s="912">
        <f>E2459+0</f>
        <v>361875</v>
      </c>
      <c r="F2458" s="912">
        <f t="shared" ref="F2458:K2458" si="1826">F2459+0</f>
        <v>0</v>
      </c>
      <c r="G2458" s="912">
        <f t="shared" si="1826"/>
        <v>0</v>
      </c>
      <c r="H2458" s="912">
        <f t="shared" si="1826"/>
        <v>0</v>
      </c>
      <c r="I2458" s="912">
        <f t="shared" si="1826"/>
        <v>361875</v>
      </c>
      <c r="J2458" s="912">
        <f t="shared" si="1826"/>
        <v>0</v>
      </c>
      <c r="K2458" s="912">
        <f t="shared" si="1826"/>
        <v>0</v>
      </c>
      <c r="L2458" s="317">
        <f t="shared" si="1817"/>
        <v>361875</v>
      </c>
      <c r="M2458" s="317"/>
      <c r="N2458" s="372">
        <f t="shared" si="1819"/>
        <v>0</v>
      </c>
      <c r="O2458" s="912">
        <f t="shared" ref="O2458:P2458" si="1827">O2459+0</f>
        <v>398062.50000000006</v>
      </c>
      <c r="P2458" s="912">
        <f t="shared" si="1827"/>
        <v>437868.75000000012</v>
      </c>
      <c r="R2458" s="317"/>
      <c r="U2458" s="320"/>
    </row>
    <row r="2459" spans="1:21" s="344" customFormat="1" outlineLevel="2">
      <c r="A2459" s="345"/>
      <c r="B2459" s="345"/>
      <c r="C2459" s="405">
        <v>2211101</v>
      </c>
      <c r="D2459" s="345" t="s">
        <v>52</v>
      </c>
      <c r="E2459" s="913">
        <v>361875</v>
      </c>
      <c r="F2459" s="406"/>
      <c r="G2459" s="406"/>
      <c r="H2459" s="406"/>
      <c r="I2459" s="324">
        <f t="shared" si="1823"/>
        <v>361875</v>
      </c>
      <c r="J2459" s="406"/>
      <c r="K2459" s="914"/>
      <c r="L2459" s="317">
        <f t="shared" si="1817"/>
        <v>361875</v>
      </c>
      <c r="M2459" s="317"/>
      <c r="N2459" s="372">
        <f t="shared" si="1819"/>
        <v>0</v>
      </c>
      <c r="O2459" s="336">
        <f t="shared" si="1796"/>
        <v>398062.50000000006</v>
      </c>
      <c r="P2459" s="336">
        <f t="shared" si="1813"/>
        <v>437868.75000000012</v>
      </c>
      <c r="R2459" s="317"/>
      <c r="U2459" s="320"/>
    </row>
    <row r="2460" spans="1:21" s="344" customFormat="1" outlineLevel="2">
      <c r="A2460" s="345"/>
      <c r="B2460" s="345"/>
      <c r="C2460" s="328">
        <v>2211200</v>
      </c>
      <c r="D2460" s="326" t="s">
        <v>55</v>
      </c>
      <c r="E2460" s="912">
        <f>E2461+0</f>
        <v>986950</v>
      </c>
      <c r="F2460" s="912">
        <f t="shared" ref="F2460:K2460" si="1828">F2461+0</f>
        <v>0</v>
      </c>
      <c r="G2460" s="912">
        <f t="shared" si="1828"/>
        <v>0</v>
      </c>
      <c r="H2460" s="912">
        <f t="shared" si="1828"/>
        <v>0</v>
      </c>
      <c r="I2460" s="912">
        <f t="shared" si="1828"/>
        <v>986950</v>
      </c>
      <c r="J2460" s="912">
        <f t="shared" si="1828"/>
        <v>0</v>
      </c>
      <c r="K2460" s="912">
        <f t="shared" si="1828"/>
        <v>0</v>
      </c>
      <c r="L2460" s="317">
        <f t="shared" si="1817"/>
        <v>986950</v>
      </c>
      <c r="M2460" s="317"/>
      <c r="N2460" s="372">
        <f t="shared" si="1819"/>
        <v>0</v>
      </c>
      <c r="O2460" s="912">
        <f t="shared" ref="O2460:P2460" si="1829">O2461+0</f>
        <v>1085645</v>
      </c>
      <c r="P2460" s="912">
        <f t="shared" si="1829"/>
        <v>1194209.5</v>
      </c>
      <c r="R2460" s="317"/>
      <c r="U2460" s="320"/>
    </row>
    <row r="2461" spans="1:21" s="344" customFormat="1" outlineLevel="2">
      <c r="A2461" s="345"/>
      <c r="B2461" s="345"/>
      <c r="C2461" s="405">
        <v>2211201</v>
      </c>
      <c r="D2461" s="345" t="s">
        <v>56</v>
      </c>
      <c r="E2461" s="913">
        <v>986950</v>
      </c>
      <c r="F2461" s="406"/>
      <c r="G2461" s="406"/>
      <c r="H2461" s="406"/>
      <c r="I2461" s="324">
        <f t="shared" si="1823"/>
        <v>986950</v>
      </c>
      <c r="J2461" s="406"/>
      <c r="K2461" s="914"/>
      <c r="L2461" s="317">
        <f t="shared" si="1817"/>
        <v>986950</v>
      </c>
      <c r="M2461" s="317"/>
      <c r="N2461" s="372">
        <f t="shared" si="1819"/>
        <v>0</v>
      </c>
      <c r="O2461" s="336">
        <f t="shared" si="1796"/>
        <v>1085645</v>
      </c>
      <c r="P2461" s="934">
        <f>O2461*1.1</f>
        <v>1194209.5</v>
      </c>
      <c r="R2461" s="317"/>
      <c r="U2461" s="320"/>
    </row>
    <row r="2462" spans="1:21" s="344" customFormat="1" outlineLevel="2">
      <c r="A2462" s="345"/>
      <c r="B2462" s="345"/>
      <c r="C2462" s="328">
        <v>2211300</v>
      </c>
      <c r="D2462" s="326" t="s">
        <v>515</v>
      </c>
      <c r="E2462" s="912">
        <f>E2463+E2464</f>
        <v>3040000</v>
      </c>
      <c r="F2462" s="912">
        <f t="shared" ref="F2462:K2462" si="1830">F2463+F2464</f>
        <v>0</v>
      </c>
      <c r="G2462" s="912">
        <f t="shared" si="1830"/>
        <v>0</v>
      </c>
      <c r="H2462" s="912">
        <f t="shared" si="1830"/>
        <v>0</v>
      </c>
      <c r="I2462" s="912">
        <f t="shared" si="1830"/>
        <v>3040000</v>
      </c>
      <c r="J2462" s="912">
        <f t="shared" si="1830"/>
        <v>0</v>
      </c>
      <c r="K2462" s="912">
        <f t="shared" si="1830"/>
        <v>0</v>
      </c>
      <c r="L2462" s="317">
        <f t="shared" si="1817"/>
        <v>3040000</v>
      </c>
      <c r="M2462" s="317"/>
      <c r="N2462" s="372">
        <f t="shared" si="1819"/>
        <v>0</v>
      </c>
      <c r="O2462" s="912">
        <f t="shared" ref="O2462:P2462" si="1831">O2463+O2464</f>
        <v>3344000.0000000005</v>
      </c>
      <c r="P2462" s="912">
        <f t="shared" si="1831"/>
        <v>3678400.0000000009</v>
      </c>
      <c r="R2462" s="317"/>
      <c r="U2462" s="320"/>
    </row>
    <row r="2463" spans="1:21" s="344" customFormat="1" outlineLevel="2">
      <c r="A2463" s="345"/>
      <c r="B2463" s="345"/>
      <c r="C2463" s="405">
        <v>2211309</v>
      </c>
      <c r="D2463" s="345" t="s">
        <v>516</v>
      </c>
      <c r="E2463" s="913">
        <v>1500000</v>
      </c>
      <c r="F2463" s="406"/>
      <c r="G2463" s="406"/>
      <c r="H2463" s="406"/>
      <c r="I2463" s="324">
        <f t="shared" si="1823"/>
        <v>1500000</v>
      </c>
      <c r="J2463" s="406"/>
      <c r="K2463" s="915"/>
      <c r="L2463" s="317">
        <f t="shared" si="1817"/>
        <v>1500000</v>
      </c>
      <c r="M2463" s="317"/>
      <c r="N2463" s="372">
        <f t="shared" si="1819"/>
        <v>0</v>
      </c>
      <c r="O2463" s="336">
        <f t="shared" si="1796"/>
        <v>1650000.0000000002</v>
      </c>
      <c r="P2463" s="336">
        <f t="shared" si="1813"/>
        <v>1815000.0000000005</v>
      </c>
      <c r="R2463" s="317"/>
      <c r="U2463" s="320"/>
    </row>
    <row r="2464" spans="1:21" s="344" customFormat="1" outlineLevel="2">
      <c r="A2464" s="345"/>
      <c r="B2464" s="345"/>
      <c r="C2464" s="405">
        <v>2211320</v>
      </c>
      <c r="D2464" s="345" t="s">
        <v>1440</v>
      </c>
      <c r="E2464" s="913">
        <v>1540000</v>
      </c>
      <c r="F2464" s="406"/>
      <c r="G2464" s="406"/>
      <c r="H2464" s="406"/>
      <c r="I2464" s="324">
        <f t="shared" si="1823"/>
        <v>1540000</v>
      </c>
      <c r="J2464" s="406"/>
      <c r="K2464" s="915"/>
      <c r="L2464" s="317">
        <f t="shared" si="1817"/>
        <v>1540000</v>
      </c>
      <c r="M2464" s="317"/>
      <c r="N2464" s="372">
        <f t="shared" si="1819"/>
        <v>0</v>
      </c>
      <c r="O2464" s="336">
        <f t="shared" si="1796"/>
        <v>1694000.0000000002</v>
      </c>
      <c r="P2464" s="934">
        <f>O2464*1.1</f>
        <v>1863400.0000000005</v>
      </c>
      <c r="R2464" s="317"/>
      <c r="U2464" s="320"/>
    </row>
    <row r="2465" spans="1:21" s="344" customFormat="1" outlineLevel="2">
      <c r="A2465" s="345"/>
      <c r="B2465" s="345"/>
      <c r="C2465" s="328">
        <v>2220100</v>
      </c>
      <c r="D2465" s="326" t="s">
        <v>62</v>
      </c>
      <c r="E2465" s="912">
        <f>E2466+E2467</f>
        <v>3047473</v>
      </c>
      <c r="F2465" s="912">
        <f t="shared" ref="F2465:P2465" si="1832">F2466+F2467</f>
        <v>0</v>
      </c>
      <c r="G2465" s="912">
        <f t="shared" si="1832"/>
        <v>0</v>
      </c>
      <c r="H2465" s="912">
        <f t="shared" si="1832"/>
        <v>0</v>
      </c>
      <c r="I2465" s="912">
        <f t="shared" si="1832"/>
        <v>3047473</v>
      </c>
      <c r="J2465" s="912">
        <f t="shared" si="1832"/>
        <v>0</v>
      </c>
      <c r="K2465" s="912">
        <f t="shared" si="1832"/>
        <v>-2200000</v>
      </c>
      <c r="L2465" s="317">
        <f t="shared" si="1817"/>
        <v>847473</v>
      </c>
      <c r="M2465" s="317"/>
      <c r="N2465" s="372">
        <f t="shared" si="1819"/>
        <v>2200000</v>
      </c>
      <c r="O2465" s="912">
        <f t="shared" si="1832"/>
        <v>932220.3</v>
      </c>
      <c r="P2465" s="912">
        <f t="shared" si="1832"/>
        <v>1025442.3300000001</v>
      </c>
      <c r="R2465" s="317"/>
      <c r="U2465" s="320"/>
    </row>
    <row r="2466" spans="1:21" s="344" customFormat="1" outlineLevel="2">
      <c r="A2466" s="345"/>
      <c r="B2466" s="345"/>
      <c r="C2466" s="405">
        <v>2220101</v>
      </c>
      <c r="D2466" s="345" t="s">
        <v>250</v>
      </c>
      <c r="E2466" s="348">
        <v>547473</v>
      </c>
      <c r="F2466" s="406"/>
      <c r="G2466" s="406"/>
      <c r="H2466" s="406"/>
      <c r="I2466" s="324">
        <f t="shared" si="1823"/>
        <v>547473</v>
      </c>
      <c r="J2466" s="406"/>
      <c r="K2466" s="914">
        <v>-200000</v>
      </c>
      <c r="L2466" s="317">
        <f t="shared" si="1817"/>
        <v>347473</v>
      </c>
      <c r="M2466" s="317"/>
      <c r="N2466" s="372">
        <f t="shared" si="1819"/>
        <v>200000</v>
      </c>
      <c r="O2466" s="336">
        <f t="shared" si="1796"/>
        <v>382220.30000000005</v>
      </c>
      <c r="P2466" s="336">
        <f t="shared" si="1813"/>
        <v>420442.33000000007</v>
      </c>
      <c r="R2466" s="317"/>
      <c r="U2466" s="320"/>
    </row>
    <row r="2467" spans="1:21" s="344" customFormat="1" outlineLevel="2">
      <c r="A2467" s="345"/>
      <c r="B2467" s="345"/>
      <c r="C2467" s="405">
        <v>2220105</v>
      </c>
      <c r="D2467" s="344" t="s">
        <v>1441</v>
      </c>
      <c r="E2467" s="913">
        <v>2500000</v>
      </c>
      <c r="F2467" s="616"/>
      <c r="G2467" s="616"/>
      <c r="H2467" s="616"/>
      <c r="I2467" s="324">
        <f t="shared" si="1823"/>
        <v>2500000</v>
      </c>
      <c r="J2467" s="616"/>
      <c r="K2467" s="914">
        <v>-2000000</v>
      </c>
      <c r="L2467" s="317">
        <f t="shared" si="1817"/>
        <v>500000</v>
      </c>
      <c r="M2467" s="317"/>
      <c r="N2467" s="372">
        <f t="shared" si="1819"/>
        <v>2000000</v>
      </c>
      <c r="O2467" s="336">
        <f t="shared" si="1796"/>
        <v>550000</v>
      </c>
      <c r="P2467" s="351">
        <f>O2467*1.1</f>
        <v>605000</v>
      </c>
      <c r="R2467" s="317"/>
      <c r="U2467" s="320"/>
    </row>
    <row r="2468" spans="1:21" s="344" customFormat="1" outlineLevel="2">
      <c r="A2468" s="345"/>
      <c r="B2468" s="345"/>
      <c r="C2468" s="328">
        <v>3111000</v>
      </c>
      <c r="D2468" s="326" t="s">
        <v>69</v>
      </c>
      <c r="E2468" s="912">
        <f>E2469+E2470</f>
        <v>1746000</v>
      </c>
      <c r="F2468" s="912">
        <f t="shared" ref="F2468:K2468" si="1833">F2469+F2470</f>
        <v>0</v>
      </c>
      <c r="G2468" s="912">
        <f t="shared" si="1833"/>
        <v>0</v>
      </c>
      <c r="H2468" s="912">
        <f t="shared" si="1833"/>
        <v>0</v>
      </c>
      <c r="I2468" s="912">
        <f t="shared" si="1833"/>
        <v>1746000</v>
      </c>
      <c r="J2468" s="912">
        <f t="shared" si="1833"/>
        <v>0</v>
      </c>
      <c r="K2468" s="912">
        <f t="shared" si="1833"/>
        <v>-300000</v>
      </c>
      <c r="L2468" s="317">
        <f t="shared" si="1817"/>
        <v>1446000</v>
      </c>
      <c r="M2468" s="317"/>
      <c r="N2468" s="372">
        <f t="shared" si="1819"/>
        <v>300000</v>
      </c>
      <c r="O2468" s="912">
        <f t="shared" ref="O2468:P2468" si="1834">O2469+O2470</f>
        <v>1590600</v>
      </c>
      <c r="P2468" s="912">
        <f t="shared" si="1834"/>
        <v>1749660</v>
      </c>
      <c r="R2468" s="317"/>
      <c r="U2468" s="320"/>
    </row>
    <row r="2469" spans="1:21" s="312" customFormat="1" outlineLevel="1">
      <c r="A2469" s="345"/>
      <c r="B2469" s="345"/>
      <c r="C2469" s="405">
        <v>3111001</v>
      </c>
      <c r="D2469" s="345" t="s">
        <v>70</v>
      </c>
      <c r="E2469" s="348">
        <v>696000</v>
      </c>
      <c r="F2469" s="406"/>
      <c r="G2469" s="406"/>
      <c r="H2469" s="406"/>
      <c r="I2469" s="324">
        <f t="shared" si="1823"/>
        <v>696000</v>
      </c>
      <c r="J2469" s="406"/>
      <c r="K2469" s="914">
        <v>-300000</v>
      </c>
      <c r="L2469" s="317">
        <f t="shared" si="1817"/>
        <v>396000</v>
      </c>
      <c r="M2469" s="317"/>
      <c r="N2469" s="372">
        <f t="shared" si="1819"/>
        <v>300000</v>
      </c>
      <c r="O2469" s="336">
        <f t="shared" si="1796"/>
        <v>435600.00000000006</v>
      </c>
      <c r="P2469" s="794">
        <f>O2469*1.1</f>
        <v>479160.00000000012</v>
      </c>
      <c r="R2469" s="317"/>
      <c r="U2469" s="320"/>
    </row>
    <row r="2470" spans="1:21" s="312" customFormat="1" outlineLevel="1">
      <c r="A2470" s="345"/>
      <c r="B2470" s="345"/>
      <c r="C2470" s="405">
        <v>3111002</v>
      </c>
      <c r="D2470" s="345" t="s">
        <v>71</v>
      </c>
      <c r="E2470" s="348">
        <v>1050000</v>
      </c>
      <c r="F2470" s="406"/>
      <c r="G2470" s="406"/>
      <c r="H2470" s="406"/>
      <c r="I2470" s="324">
        <f t="shared" si="1823"/>
        <v>1050000</v>
      </c>
      <c r="J2470" s="406"/>
      <c r="K2470" s="914"/>
      <c r="L2470" s="317">
        <f t="shared" si="1817"/>
        <v>1050000</v>
      </c>
      <c r="M2470" s="317"/>
      <c r="N2470" s="372">
        <f t="shared" si="1819"/>
        <v>0</v>
      </c>
      <c r="O2470" s="336">
        <f t="shared" si="1796"/>
        <v>1155000</v>
      </c>
      <c r="P2470" s="336">
        <f t="shared" ref="P2470:P2495" si="1835">O2470*1.1</f>
        <v>1270500</v>
      </c>
      <c r="R2470" s="317"/>
      <c r="U2470" s="320"/>
    </row>
    <row r="2471" spans="1:21" s="344" customFormat="1" outlineLevel="1">
      <c r="A2471" s="326"/>
      <c r="B2471" s="326"/>
      <c r="C2471" s="707">
        <v>3111400</v>
      </c>
      <c r="D2471" s="449" t="s">
        <v>126</v>
      </c>
      <c r="E2471" s="459">
        <f>E2472+0</f>
        <v>2600000</v>
      </c>
      <c r="F2471" s="459">
        <f t="shared" ref="F2471:P2471" si="1836">F2472+0</f>
        <v>0</v>
      </c>
      <c r="G2471" s="459">
        <f t="shared" si="1836"/>
        <v>0</v>
      </c>
      <c r="H2471" s="459">
        <f t="shared" si="1836"/>
        <v>0</v>
      </c>
      <c r="I2471" s="459">
        <f t="shared" si="1836"/>
        <v>2600000</v>
      </c>
      <c r="J2471" s="459">
        <f t="shared" si="1836"/>
        <v>0</v>
      </c>
      <c r="K2471" s="459">
        <f t="shared" si="1836"/>
        <v>974360</v>
      </c>
      <c r="L2471" s="317">
        <f t="shared" si="1817"/>
        <v>3574360</v>
      </c>
      <c r="M2471" s="317"/>
      <c r="N2471" s="372">
        <f t="shared" si="1819"/>
        <v>-974360</v>
      </c>
      <c r="O2471" s="459">
        <f t="shared" si="1836"/>
        <v>3931796.0000000005</v>
      </c>
      <c r="P2471" s="459">
        <f t="shared" si="1836"/>
        <v>4324975.6000000006</v>
      </c>
      <c r="R2471" s="317"/>
      <c r="U2471" s="320"/>
    </row>
    <row r="2472" spans="1:21" s="344" customFormat="1" outlineLevel="1">
      <c r="A2472" s="345"/>
      <c r="B2472" s="345"/>
      <c r="C2472" s="708">
        <v>3111401</v>
      </c>
      <c r="D2472" s="709" t="s">
        <v>1442</v>
      </c>
      <c r="E2472" s="348">
        <f>3600000-1000000</f>
        <v>2600000</v>
      </c>
      <c r="F2472" s="334"/>
      <c r="G2472" s="334"/>
      <c r="H2472" s="334"/>
      <c r="I2472" s="324">
        <f t="shared" si="1823"/>
        <v>2600000</v>
      </c>
      <c r="J2472" s="334"/>
      <c r="K2472" s="915">
        <v>974360</v>
      </c>
      <c r="L2472" s="317">
        <f t="shared" si="1817"/>
        <v>3574360</v>
      </c>
      <c r="M2472" s="317"/>
      <c r="N2472" s="372">
        <f t="shared" si="1819"/>
        <v>-974360</v>
      </c>
      <c r="O2472" s="336">
        <f t="shared" ref="O2472:O2534" si="1837">L2472*1.1</f>
        <v>3931796.0000000005</v>
      </c>
      <c r="P2472" s="336">
        <f t="shared" si="1835"/>
        <v>4324975.6000000006</v>
      </c>
      <c r="R2472" s="317"/>
      <c r="U2472" s="320"/>
    </row>
    <row r="2473" spans="1:21" s="344" customFormat="1" outlineLevel="2">
      <c r="A2473" s="326"/>
      <c r="B2473" s="326"/>
      <c r="C2473" s="328"/>
      <c r="D2473" s="326" t="s">
        <v>77</v>
      </c>
      <c r="E2473" s="912">
        <f>E2471+E2468+E2465+E2462+E2460+E2458+E2454+E2449+E2445+E2442+E2438+E2435+E2432</f>
        <v>28331629</v>
      </c>
      <c r="F2473" s="912">
        <f t="shared" ref="F2473:P2473" si="1838">F2471+F2468+F2465+F2462+F2460+F2458+F2454+F2449+F2445+F2442+F2438+F2435+F2432</f>
        <v>0</v>
      </c>
      <c r="G2473" s="912">
        <f t="shared" si="1838"/>
        <v>-1000000</v>
      </c>
      <c r="H2473" s="912">
        <f t="shared" si="1838"/>
        <v>0</v>
      </c>
      <c r="I2473" s="912">
        <f t="shared" si="1838"/>
        <v>27331629</v>
      </c>
      <c r="J2473" s="912">
        <f t="shared" si="1838"/>
        <v>0</v>
      </c>
      <c r="K2473" s="912">
        <f t="shared" si="1838"/>
        <v>-300000</v>
      </c>
      <c r="L2473" s="317">
        <f t="shared" si="1817"/>
        <v>27031629</v>
      </c>
      <c r="M2473" s="317"/>
      <c r="N2473" s="372">
        <f t="shared" si="1819"/>
        <v>300000</v>
      </c>
      <c r="O2473" s="912">
        <f t="shared" si="1838"/>
        <v>29734791.900000002</v>
      </c>
      <c r="P2473" s="912">
        <f t="shared" si="1838"/>
        <v>32708271.090000007</v>
      </c>
      <c r="R2473" s="317"/>
      <c r="U2473" s="320"/>
    </row>
    <row r="2474" spans="1:21" s="344" customFormat="1" outlineLevel="2">
      <c r="A2474" s="345"/>
      <c r="B2474" s="345"/>
      <c r="C2474" s="405"/>
      <c r="D2474" s="345"/>
      <c r="E2474" s="913"/>
      <c r="F2474" s="406"/>
      <c r="G2474" s="406"/>
      <c r="H2474" s="406"/>
      <c r="I2474" s="324">
        <f t="shared" si="1823"/>
        <v>0</v>
      </c>
      <c r="J2474" s="406"/>
      <c r="K2474" s="921"/>
      <c r="L2474" s="317">
        <f t="shared" si="1817"/>
        <v>0</v>
      </c>
      <c r="M2474" s="317"/>
      <c r="N2474" s="372">
        <f t="shared" si="1819"/>
        <v>0</v>
      </c>
      <c r="O2474" s="336">
        <f t="shared" si="1837"/>
        <v>0</v>
      </c>
      <c r="P2474" s="336">
        <f t="shared" si="1835"/>
        <v>0</v>
      </c>
      <c r="R2474" s="317"/>
      <c r="U2474" s="320"/>
    </row>
    <row r="2475" spans="1:21" s="344" customFormat="1" outlineLevel="2">
      <c r="A2475" s="345"/>
      <c r="B2475" s="345"/>
      <c r="C2475" s="328" t="s">
        <v>517</v>
      </c>
      <c r="D2475" s="326"/>
      <c r="E2475" s="913"/>
      <c r="F2475" s="461"/>
      <c r="G2475" s="461"/>
      <c r="H2475" s="461"/>
      <c r="I2475" s="324">
        <f t="shared" si="1823"/>
        <v>0</v>
      </c>
      <c r="J2475" s="461"/>
      <c r="K2475" s="921"/>
      <c r="L2475" s="317">
        <f t="shared" si="1817"/>
        <v>0</v>
      </c>
      <c r="M2475" s="317"/>
      <c r="N2475" s="372">
        <f t="shared" si="1819"/>
        <v>0</v>
      </c>
      <c r="O2475" s="336">
        <f t="shared" si="1837"/>
        <v>0</v>
      </c>
      <c r="P2475" s="933"/>
      <c r="R2475" s="317"/>
      <c r="U2475" s="320"/>
    </row>
    <row r="2476" spans="1:21" s="344" customFormat="1" outlineLevel="2">
      <c r="A2476" s="326"/>
      <c r="B2476" s="326"/>
      <c r="C2476" s="328">
        <v>2210200</v>
      </c>
      <c r="D2476" s="326" t="s">
        <v>20</v>
      </c>
      <c r="E2476" s="912">
        <f>E2477+0</f>
        <v>289031</v>
      </c>
      <c r="F2476" s="912">
        <f t="shared" ref="F2476:K2476" si="1839">F2477+0</f>
        <v>0</v>
      </c>
      <c r="G2476" s="912">
        <f t="shared" si="1839"/>
        <v>0</v>
      </c>
      <c r="H2476" s="912">
        <f t="shared" si="1839"/>
        <v>0</v>
      </c>
      <c r="I2476" s="912">
        <f t="shared" si="1839"/>
        <v>289031</v>
      </c>
      <c r="J2476" s="912">
        <f t="shared" si="1839"/>
        <v>0</v>
      </c>
      <c r="K2476" s="912">
        <f t="shared" si="1839"/>
        <v>0</v>
      </c>
      <c r="L2476" s="317">
        <f t="shared" si="1817"/>
        <v>289031</v>
      </c>
      <c r="M2476" s="317"/>
      <c r="N2476" s="372">
        <f t="shared" si="1819"/>
        <v>0</v>
      </c>
      <c r="O2476" s="912">
        <f t="shared" ref="O2476:P2476" si="1840">O2477+0</f>
        <v>317934.10000000003</v>
      </c>
      <c r="P2476" s="912">
        <f t="shared" si="1840"/>
        <v>349727.51000000007</v>
      </c>
      <c r="R2476" s="317"/>
      <c r="U2476" s="320"/>
    </row>
    <row r="2477" spans="1:21" s="344" customFormat="1" outlineLevel="2">
      <c r="A2477" s="345"/>
      <c r="B2477" s="345"/>
      <c r="C2477" s="405">
        <v>2210201</v>
      </c>
      <c r="D2477" s="345" t="s">
        <v>21</v>
      </c>
      <c r="E2477" s="913">
        <v>289031</v>
      </c>
      <c r="F2477" s="406"/>
      <c r="G2477" s="406"/>
      <c r="H2477" s="406"/>
      <c r="I2477" s="324">
        <f t="shared" si="1823"/>
        <v>289031</v>
      </c>
      <c r="J2477" s="406"/>
      <c r="K2477" s="914"/>
      <c r="L2477" s="317">
        <f t="shared" si="1817"/>
        <v>289031</v>
      </c>
      <c r="M2477" s="317"/>
      <c r="N2477" s="372">
        <f t="shared" si="1819"/>
        <v>0</v>
      </c>
      <c r="O2477" s="336">
        <f t="shared" si="1837"/>
        <v>317934.10000000003</v>
      </c>
      <c r="P2477" s="336">
        <f t="shared" si="1835"/>
        <v>349727.51000000007</v>
      </c>
      <c r="R2477" s="317"/>
      <c r="U2477" s="320"/>
    </row>
    <row r="2478" spans="1:21" s="344" customFormat="1" outlineLevel="2">
      <c r="A2478" s="345"/>
      <c r="B2478" s="345"/>
      <c r="C2478" s="328">
        <v>2210300</v>
      </c>
      <c r="D2478" s="326" t="s">
        <v>24</v>
      </c>
      <c r="E2478" s="912">
        <f>E2479+E2480+E2481</f>
        <v>1471097</v>
      </c>
      <c r="F2478" s="912">
        <f t="shared" ref="F2478:P2478" si="1841">F2479+F2480+F2481</f>
        <v>0</v>
      </c>
      <c r="G2478" s="912">
        <f t="shared" si="1841"/>
        <v>0</v>
      </c>
      <c r="H2478" s="912">
        <f t="shared" si="1841"/>
        <v>0</v>
      </c>
      <c r="I2478" s="912">
        <f t="shared" si="1841"/>
        <v>1471097</v>
      </c>
      <c r="J2478" s="912">
        <f t="shared" si="1841"/>
        <v>0</v>
      </c>
      <c r="K2478" s="912">
        <f t="shared" si="1841"/>
        <v>0</v>
      </c>
      <c r="L2478" s="317">
        <f t="shared" si="1817"/>
        <v>1471097</v>
      </c>
      <c r="M2478" s="317"/>
      <c r="N2478" s="372">
        <f t="shared" si="1819"/>
        <v>0</v>
      </c>
      <c r="O2478" s="912">
        <f t="shared" si="1841"/>
        <v>1618206.7000000002</v>
      </c>
      <c r="P2478" s="912">
        <f t="shared" si="1841"/>
        <v>1780027.3700000006</v>
      </c>
      <c r="R2478" s="317"/>
      <c r="U2478" s="320"/>
    </row>
    <row r="2479" spans="1:21" s="344" customFormat="1" outlineLevel="2">
      <c r="A2479" s="345"/>
      <c r="B2479" s="345"/>
      <c r="C2479" s="405">
        <v>2210301</v>
      </c>
      <c r="D2479" s="345" t="s">
        <v>25</v>
      </c>
      <c r="E2479" s="348">
        <v>293505</v>
      </c>
      <c r="F2479" s="406"/>
      <c r="G2479" s="406"/>
      <c r="H2479" s="406"/>
      <c r="I2479" s="324">
        <f t="shared" si="1823"/>
        <v>293505</v>
      </c>
      <c r="J2479" s="406"/>
      <c r="K2479" s="915"/>
      <c r="L2479" s="317">
        <f t="shared" si="1817"/>
        <v>293505</v>
      </c>
      <c r="M2479" s="317"/>
      <c r="N2479" s="372">
        <f t="shared" si="1819"/>
        <v>0</v>
      </c>
      <c r="O2479" s="336">
        <f t="shared" si="1837"/>
        <v>322855.5</v>
      </c>
      <c r="P2479" s="351">
        <f>O2479*1.1</f>
        <v>355141.05000000005</v>
      </c>
      <c r="R2479" s="317"/>
      <c r="U2479" s="320"/>
    </row>
    <row r="2480" spans="1:21" s="344" customFormat="1" outlineLevel="2">
      <c r="A2480" s="345"/>
      <c r="B2480" s="345"/>
      <c r="C2480" s="405">
        <v>2210302</v>
      </c>
      <c r="D2480" s="345" t="s">
        <v>26</v>
      </c>
      <c r="E2480" s="348">
        <v>512642</v>
      </c>
      <c r="F2480" s="406"/>
      <c r="G2480" s="406"/>
      <c r="H2480" s="406"/>
      <c r="I2480" s="324">
        <f t="shared" si="1823"/>
        <v>512642</v>
      </c>
      <c r="J2480" s="406"/>
      <c r="K2480" s="915"/>
      <c r="L2480" s="317">
        <f t="shared" si="1817"/>
        <v>512642</v>
      </c>
      <c r="M2480" s="317"/>
      <c r="N2480" s="372">
        <f t="shared" si="1819"/>
        <v>0</v>
      </c>
      <c r="O2480" s="336">
        <f t="shared" si="1837"/>
        <v>563906.20000000007</v>
      </c>
      <c r="P2480" s="336">
        <f t="shared" ref="P2480:P2481" si="1842">O2480*1.1</f>
        <v>620296.82000000018</v>
      </c>
      <c r="R2480" s="317"/>
      <c r="U2480" s="320"/>
    </row>
    <row r="2481" spans="1:21" s="344" customFormat="1" outlineLevel="2">
      <c r="A2481" s="345"/>
      <c r="B2481" s="345"/>
      <c r="C2481" s="405">
        <v>2210303</v>
      </c>
      <c r="D2481" s="345" t="s">
        <v>27</v>
      </c>
      <c r="E2481" s="348">
        <v>664950</v>
      </c>
      <c r="F2481" s="406"/>
      <c r="G2481" s="406"/>
      <c r="H2481" s="406"/>
      <c r="I2481" s="324">
        <f t="shared" si="1823"/>
        <v>664950</v>
      </c>
      <c r="J2481" s="406"/>
      <c r="K2481" s="915"/>
      <c r="L2481" s="317">
        <f t="shared" si="1817"/>
        <v>664950</v>
      </c>
      <c r="M2481" s="317"/>
      <c r="N2481" s="372">
        <f t="shared" si="1819"/>
        <v>0</v>
      </c>
      <c r="O2481" s="336">
        <f t="shared" si="1837"/>
        <v>731445.00000000012</v>
      </c>
      <c r="P2481" s="336">
        <f t="shared" si="1842"/>
        <v>804589.50000000023</v>
      </c>
      <c r="R2481" s="317"/>
      <c r="U2481" s="320"/>
    </row>
    <row r="2482" spans="1:21" s="344" customFormat="1" outlineLevel="2">
      <c r="A2482" s="326"/>
      <c r="B2482" s="326"/>
      <c r="C2482" s="328">
        <v>2210400</v>
      </c>
      <c r="D2482" s="326" t="s">
        <v>484</v>
      </c>
      <c r="E2482" s="459">
        <f>E2483+E2484</f>
        <v>1275187</v>
      </c>
      <c r="F2482" s="459">
        <f t="shared" ref="F2482:K2482" si="1843">F2483+F2484</f>
        <v>0</v>
      </c>
      <c r="G2482" s="459">
        <f t="shared" si="1843"/>
        <v>0</v>
      </c>
      <c r="H2482" s="459">
        <f t="shared" si="1843"/>
        <v>0</v>
      </c>
      <c r="I2482" s="459">
        <f t="shared" si="1843"/>
        <v>1275187</v>
      </c>
      <c r="J2482" s="459">
        <f t="shared" si="1843"/>
        <v>0</v>
      </c>
      <c r="K2482" s="459">
        <f t="shared" si="1843"/>
        <v>-1275180</v>
      </c>
      <c r="L2482" s="317">
        <f t="shared" si="1817"/>
        <v>7</v>
      </c>
      <c r="M2482" s="317"/>
      <c r="N2482" s="372">
        <f t="shared" si="1819"/>
        <v>1275180</v>
      </c>
      <c r="O2482" s="459">
        <f t="shared" ref="O2482:P2482" si="1844">O2483+O2484</f>
        <v>7.7000000000000011</v>
      </c>
      <c r="P2482" s="459">
        <f t="shared" si="1844"/>
        <v>8.4700000000000024</v>
      </c>
      <c r="R2482" s="317"/>
      <c r="U2482" s="320"/>
    </row>
    <row r="2483" spans="1:21" s="344" customFormat="1" outlineLevel="2">
      <c r="A2483" s="345"/>
      <c r="B2483" s="345"/>
      <c r="C2483" s="405">
        <v>2210401</v>
      </c>
      <c r="D2483" s="345" t="s">
        <v>25</v>
      </c>
      <c r="E2483" s="348">
        <v>863507</v>
      </c>
      <c r="F2483" s="406"/>
      <c r="G2483" s="406"/>
      <c r="H2483" s="406"/>
      <c r="I2483" s="324">
        <f t="shared" si="1823"/>
        <v>863507</v>
      </c>
      <c r="J2483" s="406"/>
      <c r="K2483" s="915">
        <v>-863500</v>
      </c>
      <c r="L2483" s="317">
        <f t="shared" si="1817"/>
        <v>7</v>
      </c>
      <c r="M2483" s="317"/>
      <c r="N2483" s="372">
        <f t="shared" si="1819"/>
        <v>863500</v>
      </c>
      <c r="O2483" s="336">
        <f t="shared" si="1837"/>
        <v>7.7000000000000011</v>
      </c>
      <c r="P2483" s="934">
        <f>O2483*1.1</f>
        <v>8.4700000000000024</v>
      </c>
      <c r="R2483" s="317"/>
      <c r="U2483" s="320"/>
    </row>
    <row r="2484" spans="1:21" s="344" customFormat="1" outlineLevel="2">
      <c r="A2484" s="345"/>
      <c r="B2484" s="345"/>
      <c r="C2484" s="405">
        <v>2210402</v>
      </c>
      <c r="D2484" s="345" t="s">
        <v>485</v>
      </c>
      <c r="E2484" s="348">
        <v>411680</v>
      </c>
      <c r="F2484" s="406"/>
      <c r="G2484" s="406"/>
      <c r="H2484" s="406"/>
      <c r="I2484" s="324">
        <f t="shared" si="1823"/>
        <v>411680</v>
      </c>
      <c r="J2484" s="406"/>
      <c r="K2484" s="915">
        <v>-411680</v>
      </c>
      <c r="L2484" s="317">
        <f t="shared" si="1817"/>
        <v>0</v>
      </c>
      <c r="M2484" s="317"/>
      <c r="N2484" s="372">
        <f t="shared" si="1819"/>
        <v>411680</v>
      </c>
      <c r="O2484" s="336">
        <f t="shared" si="1837"/>
        <v>0</v>
      </c>
      <c r="P2484" s="336">
        <f t="shared" ref="P2484:P2486" si="1845">O2484*1.1</f>
        <v>0</v>
      </c>
      <c r="R2484" s="317"/>
      <c r="U2484" s="320"/>
    </row>
    <row r="2485" spans="1:21" s="344" customFormat="1" outlineLevel="2">
      <c r="A2485" s="345"/>
      <c r="B2485" s="345"/>
      <c r="C2485" s="328">
        <v>2210500</v>
      </c>
      <c r="D2485" s="326" t="s">
        <v>31</v>
      </c>
      <c r="E2485" s="912">
        <f>E2486+E2487+E2488</f>
        <v>5895679</v>
      </c>
      <c r="F2485" s="912">
        <f t="shared" ref="F2485:P2485" si="1846">F2486+F2487+F2488</f>
        <v>0</v>
      </c>
      <c r="G2485" s="912">
        <f t="shared" si="1846"/>
        <v>0</v>
      </c>
      <c r="H2485" s="912">
        <f t="shared" si="1846"/>
        <v>0</v>
      </c>
      <c r="I2485" s="912">
        <f t="shared" si="1846"/>
        <v>5895679</v>
      </c>
      <c r="J2485" s="912">
        <f t="shared" si="1846"/>
        <v>0</v>
      </c>
      <c r="K2485" s="912">
        <f t="shared" si="1846"/>
        <v>-542520</v>
      </c>
      <c r="L2485" s="317">
        <f t="shared" si="1817"/>
        <v>5353159</v>
      </c>
      <c r="M2485" s="317"/>
      <c r="N2485" s="372">
        <f t="shared" si="1819"/>
        <v>542520</v>
      </c>
      <c r="O2485" s="912">
        <f t="shared" si="1846"/>
        <v>5888474.9000000013</v>
      </c>
      <c r="P2485" s="912">
        <f t="shared" si="1846"/>
        <v>6477322.3900000006</v>
      </c>
      <c r="R2485" s="317"/>
      <c r="U2485" s="320"/>
    </row>
    <row r="2486" spans="1:21" s="344" customFormat="1" outlineLevel="2">
      <c r="A2486" s="345"/>
      <c r="B2486" s="345"/>
      <c r="C2486" s="405">
        <v>2210502</v>
      </c>
      <c r="D2486" s="345" t="s">
        <v>1783</v>
      </c>
      <c r="E2486" s="913">
        <v>1500000</v>
      </c>
      <c r="F2486" s="406"/>
      <c r="G2486" s="406"/>
      <c r="H2486" s="406"/>
      <c r="I2486" s="324">
        <f t="shared" si="1823"/>
        <v>1500000</v>
      </c>
      <c r="J2486" s="406"/>
      <c r="K2486" s="915"/>
      <c r="L2486" s="317">
        <f t="shared" si="1817"/>
        <v>1500000</v>
      </c>
      <c r="M2486" s="317"/>
      <c r="N2486" s="372">
        <f t="shared" si="1819"/>
        <v>0</v>
      </c>
      <c r="O2486" s="336">
        <f t="shared" si="1837"/>
        <v>1650000.0000000002</v>
      </c>
      <c r="P2486" s="336">
        <f t="shared" si="1845"/>
        <v>1815000.0000000005</v>
      </c>
      <c r="R2486" s="317"/>
      <c r="U2486" s="320"/>
    </row>
    <row r="2487" spans="1:21" s="344" customFormat="1" outlineLevel="2">
      <c r="A2487" s="345"/>
      <c r="B2487" s="345"/>
      <c r="C2487" s="405">
        <v>2210504</v>
      </c>
      <c r="D2487" s="345" t="s">
        <v>1443</v>
      </c>
      <c r="E2487" s="913">
        <v>3500000</v>
      </c>
      <c r="F2487" s="406"/>
      <c r="G2487" s="406"/>
      <c r="H2487" s="406"/>
      <c r="I2487" s="324">
        <f t="shared" si="1823"/>
        <v>3500000</v>
      </c>
      <c r="J2487" s="406"/>
      <c r="K2487" s="915">
        <v>-542520</v>
      </c>
      <c r="L2487" s="317">
        <f t="shared" si="1817"/>
        <v>2957480</v>
      </c>
      <c r="M2487" s="317"/>
      <c r="N2487" s="372">
        <f t="shared" si="1819"/>
        <v>542520</v>
      </c>
      <c r="O2487" s="336">
        <f t="shared" si="1837"/>
        <v>3253228.0000000005</v>
      </c>
      <c r="P2487" s="934">
        <f>O2487*1.1</f>
        <v>3578550.8000000007</v>
      </c>
      <c r="R2487" s="317"/>
      <c r="U2487" s="320"/>
    </row>
    <row r="2488" spans="1:21" s="344" customFormat="1" outlineLevel="2">
      <c r="A2488" s="345"/>
      <c r="B2488" s="345"/>
      <c r="C2488" s="405">
        <v>2210505</v>
      </c>
      <c r="D2488" s="345" t="s">
        <v>192</v>
      </c>
      <c r="E2488" s="913">
        <v>895679</v>
      </c>
      <c r="F2488" s="406"/>
      <c r="G2488" s="406"/>
      <c r="H2488" s="406"/>
      <c r="I2488" s="324">
        <f t="shared" si="1823"/>
        <v>895679</v>
      </c>
      <c r="J2488" s="406"/>
      <c r="K2488" s="914"/>
      <c r="L2488" s="317">
        <f t="shared" si="1817"/>
        <v>895679</v>
      </c>
      <c r="M2488" s="317"/>
      <c r="N2488" s="372">
        <f t="shared" si="1819"/>
        <v>0</v>
      </c>
      <c r="O2488" s="336">
        <f t="shared" si="1837"/>
        <v>985246.9</v>
      </c>
      <c r="P2488" s="336">
        <f t="shared" ref="P2488:P2490" si="1847">O2488*1.1</f>
        <v>1083771.5900000001</v>
      </c>
      <c r="R2488" s="317"/>
      <c r="U2488" s="320"/>
    </row>
    <row r="2489" spans="1:21" s="344" customFormat="1" outlineLevel="2">
      <c r="A2489" s="326"/>
      <c r="B2489" s="326"/>
      <c r="C2489" s="328">
        <v>2210700</v>
      </c>
      <c r="D2489" s="326" t="s">
        <v>35</v>
      </c>
      <c r="E2489" s="912">
        <f>E2490+E2491+E2492</f>
        <v>1200505</v>
      </c>
      <c r="F2489" s="912">
        <f t="shared" ref="F2489:K2489" si="1848">F2490+F2491+F2492</f>
        <v>0</v>
      </c>
      <c r="G2489" s="912">
        <f t="shared" si="1848"/>
        <v>0</v>
      </c>
      <c r="H2489" s="912">
        <f t="shared" si="1848"/>
        <v>0</v>
      </c>
      <c r="I2489" s="912">
        <f t="shared" si="1848"/>
        <v>1200505</v>
      </c>
      <c r="J2489" s="912">
        <f t="shared" si="1848"/>
        <v>0</v>
      </c>
      <c r="K2489" s="912">
        <f t="shared" si="1848"/>
        <v>1052670</v>
      </c>
      <c r="L2489" s="317">
        <f t="shared" si="1817"/>
        <v>2253175</v>
      </c>
      <c r="M2489" s="317"/>
      <c r="N2489" s="372">
        <f t="shared" si="1819"/>
        <v>-1052670</v>
      </c>
      <c r="O2489" s="912">
        <f t="shared" ref="O2489:P2489" si="1849">O2490+O2491+O2492</f>
        <v>2478492.5</v>
      </c>
      <c r="P2489" s="912">
        <f t="shared" si="1849"/>
        <v>2726341.75</v>
      </c>
      <c r="R2489" s="317"/>
      <c r="U2489" s="320"/>
    </row>
    <row r="2490" spans="1:21" s="344" customFormat="1" outlineLevel="2">
      <c r="A2490" s="345"/>
      <c r="B2490" s="345"/>
      <c r="C2490" s="405">
        <v>2210701</v>
      </c>
      <c r="D2490" s="345" t="s">
        <v>36</v>
      </c>
      <c r="E2490" s="348">
        <v>290000</v>
      </c>
      <c r="F2490" s="406"/>
      <c r="G2490" s="406"/>
      <c r="H2490" s="406"/>
      <c r="I2490" s="324">
        <f t="shared" si="1823"/>
        <v>290000</v>
      </c>
      <c r="J2490" s="406"/>
      <c r="K2490" s="915">
        <v>260000</v>
      </c>
      <c r="L2490" s="317">
        <f t="shared" si="1817"/>
        <v>550000</v>
      </c>
      <c r="M2490" s="317"/>
      <c r="N2490" s="372">
        <f t="shared" si="1819"/>
        <v>-260000</v>
      </c>
      <c r="O2490" s="336">
        <f t="shared" si="1837"/>
        <v>605000</v>
      </c>
      <c r="P2490" s="336">
        <f t="shared" si="1847"/>
        <v>665500</v>
      </c>
      <c r="R2490" s="317"/>
      <c r="U2490" s="320"/>
    </row>
    <row r="2491" spans="1:21" s="344" customFormat="1" outlineLevel="2">
      <c r="A2491" s="345"/>
      <c r="B2491" s="345"/>
      <c r="C2491" s="405">
        <v>2210710</v>
      </c>
      <c r="D2491" s="345" t="s">
        <v>39</v>
      </c>
      <c r="E2491" s="348">
        <v>332290</v>
      </c>
      <c r="F2491" s="406"/>
      <c r="G2491" s="406"/>
      <c r="H2491" s="406"/>
      <c r="I2491" s="324">
        <f t="shared" si="1823"/>
        <v>332290</v>
      </c>
      <c r="J2491" s="406"/>
      <c r="K2491" s="915">
        <v>792670</v>
      </c>
      <c r="L2491" s="317">
        <f t="shared" si="1817"/>
        <v>1124960</v>
      </c>
      <c r="M2491" s="317"/>
      <c r="N2491" s="372">
        <f t="shared" si="1819"/>
        <v>-792670</v>
      </c>
      <c r="O2491" s="336">
        <f t="shared" si="1837"/>
        <v>1237456</v>
      </c>
      <c r="P2491" s="934">
        <f>O2491*1.1</f>
        <v>1361201.6</v>
      </c>
      <c r="R2491" s="317"/>
      <c r="U2491" s="320"/>
    </row>
    <row r="2492" spans="1:21" s="344" customFormat="1" outlineLevel="2">
      <c r="A2492" s="345"/>
      <c r="B2492" s="345"/>
      <c r="C2492" s="405">
        <v>2210799</v>
      </c>
      <c r="D2492" s="345" t="s">
        <v>40</v>
      </c>
      <c r="E2492" s="348">
        <v>578215</v>
      </c>
      <c r="F2492" s="406"/>
      <c r="G2492" s="406"/>
      <c r="H2492" s="406"/>
      <c r="I2492" s="324">
        <f t="shared" si="1823"/>
        <v>578215</v>
      </c>
      <c r="J2492" s="406"/>
      <c r="K2492" s="914"/>
      <c r="L2492" s="317">
        <f t="shared" si="1817"/>
        <v>578215</v>
      </c>
      <c r="M2492" s="317"/>
      <c r="N2492" s="372">
        <f t="shared" si="1819"/>
        <v>0</v>
      </c>
      <c r="O2492" s="336">
        <f t="shared" si="1837"/>
        <v>636036.5</v>
      </c>
      <c r="P2492" s="336">
        <f t="shared" si="1835"/>
        <v>699640.15</v>
      </c>
      <c r="R2492" s="317"/>
      <c r="U2492" s="320"/>
    </row>
    <row r="2493" spans="1:21" s="344" customFormat="1" outlineLevel="2">
      <c r="A2493" s="326"/>
      <c r="B2493" s="326"/>
      <c r="C2493" s="328">
        <v>2210800</v>
      </c>
      <c r="D2493" s="326" t="s">
        <v>42</v>
      </c>
      <c r="E2493" s="912">
        <f>E2494+E2495</f>
        <v>1125910</v>
      </c>
      <c r="F2493" s="912">
        <f t="shared" ref="F2493:K2493" si="1850">F2494+F2495</f>
        <v>0</v>
      </c>
      <c r="G2493" s="912">
        <f t="shared" si="1850"/>
        <v>0</v>
      </c>
      <c r="H2493" s="912">
        <f t="shared" si="1850"/>
        <v>0</v>
      </c>
      <c r="I2493" s="912">
        <f t="shared" si="1850"/>
        <v>1125910</v>
      </c>
      <c r="J2493" s="912">
        <f t="shared" si="1850"/>
        <v>0</v>
      </c>
      <c r="K2493" s="912">
        <f t="shared" si="1850"/>
        <v>400000</v>
      </c>
      <c r="L2493" s="317">
        <f t="shared" si="1817"/>
        <v>1525910</v>
      </c>
      <c r="M2493" s="317"/>
      <c r="N2493" s="372">
        <f t="shared" si="1819"/>
        <v>-400000</v>
      </c>
      <c r="O2493" s="912">
        <f t="shared" ref="O2493:P2493" si="1851">O2494+O2495</f>
        <v>1678501</v>
      </c>
      <c r="P2493" s="912">
        <f t="shared" si="1851"/>
        <v>1846351.1</v>
      </c>
      <c r="R2493" s="317"/>
      <c r="U2493" s="320"/>
    </row>
    <row r="2494" spans="1:21" s="325" customFormat="1" outlineLevel="2">
      <c r="A2494" s="345"/>
      <c r="B2494" s="345"/>
      <c r="C2494" s="405">
        <v>2210801</v>
      </c>
      <c r="D2494" s="345" t="s">
        <v>2421</v>
      </c>
      <c r="E2494" s="913">
        <v>648290</v>
      </c>
      <c r="F2494" s="406"/>
      <c r="G2494" s="406"/>
      <c r="H2494" s="406"/>
      <c r="I2494" s="324">
        <f t="shared" si="1823"/>
        <v>648290</v>
      </c>
      <c r="J2494" s="406"/>
      <c r="K2494" s="914"/>
      <c r="L2494" s="317">
        <f t="shared" si="1817"/>
        <v>648290</v>
      </c>
      <c r="M2494" s="317"/>
      <c r="N2494" s="372">
        <f t="shared" si="1819"/>
        <v>0</v>
      </c>
      <c r="O2494" s="336">
        <f t="shared" si="1837"/>
        <v>713119</v>
      </c>
      <c r="P2494" s="934">
        <f>O2494*1.1</f>
        <v>784430.9</v>
      </c>
      <c r="R2494" s="317"/>
      <c r="U2494" s="320"/>
    </row>
    <row r="2495" spans="1:21" s="344" customFormat="1" outlineLevel="2">
      <c r="A2495" s="345"/>
      <c r="B2495" s="345"/>
      <c r="C2495" s="405">
        <v>2210802</v>
      </c>
      <c r="D2495" s="345" t="s">
        <v>97</v>
      </c>
      <c r="E2495" s="913">
        <v>477620</v>
      </c>
      <c r="F2495" s="406"/>
      <c r="G2495" s="406"/>
      <c r="H2495" s="406"/>
      <c r="I2495" s="324">
        <f t="shared" si="1823"/>
        <v>477620</v>
      </c>
      <c r="J2495" s="406"/>
      <c r="K2495" s="915">
        <v>400000</v>
      </c>
      <c r="L2495" s="317">
        <f t="shared" si="1817"/>
        <v>877620</v>
      </c>
      <c r="M2495" s="317"/>
      <c r="N2495" s="372">
        <f t="shared" si="1819"/>
        <v>-400000</v>
      </c>
      <c r="O2495" s="336">
        <f t="shared" si="1837"/>
        <v>965382.00000000012</v>
      </c>
      <c r="P2495" s="336">
        <f t="shared" si="1835"/>
        <v>1061920.2000000002</v>
      </c>
      <c r="R2495" s="317"/>
      <c r="U2495" s="320"/>
    </row>
    <row r="2496" spans="1:21" s="344" customFormat="1" outlineLevel="2">
      <c r="A2496" s="326"/>
      <c r="B2496" s="326"/>
      <c r="C2496" s="328">
        <v>2211100</v>
      </c>
      <c r="D2496" s="326" t="s">
        <v>51</v>
      </c>
      <c r="E2496" s="912">
        <f>E2497+0</f>
        <v>431873</v>
      </c>
      <c r="F2496" s="912">
        <f t="shared" ref="F2496:K2496" si="1852">F2497+0</f>
        <v>0</v>
      </c>
      <c r="G2496" s="912">
        <f t="shared" si="1852"/>
        <v>0</v>
      </c>
      <c r="H2496" s="912">
        <f t="shared" si="1852"/>
        <v>0</v>
      </c>
      <c r="I2496" s="912">
        <f t="shared" si="1852"/>
        <v>431873</v>
      </c>
      <c r="J2496" s="912">
        <f t="shared" si="1852"/>
        <v>0</v>
      </c>
      <c r="K2496" s="912">
        <f t="shared" si="1852"/>
        <v>0</v>
      </c>
      <c r="L2496" s="317">
        <f t="shared" si="1817"/>
        <v>431873</v>
      </c>
      <c r="M2496" s="317"/>
      <c r="N2496" s="372">
        <f t="shared" si="1819"/>
        <v>0</v>
      </c>
      <c r="O2496" s="912">
        <f t="shared" ref="O2496:P2496" si="1853">O2497+0</f>
        <v>475060.30000000005</v>
      </c>
      <c r="P2496" s="912">
        <f t="shared" si="1853"/>
        <v>522566.33000000007</v>
      </c>
      <c r="R2496" s="317"/>
      <c r="U2496" s="320"/>
    </row>
    <row r="2497" spans="1:21" s="325" customFormat="1" outlineLevel="2">
      <c r="A2497" s="345"/>
      <c r="B2497" s="345"/>
      <c r="C2497" s="405">
        <v>2211101</v>
      </c>
      <c r="D2497" s="345" t="s">
        <v>120</v>
      </c>
      <c r="E2497" s="913">
        <v>431873</v>
      </c>
      <c r="F2497" s="406"/>
      <c r="G2497" s="406"/>
      <c r="H2497" s="406"/>
      <c r="I2497" s="324">
        <f t="shared" si="1823"/>
        <v>431873</v>
      </c>
      <c r="J2497" s="406"/>
      <c r="K2497" s="914"/>
      <c r="L2497" s="317">
        <f t="shared" si="1817"/>
        <v>431873</v>
      </c>
      <c r="M2497" s="317"/>
      <c r="N2497" s="372">
        <f t="shared" si="1819"/>
        <v>0</v>
      </c>
      <c r="O2497" s="336">
        <f t="shared" si="1837"/>
        <v>475060.30000000005</v>
      </c>
      <c r="P2497" s="336">
        <f t="shared" ref="P2497:P2505" si="1854">O2497*1.1</f>
        <v>522566.33000000007</v>
      </c>
      <c r="R2497" s="317"/>
      <c r="U2497" s="320"/>
    </row>
    <row r="2498" spans="1:21" s="344" customFormat="1" outlineLevel="2">
      <c r="A2498" s="345"/>
      <c r="B2498" s="345"/>
      <c r="C2498" s="328">
        <v>2211200</v>
      </c>
      <c r="D2498" s="326" t="s">
        <v>55</v>
      </c>
      <c r="E2498" s="912">
        <f>E2499+0</f>
        <v>995215</v>
      </c>
      <c r="F2498" s="912">
        <f t="shared" ref="F2498:K2498" si="1855">F2499+0</f>
        <v>0</v>
      </c>
      <c r="G2498" s="912">
        <f t="shared" si="1855"/>
        <v>0</v>
      </c>
      <c r="H2498" s="912">
        <f t="shared" si="1855"/>
        <v>0</v>
      </c>
      <c r="I2498" s="912">
        <f t="shared" si="1855"/>
        <v>995215</v>
      </c>
      <c r="J2498" s="912">
        <f t="shared" si="1855"/>
        <v>0</v>
      </c>
      <c r="K2498" s="912">
        <f t="shared" si="1855"/>
        <v>0</v>
      </c>
      <c r="L2498" s="317">
        <f t="shared" si="1817"/>
        <v>995215</v>
      </c>
      <c r="M2498" s="317"/>
      <c r="N2498" s="372">
        <f t="shared" si="1819"/>
        <v>0</v>
      </c>
      <c r="O2498" s="912">
        <f t="shared" ref="O2498:P2498" si="1856">O2499+0</f>
        <v>1094736.5</v>
      </c>
      <c r="P2498" s="912">
        <f t="shared" si="1856"/>
        <v>1204210.1500000001</v>
      </c>
      <c r="R2498" s="317"/>
      <c r="U2498" s="320"/>
    </row>
    <row r="2499" spans="1:21" s="325" customFormat="1" outlineLevel="2">
      <c r="A2499" s="345"/>
      <c r="B2499" s="345"/>
      <c r="C2499" s="405">
        <v>2211201</v>
      </c>
      <c r="D2499" s="345" t="s">
        <v>56</v>
      </c>
      <c r="E2499" s="913">
        <v>995215</v>
      </c>
      <c r="F2499" s="406"/>
      <c r="G2499" s="406"/>
      <c r="H2499" s="406"/>
      <c r="I2499" s="324">
        <f t="shared" si="1823"/>
        <v>995215</v>
      </c>
      <c r="J2499" s="406"/>
      <c r="K2499" s="914"/>
      <c r="L2499" s="317">
        <f t="shared" si="1817"/>
        <v>995215</v>
      </c>
      <c r="M2499" s="317"/>
      <c r="N2499" s="372">
        <f t="shared" si="1819"/>
        <v>0</v>
      </c>
      <c r="O2499" s="336">
        <f t="shared" si="1837"/>
        <v>1094736.5</v>
      </c>
      <c r="P2499" s="336">
        <f t="shared" si="1854"/>
        <v>1204210.1500000001</v>
      </c>
      <c r="R2499" s="317"/>
      <c r="U2499" s="320"/>
    </row>
    <row r="2500" spans="1:21" s="325" customFormat="1" outlineLevel="2">
      <c r="A2500" s="326"/>
      <c r="B2500" s="326"/>
      <c r="C2500" s="328">
        <v>2211300</v>
      </c>
      <c r="D2500" s="326" t="s">
        <v>57</v>
      </c>
      <c r="E2500" s="912">
        <f>E2501+E2502</f>
        <v>276456</v>
      </c>
      <c r="F2500" s="912">
        <f t="shared" ref="F2500:K2500" si="1857">F2501+F2502</f>
        <v>0</v>
      </c>
      <c r="G2500" s="912">
        <f t="shared" si="1857"/>
        <v>0</v>
      </c>
      <c r="H2500" s="912">
        <f t="shared" si="1857"/>
        <v>0</v>
      </c>
      <c r="I2500" s="912">
        <f t="shared" si="1857"/>
        <v>276456</v>
      </c>
      <c r="J2500" s="912">
        <f t="shared" si="1857"/>
        <v>0</v>
      </c>
      <c r="K2500" s="912">
        <f t="shared" si="1857"/>
        <v>-260000</v>
      </c>
      <c r="L2500" s="317">
        <f t="shared" si="1817"/>
        <v>16456</v>
      </c>
      <c r="M2500" s="317"/>
      <c r="N2500" s="372">
        <f t="shared" si="1819"/>
        <v>260000</v>
      </c>
      <c r="O2500" s="912">
        <f t="shared" ref="O2500:P2500" si="1858">O2501+O2502</f>
        <v>18101.600000000002</v>
      </c>
      <c r="P2500" s="912">
        <f t="shared" si="1858"/>
        <v>19911.760000000006</v>
      </c>
      <c r="R2500" s="317"/>
      <c r="U2500" s="320"/>
    </row>
    <row r="2501" spans="1:21" s="344" customFormat="1" outlineLevel="2">
      <c r="A2501" s="326"/>
      <c r="B2501" s="326"/>
      <c r="C2501" s="405">
        <v>2211310</v>
      </c>
      <c r="D2501" s="345" t="s">
        <v>60</v>
      </c>
      <c r="E2501" s="913">
        <f>1450000-1450000</f>
        <v>0</v>
      </c>
      <c r="F2501" s="406"/>
      <c r="G2501" s="406"/>
      <c r="H2501" s="406"/>
      <c r="I2501" s="324">
        <f t="shared" si="1823"/>
        <v>0</v>
      </c>
      <c r="J2501" s="406"/>
      <c r="K2501" s="914"/>
      <c r="L2501" s="317">
        <f t="shared" ref="L2501:L2564" si="1859">I2501+J2501+K2501</f>
        <v>0</v>
      </c>
      <c r="M2501" s="317"/>
      <c r="N2501" s="372">
        <f t="shared" si="1819"/>
        <v>0</v>
      </c>
      <c r="O2501" s="336">
        <f t="shared" si="1837"/>
        <v>0</v>
      </c>
      <c r="P2501" s="934">
        <f>O2501*1.1</f>
        <v>0</v>
      </c>
      <c r="R2501" s="317"/>
      <c r="U2501" s="320"/>
    </row>
    <row r="2502" spans="1:21" s="325" customFormat="1" outlineLevel="2">
      <c r="A2502" s="326"/>
      <c r="B2502" s="326"/>
      <c r="C2502" s="405">
        <v>2211306</v>
      </c>
      <c r="D2502" s="345" t="s">
        <v>494</v>
      </c>
      <c r="E2502" s="913">
        <v>276456</v>
      </c>
      <c r="F2502" s="406"/>
      <c r="G2502" s="406"/>
      <c r="H2502" s="406"/>
      <c r="I2502" s="324">
        <f t="shared" si="1823"/>
        <v>276456</v>
      </c>
      <c r="J2502" s="406"/>
      <c r="K2502" s="914">
        <v>-260000</v>
      </c>
      <c r="L2502" s="317">
        <f t="shared" si="1859"/>
        <v>16456</v>
      </c>
      <c r="M2502" s="317"/>
      <c r="N2502" s="372">
        <f t="shared" si="1819"/>
        <v>260000</v>
      </c>
      <c r="O2502" s="336">
        <f t="shared" si="1837"/>
        <v>18101.600000000002</v>
      </c>
      <c r="P2502" s="336">
        <f t="shared" si="1854"/>
        <v>19911.760000000006</v>
      </c>
      <c r="R2502" s="317"/>
      <c r="U2502" s="320"/>
    </row>
    <row r="2503" spans="1:21" s="344" customFormat="1" outlineLevel="2">
      <c r="A2503" s="326"/>
      <c r="B2503" s="326"/>
      <c r="C2503" s="328">
        <v>2220100</v>
      </c>
      <c r="D2503" s="326" t="s">
        <v>518</v>
      </c>
      <c r="E2503" s="912">
        <f>E2504+E2505</f>
        <v>814386</v>
      </c>
      <c r="F2503" s="912">
        <f t="shared" ref="F2503:P2503" si="1860">F2504+F2505</f>
        <v>0</v>
      </c>
      <c r="G2503" s="912">
        <f t="shared" si="1860"/>
        <v>0</v>
      </c>
      <c r="H2503" s="912">
        <f t="shared" si="1860"/>
        <v>0</v>
      </c>
      <c r="I2503" s="912">
        <f t="shared" si="1860"/>
        <v>814386</v>
      </c>
      <c r="J2503" s="912">
        <f t="shared" si="1860"/>
        <v>0</v>
      </c>
      <c r="K2503" s="912">
        <f t="shared" si="1860"/>
        <v>-374970</v>
      </c>
      <c r="L2503" s="317">
        <f t="shared" si="1859"/>
        <v>439416</v>
      </c>
      <c r="M2503" s="317"/>
      <c r="N2503" s="372">
        <f t="shared" si="1819"/>
        <v>374970</v>
      </c>
      <c r="O2503" s="912">
        <f t="shared" si="1860"/>
        <v>483357.60000000003</v>
      </c>
      <c r="P2503" s="912">
        <f t="shared" si="1860"/>
        <v>531693.3600000001</v>
      </c>
      <c r="R2503" s="317"/>
      <c r="U2503" s="320"/>
    </row>
    <row r="2504" spans="1:21" s="344" customFormat="1" outlineLevel="2">
      <c r="A2504" s="345"/>
      <c r="B2504" s="345"/>
      <c r="C2504" s="405">
        <v>2220101</v>
      </c>
      <c r="D2504" s="345" t="s">
        <v>250</v>
      </c>
      <c r="E2504" s="348">
        <v>439416</v>
      </c>
      <c r="F2504" s="406"/>
      <c r="G2504" s="406"/>
      <c r="H2504" s="406"/>
      <c r="I2504" s="324">
        <f t="shared" si="1823"/>
        <v>439416</v>
      </c>
      <c r="J2504" s="406"/>
      <c r="K2504" s="914"/>
      <c r="L2504" s="317">
        <f t="shared" si="1859"/>
        <v>439416</v>
      </c>
      <c r="M2504" s="317"/>
      <c r="N2504" s="372">
        <f t="shared" si="1819"/>
        <v>0</v>
      </c>
      <c r="O2504" s="336">
        <f t="shared" si="1837"/>
        <v>483357.60000000003</v>
      </c>
      <c r="P2504" s="336">
        <f t="shared" si="1854"/>
        <v>531693.3600000001</v>
      </c>
      <c r="R2504" s="317"/>
      <c r="U2504" s="320"/>
    </row>
    <row r="2505" spans="1:21" s="344" customFormat="1" outlineLevel="2">
      <c r="A2505" s="345"/>
      <c r="B2505" s="345"/>
      <c r="C2505" s="405">
        <v>2220202</v>
      </c>
      <c r="D2505" s="345" t="s">
        <v>519</v>
      </c>
      <c r="E2505" s="348">
        <v>374970</v>
      </c>
      <c r="F2505" s="406"/>
      <c r="G2505" s="406"/>
      <c r="H2505" s="406"/>
      <c r="I2505" s="324">
        <f t="shared" si="1823"/>
        <v>374970</v>
      </c>
      <c r="J2505" s="406"/>
      <c r="K2505" s="915">
        <v>-374970</v>
      </c>
      <c r="L2505" s="317">
        <f t="shared" si="1859"/>
        <v>0</v>
      </c>
      <c r="M2505" s="317"/>
      <c r="N2505" s="372">
        <f t="shared" ref="N2505:N2568" si="1861">M2505-K2505</f>
        <v>374970</v>
      </c>
      <c r="O2505" s="336">
        <f t="shared" si="1837"/>
        <v>0</v>
      </c>
      <c r="P2505" s="336">
        <f t="shared" si="1854"/>
        <v>0</v>
      </c>
      <c r="R2505" s="317"/>
      <c r="U2505" s="320"/>
    </row>
    <row r="2506" spans="1:21" s="344" customFormat="1" outlineLevel="2">
      <c r="A2506" s="345"/>
      <c r="B2506" s="345"/>
      <c r="C2506" s="328">
        <v>3111000</v>
      </c>
      <c r="D2506" s="326" t="s">
        <v>69</v>
      </c>
      <c r="E2506" s="912">
        <f>E2507</f>
        <v>740000</v>
      </c>
      <c r="F2506" s="912">
        <f t="shared" ref="F2506:K2506" si="1862">F2507</f>
        <v>0</v>
      </c>
      <c r="G2506" s="912">
        <f t="shared" si="1862"/>
        <v>0</v>
      </c>
      <c r="H2506" s="912">
        <f t="shared" si="1862"/>
        <v>0</v>
      </c>
      <c r="I2506" s="912">
        <f t="shared" si="1862"/>
        <v>740000</v>
      </c>
      <c r="J2506" s="912">
        <f t="shared" si="1862"/>
        <v>0</v>
      </c>
      <c r="K2506" s="912">
        <f t="shared" si="1862"/>
        <v>0</v>
      </c>
      <c r="L2506" s="317">
        <f t="shared" si="1859"/>
        <v>740000</v>
      </c>
      <c r="M2506" s="317"/>
      <c r="N2506" s="372">
        <f t="shared" si="1861"/>
        <v>0</v>
      </c>
      <c r="O2506" s="912">
        <f t="shared" ref="O2506:P2506" si="1863">O2507</f>
        <v>814000.00000000012</v>
      </c>
      <c r="P2506" s="912">
        <f t="shared" si="1863"/>
        <v>895400.00000000023</v>
      </c>
      <c r="R2506" s="317"/>
      <c r="U2506" s="320"/>
    </row>
    <row r="2507" spans="1:21" s="344" customFormat="1" outlineLevel="2">
      <c r="A2507" s="345"/>
      <c r="B2507" s="345"/>
      <c r="C2507" s="405">
        <v>3111002</v>
      </c>
      <c r="D2507" s="345" t="s">
        <v>71</v>
      </c>
      <c r="E2507" s="913">
        <v>740000</v>
      </c>
      <c r="F2507" s="406"/>
      <c r="G2507" s="406"/>
      <c r="H2507" s="406"/>
      <c r="I2507" s="324">
        <f t="shared" si="1823"/>
        <v>740000</v>
      </c>
      <c r="J2507" s="406"/>
      <c r="K2507" s="914"/>
      <c r="L2507" s="317">
        <f t="shared" si="1859"/>
        <v>740000</v>
      </c>
      <c r="M2507" s="317"/>
      <c r="N2507" s="372">
        <f t="shared" si="1861"/>
        <v>0</v>
      </c>
      <c r="O2507" s="336">
        <f t="shared" si="1837"/>
        <v>814000.00000000012</v>
      </c>
      <c r="P2507" s="336">
        <f>O2507*1.1</f>
        <v>895400.00000000023</v>
      </c>
      <c r="R2507" s="317"/>
      <c r="U2507" s="320"/>
    </row>
    <row r="2508" spans="1:21" s="344" customFormat="1" outlineLevel="2">
      <c r="A2508" s="345"/>
      <c r="B2508" s="345"/>
      <c r="C2508" s="328">
        <v>3111400</v>
      </c>
      <c r="D2508" s="326" t="s">
        <v>173</v>
      </c>
      <c r="E2508" s="912">
        <f>E2509+0</f>
        <v>2000000</v>
      </c>
      <c r="F2508" s="912">
        <f t="shared" ref="F2508:P2508" si="1864">F2509+0</f>
        <v>0</v>
      </c>
      <c r="G2508" s="912">
        <f t="shared" si="1864"/>
        <v>0</v>
      </c>
      <c r="H2508" s="912">
        <f t="shared" si="1864"/>
        <v>0</v>
      </c>
      <c r="I2508" s="912">
        <f t="shared" si="1864"/>
        <v>2000000</v>
      </c>
      <c r="J2508" s="912">
        <f t="shared" si="1864"/>
        <v>0</v>
      </c>
      <c r="K2508" s="912">
        <f t="shared" si="1864"/>
        <v>1000000</v>
      </c>
      <c r="L2508" s="317">
        <f t="shared" si="1859"/>
        <v>3000000</v>
      </c>
      <c r="M2508" s="317"/>
      <c r="N2508" s="372">
        <f t="shared" si="1861"/>
        <v>-1000000</v>
      </c>
      <c r="O2508" s="912">
        <f t="shared" si="1864"/>
        <v>3300000.0000000005</v>
      </c>
      <c r="P2508" s="912">
        <f t="shared" si="1864"/>
        <v>3630000.0000000009</v>
      </c>
      <c r="R2508" s="317"/>
      <c r="U2508" s="320"/>
    </row>
    <row r="2509" spans="1:21" s="446" customFormat="1" outlineLevel="2">
      <c r="A2509" s="345"/>
      <c r="B2509" s="345"/>
      <c r="C2509" s="405">
        <v>3111401</v>
      </c>
      <c r="D2509" s="345" t="s">
        <v>1444</v>
      </c>
      <c r="E2509" s="913">
        <v>2000000</v>
      </c>
      <c r="F2509" s="406"/>
      <c r="G2509" s="406"/>
      <c r="H2509" s="406"/>
      <c r="I2509" s="324">
        <f t="shared" si="1823"/>
        <v>2000000</v>
      </c>
      <c r="J2509" s="406"/>
      <c r="K2509" s="915">
        <v>1000000</v>
      </c>
      <c r="L2509" s="317">
        <f t="shared" si="1859"/>
        <v>3000000</v>
      </c>
      <c r="M2509" s="317"/>
      <c r="N2509" s="372">
        <f t="shared" si="1861"/>
        <v>-1000000</v>
      </c>
      <c r="O2509" s="336">
        <f t="shared" si="1837"/>
        <v>3300000.0000000005</v>
      </c>
      <c r="P2509" s="794">
        <f>O2509*1.1</f>
        <v>3630000.0000000009</v>
      </c>
      <c r="R2509" s="317"/>
      <c r="U2509" s="320"/>
    </row>
    <row r="2510" spans="1:21" s="446" customFormat="1" outlineLevel="2">
      <c r="A2510" s="326"/>
      <c r="B2510" s="326"/>
      <c r="C2510" s="328"/>
      <c r="D2510" s="326" t="s">
        <v>520</v>
      </c>
      <c r="E2510" s="912">
        <f>E2508+E2506+E2503+E2500+E2498+E2496+E2493+E2489+E2485+E2482+E2478+E2476</f>
        <v>16515339</v>
      </c>
      <c r="F2510" s="912">
        <f t="shared" ref="F2510:K2510" si="1865">F2508+F2506+F2503+F2500+F2498+F2496+F2493+F2489+F2485+F2482+F2478+F2476</f>
        <v>0</v>
      </c>
      <c r="G2510" s="912">
        <f t="shared" si="1865"/>
        <v>0</v>
      </c>
      <c r="H2510" s="912">
        <f t="shared" si="1865"/>
        <v>0</v>
      </c>
      <c r="I2510" s="912">
        <f t="shared" si="1865"/>
        <v>16515339</v>
      </c>
      <c r="J2510" s="912">
        <f t="shared" si="1865"/>
        <v>0</v>
      </c>
      <c r="K2510" s="912">
        <f t="shared" si="1865"/>
        <v>0</v>
      </c>
      <c r="L2510" s="317">
        <f t="shared" si="1859"/>
        <v>16515339</v>
      </c>
      <c r="M2510" s="317"/>
      <c r="N2510" s="372">
        <f t="shared" si="1861"/>
        <v>0</v>
      </c>
      <c r="O2510" s="912">
        <f t="shared" ref="O2510:P2510" si="1866">O2508+O2506+O2503+O2500+O2498+O2496+O2493+O2489+O2485+O2482+O2478+O2476</f>
        <v>18166872.900000002</v>
      </c>
      <c r="P2510" s="912">
        <f t="shared" si="1866"/>
        <v>19983560.190000005</v>
      </c>
      <c r="R2510" s="317"/>
      <c r="U2510" s="320"/>
    </row>
    <row r="2511" spans="1:21" s="446" customFormat="1" outlineLevel="2">
      <c r="A2511" s="326"/>
      <c r="B2511" s="326"/>
      <c r="C2511" s="328"/>
      <c r="D2511" s="326"/>
      <c r="E2511" s="912"/>
      <c r="F2511" s="461"/>
      <c r="G2511" s="461"/>
      <c r="H2511" s="461"/>
      <c r="I2511" s="324">
        <f t="shared" si="1823"/>
        <v>0</v>
      </c>
      <c r="J2511" s="461"/>
      <c r="K2511" s="921"/>
      <c r="L2511" s="317">
        <f t="shared" si="1859"/>
        <v>0</v>
      </c>
      <c r="M2511" s="317"/>
      <c r="N2511" s="372">
        <f t="shared" si="1861"/>
        <v>0</v>
      </c>
      <c r="O2511" s="336">
        <f t="shared" si="1837"/>
        <v>0</v>
      </c>
      <c r="P2511" s="792"/>
      <c r="R2511" s="317"/>
      <c r="U2511" s="320"/>
    </row>
    <row r="2512" spans="1:21" s="446" customFormat="1" outlineLevel="2">
      <c r="A2512" s="326"/>
      <c r="B2512" s="326"/>
      <c r="C2512" s="328" t="s">
        <v>78</v>
      </c>
      <c r="D2512" s="326"/>
      <c r="E2512" s="912"/>
      <c r="F2512" s="461"/>
      <c r="G2512" s="461"/>
      <c r="H2512" s="461"/>
      <c r="I2512" s="324">
        <f t="shared" si="1823"/>
        <v>0</v>
      </c>
      <c r="J2512" s="461"/>
      <c r="K2512" s="921"/>
      <c r="L2512" s="317">
        <f t="shared" si="1859"/>
        <v>0</v>
      </c>
      <c r="M2512" s="317"/>
      <c r="N2512" s="372">
        <f t="shared" si="1861"/>
        <v>0</v>
      </c>
      <c r="O2512" s="336">
        <f t="shared" si="1837"/>
        <v>0</v>
      </c>
      <c r="P2512" s="792"/>
      <c r="R2512" s="317"/>
      <c r="U2512" s="320"/>
    </row>
    <row r="2513" spans="1:21" s="446" customFormat="1" outlineLevel="2">
      <c r="A2513" s="326"/>
      <c r="B2513" s="326"/>
      <c r="C2513" s="328">
        <v>3110500</v>
      </c>
      <c r="D2513" s="326" t="s">
        <v>506</v>
      </c>
      <c r="E2513" s="912">
        <f>E2514+0</f>
        <v>2500000</v>
      </c>
      <c r="F2513" s="912">
        <f t="shared" ref="F2513:K2513" si="1867">F2514+0</f>
        <v>0</v>
      </c>
      <c r="G2513" s="912">
        <f t="shared" si="1867"/>
        <v>0</v>
      </c>
      <c r="H2513" s="912">
        <f t="shared" si="1867"/>
        <v>0</v>
      </c>
      <c r="I2513" s="912">
        <f t="shared" si="1867"/>
        <v>2500000</v>
      </c>
      <c r="J2513" s="912">
        <f t="shared" si="1867"/>
        <v>0</v>
      </c>
      <c r="K2513" s="912">
        <f t="shared" si="1867"/>
        <v>0</v>
      </c>
      <c r="L2513" s="317">
        <f t="shared" si="1859"/>
        <v>2500000</v>
      </c>
      <c r="M2513" s="317"/>
      <c r="N2513" s="372">
        <f t="shared" si="1861"/>
        <v>0</v>
      </c>
      <c r="O2513" s="912">
        <f t="shared" ref="O2513:P2513" si="1868">O2514+0</f>
        <v>2750000</v>
      </c>
      <c r="P2513" s="912">
        <f t="shared" si="1868"/>
        <v>3025000.0000000005</v>
      </c>
      <c r="R2513" s="317"/>
      <c r="U2513" s="320"/>
    </row>
    <row r="2514" spans="1:21" s="446" customFormat="1" outlineLevel="2">
      <c r="A2514" s="326"/>
      <c r="B2514" s="326"/>
      <c r="C2514" s="405">
        <v>3110504</v>
      </c>
      <c r="D2514" s="345" t="s">
        <v>1445</v>
      </c>
      <c r="E2514" s="913">
        <v>2500000</v>
      </c>
      <c r="F2514" s="406"/>
      <c r="G2514" s="406"/>
      <c r="H2514" s="406"/>
      <c r="I2514" s="324">
        <f t="shared" si="1823"/>
        <v>2500000</v>
      </c>
      <c r="J2514" s="406"/>
      <c r="K2514" s="915"/>
      <c r="L2514" s="317">
        <f t="shared" si="1859"/>
        <v>2500000</v>
      </c>
      <c r="M2514" s="317"/>
      <c r="N2514" s="372">
        <f t="shared" si="1861"/>
        <v>0</v>
      </c>
      <c r="O2514" s="336">
        <f t="shared" si="1837"/>
        <v>2750000</v>
      </c>
      <c r="P2514" s="935">
        <f>O2514*1.1</f>
        <v>3025000.0000000005</v>
      </c>
      <c r="R2514" s="317"/>
      <c r="U2514" s="320"/>
    </row>
    <row r="2515" spans="1:21" s="446" customFormat="1" outlineLevel="2">
      <c r="A2515" s="326"/>
      <c r="B2515" s="326"/>
      <c r="C2515" s="328"/>
      <c r="D2515" s="326" t="s">
        <v>261</v>
      </c>
      <c r="E2515" s="912">
        <f>E2513+0</f>
        <v>2500000</v>
      </c>
      <c r="F2515" s="912">
        <f t="shared" ref="F2515:K2515" si="1869">F2513+0</f>
        <v>0</v>
      </c>
      <c r="G2515" s="912">
        <f t="shared" si="1869"/>
        <v>0</v>
      </c>
      <c r="H2515" s="912">
        <f t="shared" si="1869"/>
        <v>0</v>
      </c>
      <c r="I2515" s="912">
        <f t="shared" si="1869"/>
        <v>2500000</v>
      </c>
      <c r="J2515" s="912">
        <f t="shared" si="1869"/>
        <v>0</v>
      </c>
      <c r="K2515" s="912">
        <f t="shared" si="1869"/>
        <v>0</v>
      </c>
      <c r="L2515" s="317">
        <f t="shared" si="1859"/>
        <v>2500000</v>
      </c>
      <c r="M2515" s="317"/>
      <c r="N2515" s="372">
        <f t="shared" si="1861"/>
        <v>0</v>
      </c>
      <c r="O2515" s="912">
        <f t="shared" ref="O2515:P2515" si="1870">O2513+0</f>
        <v>2750000</v>
      </c>
      <c r="P2515" s="912">
        <f t="shared" si="1870"/>
        <v>3025000.0000000005</v>
      </c>
      <c r="R2515" s="317"/>
      <c r="U2515" s="320"/>
    </row>
    <row r="2516" spans="1:21" s="344" customFormat="1" outlineLevel="1">
      <c r="A2516" s="326"/>
      <c r="B2516" s="326"/>
      <c r="C2516" s="328"/>
      <c r="D2516" s="326" t="s">
        <v>84</v>
      </c>
      <c r="E2516" s="912">
        <f>E2513+E2510</f>
        <v>19015339</v>
      </c>
      <c r="F2516" s="912">
        <f t="shared" ref="F2516:K2516" si="1871">F2513+F2510</f>
        <v>0</v>
      </c>
      <c r="G2516" s="912">
        <f t="shared" si="1871"/>
        <v>0</v>
      </c>
      <c r="H2516" s="912">
        <f t="shared" si="1871"/>
        <v>0</v>
      </c>
      <c r="I2516" s="912">
        <f t="shared" si="1871"/>
        <v>19015339</v>
      </c>
      <c r="J2516" s="912">
        <f t="shared" si="1871"/>
        <v>0</v>
      </c>
      <c r="K2516" s="912">
        <f t="shared" si="1871"/>
        <v>0</v>
      </c>
      <c r="L2516" s="317">
        <f t="shared" si="1859"/>
        <v>19015339</v>
      </c>
      <c r="M2516" s="317"/>
      <c r="N2516" s="372">
        <f t="shared" si="1861"/>
        <v>0</v>
      </c>
      <c r="O2516" s="912">
        <f t="shared" ref="O2516:P2516" si="1872">O2513+O2510</f>
        <v>20916872.900000002</v>
      </c>
      <c r="P2516" s="912">
        <f t="shared" si="1872"/>
        <v>23008560.190000005</v>
      </c>
      <c r="R2516" s="317"/>
      <c r="U2516" s="320"/>
    </row>
    <row r="2517" spans="1:21" s="344" customFormat="1">
      <c r="A2517" s="345"/>
      <c r="B2517" s="345"/>
      <c r="C2517" s="314"/>
      <c r="D2517" s="447" t="s">
        <v>99</v>
      </c>
      <c r="E2517" s="786">
        <f>E2510+E2473+E2414+E2359+E2314</f>
        <v>191891944</v>
      </c>
      <c r="F2517" s="786">
        <f t="shared" ref="F2517:L2517" si="1873">F2510+F2473+F2414+F2359+F2314</f>
        <v>3565624</v>
      </c>
      <c r="G2517" s="786">
        <f t="shared" si="1873"/>
        <v>-1000000</v>
      </c>
      <c r="H2517" s="786">
        <f t="shared" si="1873"/>
        <v>4449398</v>
      </c>
      <c r="I2517" s="786">
        <f t="shared" si="1873"/>
        <v>198906966</v>
      </c>
      <c r="J2517" s="786">
        <f t="shared" si="1873"/>
        <v>0</v>
      </c>
      <c r="K2517" s="786">
        <f t="shared" si="1873"/>
        <v>-4500000</v>
      </c>
      <c r="L2517" s="786">
        <f t="shared" si="1873"/>
        <v>194406966</v>
      </c>
      <c r="M2517" s="786"/>
      <c r="N2517" s="372">
        <f t="shared" si="1861"/>
        <v>4500000</v>
      </c>
      <c r="O2517" s="786">
        <f t="shared" ref="O2517:P2517" si="1874">O2510+O2473+O2414+O2359+O2314</f>
        <v>213847662.60000002</v>
      </c>
      <c r="P2517" s="786">
        <f t="shared" si="1874"/>
        <v>243801308.85000002</v>
      </c>
      <c r="R2517" s="786"/>
      <c r="U2517" s="936"/>
    </row>
    <row r="2518" spans="1:21">
      <c r="A2518" s="345"/>
      <c r="B2518" s="345"/>
      <c r="C2518" s="314"/>
      <c r="D2518" s="447" t="s">
        <v>175</v>
      </c>
      <c r="E2518" s="786">
        <f>E2515+E2426+E2371</f>
        <v>531349631</v>
      </c>
      <c r="F2518" s="786">
        <f t="shared" ref="F2518:L2518" si="1875">F2515+F2426+F2371</f>
        <v>118659242.94775797</v>
      </c>
      <c r="G2518" s="786">
        <f t="shared" si="1875"/>
        <v>-6733810.2418328524</v>
      </c>
      <c r="H2518" s="786">
        <f t="shared" si="1875"/>
        <v>-4080977.7581671495</v>
      </c>
      <c r="I2518" s="786">
        <f t="shared" si="1875"/>
        <v>639194085.94775796</v>
      </c>
      <c r="J2518" s="786">
        <f t="shared" si="1875"/>
        <v>-11797421</v>
      </c>
      <c r="K2518" s="786">
        <f t="shared" si="1875"/>
        <v>4500000</v>
      </c>
      <c r="L2518" s="786">
        <f t="shared" si="1875"/>
        <v>631896664.94775796</v>
      </c>
      <c r="M2518" s="786"/>
      <c r="N2518" s="372">
        <f t="shared" si="1861"/>
        <v>-4500000</v>
      </c>
      <c r="O2518" s="786">
        <f t="shared" ref="O2518:P2518" si="1876">O2515+O2426+O2371</f>
        <v>695086331.44253373</v>
      </c>
      <c r="P2518" s="786">
        <f t="shared" si="1876"/>
        <v>764594964.58678722</v>
      </c>
      <c r="R2518" s="786"/>
      <c r="U2518" s="936"/>
    </row>
    <row r="2519" spans="1:21">
      <c r="A2519" s="345"/>
      <c r="B2519" s="345"/>
      <c r="C2519" s="572" t="s">
        <v>1271</v>
      </c>
      <c r="D2519" s="573"/>
      <c r="E2519" s="786">
        <f t="shared" ref="E2519:P2519" si="1877">E2518+E2517</f>
        <v>723241575</v>
      </c>
      <c r="F2519" s="786">
        <f t="shared" ref="F2519:L2519" si="1878">F2518+F2517</f>
        <v>122224866.94775797</v>
      </c>
      <c r="G2519" s="786">
        <f t="shared" si="1878"/>
        <v>-7733810.2418328524</v>
      </c>
      <c r="H2519" s="786">
        <f t="shared" si="1878"/>
        <v>368420.2418328505</v>
      </c>
      <c r="I2519" s="786">
        <f t="shared" si="1878"/>
        <v>838101051.94775796</v>
      </c>
      <c r="J2519" s="786">
        <f t="shared" si="1878"/>
        <v>-11797421</v>
      </c>
      <c r="K2519" s="786">
        <f t="shared" si="1878"/>
        <v>0</v>
      </c>
      <c r="L2519" s="786">
        <f t="shared" si="1878"/>
        <v>826303630.94775796</v>
      </c>
      <c r="M2519" s="786"/>
      <c r="N2519" s="372">
        <f t="shared" si="1861"/>
        <v>0</v>
      </c>
      <c r="O2519" s="786">
        <f t="shared" si="1877"/>
        <v>908933994.04253376</v>
      </c>
      <c r="P2519" s="786">
        <f t="shared" si="1877"/>
        <v>1008396273.4367872</v>
      </c>
      <c r="R2519" s="786"/>
      <c r="U2519" s="936" t="s">
        <v>1803</v>
      </c>
    </row>
    <row r="2520" spans="1:21" s="344" customFormat="1">
      <c r="A2520" s="907"/>
      <c r="B2520" s="907"/>
      <c r="C2520" s="340"/>
      <c r="D2520" s="330"/>
      <c r="E2520" s="790"/>
      <c r="F2520" s="389"/>
      <c r="G2520" s="389"/>
      <c r="H2520" s="389"/>
      <c r="I2520" s="324">
        <f t="shared" ref="I2520:I2579" si="1879">E2520+F2520+G2520+H2520</f>
        <v>0</v>
      </c>
      <c r="J2520" s="389"/>
      <c r="K2520" s="389"/>
      <c r="L2520" s="317"/>
      <c r="M2520" s="317"/>
      <c r="N2520" s="372">
        <f t="shared" si="1861"/>
        <v>0</v>
      </c>
      <c r="O2520" s="336">
        <f t="shared" si="1837"/>
        <v>0</v>
      </c>
      <c r="P2520" s="319"/>
      <c r="R2520" s="317"/>
      <c r="U2520" s="320"/>
    </row>
    <row r="2521" spans="1:21" s="344" customFormat="1">
      <c r="A2521" s="658"/>
      <c r="B2521" s="658"/>
      <c r="C2521" s="680"/>
      <c r="D2521" s="352"/>
      <c r="E2521" s="660"/>
      <c r="F2521" s="661"/>
      <c r="G2521" s="661"/>
      <c r="H2521" s="661"/>
      <c r="I2521" s="324">
        <f t="shared" si="1879"/>
        <v>0</v>
      </c>
      <c r="J2521" s="661"/>
      <c r="K2521" s="661"/>
      <c r="L2521" s="317"/>
      <c r="M2521" s="317"/>
      <c r="N2521" s="372">
        <f t="shared" si="1861"/>
        <v>0</v>
      </c>
      <c r="O2521" s="336">
        <f t="shared" si="1837"/>
        <v>0</v>
      </c>
      <c r="P2521" s="319"/>
      <c r="R2521" s="317"/>
      <c r="U2521" s="320"/>
    </row>
    <row r="2522" spans="1:21" s="344" customFormat="1">
      <c r="A2522" s="447"/>
      <c r="B2522" s="447"/>
      <c r="C2522" s="314" t="s">
        <v>1255</v>
      </c>
      <c r="D2522" s="447"/>
      <c r="E2522" s="438"/>
      <c r="F2522" s="438"/>
      <c r="G2522" s="438"/>
      <c r="H2522" s="438"/>
      <c r="I2522" s="324">
        <f t="shared" si="1879"/>
        <v>0</v>
      </c>
      <c r="J2522" s="438"/>
      <c r="K2522" s="438"/>
      <c r="L2522" s="317"/>
      <c r="M2522" s="317"/>
      <c r="N2522" s="372">
        <f t="shared" si="1861"/>
        <v>0</v>
      </c>
      <c r="O2522" s="336">
        <f t="shared" si="1837"/>
        <v>0</v>
      </c>
      <c r="P2522" s="319"/>
      <c r="R2522" s="317"/>
      <c r="U2522" s="320" t="s">
        <v>1803</v>
      </c>
    </row>
    <row r="2523" spans="1:21" s="344" customFormat="1" outlineLevel="1">
      <c r="A2523" s="937"/>
      <c r="B2523" s="937" t="s">
        <v>9</v>
      </c>
      <c r="C2523" s="322" t="s">
        <v>521</v>
      </c>
      <c r="D2523" s="321"/>
      <c r="E2523" s="584"/>
      <c r="F2523" s="938"/>
      <c r="G2523" s="938"/>
      <c r="H2523" s="938"/>
      <c r="I2523" s="324">
        <f t="shared" si="1879"/>
        <v>0</v>
      </c>
      <c r="J2523" s="938"/>
      <c r="K2523" s="938"/>
      <c r="L2523" s="317">
        <f t="shared" si="1859"/>
        <v>0</v>
      </c>
      <c r="M2523" s="317"/>
      <c r="N2523" s="372">
        <f t="shared" si="1861"/>
        <v>0</v>
      </c>
      <c r="O2523" s="336">
        <f t="shared" si="1837"/>
        <v>0</v>
      </c>
      <c r="P2523" s="319">
        <f t="shared" ref="P2523:P2542" si="1880">O2523*1.1</f>
        <v>0</v>
      </c>
      <c r="R2523" s="317"/>
      <c r="U2523" s="320"/>
    </row>
    <row r="2524" spans="1:21" s="325" customFormat="1" outlineLevel="1">
      <c r="A2524" s="588" t="s">
        <v>178</v>
      </c>
      <c r="B2524" s="330"/>
      <c r="C2524" s="340" t="s">
        <v>179</v>
      </c>
      <c r="D2524" s="338"/>
      <c r="E2524" s="587"/>
      <c r="F2524" s="397"/>
      <c r="G2524" s="397"/>
      <c r="H2524" s="397"/>
      <c r="I2524" s="324">
        <f t="shared" si="1879"/>
        <v>0</v>
      </c>
      <c r="J2524" s="397"/>
      <c r="K2524" s="397"/>
      <c r="L2524" s="317">
        <f t="shared" si="1859"/>
        <v>0</v>
      </c>
      <c r="M2524" s="317"/>
      <c r="N2524" s="372">
        <f t="shared" si="1861"/>
        <v>0</v>
      </c>
      <c r="O2524" s="336">
        <f t="shared" si="1837"/>
        <v>0</v>
      </c>
      <c r="P2524" s="319">
        <f t="shared" si="1880"/>
        <v>0</v>
      </c>
      <c r="R2524" s="317"/>
      <c r="U2524" s="320"/>
    </row>
    <row r="2525" spans="1:21" s="344" customFormat="1" outlineLevel="1">
      <c r="A2525" s="588"/>
      <c r="B2525" s="588" t="s">
        <v>146</v>
      </c>
      <c r="C2525" s="340" t="s">
        <v>180</v>
      </c>
      <c r="D2525" s="338"/>
      <c r="E2525" s="587"/>
      <c r="F2525" s="397"/>
      <c r="G2525" s="397"/>
      <c r="H2525" s="397"/>
      <c r="I2525" s="324">
        <f t="shared" si="1879"/>
        <v>0</v>
      </c>
      <c r="J2525" s="397"/>
      <c r="K2525" s="397"/>
      <c r="L2525" s="317">
        <f t="shared" si="1859"/>
        <v>0</v>
      </c>
      <c r="M2525" s="317"/>
      <c r="N2525" s="372">
        <f t="shared" si="1861"/>
        <v>0</v>
      </c>
      <c r="O2525" s="336">
        <f t="shared" si="1837"/>
        <v>0</v>
      </c>
      <c r="P2525" s="319">
        <f t="shared" si="1880"/>
        <v>0</v>
      </c>
      <c r="R2525" s="317"/>
      <c r="U2525" s="320"/>
    </row>
    <row r="2526" spans="1:21" s="344" customFormat="1" outlineLevel="2">
      <c r="A2526" s="588"/>
      <c r="B2526" s="588"/>
      <c r="C2526" s="589">
        <v>2110100</v>
      </c>
      <c r="D2526" s="589" t="s">
        <v>13</v>
      </c>
      <c r="E2526" s="605">
        <f>E2527+E2528</f>
        <v>24887955</v>
      </c>
      <c r="F2526" s="605">
        <f t="shared" ref="F2526:K2526" si="1881">F2527+F2528</f>
        <v>0</v>
      </c>
      <c r="G2526" s="605">
        <f t="shared" si="1881"/>
        <v>0</v>
      </c>
      <c r="H2526" s="605">
        <f t="shared" si="1881"/>
        <v>0</v>
      </c>
      <c r="I2526" s="605">
        <f t="shared" si="1881"/>
        <v>24887955</v>
      </c>
      <c r="J2526" s="605">
        <f t="shared" si="1881"/>
        <v>0</v>
      </c>
      <c r="K2526" s="605">
        <f t="shared" si="1881"/>
        <v>0</v>
      </c>
      <c r="L2526" s="317">
        <f t="shared" si="1859"/>
        <v>24887955</v>
      </c>
      <c r="M2526" s="317"/>
      <c r="N2526" s="372">
        <f t="shared" si="1861"/>
        <v>0</v>
      </c>
      <c r="O2526" s="605">
        <f t="shared" ref="O2526:P2526" si="1882">O2527+O2528</f>
        <v>27376750.500000004</v>
      </c>
      <c r="P2526" s="939">
        <f t="shared" si="1882"/>
        <v>30114425.550000008</v>
      </c>
      <c r="R2526" s="317"/>
      <c r="U2526" s="320"/>
    </row>
    <row r="2527" spans="1:21" s="325" customFormat="1" outlineLevel="2">
      <c r="A2527" s="588"/>
      <c r="B2527" s="585"/>
      <c r="C2527" s="592">
        <v>2110101</v>
      </c>
      <c r="D2527" s="592" t="s">
        <v>14</v>
      </c>
      <c r="E2527" s="587">
        <v>24783955</v>
      </c>
      <c r="F2527" s="594"/>
      <c r="G2527" s="594"/>
      <c r="H2527" s="594"/>
      <c r="I2527" s="324">
        <f t="shared" si="1879"/>
        <v>24783955</v>
      </c>
      <c r="J2527" s="594"/>
      <c r="K2527" s="594"/>
      <c r="L2527" s="317">
        <f t="shared" si="1859"/>
        <v>24783955</v>
      </c>
      <c r="M2527" s="317"/>
      <c r="N2527" s="372">
        <f t="shared" si="1861"/>
        <v>0</v>
      </c>
      <c r="O2527" s="336">
        <f t="shared" si="1837"/>
        <v>27262350.500000004</v>
      </c>
      <c r="P2527" s="940">
        <f t="shared" si="1880"/>
        <v>29988585.550000008</v>
      </c>
      <c r="R2527" s="317"/>
      <c r="U2527" s="320"/>
    </row>
    <row r="2528" spans="1:21" s="344" customFormat="1" outlineLevel="2">
      <c r="A2528" s="588"/>
      <c r="B2528" s="585"/>
      <c r="C2528" s="592">
        <v>2110120</v>
      </c>
      <c r="D2528" s="592" t="s">
        <v>356</v>
      </c>
      <c r="E2528" s="587">
        <v>104000</v>
      </c>
      <c r="F2528" s="594"/>
      <c r="G2528" s="594"/>
      <c r="H2528" s="594"/>
      <c r="I2528" s="324">
        <f t="shared" si="1879"/>
        <v>104000</v>
      </c>
      <c r="J2528" s="594"/>
      <c r="K2528" s="594"/>
      <c r="L2528" s="317">
        <f t="shared" si="1859"/>
        <v>104000</v>
      </c>
      <c r="M2528" s="317"/>
      <c r="N2528" s="372">
        <f t="shared" si="1861"/>
        <v>0</v>
      </c>
      <c r="O2528" s="336">
        <f t="shared" si="1837"/>
        <v>114400.00000000001</v>
      </c>
      <c r="P2528" s="940">
        <f t="shared" si="1880"/>
        <v>125840.00000000003</v>
      </c>
      <c r="R2528" s="317"/>
      <c r="U2528" s="320"/>
    </row>
    <row r="2529" spans="1:21" s="344" customFormat="1" outlineLevel="2">
      <c r="A2529" s="588"/>
      <c r="B2529" s="588"/>
      <c r="C2529" s="589">
        <v>2210100</v>
      </c>
      <c r="D2529" s="589" t="s">
        <v>16</v>
      </c>
      <c r="E2529" s="605">
        <f>E2530+E2531</f>
        <v>224389</v>
      </c>
      <c r="F2529" s="605">
        <f t="shared" ref="F2529:K2529" si="1883">F2530+F2531</f>
        <v>0</v>
      </c>
      <c r="G2529" s="605">
        <f t="shared" si="1883"/>
        <v>0</v>
      </c>
      <c r="H2529" s="605">
        <f t="shared" si="1883"/>
        <v>0</v>
      </c>
      <c r="I2529" s="605">
        <f t="shared" si="1883"/>
        <v>224389</v>
      </c>
      <c r="J2529" s="605">
        <f t="shared" si="1883"/>
        <v>0</v>
      </c>
      <c r="K2529" s="605">
        <f t="shared" si="1883"/>
        <v>0</v>
      </c>
      <c r="L2529" s="317">
        <f t="shared" si="1859"/>
        <v>224389</v>
      </c>
      <c r="M2529" s="317"/>
      <c r="N2529" s="372">
        <f t="shared" si="1861"/>
        <v>0</v>
      </c>
      <c r="O2529" s="605">
        <f t="shared" ref="O2529:P2529" si="1884">O2530+O2531</f>
        <v>246827.90000000002</v>
      </c>
      <c r="P2529" s="939">
        <f t="shared" si="1884"/>
        <v>271510.69000000006</v>
      </c>
      <c r="R2529" s="317"/>
      <c r="U2529" s="320"/>
    </row>
    <row r="2530" spans="1:21" s="325" customFormat="1" outlineLevel="2">
      <c r="A2530" s="585"/>
      <c r="B2530" s="585"/>
      <c r="C2530" s="592">
        <v>2210101</v>
      </c>
      <c r="D2530" s="592" t="s">
        <v>17</v>
      </c>
      <c r="E2530" s="587">
        <v>82691</v>
      </c>
      <c r="F2530" s="594"/>
      <c r="G2530" s="594"/>
      <c r="H2530" s="594"/>
      <c r="I2530" s="324">
        <f t="shared" si="1879"/>
        <v>82691</v>
      </c>
      <c r="J2530" s="594"/>
      <c r="K2530" s="549"/>
      <c r="L2530" s="317">
        <f t="shared" si="1859"/>
        <v>82691</v>
      </c>
      <c r="M2530" s="317"/>
      <c r="N2530" s="372">
        <f t="shared" si="1861"/>
        <v>0</v>
      </c>
      <c r="O2530" s="336">
        <f t="shared" si="1837"/>
        <v>90960.1</v>
      </c>
      <c r="P2530" s="940">
        <f t="shared" si="1880"/>
        <v>100056.11000000002</v>
      </c>
      <c r="Q2530" s="941"/>
      <c r="R2530" s="317"/>
      <c r="U2530" s="320"/>
    </row>
    <row r="2531" spans="1:21" s="344" customFormat="1" outlineLevel="2">
      <c r="A2531" s="585"/>
      <c r="B2531" s="585"/>
      <c r="C2531" s="592">
        <v>2210102</v>
      </c>
      <c r="D2531" s="592" t="s">
        <v>18</v>
      </c>
      <c r="E2531" s="587">
        <v>141698</v>
      </c>
      <c r="F2531" s="594"/>
      <c r="G2531" s="594"/>
      <c r="H2531" s="594"/>
      <c r="I2531" s="324">
        <f t="shared" si="1879"/>
        <v>141698</v>
      </c>
      <c r="J2531" s="594"/>
      <c r="K2531" s="549"/>
      <c r="L2531" s="317">
        <f t="shared" si="1859"/>
        <v>141698</v>
      </c>
      <c r="M2531" s="317"/>
      <c r="N2531" s="372">
        <f t="shared" si="1861"/>
        <v>0</v>
      </c>
      <c r="O2531" s="336">
        <f t="shared" si="1837"/>
        <v>155867.80000000002</v>
      </c>
      <c r="P2531" s="940">
        <f t="shared" si="1880"/>
        <v>171454.58000000005</v>
      </c>
      <c r="Q2531" s="941"/>
      <c r="R2531" s="317"/>
      <c r="U2531" s="320"/>
    </row>
    <row r="2532" spans="1:21" s="344" customFormat="1" outlineLevel="2">
      <c r="A2532" s="588"/>
      <c r="B2532" s="588"/>
      <c r="C2532" s="589">
        <v>2210200</v>
      </c>
      <c r="D2532" s="589" t="s">
        <v>20</v>
      </c>
      <c r="E2532" s="605">
        <f>E2533+E2534</f>
        <v>420000</v>
      </c>
      <c r="F2532" s="605">
        <f t="shared" ref="F2532:P2532" si="1885">F2533+F2534</f>
        <v>0</v>
      </c>
      <c r="G2532" s="605">
        <f t="shared" si="1885"/>
        <v>0</v>
      </c>
      <c r="H2532" s="605">
        <f t="shared" si="1885"/>
        <v>0</v>
      </c>
      <c r="I2532" s="605">
        <f t="shared" si="1885"/>
        <v>420000</v>
      </c>
      <c r="J2532" s="605">
        <f t="shared" si="1885"/>
        <v>0</v>
      </c>
      <c r="K2532" s="605">
        <f t="shared" si="1885"/>
        <v>0</v>
      </c>
      <c r="L2532" s="317">
        <f t="shared" si="1859"/>
        <v>420000</v>
      </c>
      <c r="M2532" s="317"/>
      <c r="N2532" s="372">
        <f t="shared" si="1861"/>
        <v>0</v>
      </c>
      <c r="O2532" s="605">
        <f t="shared" si="1885"/>
        <v>462000.00000000006</v>
      </c>
      <c r="P2532" s="605">
        <f t="shared" si="1885"/>
        <v>508200.00000000012</v>
      </c>
      <c r="R2532" s="317"/>
      <c r="U2532" s="320"/>
    </row>
    <row r="2533" spans="1:21" s="325" customFormat="1" outlineLevel="2">
      <c r="A2533" s="585"/>
      <c r="B2533" s="585"/>
      <c r="C2533" s="592">
        <v>2210201</v>
      </c>
      <c r="D2533" s="592" t="s">
        <v>187</v>
      </c>
      <c r="E2533" s="587">
        <v>236000</v>
      </c>
      <c r="F2533" s="594"/>
      <c r="G2533" s="594"/>
      <c r="H2533" s="594"/>
      <c r="I2533" s="324">
        <f t="shared" si="1879"/>
        <v>236000</v>
      </c>
      <c r="J2533" s="594"/>
      <c r="K2533" s="594"/>
      <c r="L2533" s="317">
        <f t="shared" si="1859"/>
        <v>236000</v>
      </c>
      <c r="M2533" s="317"/>
      <c r="N2533" s="372">
        <f t="shared" si="1861"/>
        <v>0</v>
      </c>
      <c r="O2533" s="336">
        <f t="shared" si="1837"/>
        <v>259600.00000000003</v>
      </c>
      <c r="P2533" s="940">
        <f t="shared" si="1880"/>
        <v>285560.00000000006</v>
      </c>
      <c r="R2533" s="317"/>
      <c r="U2533" s="320"/>
    </row>
    <row r="2534" spans="1:21" s="344" customFormat="1" outlineLevel="2">
      <c r="A2534" s="585"/>
      <c r="B2534" s="585"/>
      <c r="C2534" s="592">
        <v>2210202</v>
      </c>
      <c r="D2534" s="592" t="s">
        <v>522</v>
      </c>
      <c r="E2534" s="587">
        <v>184000</v>
      </c>
      <c r="F2534" s="594"/>
      <c r="G2534" s="594"/>
      <c r="H2534" s="594"/>
      <c r="I2534" s="324">
        <f t="shared" si="1879"/>
        <v>184000</v>
      </c>
      <c r="J2534" s="594"/>
      <c r="K2534" s="594"/>
      <c r="L2534" s="317">
        <f t="shared" si="1859"/>
        <v>184000</v>
      </c>
      <c r="M2534" s="317"/>
      <c r="N2534" s="372">
        <f t="shared" si="1861"/>
        <v>0</v>
      </c>
      <c r="O2534" s="336">
        <f t="shared" si="1837"/>
        <v>202400.00000000003</v>
      </c>
      <c r="P2534" s="940">
        <f t="shared" si="1880"/>
        <v>222640.00000000006</v>
      </c>
      <c r="R2534" s="317"/>
      <c r="U2534" s="320"/>
    </row>
    <row r="2535" spans="1:21" s="344" customFormat="1" outlineLevel="2">
      <c r="A2535" s="588"/>
      <c r="B2535" s="588"/>
      <c r="C2535" s="589">
        <v>2210300</v>
      </c>
      <c r="D2535" s="589" t="s">
        <v>24</v>
      </c>
      <c r="E2535" s="605">
        <f>E2536+E2537+E2538</f>
        <v>1363452</v>
      </c>
      <c r="F2535" s="605">
        <f t="shared" ref="F2535:P2535" si="1886">F2536+F2537+F2538</f>
        <v>0</v>
      </c>
      <c r="G2535" s="605">
        <f t="shared" si="1886"/>
        <v>0</v>
      </c>
      <c r="H2535" s="605">
        <f t="shared" si="1886"/>
        <v>-556900</v>
      </c>
      <c r="I2535" s="605">
        <f t="shared" si="1886"/>
        <v>806552</v>
      </c>
      <c r="J2535" s="605">
        <f t="shared" si="1886"/>
        <v>0</v>
      </c>
      <c r="K2535" s="605">
        <f t="shared" si="1886"/>
        <v>0</v>
      </c>
      <c r="L2535" s="317">
        <f t="shared" si="1859"/>
        <v>806552</v>
      </c>
      <c r="M2535" s="317"/>
      <c r="N2535" s="372">
        <f t="shared" si="1861"/>
        <v>0</v>
      </c>
      <c r="O2535" s="605">
        <f t="shared" si="1886"/>
        <v>887207.20000000007</v>
      </c>
      <c r="P2535" s="605">
        <f t="shared" si="1886"/>
        <v>975927.92000000016</v>
      </c>
      <c r="R2535" s="317"/>
      <c r="U2535" s="320"/>
    </row>
    <row r="2536" spans="1:21" s="344" customFormat="1" outlineLevel="2">
      <c r="A2536" s="585"/>
      <c r="B2536" s="585"/>
      <c r="C2536" s="592">
        <v>2210301</v>
      </c>
      <c r="D2536" s="592" t="s">
        <v>188</v>
      </c>
      <c r="E2536" s="587">
        <v>428252</v>
      </c>
      <c r="F2536" s="594"/>
      <c r="G2536" s="594"/>
      <c r="H2536" s="594"/>
      <c r="I2536" s="324">
        <f t="shared" si="1879"/>
        <v>428252</v>
      </c>
      <c r="J2536" s="594"/>
      <c r="K2536" s="315"/>
      <c r="L2536" s="317">
        <f t="shared" si="1859"/>
        <v>428252</v>
      </c>
      <c r="M2536" s="317"/>
      <c r="N2536" s="372">
        <f t="shared" si="1861"/>
        <v>0</v>
      </c>
      <c r="O2536" s="336">
        <f t="shared" ref="O2536:O2597" si="1887">L2536*1.1</f>
        <v>471077.2</v>
      </c>
      <c r="P2536" s="940">
        <f t="shared" si="1880"/>
        <v>518184.92000000004</v>
      </c>
      <c r="Q2536" s="941"/>
      <c r="R2536" s="317"/>
      <c r="U2536" s="320"/>
    </row>
    <row r="2537" spans="1:21" s="325" customFormat="1" outlineLevel="2">
      <c r="A2537" s="585"/>
      <c r="B2537" s="585"/>
      <c r="C2537" s="592">
        <v>2210302</v>
      </c>
      <c r="D2537" s="592" t="s">
        <v>26</v>
      </c>
      <c r="E2537" s="587">
        <v>556900</v>
      </c>
      <c r="F2537" s="594"/>
      <c r="G2537" s="594"/>
      <c r="H2537" s="594">
        <v>-556900</v>
      </c>
      <c r="I2537" s="324">
        <f t="shared" si="1879"/>
        <v>0</v>
      </c>
      <c r="J2537" s="594"/>
      <c r="K2537" s="315"/>
      <c r="L2537" s="317">
        <f t="shared" si="1859"/>
        <v>0</v>
      </c>
      <c r="M2537" s="317"/>
      <c r="N2537" s="372">
        <f t="shared" si="1861"/>
        <v>0</v>
      </c>
      <c r="O2537" s="336">
        <f t="shared" si="1887"/>
        <v>0</v>
      </c>
      <c r="P2537" s="940">
        <f t="shared" si="1880"/>
        <v>0</v>
      </c>
      <c r="R2537" s="317"/>
      <c r="U2537" s="320"/>
    </row>
    <row r="2538" spans="1:21" s="344" customFormat="1" outlineLevel="2">
      <c r="A2538" s="585"/>
      <c r="B2538" s="585"/>
      <c r="C2538" s="592">
        <v>2210303</v>
      </c>
      <c r="D2538" s="592" t="s">
        <v>27</v>
      </c>
      <c r="E2538" s="587">
        <v>378300</v>
      </c>
      <c r="F2538" s="594"/>
      <c r="G2538" s="594"/>
      <c r="H2538" s="594"/>
      <c r="I2538" s="324">
        <f t="shared" si="1879"/>
        <v>378300</v>
      </c>
      <c r="J2538" s="594"/>
      <c r="K2538" s="315">
        <f>850000-850000</f>
        <v>0</v>
      </c>
      <c r="L2538" s="317">
        <f t="shared" si="1859"/>
        <v>378300</v>
      </c>
      <c r="M2538" s="317"/>
      <c r="N2538" s="372">
        <f t="shared" si="1861"/>
        <v>0</v>
      </c>
      <c r="O2538" s="336">
        <f t="shared" si="1887"/>
        <v>416130.00000000006</v>
      </c>
      <c r="P2538" s="940">
        <f t="shared" si="1880"/>
        <v>457743.00000000012</v>
      </c>
      <c r="Q2538" s="941"/>
      <c r="R2538" s="317"/>
      <c r="U2538" s="320"/>
    </row>
    <row r="2539" spans="1:21" s="344" customFormat="1" outlineLevel="2">
      <c r="A2539" s="588"/>
      <c r="B2539" s="588"/>
      <c r="C2539" s="589">
        <v>2210400</v>
      </c>
      <c r="D2539" s="589" t="s">
        <v>189</v>
      </c>
      <c r="E2539" s="605">
        <f>E2540+E2541+E2542</f>
        <v>1596000</v>
      </c>
      <c r="F2539" s="605">
        <f t="shared" ref="F2539:P2539" si="1888">F2540+F2541+F2542</f>
        <v>0</v>
      </c>
      <c r="G2539" s="605">
        <f t="shared" si="1888"/>
        <v>0</v>
      </c>
      <c r="H2539" s="605">
        <f t="shared" si="1888"/>
        <v>801390</v>
      </c>
      <c r="I2539" s="605">
        <f t="shared" si="1888"/>
        <v>2397390</v>
      </c>
      <c r="J2539" s="605">
        <f t="shared" si="1888"/>
        <v>-2397390</v>
      </c>
      <c r="K2539" s="605">
        <f t="shared" si="1888"/>
        <v>0</v>
      </c>
      <c r="L2539" s="317">
        <f t="shared" si="1859"/>
        <v>0</v>
      </c>
      <c r="M2539" s="317"/>
      <c r="N2539" s="372">
        <f t="shared" si="1861"/>
        <v>0</v>
      </c>
      <c r="O2539" s="605">
        <f t="shared" si="1888"/>
        <v>0</v>
      </c>
      <c r="P2539" s="605">
        <f t="shared" si="1888"/>
        <v>0</v>
      </c>
      <c r="Q2539" s="344">
        <v>239737</v>
      </c>
      <c r="R2539" s="317"/>
      <c r="U2539" s="320"/>
    </row>
    <row r="2540" spans="1:21" s="699" customFormat="1" outlineLevel="2">
      <c r="A2540" s="942"/>
      <c r="B2540" s="942"/>
      <c r="C2540" s="943">
        <v>2210401</v>
      </c>
      <c r="D2540" s="943" t="s">
        <v>190</v>
      </c>
      <c r="E2540" s="944">
        <v>374000</v>
      </c>
      <c r="F2540" s="945"/>
      <c r="G2540" s="945"/>
      <c r="H2540" s="944">
        <v>556900</v>
      </c>
      <c r="I2540" s="370">
        <f t="shared" si="1879"/>
        <v>930900</v>
      </c>
      <c r="J2540" s="944">
        <v>-930900</v>
      </c>
      <c r="K2540" s="946">
        <f>-700000+700000</f>
        <v>0</v>
      </c>
      <c r="L2540" s="372">
        <f t="shared" si="1859"/>
        <v>0</v>
      </c>
      <c r="M2540" s="372"/>
      <c r="N2540" s="372">
        <f t="shared" si="1861"/>
        <v>0</v>
      </c>
      <c r="O2540" s="373">
        <f t="shared" si="1887"/>
        <v>0</v>
      </c>
      <c r="P2540" s="947">
        <f t="shared" si="1880"/>
        <v>0</v>
      </c>
      <c r="Q2540" s="948"/>
      <c r="R2540" s="372"/>
      <c r="U2540" s="320"/>
    </row>
    <row r="2541" spans="1:21" s="949" customFormat="1" outlineLevel="2">
      <c r="A2541" s="942"/>
      <c r="B2541" s="942"/>
      <c r="C2541" s="943">
        <v>2210402</v>
      </c>
      <c r="D2541" s="943" t="s">
        <v>191</v>
      </c>
      <c r="E2541" s="944">
        <v>964000</v>
      </c>
      <c r="F2541" s="945"/>
      <c r="G2541" s="945"/>
      <c r="H2541" s="944">
        <v>244490</v>
      </c>
      <c r="I2541" s="370">
        <f t="shared" si="1879"/>
        <v>1208490</v>
      </c>
      <c r="J2541" s="944">
        <v>-1208490</v>
      </c>
      <c r="K2541" s="946">
        <f>-1000000+1000000</f>
        <v>0</v>
      </c>
      <c r="L2541" s="372">
        <f t="shared" si="1859"/>
        <v>0</v>
      </c>
      <c r="M2541" s="372"/>
      <c r="N2541" s="372">
        <f t="shared" si="1861"/>
        <v>0</v>
      </c>
      <c r="O2541" s="373">
        <f t="shared" si="1887"/>
        <v>0</v>
      </c>
      <c r="P2541" s="947">
        <f t="shared" si="1880"/>
        <v>0</v>
      </c>
      <c r="Q2541" s="948"/>
      <c r="R2541" s="372"/>
      <c r="U2541" s="320" t="s">
        <v>1803</v>
      </c>
    </row>
    <row r="2542" spans="1:21" s="699" customFormat="1" outlineLevel="2">
      <c r="A2542" s="942"/>
      <c r="B2542" s="942"/>
      <c r="C2542" s="950">
        <v>2210404</v>
      </c>
      <c r="D2542" s="943" t="s">
        <v>28</v>
      </c>
      <c r="E2542" s="944">
        <v>258000</v>
      </c>
      <c r="F2542" s="945"/>
      <c r="G2542" s="945"/>
      <c r="H2542" s="944"/>
      <c r="I2542" s="370">
        <f t="shared" si="1879"/>
        <v>258000</v>
      </c>
      <c r="J2542" s="944">
        <v>-258000</v>
      </c>
      <c r="K2542" s="946">
        <f>-150000+150000</f>
        <v>0</v>
      </c>
      <c r="L2542" s="372">
        <f t="shared" si="1859"/>
        <v>0</v>
      </c>
      <c r="M2542" s="372"/>
      <c r="N2542" s="372">
        <f t="shared" si="1861"/>
        <v>0</v>
      </c>
      <c r="O2542" s="373">
        <f t="shared" si="1887"/>
        <v>0</v>
      </c>
      <c r="P2542" s="947">
        <f t="shared" si="1880"/>
        <v>0</v>
      </c>
      <c r="Q2542" s="948"/>
      <c r="R2542" s="372"/>
      <c r="U2542" s="320" t="s">
        <v>1803</v>
      </c>
    </row>
    <row r="2543" spans="1:21" s="344" customFormat="1" outlineLevel="2">
      <c r="A2543" s="588"/>
      <c r="B2543" s="588"/>
      <c r="C2543" s="589">
        <v>2210500</v>
      </c>
      <c r="D2543" s="589" t="s">
        <v>31</v>
      </c>
      <c r="E2543" s="605">
        <f>E2544+E2545+E2546+E2547</f>
        <v>1045331</v>
      </c>
      <c r="F2543" s="605">
        <f t="shared" ref="F2543:P2543" si="1889">F2544+F2545+F2546+F2547</f>
        <v>0</v>
      </c>
      <c r="G2543" s="605">
        <f t="shared" si="1889"/>
        <v>0</v>
      </c>
      <c r="H2543" s="605">
        <f t="shared" si="1889"/>
        <v>0</v>
      </c>
      <c r="I2543" s="605">
        <f t="shared" si="1889"/>
        <v>1045331</v>
      </c>
      <c r="J2543" s="605">
        <f t="shared" si="1889"/>
        <v>0</v>
      </c>
      <c r="K2543" s="605">
        <f t="shared" si="1889"/>
        <v>0</v>
      </c>
      <c r="L2543" s="317">
        <f t="shared" si="1859"/>
        <v>1045331</v>
      </c>
      <c r="M2543" s="317"/>
      <c r="N2543" s="372">
        <f t="shared" si="1861"/>
        <v>0</v>
      </c>
      <c r="O2543" s="605">
        <f t="shared" si="1889"/>
        <v>1149864.1000000001</v>
      </c>
      <c r="P2543" s="605">
        <f t="shared" si="1889"/>
        <v>1264850.5100000002</v>
      </c>
      <c r="R2543" s="317"/>
      <c r="U2543" s="320"/>
    </row>
    <row r="2544" spans="1:21" s="344" customFormat="1" outlineLevel="2">
      <c r="A2544" s="585"/>
      <c r="B2544" s="585"/>
      <c r="C2544" s="592">
        <v>2210502</v>
      </c>
      <c r="D2544" s="592" t="s">
        <v>105</v>
      </c>
      <c r="E2544" s="587">
        <v>259437</v>
      </c>
      <c r="F2544" s="594"/>
      <c r="G2544" s="594"/>
      <c r="H2544" s="594"/>
      <c r="I2544" s="324">
        <f t="shared" si="1879"/>
        <v>259437</v>
      </c>
      <c r="J2544" s="594"/>
      <c r="K2544" s="315"/>
      <c r="L2544" s="317">
        <f t="shared" si="1859"/>
        <v>259437</v>
      </c>
      <c r="M2544" s="317"/>
      <c r="N2544" s="372">
        <f t="shared" si="1861"/>
        <v>0</v>
      </c>
      <c r="O2544" s="336">
        <f t="shared" si="1887"/>
        <v>285380.7</v>
      </c>
      <c r="P2544" s="940">
        <f t="shared" ref="P2544:P2562" si="1890">O2544*1.1</f>
        <v>313918.77</v>
      </c>
      <c r="R2544" s="317"/>
      <c r="U2544" s="320"/>
    </row>
    <row r="2545" spans="1:21" s="344" customFormat="1" outlineLevel="2">
      <c r="A2545" s="585"/>
      <c r="B2545" s="585"/>
      <c r="C2545" s="592">
        <v>2210503</v>
      </c>
      <c r="D2545" s="592" t="s">
        <v>32</v>
      </c>
      <c r="E2545" s="587">
        <v>87000</v>
      </c>
      <c r="F2545" s="594"/>
      <c r="G2545" s="594"/>
      <c r="H2545" s="594"/>
      <c r="I2545" s="324">
        <f t="shared" si="1879"/>
        <v>87000</v>
      </c>
      <c r="J2545" s="594"/>
      <c r="K2545" s="315"/>
      <c r="L2545" s="317">
        <f t="shared" si="1859"/>
        <v>87000</v>
      </c>
      <c r="M2545" s="317"/>
      <c r="N2545" s="372">
        <f t="shared" si="1861"/>
        <v>0</v>
      </c>
      <c r="O2545" s="336">
        <f t="shared" si="1887"/>
        <v>95700.000000000015</v>
      </c>
      <c r="P2545" s="940">
        <f t="shared" si="1890"/>
        <v>105270.00000000003</v>
      </c>
      <c r="R2545" s="317"/>
      <c r="U2545" s="320"/>
    </row>
    <row r="2546" spans="1:21" s="325" customFormat="1" outlineLevel="2">
      <c r="A2546" s="585"/>
      <c r="B2546" s="585"/>
      <c r="C2546" s="592">
        <v>2210504</v>
      </c>
      <c r="D2546" s="592" t="s">
        <v>106</v>
      </c>
      <c r="E2546" s="587">
        <v>140186</v>
      </c>
      <c r="F2546" s="594"/>
      <c r="G2546" s="594"/>
      <c r="H2546" s="594"/>
      <c r="I2546" s="324">
        <f t="shared" si="1879"/>
        <v>140186</v>
      </c>
      <c r="J2546" s="594"/>
      <c r="K2546" s="315"/>
      <c r="L2546" s="317">
        <f t="shared" si="1859"/>
        <v>140186</v>
      </c>
      <c r="M2546" s="317"/>
      <c r="N2546" s="372">
        <f t="shared" si="1861"/>
        <v>0</v>
      </c>
      <c r="O2546" s="336">
        <f t="shared" si="1887"/>
        <v>154204.6</v>
      </c>
      <c r="P2546" s="940">
        <f t="shared" si="1890"/>
        <v>169625.06000000003</v>
      </c>
      <c r="R2546" s="317"/>
      <c r="U2546" s="320"/>
    </row>
    <row r="2547" spans="1:21" s="344" customFormat="1" outlineLevel="2">
      <c r="A2547" s="585"/>
      <c r="B2547" s="585"/>
      <c r="C2547" s="592">
        <v>2210505</v>
      </c>
      <c r="D2547" s="592" t="s">
        <v>192</v>
      </c>
      <c r="E2547" s="587">
        <v>558708</v>
      </c>
      <c r="F2547" s="594"/>
      <c r="G2547" s="594"/>
      <c r="H2547" s="594"/>
      <c r="I2547" s="324">
        <f t="shared" si="1879"/>
        <v>558708</v>
      </c>
      <c r="J2547" s="594"/>
      <c r="K2547" s="315"/>
      <c r="L2547" s="317">
        <f t="shared" si="1859"/>
        <v>558708</v>
      </c>
      <c r="M2547" s="317"/>
      <c r="N2547" s="372">
        <f t="shared" si="1861"/>
        <v>0</v>
      </c>
      <c r="O2547" s="336">
        <f t="shared" si="1887"/>
        <v>614578.80000000005</v>
      </c>
      <c r="P2547" s="940">
        <f t="shared" si="1890"/>
        <v>676036.68</v>
      </c>
      <c r="Q2547" s="941"/>
      <c r="R2547" s="317"/>
      <c r="U2547" s="320"/>
    </row>
    <row r="2548" spans="1:21" s="325" customFormat="1" outlineLevel="2">
      <c r="A2548" s="588"/>
      <c r="B2548" s="588"/>
      <c r="C2548" s="589">
        <v>2210600</v>
      </c>
      <c r="D2548" s="589" t="s">
        <v>154</v>
      </c>
      <c r="E2548" s="605">
        <f>E2550+E2549</f>
        <v>1431888</v>
      </c>
      <c r="F2548" s="605">
        <f t="shared" ref="F2548:P2548" si="1891">F2550+F2549</f>
        <v>0</v>
      </c>
      <c r="G2548" s="605">
        <f t="shared" si="1891"/>
        <v>0</v>
      </c>
      <c r="H2548" s="605">
        <f t="shared" si="1891"/>
        <v>0</v>
      </c>
      <c r="I2548" s="605">
        <f t="shared" si="1891"/>
        <v>1431888</v>
      </c>
      <c r="J2548" s="605">
        <f t="shared" si="1891"/>
        <v>-1200000</v>
      </c>
      <c r="K2548" s="605">
        <f t="shared" si="1891"/>
        <v>0</v>
      </c>
      <c r="L2548" s="317">
        <f t="shared" si="1859"/>
        <v>231888</v>
      </c>
      <c r="M2548" s="317"/>
      <c r="N2548" s="372">
        <f t="shared" si="1861"/>
        <v>0</v>
      </c>
      <c r="O2548" s="605">
        <f t="shared" si="1891"/>
        <v>255076.80000000002</v>
      </c>
      <c r="P2548" s="605">
        <f t="shared" si="1891"/>
        <v>280584.48000000004</v>
      </c>
      <c r="R2548" s="317"/>
      <c r="U2548" s="320"/>
    </row>
    <row r="2549" spans="1:21" s="699" customFormat="1" outlineLevel="2">
      <c r="A2549" s="942"/>
      <c r="B2549" s="942"/>
      <c r="C2549" s="943">
        <v>2210603</v>
      </c>
      <c r="D2549" s="943" t="s">
        <v>489</v>
      </c>
      <c r="E2549" s="944">
        <v>1200000</v>
      </c>
      <c r="F2549" s="945"/>
      <c r="G2549" s="945"/>
      <c r="H2549" s="945"/>
      <c r="I2549" s="370">
        <f t="shared" si="1879"/>
        <v>1200000</v>
      </c>
      <c r="J2549" s="945">
        <v>-1200000</v>
      </c>
      <c r="K2549" s="946">
        <v>0</v>
      </c>
      <c r="L2549" s="372">
        <f t="shared" si="1859"/>
        <v>0</v>
      </c>
      <c r="M2549" s="372"/>
      <c r="N2549" s="372">
        <f t="shared" si="1861"/>
        <v>0</v>
      </c>
      <c r="O2549" s="373">
        <f t="shared" si="1887"/>
        <v>0</v>
      </c>
      <c r="P2549" s="947">
        <f t="shared" si="1890"/>
        <v>0</v>
      </c>
      <c r="Q2549" s="948"/>
      <c r="R2549" s="372"/>
      <c r="U2549" s="320" t="s">
        <v>1803</v>
      </c>
    </row>
    <row r="2550" spans="1:21" s="344" customFormat="1" outlineLevel="2">
      <c r="A2550" s="585"/>
      <c r="B2550" s="585"/>
      <c r="C2550" s="592">
        <v>2210606</v>
      </c>
      <c r="D2550" s="592" t="s">
        <v>523</v>
      </c>
      <c r="E2550" s="587">
        <v>231888</v>
      </c>
      <c r="F2550" s="594"/>
      <c r="G2550" s="594"/>
      <c r="H2550" s="594"/>
      <c r="I2550" s="324">
        <f t="shared" si="1879"/>
        <v>231888</v>
      </c>
      <c r="J2550" s="594"/>
      <c r="K2550" s="315"/>
      <c r="L2550" s="317">
        <f t="shared" si="1859"/>
        <v>231888</v>
      </c>
      <c r="M2550" s="317"/>
      <c r="N2550" s="372">
        <f t="shared" si="1861"/>
        <v>0</v>
      </c>
      <c r="O2550" s="336">
        <f t="shared" si="1887"/>
        <v>255076.80000000002</v>
      </c>
      <c r="P2550" s="940">
        <f t="shared" si="1890"/>
        <v>280584.48000000004</v>
      </c>
      <c r="Q2550" s="941"/>
      <c r="R2550" s="317"/>
      <c r="U2550" s="320"/>
    </row>
    <row r="2551" spans="1:21" s="344" customFormat="1" outlineLevel="2">
      <c r="A2551" s="588"/>
      <c r="B2551" s="588"/>
      <c r="C2551" s="589">
        <v>2210700</v>
      </c>
      <c r="D2551" s="589" t="s">
        <v>194</v>
      </c>
      <c r="E2551" s="605">
        <f>E2552+E2553+E2554</f>
        <v>1068720</v>
      </c>
      <c r="F2551" s="605">
        <f t="shared" ref="F2551:P2551" si="1892">F2552+F2553+F2554</f>
        <v>0</v>
      </c>
      <c r="G2551" s="605">
        <f t="shared" si="1892"/>
        <v>0</v>
      </c>
      <c r="H2551" s="605">
        <f t="shared" si="1892"/>
        <v>0</v>
      </c>
      <c r="I2551" s="605">
        <f t="shared" si="1892"/>
        <v>1068720</v>
      </c>
      <c r="J2551" s="605">
        <f t="shared" si="1892"/>
        <v>0</v>
      </c>
      <c r="K2551" s="605">
        <f t="shared" si="1892"/>
        <v>0</v>
      </c>
      <c r="L2551" s="317">
        <f t="shared" si="1859"/>
        <v>1068720</v>
      </c>
      <c r="M2551" s="317"/>
      <c r="N2551" s="372">
        <f t="shared" si="1861"/>
        <v>0</v>
      </c>
      <c r="O2551" s="605">
        <f t="shared" si="1892"/>
        <v>1175592</v>
      </c>
      <c r="P2551" s="605">
        <f t="shared" si="1892"/>
        <v>1293151.2000000002</v>
      </c>
      <c r="Q2551" s="951"/>
      <c r="R2551" s="317"/>
      <c r="U2551" s="320"/>
    </row>
    <row r="2552" spans="1:21" s="325" customFormat="1" outlineLevel="2">
      <c r="A2552" s="585"/>
      <c r="B2552" s="585"/>
      <c r="C2552" s="592">
        <v>2210701</v>
      </c>
      <c r="D2552" s="592" t="s">
        <v>36</v>
      </c>
      <c r="E2552" s="587">
        <v>292048</v>
      </c>
      <c r="F2552" s="594"/>
      <c r="G2552" s="594"/>
      <c r="H2552" s="594"/>
      <c r="I2552" s="324">
        <f t="shared" si="1879"/>
        <v>292048</v>
      </c>
      <c r="J2552" s="594"/>
      <c r="K2552" s="315">
        <v>0</v>
      </c>
      <c r="L2552" s="317">
        <f t="shared" si="1859"/>
        <v>292048</v>
      </c>
      <c r="M2552" s="317"/>
      <c r="N2552" s="372">
        <f t="shared" si="1861"/>
        <v>0</v>
      </c>
      <c r="O2552" s="336">
        <f t="shared" si="1887"/>
        <v>321252.80000000005</v>
      </c>
      <c r="P2552" s="940">
        <f t="shared" si="1890"/>
        <v>353378.08000000007</v>
      </c>
      <c r="R2552" s="317"/>
      <c r="U2552" s="320"/>
    </row>
    <row r="2553" spans="1:21" s="344" customFormat="1" outlineLevel="2">
      <c r="A2553" s="585"/>
      <c r="B2553" s="585"/>
      <c r="C2553" s="592">
        <v>2210710</v>
      </c>
      <c r="D2553" s="592" t="s">
        <v>39</v>
      </c>
      <c r="E2553" s="587">
        <v>416672</v>
      </c>
      <c r="F2553" s="594"/>
      <c r="G2553" s="594"/>
      <c r="H2553" s="594"/>
      <c r="I2553" s="324">
        <f t="shared" si="1879"/>
        <v>416672</v>
      </c>
      <c r="J2553" s="594"/>
      <c r="K2553" s="315">
        <v>0</v>
      </c>
      <c r="L2553" s="317">
        <f t="shared" si="1859"/>
        <v>416672</v>
      </c>
      <c r="M2553" s="317"/>
      <c r="N2553" s="372">
        <f t="shared" si="1861"/>
        <v>0</v>
      </c>
      <c r="O2553" s="336">
        <f t="shared" si="1887"/>
        <v>458339.2</v>
      </c>
      <c r="P2553" s="940">
        <f t="shared" si="1890"/>
        <v>504173.12000000005</v>
      </c>
      <c r="R2553" s="317"/>
      <c r="U2553" s="320"/>
    </row>
    <row r="2554" spans="1:21" s="344" customFormat="1" outlineLevel="2">
      <c r="A2554" s="585"/>
      <c r="B2554" s="585"/>
      <c r="C2554" s="332">
        <v>2210715</v>
      </c>
      <c r="D2554" s="330" t="s">
        <v>40</v>
      </c>
      <c r="E2554" s="587">
        <v>360000</v>
      </c>
      <c r="F2554" s="389"/>
      <c r="G2554" s="389"/>
      <c r="H2554" s="389"/>
      <c r="I2554" s="324">
        <f t="shared" si="1879"/>
        <v>360000</v>
      </c>
      <c r="J2554" s="389"/>
      <c r="K2554" s="315"/>
      <c r="L2554" s="317">
        <f t="shared" si="1859"/>
        <v>360000</v>
      </c>
      <c r="M2554" s="317"/>
      <c r="N2554" s="372">
        <f t="shared" si="1861"/>
        <v>0</v>
      </c>
      <c r="O2554" s="336">
        <f t="shared" si="1887"/>
        <v>396000.00000000006</v>
      </c>
      <c r="P2554" s="940">
        <f t="shared" si="1890"/>
        <v>435600.00000000012</v>
      </c>
      <c r="Q2554" s="941"/>
      <c r="R2554" s="317"/>
      <c r="U2554" s="320"/>
    </row>
    <row r="2555" spans="1:21" s="325" customFormat="1" outlineLevel="2">
      <c r="A2555" s="588"/>
      <c r="B2555" s="588"/>
      <c r="C2555" s="589">
        <v>2210800</v>
      </c>
      <c r="D2555" s="589" t="s">
        <v>42</v>
      </c>
      <c r="E2555" s="605">
        <f>E2556+E2557</f>
        <v>1180841</v>
      </c>
      <c r="F2555" s="605">
        <f t="shared" ref="F2555:P2555" si="1893">F2556+F2557</f>
        <v>0</v>
      </c>
      <c r="G2555" s="605">
        <f t="shared" si="1893"/>
        <v>0</v>
      </c>
      <c r="H2555" s="605">
        <f t="shared" si="1893"/>
        <v>0</v>
      </c>
      <c r="I2555" s="605">
        <f t="shared" si="1893"/>
        <v>1180841</v>
      </c>
      <c r="J2555" s="605">
        <f t="shared" si="1893"/>
        <v>0</v>
      </c>
      <c r="K2555" s="605">
        <f t="shared" si="1893"/>
        <v>0</v>
      </c>
      <c r="L2555" s="317">
        <f t="shared" si="1859"/>
        <v>1180841</v>
      </c>
      <c r="M2555" s="317"/>
      <c r="N2555" s="372">
        <f t="shared" si="1861"/>
        <v>0</v>
      </c>
      <c r="O2555" s="605">
        <f t="shared" si="1893"/>
        <v>1298925.1000000001</v>
      </c>
      <c r="P2555" s="605">
        <f t="shared" si="1893"/>
        <v>1428817.6100000003</v>
      </c>
      <c r="R2555" s="317"/>
      <c r="U2555" s="320"/>
    </row>
    <row r="2556" spans="1:21" s="344" customFormat="1" outlineLevel="2">
      <c r="A2556" s="585"/>
      <c r="B2556" s="585"/>
      <c r="C2556" s="592">
        <v>2210801</v>
      </c>
      <c r="D2556" s="592" t="s">
        <v>2421</v>
      </c>
      <c r="E2556" s="587">
        <v>619841</v>
      </c>
      <c r="F2556" s="594"/>
      <c r="G2556" s="594"/>
      <c r="H2556" s="594"/>
      <c r="I2556" s="324">
        <f t="shared" si="1879"/>
        <v>619841</v>
      </c>
      <c r="J2556" s="594"/>
      <c r="K2556" s="315"/>
      <c r="L2556" s="317">
        <f t="shared" si="1859"/>
        <v>619841</v>
      </c>
      <c r="M2556" s="317"/>
      <c r="N2556" s="372">
        <f t="shared" si="1861"/>
        <v>0</v>
      </c>
      <c r="O2556" s="336">
        <f t="shared" si="1887"/>
        <v>681825.10000000009</v>
      </c>
      <c r="P2556" s="940">
        <f t="shared" si="1890"/>
        <v>750007.61000000022</v>
      </c>
      <c r="R2556" s="317"/>
      <c r="U2556" s="320"/>
    </row>
    <row r="2557" spans="1:21" s="325" customFormat="1" outlineLevel="2">
      <c r="A2557" s="585"/>
      <c r="B2557" s="585"/>
      <c r="C2557" s="592">
        <v>2210802</v>
      </c>
      <c r="D2557" s="592" t="s">
        <v>97</v>
      </c>
      <c r="E2557" s="616">
        <v>561000</v>
      </c>
      <c r="F2557" s="952"/>
      <c r="G2557" s="952"/>
      <c r="H2557" s="952"/>
      <c r="I2557" s="324">
        <f t="shared" si="1879"/>
        <v>561000</v>
      </c>
      <c r="J2557" s="952"/>
      <c r="K2557" s="315"/>
      <c r="L2557" s="317">
        <f t="shared" si="1859"/>
        <v>561000</v>
      </c>
      <c r="M2557" s="317"/>
      <c r="N2557" s="372">
        <f t="shared" si="1861"/>
        <v>0</v>
      </c>
      <c r="O2557" s="336">
        <f t="shared" si="1887"/>
        <v>617100</v>
      </c>
      <c r="P2557" s="940">
        <f t="shared" si="1890"/>
        <v>678810</v>
      </c>
      <c r="R2557" s="317"/>
      <c r="U2557" s="320"/>
    </row>
    <row r="2558" spans="1:21" s="344" customFormat="1" outlineLevel="2">
      <c r="A2558" s="588"/>
      <c r="B2558" s="588"/>
      <c r="C2558" s="589">
        <v>2211000</v>
      </c>
      <c r="D2558" s="589" t="s">
        <v>118</v>
      </c>
      <c r="E2558" s="605">
        <f>E2559</f>
        <v>420425</v>
      </c>
      <c r="F2558" s="605">
        <f t="shared" ref="F2558:P2558" si="1894">F2559</f>
        <v>0</v>
      </c>
      <c r="G2558" s="605">
        <f t="shared" si="1894"/>
        <v>0</v>
      </c>
      <c r="H2558" s="605">
        <f t="shared" si="1894"/>
        <v>0</v>
      </c>
      <c r="I2558" s="605">
        <f t="shared" si="1894"/>
        <v>420425</v>
      </c>
      <c r="J2558" s="605">
        <f t="shared" si="1894"/>
        <v>-177093</v>
      </c>
      <c r="K2558" s="605">
        <f t="shared" si="1894"/>
        <v>0</v>
      </c>
      <c r="L2558" s="317">
        <f t="shared" si="1859"/>
        <v>243332</v>
      </c>
      <c r="M2558" s="317"/>
      <c r="N2558" s="372">
        <f t="shared" si="1861"/>
        <v>0</v>
      </c>
      <c r="O2558" s="605">
        <f t="shared" si="1894"/>
        <v>267665.2</v>
      </c>
      <c r="P2558" s="605">
        <f t="shared" si="1894"/>
        <v>294431.72000000003</v>
      </c>
      <c r="R2558" s="317"/>
      <c r="U2558" s="320"/>
    </row>
    <row r="2559" spans="1:21" s="699" customFormat="1" outlineLevel="2">
      <c r="A2559" s="942"/>
      <c r="B2559" s="942"/>
      <c r="C2559" s="943">
        <v>2211016</v>
      </c>
      <c r="D2559" s="943" t="s">
        <v>196</v>
      </c>
      <c r="E2559" s="944">
        <v>420425</v>
      </c>
      <c r="F2559" s="945"/>
      <c r="G2559" s="945"/>
      <c r="H2559" s="945"/>
      <c r="I2559" s="370">
        <f t="shared" si="1879"/>
        <v>420425</v>
      </c>
      <c r="J2559" s="945">
        <v>-177093</v>
      </c>
      <c r="K2559" s="946">
        <f>-180000+180000</f>
        <v>0</v>
      </c>
      <c r="L2559" s="372">
        <f t="shared" si="1859"/>
        <v>243332</v>
      </c>
      <c r="M2559" s="372"/>
      <c r="N2559" s="372">
        <f t="shared" si="1861"/>
        <v>0</v>
      </c>
      <c r="O2559" s="373">
        <f t="shared" si="1887"/>
        <v>267665.2</v>
      </c>
      <c r="P2559" s="947">
        <f t="shared" si="1890"/>
        <v>294431.72000000003</v>
      </c>
      <c r="Q2559" s="948"/>
      <c r="R2559" s="372"/>
      <c r="U2559" s="320" t="s">
        <v>1803</v>
      </c>
    </row>
    <row r="2560" spans="1:21" s="344" customFormat="1" outlineLevel="2">
      <c r="A2560" s="588"/>
      <c r="B2560" s="588"/>
      <c r="C2560" s="589">
        <v>2211100</v>
      </c>
      <c r="D2560" s="589" t="s">
        <v>51</v>
      </c>
      <c r="E2560" s="605">
        <f>E2561+E2562+E2563+E2564</f>
        <v>1584555</v>
      </c>
      <c r="F2560" s="605">
        <f t="shared" ref="F2560:P2560" si="1895">F2561+F2562+F2563+F2564</f>
        <v>0</v>
      </c>
      <c r="G2560" s="605">
        <f t="shared" si="1895"/>
        <v>0</v>
      </c>
      <c r="H2560" s="605">
        <f t="shared" si="1895"/>
        <v>0</v>
      </c>
      <c r="I2560" s="605">
        <f t="shared" si="1895"/>
        <v>1584555</v>
      </c>
      <c r="J2560" s="605">
        <f t="shared" si="1895"/>
        <v>0</v>
      </c>
      <c r="K2560" s="605">
        <f t="shared" si="1895"/>
        <v>0</v>
      </c>
      <c r="L2560" s="317">
        <f t="shared" si="1859"/>
        <v>1584555</v>
      </c>
      <c r="M2560" s="317"/>
      <c r="N2560" s="372">
        <f t="shared" si="1861"/>
        <v>0</v>
      </c>
      <c r="O2560" s="605">
        <f t="shared" si="1895"/>
        <v>1743010.5000000002</v>
      </c>
      <c r="P2560" s="605">
        <f t="shared" si="1895"/>
        <v>1917311.5500000003</v>
      </c>
      <c r="R2560" s="317"/>
      <c r="U2560" s="320"/>
    </row>
    <row r="2561" spans="1:21" s="344" customFormat="1" outlineLevel="2">
      <c r="A2561" s="585"/>
      <c r="B2561" s="585"/>
      <c r="C2561" s="592">
        <v>2211101</v>
      </c>
      <c r="D2561" s="330" t="s">
        <v>197</v>
      </c>
      <c r="E2561" s="587">
        <v>664555</v>
      </c>
      <c r="F2561" s="389"/>
      <c r="G2561" s="389"/>
      <c r="H2561" s="389"/>
      <c r="I2561" s="324">
        <f t="shared" si="1879"/>
        <v>664555</v>
      </c>
      <c r="J2561" s="389"/>
      <c r="K2561" s="315">
        <v>0</v>
      </c>
      <c r="L2561" s="317">
        <f t="shared" si="1859"/>
        <v>664555</v>
      </c>
      <c r="M2561" s="317"/>
      <c r="N2561" s="372">
        <f t="shared" si="1861"/>
        <v>0</v>
      </c>
      <c r="O2561" s="336">
        <f t="shared" si="1887"/>
        <v>731010.50000000012</v>
      </c>
      <c r="P2561" s="940">
        <f t="shared" si="1890"/>
        <v>804111.55000000016</v>
      </c>
      <c r="R2561" s="317"/>
      <c r="U2561" s="320"/>
    </row>
    <row r="2562" spans="1:21" s="325" customFormat="1" outlineLevel="2">
      <c r="A2562" s="585"/>
      <c r="B2562" s="585"/>
      <c r="C2562" s="592">
        <v>2211102</v>
      </c>
      <c r="D2562" s="592" t="s">
        <v>53</v>
      </c>
      <c r="E2562" s="587">
        <v>720000</v>
      </c>
      <c r="F2562" s="594"/>
      <c r="G2562" s="594"/>
      <c r="H2562" s="594"/>
      <c r="I2562" s="324">
        <f t="shared" si="1879"/>
        <v>720000</v>
      </c>
      <c r="J2562" s="594"/>
      <c r="K2562" s="315">
        <v>0</v>
      </c>
      <c r="L2562" s="317">
        <f t="shared" si="1859"/>
        <v>720000</v>
      </c>
      <c r="M2562" s="317"/>
      <c r="N2562" s="372">
        <f t="shared" si="1861"/>
        <v>0</v>
      </c>
      <c r="O2562" s="336">
        <f t="shared" si="1887"/>
        <v>792000.00000000012</v>
      </c>
      <c r="P2562" s="940">
        <f t="shared" si="1890"/>
        <v>871200.00000000023</v>
      </c>
      <c r="R2562" s="317"/>
      <c r="U2562" s="320"/>
    </row>
    <row r="2563" spans="1:21" s="344" customFormat="1" outlineLevel="2">
      <c r="A2563" s="585"/>
      <c r="B2563" s="585"/>
      <c r="C2563" s="592">
        <v>2211103</v>
      </c>
      <c r="D2563" s="592" t="s">
        <v>54</v>
      </c>
      <c r="E2563" s="587">
        <v>35000</v>
      </c>
      <c r="F2563" s="594"/>
      <c r="G2563" s="594"/>
      <c r="H2563" s="594"/>
      <c r="I2563" s="324">
        <f t="shared" si="1879"/>
        <v>35000</v>
      </c>
      <c r="J2563" s="594"/>
      <c r="K2563" s="315"/>
      <c r="L2563" s="317">
        <f t="shared" si="1859"/>
        <v>35000</v>
      </c>
      <c r="M2563" s="317"/>
      <c r="N2563" s="372">
        <f t="shared" si="1861"/>
        <v>0</v>
      </c>
      <c r="O2563" s="336">
        <f t="shared" si="1887"/>
        <v>38500</v>
      </c>
      <c r="P2563" s="940">
        <f t="shared" ref="P2563:P2581" si="1896">O2563*1.1</f>
        <v>42350</v>
      </c>
      <c r="Q2563" s="941"/>
      <c r="R2563" s="317"/>
      <c r="U2563" s="320"/>
    </row>
    <row r="2564" spans="1:21" s="325" customFormat="1" outlineLevel="2">
      <c r="A2564" s="585"/>
      <c r="B2564" s="585"/>
      <c r="C2564" s="592">
        <v>2211199</v>
      </c>
      <c r="D2564" s="592" t="s">
        <v>524</v>
      </c>
      <c r="E2564" s="587">
        <v>165000</v>
      </c>
      <c r="F2564" s="594"/>
      <c r="G2564" s="594"/>
      <c r="H2564" s="594"/>
      <c r="I2564" s="324">
        <f t="shared" si="1879"/>
        <v>165000</v>
      </c>
      <c r="J2564" s="594"/>
      <c r="K2564" s="315"/>
      <c r="L2564" s="317">
        <f t="shared" si="1859"/>
        <v>165000</v>
      </c>
      <c r="M2564" s="317"/>
      <c r="N2564" s="372">
        <f t="shared" si="1861"/>
        <v>0</v>
      </c>
      <c r="O2564" s="336">
        <f t="shared" si="1887"/>
        <v>181500.00000000003</v>
      </c>
      <c r="P2564" s="940">
        <f t="shared" si="1896"/>
        <v>199650.00000000006</v>
      </c>
      <c r="R2564" s="317"/>
      <c r="U2564" s="320"/>
    </row>
    <row r="2565" spans="1:21" s="344" customFormat="1" outlineLevel="2">
      <c r="A2565" s="588"/>
      <c r="B2565" s="588"/>
      <c r="C2565" s="589">
        <v>2211200</v>
      </c>
      <c r="D2565" s="589" t="s">
        <v>55</v>
      </c>
      <c r="E2565" s="605">
        <f>E2566</f>
        <v>1024972</v>
      </c>
      <c r="F2565" s="605">
        <f t="shared" ref="F2565:K2565" si="1897">F2566</f>
        <v>0</v>
      </c>
      <c r="G2565" s="605">
        <f t="shared" si="1897"/>
        <v>0</v>
      </c>
      <c r="H2565" s="605">
        <f t="shared" si="1897"/>
        <v>0</v>
      </c>
      <c r="I2565" s="605">
        <f t="shared" si="1897"/>
        <v>1024972</v>
      </c>
      <c r="J2565" s="605">
        <f t="shared" si="1897"/>
        <v>0</v>
      </c>
      <c r="K2565" s="605">
        <f t="shared" si="1897"/>
        <v>0</v>
      </c>
      <c r="L2565" s="317">
        <f t="shared" ref="L2565:L2628" si="1898">I2565+J2565+K2565</f>
        <v>1024972</v>
      </c>
      <c r="M2565" s="317"/>
      <c r="N2565" s="372">
        <f t="shared" si="1861"/>
        <v>0</v>
      </c>
      <c r="O2565" s="605">
        <f t="shared" ref="O2565:P2565" si="1899">O2566</f>
        <v>1127469.2000000002</v>
      </c>
      <c r="P2565" s="939">
        <f t="shared" si="1899"/>
        <v>1240216.1200000003</v>
      </c>
      <c r="R2565" s="317"/>
      <c r="U2565" s="320"/>
    </row>
    <row r="2566" spans="1:21" s="325" customFormat="1" outlineLevel="2">
      <c r="A2566" s="585"/>
      <c r="B2566" s="585"/>
      <c r="C2566" s="592">
        <v>2211201</v>
      </c>
      <c r="D2566" s="592" t="s">
        <v>56</v>
      </c>
      <c r="E2566" s="587">
        <v>1024972</v>
      </c>
      <c r="F2566" s="594"/>
      <c r="G2566" s="594"/>
      <c r="H2566" s="594"/>
      <c r="I2566" s="324">
        <f t="shared" si="1879"/>
        <v>1024972</v>
      </c>
      <c r="J2566" s="594"/>
      <c r="K2566" s="315"/>
      <c r="L2566" s="317">
        <f t="shared" si="1898"/>
        <v>1024972</v>
      </c>
      <c r="M2566" s="317"/>
      <c r="N2566" s="372">
        <f t="shared" si="1861"/>
        <v>0</v>
      </c>
      <c r="O2566" s="336">
        <f t="shared" si="1887"/>
        <v>1127469.2000000002</v>
      </c>
      <c r="P2566" s="940">
        <f t="shared" si="1896"/>
        <v>1240216.1200000003</v>
      </c>
      <c r="R2566" s="317"/>
      <c r="U2566" s="320"/>
    </row>
    <row r="2567" spans="1:21" s="344" customFormat="1" outlineLevel="2">
      <c r="A2567" s="588"/>
      <c r="B2567" s="588"/>
      <c r="C2567" s="589">
        <v>2211300</v>
      </c>
      <c r="D2567" s="589" t="s">
        <v>57</v>
      </c>
      <c r="E2567" s="605">
        <f>E2568</f>
        <v>41335</v>
      </c>
      <c r="F2567" s="605">
        <f t="shared" ref="F2567:P2567" si="1900">F2568</f>
        <v>0</v>
      </c>
      <c r="G2567" s="605">
        <f t="shared" si="1900"/>
        <v>0</v>
      </c>
      <c r="H2567" s="605">
        <f t="shared" si="1900"/>
        <v>0</v>
      </c>
      <c r="I2567" s="605">
        <f t="shared" si="1900"/>
        <v>41335</v>
      </c>
      <c r="J2567" s="605">
        <f t="shared" si="1900"/>
        <v>0</v>
      </c>
      <c r="K2567" s="605">
        <f t="shared" si="1900"/>
        <v>0</v>
      </c>
      <c r="L2567" s="317">
        <f t="shared" si="1898"/>
        <v>41335</v>
      </c>
      <c r="M2567" s="317"/>
      <c r="N2567" s="372">
        <f t="shared" si="1861"/>
        <v>0</v>
      </c>
      <c r="O2567" s="605">
        <f t="shared" si="1900"/>
        <v>45468.500000000007</v>
      </c>
      <c r="P2567" s="605">
        <f t="shared" si="1900"/>
        <v>50015.350000000013</v>
      </c>
      <c r="R2567" s="317"/>
      <c r="U2567" s="320"/>
    </row>
    <row r="2568" spans="1:21" s="344" customFormat="1" outlineLevel="2">
      <c r="A2568" s="585"/>
      <c r="B2568" s="585"/>
      <c r="C2568" s="592">
        <v>2211306</v>
      </c>
      <c r="D2568" s="592" t="s">
        <v>58</v>
      </c>
      <c r="E2568" s="587">
        <v>41335</v>
      </c>
      <c r="F2568" s="594"/>
      <c r="G2568" s="594"/>
      <c r="H2568" s="594"/>
      <c r="I2568" s="324">
        <f t="shared" si="1879"/>
        <v>41335</v>
      </c>
      <c r="J2568" s="594"/>
      <c r="K2568" s="315"/>
      <c r="L2568" s="317">
        <f t="shared" si="1898"/>
        <v>41335</v>
      </c>
      <c r="M2568" s="317"/>
      <c r="N2568" s="372">
        <f t="shared" si="1861"/>
        <v>0</v>
      </c>
      <c r="O2568" s="336">
        <f t="shared" si="1887"/>
        <v>45468.500000000007</v>
      </c>
      <c r="P2568" s="940">
        <f t="shared" si="1896"/>
        <v>50015.350000000013</v>
      </c>
      <c r="Q2568" s="941"/>
      <c r="R2568" s="317"/>
      <c r="U2568" s="320"/>
    </row>
    <row r="2569" spans="1:21" s="325" customFormat="1" outlineLevel="2">
      <c r="A2569" s="588"/>
      <c r="B2569" s="588"/>
      <c r="C2569" s="589">
        <v>2220100</v>
      </c>
      <c r="D2569" s="589" t="s">
        <v>199</v>
      </c>
      <c r="E2569" s="605">
        <f>E2570+E2571</f>
        <v>639000</v>
      </c>
      <c r="F2569" s="605">
        <f t="shared" ref="F2569:P2569" si="1901">F2570+F2571</f>
        <v>0</v>
      </c>
      <c r="G2569" s="605">
        <f t="shared" si="1901"/>
        <v>0</v>
      </c>
      <c r="H2569" s="605">
        <f t="shared" si="1901"/>
        <v>300000</v>
      </c>
      <c r="I2569" s="605">
        <f t="shared" si="1901"/>
        <v>939000</v>
      </c>
      <c r="J2569" s="605">
        <f t="shared" si="1901"/>
        <v>0</v>
      </c>
      <c r="K2569" s="605">
        <f t="shared" si="1901"/>
        <v>0</v>
      </c>
      <c r="L2569" s="317">
        <f t="shared" si="1898"/>
        <v>939000</v>
      </c>
      <c r="M2569" s="317"/>
      <c r="N2569" s="372">
        <f t="shared" ref="N2569:N2632" si="1902">M2569-K2569</f>
        <v>0</v>
      </c>
      <c r="O2569" s="605">
        <f t="shared" si="1901"/>
        <v>1032900</v>
      </c>
      <c r="P2569" s="605">
        <f t="shared" si="1901"/>
        <v>1136190.0000000002</v>
      </c>
      <c r="R2569" s="317"/>
      <c r="U2569" s="320"/>
    </row>
    <row r="2570" spans="1:21" s="344" customFormat="1" outlineLevel="2">
      <c r="A2570" s="585"/>
      <c r="B2570" s="585"/>
      <c r="C2570" s="592">
        <v>2220101</v>
      </c>
      <c r="D2570" s="592" t="s">
        <v>200</v>
      </c>
      <c r="E2570" s="587">
        <v>325000</v>
      </c>
      <c r="F2570" s="594"/>
      <c r="G2570" s="594"/>
      <c r="H2570" s="587">
        <v>300000</v>
      </c>
      <c r="I2570" s="324">
        <f t="shared" si="1879"/>
        <v>625000</v>
      </c>
      <c r="J2570" s="587"/>
      <c r="K2570" s="315"/>
      <c r="L2570" s="317">
        <f t="shared" si="1898"/>
        <v>625000</v>
      </c>
      <c r="M2570" s="317"/>
      <c r="N2570" s="372">
        <f t="shared" si="1902"/>
        <v>0</v>
      </c>
      <c r="O2570" s="336">
        <f t="shared" si="1887"/>
        <v>687500</v>
      </c>
      <c r="P2570" s="940">
        <f t="shared" si="1896"/>
        <v>756250.00000000012</v>
      </c>
      <c r="R2570" s="317"/>
      <c r="U2570" s="320"/>
    </row>
    <row r="2571" spans="1:21" s="344" customFormat="1" outlineLevel="2">
      <c r="A2571" s="585"/>
      <c r="B2571" s="585"/>
      <c r="C2571" s="592">
        <v>2220105</v>
      </c>
      <c r="D2571" s="592" t="s">
        <v>64</v>
      </c>
      <c r="E2571" s="587">
        <v>314000</v>
      </c>
      <c r="F2571" s="594"/>
      <c r="G2571" s="594"/>
      <c r="H2571" s="594"/>
      <c r="I2571" s="324">
        <f t="shared" si="1879"/>
        <v>314000</v>
      </c>
      <c r="J2571" s="594"/>
      <c r="K2571" s="315"/>
      <c r="L2571" s="317">
        <f t="shared" si="1898"/>
        <v>314000</v>
      </c>
      <c r="M2571" s="317"/>
      <c r="N2571" s="372">
        <f t="shared" si="1902"/>
        <v>0</v>
      </c>
      <c r="O2571" s="336">
        <f t="shared" si="1887"/>
        <v>345400</v>
      </c>
      <c r="P2571" s="940">
        <f t="shared" si="1896"/>
        <v>379940.00000000006</v>
      </c>
      <c r="R2571" s="317"/>
      <c r="U2571" s="320"/>
    </row>
    <row r="2572" spans="1:21" s="344" customFormat="1" outlineLevel="2">
      <c r="A2572" s="588"/>
      <c r="B2572" s="588"/>
      <c r="C2572" s="589">
        <v>2220200</v>
      </c>
      <c r="D2572" s="589" t="s">
        <v>124</v>
      </c>
      <c r="E2572" s="605">
        <f>E2573+E2574+E2575</f>
        <v>1184137</v>
      </c>
      <c r="F2572" s="605">
        <f t="shared" ref="F2572:K2572" si="1903">F2573+F2574+F2575</f>
        <v>0</v>
      </c>
      <c r="G2572" s="605">
        <f t="shared" si="1903"/>
        <v>0</v>
      </c>
      <c r="H2572" s="605">
        <f t="shared" si="1903"/>
        <v>-300000</v>
      </c>
      <c r="I2572" s="605">
        <f t="shared" si="1903"/>
        <v>884137</v>
      </c>
      <c r="J2572" s="605">
        <f t="shared" si="1903"/>
        <v>-650000</v>
      </c>
      <c r="K2572" s="605">
        <f t="shared" si="1903"/>
        <v>-233000</v>
      </c>
      <c r="L2572" s="317">
        <f t="shared" si="1898"/>
        <v>1137</v>
      </c>
      <c r="M2572" s="317"/>
      <c r="N2572" s="372">
        <f t="shared" si="1902"/>
        <v>233000</v>
      </c>
      <c r="O2572" s="605">
        <f t="shared" ref="O2572:P2572" si="1904">O2573+O2574+O2575</f>
        <v>1250.7</v>
      </c>
      <c r="P2572" s="939">
        <f t="shared" si="1904"/>
        <v>1375.7700000000002</v>
      </c>
      <c r="R2572" s="317"/>
      <c r="U2572" s="320"/>
    </row>
    <row r="2573" spans="1:21" s="949" customFormat="1" outlineLevel="2">
      <c r="A2573" s="942"/>
      <c r="B2573" s="942"/>
      <c r="C2573" s="943">
        <v>2220205</v>
      </c>
      <c r="D2573" s="943" t="s">
        <v>125</v>
      </c>
      <c r="E2573" s="944">
        <v>950000</v>
      </c>
      <c r="F2573" s="945"/>
      <c r="G2573" s="945"/>
      <c r="H2573" s="944">
        <v>-300000</v>
      </c>
      <c r="I2573" s="370">
        <f t="shared" si="1879"/>
        <v>650000</v>
      </c>
      <c r="J2573" s="944">
        <v>-650000</v>
      </c>
      <c r="K2573" s="946">
        <f>-640000+640000</f>
        <v>0</v>
      </c>
      <c r="L2573" s="372">
        <f t="shared" si="1898"/>
        <v>0</v>
      </c>
      <c r="M2573" s="372"/>
      <c r="N2573" s="372">
        <f t="shared" si="1902"/>
        <v>0</v>
      </c>
      <c r="O2573" s="373">
        <f t="shared" si="1887"/>
        <v>0</v>
      </c>
      <c r="P2573" s="947">
        <f t="shared" si="1896"/>
        <v>0</v>
      </c>
      <c r="Q2573" s="948"/>
      <c r="R2573" s="372"/>
      <c r="U2573" s="320" t="s">
        <v>1803</v>
      </c>
    </row>
    <row r="2574" spans="1:21" s="344" customFormat="1" outlineLevel="2">
      <c r="A2574" s="585"/>
      <c r="B2574" s="585"/>
      <c r="C2574" s="592">
        <v>2220210</v>
      </c>
      <c r="D2574" s="592" t="s">
        <v>163</v>
      </c>
      <c r="E2574" s="587">
        <v>176704</v>
      </c>
      <c r="F2574" s="594"/>
      <c r="G2574" s="594"/>
      <c r="H2574" s="594"/>
      <c r="I2574" s="324">
        <f t="shared" si="1879"/>
        <v>176704</v>
      </c>
      <c r="J2574" s="594"/>
      <c r="K2574" s="315">
        <v>-176000</v>
      </c>
      <c r="L2574" s="317">
        <f t="shared" si="1898"/>
        <v>704</v>
      </c>
      <c r="M2574" s="317"/>
      <c r="N2574" s="372">
        <f t="shared" si="1902"/>
        <v>176000</v>
      </c>
      <c r="O2574" s="336">
        <f t="shared" si="1887"/>
        <v>774.40000000000009</v>
      </c>
      <c r="P2574" s="940">
        <f t="shared" si="1896"/>
        <v>851.84000000000015</v>
      </c>
      <c r="Q2574" s="941"/>
      <c r="R2574" s="317"/>
      <c r="U2574" s="320"/>
    </row>
    <row r="2575" spans="1:21" s="325" customFormat="1" outlineLevel="2">
      <c r="A2575" s="585"/>
      <c r="B2575" s="585"/>
      <c r="C2575" s="592">
        <v>2220212</v>
      </c>
      <c r="D2575" s="592" t="s">
        <v>525</v>
      </c>
      <c r="E2575" s="616">
        <v>57433</v>
      </c>
      <c r="F2575" s="952"/>
      <c r="G2575" s="952"/>
      <c r="H2575" s="952"/>
      <c r="I2575" s="324">
        <f t="shared" si="1879"/>
        <v>57433</v>
      </c>
      <c r="J2575" s="952"/>
      <c r="K2575" s="315">
        <v>-57000</v>
      </c>
      <c r="L2575" s="317">
        <f t="shared" si="1898"/>
        <v>433</v>
      </c>
      <c r="M2575" s="317"/>
      <c r="N2575" s="372">
        <f t="shared" si="1902"/>
        <v>57000</v>
      </c>
      <c r="O2575" s="336">
        <f t="shared" si="1887"/>
        <v>476.3</v>
      </c>
      <c r="P2575" s="940">
        <f t="shared" si="1896"/>
        <v>523.93000000000006</v>
      </c>
      <c r="Q2575" s="941"/>
      <c r="R2575" s="317"/>
      <c r="U2575" s="320"/>
    </row>
    <row r="2576" spans="1:21" s="344" customFormat="1" outlineLevel="2">
      <c r="A2576" s="588"/>
      <c r="B2576" s="588"/>
      <c r="C2576" s="620">
        <v>3111000</v>
      </c>
      <c r="D2576" s="589" t="s">
        <v>69</v>
      </c>
      <c r="E2576" s="605">
        <f>E2577+E2578+E2579</f>
        <v>1471360</v>
      </c>
      <c r="F2576" s="605">
        <f t="shared" ref="F2576:K2576" si="1905">F2577+F2578+F2579</f>
        <v>0</v>
      </c>
      <c r="G2576" s="605">
        <f t="shared" si="1905"/>
        <v>0</v>
      </c>
      <c r="H2576" s="605">
        <f t="shared" si="1905"/>
        <v>0</v>
      </c>
      <c r="I2576" s="605">
        <f t="shared" si="1905"/>
        <v>1471360</v>
      </c>
      <c r="J2576" s="605">
        <f t="shared" si="1905"/>
        <v>-100000</v>
      </c>
      <c r="K2576" s="605">
        <f t="shared" si="1905"/>
        <v>-140000</v>
      </c>
      <c r="L2576" s="317">
        <f t="shared" si="1898"/>
        <v>1231360</v>
      </c>
      <c r="M2576" s="317"/>
      <c r="N2576" s="372">
        <f t="shared" si="1902"/>
        <v>140000</v>
      </c>
      <c r="O2576" s="605">
        <f t="shared" ref="O2576:P2576" si="1906">O2577+O2578+O2579</f>
        <v>1354496</v>
      </c>
      <c r="P2576" s="939">
        <f t="shared" si="1906"/>
        <v>1489945.6000000003</v>
      </c>
      <c r="R2576" s="317"/>
      <c r="U2576" s="320"/>
    </row>
    <row r="2577" spans="1:21" s="699" customFormat="1" outlineLevel="2">
      <c r="A2577" s="942"/>
      <c r="B2577" s="942"/>
      <c r="C2577" s="943">
        <v>3111001</v>
      </c>
      <c r="D2577" s="943" t="s">
        <v>70</v>
      </c>
      <c r="E2577" s="953">
        <v>480000</v>
      </c>
      <c r="F2577" s="954"/>
      <c r="G2577" s="954"/>
      <c r="H2577" s="954"/>
      <c r="I2577" s="370">
        <f t="shared" si="1879"/>
        <v>480000</v>
      </c>
      <c r="J2577" s="954">
        <v>-100000</v>
      </c>
      <c r="K2577" s="946">
        <f>-240000+100000</f>
        <v>-140000</v>
      </c>
      <c r="L2577" s="372">
        <f t="shared" si="1898"/>
        <v>240000</v>
      </c>
      <c r="M2577" s="372"/>
      <c r="N2577" s="372">
        <f t="shared" si="1902"/>
        <v>140000</v>
      </c>
      <c r="O2577" s="373">
        <f t="shared" si="1887"/>
        <v>264000</v>
      </c>
      <c r="P2577" s="947">
        <f t="shared" si="1896"/>
        <v>290400</v>
      </c>
      <c r="Q2577" s="948"/>
      <c r="R2577" s="372"/>
      <c r="U2577" s="320" t="s">
        <v>1803</v>
      </c>
    </row>
    <row r="2578" spans="1:21" s="344" customFormat="1" outlineLevel="2">
      <c r="A2578" s="585"/>
      <c r="B2578" s="585"/>
      <c r="C2578" s="592">
        <v>3111002</v>
      </c>
      <c r="D2578" s="592" t="s">
        <v>71</v>
      </c>
      <c r="E2578" s="587">
        <v>720000</v>
      </c>
      <c r="F2578" s="594"/>
      <c r="G2578" s="594"/>
      <c r="H2578" s="594"/>
      <c r="I2578" s="324">
        <f t="shared" si="1879"/>
        <v>720000</v>
      </c>
      <c r="J2578" s="594"/>
      <c r="K2578" s="315">
        <v>0</v>
      </c>
      <c r="L2578" s="317">
        <f t="shared" si="1898"/>
        <v>720000</v>
      </c>
      <c r="M2578" s="317"/>
      <c r="N2578" s="372">
        <f t="shared" si="1902"/>
        <v>0</v>
      </c>
      <c r="O2578" s="336">
        <f t="shared" si="1887"/>
        <v>792000.00000000012</v>
      </c>
      <c r="P2578" s="940">
        <f t="shared" si="1896"/>
        <v>871200.00000000023</v>
      </c>
      <c r="R2578" s="317"/>
      <c r="U2578" s="320"/>
    </row>
    <row r="2579" spans="1:21" s="325" customFormat="1" outlineLevel="2">
      <c r="A2579" s="585"/>
      <c r="B2579" s="585"/>
      <c r="C2579" s="592">
        <v>3111009</v>
      </c>
      <c r="D2579" s="592" t="s">
        <v>253</v>
      </c>
      <c r="E2579" s="587">
        <v>271360</v>
      </c>
      <c r="F2579" s="594"/>
      <c r="G2579" s="594"/>
      <c r="H2579" s="594"/>
      <c r="I2579" s="324">
        <f t="shared" si="1879"/>
        <v>271360</v>
      </c>
      <c r="J2579" s="594"/>
      <c r="K2579" s="315"/>
      <c r="L2579" s="317">
        <f t="shared" si="1898"/>
        <v>271360</v>
      </c>
      <c r="M2579" s="317"/>
      <c r="N2579" s="372">
        <f t="shared" si="1902"/>
        <v>0</v>
      </c>
      <c r="O2579" s="336">
        <f t="shared" si="1887"/>
        <v>298496</v>
      </c>
      <c r="P2579" s="940">
        <f t="shared" si="1896"/>
        <v>328345.60000000003</v>
      </c>
      <c r="R2579" s="317"/>
      <c r="U2579" s="320"/>
    </row>
    <row r="2580" spans="1:21" s="344" customFormat="1" outlineLevel="1">
      <c r="A2580" s="588"/>
      <c r="B2580" s="588"/>
      <c r="C2580" s="589" t="s">
        <v>526</v>
      </c>
      <c r="D2580" s="955"/>
      <c r="E2580" s="605">
        <f>E2576+E2572+E2569+E2567+E2565+E2560+E2558+E2555+E2551+E2548+E2543+E2539+E2535+E2532+E2526+E2529</f>
        <v>39584360</v>
      </c>
      <c r="F2580" s="605">
        <f t="shared" ref="F2580:K2580" si="1907">F2576+F2572+F2569+F2567+F2565+F2560+F2558+F2555+F2551+F2548+F2543+F2539+F2535+F2532+F2526+F2529</f>
        <v>0</v>
      </c>
      <c r="G2580" s="605">
        <f t="shared" si="1907"/>
        <v>0</v>
      </c>
      <c r="H2580" s="605">
        <f t="shared" si="1907"/>
        <v>244490</v>
      </c>
      <c r="I2580" s="605">
        <f t="shared" si="1907"/>
        <v>39828850</v>
      </c>
      <c r="J2580" s="605">
        <f t="shared" si="1907"/>
        <v>-4524483</v>
      </c>
      <c r="K2580" s="605">
        <f t="shared" si="1907"/>
        <v>-373000</v>
      </c>
      <c r="L2580" s="317">
        <f t="shared" si="1898"/>
        <v>34931367</v>
      </c>
      <c r="M2580" s="317"/>
      <c r="N2580" s="372">
        <f t="shared" si="1902"/>
        <v>373000</v>
      </c>
      <c r="O2580" s="605">
        <f t="shared" ref="O2580:P2580" si="1908">O2576+O2572+O2569+O2567+O2565+O2560+O2558+O2555+O2551+O2548+O2543+O2539+O2535+O2532+O2526+O2529</f>
        <v>38424503.700000003</v>
      </c>
      <c r="P2580" s="939">
        <f t="shared" si="1908"/>
        <v>42266954.070000008</v>
      </c>
      <c r="R2580" s="317"/>
      <c r="U2580" s="320"/>
    </row>
    <row r="2581" spans="1:21" s="344" customFormat="1" outlineLevel="1">
      <c r="A2581" s="588"/>
      <c r="B2581" s="588"/>
      <c r="C2581" s="332"/>
      <c r="D2581" s="330"/>
      <c r="E2581" s="587"/>
      <c r="F2581" s="389"/>
      <c r="G2581" s="389"/>
      <c r="H2581" s="389"/>
      <c r="I2581" s="324">
        <f t="shared" ref="I2581:I2643" si="1909">E2581+F2581+G2581+H2581</f>
        <v>0</v>
      </c>
      <c r="J2581" s="389"/>
      <c r="K2581" s="315"/>
      <c r="L2581" s="317">
        <f t="shared" si="1898"/>
        <v>0</v>
      </c>
      <c r="M2581" s="317"/>
      <c r="N2581" s="372">
        <f t="shared" si="1902"/>
        <v>0</v>
      </c>
      <c r="O2581" s="336">
        <f t="shared" si="1887"/>
        <v>0</v>
      </c>
      <c r="P2581" s="940">
        <f t="shared" si="1896"/>
        <v>0</v>
      </c>
      <c r="R2581" s="317"/>
      <c r="U2581" s="320"/>
    </row>
    <row r="2582" spans="1:21" s="344" customFormat="1" outlineLevel="1">
      <c r="A2582" s="588"/>
      <c r="B2582" s="588"/>
      <c r="C2582" s="702"/>
      <c r="E2582" s="587"/>
      <c r="F2582" s="616"/>
      <c r="G2582" s="616"/>
      <c r="H2582" s="616"/>
      <c r="I2582" s="324">
        <f t="shared" si="1909"/>
        <v>0</v>
      </c>
      <c r="J2582" s="616"/>
      <c r="K2582" s="315"/>
      <c r="L2582" s="317">
        <f t="shared" si="1898"/>
        <v>0</v>
      </c>
      <c r="M2582" s="317"/>
      <c r="N2582" s="372">
        <f t="shared" si="1902"/>
        <v>0</v>
      </c>
      <c r="O2582" s="336">
        <f t="shared" si="1887"/>
        <v>0</v>
      </c>
      <c r="P2582" s="940">
        <f t="shared" ref="P2582:P2601" si="1910">O2582*1.1</f>
        <v>0</v>
      </c>
      <c r="R2582" s="317"/>
      <c r="U2582" s="320"/>
    </row>
    <row r="2583" spans="1:21" s="325" customFormat="1" outlineLevel="1">
      <c r="A2583" s="588" t="s">
        <v>144</v>
      </c>
      <c r="B2583" s="588"/>
      <c r="C2583" s="340" t="s">
        <v>1722</v>
      </c>
      <c r="D2583" s="338"/>
      <c r="E2583" s="587"/>
      <c r="F2583" s="397"/>
      <c r="G2583" s="397"/>
      <c r="H2583" s="397"/>
      <c r="I2583" s="324">
        <f t="shared" si="1909"/>
        <v>0</v>
      </c>
      <c r="J2583" s="397"/>
      <c r="K2583" s="315"/>
      <c r="L2583" s="317">
        <f t="shared" si="1898"/>
        <v>0</v>
      </c>
      <c r="M2583" s="317"/>
      <c r="N2583" s="372">
        <f t="shared" si="1902"/>
        <v>0</v>
      </c>
      <c r="O2583" s="336">
        <f t="shared" si="1887"/>
        <v>0</v>
      </c>
      <c r="P2583" s="940">
        <f t="shared" si="1910"/>
        <v>0</v>
      </c>
      <c r="R2583" s="317"/>
      <c r="U2583" s="320"/>
    </row>
    <row r="2584" spans="1:21" s="344" customFormat="1" outlineLevel="1">
      <c r="A2584" s="588"/>
      <c r="B2584" s="907" t="s">
        <v>146</v>
      </c>
      <c r="C2584" s="340" t="s">
        <v>1723</v>
      </c>
      <c r="D2584" s="338"/>
      <c r="E2584" s="587"/>
      <c r="F2584" s="397"/>
      <c r="G2584" s="397"/>
      <c r="H2584" s="397"/>
      <c r="I2584" s="324">
        <f t="shared" si="1909"/>
        <v>0</v>
      </c>
      <c r="J2584" s="397"/>
      <c r="K2584" s="315"/>
      <c r="L2584" s="317">
        <f t="shared" si="1898"/>
        <v>0</v>
      </c>
      <c r="M2584" s="317"/>
      <c r="N2584" s="372">
        <f t="shared" si="1902"/>
        <v>0</v>
      </c>
      <c r="O2584" s="336">
        <f t="shared" si="1887"/>
        <v>0</v>
      </c>
      <c r="P2584" s="940">
        <f t="shared" si="1910"/>
        <v>0</v>
      </c>
      <c r="R2584" s="317"/>
      <c r="U2584" s="320"/>
    </row>
    <row r="2585" spans="1:21" s="344" customFormat="1" outlineLevel="2">
      <c r="A2585" s="588"/>
      <c r="B2585" s="588"/>
      <c r="C2585" s="589">
        <v>2110100</v>
      </c>
      <c r="D2585" s="589" t="s">
        <v>13</v>
      </c>
      <c r="E2585" s="605">
        <f>E2586+E2587</f>
        <v>14331548</v>
      </c>
      <c r="F2585" s="605">
        <f t="shared" ref="F2585:P2585" si="1911">F2586+F2587</f>
        <v>0</v>
      </c>
      <c r="G2585" s="605">
        <f t="shared" si="1911"/>
        <v>0</v>
      </c>
      <c r="H2585" s="605">
        <f t="shared" si="1911"/>
        <v>0</v>
      </c>
      <c r="I2585" s="605">
        <f t="shared" si="1911"/>
        <v>14331548</v>
      </c>
      <c r="J2585" s="605">
        <f t="shared" si="1911"/>
        <v>0</v>
      </c>
      <c r="K2585" s="605">
        <f t="shared" si="1911"/>
        <v>0</v>
      </c>
      <c r="L2585" s="317">
        <f t="shared" si="1898"/>
        <v>14331548</v>
      </c>
      <c r="M2585" s="317"/>
      <c r="N2585" s="372">
        <f t="shared" si="1902"/>
        <v>0</v>
      </c>
      <c r="O2585" s="605">
        <f t="shared" si="1911"/>
        <v>15764702.800000001</v>
      </c>
      <c r="P2585" s="605">
        <f t="shared" si="1911"/>
        <v>17341173.080000002</v>
      </c>
      <c r="R2585" s="317"/>
      <c r="U2585" s="320"/>
    </row>
    <row r="2586" spans="1:21" s="325" customFormat="1" outlineLevel="2">
      <c r="A2586" s="588"/>
      <c r="B2586" s="588"/>
      <c r="C2586" s="592">
        <v>2110101</v>
      </c>
      <c r="D2586" s="592" t="s">
        <v>14</v>
      </c>
      <c r="E2586" s="587">
        <v>14263548</v>
      </c>
      <c r="F2586" s="594"/>
      <c r="G2586" s="594"/>
      <c r="H2586" s="594"/>
      <c r="I2586" s="324">
        <f t="shared" si="1909"/>
        <v>14263548</v>
      </c>
      <c r="J2586" s="594"/>
      <c r="K2586" s="315"/>
      <c r="L2586" s="317">
        <f t="shared" si="1898"/>
        <v>14263548</v>
      </c>
      <c r="M2586" s="317"/>
      <c r="N2586" s="372">
        <f t="shared" si="1902"/>
        <v>0</v>
      </c>
      <c r="O2586" s="336">
        <f t="shared" si="1887"/>
        <v>15689902.800000001</v>
      </c>
      <c r="P2586" s="940">
        <f t="shared" si="1910"/>
        <v>17258893.080000002</v>
      </c>
      <c r="R2586" s="317"/>
      <c r="U2586" s="320"/>
    </row>
    <row r="2587" spans="1:21" s="344" customFormat="1" outlineLevel="2">
      <c r="A2587" s="588"/>
      <c r="B2587" s="585"/>
      <c r="C2587" s="592">
        <v>2110120</v>
      </c>
      <c r="D2587" s="592" t="s">
        <v>356</v>
      </c>
      <c r="E2587" s="587">
        <v>68000</v>
      </c>
      <c r="F2587" s="594"/>
      <c r="G2587" s="594"/>
      <c r="H2587" s="594"/>
      <c r="I2587" s="324">
        <f t="shared" si="1909"/>
        <v>68000</v>
      </c>
      <c r="J2587" s="594"/>
      <c r="K2587" s="315"/>
      <c r="L2587" s="317">
        <f t="shared" si="1898"/>
        <v>68000</v>
      </c>
      <c r="M2587" s="317"/>
      <c r="N2587" s="372">
        <f t="shared" si="1902"/>
        <v>0</v>
      </c>
      <c r="O2587" s="336">
        <f t="shared" si="1887"/>
        <v>74800</v>
      </c>
      <c r="P2587" s="940">
        <f t="shared" si="1910"/>
        <v>82280</v>
      </c>
      <c r="R2587" s="317"/>
      <c r="U2587" s="320"/>
    </row>
    <row r="2588" spans="1:21" s="325" customFormat="1" outlineLevel="2">
      <c r="A2588" s="588"/>
      <c r="B2588" s="588"/>
      <c r="C2588" s="589">
        <v>2110200</v>
      </c>
      <c r="D2588" s="589" t="s">
        <v>527</v>
      </c>
      <c r="E2588" s="605">
        <f>E2589</f>
        <v>360000</v>
      </c>
      <c r="F2588" s="605">
        <f t="shared" ref="F2588:K2588" si="1912">F2589</f>
        <v>0</v>
      </c>
      <c r="G2588" s="605">
        <f t="shared" si="1912"/>
        <v>0</v>
      </c>
      <c r="H2588" s="605">
        <f t="shared" si="1912"/>
        <v>0</v>
      </c>
      <c r="I2588" s="605">
        <f t="shared" si="1912"/>
        <v>360000</v>
      </c>
      <c r="J2588" s="605">
        <f t="shared" si="1912"/>
        <v>0</v>
      </c>
      <c r="K2588" s="605">
        <f t="shared" si="1912"/>
        <v>0</v>
      </c>
      <c r="L2588" s="317">
        <f t="shared" si="1898"/>
        <v>360000</v>
      </c>
      <c r="M2588" s="317"/>
      <c r="N2588" s="372">
        <f t="shared" si="1902"/>
        <v>0</v>
      </c>
      <c r="O2588" s="605">
        <f t="shared" ref="O2588:P2588" si="1913">O2589</f>
        <v>396000.00000000006</v>
      </c>
      <c r="P2588" s="939">
        <f t="shared" si="1913"/>
        <v>435600.00000000012</v>
      </c>
      <c r="R2588" s="317"/>
      <c r="U2588" s="320"/>
    </row>
    <row r="2589" spans="1:21" s="344" customFormat="1" outlineLevel="2">
      <c r="A2589" s="588"/>
      <c r="B2589" s="588"/>
      <c r="C2589" s="592">
        <v>2110202</v>
      </c>
      <c r="D2589" s="592" t="s">
        <v>528</v>
      </c>
      <c r="E2589" s="587">
        <v>360000</v>
      </c>
      <c r="F2589" s="594"/>
      <c r="G2589" s="594"/>
      <c r="H2589" s="594"/>
      <c r="I2589" s="324">
        <f t="shared" si="1909"/>
        <v>360000</v>
      </c>
      <c r="J2589" s="594"/>
      <c r="K2589" s="315"/>
      <c r="L2589" s="317">
        <f t="shared" si="1898"/>
        <v>360000</v>
      </c>
      <c r="M2589" s="317"/>
      <c r="N2589" s="372">
        <f t="shared" si="1902"/>
        <v>0</v>
      </c>
      <c r="O2589" s="336">
        <f t="shared" si="1887"/>
        <v>396000.00000000006</v>
      </c>
      <c r="P2589" s="940">
        <f t="shared" si="1910"/>
        <v>435600.00000000012</v>
      </c>
      <c r="R2589" s="317"/>
      <c r="U2589" s="320"/>
    </row>
    <row r="2590" spans="1:21" s="344" customFormat="1" outlineLevel="2">
      <c r="A2590" s="588"/>
      <c r="B2590" s="588"/>
      <c r="C2590" s="589">
        <v>2210300</v>
      </c>
      <c r="D2590" s="589" t="s">
        <v>24</v>
      </c>
      <c r="E2590" s="605">
        <f>E2591+E2592+E2593</f>
        <v>344588</v>
      </c>
      <c r="F2590" s="605">
        <f t="shared" ref="F2590:P2590" si="1914">F2591+F2592+F2593</f>
        <v>0</v>
      </c>
      <c r="G2590" s="605">
        <f t="shared" si="1914"/>
        <v>0</v>
      </c>
      <c r="H2590" s="605">
        <f t="shared" si="1914"/>
        <v>0</v>
      </c>
      <c r="I2590" s="605">
        <f t="shared" si="1914"/>
        <v>344588</v>
      </c>
      <c r="J2590" s="605">
        <f t="shared" si="1914"/>
        <v>-700000</v>
      </c>
      <c r="K2590" s="605">
        <f t="shared" si="1914"/>
        <v>756000</v>
      </c>
      <c r="L2590" s="317">
        <f t="shared" si="1898"/>
        <v>400588</v>
      </c>
      <c r="M2590" s="317"/>
      <c r="N2590" s="372">
        <f t="shared" si="1902"/>
        <v>-756000</v>
      </c>
      <c r="O2590" s="605">
        <f t="shared" si="1914"/>
        <v>440646.80000000005</v>
      </c>
      <c r="P2590" s="605">
        <f t="shared" si="1914"/>
        <v>484711.48000000004</v>
      </c>
      <c r="R2590" s="317"/>
      <c r="U2590" s="320"/>
    </row>
    <row r="2591" spans="1:21" s="344" customFormat="1" outlineLevel="2">
      <c r="A2591" s="585"/>
      <c r="B2591" s="585"/>
      <c r="C2591" s="592">
        <v>2210301</v>
      </c>
      <c r="D2591" s="592" t="s">
        <v>188</v>
      </c>
      <c r="E2591" s="587">
        <f>201598-100000</f>
        <v>101598</v>
      </c>
      <c r="F2591" s="594"/>
      <c r="G2591" s="594"/>
      <c r="H2591" s="594"/>
      <c r="I2591" s="324">
        <f t="shared" si="1909"/>
        <v>101598</v>
      </c>
      <c r="J2591" s="594"/>
      <c r="K2591" s="315"/>
      <c r="L2591" s="317">
        <f t="shared" si="1898"/>
        <v>101598</v>
      </c>
      <c r="M2591" s="317"/>
      <c r="N2591" s="372">
        <f t="shared" si="1902"/>
        <v>0</v>
      </c>
      <c r="O2591" s="336">
        <f t="shared" si="1887"/>
        <v>111757.8</v>
      </c>
      <c r="P2591" s="940">
        <f t="shared" si="1910"/>
        <v>122933.58000000002</v>
      </c>
      <c r="Q2591" s="941"/>
      <c r="R2591" s="317"/>
      <c r="U2591" s="320"/>
    </row>
    <row r="2592" spans="1:21" s="325" customFormat="1" outlineLevel="2">
      <c r="A2592" s="585"/>
      <c r="B2592" s="585"/>
      <c r="C2592" s="592">
        <v>2210302</v>
      </c>
      <c r="D2592" s="592" t="s">
        <v>26</v>
      </c>
      <c r="E2592" s="587">
        <f>188133-100000</f>
        <v>88133</v>
      </c>
      <c r="F2592" s="594"/>
      <c r="G2592" s="594"/>
      <c r="H2592" s="594"/>
      <c r="I2592" s="324">
        <f t="shared" si="1909"/>
        <v>88133</v>
      </c>
      <c r="J2592" s="594"/>
      <c r="K2592" s="315"/>
      <c r="L2592" s="317">
        <f t="shared" si="1898"/>
        <v>88133</v>
      </c>
      <c r="M2592" s="317"/>
      <c r="N2592" s="372">
        <f t="shared" si="1902"/>
        <v>0</v>
      </c>
      <c r="O2592" s="336">
        <f t="shared" si="1887"/>
        <v>96946.3</v>
      </c>
      <c r="P2592" s="940">
        <f t="shared" si="1910"/>
        <v>106640.93000000001</v>
      </c>
      <c r="R2592" s="317"/>
      <c r="U2592" s="320"/>
    </row>
    <row r="2593" spans="1:21" s="344" customFormat="1" outlineLevel="2">
      <c r="A2593" s="585"/>
      <c r="B2593" s="585"/>
      <c r="C2593" s="592">
        <v>2210303</v>
      </c>
      <c r="D2593" s="592" t="s">
        <v>27</v>
      </c>
      <c r="E2593" s="587">
        <f>254857-100000</f>
        <v>154857</v>
      </c>
      <c r="F2593" s="594"/>
      <c r="G2593" s="594"/>
      <c r="H2593" s="594"/>
      <c r="I2593" s="324">
        <f t="shared" si="1909"/>
        <v>154857</v>
      </c>
      <c r="J2593" s="594">
        <v>-700000</v>
      </c>
      <c r="K2593" s="315">
        <v>756000</v>
      </c>
      <c r="L2593" s="317">
        <f t="shared" si="1898"/>
        <v>210857</v>
      </c>
      <c r="M2593" s="317"/>
      <c r="N2593" s="372">
        <f t="shared" si="1902"/>
        <v>-756000</v>
      </c>
      <c r="O2593" s="336">
        <f t="shared" si="1887"/>
        <v>231942.7</v>
      </c>
      <c r="P2593" s="940">
        <f t="shared" si="1910"/>
        <v>255136.97000000003</v>
      </c>
      <c r="R2593" s="317"/>
      <c r="U2593" s="320" t="s">
        <v>1803</v>
      </c>
    </row>
    <row r="2594" spans="1:21" s="325" customFormat="1" outlineLevel="2">
      <c r="A2594" s="588"/>
      <c r="B2594" s="588"/>
      <c r="C2594" s="589">
        <v>2210500</v>
      </c>
      <c r="D2594" s="589" t="s">
        <v>31</v>
      </c>
      <c r="E2594" s="605">
        <f>E2595</f>
        <v>154706</v>
      </c>
      <c r="F2594" s="605">
        <f t="shared" ref="F2594:P2594" si="1915">F2595</f>
        <v>0</v>
      </c>
      <c r="G2594" s="605">
        <f t="shared" si="1915"/>
        <v>0</v>
      </c>
      <c r="H2594" s="605">
        <f t="shared" si="1915"/>
        <v>0</v>
      </c>
      <c r="I2594" s="605">
        <f t="shared" si="1915"/>
        <v>154706</v>
      </c>
      <c r="J2594" s="605">
        <f t="shared" si="1915"/>
        <v>0</v>
      </c>
      <c r="K2594" s="605">
        <f t="shared" si="1915"/>
        <v>0</v>
      </c>
      <c r="L2594" s="317">
        <f t="shared" si="1898"/>
        <v>154706</v>
      </c>
      <c r="M2594" s="317"/>
      <c r="N2594" s="372">
        <f t="shared" si="1902"/>
        <v>0</v>
      </c>
      <c r="O2594" s="605">
        <f t="shared" si="1915"/>
        <v>170176.6</v>
      </c>
      <c r="P2594" s="605">
        <f t="shared" si="1915"/>
        <v>187194.26</v>
      </c>
      <c r="R2594" s="317"/>
      <c r="U2594" s="320"/>
    </row>
    <row r="2595" spans="1:21" s="344" customFormat="1" outlineLevel="2">
      <c r="A2595" s="585"/>
      <c r="B2595" s="585"/>
      <c r="C2595" s="592">
        <v>2210502</v>
      </c>
      <c r="D2595" s="592" t="s">
        <v>105</v>
      </c>
      <c r="E2595" s="587">
        <v>154706</v>
      </c>
      <c r="F2595" s="594"/>
      <c r="G2595" s="594"/>
      <c r="H2595" s="594"/>
      <c r="I2595" s="324">
        <f t="shared" si="1909"/>
        <v>154706</v>
      </c>
      <c r="J2595" s="594"/>
      <c r="K2595" s="315"/>
      <c r="L2595" s="317">
        <f t="shared" si="1898"/>
        <v>154706</v>
      </c>
      <c r="M2595" s="317"/>
      <c r="N2595" s="372">
        <f t="shared" si="1902"/>
        <v>0</v>
      </c>
      <c r="O2595" s="336">
        <f t="shared" si="1887"/>
        <v>170176.6</v>
      </c>
      <c r="P2595" s="940">
        <f t="shared" si="1910"/>
        <v>187194.26</v>
      </c>
      <c r="R2595" s="317"/>
      <c r="U2595" s="320"/>
    </row>
    <row r="2596" spans="1:21" s="325" customFormat="1" outlineLevel="2">
      <c r="A2596" s="588"/>
      <c r="B2596" s="588"/>
      <c r="C2596" s="589">
        <v>2210600</v>
      </c>
      <c r="D2596" s="589" t="s">
        <v>154</v>
      </c>
      <c r="E2596" s="605">
        <f>E2597</f>
        <v>230583</v>
      </c>
      <c r="F2596" s="605">
        <f t="shared" ref="F2596:K2596" si="1916">F2597</f>
        <v>0</v>
      </c>
      <c r="G2596" s="605">
        <f t="shared" si="1916"/>
        <v>0</v>
      </c>
      <c r="H2596" s="605">
        <f t="shared" si="1916"/>
        <v>0</v>
      </c>
      <c r="I2596" s="605">
        <f t="shared" si="1916"/>
        <v>230583</v>
      </c>
      <c r="J2596" s="605">
        <f t="shared" si="1916"/>
        <v>0</v>
      </c>
      <c r="K2596" s="605">
        <f t="shared" si="1916"/>
        <v>0</v>
      </c>
      <c r="L2596" s="317">
        <f t="shared" si="1898"/>
        <v>230583</v>
      </c>
      <c r="M2596" s="317"/>
      <c r="N2596" s="372">
        <f t="shared" si="1902"/>
        <v>0</v>
      </c>
      <c r="O2596" s="605">
        <f t="shared" ref="O2596:P2596" si="1917">O2597</f>
        <v>253641.30000000002</v>
      </c>
      <c r="P2596" s="939">
        <f t="shared" si="1917"/>
        <v>279005.43000000005</v>
      </c>
      <c r="R2596" s="317"/>
      <c r="U2596" s="320"/>
    </row>
    <row r="2597" spans="1:21" s="344" customFormat="1" outlineLevel="2">
      <c r="A2597" s="585"/>
      <c r="B2597" s="585"/>
      <c r="C2597" s="592">
        <v>2210606</v>
      </c>
      <c r="D2597" s="592" t="s">
        <v>523</v>
      </c>
      <c r="E2597" s="587">
        <v>230583</v>
      </c>
      <c r="F2597" s="594"/>
      <c r="G2597" s="594"/>
      <c r="H2597" s="594"/>
      <c r="I2597" s="324">
        <f t="shared" si="1909"/>
        <v>230583</v>
      </c>
      <c r="J2597" s="594"/>
      <c r="K2597" s="315"/>
      <c r="L2597" s="317">
        <f t="shared" si="1898"/>
        <v>230583</v>
      </c>
      <c r="M2597" s="317"/>
      <c r="N2597" s="372">
        <f t="shared" si="1902"/>
        <v>0</v>
      </c>
      <c r="O2597" s="336">
        <f t="shared" si="1887"/>
        <v>253641.30000000002</v>
      </c>
      <c r="P2597" s="940">
        <f t="shared" si="1910"/>
        <v>279005.43000000005</v>
      </c>
      <c r="Q2597" s="941"/>
      <c r="R2597" s="317"/>
      <c r="U2597" s="320"/>
    </row>
    <row r="2598" spans="1:21" s="344" customFormat="1" outlineLevel="2">
      <c r="A2598" s="588"/>
      <c r="B2598" s="588"/>
      <c r="C2598" s="589">
        <v>2210700</v>
      </c>
      <c r="D2598" s="589" t="s">
        <v>194</v>
      </c>
      <c r="E2598" s="605">
        <f>E2599+E2600+E2601</f>
        <v>511477</v>
      </c>
      <c r="F2598" s="605">
        <f t="shared" ref="F2598:I2598" si="1918">F2599+F2600+F2601</f>
        <v>0</v>
      </c>
      <c r="G2598" s="605">
        <f t="shared" si="1918"/>
        <v>0</v>
      </c>
      <c r="H2598" s="605">
        <f t="shared" si="1918"/>
        <v>0</v>
      </c>
      <c r="I2598" s="605">
        <f t="shared" si="1918"/>
        <v>511477</v>
      </c>
      <c r="J2598" s="605"/>
      <c r="K2598" s="315"/>
      <c r="L2598" s="317">
        <f t="shared" si="1898"/>
        <v>511477</v>
      </c>
      <c r="M2598" s="317"/>
      <c r="N2598" s="372">
        <f t="shared" si="1902"/>
        <v>0</v>
      </c>
      <c r="O2598" s="605">
        <f t="shared" ref="O2598:P2598" si="1919">O2599+O2600+O2601</f>
        <v>562624.70000000007</v>
      </c>
      <c r="P2598" s="939">
        <f t="shared" si="1919"/>
        <v>618887.17000000016</v>
      </c>
      <c r="R2598" s="317"/>
      <c r="U2598" s="320"/>
    </row>
    <row r="2599" spans="1:21" s="344" customFormat="1" outlineLevel="2">
      <c r="A2599" s="585"/>
      <c r="B2599" s="585"/>
      <c r="C2599" s="592">
        <v>2210701</v>
      </c>
      <c r="D2599" s="592" t="s">
        <v>36</v>
      </c>
      <c r="E2599" s="587">
        <v>196229</v>
      </c>
      <c r="F2599" s="594"/>
      <c r="G2599" s="594"/>
      <c r="H2599" s="594"/>
      <c r="I2599" s="324">
        <f t="shared" si="1909"/>
        <v>196229</v>
      </c>
      <c r="J2599" s="594"/>
      <c r="K2599" s="315"/>
      <c r="L2599" s="317">
        <f t="shared" si="1898"/>
        <v>196229</v>
      </c>
      <c r="M2599" s="317"/>
      <c r="N2599" s="372">
        <f t="shared" si="1902"/>
        <v>0</v>
      </c>
      <c r="O2599" s="336">
        <f t="shared" ref="O2599:O2662" si="1920">L2599*1.1</f>
        <v>215851.90000000002</v>
      </c>
      <c r="P2599" s="940">
        <f t="shared" si="1910"/>
        <v>237437.09000000005</v>
      </c>
      <c r="R2599" s="317"/>
      <c r="U2599" s="320"/>
    </row>
    <row r="2600" spans="1:21" s="325" customFormat="1" outlineLevel="2">
      <c r="A2600" s="585"/>
      <c r="B2600" s="585"/>
      <c r="C2600" s="592">
        <v>2210710</v>
      </c>
      <c r="D2600" s="592" t="s">
        <v>39</v>
      </c>
      <c r="E2600" s="587">
        <v>110004</v>
      </c>
      <c r="F2600" s="594"/>
      <c r="G2600" s="594"/>
      <c r="H2600" s="594"/>
      <c r="I2600" s="324">
        <f t="shared" si="1909"/>
        <v>110004</v>
      </c>
      <c r="J2600" s="594"/>
      <c r="K2600" s="315"/>
      <c r="L2600" s="317">
        <f t="shared" si="1898"/>
        <v>110004</v>
      </c>
      <c r="M2600" s="317"/>
      <c r="N2600" s="372">
        <f t="shared" si="1902"/>
        <v>0</v>
      </c>
      <c r="O2600" s="336">
        <f t="shared" si="1920"/>
        <v>121004.40000000001</v>
      </c>
      <c r="P2600" s="940">
        <f t="shared" si="1910"/>
        <v>133104.84000000003</v>
      </c>
      <c r="R2600" s="317"/>
      <c r="U2600" s="320"/>
    </row>
    <row r="2601" spans="1:21" s="344" customFormat="1" outlineLevel="2">
      <c r="A2601" s="585"/>
      <c r="B2601" s="585"/>
      <c r="C2601" s="332">
        <v>2210715</v>
      </c>
      <c r="D2601" s="330" t="s">
        <v>40</v>
      </c>
      <c r="E2601" s="587">
        <v>205244</v>
      </c>
      <c r="F2601" s="389"/>
      <c r="G2601" s="389"/>
      <c r="H2601" s="389"/>
      <c r="I2601" s="324">
        <f t="shared" si="1909"/>
        <v>205244</v>
      </c>
      <c r="J2601" s="389"/>
      <c r="K2601" s="315"/>
      <c r="L2601" s="317">
        <f t="shared" si="1898"/>
        <v>205244</v>
      </c>
      <c r="M2601" s="317"/>
      <c r="N2601" s="372">
        <f t="shared" si="1902"/>
        <v>0</v>
      </c>
      <c r="O2601" s="336">
        <f t="shared" si="1920"/>
        <v>225768.40000000002</v>
      </c>
      <c r="P2601" s="940">
        <f t="shared" si="1910"/>
        <v>248345.24000000005</v>
      </c>
      <c r="Q2601" s="941"/>
      <c r="R2601" s="317"/>
      <c r="U2601" s="320"/>
    </row>
    <row r="2602" spans="1:21" s="344" customFormat="1" outlineLevel="2">
      <c r="A2602" s="588"/>
      <c r="B2602" s="588"/>
      <c r="C2602" s="589">
        <v>2210800</v>
      </c>
      <c r="D2602" s="589" t="s">
        <v>42</v>
      </c>
      <c r="E2602" s="605">
        <f>E2603+E2604</f>
        <v>414000</v>
      </c>
      <c r="F2602" s="605">
        <f t="shared" ref="F2602:P2602" si="1921">F2603+F2604</f>
        <v>0</v>
      </c>
      <c r="G2602" s="605">
        <f t="shared" si="1921"/>
        <v>0</v>
      </c>
      <c r="H2602" s="605">
        <f t="shared" si="1921"/>
        <v>0</v>
      </c>
      <c r="I2602" s="605">
        <f t="shared" si="1921"/>
        <v>414000</v>
      </c>
      <c r="J2602" s="605">
        <f t="shared" si="1921"/>
        <v>0</v>
      </c>
      <c r="K2602" s="605">
        <f t="shared" si="1921"/>
        <v>0</v>
      </c>
      <c r="L2602" s="317">
        <f t="shared" si="1898"/>
        <v>414000</v>
      </c>
      <c r="M2602" s="317"/>
      <c r="N2602" s="372">
        <f t="shared" si="1902"/>
        <v>0</v>
      </c>
      <c r="O2602" s="605">
        <f t="shared" si="1921"/>
        <v>455400.00000000006</v>
      </c>
      <c r="P2602" s="605">
        <f t="shared" si="1921"/>
        <v>500940.00000000012</v>
      </c>
      <c r="R2602" s="317"/>
      <c r="U2602" s="320"/>
    </row>
    <row r="2603" spans="1:21" s="325" customFormat="1" outlineLevel="2">
      <c r="A2603" s="585"/>
      <c r="B2603" s="585"/>
      <c r="C2603" s="592">
        <v>2210801</v>
      </c>
      <c r="D2603" s="592" t="s">
        <v>2421</v>
      </c>
      <c r="E2603" s="587">
        <v>211000</v>
      </c>
      <c r="F2603" s="594"/>
      <c r="G2603" s="594"/>
      <c r="H2603" s="594"/>
      <c r="I2603" s="324">
        <f t="shared" si="1909"/>
        <v>211000</v>
      </c>
      <c r="J2603" s="594"/>
      <c r="K2603" s="315"/>
      <c r="L2603" s="317">
        <f t="shared" si="1898"/>
        <v>211000</v>
      </c>
      <c r="M2603" s="317"/>
      <c r="N2603" s="372">
        <f t="shared" si="1902"/>
        <v>0</v>
      </c>
      <c r="O2603" s="336">
        <f t="shared" si="1920"/>
        <v>232100.00000000003</v>
      </c>
      <c r="P2603" s="940">
        <f t="shared" ref="P2603:P2624" si="1922">O2603*1.1</f>
        <v>255310.00000000006</v>
      </c>
      <c r="Q2603" s="941"/>
      <c r="R2603" s="317"/>
      <c r="U2603" s="320"/>
    </row>
    <row r="2604" spans="1:21" s="344" customFormat="1" outlineLevel="2">
      <c r="A2604" s="585"/>
      <c r="B2604" s="585"/>
      <c r="C2604" s="592">
        <v>2210802</v>
      </c>
      <c r="D2604" s="592" t="s">
        <v>97</v>
      </c>
      <c r="E2604" s="587">
        <v>203000</v>
      </c>
      <c r="F2604" s="594"/>
      <c r="G2604" s="594"/>
      <c r="H2604" s="594"/>
      <c r="I2604" s="324">
        <f t="shared" si="1909"/>
        <v>203000</v>
      </c>
      <c r="J2604" s="594"/>
      <c r="K2604" s="315"/>
      <c r="L2604" s="317">
        <f t="shared" si="1898"/>
        <v>203000</v>
      </c>
      <c r="M2604" s="317"/>
      <c r="N2604" s="372">
        <f t="shared" si="1902"/>
        <v>0</v>
      </c>
      <c r="O2604" s="336">
        <f t="shared" si="1920"/>
        <v>223300.00000000003</v>
      </c>
      <c r="P2604" s="940">
        <f t="shared" si="1922"/>
        <v>245630.00000000006</v>
      </c>
      <c r="R2604" s="317"/>
      <c r="U2604" s="320"/>
    </row>
    <row r="2605" spans="1:21" s="325" customFormat="1" outlineLevel="2">
      <c r="A2605" s="588"/>
      <c r="B2605" s="588"/>
      <c r="C2605" s="589">
        <v>2211200</v>
      </c>
      <c r="D2605" s="589" t="s">
        <v>55</v>
      </c>
      <c r="E2605" s="605">
        <f>E2606</f>
        <v>624972</v>
      </c>
      <c r="F2605" s="605">
        <f t="shared" ref="F2605:K2605" si="1923">F2606</f>
        <v>0</v>
      </c>
      <c r="G2605" s="605">
        <f t="shared" si="1923"/>
        <v>0</v>
      </c>
      <c r="H2605" s="605">
        <f t="shared" si="1923"/>
        <v>0</v>
      </c>
      <c r="I2605" s="605">
        <f t="shared" si="1923"/>
        <v>624972</v>
      </c>
      <c r="J2605" s="605">
        <f t="shared" si="1923"/>
        <v>-140000</v>
      </c>
      <c r="K2605" s="605">
        <f t="shared" si="1923"/>
        <v>0</v>
      </c>
      <c r="L2605" s="317">
        <f t="shared" si="1898"/>
        <v>484972</v>
      </c>
      <c r="M2605" s="317"/>
      <c r="N2605" s="372">
        <f t="shared" si="1902"/>
        <v>0</v>
      </c>
      <c r="O2605" s="605">
        <f t="shared" ref="O2605:P2605" si="1924">O2606</f>
        <v>533469.20000000007</v>
      </c>
      <c r="P2605" s="939">
        <f t="shared" si="1924"/>
        <v>586816.12000000011</v>
      </c>
      <c r="R2605" s="317"/>
      <c r="U2605" s="320"/>
    </row>
    <row r="2606" spans="1:21" s="344" customFormat="1" outlineLevel="2">
      <c r="A2606" s="585"/>
      <c r="B2606" s="585"/>
      <c r="C2606" s="592">
        <v>2211201</v>
      </c>
      <c r="D2606" s="592" t="s">
        <v>56</v>
      </c>
      <c r="E2606" s="587">
        <f>1024972-400000</f>
        <v>624972</v>
      </c>
      <c r="F2606" s="594"/>
      <c r="G2606" s="594"/>
      <c r="H2606" s="594"/>
      <c r="I2606" s="324">
        <f t="shared" si="1909"/>
        <v>624972</v>
      </c>
      <c r="J2606" s="594">
        <v>-140000</v>
      </c>
      <c r="K2606" s="315">
        <f>500000-300000-200000</f>
        <v>0</v>
      </c>
      <c r="L2606" s="317">
        <f t="shared" si="1898"/>
        <v>484972</v>
      </c>
      <c r="M2606" s="317"/>
      <c r="N2606" s="372">
        <f t="shared" si="1902"/>
        <v>0</v>
      </c>
      <c r="O2606" s="336">
        <f t="shared" si="1920"/>
        <v>533469.20000000007</v>
      </c>
      <c r="P2606" s="940">
        <f t="shared" si="1922"/>
        <v>586816.12000000011</v>
      </c>
      <c r="Q2606" s="941"/>
      <c r="R2606" s="317"/>
      <c r="U2606" s="320" t="s">
        <v>1803</v>
      </c>
    </row>
    <row r="2607" spans="1:21" s="325" customFormat="1" outlineLevel="2">
      <c r="A2607" s="588"/>
      <c r="B2607" s="588"/>
      <c r="C2607" s="589">
        <v>2211300</v>
      </c>
      <c r="D2607" s="589" t="s">
        <v>57</v>
      </c>
      <c r="E2607" s="605">
        <f>E2608</f>
        <v>40600</v>
      </c>
      <c r="F2607" s="605">
        <f t="shared" ref="F2607:P2607" si="1925">F2608</f>
        <v>0</v>
      </c>
      <c r="G2607" s="605">
        <f t="shared" si="1925"/>
        <v>0</v>
      </c>
      <c r="H2607" s="605">
        <f t="shared" si="1925"/>
        <v>0</v>
      </c>
      <c r="I2607" s="605">
        <f t="shared" si="1925"/>
        <v>40600</v>
      </c>
      <c r="J2607" s="605">
        <f t="shared" si="1925"/>
        <v>0</v>
      </c>
      <c r="K2607" s="605">
        <f t="shared" si="1925"/>
        <v>0</v>
      </c>
      <c r="L2607" s="317">
        <f t="shared" si="1898"/>
        <v>40600</v>
      </c>
      <c r="M2607" s="317"/>
      <c r="N2607" s="372">
        <f t="shared" si="1902"/>
        <v>0</v>
      </c>
      <c r="O2607" s="605">
        <f t="shared" si="1925"/>
        <v>44660</v>
      </c>
      <c r="P2607" s="605">
        <f t="shared" si="1925"/>
        <v>49126.000000000007</v>
      </c>
      <c r="R2607" s="317"/>
      <c r="U2607" s="320"/>
    </row>
    <row r="2608" spans="1:21" s="344" customFormat="1" outlineLevel="2">
      <c r="A2608" s="585"/>
      <c r="B2608" s="585"/>
      <c r="C2608" s="592">
        <v>2211306</v>
      </c>
      <c r="D2608" s="592" t="s">
        <v>58</v>
      </c>
      <c r="E2608" s="587">
        <v>40600</v>
      </c>
      <c r="F2608" s="594"/>
      <c r="G2608" s="594"/>
      <c r="H2608" s="594"/>
      <c r="I2608" s="324">
        <f t="shared" si="1909"/>
        <v>40600</v>
      </c>
      <c r="J2608" s="594"/>
      <c r="K2608" s="315"/>
      <c r="L2608" s="317">
        <f t="shared" si="1898"/>
        <v>40600</v>
      </c>
      <c r="M2608" s="317"/>
      <c r="N2608" s="372">
        <f t="shared" si="1902"/>
        <v>0</v>
      </c>
      <c r="O2608" s="336">
        <f t="shared" si="1920"/>
        <v>44660</v>
      </c>
      <c r="P2608" s="940">
        <f t="shared" si="1922"/>
        <v>49126.000000000007</v>
      </c>
      <c r="Q2608" s="941"/>
      <c r="R2608" s="317"/>
      <c r="U2608" s="320"/>
    </row>
    <row r="2609" spans="1:21" s="325" customFormat="1" outlineLevel="2">
      <c r="A2609" s="588"/>
      <c r="B2609" s="588"/>
      <c r="C2609" s="589">
        <v>2220100</v>
      </c>
      <c r="D2609" s="589" t="s">
        <v>199</v>
      </c>
      <c r="E2609" s="605">
        <f>E2610+E2611</f>
        <v>225960</v>
      </c>
      <c r="F2609" s="605">
        <f t="shared" ref="F2609:P2609" si="1926">F2610+F2611</f>
        <v>0</v>
      </c>
      <c r="G2609" s="605">
        <f t="shared" si="1926"/>
        <v>0</v>
      </c>
      <c r="H2609" s="605">
        <f t="shared" si="1926"/>
        <v>0</v>
      </c>
      <c r="I2609" s="605">
        <f t="shared" si="1926"/>
        <v>225960</v>
      </c>
      <c r="J2609" s="605">
        <f t="shared" si="1926"/>
        <v>0</v>
      </c>
      <c r="K2609" s="605">
        <f t="shared" si="1926"/>
        <v>0</v>
      </c>
      <c r="L2609" s="317">
        <f t="shared" si="1898"/>
        <v>225960</v>
      </c>
      <c r="M2609" s="317"/>
      <c r="N2609" s="372">
        <f t="shared" si="1902"/>
        <v>0</v>
      </c>
      <c r="O2609" s="605">
        <f t="shared" si="1926"/>
        <v>248556</v>
      </c>
      <c r="P2609" s="605">
        <f t="shared" si="1926"/>
        <v>273411.60000000003</v>
      </c>
      <c r="R2609" s="317"/>
      <c r="U2609" s="320"/>
    </row>
    <row r="2610" spans="1:21" s="344" customFormat="1" outlineLevel="2">
      <c r="A2610" s="585"/>
      <c r="B2610" s="585"/>
      <c r="C2610" s="592">
        <v>2220101</v>
      </c>
      <c r="D2610" s="592" t="s">
        <v>200</v>
      </c>
      <c r="E2610" s="587">
        <f>325000-100000-100000</f>
        <v>125000</v>
      </c>
      <c r="F2610" s="594"/>
      <c r="G2610" s="594"/>
      <c r="H2610" s="594"/>
      <c r="I2610" s="324">
        <f t="shared" si="1909"/>
        <v>125000</v>
      </c>
      <c r="J2610" s="594"/>
      <c r="K2610" s="315"/>
      <c r="L2610" s="317">
        <f t="shared" si="1898"/>
        <v>125000</v>
      </c>
      <c r="M2610" s="317"/>
      <c r="N2610" s="372">
        <f t="shared" si="1902"/>
        <v>0</v>
      </c>
      <c r="O2610" s="336">
        <f t="shared" si="1920"/>
        <v>137500</v>
      </c>
      <c r="P2610" s="940">
        <f t="shared" si="1922"/>
        <v>151250</v>
      </c>
      <c r="Q2610" s="941"/>
      <c r="R2610" s="317"/>
      <c r="U2610" s="320"/>
    </row>
    <row r="2611" spans="1:21" s="325" customFormat="1" outlineLevel="2">
      <c r="A2611" s="585"/>
      <c r="B2611" s="585"/>
      <c r="C2611" s="592">
        <v>2220105</v>
      </c>
      <c r="D2611" s="592" t="s">
        <v>64</v>
      </c>
      <c r="E2611" s="587">
        <f>200960-100000</f>
        <v>100960</v>
      </c>
      <c r="F2611" s="594"/>
      <c r="G2611" s="594"/>
      <c r="H2611" s="594"/>
      <c r="I2611" s="324">
        <f t="shared" si="1909"/>
        <v>100960</v>
      </c>
      <c r="J2611" s="594"/>
      <c r="K2611" s="315"/>
      <c r="L2611" s="317">
        <f t="shared" si="1898"/>
        <v>100960</v>
      </c>
      <c r="M2611" s="317"/>
      <c r="N2611" s="372">
        <f t="shared" si="1902"/>
        <v>0</v>
      </c>
      <c r="O2611" s="336">
        <f t="shared" si="1920"/>
        <v>111056.00000000001</v>
      </c>
      <c r="P2611" s="940">
        <f t="shared" si="1922"/>
        <v>122161.60000000002</v>
      </c>
      <c r="R2611" s="317"/>
      <c r="U2611" s="320"/>
    </row>
    <row r="2612" spans="1:21" s="325" customFormat="1" outlineLevel="1">
      <c r="A2612" s="588"/>
      <c r="B2612" s="588"/>
      <c r="C2612" s="589" t="s">
        <v>526</v>
      </c>
      <c r="D2612" s="955"/>
      <c r="E2612" s="605">
        <f>E2607+E2602+E2598+E2609+E2605+E2596+E2594+E2590+E2588+E2585</f>
        <v>17238434</v>
      </c>
      <c r="F2612" s="605">
        <f t="shared" ref="F2612:K2612" si="1927">F2607+F2602+F2598+F2609+F2605+F2596+F2594+F2590+F2588+F2585</f>
        <v>0</v>
      </c>
      <c r="G2612" s="605">
        <f t="shared" si="1927"/>
        <v>0</v>
      </c>
      <c r="H2612" s="605">
        <f t="shared" si="1927"/>
        <v>0</v>
      </c>
      <c r="I2612" s="605">
        <f t="shared" si="1927"/>
        <v>17238434</v>
      </c>
      <c r="J2612" s="605">
        <f t="shared" si="1927"/>
        <v>-840000</v>
      </c>
      <c r="K2612" s="605">
        <f t="shared" si="1927"/>
        <v>756000</v>
      </c>
      <c r="L2612" s="317">
        <f t="shared" si="1898"/>
        <v>17154434</v>
      </c>
      <c r="M2612" s="317"/>
      <c r="N2612" s="372">
        <f t="shared" si="1902"/>
        <v>-756000</v>
      </c>
      <c r="O2612" s="605">
        <f t="shared" ref="O2612:P2612" si="1928">O2607+O2602+O2598+O2609+O2605+O2596+O2594+O2590+O2588+O2585</f>
        <v>18869877.400000002</v>
      </c>
      <c r="P2612" s="939">
        <f t="shared" si="1928"/>
        <v>20756865.140000004</v>
      </c>
      <c r="R2612" s="317"/>
      <c r="U2612" s="320"/>
    </row>
    <row r="2613" spans="1:21" s="325" customFormat="1" outlineLevel="1">
      <c r="A2613" s="588"/>
      <c r="B2613" s="588"/>
      <c r="C2613" s="955" t="s">
        <v>78</v>
      </c>
      <c r="E2613" s="605"/>
      <c r="F2613" s="956"/>
      <c r="G2613" s="956"/>
      <c r="H2613" s="956"/>
      <c r="I2613" s="324">
        <f t="shared" si="1909"/>
        <v>0</v>
      </c>
      <c r="J2613" s="956"/>
      <c r="K2613" s="315"/>
      <c r="L2613" s="317">
        <f t="shared" si="1898"/>
        <v>0</v>
      </c>
      <c r="M2613" s="317"/>
      <c r="N2613" s="372">
        <f t="shared" si="1902"/>
        <v>0</v>
      </c>
      <c r="O2613" s="336">
        <f t="shared" si="1920"/>
        <v>0</v>
      </c>
      <c r="P2613" s="957"/>
      <c r="R2613" s="317"/>
      <c r="U2613" s="320"/>
    </row>
    <row r="2614" spans="1:21" s="325" customFormat="1" outlineLevel="1">
      <c r="A2614" s="588"/>
      <c r="B2614" s="588"/>
      <c r="C2614" s="589">
        <v>3111100</v>
      </c>
      <c r="D2614" s="955" t="s">
        <v>73</v>
      </c>
      <c r="E2614" s="605">
        <f>E2615</f>
        <v>500000</v>
      </c>
      <c r="F2614" s="605">
        <f t="shared" ref="F2614:L2614" si="1929">F2615</f>
        <v>0</v>
      </c>
      <c r="G2614" s="605">
        <f t="shared" si="1929"/>
        <v>0</v>
      </c>
      <c r="H2614" s="605">
        <f t="shared" si="1929"/>
        <v>0</v>
      </c>
      <c r="I2614" s="605">
        <f t="shared" si="1929"/>
        <v>500000</v>
      </c>
      <c r="J2614" s="605">
        <f t="shared" si="1929"/>
        <v>-500000</v>
      </c>
      <c r="K2614" s="605">
        <f t="shared" si="1929"/>
        <v>0</v>
      </c>
      <c r="L2614" s="605">
        <f t="shared" si="1929"/>
        <v>0</v>
      </c>
      <c r="M2614" s="605"/>
      <c r="N2614" s="372">
        <f t="shared" si="1902"/>
        <v>0</v>
      </c>
      <c r="O2614" s="605">
        <f t="shared" ref="O2614:P2614" si="1930">O2615</f>
        <v>0</v>
      </c>
      <c r="P2614" s="939">
        <f t="shared" si="1930"/>
        <v>0</v>
      </c>
      <c r="R2614" s="605"/>
      <c r="U2614" s="958"/>
    </row>
    <row r="2615" spans="1:21" s="949" customFormat="1" outlineLevel="1">
      <c r="A2615" s="959"/>
      <c r="B2615" s="960"/>
      <c r="C2615" s="961">
        <v>3111109</v>
      </c>
      <c r="D2615" s="961" t="s">
        <v>1458</v>
      </c>
      <c r="E2615" s="944">
        <v>500000</v>
      </c>
      <c r="F2615" s="962"/>
      <c r="G2615" s="962"/>
      <c r="H2615" s="962"/>
      <c r="I2615" s="370">
        <f t="shared" si="1909"/>
        <v>500000</v>
      </c>
      <c r="J2615" s="962">
        <v>-500000</v>
      </c>
      <c r="K2615" s="946"/>
      <c r="L2615" s="372">
        <f t="shared" si="1898"/>
        <v>0</v>
      </c>
      <c r="M2615" s="372"/>
      <c r="N2615" s="372">
        <f t="shared" si="1902"/>
        <v>0</v>
      </c>
      <c r="O2615" s="373">
        <f t="shared" si="1920"/>
        <v>0</v>
      </c>
      <c r="P2615" s="963">
        <f>O2615*1.1</f>
        <v>0</v>
      </c>
      <c r="Q2615" s="948"/>
      <c r="R2615" s="372"/>
      <c r="U2615" s="320" t="s">
        <v>1803</v>
      </c>
    </row>
    <row r="2616" spans="1:21" s="325" customFormat="1" outlineLevel="1">
      <c r="A2616" s="588"/>
      <c r="B2616" s="588"/>
      <c r="C2616" s="340" t="s">
        <v>175</v>
      </c>
      <c r="D2616" s="338"/>
      <c r="E2616" s="605">
        <f>E2614</f>
        <v>500000</v>
      </c>
      <c r="F2616" s="605">
        <f t="shared" ref="F2616:K2616" si="1931">F2614</f>
        <v>0</v>
      </c>
      <c r="G2616" s="605">
        <f t="shared" si="1931"/>
        <v>0</v>
      </c>
      <c r="H2616" s="605">
        <f t="shared" si="1931"/>
        <v>0</v>
      </c>
      <c r="I2616" s="605">
        <f t="shared" si="1931"/>
        <v>500000</v>
      </c>
      <c r="J2616" s="605">
        <f t="shared" si="1931"/>
        <v>-500000</v>
      </c>
      <c r="K2616" s="605">
        <f t="shared" si="1931"/>
        <v>0</v>
      </c>
      <c r="L2616" s="317">
        <f t="shared" si="1898"/>
        <v>0</v>
      </c>
      <c r="M2616" s="317"/>
      <c r="N2616" s="372">
        <f t="shared" si="1902"/>
        <v>0</v>
      </c>
      <c r="O2616" s="605">
        <f t="shared" ref="O2616:P2616" si="1932">O2614</f>
        <v>0</v>
      </c>
      <c r="P2616" s="939">
        <f t="shared" si="1932"/>
        <v>0</v>
      </c>
      <c r="R2616" s="317"/>
      <c r="U2616" s="320"/>
    </row>
    <row r="2617" spans="1:21" s="344" customFormat="1" outlineLevel="1">
      <c r="A2617" s="588"/>
      <c r="B2617" s="588"/>
      <c r="C2617" s="340"/>
      <c r="D2617" s="338"/>
      <c r="E2617" s="605"/>
      <c r="F2617" s="397"/>
      <c r="G2617" s="397"/>
      <c r="H2617" s="397"/>
      <c r="I2617" s="324">
        <f t="shared" si="1909"/>
        <v>0</v>
      </c>
      <c r="J2617" s="397"/>
      <c r="K2617" s="315"/>
      <c r="L2617" s="317">
        <f t="shared" si="1898"/>
        <v>0</v>
      </c>
      <c r="M2617" s="317"/>
      <c r="N2617" s="372">
        <f t="shared" si="1902"/>
        <v>0</v>
      </c>
      <c r="O2617" s="336">
        <f t="shared" si="1920"/>
        <v>0</v>
      </c>
      <c r="P2617" s="940">
        <f t="shared" si="1922"/>
        <v>0</v>
      </c>
      <c r="R2617" s="317"/>
      <c r="U2617" s="320"/>
    </row>
    <row r="2618" spans="1:21" s="344" customFormat="1" outlineLevel="1">
      <c r="A2618" s="588"/>
      <c r="B2618" s="588"/>
      <c r="C2618" s="340" t="s">
        <v>84</v>
      </c>
      <c r="D2618" s="338"/>
      <c r="E2618" s="605">
        <f>E2612+E2616</f>
        <v>17738434</v>
      </c>
      <c r="F2618" s="605">
        <f t="shared" ref="F2618:P2618" si="1933">F2612+F2616</f>
        <v>0</v>
      </c>
      <c r="G2618" s="605">
        <f t="shared" si="1933"/>
        <v>0</v>
      </c>
      <c r="H2618" s="605">
        <f t="shared" si="1933"/>
        <v>0</v>
      </c>
      <c r="I2618" s="605">
        <f t="shared" si="1933"/>
        <v>17738434</v>
      </c>
      <c r="J2618" s="605">
        <f t="shared" si="1933"/>
        <v>-1340000</v>
      </c>
      <c r="K2618" s="605">
        <f t="shared" si="1933"/>
        <v>756000</v>
      </c>
      <c r="L2618" s="317">
        <f t="shared" si="1898"/>
        <v>17154434</v>
      </c>
      <c r="M2618" s="317"/>
      <c r="N2618" s="372">
        <f t="shared" si="1902"/>
        <v>-756000</v>
      </c>
      <c r="O2618" s="605">
        <f t="shared" si="1933"/>
        <v>18869877.400000002</v>
      </c>
      <c r="P2618" s="605">
        <f t="shared" si="1933"/>
        <v>20756865.140000004</v>
      </c>
      <c r="R2618" s="317"/>
      <c r="U2618" s="320"/>
    </row>
    <row r="2619" spans="1:21" s="344" customFormat="1" outlineLevel="1">
      <c r="A2619" s="588"/>
      <c r="B2619" s="588"/>
      <c r="C2619" s="332"/>
      <c r="D2619" s="330"/>
      <c r="E2619" s="587"/>
      <c r="F2619" s="389"/>
      <c r="G2619" s="389"/>
      <c r="H2619" s="389"/>
      <c r="I2619" s="324">
        <f t="shared" si="1909"/>
        <v>0</v>
      </c>
      <c r="J2619" s="389"/>
      <c r="K2619" s="315"/>
      <c r="L2619" s="317">
        <f t="shared" si="1898"/>
        <v>0</v>
      </c>
      <c r="M2619" s="317"/>
      <c r="N2619" s="372">
        <f t="shared" si="1902"/>
        <v>0</v>
      </c>
      <c r="O2619" s="336">
        <f t="shared" si="1920"/>
        <v>0</v>
      </c>
      <c r="P2619" s="940">
        <f t="shared" si="1922"/>
        <v>0</v>
      </c>
      <c r="R2619" s="317"/>
      <c r="U2619" s="320"/>
    </row>
    <row r="2620" spans="1:21" s="344" customFormat="1" outlineLevel="1">
      <c r="A2620" s="588"/>
      <c r="B2620" s="588"/>
      <c r="C2620" s="332"/>
      <c r="D2620" s="330"/>
      <c r="E2620" s="616"/>
      <c r="F2620" s="577"/>
      <c r="G2620" s="577"/>
      <c r="H2620" s="577"/>
      <c r="I2620" s="324">
        <f t="shared" si="1909"/>
        <v>0</v>
      </c>
      <c r="J2620" s="577"/>
      <c r="K2620" s="315"/>
      <c r="L2620" s="317">
        <f t="shared" si="1898"/>
        <v>0</v>
      </c>
      <c r="M2620" s="317"/>
      <c r="N2620" s="372">
        <f t="shared" si="1902"/>
        <v>0</v>
      </c>
      <c r="O2620" s="336">
        <f t="shared" si="1920"/>
        <v>0</v>
      </c>
      <c r="P2620" s="940">
        <f t="shared" si="1922"/>
        <v>0</v>
      </c>
      <c r="R2620" s="317"/>
      <c r="U2620" s="320"/>
    </row>
    <row r="2621" spans="1:21" s="325" customFormat="1" outlineLevel="1">
      <c r="A2621" s="588" t="s">
        <v>144</v>
      </c>
      <c r="B2621" s="588"/>
      <c r="C2621" s="340" t="s">
        <v>529</v>
      </c>
      <c r="D2621" s="338"/>
      <c r="E2621" s="587"/>
      <c r="F2621" s="397"/>
      <c r="G2621" s="397"/>
      <c r="H2621" s="397"/>
      <c r="I2621" s="324">
        <f t="shared" si="1909"/>
        <v>0</v>
      </c>
      <c r="J2621" s="397"/>
      <c r="K2621" s="315"/>
      <c r="L2621" s="317">
        <f t="shared" si="1898"/>
        <v>0</v>
      </c>
      <c r="M2621" s="317"/>
      <c r="N2621" s="372">
        <f t="shared" si="1902"/>
        <v>0</v>
      </c>
      <c r="O2621" s="336">
        <f t="shared" si="1920"/>
        <v>0</v>
      </c>
      <c r="P2621" s="940">
        <f t="shared" si="1922"/>
        <v>0</v>
      </c>
      <c r="R2621" s="317"/>
      <c r="U2621" s="320"/>
    </row>
    <row r="2622" spans="1:21" s="344" customFormat="1" outlineLevel="1">
      <c r="A2622" s="588"/>
      <c r="B2622" s="907" t="s">
        <v>146</v>
      </c>
      <c r="C2622" s="340" t="s">
        <v>530</v>
      </c>
      <c r="D2622" s="338"/>
      <c r="E2622" s="587"/>
      <c r="F2622" s="397"/>
      <c r="G2622" s="397"/>
      <c r="H2622" s="397"/>
      <c r="I2622" s="324">
        <f t="shared" si="1909"/>
        <v>0</v>
      </c>
      <c r="J2622" s="397"/>
      <c r="K2622" s="315"/>
      <c r="L2622" s="317">
        <f t="shared" si="1898"/>
        <v>0</v>
      </c>
      <c r="M2622" s="317"/>
      <c r="N2622" s="372">
        <f t="shared" si="1902"/>
        <v>0</v>
      </c>
      <c r="O2622" s="336">
        <f t="shared" si="1920"/>
        <v>0</v>
      </c>
      <c r="P2622" s="940">
        <f t="shared" si="1922"/>
        <v>0</v>
      </c>
      <c r="R2622" s="317"/>
      <c r="U2622" s="320"/>
    </row>
    <row r="2623" spans="1:21" s="325" customFormat="1" outlineLevel="3">
      <c r="A2623" s="588"/>
      <c r="B2623" s="588"/>
      <c r="C2623" s="589">
        <v>2210200</v>
      </c>
      <c r="D2623" s="589" t="s">
        <v>20</v>
      </c>
      <c r="E2623" s="605">
        <f>E2624</f>
        <v>182100</v>
      </c>
      <c r="F2623" s="605">
        <f t="shared" ref="F2623:P2623" si="1934">F2624</f>
        <v>0</v>
      </c>
      <c r="G2623" s="605">
        <f t="shared" si="1934"/>
        <v>0</v>
      </c>
      <c r="H2623" s="605">
        <f t="shared" si="1934"/>
        <v>0</v>
      </c>
      <c r="I2623" s="605">
        <f t="shared" si="1934"/>
        <v>182100</v>
      </c>
      <c r="J2623" s="605">
        <f t="shared" si="1934"/>
        <v>0</v>
      </c>
      <c r="K2623" s="605">
        <f t="shared" si="1934"/>
        <v>0</v>
      </c>
      <c r="L2623" s="317">
        <f t="shared" si="1898"/>
        <v>182100</v>
      </c>
      <c r="M2623" s="317"/>
      <c r="N2623" s="372">
        <f t="shared" si="1902"/>
        <v>0</v>
      </c>
      <c r="O2623" s="605">
        <f t="shared" si="1934"/>
        <v>200310.00000000003</v>
      </c>
      <c r="P2623" s="605">
        <f t="shared" si="1934"/>
        <v>220341.00000000006</v>
      </c>
      <c r="R2623" s="317"/>
      <c r="U2623" s="320"/>
    </row>
    <row r="2624" spans="1:21" s="344" customFormat="1" outlineLevel="3">
      <c r="A2624" s="585"/>
      <c r="B2624" s="585"/>
      <c r="C2624" s="592">
        <v>2210201</v>
      </c>
      <c r="D2624" s="592" t="s">
        <v>187</v>
      </c>
      <c r="E2624" s="587">
        <v>182100</v>
      </c>
      <c r="F2624" s="594"/>
      <c r="G2624" s="594"/>
      <c r="H2624" s="594"/>
      <c r="I2624" s="324">
        <f t="shared" si="1909"/>
        <v>182100</v>
      </c>
      <c r="J2624" s="594"/>
      <c r="K2624" s="315"/>
      <c r="L2624" s="317">
        <f t="shared" si="1898"/>
        <v>182100</v>
      </c>
      <c r="M2624" s="317"/>
      <c r="N2624" s="372">
        <f t="shared" si="1902"/>
        <v>0</v>
      </c>
      <c r="O2624" s="336">
        <f t="shared" si="1920"/>
        <v>200310.00000000003</v>
      </c>
      <c r="P2624" s="940">
        <f t="shared" si="1922"/>
        <v>220341.00000000006</v>
      </c>
      <c r="R2624" s="317"/>
      <c r="U2624" s="320"/>
    </row>
    <row r="2625" spans="1:21" s="344" customFormat="1" outlineLevel="3">
      <c r="A2625" s="588"/>
      <c r="B2625" s="588"/>
      <c r="C2625" s="589">
        <v>2210300</v>
      </c>
      <c r="D2625" s="589" t="s">
        <v>24</v>
      </c>
      <c r="E2625" s="605">
        <f>E2626+E2627+E2628</f>
        <v>719078</v>
      </c>
      <c r="F2625" s="605">
        <f t="shared" ref="F2625:K2625" si="1935">F2626+F2627+F2628</f>
        <v>0</v>
      </c>
      <c r="G2625" s="605">
        <f t="shared" si="1935"/>
        <v>0</v>
      </c>
      <c r="H2625" s="605">
        <f t="shared" si="1935"/>
        <v>0</v>
      </c>
      <c r="I2625" s="605">
        <f t="shared" si="1935"/>
        <v>719078</v>
      </c>
      <c r="J2625" s="605">
        <f t="shared" si="1935"/>
        <v>0</v>
      </c>
      <c r="K2625" s="605">
        <f t="shared" si="1935"/>
        <v>0</v>
      </c>
      <c r="L2625" s="317">
        <f t="shared" si="1898"/>
        <v>719078</v>
      </c>
      <c r="M2625" s="317"/>
      <c r="N2625" s="372">
        <f t="shared" si="1902"/>
        <v>0</v>
      </c>
      <c r="O2625" s="605">
        <f t="shared" ref="O2625:P2625" si="1936">O2626+O2627+O2628</f>
        <v>790985.8</v>
      </c>
      <c r="P2625" s="939">
        <f t="shared" si="1936"/>
        <v>870084.38000000012</v>
      </c>
      <c r="R2625" s="317"/>
      <c r="U2625" s="320"/>
    </row>
    <row r="2626" spans="1:21" s="344" customFormat="1" outlineLevel="3">
      <c r="A2626" s="585"/>
      <c r="B2626" s="585"/>
      <c r="C2626" s="592">
        <v>2210301</v>
      </c>
      <c r="D2626" s="592" t="s">
        <v>188</v>
      </c>
      <c r="E2626" s="587">
        <v>206088</v>
      </c>
      <c r="F2626" s="594"/>
      <c r="G2626" s="594"/>
      <c r="H2626" s="594"/>
      <c r="I2626" s="324">
        <f t="shared" si="1909"/>
        <v>206088</v>
      </c>
      <c r="J2626" s="594"/>
      <c r="K2626" s="315"/>
      <c r="L2626" s="317">
        <f t="shared" si="1898"/>
        <v>206088</v>
      </c>
      <c r="M2626" s="317"/>
      <c r="N2626" s="372">
        <f t="shared" si="1902"/>
        <v>0</v>
      </c>
      <c r="O2626" s="336">
        <f t="shared" si="1920"/>
        <v>226696.80000000002</v>
      </c>
      <c r="P2626" s="940">
        <f t="shared" ref="P2626:P2636" si="1937">O2626*1.1</f>
        <v>249366.48000000004</v>
      </c>
      <c r="R2626" s="317"/>
      <c r="U2626" s="320"/>
    </row>
    <row r="2627" spans="1:21" s="325" customFormat="1" outlineLevel="3">
      <c r="A2627" s="585"/>
      <c r="B2627" s="585"/>
      <c r="C2627" s="592">
        <v>2210302</v>
      </c>
      <c r="D2627" s="592" t="s">
        <v>26</v>
      </c>
      <c r="E2627" s="587">
        <v>208133</v>
      </c>
      <c r="F2627" s="594"/>
      <c r="G2627" s="594"/>
      <c r="H2627" s="594"/>
      <c r="I2627" s="324">
        <f t="shared" si="1909"/>
        <v>208133</v>
      </c>
      <c r="J2627" s="594"/>
      <c r="K2627" s="315"/>
      <c r="L2627" s="317">
        <f t="shared" si="1898"/>
        <v>208133</v>
      </c>
      <c r="M2627" s="317"/>
      <c r="N2627" s="372">
        <f t="shared" si="1902"/>
        <v>0</v>
      </c>
      <c r="O2627" s="336">
        <f t="shared" si="1920"/>
        <v>228946.30000000002</v>
      </c>
      <c r="P2627" s="940">
        <f t="shared" si="1937"/>
        <v>251840.93000000005</v>
      </c>
      <c r="R2627" s="317"/>
      <c r="U2627" s="320"/>
    </row>
    <row r="2628" spans="1:21" s="344" customFormat="1" outlineLevel="3">
      <c r="A2628" s="585"/>
      <c r="B2628" s="585"/>
      <c r="C2628" s="592">
        <v>2210303</v>
      </c>
      <c r="D2628" s="592" t="s">
        <v>27</v>
      </c>
      <c r="E2628" s="587">
        <v>304857</v>
      </c>
      <c r="F2628" s="594"/>
      <c r="G2628" s="594"/>
      <c r="H2628" s="594"/>
      <c r="I2628" s="324">
        <f t="shared" si="1909"/>
        <v>304857</v>
      </c>
      <c r="J2628" s="594"/>
      <c r="K2628" s="315"/>
      <c r="L2628" s="317">
        <f t="shared" si="1898"/>
        <v>304857</v>
      </c>
      <c r="M2628" s="317"/>
      <c r="N2628" s="372">
        <f t="shared" si="1902"/>
        <v>0</v>
      </c>
      <c r="O2628" s="336">
        <f t="shared" si="1920"/>
        <v>335342.7</v>
      </c>
      <c r="P2628" s="940">
        <f t="shared" si="1937"/>
        <v>368876.97000000003</v>
      </c>
      <c r="R2628" s="317"/>
      <c r="U2628" s="320"/>
    </row>
    <row r="2629" spans="1:21" s="325" customFormat="1" outlineLevel="3">
      <c r="A2629" s="588"/>
      <c r="B2629" s="588"/>
      <c r="C2629" s="589">
        <v>2210500</v>
      </c>
      <c r="D2629" s="589" t="s">
        <v>31</v>
      </c>
      <c r="E2629" s="605">
        <f>E2630</f>
        <v>91000</v>
      </c>
      <c r="F2629" s="605">
        <f t="shared" ref="F2629:P2629" si="1938">F2630</f>
        <v>0</v>
      </c>
      <c r="G2629" s="605">
        <f t="shared" si="1938"/>
        <v>0</v>
      </c>
      <c r="H2629" s="605">
        <f t="shared" si="1938"/>
        <v>0</v>
      </c>
      <c r="I2629" s="605">
        <f t="shared" si="1938"/>
        <v>91000</v>
      </c>
      <c r="J2629" s="605">
        <f t="shared" si="1938"/>
        <v>0</v>
      </c>
      <c r="K2629" s="605">
        <f t="shared" si="1938"/>
        <v>0</v>
      </c>
      <c r="L2629" s="317">
        <f t="shared" ref="L2629:L2692" si="1939">I2629+J2629+K2629</f>
        <v>91000</v>
      </c>
      <c r="M2629" s="317"/>
      <c r="N2629" s="372">
        <f t="shared" si="1902"/>
        <v>0</v>
      </c>
      <c r="O2629" s="605">
        <f t="shared" si="1938"/>
        <v>100100.00000000001</v>
      </c>
      <c r="P2629" s="605">
        <f t="shared" si="1938"/>
        <v>110110.00000000003</v>
      </c>
      <c r="R2629" s="317"/>
      <c r="U2629" s="320"/>
    </row>
    <row r="2630" spans="1:21" s="344" customFormat="1" outlineLevel="3">
      <c r="A2630" s="585"/>
      <c r="B2630" s="585"/>
      <c r="C2630" s="592">
        <v>2210503</v>
      </c>
      <c r="D2630" s="592" t="s">
        <v>32</v>
      </c>
      <c r="E2630" s="587">
        <v>91000</v>
      </c>
      <c r="F2630" s="594"/>
      <c r="G2630" s="594"/>
      <c r="H2630" s="594"/>
      <c r="I2630" s="324">
        <f t="shared" si="1909"/>
        <v>91000</v>
      </c>
      <c r="J2630" s="594"/>
      <c r="K2630" s="315"/>
      <c r="L2630" s="317">
        <f t="shared" si="1939"/>
        <v>91000</v>
      </c>
      <c r="M2630" s="317"/>
      <c r="N2630" s="372">
        <f t="shared" si="1902"/>
        <v>0</v>
      </c>
      <c r="O2630" s="336">
        <f t="shared" si="1920"/>
        <v>100100.00000000001</v>
      </c>
      <c r="P2630" s="940">
        <f t="shared" si="1937"/>
        <v>110110.00000000003</v>
      </c>
      <c r="R2630" s="317"/>
      <c r="U2630" s="320"/>
    </row>
    <row r="2631" spans="1:21" s="344" customFormat="1" outlineLevel="2">
      <c r="A2631" s="588"/>
      <c r="B2631" s="588"/>
      <c r="C2631" s="589" t="s">
        <v>526</v>
      </c>
      <c r="D2631" s="955"/>
      <c r="E2631" s="605">
        <f>E2629+E2625+E2623</f>
        <v>992178</v>
      </c>
      <c r="F2631" s="605">
        <f t="shared" ref="F2631:K2631" si="1940">F2629+F2625+F2623</f>
        <v>0</v>
      </c>
      <c r="G2631" s="605">
        <f t="shared" si="1940"/>
        <v>0</v>
      </c>
      <c r="H2631" s="605">
        <f t="shared" si="1940"/>
        <v>0</v>
      </c>
      <c r="I2631" s="605">
        <f t="shared" si="1940"/>
        <v>992178</v>
      </c>
      <c r="J2631" s="605">
        <f t="shared" si="1940"/>
        <v>0</v>
      </c>
      <c r="K2631" s="605">
        <f t="shared" si="1940"/>
        <v>0</v>
      </c>
      <c r="L2631" s="317">
        <f t="shared" si="1939"/>
        <v>992178</v>
      </c>
      <c r="M2631" s="317"/>
      <c r="N2631" s="372">
        <f t="shared" si="1902"/>
        <v>0</v>
      </c>
      <c r="O2631" s="605">
        <f t="shared" ref="O2631:P2631" si="1941">O2629+O2625+O2623</f>
        <v>1091395.8</v>
      </c>
      <c r="P2631" s="939">
        <f t="shared" si="1941"/>
        <v>1200535.3800000001</v>
      </c>
      <c r="R2631" s="317"/>
      <c r="U2631" s="320"/>
    </row>
    <row r="2632" spans="1:21" s="344" customFormat="1" outlineLevel="1">
      <c r="A2632" s="588"/>
      <c r="B2632" s="588"/>
      <c r="C2632" s="332"/>
      <c r="D2632" s="330"/>
      <c r="E2632" s="587"/>
      <c r="F2632" s="389"/>
      <c r="G2632" s="389"/>
      <c r="H2632" s="389"/>
      <c r="I2632" s="324">
        <f t="shared" si="1909"/>
        <v>0</v>
      </c>
      <c r="J2632" s="389"/>
      <c r="K2632" s="315"/>
      <c r="L2632" s="317">
        <f t="shared" si="1939"/>
        <v>0</v>
      </c>
      <c r="M2632" s="317"/>
      <c r="N2632" s="372">
        <f t="shared" si="1902"/>
        <v>0</v>
      </c>
      <c r="O2632" s="336">
        <f t="shared" si="1920"/>
        <v>0</v>
      </c>
      <c r="P2632" s="957"/>
      <c r="R2632" s="317"/>
      <c r="U2632" s="320"/>
    </row>
    <row r="2633" spans="1:21" s="344" customFormat="1" outlineLevel="1">
      <c r="A2633" s="588"/>
      <c r="B2633" s="588"/>
      <c r="C2633" s="340" t="s">
        <v>84</v>
      </c>
      <c r="D2633" s="338"/>
      <c r="E2633" s="605">
        <f>E2631</f>
        <v>992178</v>
      </c>
      <c r="F2633" s="605">
        <f t="shared" ref="F2633:K2633" si="1942">F2631</f>
        <v>0</v>
      </c>
      <c r="G2633" s="605">
        <f t="shared" si="1942"/>
        <v>0</v>
      </c>
      <c r="H2633" s="605">
        <f t="shared" si="1942"/>
        <v>0</v>
      </c>
      <c r="I2633" s="605">
        <f t="shared" si="1942"/>
        <v>992178</v>
      </c>
      <c r="J2633" s="605">
        <f t="shared" si="1942"/>
        <v>0</v>
      </c>
      <c r="K2633" s="605">
        <f t="shared" si="1942"/>
        <v>0</v>
      </c>
      <c r="L2633" s="317">
        <f t="shared" si="1939"/>
        <v>992178</v>
      </c>
      <c r="M2633" s="317"/>
      <c r="N2633" s="372">
        <f t="shared" ref="N2633:N2696" si="1943">M2633-K2633</f>
        <v>0</v>
      </c>
      <c r="O2633" s="605">
        <f t="shared" ref="O2633:P2633" si="1944">O2631</f>
        <v>1091395.8</v>
      </c>
      <c r="P2633" s="939">
        <f t="shared" si="1944"/>
        <v>1200535.3800000001</v>
      </c>
      <c r="R2633" s="317"/>
      <c r="U2633" s="320"/>
    </row>
    <row r="2634" spans="1:21" s="325" customFormat="1" outlineLevel="1">
      <c r="A2634" s="588"/>
      <c r="B2634" s="588"/>
      <c r="C2634" s="381"/>
      <c r="D2634" s="338"/>
      <c r="E2634" s="587"/>
      <c r="F2634" s="397"/>
      <c r="G2634" s="397"/>
      <c r="H2634" s="397"/>
      <c r="I2634" s="324">
        <f t="shared" si="1909"/>
        <v>0</v>
      </c>
      <c r="J2634" s="397"/>
      <c r="K2634" s="315"/>
      <c r="L2634" s="317">
        <f t="shared" si="1939"/>
        <v>0</v>
      </c>
      <c r="M2634" s="317"/>
      <c r="N2634" s="372">
        <f t="shared" si="1943"/>
        <v>0</v>
      </c>
      <c r="O2634" s="336">
        <f t="shared" si="1920"/>
        <v>0</v>
      </c>
      <c r="P2634" s="940">
        <f t="shared" si="1937"/>
        <v>0</v>
      </c>
      <c r="R2634" s="317"/>
      <c r="U2634" s="320"/>
    </row>
    <row r="2635" spans="1:21" s="344" customFormat="1" outlineLevel="1">
      <c r="A2635" s="588" t="s">
        <v>144</v>
      </c>
      <c r="B2635" s="588"/>
      <c r="C2635" s="340" t="s">
        <v>1724</v>
      </c>
      <c r="D2635" s="338"/>
      <c r="E2635" s="587"/>
      <c r="F2635" s="397"/>
      <c r="G2635" s="397"/>
      <c r="H2635" s="397"/>
      <c r="I2635" s="324">
        <f t="shared" si="1909"/>
        <v>0</v>
      </c>
      <c r="J2635" s="397"/>
      <c r="K2635" s="315"/>
      <c r="L2635" s="317">
        <f t="shared" si="1939"/>
        <v>0</v>
      </c>
      <c r="M2635" s="317"/>
      <c r="N2635" s="372">
        <f t="shared" si="1943"/>
        <v>0</v>
      </c>
      <c r="O2635" s="336">
        <f t="shared" si="1920"/>
        <v>0</v>
      </c>
      <c r="P2635" s="940">
        <f t="shared" si="1937"/>
        <v>0</v>
      </c>
      <c r="R2635" s="317"/>
      <c r="U2635" s="320"/>
    </row>
    <row r="2636" spans="1:21" s="344" customFormat="1" outlineLevel="3">
      <c r="A2636" s="588"/>
      <c r="B2636" s="907" t="s">
        <v>146</v>
      </c>
      <c r="C2636" s="340" t="s">
        <v>1725</v>
      </c>
      <c r="D2636" s="338"/>
      <c r="E2636" s="587"/>
      <c r="F2636" s="397"/>
      <c r="G2636" s="397"/>
      <c r="H2636" s="397"/>
      <c r="I2636" s="324">
        <f t="shared" si="1909"/>
        <v>0</v>
      </c>
      <c r="J2636" s="397"/>
      <c r="K2636" s="315"/>
      <c r="L2636" s="317">
        <f t="shared" si="1939"/>
        <v>0</v>
      </c>
      <c r="M2636" s="317"/>
      <c r="N2636" s="372">
        <f t="shared" si="1943"/>
        <v>0</v>
      </c>
      <c r="O2636" s="336">
        <f t="shared" si="1920"/>
        <v>0</v>
      </c>
      <c r="P2636" s="940">
        <f t="shared" si="1937"/>
        <v>0</v>
      </c>
      <c r="R2636" s="317"/>
      <c r="U2636" s="320"/>
    </row>
    <row r="2637" spans="1:21" s="344" customFormat="1" outlineLevel="3">
      <c r="A2637" s="588"/>
      <c r="B2637" s="588"/>
      <c r="C2637" s="340">
        <v>2210300</v>
      </c>
      <c r="D2637" s="589" t="s">
        <v>24</v>
      </c>
      <c r="E2637" s="605">
        <f>E2638+E2639+E2640</f>
        <v>757550</v>
      </c>
      <c r="F2637" s="605">
        <f t="shared" ref="F2637:K2637" si="1945">F2638+F2639+F2640</f>
        <v>0</v>
      </c>
      <c r="G2637" s="605">
        <f t="shared" si="1945"/>
        <v>0</v>
      </c>
      <c r="H2637" s="605">
        <f t="shared" si="1945"/>
        <v>-244490</v>
      </c>
      <c r="I2637" s="605">
        <f t="shared" si="1945"/>
        <v>513060</v>
      </c>
      <c r="J2637" s="605">
        <f t="shared" si="1945"/>
        <v>0</v>
      </c>
      <c r="K2637" s="605">
        <f t="shared" si="1945"/>
        <v>0</v>
      </c>
      <c r="L2637" s="317">
        <f t="shared" si="1939"/>
        <v>513060</v>
      </c>
      <c r="M2637" s="317"/>
      <c r="N2637" s="372">
        <f t="shared" si="1943"/>
        <v>0</v>
      </c>
      <c r="O2637" s="605">
        <f t="shared" ref="O2637:P2637" si="1946">O2638+O2639+O2640</f>
        <v>564366</v>
      </c>
      <c r="P2637" s="939">
        <f t="shared" si="1946"/>
        <v>620802.60000000009</v>
      </c>
      <c r="R2637" s="317"/>
      <c r="U2637" s="320"/>
    </row>
    <row r="2638" spans="1:21" outlineLevel="3">
      <c r="A2638" s="585"/>
      <c r="B2638" s="585"/>
      <c r="C2638" s="332">
        <v>2210301</v>
      </c>
      <c r="D2638" s="592" t="s">
        <v>188</v>
      </c>
      <c r="E2638" s="587">
        <v>244490</v>
      </c>
      <c r="F2638" s="594"/>
      <c r="G2638" s="594"/>
      <c r="H2638" s="587">
        <v>-244490</v>
      </c>
      <c r="I2638" s="324">
        <f t="shared" si="1909"/>
        <v>0</v>
      </c>
      <c r="J2638" s="587"/>
      <c r="K2638" s="315"/>
      <c r="L2638" s="317">
        <f t="shared" si="1939"/>
        <v>0</v>
      </c>
      <c r="M2638" s="317"/>
      <c r="N2638" s="372">
        <f t="shared" si="1943"/>
        <v>0</v>
      </c>
      <c r="O2638" s="336">
        <f t="shared" si="1920"/>
        <v>0</v>
      </c>
      <c r="P2638" s="940">
        <f t="shared" ref="P2638:P2654" si="1947">O2638*1.1</f>
        <v>0</v>
      </c>
      <c r="R2638" s="317"/>
      <c r="U2638" s="320"/>
    </row>
    <row r="2639" spans="1:21" outlineLevel="3">
      <c r="A2639" s="585"/>
      <c r="B2639" s="585"/>
      <c r="C2639" s="332">
        <v>2210302</v>
      </c>
      <c r="D2639" s="592" t="s">
        <v>26</v>
      </c>
      <c r="E2639" s="587">
        <v>308204</v>
      </c>
      <c r="F2639" s="594"/>
      <c r="G2639" s="594"/>
      <c r="H2639" s="594"/>
      <c r="I2639" s="324">
        <f t="shared" si="1909"/>
        <v>308204</v>
      </c>
      <c r="J2639" s="594"/>
      <c r="K2639" s="315"/>
      <c r="L2639" s="317">
        <f t="shared" si="1939"/>
        <v>308204</v>
      </c>
      <c r="M2639" s="317"/>
      <c r="N2639" s="372">
        <f t="shared" si="1943"/>
        <v>0</v>
      </c>
      <c r="O2639" s="336">
        <f t="shared" si="1920"/>
        <v>339024.4</v>
      </c>
      <c r="P2639" s="940">
        <f t="shared" si="1947"/>
        <v>372926.84000000008</v>
      </c>
      <c r="R2639" s="317"/>
      <c r="U2639" s="320"/>
    </row>
    <row r="2640" spans="1:21" s="325" customFormat="1" outlineLevel="3">
      <c r="A2640" s="585"/>
      <c r="B2640" s="585"/>
      <c r="C2640" s="332">
        <v>2210303</v>
      </c>
      <c r="D2640" s="592" t="s">
        <v>27</v>
      </c>
      <c r="E2640" s="587">
        <v>204856</v>
      </c>
      <c r="F2640" s="594"/>
      <c r="G2640" s="594"/>
      <c r="H2640" s="594"/>
      <c r="I2640" s="324">
        <f t="shared" si="1909"/>
        <v>204856</v>
      </c>
      <c r="J2640" s="594"/>
      <c r="K2640" s="315"/>
      <c r="L2640" s="317">
        <f t="shared" si="1939"/>
        <v>204856</v>
      </c>
      <c r="M2640" s="317"/>
      <c r="N2640" s="372">
        <f t="shared" si="1943"/>
        <v>0</v>
      </c>
      <c r="O2640" s="336">
        <f t="shared" si="1920"/>
        <v>225341.6</v>
      </c>
      <c r="P2640" s="940">
        <f t="shared" si="1947"/>
        <v>247875.76000000004</v>
      </c>
      <c r="R2640" s="317"/>
      <c r="U2640" s="320"/>
    </row>
    <row r="2641" spans="1:21" s="344" customFormat="1" outlineLevel="3">
      <c r="A2641" s="588"/>
      <c r="B2641" s="588"/>
      <c r="C2641" s="589">
        <v>2211100</v>
      </c>
      <c r="D2641" s="589" t="s">
        <v>51</v>
      </c>
      <c r="E2641" s="605">
        <f>E2642+E2643</f>
        <v>416668</v>
      </c>
      <c r="F2641" s="605">
        <f t="shared" ref="F2641:K2641" si="1948">F2642+F2643</f>
        <v>0</v>
      </c>
      <c r="G2641" s="605">
        <f t="shared" si="1948"/>
        <v>0</v>
      </c>
      <c r="H2641" s="605">
        <f t="shared" si="1948"/>
        <v>0</v>
      </c>
      <c r="I2641" s="605">
        <f t="shared" si="1948"/>
        <v>416668</v>
      </c>
      <c r="J2641" s="605">
        <f t="shared" si="1948"/>
        <v>0</v>
      </c>
      <c r="K2641" s="605">
        <f t="shared" si="1948"/>
        <v>0</v>
      </c>
      <c r="L2641" s="317">
        <f t="shared" si="1939"/>
        <v>416668</v>
      </c>
      <c r="M2641" s="317"/>
      <c r="N2641" s="372">
        <f t="shared" si="1943"/>
        <v>0</v>
      </c>
      <c r="O2641" s="605">
        <f t="shared" ref="O2641:P2641" si="1949">O2642+O2643</f>
        <v>458334.80000000005</v>
      </c>
      <c r="P2641" s="939">
        <f t="shared" si="1949"/>
        <v>504168.28</v>
      </c>
      <c r="R2641" s="317"/>
      <c r="U2641" s="320"/>
    </row>
    <row r="2642" spans="1:21" s="344" customFormat="1" outlineLevel="3">
      <c r="A2642" s="585"/>
      <c r="B2642" s="585"/>
      <c r="C2642" s="592">
        <v>2211101</v>
      </c>
      <c r="D2642" s="330" t="s">
        <v>197</v>
      </c>
      <c r="E2642" s="587">
        <v>313277</v>
      </c>
      <c r="F2642" s="389"/>
      <c r="G2642" s="389"/>
      <c r="H2642" s="389"/>
      <c r="I2642" s="324">
        <f t="shared" si="1909"/>
        <v>313277</v>
      </c>
      <c r="J2642" s="389"/>
      <c r="K2642" s="315"/>
      <c r="L2642" s="317">
        <f t="shared" si="1939"/>
        <v>313277</v>
      </c>
      <c r="M2642" s="317"/>
      <c r="N2642" s="372">
        <f t="shared" si="1943"/>
        <v>0</v>
      </c>
      <c r="O2642" s="336">
        <f t="shared" si="1920"/>
        <v>344604.7</v>
      </c>
      <c r="P2642" s="940">
        <f t="shared" si="1947"/>
        <v>379065.17000000004</v>
      </c>
      <c r="R2642" s="317"/>
      <c r="U2642" s="320"/>
    </row>
    <row r="2643" spans="1:21" outlineLevel="3">
      <c r="A2643" s="585"/>
      <c r="B2643" s="585"/>
      <c r="C2643" s="592">
        <v>2211102</v>
      </c>
      <c r="D2643" s="592" t="s">
        <v>53</v>
      </c>
      <c r="E2643" s="587">
        <v>103391</v>
      </c>
      <c r="F2643" s="594"/>
      <c r="G2643" s="594"/>
      <c r="H2643" s="594"/>
      <c r="I2643" s="324">
        <f t="shared" si="1909"/>
        <v>103391</v>
      </c>
      <c r="J2643" s="594"/>
      <c r="K2643" s="315"/>
      <c r="L2643" s="317">
        <f t="shared" si="1939"/>
        <v>103391</v>
      </c>
      <c r="M2643" s="317"/>
      <c r="N2643" s="372">
        <f t="shared" si="1943"/>
        <v>0</v>
      </c>
      <c r="O2643" s="336">
        <f t="shared" si="1920"/>
        <v>113730.1</v>
      </c>
      <c r="P2643" s="964">
        <f>O2643*1.1</f>
        <v>125103.11000000002</v>
      </c>
      <c r="R2643" s="317"/>
      <c r="U2643" s="320"/>
    </row>
    <row r="2644" spans="1:21" outlineLevel="3">
      <c r="A2644" s="588"/>
      <c r="B2644" s="588"/>
      <c r="C2644" s="620">
        <v>3111000</v>
      </c>
      <c r="D2644" s="589" t="s">
        <v>69</v>
      </c>
      <c r="E2644" s="622">
        <f>E2645</f>
        <v>120000</v>
      </c>
      <c r="F2644" s="622">
        <f t="shared" ref="F2644:K2644" si="1950">F2645</f>
        <v>0</v>
      </c>
      <c r="G2644" s="622">
        <f t="shared" si="1950"/>
        <v>0</v>
      </c>
      <c r="H2644" s="622">
        <f t="shared" si="1950"/>
        <v>0</v>
      </c>
      <c r="I2644" s="622">
        <f t="shared" si="1950"/>
        <v>120000</v>
      </c>
      <c r="J2644" s="622">
        <f t="shared" si="1950"/>
        <v>0</v>
      </c>
      <c r="K2644" s="622">
        <f t="shared" si="1950"/>
        <v>-60000</v>
      </c>
      <c r="L2644" s="317">
        <f t="shared" si="1939"/>
        <v>60000</v>
      </c>
      <c r="M2644" s="317"/>
      <c r="N2644" s="372">
        <f t="shared" si="1943"/>
        <v>60000</v>
      </c>
      <c r="O2644" s="622">
        <f t="shared" ref="O2644:P2644" si="1951">O2645</f>
        <v>66000</v>
      </c>
      <c r="P2644" s="965">
        <f t="shared" si="1951"/>
        <v>372978.87000000005</v>
      </c>
      <c r="R2644" s="317"/>
      <c r="U2644" s="320"/>
    </row>
    <row r="2645" spans="1:21" s="344" customFormat="1" outlineLevel="2">
      <c r="A2645" s="585"/>
      <c r="B2645" s="585"/>
      <c r="C2645" s="592">
        <v>3111001</v>
      </c>
      <c r="D2645" s="592" t="s">
        <v>70</v>
      </c>
      <c r="E2645" s="422">
        <v>120000</v>
      </c>
      <c r="F2645" s="594"/>
      <c r="G2645" s="594"/>
      <c r="H2645" s="594"/>
      <c r="I2645" s="324">
        <f t="shared" ref="I2645:I2706" si="1952">E2645+F2645+G2645+H2645</f>
        <v>120000</v>
      </c>
      <c r="J2645" s="594"/>
      <c r="K2645" s="315">
        <v>-60000</v>
      </c>
      <c r="L2645" s="317">
        <f t="shared" si="1939"/>
        <v>60000</v>
      </c>
      <c r="M2645" s="317"/>
      <c r="N2645" s="372">
        <f t="shared" si="1943"/>
        <v>60000</v>
      </c>
      <c r="O2645" s="336">
        <f t="shared" si="1920"/>
        <v>66000</v>
      </c>
      <c r="P2645" s="966">
        <f t="shared" ref="P2645" si="1953">P2636+P2640+P2643</f>
        <v>372978.87000000005</v>
      </c>
      <c r="Q2645" s="941"/>
      <c r="R2645" s="317"/>
      <c r="U2645" s="320"/>
    </row>
    <row r="2646" spans="1:21" s="325" customFormat="1" outlineLevel="2">
      <c r="A2646" s="588"/>
      <c r="B2646" s="588"/>
      <c r="C2646" s="589" t="s">
        <v>526</v>
      </c>
      <c r="D2646" s="955"/>
      <c r="E2646" s="605">
        <f>E2641+E2637+E2644</f>
        <v>1294218</v>
      </c>
      <c r="F2646" s="605">
        <f t="shared" ref="F2646:K2646" si="1954">F2641+F2637+F2644</f>
        <v>0</v>
      </c>
      <c r="G2646" s="605">
        <f t="shared" si="1954"/>
        <v>0</v>
      </c>
      <c r="H2646" s="605">
        <f t="shared" si="1954"/>
        <v>-244490</v>
      </c>
      <c r="I2646" s="605">
        <f t="shared" si="1954"/>
        <v>1049728</v>
      </c>
      <c r="J2646" s="605">
        <f t="shared" si="1954"/>
        <v>0</v>
      </c>
      <c r="K2646" s="605">
        <f t="shared" si="1954"/>
        <v>-60000</v>
      </c>
      <c r="L2646" s="317">
        <f t="shared" si="1939"/>
        <v>989728</v>
      </c>
      <c r="M2646" s="317"/>
      <c r="N2646" s="372">
        <f t="shared" si="1943"/>
        <v>60000</v>
      </c>
      <c r="O2646" s="605">
        <f t="shared" ref="O2646:P2646" si="1955">O2641+O2637+O2644</f>
        <v>1088700.8</v>
      </c>
      <c r="P2646" s="939">
        <f t="shared" si="1955"/>
        <v>1497949.7500000002</v>
      </c>
      <c r="R2646" s="317"/>
      <c r="U2646" s="320"/>
    </row>
    <row r="2647" spans="1:21" s="344" customFormat="1" outlineLevel="2">
      <c r="A2647" s="588"/>
      <c r="B2647" s="588"/>
      <c r="C2647" s="589"/>
      <c r="D2647" s="955"/>
      <c r="E2647" s="587"/>
      <c r="F2647" s="967"/>
      <c r="G2647" s="967"/>
      <c r="H2647" s="967"/>
      <c r="I2647" s="324">
        <f t="shared" si="1952"/>
        <v>0</v>
      </c>
      <c r="J2647" s="967"/>
      <c r="K2647" s="315"/>
      <c r="L2647" s="317">
        <f t="shared" si="1939"/>
        <v>0</v>
      </c>
      <c r="M2647" s="317"/>
      <c r="N2647" s="372">
        <f t="shared" si="1943"/>
        <v>0</v>
      </c>
      <c r="O2647" s="336">
        <f t="shared" si="1920"/>
        <v>0</v>
      </c>
      <c r="P2647" s="940">
        <f t="shared" si="1947"/>
        <v>0</v>
      </c>
      <c r="R2647" s="317"/>
      <c r="U2647" s="320"/>
    </row>
    <row r="2648" spans="1:21" s="344" customFormat="1" outlineLevel="3">
      <c r="A2648" s="588"/>
      <c r="B2648" s="588"/>
      <c r="C2648" s="589"/>
      <c r="D2648" s="955" t="s">
        <v>92</v>
      </c>
      <c r="E2648" s="587"/>
      <c r="F2648" s="967"/>
      <c r="G2648" s="967"/>
      <c r="H2648" s="967"/>
      <c r="I2648" s="324">
        <f t="shared" si="1952"/>
        <v>0</v>
      </c>
      <c r="J2648" s="967"/>
      <c r="K2648" s="315"/>
      <c r="L2648" s="317">
        <f t="shared" si="1939"/>
        <v>0</v>
      </c>
      <c r="M2648" s="317"/>
      <c r="N2648" s="372">
        <f t="shared" si="1943"/>
        <v>0</v>
      </c>
      <c r="O2648" s="336">
        <f t="shared" si="1920"/>
        <v>0</v>
      </c>
      <c r="P2648" s="957"/>
      <c r="R2648" s="317"/>
      <c r="U2648" s="320"/>
    </row>
    <row r="2649" spans="1:21" s="344" customFormat="1" outlineLevel="3">
      <c r="A2649" s="588"/>
      <c r="B2649" s="588"/>
      <c r="C2649" s="770">
        <v>2630200</v>
      </c>
      <c r="D2649" s="338" t="s">
        <v>534</v>
      </c>
      <c r="E2649" s="605">
        <f>E2651+E2650</f>
        <v>57636701</v>
      </c>
      <c r="F2649" s="605">
        <f t="shared" ref="F2649:K2649" si="1956">F2651+F2650</f>
        <v>191238473</v>
      </c>
      <c r="G2649" s="605">
        <f t="shared" si="1956"/>
        <v>0</v>
      </c>
      <c r="H2649" s="605">
        <f t="shared" si="1956"/>
        <v>0</v>
      </c>
      <c r="I2649" s="605">
        <f t="shared" si="1956"/>
        <v>248875174</v>
      </c>
      <c r="J2649" s="605">
        <f t="shared" si="1956"/>
        <v>0</v>
      </c>
      <c r="K2649" s="605">
        <f t="shared" si="1956"/>
        <v>0</v>
      </c>
      <c r="L2649" s="317">
        <f t="shared" si="1939"/>
        <v>248875174</v>
      </c>
      <c r="M2649" s="317"/>
      <c r="N2649" s="372">
        <f t="shared" si="1943"/>
        <v>0</v>
      </c>
      <c r="O2649" s="605">
        <f t="shared" ref="O2649:P2649" si="1957">O2651+O2650</f>
        <v>273762691.40000004</v>
      </c>
      <c r="P2649" s="939">
        <f t="shared" si="1957"/>
        <v>69740408.210000008</v>
      </c>
      <c r="R2649" s="317"/>
      <c r="U2649" s="320"/>
    </row>
    <row r="2650" spans="1:21" s="344" customFormat="1" outlineLevel="3">
      <c r="A2650" s="588"/>
      <c r="B2650" s="588"/>
      <c r="C2650" s="773">
        <v>2630203</v>
      </c>
      <c r="D2650" s="330" t="s">
        <v>2060</v>
      </c>
      <c r="E2650" s="605"/>
      <c r="F2650" s="587">
        <v>191238473</v>
      </c>
      <c r="G2650" s="397"/>
      <c r="H2650" s="397"/>
      <c r="I2650" s="324">
        <f t="shared" si="1952"/>
        <v>191238473</v>
      </c>
      <c r="J2650" s="397"/>
      <c r="K2650" s="315"/>
      <c r="L2650" s="317">
        <f t="shared" si="1939"/>
        <v>191238473</v>
      </c>
      <c r="M2650" s="317"/>
      <c r="N2650" s="372">
        <f t="shared" si="1943"/>
        <v>0</v>
      </c>
      <c r="O2650" s="336">
        <f t="shared" si="1920"/>
        <v>210362320.30000001</v>
      </c>
      <c r="P2650" s="957"/>
      <c r="R2650" s="317"/>
      <c r="U2650" s="320"/>
    </row>
    <row r="2651" spans="1:21" s="344" customFormat="1" outlineLevel="2">
      <c r="A2651" s="585"/>
      <c r="B2651" s="585"/>
      <c r="C2651" s="773">
        <v>2630203</v>
      </c>
      <c r="D2651" s="330" t="s">
        <v>535</v>
      </c>
      <c r="E2651" s="587">
        <f>52636701+5000000</f>
        <v>57636701</v>
      </c>
      <c r="F2651" s="389"/>
      <c r="G2651" s="389"/>
      <c r="H2651" s="389"/>
      <c r="I2651" s="324">
        <f t="shared" si="1952"/>
        <v>57636701</v>
      </c>
      <c r="J2651" s="389"/>
      <c r="K2651" s="315"/>
      <c r="L2651" s="317">
        <f t="shared" si="1939"/>
        <v>57636701</v>
      </c>
      <c r="M2651" s="317"/>
      <c r="N2651" s="372">
        <f t="shared" si="1943"/>
        <v>0</v>
      </c>
      <c r="O2651" s="336">
        <f t="shared" si="1920"/>
        <v>63400371.100000001</v>
      </c>
      <c r="P2651" s="940">
        <f t="shared" si="1947"/>
        <v>69740408.210000008</v>
      </c>
      <c r="R2651" s="317"/>
      <c r="U2651" s="320"/>
    </row>
    <row r="2652" spans="1:21" s="344" customFormat="1" outlineLevel="1">
      <c r="A2652" s="588"/>
      <c r="B2652" s="588"/>
      <c r="C2652" s="340" t="s">
        <v>175</v>
      </c>
      <c r="D2652" s="338"/>
      <c r="E2652" s="605">
        <f>E2649</f>
        <v>57636701</v>
      </c>
      <c r="F2652" s="605">
        <f t="shared" ref="F2652:P2652" si="1958">F2649</f>
        <v>191238473</v>
      </c>
      <c r="G2652" s="605">
        <f t="shared" si="1958"/>
        <v>0</v>
      </c>
      <c r="H2652" s="605">
        <f t="shared" si="1958"/>
        <v>0</v>
      </c>
      <c r="I2652" s="605">
        <f t="shared" si="1958"/>
        <v>248875174</v>
      </c>
      <c r="J2652" s="605">
        <f t="shared" si="1958"/>
        <v>0</v>
      </c>
      <c r="K2652" s="605">
        <f t="shared" si="1958"/>
        <v>0</v>
      </c>
      <c r="L2652" s="317">
        <f t="shared" si="1939"/>
        <v>248875174</v>
      </c>
      <c r="M2652" s="317"/>
      <c r="N2652" s="372">
        <f t="shared" si="1943"/>
        <v>0</v>
      </c>
      <c r="O2652" s="605">
        <f t="shared" si="1958"/>
        <v>273762691.40000004</v>
      </c>
      <c r="P2652" s="605">
        <f t="shared" si="1958"/>
        <v>69740408.210000008</v>
      </c>
      <c r="R2652" s="317"/>
      <c r="U2652" s="320"/>
    </row>
    <row r="2653" spans="1:21" s="344" customFormat="1" outlineLevel="1">
      <c r="A2653" s="588"/>
      <c r="B2653" s="588"/>
      <c r="C2653" s="340" t="s">
        <v>84</v>
      </c>
      <c r="D2653" s="338"/>
      <c r="E2653" s="605">
        <f>E2652+E2646</f>
        <v>58930919</v>
      </c>
      <c r="F2653" s="605">
        <f t="shared" ref="F2653:K2653" si="1959">F2652+F2646</f>
        <v>191238473</v>
      </c>
      <c r="G2653" s="605">
        <f t="shared" si="1959"/>
        <v>0</v>
      </c>
      <c r="H2653" s="605">
        <f t="shared" si="1959"/>
        <v>-244490</v>
      </c>
      <c r="I2653" s="605">
        <f t="shared" si="1959"/>
        <v>249924902</v>
      </c>
      <c r="J2653" s="605">
        <f t="shared" si="1959"/>
        <v>0</v>
      </c>
      <c r="K2653" s="605">
        <f t="shared" si="1959"/>
        <v>-60000</v>
      </c>
      <c r="L2653" s="317">
        <f t="shared" si="1939"/>
        <v>249864902</v>
      </c>
      <c r="M2653" s="317"/>
      <c r="N2653" s="372">
        <f t="shared" si="1943"/>
        <v>60000</v>
      </c>
      <c r="O2653" s="605">
        <f t="shared" ref="O2653:P2653" si="1960">O2652+O2646</f>
        <v>274851392.20000005</v>
      </c>
      <c r="P2653" s="939">
        <f t="shared" si="1960"/>
        <v>71238357.960000008</v>
      </c>
      <c r="R2653" s="317"/>
      <c r="U2653" s="320"/>
    </row>
    <row r="2654" spans="1:21" s="325" customFormat="1" outlineLevel="1">
      <c r="A2654" s="588"/>
      <c r="B2654" s="588"/>
      <c r="C2654" s="381"/>
      <c r="D2654" s="338"/>
      <c r="E2654" s="587"/>
      <c r="F2654" s="397"/>
      <c r="G2654" s="397"/>
      <c r="H2654" s="397"/>
      <c r="I2654" s="324">
        <f t="shared" si="1952"/>
        <v>0</v>
      </c>
      <c r="J2654" s="397"/>
      <c r="K2654" s="315"/>
      <c r="L2654" s="317">
        <f t="shared" si="1939"/>
        <v>0</v>
      </c>
      <c r="M2654" s="317"/>
      <c r="N2654" s="372">
        <f t="shared" si="1943"/>
        <v>0</v>
      </c>
      <c r="O2654" s="336">
        <f t="shared" si="1920"/>
        <v>0</v>
      </c>
      <c r="P2654" s="940">
        <f t="shared" si="1947"/>
        <v>0</v>
      </c>
      <c r="R2654" s="317"/>
      <c r="U2654" s="320"/>
    </row>
    <row r="2655" spans="1:21" s="344" customFormat="1" outlineLevel="1">
      <c r="A2655" s="588" t="s">
        <v>144</v>
      </c>
      <c r="B2655" s="588"/>
      <c r="C2655" s="340" t="s">
        <v>1726</v>
      </c>
      <c r="D2655" s="338"/>
      <c r="E2655" s="587"/>
      <c r="F2655" s="397"/>
      <c r="G2655" s="397"/>
      <c r="H2655" s="397"/>
      <c r="I2655" s="324">
        <f t="shared" si="1952"/>
        <v>0</v>
      </c>
      <c r="J2655" s="397"/>
      <c r="K2655" s="315"/>
      <c r="L2655" s="317">
        <f t="shared" si="1939"/>
        <v>0</v>
      </c>
      <c r="M2655" s="317"/>
      <c r="N2655" s="372">
        <f t="shared" si="1943"/>
        <v>0</v>
      </c>
      <c r="O2655" s="336">
        <f t="shared" si="1920"/>
        <v>0</v>
      </c>
      <c r="P2655" s="940">
        <f t="shared" ref="P2655:P2673" si="1961">O2655*1.1</f>
        <v>0</v>
      </c>
      <c r="R2655" s="317"/>
      <c r="U2655" s="320"/>
    </row>
    <row r="2656" spans="1:21" s="344" customFormat="1" outlineLevel="3">
      <c r="A2656" s="588"/>
      <c r="B2656" s="907" t="s">
        <v>146</v>
      </c>
      <c r="C2656" s="340" t="s">
        <v>1727</v>
      </c>
      <c r="D2656" s="338"/>
      <c r="E2656" s="587"/>
      <c r="F2656" s="397"/>
      <c r="G2656" s="397"/>
      <c r="H2656" s="397"/>
      <c r="I2656" s="324">
        <f t="shared" si="1952"/>
        <v>0</v>
      </c>
      <c r="J2656" s="397"/>
      <c r="K2656" s="315"/>
      <c r="L2656" s="317">
        <f t="shared" si="1939"/>
        <v>0</v>
      </c>
      <c r="M2656" s="317"/>
      <c r="N2656" s="372">
        <f t="shared" si="1943"/>
        <v>0</v>
      </c>
      <c r="O2656" s="336">
        <f t="shared" si="1920"/>
        <v>0</v>
      </c>
      <c r="P2656" s="957"/>
      <c r="R2656" s="317"/>
      <c r="U2656" s="320"/>
    </row>
    <row r="2657" spans="1:21" s="344" customFormat="1" outlineLevel="3">
      <c r="A2657" s="588"/>
      <c r="B2657" s="907"/>
      <c r="C2657" s="589">
        <v>2210100</v>
      </c>
      <c r="D2657" s="589" t="s">
        <v>16</v>
      </c>
      <c r="E2657" s="605">
        <f>E2658</f>
        <v>120000</v>
      </c>
      <c r="F2657" s="605">
        <f t="shared" ref="F2657:K2657" si="1962">F2658</f>
        <v>0</v>
      </c>
      <c r="G2657" s="605">
        <f t="shared" si="1962"/>
        <v>0</v>
      </c>
      <c r="H2657" s="605">
        <f t="shared" si="1962"/>
        <v>0</v>
      </c>
      <c r="I2657" s="605">
        <f t="shared" si="1962"/>
        <v>120000</v>
      </c>
      <c r="J2657" s="605">
        <f t="shared" si="1962"/>
        <v>0</v>
      </c>
      <c r="K2657" s="605">
        <f t="shared" si="1962"/>
        <v>0</v>
      </c>
      <c r="L2657" s="317">
        <f t="shared" si="1939"/>
        <v>120000</v>
      </c>
      <c r="M2657" s="317"/>
      <c r="N2657" s="372">
        <f t="shared" si="1943"/>
        <v>0</v>
      </c>
      <c r="O2657" s="605">
        <f t="shared" ref="O2657:P2657" si="1963">O2658</f>
        <v>132000</v>
      </c>
      <c r="P2657" s="939">
        <f t="shared" si="1963"/>
        <v>145200</v>
      </c>
      <c r="R2657" s="317"/>
      <c r="U2657" s="320"/>
    </row>
    <row r="2658" spans="1:21" s="325" customFormat="1" outlineLevel="3">
      <c r="A2658" s="588"/>
      <c r="B2658" s="907"/>
      <c r="C2658" s="592">
        <v>2210102</v>
      </c>
      <c r="D2658" s="592" t="s">
        <v>18</v>
      </c>
      <c r="E2658" s="587">
        <v>120000</v>
      </c>
      <c r="F2658" s="594"/>
      <c r="G2658" s="594"/>
      <c r="H2658" s="594"/>
      <c r="I2658" s="324">
        <f t="shared" si="1952"/>
        <v>120000</v>
      </c>
      <c r="J2658" s="594"/>
      <c r="K2658" s="315"/>
      <c r="L2658" s="317">
        <f t="shared" si="1939"/>
        <v>120000</v>
      </c>
      <c r="M2658" s="317"/>
      <c r="N2658" s="372">
        <f t="shared" si="1943"/>
        <v>0</v>
      </c>
      <c r="O2658" s="336">
        <f t="shared" si="1920"/>
        <v>132000</v>
      </c>
      <c r="P2658" s="968">
        <f>O2658*1.1</f>
        <v>145200</v>
      </c>
      <c r="Q2658" s="941"/>
      <c r="R2658" s="317"/>
      <c r="U2658" s="320"/>
    </row>
    <row r="2659" spans="1:21" s="325" customFormat="1" outlineLevel="3">
      <c r="A2659" s="588"/>
      <c r="B2659" s="588"/>
      <c r="C2659" s="340">
        <v>2210300</v>
      </c>
      <c r="D2659" s="589" t="s">
        <v>24</v>
      </c>
      <c r="E2659" s="605">
        <f>E2660+E2661+E2662</f>
        <v>724279</v>
      </c>
      <c r="F2659" s="605">
        <f t="shared" ref="F2659:K2659" si="1964">F2660+F2661+F2662</f>
        <v>0</v>
      </c>
      <c r="G2659" s="605">
        <f t="shared" si="1964"/>
        <v>0</v>
      </c>
      <c r="H2659" s="605">
        <f t="shared" si="1964"/>
        <v>0</v>
      </c>
      <c r="I2659" s="605">
        <f t="shared" si="1964"/>
        <v>724279</v>
      </c>
      <c r="J2659" s="605">
        <f t="shared" si="1964"/>
        <v>0</v>
      </c>
      <c r="K2659" s="605">
        <f t="shared" si="1964"/>
        <v>0</v>
      </c>
      <c r="L2659" s="317">
        <f t="shared" si="1939"/>
        <v>724279</v>
      </c>
      <c r="M2659" s="317"/>
      <c r="N2659" s="372">
        <f t="shared" si="1943"/>
        <v>0</v>
      </c>
      <c r="O2659" s="605">
        <f t="shared" ref="O2659:P2659" si="1965">O2660+O2661+O2662</f>
        <v>796706.90000000014</v>
      </c>
      <c r="P2659" s="939">
        <f t="shared" si="1965"/>
        <v>506291.83000000007</v>
      </c>
      <c r="R2659" s="317"/>
      <c r="U2659" s="320"/>
    </row>
    <row r="2660" spans="1:21" s="325" customFormat="1" outlineLevel="3">
      <c r="A2660" s="585"/>
      <c r="B2660" s="585"/>
      <c r="C2660" s="332">
        <v>2210301</v>
      </c>
      <c r="D2660" s="592" t="s">
        <v>188</v>
      </c>
      <c r="E2660" s="587">
        <v>200280</v>
      </c>
      <c r="F2660" s="594"/>
      <c r="G2660" s="594"/>
      <c r="H2660" s="594"/>
      <c r="I2660" s="324">
        <f t="shared" si="1952"/>
        <v>200280</v>
      </c>
      <c r="J2660" s="594"/>
      <c r="K2660" s="315"/>
      <c r="L2660" s="317">
        <f t="shared" si="1939"/>
        <v>200280</v>
      </c>
      <c r="M2660" s="317"/>
      <c r="N2660" s="372">
        <f t="shared" si="1943"/>
        <v>0</v>
      </c>
      <c r="O2660" s="336">
        <f t="shared" si="1920"/>
        <v>220308.00000000003</v>
      </c>
      <c r="P2660" s="940">
        <f t="shared" ref="P2660:P2661" si="1966">O2660*1.1</f>
        <v>242338.80000000005</v>
      </c>
      <c r="Q2660" s="941"/>
      <c r="R2660" s="317"/>
      <c r="U2660" s="320"/>
    </row>
    <row r="2661" spans="1:21" s="325" customFormat="1" outlineLevel="3">
      <c r="A2661" s="585"/>
      <c r="B2661" s="585"/>
      <c r="C2661" s="332">
        <v>2210302</v>
      </c>
      <c r="D2661" s="592" t="s">
        <v>26</v>
      </c>
      <c r="E2661" s="587">
        <v>218143</v>
      </c>
      <c r="F2661" s="594"/>
      <c r="G2661" s="594"/>
      <c r="H2661" s="594"/>
      <c r="I2661" s="324">
        <f t="shared" si="1952"/>
        <v>218143</v>
      </c>
      <c r="J2661" s="594"/>
      <c r="K2661" s="315"/>
      <c r="L2661" s="317">
        <f t="shared" si="1939"/>
        <v>218143</v>
      </c>
      <c r="M2661" s="317"/>
      <c r="N2661" s="372">
        <f t="shared" si="1943"/>
        <v>0</v>
      </c>
      <c r="O2661" s="336">
        <f t="shared" si="1920"/>
        <v>239957.30000000002</v>
      </c>
      <c r="P2661" s="940">
        <f t="shared" si="1966"/>
        <v>263953.03000000003</v>
      </c>
      <c r="Q2661" s="941"/>
      <c r="R2661" s="317"/>
      <c r="U2661" s="320"/>
    </row>
    <row r="2662" spans="1:21" s="325" customFormat="1" outlineLevel="3">
      <c r="A2662" s="585"/>
      <c r="B2662" s="585"/>
      <c r="C2662" s="332">
        <v>2210303</v>
      </c>
      <c r="D2662" s="592" t="s">
        <v>27</v>
      </c>
      <c r="E2662" s="587">
        <v>305856</v>
      </c>
      <c r="F2662" s="594"/>
      <c r="G2662" s="594"/>
      <c r="H2662" s="594"/>
      <c r="I2662" s="324">
        <f t="shared" si="1952"/>
        <v>305856</v>
      </c>
      <c r="J2662" s="594"/>
      <c r="K2662" s="315"/>
      <c r="L2662" s="317">
        <f t="shared" si="1939"/>
        <v>305856</v>
      </c>
      <c r="M2662" s="317"/>
      <c r="N2662" s="372">
        <f t="shared" si="1943"/>
        <v>0</v>
      </c>
      <c r="O2662" s="336">
        <f t="shared" si="1920"/>
        <v>336441.60000000003</v>
      </c>
      <c r="P2662" s="957"/>
      <c r="R2662" s="317"/>
      <c r="U2662" s="320"/>
    </row>
    <row r="2663" spans="1:21" s="325" customFormat="1" outlineLevel="3">
      <c r="A2663" s="588"/>
      <c r="B2663" s="588"/>
      <c r="C2663" s="589">
        <v>2210500</v>
      </c>
      <c r="D2663" s="589" t="s">
        <v>31</v>
      </c>
      <c r="E2663" s="605">
        <f>E2664</f>
        <v>256000</v>
      </c>
      <c r="F2663" s="605">
        <f t="shared" ref="F2663:K2663" si="1967">F2664</f>
        <v>0</v>
      </c>
      <c r="G2663" s="605">
        <f t="shared" si="1967"/>
        <v>0</v>
      </c>
      <c r="H2663" s="605">
        <f t="shared" si="1967"/>
        <v>0</v>
      </c>
      <c r="I2663" s="605">
        <f t="shared" si="1967"/>
        <v>256000</v>
      </c>
      <c r="J2663" s="605">
        <f t="shared" si="1967"/>
        <v>0</v>
      </c>
      <c r="K2663" s="605">
        <f t="shared" si="1967"/>
        <v>0</v>
      </c>
      <c r="L2663" s="317">
        <f t="shared" si="1939"/>
        <v>256000</v>
      </c>
      <c r="M2663" s="317"/>
      <c r="N2663" s="372">
        <f t="shared" si="1943"/>
        <v>0</v>
      </c>
      <c r="O2663" s="605">
        <f t="shared" ref="O2663:P2663" si="1968">O2664</f>
        <v>281600</v>
      </c>
      <c r="P2663" s="939">
        <f t="shared" si="1968"/>
        <v>309760</v>
      </c>
      <c r="R2663" s="317"/>
      <c r="U2663" s="320"/>
    </row>
    <row r="2664" spans="1:21" s="344" customFormat="1" outlineLevel="3">
      <c r="A2664" s="585"/>
      <c r="B2664" s="585"/>
      <c r="C2664" s="592">
        <v>2210505</v>
      </c>
      <c r="D2664" s="592" t="s">
        <v>192</v>
      </c>
      <c r="E2664" s="587">
        <v>256000</v>
      </c>
      <c r="F2664" s="594"/>
      <c r="G2664" s="594"/>
      <c r="H2664" s="594"/>
      <c r="I2664" s="324">
        <f t="shared" si="1952"/>
        <v>256000</v>
      </c>
      <c r="J2664" s="594"/>
      <c r="K2664" s="315"/>
      <c r="L2664" s="317">
        <f t="shared" si="1939"/>
        <v>256000</v>
      </c>
      <c r="M2664" s="317"/>
      <c r="N2664" s="372">
        <f t="shared" si="1943"/>
        <v>0</v>
      </c>
      <c r="O2664" s="336">
        <f t="shared" ref="O2664:O2726" si="1969">L2664*1.1</f>
        <v>281600</v>
      </c>
      <c r="P2664" s="968">
        <f>O2664*1.1</f>
        <v>309760</v>
      </c>
      <c r="Q2664" s="941"/>
      <c r="R2664" s="317"/>
      <c r="U2664" s="320"/>
    </row>
    <row r="2665" spans="1:21" s="325" customFormat="1" outlineLevel="3">
      <c r="A2665" s="588"/>
      <c r="B2665" s="588"/>
      <c r="C2665" s="589">
        <v>2210600</v>
      </c>
      <c r="D2665" s="589" t="s">
        <v>154</v>
      </c>
      <c r="E2665" s="605">
        <f>E2666</f>
        <v>223900</v>
      </c>
      <c r="F2665" s="605">
        <f t="shared" ref="F2665:P2665" si="1970">F2666</f>
        <v>0</v>
      </c>
      <c r="G2665" s="605">
        <f t="shared" si="1970"/>
        <v>0</v>
      </c>
      <c r="H2665" s="605">
        <f t="shared" si="1970"/>
        <v>0</v>
      </c>
      <c r="I2665" s="605">
        <f t="shared" si="1970"/>
        <v>223900</v>
      </c>
      <c r="J2665" s="605">
        <f t="shared" si="1970"/>
        <v>0</v>
      </c>
      <c r="K2665" s="605">
        <f t="shared" si="1970"/>
        <v>-223000</v>
      </c>
      <c r="L2665" s="317">
        <f t="shared" si="1939"/>
        <v>900</v>
      </c>
      <c r="M2665" s="317"/>
      <c r="N2665" s="372">
        <f t="shared" si="1943"/>
        <v>223000</v>
      </c>
      <c r="O2665" s="605">
        <f t="shared" si="1970"/>
        <v>990.00000000000011</v>
      </c>
      <c r="P2665" s="605">
        <f t="shared" si="1970"/>
        <v>1089.0000000000002</v>
      </c>
      <c r="R2665" s="317"/>
      <c r="U2665" s="320"/>
    </row>
    <row r="2666" spans="1:21" s="344" customFormat="1" outlineLevel="3">
      <c r="A2666" s="585"/>
      <c r="B2666" s="585"/>
      <c r="C2666" s="592">
        <v>2210606</v>
      </c>
      <c r="D2666" s="592" t="s">
        <v>523</v>
      </c>
      <c r="E2666" s="587">
        <v>223900</v>
      </c>
      <c r="F2666" s="594"/>
      <c r="G2666" s="594"/>
      <c r="H2666" s="594"/>
      <c r="I2666" s="324">
        <f t="shared" si="1952"/>
        <v>223900</v>
      </c>
      <c r="J2666" s="594"/>
      <c r="K2666" s="315">
        <v>-223000</v>
      </c>
      <c r="L2666" s="317">
        <f t="shared" si="1939"/>
        <v>900</v>
      </c>
      <c r="M2666" s="317"/>
      <c r="N2666" s="372">
        <f t="shared" si="1943"/>
        <v>223000</v>
      </c>
      <c r="O2666" s="336">
        <f t="shared" si="1969"/>
        <v>990.00000000000011</v>
      </c>
      <c r="P2666" s="968">
        <f t="shared" ref="P2666" si="1971">O2666*1.1</f>
        <v>1089.0000000000002</v>
      </c>
      <c r="Q2666" s="941"/>
      <c r="R2666" s="317"/>
      <c r="U2666" s="320"/>
    </row>
    <row r="2667" spans="1:21" s="325" customFormat="1" outlineLevel="3">
      <c r="A2667" s="588"/>
      <c r="B2667" s="588"/>
      <c r="C2667" s="589">
        <v>2211000</v>
      </c>
      <c r="D2667" s="589" t="s">
        <v>118</v>
      </c>
      <c r="E2667" s="605">
        <f>E2668</f>
        <v>220000</v>
      </c>
      <c r="F2667" s="605">
        <f t="shared" ref="F2667:K2667" si="1972">F2668</f>
        <v>0</v>
      </c>
      <c r="G2667" s="605">
        <f t="shared" si="1972"/>
        <v>0</v>
      </c>
      <c r="H2667" s="605">
        <f t="shared" si="1972"/>
        <v>0</v>
      </c>
      <c r="I2667" s="605">
        <f t="shared" si="1972"/>
        <v>220000</v>
      </c>
      <c r="J2667" s="605">
        <f t="shared" si="1972"/>
        <v>0</v>
      </c>
      <c r="K2667" s="605">
        <f t="shared" si="1972"/>
        <v>0</v>
      </c>
      <c r="L2667" s="317">
        <f t="shared" si="1939"/>
        <v>220000</v>
      </c>
      <c r="M2667" s="317"/>
      <c r="N2667" s="372">
        <f t="shared" si="1943"/>
        <v>0</v>
      </c>
      <c r="O2667" s="605">
        <f t="shared" ref="O2667:P2667" si="1973">O2668</f>
        <v>242000.00000000003</v>
      </c>
      <c r="P2667" s="939">
        <f t="shared" si="1973"/>
        <v>266200.00000000006</v>
      </c>
      <c r="R2667" s="317"/>
      <c r="U2667" s="320"/>
    </row>
    <row r="2668" spans="1:21" s="344" customFormat="1" outlineLevel="3">
      <c r="A2668" s="585"/>
      <c r="B2668" s="585"/>
      <c r="C2668" s="592">
        <v>2211016</v>
      </c>
      <c r="D2668" s="592" t="s">
        <v>196</v>
      </c>
      <c r="E2668" s="587">
        <v>220000</v>
      </c>
      <c r="F2668" s="594"/>
      <c r="G2668" s="594"/>
      <c r="H2668" s="594"/>
      <c r="I2668" s="324">
        <f t="shared" si="1952"/>
        <v>220000</v>
      </c>
      <c r="J2668" s="594"/>
      <c r="K2668" s="315"/>
      <c r="L2668" s="317">
        <f t="shared" si="1939"/>
        <v>220000</v>
      </c>
      <c r="M2668" s="317"/>
      <c r="N2668" s="372">
        <f t="shared" si="1943"/>
        <v>0</v>
      </c>
      <c r="O2668" s="336">
        <f t="shared" si="1969"/>
        <v>242000.00000000003</v>
      </c>
      <c r="P2668" s="968">
        <f t="shared" ref="P2668" si="1974">O2668*1.1</f>
        <v>266200.00000000006</v>
      </c>
      <c r="R2668" s="317"/>
      <c r="U2668" s="320"/>
    </row>
    <row r="2669" spans="1:21" s="344" customFormat="1" outlineLevel="3">
      <c r="A2669" s="588"/>
      <c r="B2669" s="588"/>
      <c r="C2669" s="340">
        <v>2211000</v>
      </c>
      <c r="D2669" s="589" t="s">
        <v>118</v>
      </c>
      <c r="E2669" s="605">
        <f>E2670+E2671</f>
        <v>204000</v>
      </c>
      <c r="F2669" s="605">
        <f t="shared" ref="F2669:K2669" si="1975">F2670+F2671</f>
        <v>0</v>
      </c>
      <c r="G2669" s="605">
        <f t="shared" si="1975"/>
        <v>0</v>
      </c>
      <c r="H2669" s="605">
        <f t="shared" si="1975"/>
        <v>0</v>
      </c>
      <c r="I2669" s="605">
        <f t="shared" si="1975"/>
        <v>204000</v>
      </c>
      <c r="J2669" s="605">
        <f t="shared" si="1975"/>
        <v>0</v>
      </c>
      <c r="K2669" s="605">
        <f t="shared" si="1975"/>
        <v>0</v>
      </c>
      <c r="L2669" s="317">
        <f t="shared" si="1939"/>
        <v>204000</v>
      </c>
      <c r="M2669" s="317"/>
      <c r="N2669" s="372">
        <f t="shared" si="1943"/>
        <v>0</v>
      </c>
      <c r="O2669" s="605">
        <f t="shared" ref="O2669:P2669" si="1976">O2670+O2671</f>
        <v>224400.00000000003</v>
      </c>
      <c r="P2669" s="939">
        <f t="shared" si="1976"/>
        <v>246840.00000000006</v>
      </c>
      <c r="R2669" s="317"/>
      <c r="U2669" s="320"/>
    </row>
    <row r="2670" spans="1:21" s="325" customFormat="1" outlineLevel="3">
      <c r="A2670" s="585"/>
      <c r="B2670" s="585"/>
      <c r="C2670" s="332">
        <v>2211004</v>
      </c>
      <c r="D2670" s="592" t="s">
        <v>538</v>
      </c>
      <c r="E2670" s="587">
        <v>96000</v>
      </c>
      <c r="F2670" s="594"/>
      <c r="G2670" s="594"/>
      <c r="H2670" s="594"/>
      <c r="I2670" s="324">
        <f t="shared" si="1952"/>
        <v>96000</v>
      </c>
      <c r="J2670" s="594"/>
      <c r="K2670" s="315"/>
      <c r="L2670" s="317">
        <f t="shared" si="1939"/>
        <v>96000</v>
      </c>
      <c r="M2670" s="317"/>
      <c r="N2670" s="372">
        <f t="shared" si="1943"/>
        <v>0</v>
      </c>
      <c r="O2670" s="336">
        <f t="shared" si="1969"/>
        <v>105600.00000000001</v>
      </c>
      <c r="P2670" s="940">
        <f t="shared" si="1961"/>
        <v>116160.00000000003</v>
      </c>
      <c r="Q2670" s="941"/>
      <c r="R2670" s="317"/>
      <c r="U2670" s="320"/>
    </row>
    <row r="2671" spans="1:21" s="344" customFormat="1" outlineLevel="2">
      <c r="A2671" s="585"/>
      <c r="B2671" s="585"/>
      <c r="C2671" s="332">
        <v>2211007</v>
      </c>
      <c r="D2671" s="592" t="s">
        <v>309</v>
      </c>
      <c r="E2671" s="587">
        <v>108000</v>
      </c>
      <c r="F2671" s="594"/>
      <c r="G2671" s="594"/>
      <c r="H2671" s="594"/>
      <c r="I2671" s="324">
        <f t="shared" si="1952"/>
        <v>108000</v>
      </c>
      <c r="J2671" s="594"/>
      <c r="K2671" s="315"/>
      <c r="L2671" s="317">
        <f t="shared" si="1939"/>
        <v>108000</v>
      </c>
      <c r="M2671" s="317"/>
      <c r="N2671" s="372">
        <f t="shared" si="1943"/>
        <v>0</v>
      </c>
      <c r="O2671" s="336">
        <f t="shared" si="1969"/>
        <v>118800.00000000001</v>
      </c>
      <c r="P2671" s="957">
        <f>O2671*1.1</f>
        <v>130680.00000000003</v>
      </c>
      <c r="Q2671" s="941"/>
      <c r="R2671" s="317"/>
      <c r="U2671" s="320"/>
    </row>
    <row r="2672" spans="1:21" s="337" customFormat="1" outlineLevel="2">
      <c r="A2672" s="588"/>
      <c r="B2672" s="588"/>
      <c r="C2672" s="589" t="s">
        <v>526</v>
      </c>
      <c r="D2672" s="955"/>
      <c r="E2672" s="605">
        <f>E2657+E2659+E2663+E2665+E2667+E2669</f>
        <v>1748179</v>
      </c>
      <c r="F2672" s="605">
        <f t="shared" ref="F2672:P2672" si="1977">F2657+F2659+F2663+F2665+F2667+F2669</f>
        <v>0</v>
      </c>
      <c r="G2672" s="605">
        <f t="shared" si="1977"/>
        <v>0</v>
      </c>
      <c r="H2672" s="605">
        <f t="shared" si="1977"/>
        <v>0</v>
      </c>
      <c r="I2672" s="605">
        <f t="shared" si="1977"/>
        <v>1748179</v>
      </c>
      <c r="J2672" s="605">
        <f t="shared" si="1977"/>
        <v>0</v>
      </c>
      <c r="K2672" s="605">
        <f t="shared" si="1977"/>
        <v>-223000</v>
      </c>
      <c r="L2672" s="317">
        <f t="shared" si="1939"/>
        <v>1525179</v>
      </c>
      <c r="M2672" s="317"/>
      <c r="N2672" s="372">
        <f t="shared" si="1943"/>
        <v>223000</v>
      </c>
      <c r="O2672" s="605">
        <f t="shared" si="1977"/>
        <v>1677696.9000000001</v>
      </c>
      <c r="P2672" s="605">
        <f t="shared" si="1977"/>
        <v>1475380.83</v>
      </c>
      <c r="R2672" s="317"/>
      <c r="U2672" s="320"/>
    </row>
    <row r="2673" spans="1:21" outlineLevel="2">
      <c r="A2673" s="588"/>
      <c r="B2673" s="588"/>
      <c r="C2673" s="589"/>
      <c r="D2673" s="955"/>
      <c r="E2673" s="587"/>
      <c r="F2673" s="967"/>
      <c r="G2673" s="967"/>
      <c r="H2673" s="967"/>
      <c r="I2673" s="324">
        <f t="shared" si="1952"/>
        <v>0</v>
      </c>
      <c r="J2673" s="967"/>
      <c r="K2673" s="315"/>
      <c r="L2673" s="317">
        <f t="shared" si="1939"/>
        <v>0</v>
      </c>
      <c r="M2673" s="317"/>
      <c r="N2673" s="372">
        <f t="shared" si="1943"/>
        <v>0</v>
      </c>
      <c r="O2673" s="336">
        <f t="shared" si="1969"/>
        <v>0</v>
      </c>
      <c r="P2673" s="940">
        <f t="shared" si="1961"/>
        <v>0</v>
      </c>
      <c r="R2673" s="317"/>
      <c r="U2673" s="320"/>
    </row>
    <row r="2674" spans="1:21" s="325" customFormat="1" outlineLevel="3">
      <c r="A2674" s="588"/>
      <c r="B2674" s="588"/>
      <c r="C2674" s="589"/>
      <c r="D2674" s="955" t="s">
        <v>92</v>
      </c>
      <c r="E2674" s="587"/>
      <c r="F2674" s="967"/>
      <c r="G2674" s="967"/>
      <c r="H2674" s="967"/>
      <c r="I2674" s="324">
        <f t="shared" si="1952"/>
        <v>0</v>
      </c>
      <c r="J2674" s="967"/>
      <c r="K2674" s="315"/>
      <c r="L2674" s="317">
        <f t="shared" si="1939"/>
        <v>0</v>
      </c>
      <c r="M2674" s="317"/>
      <c r="N2674" s="372">
        <f t="shared" si="1943"/>
        <v>0</v>
      </c>
      <c r="O2674" s="336">
        <f t="shared" si="1969"/>
        <v>0</v>
      </c>
      <c r="P2674" s="964"/>
      <c r="R2674" s="317"/>
      <c r="U2674" s="320"/>
    </row>
    <row r="2675" spans="1:21" s="325" customFormat="1" outlineLevel="3">
      <c r="A2675" s="588"/>
      <c r="B2675" s="588"/>
      <c r="C2675" s="340">
        <v>3111300</v>
      </c>
      <c r="D2675" s="338" t="s">
        <v>539</v>
      </c>
      <c r="E2675" s="622">
        <f>E2676+E2677</f>
        <v>15445014</v>
      </c>
      <c r="F2675" s="622">
        <f t="shared" ref="F2675:K2675" si="1978">F2676+F2677</f>
        <v>0</v>
      </c>
      <c r="G2675" s="622">
        <f t="shared" si="1978"/>
        <v>0</v>
      </c>
      <c r="H2675" s="622">
        <f t="shared" si="1978"/>
        <v>0</v>
      </c>
      <c r="I2675" s="622">
        <f t="shared" si="1978"/>
        <v>15445014</v>
      </c>
      <c r="J2675" s="622">
        <f t="shared" si="1978"/>
        <v>0</v>
      </c>
      <c r="K2675" s="622">
        <f t="shared" si="1978"/>
        <v>0</v>
      </c>
      <c r="L2675" s="317">
        <f t="shared" si="1939"/>
        <v>15445014</v>
      </c>
      <c r="M2675" s="317"/>
      <c r="N2675" s="372">
        <f t="shared" si="1943"/>
        <v>0</v>
      </c>
      <c r="O2675" s="622">
        <f t="shared" ref="O2675:P2675" si="1979">O2676+O2677</f>
        <v>16989515.400000002</v>
      </c>
      <c r="P2675" s="965">
        <f t="shared" si="1979"/>
        <v>18688466.940000005</v>
      </c>
      <c r="R2675" s="317"/>
      <c r="U2675" s="320"/>
    </row>
    <row r="2676" spans="1:21" s="969" customFormat="1" outlineLevel="3">
      <c r="A2676" s="598"/>
      <c r="B2676" s="598"/>
      <c r="C2676" s="970">
        <v>3111305</v>
      </c>
      <c r="D2676" s="356" t="s">
        <v>1728</v>
      </c>
      <c r="E2676" s="971">
        <f>20000000-5000000</f>
        <v>15000000</v>
      </c>
      <c r="F2676" s="972"/>
      <c r="G2676" s="972"/>
      <c r="H2676" s="972">
        <f>-15000000+15000000</f>
        <v>0</v>
      </c>
      <c r="I2676" s="324">
        <f t="shared" si="1952"/>
        <v>15000000</v>
      </c>
      <c r="J2676" s="972"/>
      <c r="K2676" s="315"/>
      <c r="L2676" s="317">
        <f t="shared" si="1939"/>
        <v>15000000</v>
      </c>
      <c r="M2676" s="317"/>
      <c r="N2676" s="372">
        <f t="shared" si="1943"/>
        <v>0</v>
      </c>
      <c r="O2676" s="336">
        <f t="shared" si="1969"/>
        <v>16500000.000000002</v>
      </c>
      <c r="P2676" s="973">
        <f t="shared" ref="P2676" si="1980">O2676*1.1</f>
        <v>18150000.000000004</v>
      </c>
      <c r="Q2676" s="974"/>
      <c r="R2676" s="317"/>
      <c r="U2676" s="320"/>
    </row>
    <row r="2677" spans="1:21" s="325" customFormat="1" outlineLevel="3">
      <c r="A2677" s="588"/>
      <c r="B2677" s="588"/>
      <c r="C2677" s="332">
        <v>3111305</v>
      </c>
      <c r="D2677" s="330" t="s">
        <v>2438</v>
      </c>
      <c r="E2677" s="422">
        <v>445014</v>
      </c>
      <c r="F2677" s="389"/>
      <c r="G2677" s="389"/>
      <c r="H2677" s="389"/>
      <c r="I2677" s="324">
        <f t="shared" si="1952"/>
        <v>445014</v>
      </c>
      <c r="J2677" s="945">
        <f>-14279+(128558-114279)</f>
        <v>0</v>
      </c>
      <c r="K2677" s="315"/>
      <c r="L2677" s="317">
        <f t="shared" si="1939"/>
        <v>445014</v>
      </c>
      <c r="M2677" s="317"/>
      <c r="N2677" s="372">
        <f t="shared" si="1943"/>
        <v>0</v>
      </c>
      <c r="O2677" s="336">
        <f t="shared" si="1969"/>
        <v>489515.4</v>
      </c>
      <c r="P2677" s="975">
        <f>O2677*1.1</f>
        <v>538466.94000000006</v>
      </c>
      <c r="R2677" s="317"/>
      <c r="U2677" s="320"/>
    </row>
    <row r="2678" spans="1:21" s="325" customFormat="1" outlineLevel="3">
      <c r="A2678" s="588"/>
      <c r="B2678" s="588"/>
      <c r="C2678" s="340">
        <v>3111400</v>
      </c>
      <c r="D2678" s="338" t="s">
        <v>1729</v>
      </c>
      <c r="E2678" s="622">
        <f>E2679+E2680</f>
        <v>0</v>
      </c>
      <c r="F2678" s="397"/>
      <c r="G2678" s="397"/>
      <c r="H2678" s="397"/>
      <c r="I2678" s="324">
        <f t="shared" si="1952"/>
        <v>0</v>
      </c>
      <c r="J2678" s="397"/>
      <c r="K2678" s="315"/>
      <c r="L2678" s="317">
        <f t="shared" si="1939"/>
        <v>0</v>
      </c>
      <c r="M2678" s="317"/>
      <c r="N2678" s="372">
        <f t="shared" si="1943"/>
        <v>0</v>
      </c>
      <c r="O2678" s="336">
        <f t="shared" si="1969"/>
        <v>0</v>
      </c>
      <c r="P2678" s="964">
        <f t="shared" ref="P2678" si="1981">P2679+P2680</f>
        <v>0</v>
      </c>
      <c r="R2678" s="317"/>
      <c r="U2678" s="320"/>
    </row>
    <row r="2679" spans="1:21" s="350" customFormat="1" outlineLevel="2">
      <c r="A2679" s="598"/>
      <c r="B2679" s="598"/>
      <c r="C2679" s="970">
        <v>3111401</v>
      </c>
      <c r="D2679" s="356" t="s">
        <v>1730</v>
      </c>
      <c r="E2679" s="971">
        <f>13278720-13278720</f>
        <v>0</v>
      </c>
      <c r="F2679" s="972"/>
      <c r="G2679" s="972"/>
      <c r="H2679" s="972"/>
      <c r="I2679" s="324">
        <f t="shared" si="1952"/>
        <v>0</v>
      </c>
      <c r="J2679" s="972"/>
      <c r="K2679" s="315"/>
      <c r="L2679" s="317">
        <f t="shared" si="1939"/>
        <v>0</v>
      </c>
      <c r="M2679" s="317"/>
      <c r="N2679" s="372">
        <f t="shared" si="1943"/>
        <v>0</v>
      </c>
      <c r="O2679" s="336">
        <f t="shared" si="1969"/>
        <v>0</v>
      </c>
      <c r="P2679" s="976">
        <f t="shared" ref="P2679:P2680" si="1982">O2679*1.1</f>
        <v>0</v>
      </c>
      <c r="R2679" s="317"/>
      <c r="U2679" s="320"/>
    </row>
    <row r="2680" spans="1:21" s="350" customFormat="1" outlineLevel="1">
      <c r="A2680" s="598"/>
      <c r="B2680" s="598"/>
      <c r="C2680" s="970">
        <v>3111404</v>
      </c>
      <c r="D2680" s="356" t="s">
        <v>1731</v>
      </c>
      <c r="E2680" s="971">
        <f>6721280-6721280</f>
        <v>0</v>
      </c>
      <c r="F2680" s="972"/>
      <c r="G2680" s="972"/>
      <c r="H2680" s="972"/>
      <c r="I2680" s="324">
        <f t="shared" si="1952"/>
        <v>0</v>
      </c>
      <c r="J2680" s="972"/>
      <c r="K2680" s="315"/>
      <c r="L2680" s="317">
        <f t="shared" si="1939"/>
        <v>0</v>
      </c>
      <c r="M2680" s="317"/>
      <c r="N2680" s="372">
        <f t="shared" si="1943"/>
        <v>0</v>
      </c>
      <c r="O2680" s="336">
        <f t="shared" si="1969"/>
        <v>0</v>
      </c>
      <c r="P2680" s="976">
        <f t="shared" si="1982"/>
        <v>0</v>
      </c>
      <c r="R2680" s="317"/>
      <c r="U2680" s="320"/>
    </row>
    <row r="2681" spans="1:21" s="344" customFormat="1" outlineLevel="1">
      <c r="A2681" s="588"/>
      <c r="B2681" s="588"/>
      <c r="C2681" s="340" t="s">
        <v>175</v>
      </c>
      <c r="D2681" s="338"/>
      <c r="E2681" s="605">
        <f>E2675+E2678</f>
        <v>15445014</v>
      </c>
      <c r="F2681" s="605">
        <f t="shared" ref="F2681:P2681" si="1983">F2675+F2678</f>
        <v>0</v>
      </c>
      <c r="G2681" s="605">
        <f t="shared" si="1983"/>
        <v>0</v>
      </c>
      <c r="H2681" s="605">
        <f t="shared" si="1983"/>
        <v>0</v>
      </c>
      <c r="I2681" s="605">
        <f t="shared" si="1983"/>
        <v>15445014</v>
      </c>
      <c r="J2681" s="605">
        <f t="shared" si="1983"/>
        <v>0</v>
      </c>
      <c r="K2681" s="605">
        <f t="shared" si="1983"/>
        <v>0</v>
      </c>
      <c r="L2681" s="317">
        <f t="shared" si="1939"/>
        <v>15445014</v>
      </c>
      <c r="M2681" s="317"/>
      <c r="N2681" s="372">
        <f t="shared" si="1943"/>
        <v>0</v>
      </c>
      <c r="O2681" s="605">
        <f t="shared" si="1983"/>
        <v>16989515.400000002</v>
      </c>
      <c r="P2681" s="605">
        <f t="shared" si="1983"/>
        <v>18688466.940000005</v>
      </c>
      <c r="R2681" s="317"/>
      <c r="U2681" s="320"/>
    </row>
    <row r="2682" spans="1:21" s="344" customFormat="1" outlineLevel="1">
      <c r="A2682" s="588"/>
      <c r="B2682" s="588"/>
      <c r="C2682" s="340"/>
      <c r="D2682" s="338"/>
      <c r="E2682" s="605"/>
      <c r="F2682" s="397"/>
      <c r="G2682" s="397"/>
      <c r="H2682" s="397"/>
      <c r="I2682" s="324">
        <f t="shared" si="1952"/>
        <v>0</v>
      </c>
      <c r="J2682" s="397"/>
      <c r="K2682" s="315"/>
      <c r="L2682" s="317">
        <f t="shared" si="1939"/>
        <v>0</v>
      </c>
      <c r="M2682" s="317"/>
      <c r="N2682" s="372">
        <f t="shared" si="1943"/>
        <v>0</v>
      </c>
      <c r="O2682" s="336">
        <f t="shared" si="1969"/>
        <v>0</v>
      </c>
      <c r="P2682" s="940">
        <f t="shared" ref="P2682:P2697" si="1984">O2682*1.1</f>
        <v>0</v>
      </c>
      <c r="R2682" s="317"/>
      <c r="U2682" s="320"/>
    </row>
    <row r="2683" spans="1:21" s="325" customFormat="1" outlineLevel="1">
      <c r="A2683" s="588"/>
      <c r="B2683" s="588"/>
      <c r="C2683" s="340" t="s">
        <v>84</v>
      </c>
      <c r="D2683" s="338"/>
      <c r="E2683" s="605">
        <f>E2681+E2672</f>
        <v>17193193</v>
      </c>
      <c r="F2683" s="605">
        <f t="shared" ref="F2683:P2683" si="1985">F2681+F2672</f>
        <v>0</v>
      </c>
      <c r="G2683" s="605">
        <f t="shared" si="1985"/>
        <v>0</v>
      </c>
      <c r="H2683" s="605">
        <f t="shared" si="1985"/>
        <v>0</v>
      </c>
      <c r="I2683" s="605">
        <f t="shared" si="1985"/>
        <v>17193193</v>
      </c>
      <c r="J2683" s="605">
        <f t="shared" si="1985"/>
        <v>0</v>
      </c>
      <c r="K2683" s="605">
        <f t="shared" si="1985"/>
        <v>-223000</v>
      </c>
      <c r="L2683" s="317">
        <f t="shared" si="1939"/>
        <v>16970193</v>
      </c>
      <c r="M2683" s="317"/>
      <c r="N2683" s="372">
        <f t="shared" si="1943"/>
        <v>223000</v>
      </c>
      <c r="O2683" s="605">
        <f t="shared" si="1985"/>
        <v>18667212.300000001</v>
      </c>
      <c r="P2683" s="605">
        <f t="shared" si="1985"/>
        <v>20163847.770000003</v>
      </c>
      <c r="R2683" s="317"/>
      <c r="U2683" s="320"/>
    </row>
    <row r="2684" spans="1:21" s="344" customFormat="1" outlineLevel="1">
      <c r="A2684" s="588"/>
      <c r="B2684" s="588"/>
      <c r="C2684" s="340"/>
      <c r="D2684" s="338"/>
      <c r="E2684" s="587"/>
      <c r="F2684" s="397"/>
      <c r="G2684" s="397"/>
      <c r="H2684" s="397"/>
      <c r="I2684" s="324">
        <f t="shared" si="1952"/>
        <v>0</v>
      </c>
      <c r="J2684" s="397"/>
      <c r="K2684" s="315"/>
      <c r="L2684" s="317">
        <f t="shared" si="1939"/>
        <v>0</v>
      </c>
      <c r="M2684" s="317"/>
      <c r="N2684" s="372">
        <f t="shared" si="1943"/>
        <v>0</v>
      </c>
      <c r="O2684" s="336">
        <f t="shared" si="1969"/>
        <v>0</v>
      </c>
      <c r="P2684" s="940">
        <f t="shared" si="1984"/>
        <v>0</v>
      </c>
      <c r="R2684" s="317"/>
      <c r="U2684" s="320"/>
    </row>
    <row r="2685" spans="1:21" s="344" customFormat="1" outlineLevel="2">
      <c r="A2685" s="588"/>
      <c r="B2685" s="588"/>
      <c r="C2685" s="340"/>
      <c r="D2685" s="338"/>
      <c r="E2685" s="587"/>
      <c r="F2685" s="397"/>
      <c r="G2685" s="397"/>
      <c r="H2685" s="397"/>
      <c r="I2685" s="324">
        <f t="shared" si="1952"/>
        <v>0</v>
      </c>
      <c r="J2685" s="397"/>
      <c r="K2685" s="315"/>
      <c r="L2685" s="317">
        <f t="shared" si="1939"/>
        <v>0</v>
      </c>
      <c r="M2685" s="317"/>
      <c r="N2685" s="372">
        <f t="shared" si="1943"/>
        <v>0</v>
      </c>
      <c r="O2685" s="336">
        <f t="shared" si="1969"/>
        <v>0</v>
      </c>
      <c r="P2685" s="957"/>
      <c r="R2685" s="317"/>
      <c r="U2685" s="320"/>
    </row>
    <row r="2686" spans="1:21" s="344" customFormat="1" outlineLevel="2">
      <c r="A2686" s="588" t="s">
        <v>144</v>
      </c>
      <c r="B2686" s="588"/>
      <c r="C2686" s="340" t="s">
        <v>1732</v>
      </c>
      <c r="D2686" s="338"/>
      <c r="E2686" s="587"/>
      <c r="F2686" s="397"/>
      <c r="G2686" s="397"/>
      <c r="H2686" s="397"/>
      <c r="I2686" s="324">
        <f t="shared" si="1952"/>
        <v>0</v>
      </c>
      <c r="J2686" s="397"/>
      <c r="K2686" s="315"/>
      <c r="L2686" s="317">
        <f t="shared" si="1939"/>
        <v>0</v>
      </c>
      <c r="M2686" s="317"/>
      <c r="N2686" s="372">
        <f t="shared" si="1943"/>
        <v>0</v>
      </c>
      <c r="O2686" s="336">
        <f t="shared" si="1969"/>
        <v>0</v>
      </c>
      <c r="P2686" s="940">
        <f t="shared" si="1984"/>
        <v>0</v>
      </c>
      <c r="R2686" s="317"/>
      <c r="U2686" s="320"/>
    </row>
    <row r="2687" spans="1:21" s="325" customFormat="1" outlineLevel="2">
      <c r="A2687" s="588"/>
      <c r="B2687" s="907" t="s">
        <v>146</v>
      </c>
      <c r="C2687" s="340" t="s">
        <v>1733</v>
      </c>
      <c r="D2687" s="338"/>
      <c r="E2687" s="587"/>
      <c r="F2687" s="397"/>
      <c r="G2687" s="397"/>
      <c r="H2687" s="397"/>
      <c r="I2687" s="324">
        <f t="shared" si="1952"/>
        <v>0</v>
      </c>
      <c r="J2687" s="397"/>
      <c r="K2687" s="315"/>
      <c r="L2687" s="317">
        <f t="shared" si="1939"/>
        <v>0</v>
      </c>
      <c r="M2687" s="317"/>
      <c r="N2687" s="372">
        <f t="shared" si="1943"/>
        <v>0</v>
      </c>
      <c r="O2687" s="336">
        <f t="shared" si="1969"/>
        <v>0</v>
      </c>
      <c r="P2687" s="940">
        <f t="shared" si="1984"/>
        <v>0</v>
      </c>
      <c r="R2687" s="317"/>
      <c r="U2687" s="320"/>
    </row>
    <row r="2688" spans="1:21" s="344" customFormat="1" outlineLevel="2">
      <c r="A2688" s="588"/>
      <c r="B2688" s="588"/>
      <c r="C2688" s="340">
        <v>2210300</v>
      </c>
      <c r="D2688" s="589" t="s">
        <v>24</v>
      </c>
      <c r="E2688" s="605">
        <f>E2689+E2690+E2691</f>
        <v>689830</v>
      </c>
      <c r="F2688" s="605">
        <f t="shared" ref="F2688:P2688" si="1986">F2689+F2690+F2691</f>
        <v>0</v>
      </c>
      <c r="G2688" s="605">
        <f t="shared" si="1986"/>
        <v>0</v>
      </c>
      <c r="H2688" s="605">
        <f t="shared" si="1986"/>
        <v>0</v>
      </c>
      <c r="I2688" s="605">
        <f t="shared" si="1986"/>
        <v>689830</v>
      </c>
      <c r="J2688" s="605">
        <f t="shared" si="1986"/>
        <v>0</v>
      </c>
      <c r="K2688" s="605">
        <f t="shared" si="1986"/>
        <v>0</v>
      </c>
      <c r="L2688" s="317">
        <f t="shared" si="1939"/>
        <v>689830</v>
      </c>
      <c r="M2688" s="317"/>
      <c r="N2688" s="372">
        <f t="shared" si="1943"/>
        <v>0</v>
      </c>
      <c r="O2688" s="605">
        <f t="shared" si="1986"/>
        <v>758813</v>
      </c>
      <c r="P2688" s="605">
        <f t="shared" si="1986"/>
        <v>834694.3</v>
      </c>
      <c r="R2688" s="317"/>
      <c r="U2688" s="320"/>
    </row>
    <row r="2689" spans="1:21" s="325" customFormat="1" outlineLevel="2">
      <c r="A2689" s="585"/>
      <c r="B2689" s="585"/>
      <c r="C2689" s="332">
        <v>2210301</v>
      </c>
      <c r="D2689" s="592" t="s">
        <v>188</v>
      </c>
      <c r="E2689" s="587">
        <v>200980</v>
      </c>
      <c r="F2689" s="594"/>
      <c r="G2689" s="594"/>
      <c r="H2689" s="594"/>
      <c r="I2689" s="324">
        <f t="shared" si="1952"/>
        <v>200980</v>
      </c>
      <c r="J2689" s="594"/>
      <c r="K2689" s="315"/>
      <c r="L2689" s="317">
        <f t="shared" si="1939"/>
        <v>200980</v>
      </c>
      <c r="M2689" s="317"/>
      <c r="N2689" s="372">
        <f t="shared" si="1943"/>
        <v>0</v>
      </c>
      <c r="O2689" s="336">
        <f t="shared" si="1969"/>
        <v>221078.00000000003</v>
      </c>
      <c r="P2689" s="968">
        <f t="shared" ref="P2689:P2691" si="1987">O2689*1.1</f>
        <v>243185.80000000005</v>
      </c>
      <c r="R2689" s="317"/>
      <c r="U2689" s="320"/>
    </row>
    <row r="2690" spans="1:21" s="344" customFormat="1" outlineLevel="2">
      <c r="A2690" s="585"/>
      <c r="B2690" s="585"/>
      <c r="C2690" s="332">
        <v>2210302</v>
      </c>
      <c r="D2690" s="592" t="s">
        <v>26</v>
      </c>
      <c r="E2690" s="587">
        <v>278200</v>
      </c>
      <c r="F2690" s="594"/>
      <c r="G2690" s="594"/>
      <c r="H2690" s="594"/>
      <c r="I2690" s="324">
        <f t="shared" si="1952"/>
        <v>278200</v>
      </c>
      <c r="J2690" s="594"/>
      <c r="K2690" s="315"/>
      <c r="L2690" s="317">
        <f t="shared" si="1939"/>
        <v>278200</v>
      </c>
      <c r="M2690" s="317"/>
      <c r="N2690" s="372">
        <f t="shared" si="1943"/>
        <v>0</v>
      </c>
      <c r="O2690" s="336">
        <f t="shared" si="1969"/>
        <v>306020</v>
      </c>
      <c r="P2690" s="968">
        <f t="shared" si="1987"/>
        <v>336622</v>
      </c>
      <c r="R2690" s="317"/>
      <c r="U2690" s="320"/>
    </row>
    <row r="2691" spans="1:21" s="325" customFormat="1" outlineLevel="2">
      <c r="A2691" s="585"/>
      <c r="B2691" s="585"/>
      <c r="C2691" s="332">
        <v>2210303</v>
      </c>
      <c r="D2691" s="592" t="s">
        <v>27</v>
      </c>
      <c r="E2691" s="587">
        <v>210650</v>
      </c>
      <c r="F2691" s="594"/>
      <c r="G2691" s="594"/>
      <c r="H2691" s="594"/>
      <c r="I2691" s="324">
        <f t="shared" si="1952"/>
        <v>210650</v>
      </c>
      <c r="J2691" s="594"/>
      <c r="K2691" s="315"/>
      <c r="L2691" s="317">
        <f t="shared" si="1939"/>
        <v>210650</v>
      </c>
      <c r="M2691" s="317"/>
      <c r="N2691" s="372">
        <f t="shared" si="1943"/>
        <v>0</v>
      </c>
      <c r="O2691" s="336">
        <f t="shared" si="1969"/>
        <v>231715.00000000003</v>
      </c>
      <c r="P2691" s="968">
        <f t="shared" si="1987"/>
        <v>254886.50000000006</v>
      </c>
      <c r="R2691" s="317"/>
      <c r="U2691" s="320"/>
    </row>
    <row r="2692" spans="1:21" s="344" customFormat="1" outlineLevel="2">
      <c r="A2692" s="588"/>
      <c r="B2692" s="588"/>
      <c r="C2692" s="589">
        <v>2211100</v>
      </c>
      <c r="D2692" s="589" t="s">
        <v>51</v>
      </c>
      <c r="E2692" s="605">
        <f>E2693+E2694+E2695</f>
        <v>410812</v>
      </c>
      <c r="F2692" s="605">
        <f t="shared" ref="F2692:K2692" si="1988">F2693+F2694+F2695</f>
        <v>0</v>
      </c>
      <c r="G2692" s="605">
        <f t="shared" si="1988"/>
        <v>0</v>
      </c>
      <c r="H2692" s="605">
        <f t="shared" si="1988"/>
        <v>0</v>
      </c>
      <c r="I2692" s="605">
        <f t="shared" si="1988"/>
        <v>410812</v>
      </c>
      <c r="J2692" s="605">
        <f t="shared" si="1988"/>
        <v>0</v>
      </c>
      <c r="K2692" s="605">
        <f t="shared" si="1988"/>
        <v>0</v>
      </c>
      <c r="L2692" s="317">
        <f t="shared" si="1939"/>
        <v>410812</v>
      </c>
      <c r="M2692" s="317"/>
      <c r="N2692" s="372">
        <f t="shared" si="1943"/>
        <v>0</v>
      </c>
      <c r="O2692" s="605">
        <f t="shared" ref="O2692:P2692" si="1989">O2693+O2694+O2695</f>
        <v>451893.20000000007</v>
      </c>
      <c r="P2692" s="939">
        <f t="shared" si="1989"/>
        <v>497082.52000000008</v>
      </c>
      <c r="R2692" s="317"/>
      <c r="U2692" s="320"/>
    </row>
    <row r="2693" spans="1:21" s="344" customFormat="1" outlineLevel="2">
      <c r="A2693" s="585"/>
      <c r="B2693" s="585"/>
      <c r="C2693" s="592">
        <v>2211101</v>
      </c>
      <c r="D2693" s="330" t="s">
        <v>197</v>
      </c>
      <c r="E2693" s="587">
        <v>182272</v>
      </c>
      <c r="F2693" s="389"/>
      <c r="G2693" s="389"/>
      <c r="H2693" s="389"/>
      <c r="I2693" s="324">
        <f t="shared" si="1952"/>
        <v>182272</v>
      </c>
      <c r="J2693" s="389"/>
      <c r="K2693" s="315"/>
      <c r="L2693" s="317">
        <f t="shared" ref="L2693:L2756" si="1990">I2693+J2693+K2693</f>
        <v>182272</v>
      </c>
      <c r="M2693" s="317"/>
      <c r="N2693" s="372">
        <f t="shared" si="1943"/>
        <v>0</v>
      </c>
      <c r="O2693" s="336">
        <f t="shared" si="1969"/>
        <v>200499.20000000001</v>
      </c>
      <c r="P2693" s="968">
        <f>O2693*1.1</f>
        <v>220549.12000000002</v>
      </c>
      <c r="R2693" s="317"/>
      <c r="U2693" s="320"/>
    </row>
    <row r="2694" spans="1:21" s="344" customFormat="1" outlineLevel="2">
      <c r="A2694" s="585"/>
      <c r="B2694" s="585"/>
      <c r="C2694" s="592">
        <v>2211102</v>
      </c>
      <c r="D2694" s="592" t="s">
        <v>53</v>
      </c>
      <c r="E2694" s="587">
        <v>202670</v>
      </c>
      <c r="F2694" s="594"/>
      <c r="G2694" s="594"/>
      <c r="H2694" s="594"/>
      <c r="I2694" s="324">
        <f t="shared" si="1952"/>
        <v>202670</v>
      </c>
      <c r="J2694" s="594"/>
      <c r="K2694" s="315"/>
      <c r="L2694" s="317">
        <f t="shared" si="1990"/>
        <v>202670</v>
      </c>
      <c r="M2694" s="317"/>
      <c r="N2694" s="372">
        <f t="shared" si="1943"/>
        <v>0</v>
      </c>
      <c r="O2694" s="336">
        <f t="shared" si="1969"/>
        <v>222937.00000000003</v>
      </c>
      <c r="P2694" s="968">
        <f t="shared" ref="P2694:P2695" si="1991">O2694*1.1</f>
        <v>245230.70000000004</v>
      </c>
      <c r="R2694" s="317"/>
      <c r="U2694" s="320"/>
    </row>
    <row r="2695" spans="1:21" s="325" customFormat="1" outlineLevel="1">
      <c r="A2695" s="585"/>
      <c r="B2695" s="585"/>
      <c r="C2695" s="592">
        <v>2211103</v>
      </c>
      <c r="D2695" s="592" t="s">
        <v>54</v>
      </c>
      <c r="E2695" s="587">
        <v>25870</v>
      </c>
      <c r="F2695" s="594"/>
      <c r="G2695" s="594"/>
      <c r="H2695" s="594"/>
      <c r="I2695" s="324">
        <f t="shared" si="1952"/>
        <v>25870</v>
      </c>
      <c r="J2695" s="594"/>
      <c r="K2695" s="315"/>
      <c r="L2695" s="317">
        <f t="shared" si="1990"/>
        <v>25870</v>
      </c>
      <c r="M2695" s="317"/>
      <c r="N2695" s="372">
        <f t="shared" si="1943"/>
        <v>0</v>
      </c>
      <c r="O2695" s="336">
        <f t="shared" si="1969"/>
        <v>28457.000000000004</v>
      </c>
      <c r="P2695" s="968">
        <f t="shared" si="1991"/>
        <v>31302.700000000008</v>
      </c>
      <c r="Q2695" s="941"/>
      <c r="R2695" s="317"/>
      <c r="U2695" s="320"/>
    </row>
    <row r="2696" spans="1:21" s="325" customFormat="1" outlineLevel="1">
      <c r="A2696" s="588"/>
      <c r="B2696" s="588"/>
      <c r="C2696" s="620">
        <v>3111000</v>
      </c>
      <c r="D2696" s="589" t="s">
        <v>69</v>
      </c>
      <c r="E2696" s="605">
        <f>E2697</f>
        <v>200000</v>
      </c>
      <c r="F2696" s="605">
        <f t="shared" ref="F2696:P2696" si="1992">F2697</f>
        <v>0</v>
      </c>
      <c r="G2696" s="605">
        <f t="shared" si="1992"/>
        <v>0</v>
      </c>
      <c r="H2696" s="605">
        <f t="shared" si="1992"/>
        <v>0</v>
      </c>
      <c r="I2696" s="605">
        <f t="shared" si="1992"/>
        <v>200000</v>
      </c>
      <c r="J2696" s="605">
        <f t="shared" si="1992"/>
        <v>0</v>
      </c>
      <c r="K2696" s="605">
        <f t="shared" si="1992"/>
        <v>0</v>
      </c>
      <c r="L2696" s="317">
        <f t="shared" si="1990"/>
        <v>200000</v>
      </c>
      <c r="M2696" s="317"/>
      <c r="N2696" s="372">
        <f t="shared" si="1943"/>
        <v>0</v>
      </c>
      <c r="O2696" s="605">
        <f t="shared" si="1992"/>
        <v>220000.00000000003</v>
      </c>
      <c r="P2696" s="605">
        <f t="shared" si="1992"/>
        <v>242000.00000000006</v>
      </c>
      <c r="R2696" s="317"/>
      <c r="U2696" s="320"/>
    </row>
    <row r="2697" spans="1:21" s="325" customFormat="1" outlineLevel="1">
      <c r="A2697" s="585"/>
      <c r="B2697" s="585"/>
      <c r="C2697" s="592">
        <v>3111002</v>
      </c>
      <c r="D2697" s="592" t="s">
        <v>71</v>
      </c>
      <c r="E2697" s="587">
        <v>200000</v>
      </c>
      <c r="F2697" s="594"/>
      <c r="G2697" s="594"/>
      <c r="H2697" s="594"/>
      <c r="I2697" s="324">
        <f t="shared" si="1952"/>
        <v>200000</v>
      </c>
      <c r="J2697" s="594"/>
      <c r="K2697" s="315"/>
      <c r="L2697" s="317">
        <f t="shared" si="1990"/>
        <v>200000</v>
      </c>
      <c r="M2697" s="317"/>
      <c r="N2697" s="372">
        <f t="shared" ref="N2697:N2760" si="1993">M2697-K2697</f>
        <v>0</v>
      </c>
      <c r="O2697" s="336">
        <f t="shared" si="1969"/>
        <v>220000.00000000003</v>
      </c>
      <c r="P2697" s="940">
        <f t="shared" si="1984"/>
        <v>242000.00000000006</v>
      </c>
      <c r="R2697" s="317"/>
      <c r="U2697" s="320"/>
    </row>
    <row r="2698" spans="1:21" s="344" customFormat="1" outlineLevel="1">
      <c r="A2698" s="588"/>
      <c r="B2698" s="588"/>
      <c r="C2698" s="589" t="s">
        <v>526</v>
      </c>
      <c r="D2698" s="955"/>
      <c r="E2698" s="605">
        <f>E2696+E2692+E2688</f>
        <v>1300642</v>
      </c>
      <c r="F2698" s="605">
        <f t="shared" ref="F2698:P2698" si="1994">F2696+F2692+F2688</f>
        <v>0</v>
      </c>
      <c r="G2698" s="605">
        <f t="shared" si="1994"/>
        <v>0</v>
      </c>
      <c r="H2698" s="605">
        <f t="shared" si="1994"/>
        <v>0</v>
      </c>
      <c r="I2698" s="605">
        <f t="shared" si="1994"/>
        <v>1300642</v>
      </c>
      <c r="J2698" s="605">
        <f t="shared" si="1994"/>
        <v>0</v>
      </c>
      <c r="K2698" s="605">
        <f t="shared" si="1994"/>
        <v>0</v>
      </c>
      <c r="L2698" s="317">
        <f t="shared" si="1990"/>
        <v>1300642</v>
      </c>
      <c r="M2698" s="317"/>
      <c r="N2698" s="372">
        <f t="shared" si="1993"/>
        <v>0</v>
      </c>
      <c r="O2698" s="605">
        <f t="shared" si="1994"/>
        <v>1430706.2000000002</v>
      </c>
      <c r="P2698" s="605">
        <f t="shared" si="1994"/>
        <v>1573776.8200000003</v>
      </c>
      <c r="R2698" s="317"/>
      <c r="U2698" s="320"/>
    </row>
    <row r="2699" spans="1:21" s="344" customFormat="1" outlineLevel="1">
      <c r="A2699" s="588"/>
      <c r="B2699" s="588"/>
      <c r="C2699" s="589"/>
      <c r="D2699" s="955"/>
      <c r="E2699" s="587"/>
      <c r="F2699" s="967"/>
      <c r="G2699" s="967"/>
      <c r="H2699" s="967"/>
      <c r="I2699" s="324">
        <f t="shared" si="1952"/>
        <v>0</v>
      </c>
      <c r="J2699" s="967"/>
      <c r="K2699" s="315"/>
      <c r="L2699" s="317">
        <f t="shared" si="1990"/>
        <v>0</v>
      </c>
      <c r="M2699" s="317"/>
      <c r="N2699" s="372">
        <f t="shared" si="1993"/>
        <v>0</v>
      </c>
      <c r="O2699" s="336">
        <f t="shared" si="1969"/>
        <v>0</v>
      </c>
      <c r="P2699" s="940">
        <f t="shared" ref="P2699:P2715" si="1995">O2699*1.1</f>
        <v>0</v>
      </c>
      <c r="R2699" s="317"/>
      <c r="U2699" s="320"/>
    </row>
    <row r="2700" spans="1:21" s="344" customFormat="1" outlineLevel="1">
      <c r="A2700" s="588"/>
      <c r="B2700" s="588"/>
      <c r="C2700" s="340" t="s">
        <v>84</v>
      </c>
      <c r="D2700" s="338"/>
      <c r="E2700" s="605">
        <f>E2698</f>
        <v>1300642</v>
      </c>
      <c r="F2700" s="605">
        <f t="shared" ref="F2700:P2700" si="1996">F2698</f>
        <v>0</v>
      </c>
      <c r="G2700" s="605">
        <f t="shared" si="1996"/>
        <v>0</v>
      </c>
      <c r="H2700" s="605">
        <f t="shared" si="1996"/>
        <v>0</v>
      </c>
      <c r="I2700" s="605">
        <f t="shared" si="1996"/>
        <v>1300642</v>
      </c>
      <c r="J2700" s="605">
        <f t="shared" si="1996"/>
        <v>0</v>
      </c>
      <c r="K2700" s="605">
        <f t="shared" si="1996"/>
        <v>0</v>
      </c>
      <c r="L2700" s="317">
        <f t="shared" si="1990"/>
        <v>1300642</v>
      </c>
      <c r="M2700" s="317"/>
      <c r="N2700" s="372">
        <f t="shared" si="1993"/>
        <v>0</v>
      </c>
      <c r="O2700" s="605">
        <f t="shared" si="1996"/>
        <v>1430706.2000000002</v>
      </c>
      <c r="P2700" s="605">
        <f t="shared" si="1996"/>
        <v>1573776.8200000003</v>
      </c>
      <c r="R2700" s="317"/>
      <c r="U2700" s="320"/>
    </row>
    <row r="2701" spans="1:21" s="344" customFormat="1" outlineLevel="1">
      <c r="A2701" s="588"/>
      <c r="B2701" s="588"/>
      <c r="C2701" s="340"/>
      <c r="D2701" s="338"/>
      <c r="E2701" s="605"/>
      <c r="F2701" s="397"/>
      <c r="G2701" s="397"/>
      <c r="H2701" s="397"/>
      <c r="I2701" s="324">
        <f t="shared" si="1952"/>
        <v>0</v>
      </c>
      <c r="J2701" s="397"/>
      <c r="K2701" s="315"/>
      <c r="L2701" s="317">
        <f t="shared" si="1990"/>
        <v>0</v>
      </c>
      <c r="M2701" s="317"/>
      <c r="N2701" s="372">
        <f t="shared" si="1993"/>
        <v>0</v>
      </c>
      <c r="O2701" s="336">
        <f t="shared" si="1969"/>
        <v>0</v>
      </c>
      <c r="P2701" s="940">
        <f t="shared" si="1995"/>
        <v>0</v>
      </c>
      <c r="R2701" s="317"/>
      <c r="U2701" s="320"/>
    </row>
    <row r="2702" spans="1:21" s="325" customFormat="1" outlineLevel="1">
      <c r="A2702" s="588"/>
      <c r="B2702" s="588"/>
      <c r="C2702" s="340"/>
      <c r="D2702" s="338" t="s">
        <v>1791</v>
      </c>
      <c r="E2702" s="605">
        <f>E2700+E2683+E2653+E2633+E2618+E2580</f>
        <v>135739726</v>
      </c>
      <c r="F2702" s="605">
        <f t="shared" ref="F2702:K2702" si="1997">F2700+F2683+F2653+F2633+F2618+F2580</f>
        <v>191238473</v>
      </c>
      <c r="G2702" s="605">
        <f t="shared" si="1997"/>
        <v>0</v>
      </c>
      <c r="H2702" s="605">
        <f t="shared" si="1997"/>
        <v>0</v>
      </c>
      <c r="I2702" s="605">
        <f t="shared" si="1997"/>
        <v>326978199</v>
      </c>
      <c r="J2702" s="605">
        <f t="shared" si="1997"/>
        <v>-5864483</v>
      </c>
      <c r="K2702" s="605">
        <f t="shared" si="1997"/>
        <v>100000</v>
      </c>
      <c r="L2702" s="317">
        <f t="shared" si="1990"/>
        <v>321213716</v>
      </c>
      <c r="M2702" s="317"/>
      <c r="N2702" s="372">
        <f t="shared" si="1993"/>
        <v>-100000</v>
      </c>
      <c r="O2702" s="605">
        <f t="shared" ref="O2702:P2702" si="1998">O2700+O2683+O2653+O2633+O2618+O2580</f>
        <v>353335087.60000002</v>
      </c>
      <c r="P2702" s="939">
        <f t="shared" si="1998"/>
        <v>157200337.14000002</v>
      </c>
      <c r="R2702" s="317"/>
      <c r="U2702" s="320"/>
    </row>
    <row r="2703" spans="1:21" s="344" customFormat="1" outlineLevel="1">
      <c r="A2703" s="977"/>
      <c r="B2703" s="977" t="s">
        <v>100</v>
      </c>
      <c r="C2703" s="314" t="s">
        <v>542</v>
      </c>
      <c r="D2703" s="313"/>
      <c r="E2703" s="587"/>
      <c r="F2703" s="514"/>
      <c r="G2703" s="514"/>
      <c r="H2703" s="514"/>
      <c r="I2703" s="324">
        <f t="shared" si="1952"/>
        <v>0</v>
      </c>
      <c r="J2703" s="514"/>
      <c r="K2703" s="315"/>
      <c r="L2703" s="317">
        <f t="shared" si="1990"/>
        <v>0</v>
      </c>
      <c r="M2703" s="317"/>
      <c r="N2703" s="372">
        <f t="shared" si="1993"/>
        <v>0</v>
      </c>
      <c r="O2703" s="336">
        <f t="shared" si="1969"/>
        <v>0</v>
      </c>
      <c r="P2703" s="940">
        <f t="shared" si="1995"/>
        <v>0</v>
      </c>
      <c r="R2703" s="317"/>
      <c r="U2703" s="320"/>
    </row>
    <row r="2704" spans="1:21" s="344" customFormat="1" outlineLevel="3">
      <c r="A2704" s="977"/>
      <c r="B2704" s="977"/>
      <c r="C2704" s="314"/>
      <c r="D2704" s="313"/>
      <c r="E2704" s="587"/>
      <c r="F2704" s="514"/>
      <c r="G2704" s="514"/>
      <c r="H2704" s="514"/>
      <c r="I2704" s="324">
        <f t="shared" si="1952"/>
        <v>0</v>
      </c>
      <c r="J2704" s="514"/>
      <c r="K2704" s="315"/>
      <c r="L2704" s="317">
        <f t="shared" si="1990"/>
        <v>0</v>
      </c>
      <c r="M2704" s="317"/>
      <c r="N2704" s="372">
        <f t="shared" si="1993"/>
        <v>0</v>
      </c>
      <c r="O2704" s="336">
        <f t="shared" si="1969"/>
        <v>0</v>
      </c>
      <c r="P2704" s="957">
        <f t="shared" ref="P2704" si="1999">P2705+P2706</f>
        <v>0</v>
      </c>
      <c r="R2704" s="317"/>
      <c r="U2704" s="320"/>
    </row>
    <row r="2705" spans="1:21" s="325" customFormat="1" outlineLevel="3">
      <c r="A2705" s="907" t="s">
        <v>168</v>
      </c>
      <c r="B2705" s="588"/>
      <c r="C2705" s="340" t="s">
        <v>543</v>
      </c>
      <c r="D2705" s="338"/>
      <c r="E2705" s="587"/>
      <c r="F2705" s="397"/>
      <c r="G2705" s="397"/>
      <c r="H2705" s="397"/>
      <c r="I2705" s="324">
        <f t="shared" si="1952"/>
        <v>0</v>
      </c>
      <c r="J2705" s="397"/>
      <c r="K2705" s="315"/>
      <c r="L2705" s="317">
        <f t="shared" si="1990"/>
        <v>0</v>
      </c>
      <c r="M2705" s="317"/>
      <c r="N2705" s="372">
        <f t="shared" si="1993"/>
        <v>0</v>
      </c>
      <c r="O2705" s="336">
        <f t="shared" si="1969"/>
        <v>0</v>
      </c>
      <c r="P2705" s="940">
        <f t="shared" si="1995"/>
        <v>0</v>
      </c>
      <c r="R2705" s="317"/>
      <c r="U2705" s="320"/>
    </row>
    <row r="2706" spans="1:21" s="344" customFormat="1" outlineLevel="3">
      <c r="A2706" s="907"/>
      <c r="B2706" s="907" t="s">
        <v>146</v>
      </c>
      <c r="C2706" s="340" t="s">
        <v>544</v>
      </c>
      <c r="D2706" s="338"/>
      <c r="E2706" s="587"/>
      <c r="F2706" s="397"/>
      <c r="G2706" s="397"/>
      <c r="H2706" s="397"/>
      <c r="I2706" s="324">
        <f t="shared" si="1952"/>
        <v>0</v>
      </c>
      <c r="J2706" s="397"/>
      <c r="K2706" s="315"/>
      <c r="L2706" s="317">
        <f t="shared" si="1990"/>
        <v>0</v>
      </c>
      <c r="M2706" s="317"/>
      <c r="N2706" s="372">
        <f t="shared" si="1993"/>
        <v>0</v>
      </c>
      <c r="O2706" s="336">
        <f t="shared" si="1969"/>
        <v>0</v>
      </c>
      <c r="P2706" s="940">
        <f t="shared" si="1995"/>
        <v>0</v>
      </c>
      <c r="R2706" s="317"/>
      <c r="U2706" s="320"/>
    </row>
    <row r="2707" spans="1:21" s="325" customFormat="1" outlineLevel="3">
      <c r="A2707" s="907"/>
      <c r="B2707" s="588"/>
      <c r="C2707" s="589">
        <v>2110100</v>
      </c>
      <c r="D2707" s="589" t="s">
        <v>13</v>
      </c>
      <c r="E2707" s="605">
        <f>E2708+E2709</f>
        <v>8237917.9999999888</v>
      </c>
      <c r="F2707" s="605">
        <f t="shared" ref="F2707:P2707" si="2000">F2708+F2709</f>
        <v>0</v>
      </c>
      <c r="G2707" s="605">
        <f t="shared" si="2000"/>
        <v>0</v>
      </c>
      <c r="H2707" s="605">
        <f t="shared" si="2000"/>
        <v>0</v>
      </c>
      <c r="I2707" s="605">
        <f t="shared" si="2000"/>
        <v>8237917.9999999888</v>
      </c>
      <c r="J2707" s="605">
        <f t="shared" si="2000"/>
        <v>0</v>
      </c>
      <c r="K2707" s="605">
        <f t="shared" si="2000"/>
        <v>0</v>
      </c>
      <c r="L2707" s="317">
        <f t="shared" si="1990"/>
        <v>8237917.9999999888</v>
      </c>
      <c r="M2707" s="317"/>
      <c r="N2707" s="372">
        <f t="shared" si="1993"/>
        <v>0</v>
      </c>
      <c r="O2707" s="605">
        <f t="shared" si="2000"/>
        <v>9061709.7999999877</v>
      </c>
      <c r="P2707" s="605">
        <f t="shared" si="2000"/>
        <v>9967880.7799999882</v>
      </c>
      <c r="R2707" s="317"/>
      <c r="U2707" s="320"/>
    </row>
    <row r="2708" spans="1:21" s="344" customFormat="1" outlineLevel="3">
      <c r="A2708" s="907"/>
      <c r="B2708" s="585"/>
      <c r="C2708" s="592">
        <v>2110101</v>
      </c>
      <c r="D2708" s="592" t="s">
        <v>14</v>
      </c>
      <c r="E2708" s="587">
        <v>8199917.9999999888</v>
      </c>
      <c r="F2708" s="594"/>
      <c r="G2708" s="594"/>
      <c r="H2708" s="594"/>
      <c r="I2708" s="324">
        <f t="shared" ref="I2708:I2770" si="2001">E2708+F2708+G2708+H2708</f>
        <v>8199917.9999999888</v>
      </c>
      <c r="J2708" s="594"/>
      <c r="K2708" s="315"/>
      <c r="L2708" s="317">
        <f t="shared" si="1990"/>
        <v>8199917.9999999888</v>
      </c>
      <c r="M2708" s="317"/>
      <c r="N2708" s="372">
        <f t="shared" si="1993"/>
        <v>0</v>
      </c>
      <c r="O2708" s="336">
        <f t="shared" si="1969"/>
        <v>9019909.7999999877</v>
      </c>
      <c r="P2708" s="968">
        <f t="shared" ref="P2708:P2711" si="2002">O2708*1.1</f>
        <v>9921900.7799999882</v>
      </c>
      <c r="R2708" s="317"/>
      <c r="U2708" s="320"/>
    </row>
    <row r="2709" spans="1:21" s="344" customFormat="1" outlineLevel="3">
      <c r="A2709" s="907"/>
      <c r="B2709" s="585"/>
      <c r="C2709" s="592">
        <v>2110120</v>
      </c>
      <c r="D2709" s="592" t="s">
        <v>356</v>
      </c>
      <c r="E2709" s="587">
        <v>38000</v>
      </c>
      <c r="F2709" s="594"/>
      <c r="G2709" s="594"/>
      <c r="H2709" s="594"/>
      <c r="I2709" s="324">
        <f t="shared" si="2001"/>
        <v>38000</v>
      </c>
      <c r="J2709" s="594"/>
      <c r="K2709" s="315"/>
      <c r="L2709" s="317">
        <f t="shared" si="1990"/>
        <v>38000</v>
      </c>
      <c r="M2709" s="317"/>
      <c r="N2709" s="372">
        <f t="shared" si="1993"/>
        <v>0</v>
      </c>
      <c r="O2709" s="336">
        <f t="shared" si="1969"/>
        <v>41800</v>
      </c>
      <c r="P2709" s="968">
        <f t="shared" si="2002"/>
        <v>45980.000000000007</v>
      </c>
      <c r="R2709" s="317"/>
      <c r="U2709" s="320"/>
    </row>
    <row r="2710" spans="1:21" s="344" customFormat="1" outlineLevel="3">
      <c r="A2710" s="907"/>
      <c r="B2710" s="588"/>
      <c r="C2710" s="589">
        <v>2210200</v>
      </c>
      <c r="D2710" s="589" t="s">
        <v>20</v>
      </c>
      <c r="E2710" s="605">
        <f>E2711</f>
        <v>262000</v>
      </c>
      <c r="F2710" s="605">
        <f t="shared" ref="F2710:P2710" si="2003">F2711</f>
        <v>0</v>
      </c>
      <c r="G2710" s="605">
        <f t="shared" si="2003"/>
        <v>0</v>
      </c>
      <c r="H2710" s="605">
        <f t="shared" si="2003"/>
        <v>0</v>
      </c>
      <c r="I2710" s="605">
        <f t="shared" si="2003"/>
        <v>262000</v>
      </c>
      <c r="J2710" s="605">
        <f t="shared" si="2003"/>
        <v>0</v>
      </c>
      <c r="K2710" s="605">
        <f t="shared" si="2003"/>
        <v>0</v>
      </c>
      <c r="L2710" s="317">
        <f t="shared" si="1990"/>
        <v>262000</v>
      </c>
      <c r="M2710" s="317"/>
      <c r="N2710" s="372">
        <f t="shared" si="1993"/>
        <v>0</v>
      </c>
      <c r="O2710" s="605">
        <f t="shared" si="2003"/>
        <v>288200</v>
      </c>
      <c r="P2710" s="605">
        <f t="shared" si="2003"/>
        <v>317020</v>
      </c>
      <c r="R2710" s="317"/>
      <c r="U2710" s="320"/>
    </row>
    <row r="2711" spans="1:21" s="325" customFormat="1" outlineLevel="3">
      <c r="A2711" s="897"/>
      <c r="B2711" s="585"/>
      <c r="C2711" s="592">
        <v>2210201</v>
      </c>
      <c r="D2711" s="592" t="s">
        <v>187</v>
      </c>
      <c r="E2711" s="587">
        <v>262000</v>
      </c>
      <c r="F2711" s="594"/>
      <c r="G2711" s="594"/>
      <c r="H2711" s="594"/>
      <c r="I2711" s="324">
        <f t="shared" si="2001"/>
        <v>262000</v>
      </c>
      <c r="J2711" s="594"/>
      <c r="K2711" s="315"/>
      <c r="L2711" s="317">
        <f t="shared" si="1990"/>
        <v>262000</v>
      </c>
      <c r="M2711" s="317"/>
      <c r="N2711" s="372">
        <f t="shared" si="1993"/>
        <v>0</v>
      </c>
      <c r="O2711" s="336">
        <f t="shared" si="1969"/>
        <v>288200</v>
      </c>
      <c r="P2711" s="957">
        <f t="shared" si="2002"/>
        <v>317020</v>
      </c>
      <c r="R2711" s="317"/>
      <c r="U2711" s="320"/>
    </row>
    <row r="2712" spans="1:21" s="344" customFormat="1" outlineLevel="3">
      <c r="A2712" s="907"/>
      <c r="B2712" s="588"/>
      <c r="C2712" s="589">
        <v>2210300</v>
      </c>
      <c r="D2712" s="589" t="s">
        <v>24</v>
      </c>
      <c r="E2712" s="605">
        <f>E2713+E2714+E2715</f>
        <v>1173120</v>
      </c>
      <c r="F2712" s="605">
        <f t="shared" ref="F2712:P2712" si="2004">F2713+F2714+F2715</f>
        <v>0</v>
      </c>
      <c r="G2712" s="605">
        <f t="shared" si="2004"/>
        <v>0</v>
      </c>
      <c r="H2712" s="605">
        <f t="shared" si="2004"/>
        <v>0</v>
      </c>
      <c r="I2712" s="605">
        <f t="shared" si="2004"/>
        <v>1173120</v>
      </c>
      <c r="J2712" s="605">
        <f t="shared" si="2004"/>
        <v>0</v>
      </c>
      <c r="K2712" s="605">
        <f t="shared" si="2004"/>
        <v>0</v>
      </c>
      <c r="L2712" s="317">
        <f t="shared" si="1990"/>
        <v>1173120</v>
      </c>
      <c r="M2712" s="317"/>
      <c r="N2712" s="372">
        <f t="shared" si="1993"/>
        <v>0</v>
      </c>
      <c r="O2712" s="605">
        <f t="shared" si="2004"/>
        <v>1290432.0000000002</v>
      </c>
      <c r="P2712" s="605">
        <f t="shared" si="2004"/>
        <v>1419475.2000000002</v>
      </c>
      <c r="R2712" s="317"/>
      <c r="U2712" s="320"/>
    </row>
    <row r="2713" spans="1:21" s="325" customFormat="1" outlineLevel="3">
      <c r="A2713" s="897"/>
      <c r="B2713" s="585"/>
      <c r="C2713" s="592">
        <v>2210301</v>
      </c>
      <c r="D2713" s="592" t="s">
        <v>188</v>
      </c>
      <c r="E2713" s="587">
        <v>381200</v>
      </c>
      <c r="F2713" s="594"/>
      <c r="G2713" s="594"/>
      <c r="H2713" s="594"/>
      <c r="I2713" s="324">
        <f t="shared" si="2001"/>
        <v>381200</v>
      </c>
      <c r="J2713" s="594"/>
      <c r="K2713" s="315"/>
      <c r="L2713" s="317">
        <f t="shared" si="1990"/>
        <v>381200</v>
      </c>
      <c r="M2713" s="317"/>
      <c r="N2713" s="372">
        <f t="shared" si="1993"/>
        <v>0</v>
      </c>
      <c r="O2713" s="336">
        <f t="shared" si="1969"/>
        <v>419320.00000000006</v>
      </c>
      <c r="P2713" s="940">
        <f t="shared" si="1995"/>
        <v>461252.00000000012</v>
      </c>
      <c r="Q2713" s="941"/>
      <c r="R2713" s="317"/>
      <c r="U2713" s="320"/>
    </row>
    <row r="2714" spans="1:21" s="344" customFormat="1" outlineLevel="3">
      <c r="A2714" s="897"/>
      <c r="B2714" s="585"/>
      <c r="C2714" s="592">
        <v>2210302</v>
      </c>
      <c r="D2714" s="592" t="s">
        <v>26</v>
      </c>
      <c r="E2714" s="587">
        <v>389234</v>
      </c>
      <c r="F2714" s="594"/>
      <c r="G2714" s="594"/>
      <c r="H2714" s="594"/>
      <c r="I2714" s="324">
        <f t="shared" si="2001"/>
        <v>389234</v>
      </c>
      <c r="J2714" s="594"/>
      <c r="K2714" s="315"/>
      <c r="L2714" s="317">
        <f t="shared" si="1990"/>
        <v>389234</v>
      </c>
      <c r="M2714" s="317"/>
      <c r="N2714" s="372">
        <f t="shared" si="1993"/>
        <v>0</v>
      </c>
      <c r="O2714" s="336">
        <f t="shared" si="1969"/>
        <v>428157.4</v>
      </c>
      <c r="P2714" s="940">
        <f t="shared" si="1995"/>
        <v>470973.14000000007</v>
      </c>
      <c r="Q2714" s="941"/>
      <c r="R2714" s="317"/>
      <c r="U2714" s="320"/>
    </row>
    <row r="2715" spans="1:21" s="325" customFormat="1" outlineLevel="3">
      <c r="A2715" s="897"/>
      <c r="B2715" s="585"/>
      <c r="C2715" s="592">
        <v>2210303</v>
      </c>
      <c r="D2715" s="592" t="s">
        <v>27</v>
      </c>
      <c r="E2715" s="587">
        <v>402686</v>
      </c>
      <c r="F2715" s="594"/>
      <c r="G2715" s="594"/>
      <c r="H2715" s="594"/>
      <c r="I2715" s="324">
        <f t="shared" si="2001"/>
        <v>402686</v>
      </c>
      <c r="J2715" s="594"/>
      <c r="K2715" s="315"/>
      <c r="L2715" s="317">
        <f t="shared" si="1990"/>
        <v>402686</v>
      </c>
      <c r="M2715" s="317"/>
      <c r="N2715" s="372">
        <f t="shared" si="1993"/>
        <v>0</v>
      </c>
      <c r="O2715" s="336">
        <f t="shared" si="1969"/>
        <v>442954.60000000003</v>
      </c>
      <c r="P2715" s="940">
        <f t="shared" si="1995"/>
        <v>487250.06000000006</v>
      </c>
      <c r="Q2715" s="941"/>
      <c r="R2715" s="317"/>
      <c r="U2715" s="320"/>
    </row>
    <row r="2716" spans="1:21" s="344" customFormat="1" outlineLevel="3">
      <c r="A2716" s="907"/>
      <c r="B2716" s="588"/>
      <c r="C2716" s="589">
        <v>2210500</v>
      </c>
      <c r="D2716" s="589" t="s">
        <v>31</v>
      </c>
      <c r="E2716" s="605">
        <f>E2717</f>
        <v>100000</v>
      </c>
      <c r="F2716" s="605">
        <f t="shared" ref="F2716:P2716" si="2005">F2717</f>
        <v>0</v>
      </c>
      <c r="G2716" s="605">
        <f t="shared" si="2005"/>
        <v>0</v>
      </c>
      <c r="H2716" s="605">
        <f t="shared" si="2005"/>
        <v>0</v>
      </c>
      <c r="I2716" s="605">
        <f t="shared" si="2005"/>
        <v>100000</v>
      </c>
      <c r="J2716" s="605">
        <f t="shared" si="2005"/>
        <v>0</v>
      </c>
      <c r="K2716" s="605">
        <f t="shared" si="2005"/>
        <v>0</v>
      </c>
      <c r="L2716" s="317">
        <f t="shared" si="1990"/>
        <v>100000</v>
      </c>
      <c r="M2716" s="317"/>
      <c r="N2716" s="372">
        <f t="shared" si="1993"/>
        <v>0</v>
      </c>
      <c r="O2716" s="605">
        <f t="shared" si="2005"/>
        <v>110000.00000000001</v>
      </c>
      <c r="P2716" s="605">
        <f t="shared" si="2005"/>
        <v>121000.00000000003</v>
      </c>
      <c r="R2716" s="317"/>
      <c r="U2716" s="320"/>
    </row>
    <row r="2717" spans="1:21" s="344" customFormat="1" outlineLevel="2">
      <c r="A2717" s="897"/>
      <c r="B2717" s="585"/>
      <c r="C2717" s="592">
        <v>2210503</v>
      </c>
      <c r="D2717" s="592" t="s">
        <v>32</v>
      </c>
      <c r="E2717" s="587">
        <v>100000</v>
      </c>
      <c r="F2717" s="594"/>
      <c r="G2717" s="594"/>
      <c r="H2717" s="594"/>
      <c r="I2717" s="324">
        <f t="shared" si="2001"/>
        <v>100000</v>
      </c>
      <c r="J2717" s="594"/>
      <c r="K2717" s="315"/>
      <c r="L2717" s="317">
        <f t="shared" si="1990"/>
        <v>100000</v>
      </c>
      <c r="M2717" s="317"/>
      <c r="N2717" s="372">
        <f t="shared" si="1993"/>
        <v>0</v>
      </c>
      <c r="O2717" s="336">
        <f t="shared" si="1969"/>
        <v>110000.00000000001</v>
      </c>
      <c r="P2717" s="940">
        <f t="shared" ref="P2717:P2734" si="2006">O2717*1.1</f>
        <v>121000.00000000003</v>
      </c>
      <c r="R2717" s="317"/>
      <c r="U2717" s="320"/>
    </row>
    <row r="2718" spans="1:21" s="350" customFormat="1" outlineLevel="2">
      <c r="A2718" s="907"/>
      <c r="B2718" s="588"/>
      <c r="C2718" s="589">
        <v>2211300</v>
      </c>
      <c r="D2718" s="589" t="s">
        <v>57</v>
      </c>
      <c r="E2718" s="605">
        <f>E2719</f>
        <v>49803</v>
      </c>
      <c r="F2718" s="605">
        <f t="shared" ref="F2718:P2718" si="2007">F2719</f>
        <v>0</v>
      </c>
      <c r="G2718" s="605">
        <f t="shared" si="2007"/>
        <v>0</v>
      </c>
      <c r="H2718" s="605">
        <f t="shared" si="2007"/>
        <v>0</v>
      </c>
      <c r="I2718" s="605">
        <f t="shared" si="2007"/>
        <v>49803</v>
      </c>
      <c r="J2718" s="605">
        <f t="shared" si="2007"/>
        <v>0</v>
      </c>
      <c r="K2718" s="605">
        <f t="shared" si="2007"/>
        <v>0</v>
      </c>
      <c r="L2718" s="317">
        <f t="shared" si="1990"/>
        <v>49803</v>
      </c>
      <c r="M2718" s="317"/>
      <c r="N2718" s="372">
        <f t="shared" si="1993"/>
        <v>0</v>
      </c>
      <c r="O2718" s="605">
        <f t="shared" si="2007"/>
        <v>54783.3</v>
      </c>
      <c r="P2718" s="605">
        <f t="shared" si="2007"/>
        <v>60261.630000000005</v>
      </c>
      <c r="R2718" s="317"/>
      <c r="U2718" s="320"/>
    </row>
    <row r="2719" spans="1:21" s="344" customFormat="1" outlineLevel="2">
      <c r="A2719" s="897"/>
      <c r="B2719" s="585"/>
      <c r="C2719" s="592">
        <v>2211306</v>
      </c>
      <c r="D2719" s="592" t="s">
        <v>58</v>
      </c>
      <c r="E2719" s="587">
        <v>49803</v>
      </c>
      <c r="F2719" s="594"/>
      <c r="G2719" s="594"/>
      <c r="H2719" s="594"/>
      <c r="I2719" s="324">
        <f t="shared" si="2001"/>
        <v>49803</v>
      </c>
      <c r="J2719" s="594"/>
      <c r="K2719" s="315"/>
      <c r="L2719" s="317">
        <f t="shared" si="1990"/>
        <v>49803</v>
      </c>
      <c r="M2719" s="317"/>
      <c r="N2719" s="372">
        <f t="shared" si="1993"/>
        <v>0</v>
      </c>
      <c r="O2719" s="336">
        <f t="shared" si="1969"/>
        <v>54783.3</v>
      </c>
      <c r="P2719" s="940">
        <f t="shared" si="2006"/>
        <v>60261.630000000005</v>
      </c>
      <c r="R2719" s="317"/>
      <c r="U2719" s="320"/>
    </row>
    <row r="2720" spans="1:21" s="325" customFormat="1" outlineLevel="3">
      <c r="A2720" s="907"/>
      <c r="B2720" s="977"/>
      <c r="C2720" s="589" t="s">
        <v>526</v>
      </c>
      <c r="D2720" s="955"/>
      <c r="E2720" s="605">
        <f>E2718+E2716+E2710+E2712+E2707</f>
        <v>9822840.9999999888</v>
      </c>
      <c r="F2720" s="605">
        <f t="shared" ref="F2720:P2720" si="2008">F2718+F2716+F2710+F2712+F2707</f>
        <v>0</v>
      </c>
      <c r="G2720" s="605">
        <f t="shared" si="2008"/>
        <v>0</v>
      </c>
      <c r="H2720" s="605">
        <f t="shared" si="2008"/>
        <v>0</v>
      </c>
      <c r="I2720" s="605">
        <f t="shared" si="2008"/>
        <v>9822840.9999999888</v>
      </c>
      <c r="J2720" s="605">
        <f t="shared" si="2008"/>
        <v>0</v>
      </c>
      <c r="K2720" s="605">
        <f t="shared" si="2008"/>
        <v>0</v>
      </c>
      <c r="L2720" s="317">
        <f t="shared" si="1990"/>
        <v>9822840.9999999888</v>
      </c>
      <c r="M2720" s="317"/>
      <c r="N2720" s="372">
        <f t="shared" si="1993"/>
        <v>0</v>
      </c>
      <c r="O2720" s="605">
        <f t="shared" si="2008"/>
        <v>10805125.099999988</v>
      </c>
      <c r="P2720" s="605">
        <f t="shared" si="2008"/>
        <v>11885637.609999988</v>
      </c>
      <c r="R2720" s="317"/>
      <c r="U2720" s="320"/>
    </row>
    <row r="2721" spans="1:21" s="325" customFormat="1" outlineLevel="3">
      <c r="A2721" s="907"/>
      <c r="B2721" s="588"/>
      <c r="C2721" s="589"/>
      <c r="D2721" s="955"/>
      <c r="E2721" s="587"/>
      <c r="F2721" s="967"/>
      <c r="G2721" s="967"/>
      <c r="H2721" s="967"/>
      <c r="I2721" s="324">
        <f t="shared" si="2001"/>
        <v>0</v>
      </c>
      <c r="J2721" s="967"/>
      <c r="K2721" s="315"/>
      <c r="L2721" s="317">
        <f t="shared" si="1990"/>
        <v>0</v>
      </c>
      <c r="M2721" s="317"/>
      <c r="N2721" s="372">
        <f t="shared" si="1993"/>
        <v>0</v>
      </c>
      <c r="O2721" s="336">
        <f t="shared" si="1969"/>
        <v>0</v>
      </c>
      <c r="P2721" s="940">
        <f t="shared" si="2006"/>
        <v>0</v>
      </c>
      <c r="R2721" s="317"/>
      <c r="U2721" s="320"/>
    </row>
    <row r="2722" spans="1:21" s="344" customFormat="1" outlineLevel="2">
      <c r="A2722" s="907"/>
      <c r="B2722" s="588"/>
      <c r="C2722" s="589"/>
      <c r="D2722" s="955" t="s">
        <v>92</v>
      </c>
      <c r="E2722" s="587"/>
      <c r="F2722" s="967"/>
      <c r="G2722" s="967"/>
      <c r="H2722" s="967"/>
      <c r="I2722" s="324">
        <f t="shared" si="2001"/>
        <v>0</v>
      </c>
      <c r="J2722" s="967"/>
      <c r="K2722" s="315"/>
      <c r="L2722" s="317">
        <f t="shared" si="1990"/>
        <v>0</v>
      </c>
      <c r="M2722" s="317"/>
      <c r="N2722" s="372">
        <f t="shared" si="1993"/>
        <v>0</v>
      </c>
      <c r="O2722" s="336">
        <f t="shared" si="1969"/>
        <v>0</v>
      </c>
      <c r="P2722" s="940">
        <f t="shared" si="2006"/>
        <v>0</v>
      </c>
      <c r="R2722" s="317"/>
      <c r="U2722" s="320"/>
    </row>
    <row r="2723" spans="1:21" s="344" customFormat="1" outlineLevel="1">
      <c r="A2723" s="978"/>
      <c r="B2723" s="591"/>
      <c r="C2723" s="589">
        <v>31110500</v>
      </c>
      <c r="D2723" s="589" t="s">
        <v>260</v>
      </c>
      <c r="E2723" s="605">
        <f>E2724</f>
        <v>40000000</v>
      </c>
      <c r="F2723" s="605">
        <f t="shared" ref="F2723:P2723" si="2009">F2724</f>
        <v>0</v>
      </c>
      <c r="G2723" s="605">
        <f t="shared" si="2009"/>
        <v>0</v>
      </c>
      <c r="H2723" s="605">
        <f t="shared" si="2009"/>
        <v>0</v>
      </c>
      <c r="I2723" s="605">
        <f t="shared" si="2009"/>
        <v>40000000</v>
      </c>
      <c r="J2723" s="605">
        <f t="shared" si="2009"/>
        <v>0</v>
      </c>
      <c r="K2723" s="605">
        <f t="shared" si="2009"/>
        <v>0</v>
      </c>
      <c r="L2723" s="317">
        <f t="shared" si="1990"/>
        <v>40000000</v>
      </c>
      <c r="M2723" s="317"/>
      <c r="N2723" s="372">
        <f t="shared" si="1993"/>
        <v>0</v>
      </c>
      <c r="O2723" s="605">
        <f t="shared" si="2009"/>
        <v>44000000</v>
      </c>
      <c r="P2723" s="605">
        <f t="shared" si="2009"/>
        <v>48400000.000000007</v>
      </c>
      <c r="R2723" s="317"/>
      <c r="U2723" s="320"/>
    </row>
    <row r="2724" spans="1:21" s="344" customFormat="1" outlineLevel="1">
      <c r="A2724" s="979"/>
      <c r="B2724" s="596"/>
      <c r="C2724" s="405">
        <v>31110504</v>
      </c>
      <c r="D2724" s="345" t="s">
        <v>545</v>
      </c>
      <c r="E2724" s="587">
        <f>20000000+20000000</f>
        <v>40000000</v>
      </c>
      <c r="F2724" s="406"/>
      <c r="G2724" s="406"/>
      <c r="H2724" s="406"/>
      <c r="I2724" s="324">
        <f t="shared" si="2001"/>
        <v>40000000</v>
      </c>
      <c r="J2724" s="406">
        <v>0</v>
      </c>
      <c r="K2724" s="315"/>
      <c r="L2724" s="317">
        <f t="shared" si="1990"/>
        <v>40000000</v>
      </c>
      <c r="M2724" s="317"/>
      <c r="N2724" s="372">
        <f t="shared" si="1993"/>
        <v>0</v>
      </c>
      <c r="O2724" s="336">
        <f t="shared" si="1969"/>
        <v>44000000</v>
      </c>
      <c r="P2724" s="940">
        <f t="shared" si="2006"/>
        <v>48400000.000000007</v>
      </c>
      <c r="R2724" s="317"/>
      <c r="U2724" s="320"/>
    </row>
    <row r="2725" spans="1:21" s="325" customFormat="1" outlineLevel="1">
      <c r="A2725" s="907"/>
      <c r="B2725" s="977"/>
      <c r="C2725" s="340" t="s">
        <v>175</v>
      </c>
      <c r="D2725" s="338"/>
      <c r="E2725" s="605">
        <f>E2723</f>
        <v>40000000</v>
      </c>
      <c r="F2725" s="605">
        <f t="shared" ref="F2725:K2725" si="2010">F2723</f>
        <v>0</v>
      </c>
      <c r="G2725" s="605">
        <f t="shared" si="2010"/>
        <v>0</v>
      </c>
      <c r="H2725" s="605">
        <f t="shared" si="2010"/>
        <v>0</v>
      </c>
      <c r="I2725" s="605">
        <f t="shared" si="2010"/>
        <v>40000000</v>
      </c>
      <c r="J2725" s="605">
        <f t="shared" si="2010"/>
        <v>0</v>
      </c>
      <c r="K2725" s="605">
        <f t="shared" si="2010"/>
        <v>0</v>
      </c>
      <c r="L2725" s="317">
        <f t="shared" si="1990"/>
        <v>40000000</v>
      </c>
      <c r="M2725" s="317"/>
      <c r="N2725" s="372">
        <f t="shared" si="1993"/>
        <v>0</v>
      </c>
      <c r="O2725" s="605">
        <f t="shared" ref="O2725:P2725" si="2011">O2723</f>
        <v>44000000</v>
      </c>
      <c r="P2725" s="939">
        <f t="shared" si="2011"/>
        <v>48400000.000000007</v>
      </c>
      <c r="R2725" s="317"/>
      <c r="U2725" s="320"/>
    </row>
    <row r="2726" spans="1:21" s="344" customFormat="1" outlineLevel="1">
      <c r="A2726" s="907"/>
      <c r="B2726" s="977"/>
      <c r="C2726" s="340"/>
      <c r="D2726" s="338"/>
      <c r="E2726" s="605"/>
      <c r="F2726" s="397"/>
      <c r="G2726" s="397"/>
      <c r="H2726" s="397"/>
      <c r="I2726" s="324">
        <f t="shared" si="2001"/>
        <v>0</v>
      </c>
      <c r="J2726" s="397"/>
      <c r="K2726" s="315"/>
      <c r="L2726" s="317">
        <f t="shared" si="1990"/>
        <v>0</v>
      </c>
      <c r="M2726" s="317"/>
      <c r="N2726" s="372">
        <f t="shared" si="1993"/>
        <v>0</v>
      </c>
      <c r="O2726" s="336">
        <f t="shared" si="1969"/>
        <v>0</v>
      </c>
      <c r="P2726" s="940">
        <f t="shared" si="2006"/>
        <v>0</v>
      </c>
      <c r="R2726" s="317"/>
      <c r="U2726" s="320"/>
    </row>
    <row r="2727" spans="1:21" s="325" customFormat="1" outlineLevel="3">
      <c r="A2727" s="907"/>
      <c r="B2727" s="977"/>
      <c r="C2727" s="340" t="s">
        <v>84</v>
      </c>
      <c r="D2727" s="338"/>
      <c r="E2727" s="605">
        <f>E2725+E2720</f>
        <v>49822840.999999985</v>
      </c>
      <c r="F2727" s="605">
        <f t="shared" ref="F2727:K2727" si="2012">F2725+F2720</f>
        <v>0</v>
      </c>
      <c r="G2727" s="605">
        <f t="shared" si="2012"/>
        <v>0</v>
      </c>
      <c r="H2727" s="605">
        <f t="shared" si="2012"/>
        <v>0</v>
      </c>
      <c r="I2727" s="605">
        <f t="shared" si="2012"/>
        <v>49822840.999999985</v>
      </c>
      <c r="J2727" s="605">
        <f t="shared" si="2012"/>
        <v>0</v>
      </c>
      <c r="K2727" s="605">
        <f t="shared" si="2012"/>
        <v>0</v>
      </c>
      <c r="L2727" s="317">
        <f t="shared" si="1990"/>
        <v>49822840.999999985</v>
      </c>
      <c r="M2727" s="317"/>
      <c r="N2727" s="372">
        <f t="shared" si="1993"/>
        <v>0</v>
      </c>
      <c r="O2727" s="605">
        <f t="shared" ref="O2727:P2727" si="2013">O2725+O2720</f>
        <v>54805125.099999987</v>
      </c>
      <c r="P2727" s="939">
        <f t="shared" si="2013"/>
        <v>60285637.609999999</v>
      </c>
      <c r="R2727" s="317"/>
      <c r="U2727" s="320"/>
    </row>
    <row r="2728" spans="1:21" s="344" customFormat="1" outlineLevel="3">
      <c r="A2728" s="588"/>
      <c r="B2728" s="588"/>
      <c r="C2728" s="332"/>
      <c r="D2728" s="330"/>
      <c r="E2728" s="587"/>
      <c r="F2728" s="389"/>
      <c r="G2728" s="389"/>
      <c r="H2728" s="389"/>
      <c r="I2728" s="324">
        <f t="shared" si="2001"/>
        <v>0</v>
      </c>
      <c r="J2728" s="389"/>
      <c r="K2728" s="315"/>
      <c r="L2728" s="317">
        <f t="shared" si="1990"/>
        <v>0</v>
      </c>
      <c r="M2728" s="317"/>
      <c r="N2728" s="372">
        <f t="shared" si="1993"/>
        <v>0</v>
      </c>
      <c r="O2728" s="336">
        <f t="shared" ref="O2728:O2790" si="2014">L2728*1.1</f>
        <v>0</v>
      </c>
      <c r="P2728" s="940">
        <f t="shared" si="2006"/>
        <v>0</v>
      </c>
      <c r="R2728" s="317"/>
      <c r="U2728" s="320"/>
    </row>
    <row r="2729" spans="1:21" s="344" customFormat="1" outlineLevel="3">
      <c r="A2729" s="588" t="s">
        <v>168</v>
      </c>
      <c r="B2729" s="588"/>
      <c r="C2729" s="589" t="s">
        <v>546</v>
      </c>
      <c r="D2729" s="955"/>
      <c r="E2729" s="587"/>
      <c r="F2729" s="967"/>
      <c r="G2729" s="967"/>
      <c r="H2729" s="967"/>
      <c r="I2729" s="324">
        <f t="shared" si="2001"/>
        <v>0</v>
      </c>
      <c r="J2729" s="967"/>
      <c r="K2729" s="315"/>
      <c r="L2729" s="317">
        <f t="shared" si="1990"/>
        <v>0</v>
      </c>
      <c r="M2729" s="317"/>
      <c r="N2729" s="372">
        <f t="shared" si="1993"/>
        <v>0</v>
      </c>
      <c r="O2729" s="336">
        <f t="shared" si="2014"/>
        <v>0</v>
      </c>
      <c r="P2729" s="940">
        <f t="shared" si="2006"/>
        <v>0</v>
      </c>
      <c r="R2729" s="317"/>
      <c r="U2729" s="320"/>
    </row>
    <row r="2730" spans="1:21" s="344" customFormat="1" outlineLevel="3">
      <c r="A2730" s="907"/>
      <c r="B2730" s="907" t="s">
        <v>146</v>
      </c>
      <c r="C2730" s="589" t="s">
        <v>547</v>
      </c>
      <c r="D2730" s="955"/>
      <c r="E2730" s="587"/>
      <c r="F2730" s="967"/>
      <c r="G2730" s="967"/>
      <c r="H2730" s="967"/>
      <c r="I2730" s="324">
        <f t="shared" si="2001"/>
        <v>0</v>
      </c>
      <c r="J2730" s="967"/>
      <c r="K2730" s="315"/>
      <c r="L2730" s="317">
        <f t="shared" si="1990"/>
        <v>0</v>
      </c>
      <c r="M2730" s="317"/>
      <c r="N2730" s="372">
        <f t="shared" si="1993"/>
        <v>0</v>
      </c>
      <c r="O2730" s="336">
        <f t="shared" si="2014"/>
        <v>0</v>
      </c>
      <c r="P2730" s="940">
        <f t="shared" si="2006"/>
        <v>0</v>
      </c>
      <c r="R2730" s="317"/>
      <c r="U2730" s="320"/>
    </row>
    <row r="2731" spans="1:21" s="325" customFormat="1" outlineLevel="3">
      <c r="A2731" s="907"/>
      <c r="B2731" s="588"/>
      <c r="C2731" s="589">
        <v>2210300</v>
      </c>
      <c r="D2731" s="589" t="s">
        <v>24</v>
      </c>
      <c r="E2731" s="605">
        <f>E2732+E2733+E2734</f>
        <v>1088488</v>
      </c>
      <c r="F2731" s="605">
        <f t="shared" ref="F2731:P2731" si="2015">F2732+F2733+F2734</f>
        <v>0</v>
      </c>
      <c r="G2731" s="605">
        <f t="shared" si="2015"/>
        <v>0</v>
      </c>
      <c r="H2731" s="605">
        <f t="shared" si="2015"/>
        <v>0</v>
      </c>
      <c r="I2731" s="605">
        <f t="shared" si="2015"/>
        <v>1088488</v>
      </c>
      <c r="J2731" s="605">
        <f t="shared" si="2015"/>
        <v>0</v>
      </c>
      <c r="K2731" s="605">
        <f t="shared" si="2015"/>
        <v>0</v>
      </c>
      <c r="L2731" s="317">
        <f t="shared" si="1990"/>
        <v>1088488</v>
      </c>
      <c r="M2731" s="317"/>
      <c r="N2731" s="372">
        <f t="shared" si="1993"/>
        <v>0</v>
      </c>
      <c r="O2731" s="605">
        <f t="shared" si="2015"/>
        <v>1197336.8</v>
      </c>
      <c r="P2731" s="605">
        <f t="shared" si="2015"/>
        <v>1317070.4800000002</v>
      </c>
      <c r="R2731" s="317"/>
      <c r="U2731" s="320"/>
    </row>
    <row r="2732" spans="1:21" s="344" customFormat="1" outlineLevel="3">
      <c r="A2732" s="897"/>
      <c r="B2732" s="585"/>
      <c r="C2732" s="592">
        <v>2210301</v>
      </c>
      <c r="D2732" s="592" t="s">
        <v>188</v>
      </c>
      <c r="E2732" s="587">
        <v>340725</v>
      </c>
      <c r="F2732" s="594"/>
      <c r="G2732" s="594"/>
      <c r="H2732" s="594"/>
      <c r="I2732" s="324">
        <f t="shared" si="2001"/>
        <v>340725</v>
      </c>
      <c r="J2732" s="594"/>
      <c r="K2732" s="315"/>
      <c r="L2732" s="317">
        <f t="shared" si="1990"/>
        <v>340725</v>
      </c>
      <c r="M2732" s="317"/>
      <c r="N2732" s="372">
        <f t="shared" si="1993"/>
        <v>0</v>
      </c>
      <c r="O2732" s="336">
        <f t="shared" si="2014"/>
        <v>374797.50000000006</v>
      </c>
      <c r="P2732" s="940">
        <f t="shared" si="2006"/>
        <v>412277.25000000012</v>
      </c>
      <c r="R2732" s="317"/>
      <c r="U2732" s="320"/>
    </row>
    <row r="2733" spans="1:21" s="344" customFormat="1" outlineLevel="3">
      <c r="A2733" s="897"/>
      <c r="B2733" s="585"/>
      <c r="C2733" s="592">
        <v>2210302</v>
      </c>
      <c r="D2733" s="592" t="s">
        <v>26</v>
      </c>
      <c r="E2733" s="587">
        <v>329486</v>
      </c>
      <c r="F2733" s="594"/>
      <c r="G2733" s="594"/>
      <c r="H2733" s="594"/>
      <c r="I2733" s="324">
        <f t="shared" si="2001"/>
        <v>329486</v>
      </c>
      <c r="J2733" s="594"/>
      <c r="K2733" s="315"/>
      <c r="L2733" s="317">
        <f t="shared" si="1990"/>
        <v>329486</v>
      </c>
      <c r="M2733" s="317"/>
      <c r="N2733" s="372">
        <f t="shared" si="1993"/>
        <v>0</v>
      </c>
      <c r="O2733" s="336">
        <f t="shared" si="2014"/>
        <v>362434.60000000003</v>
      </c>
      <c r="P2733" s="940">
        <f t="shared" si="2006"/>
        <v>398678.06000000006</v>
      </c>
      <c r="R2733" s="317"/>
      <c r="U2733" s="320"/>
    </row>
    <row r="2734" spans="1:21" s="344" customFormat="1" outlineLevel="3">
      <c r="A2734" s="897"/>
      <c r="B2734" s="585"/>
      <c r="C2734" s="592">
        <v>2210303</v>
      </c>
      <c r="D2734" s="592" t="s">
        <v>27</v>
      </c>
      <c r="E2734" s="587">
        <v>418277</v>
      </c>
      <c r="F2734" s="594"/>
      <c r="G2734" s="594"/>
      <c r="H2734" s="594"/>
      <c r="I2734" s="324">
        <f t="shared" si="2001"/>
        <v>418277</v>
      </c>
      <c r="J2734" s="594"/>
      <c r="K2734" s="315"/>
      <c r="L2734" s="317">
        <f t="shared" si="1990"/>
        <v>418277</v>
      </c>
      <c r="M2734" s="317"/>
      <c r="N2734" s="372">
        <f t="shared" si="1993"/>
        <v>0</v>
      </c>
      <c r="O2734" s="336">
        <f t="shared" si="2014"/>
        <v>460104.7</v>
      </c>
      <c r="P2734" s="940">
        <f t="shared" si="2006"/>
        <v>506115.17000000004</v>
      </c>
      <c r="R2734" s="317"/>
      <c r="U2734" s="320"/>
    </row>
    <row r="2735" spans="1:21" s="344" customFormat="1" outlineLevel="3">
      <c r="A2735" s="907"/>
      <c r="B2735" s="588"/>
      <c r="C2735" s="589">
        <v>2210700</v>
      </c>
      <c r="D2735" s="589" t="s">
        <v>194</v>
      </c>
      <c r="E2735" s="605">
        <f>E2736+E2737+E2738</f>
        <v>893479</v>
      </c>
      <c r="F2735" s="605">
        <f t="shared" ref="F2735:K2735" si="2016">F2736+F2737+F2738</f>
        <v>0</v>
      </c>
      <c r="G2735" s="605">
        <f t="shared" si="2016"/>
        <v>0</v>
      </c>
      <c r="H2735" s="605">
        <f t="shared" si="2016"/>
        <v>0</v>
      </c>
      <c r="I2735" s="605">
        <f t="shared" si="2016"/>
        <v>893479</v>
      </c>
      <c r="J2735" s="605">
        <f t="shared" si="2016"/>
        <v>0</v>
      </c>
      <c r="K2735" s="605">
        <f t="shared" si="2016"/>
        <v>0</v>
      </c>
      <c r="L2735" s="317">
        <f t="shared" si="1990"/>
        <v>893479</v>
      </c>
      <c r="M2735" s="317"/>
      <c r="N2735" s="372">
        <f t="shared" si="1993"/>
        <v>0</v>
      </c>
      <c r="O2735" s="605">
        <f t="shared" ref="O2735:P2735" si="2017">O2736+O2737+O2738</f>
        <v>982826.9</v>
      </c>
      <c r="P2735" s="939">
        <f t="shared" si="2017"/>
        <v>1081109.5900000001</v>
      </c>
      <c r="R2735" s="317"/>
      <c r="U2735" s="320"/>
    </row>
    <row r="2736" spans="1:21" s="325" customFormat="1" outlineLevel="3">
      <c r="A2736" s="897"/>
      <c r="B2736" s="585"/>
      <c r="C2736" s="592">
        <v>2210701</v>
      </c>
      <c r="D2736" s="592" t="s">
        <v>36</v>
      </c>
      <c r="E2736" s="587">
        <v>336819</v>
      </c>
      <c r="F2736" s="594"/>
      <c r="G2736" s="594"/>
      <c r="H2736" s="594"/>
      <c r="I2736" s="324">
        <f t="shared" si="2001"/>
        <v>336819</v>
      </c>
      <c r="J2736" s="594"/>
      <c r="K2736" s="315"/>
      <c r="L2736" s="317">
        <f t="shared" si="1990"/>
        <v>336819</v>
      </c>
      <c r="M2736" s="317"/>
      <c r="N2736" s="372">
        <f t="shared" si="1993"/>
        <v>0</v>
      </c>
      <c r="O2736" s="336">
        <f t="shared" si="2014"/>
        <v>370500.9</v>
      </c>
      <c r="P2736" s="940">
        <f t="shared" ref="P2736:P2798" si="2018">O2736*1.1</f>
        <v>407550.99000000005</v>
      </c>
      <c r="Q2736" s="941"/>
      <c r="R2736" s="317"/>
      <c r="U2736" s="320"/>
    </row>
    <row r="2737" spans="1:21" s="344" customFormat="1" outlineLevel="3">
      <c r="A2737" s="897"/>
      <c r="B2737" s="585"/>
      <c r="C2737" s="592">
        <v>2210710</v>
      </c>
      <c r="D2737" s="592" t="s">
        <v>39</v>
      </c>
      <c r="E2737" s="587">
        <v>316660</v>
      </c>
      <c r="F2737" s="594"/>
      <c r="G2737" s="594"/>
      <c r="H2737" s="594"/>
      <c r="I2737" s="324">
        <f t="shared" si="2001"/>
        <v>316660</v>
      </c>
      <c r="J2737" s="594"/>
      <c r="K2737" s="315"/>
      <c r="L2737" s="317">
        <f t="shared" si="1990"/>
        <v>316660</v>
      </c>
      <c r="M2737" s="317"/>
      <c r="N2737" s="372">
        <f t="shared" si="1993"/>
        <v>0</v>
      </c>
      <c r="O2737" s="336">
        <f t="shared" si="2014"/>
        <v>348326</v>
      </c>
      <c r="P2737" s="940">
        <f t="shared" si="2018"/>
        <v>383158.60000000003</v>
      </c>
      <c r="Q2737" s="941"/>
      <c r="R2737" s="317"/>
      <c r="U2737" s="320"/>
    </row>
    <row r="2738" spans="1:21" s="325" customFormat="1" outlineLevel="3">
      <c r="A2738" s="897"/>
      <c r="B2738" s="585"/>
      <c r="C2738" s="332">
        <v>2210715</v>
      </c>
      <c r="D2738" s="330" t="s">
        <v>40</v>
      </c>
      <c r="E2738" s="587">
        <v>240000</v>
      </c>
      <c r="F2738" s="389"/>
      <c r="G2738" s="389"/>
      <c r="H2738" s="389"/>
      <c r="I2738" s="324">
        <f t="shared" si="2001"/>
        <v>240000</v>
      </c>
      <c r="J2738" s="389"/>
      <c r="K2738" s="315"/>
      <c r="L2738" s="317">
        <f t="shared" si="1990"/>
        <v>240000</v>
      </c>
      <c r="M2738" s="317"/>
      <c r="N2738" s="372">
        <f t="shared" si="1993"/>
        <v>0</v>
      </c>
      <c r="O2738" s="336">
        <f t="shared" si="2014"/>
        <v>264000</v>
      </c>
      <c r="P2738" s="940">
        <f t="shared" si="2018"/>
        <v>290400</v>
      </c>
      <c r="Q2738" s="941"/>
      <c r="R2738" s="317"/>
      <c r="U2738" s="320"/>
    </row>
    <row r="2739" spans="1:21" s="344" customFormat="1" outlineLevel="3">
      <c r="A2739" s="907"/>
      <c r="B2739" s="588"/>
      <c r="C2739" s="589">
        <v>2210800</v>
      </c>
      <c r="D2739" s="589" t="s">
        <v>42</v>
      </c>
      <c r="E2739" s="605">
        <f>E2740</f>
        <v>433218</v>
      </c>
      <c r="F2739" s="605">
        <f t="shared" ref="F2739:K2739" si="2019">F2740</f>
        <v>0</v>
      </c>
      <c r="G2739" s="605">
        <f t="shared" si="2019"/>
        <v>0</v>
      </c>
      <c r="H2739" s="605">
        <f t="shared" si="2019"/>
        <v>0</v>
      </c>
      <c r="I2739" s="605">
        <f t="shared" si="2019"/>
        <v>433218</v>
      </c>
      <c r="J2739" s="605">
        <f t="shared" si="2019"/>
        <v>0</v>
      </c>
      <c r="K2739" s="605">
        <f t="shared" si="2019"/>
        <v>0</v>
      </c>
      <c r="L2739" s="317">
        <f t="shared" si="1990"/>
        <v>433218</v>
      </c>
      <c r="M2739" s="317"/>
      <c r="N2739" s="372">
        <f t="shared" si="1993"/>
        <v>0</v>
      </c>
      <c r="O2739" s="605">
        <f t="shared" ref="O2739:P2739" si="2020">O2740</f>
        <v>476539.80000000005</v>
      </c>
      <c r="P2739" s="939">
        <f t="shared" si="2020"/>
        <v>524193.78000000009</v>
      </c>
      <c r="R2739" s="317"/>
      <c r="U2739" s="320"/>
    </row>
    <row r="2740" spans="1:21" s="325" customFormat="1" outlineLevel="3">
      <c r="A2740" s="897"/>
      <c r="B2740" s="585"/>
      <c r="C2740" s="592">
        <v>2210801</v>
      </c>
      <c r="D2740" s="592" t="s">
        <v>2421</v>
      </c>
      <c r="E2740" s="587">
        <v>433218</v>
      </c>
      <c r="F2740" s="594"/>
      <c r="G2740" s="594"/>
      <c r="H2740" s="594"/>
      <c r="I2740" s="324">
        <f t="shared" si="2001"/>
        <v>433218</v>
      </c>
      <c r="J2740" s="594"/>
      <c r="K2740" s="315"/>
      <c r="L2740" s="317">
        <f t="shared" si="1990"/>
        <v>433218</v>
      </c>
      <c r="M2740" s="317"/>
      <c r="N2740" s="372">
        <f t="shared" si="1993"/>
        <v>0</v>
      </c>
      <c r="O2740" s="336">
        <f t="shared" si="2014"/>
        <v>476539.80000000005</v>
      </c>
      <c r="P2740" s="940">
        <f t="shared" si="2018"/>
        <v>524193.78000000009</v>
      </c>
      <c r="R2740" s="317"/>
      <c r="U2740" s="320"/>
    </row>
    <row r="2741" spans="1:21" s="344" customFormat="1" outlineLevel="3">
      <c r="A2741" s="907"/>
      <c r="B2741" s="588"/>
      <c r="C2741" s="589">
        <v>2211100</v>
      </c>
      <c r="D2741" s="589" t="s">
        <v>51</v>
      </c>
      <c r="E2741" s="605">
        <f>E2742</f>
        <v>382277</v>
      </c>
      <c r="F2741" s="605">
        <f t="shared" ref="F2741:K2741" si="2021">F2742</f>
        <v>0</v>
      </c>
      <c r="G2741" s="605">
        <f t="shared" si="2021"/>
        <v>0</v>
      </c>
      <c r="H2741" s="605">
        <f t="shared" si="2021"/>
        <v>0</v>
      </c>
      <c r="I2741" s="605">
        <f t="shared" si="2021"/>
        <v>382277</v>
      </c>
      <c r="J2741" s="605">
        <f t="shared" si="2021"/>
        <v>0</v>
      </c>
      <c r="K2741" s="605">
        <f t="shared" si="2021"/>
        <v>0</v>
      </c>
      <c r="L2741" s="317">
        <f t="shared" si="1990"/>
        <v>382277</v>
      </c>
      <c r="M2741" s="317"/>
      <c r="N2741" s="372">
        <f t="shared" si="1993"/>
        <v>0</v>
      </c>
      <c r="O2741" s="605">
        <f t="shared" ref="O2741:P2741" si="2022">O2742</f>
        <v>420504.7</v>
      </c>
      <c r="P2741" s="939">
        <f t="shared" si="2022"/>
        <v>462555.17000000004</v>
      </c>
      <c r="R2741" s="317"/>
      <c r="U2741" s="320"/>
    </row>
    <row r="2742" spans="1:21" s="344" customFormat="1" outlineLevel="3">
      <c r="A2742" s="897"/>
      <c r="B2742" s="585"/>
      <c r="C2742" s="592">
        <v>2211101</v>
      </c>
      <c r="D2742" s="330" t="s">
        <v>197</v>
      </c>
      <c r="E2742" s="587">
        <v>382277</v>
      </c>
      <c r="F2742" s="389"/>
      <c r="G2742" s="389"/>
      <c r="H2742" s="389"/>
      <c r="I2742" s="324">
        <f t="shared" si="2001"/>
        <v>382277</v>
      </c>
      <c r="J2742" s="389"/>
      <c r="K2742" s="315"/>
      <c r="L2742" s="317">
        <f t="shared" si="1990"/>
        <v>382277</v>
      </c>
      <c r="M2742" s="317"/>
      <c r="N2742" s="372">
        <f t="shared" si="1993"/>
        <v>0</v>
      </c>
      <c r="O2742" s="336">
        <f t="shared" si="2014"/>
        <v>420504.7</v>
      </c>
      <c r="P2742" s="968">
        <f t="shared" ref="P2742:P2745" si="2023">O2742*1.1</f>
        <v>462555.17000000004</v>
      </c>
      <c r="R2742" s="317"/>
      <c r="U2742" s="320"/>
    </row>
    <row r="2743" spans="1:21" s="325" customFormat="1" outlineLevel="3">
      <c r="A2743" s="907"/>
      <c r="B2743" s="588"/>
      <c r="C2743" s="589">
        <v>2220100</v>
      </c>
      <c r="D2743" s="589" t="s">
        <v>199</v>
      </c>
      <c r="E2743" s="605">
        <f>E2745+E2744</f>
        <v>649000</v>
      </c>
      <c r="F2743" s="605">
        <f t="shared" ref="F2743:K2743" si="2024">F2745+F2744</f>
        <v>0</v>
      </c>
      <c r="G2743" s="605">
        <f t="shared" si="2024"/>
        <v>0</v>
      </c>
      <c r="H2743" s="605">
        <f t="shared" si="2024"/>
        <v>0</v>
      </c>
      <c r="I2743" s="605">
        <f t="shared" si="2024"/>
        <v>649000</v>
      </c>
      <c r="J2743" s="605">
        <f t="shared" si="2024"/>
        <v>0</v>
      </c>
      <c r="K2743" s="605">
        <f t="shared" si="2024"/>
        <v>-649000</v>
      </c>
      <c r="L2743" s="317">
        <f t="shared" si="1990"/>
        <v>0</v>
      </c>
      <c r="M2743" s="317"/>
      <c r="N2743" s="372">
        <f t="shared" si="1993"/>
        <v>649000</v>
      </c>
      <c r="O2743" s="605">
        <f t="shared" ref="O2743:P2743" si="2025">O2745+O2744</f>
        <v>0</v>
      </c>
      <c r="P2743" s="939">
        <f t="shared" si="2025"/>
        <v>0</v>
      </c>
      <c r="R2743" s="317"/>
      <c r="U2743" s="320"/>
    </row>
    <row r="2744" spans="1:21" s="344" customFormat="1" outlineLevel="2">
      <c r="A2744" s="897"/>
      <c r="B2744" s="585"/>
      <c r="C2744" s="592">
        <v>2220101</v>
      </c>
      <c r="D2744" s="592" t="s">
        <v>200</v>
      </c>
      <c r="E2744" s="587">
        <v>325000</v>
      </c>
      <c r="F2744" s="594"/>
      <c r="G2744" s="594"/>
      <c r="H2744" s="594"/>
      <c r="I2744" s="324">
        <f t="shared" si="2001"/>
        <v>325000</v>
      </c>
      <c r="J2744" s="594"/>
      <c r="K2744" s="315">
        <v>-325000</v>
      </c>
      <c r="L2744" s="317">
        <f t="shared" si="1990"/>
        <v>0</v>
      </c>
      <c r="M2744" s="317"/>
      <c r="N2744" s="372">
        <f t="shared" si="1993"/>
        <v>325000</v>
      </c>
      <c r="O2744" s="336">
        <f t="shared" si="2014"/>
        <v>0</v>
      </c>
      <c r="P2744" s="957">
        <f t="shared" si="2023"/>
        <v>0</v>
      </c>
      <c r="Q2744" s="941"/>
      <c r="R2744" s="317"/>
      <c r="U2744" s="320"/>
    </row>
    <row r="2745" spans="1:21" s="325" customFormat="1" outlineLevel="2">
      <c r="A2745" s="897"/>
      <c r="B2745" s="585"/>
      <c r="C2745" s="592">
        <v>2220105</v>
      </c>
      <c r="D2745" s="592" t="s">
        <v>64</v>
      </c>
      <c r="E2745" s="587">
        <v>324000</v>
      </c>
      <c r="F2745" s="594"/>
      <c r="G2745" s="594"/>
      <c r="H2745" s="594"/>
      <c r="I2745" s="324">
        <f t="shared" si="2001"/>
        <v>324000</v>
      </c>
      <c r="J2745" s="594"/>
      <c r="K2745" s="315">
        <v>-324000</v>
      </c>
      <c r="L2745" s="317">
        <f t="shared" si="1990"/>
        <v>0</v>
      </c>
      <c r="M2745" s="317"/>
      <c r="N2745" s="372">
        <f t="shared" si="1993"/>
        <v>324000</v>
      </c>
      <c r="O2745" s="336">
        <f t="shared" si="2014"/>
        <v>0</v>
      </c>
      <c r="P2745" s="957">
        <f t="shared" si="2023"/>
        <v>0</v>
      </c>
      <c r="Q2745" s="941"/>
      <c r="R2745" s="317"/>
      <c r="U2745" s="320"/>
    </row>
    <row r="2746" spans="1:21" outlineLevel="2">
      <c r="A2746" s="907"/>
      <c r="B2746" s="588"/>
      <c r="C2746" s="620">
        <v>3111000</v>
      </c>
      <c r="D2746" s="589" t="s">
        <v>69</v>
      </c>
      <c r="E2746" s="605">
        <f>E2747</f>
        <v>480000</v>
      </c>
      <c r="F2746" s="605">
        <f t="shared" ref="F2746:K2746" si="2026">F2747</f>
        <v>0</v>
      </c>
      <c r="G2746" s="605">
        <f t="shared" si="2026"/>
        <v>0</v>
      </c>
      <c r="H2746" s="605">
        <f t="shared" si="2026"/>
        <v>0</v>
      </c>
      <c r="I2746" s="605">
        <f t="shared" si="2026"/>
        <v>480000</v>
      </c>
      <c r="J2746" s="605">
        <f t="shared" si="2026"/>
        <v>0</v>
      </c>
      <c r="K2746" s="605">
        <f t="shared" si="2026"/>
        <v>0</v>
      </c>
      <c r="L2746" s="317">
        <f t="shared" si="1990"/>
        <v>480000</v>
      </c>
      <c r="M2746" s="317"/>
      <c r="N2746" s="372">
        <f t="shared" si="1993"/>
        <v>0</v>
      </c>
      <c r="O2746" s="605">
        <f t="shared" ref="O2746:P2746" si="2027">O2747</f>
        <v>528000</v>
      </c>
      <c r="P2746" s="939">
        <f t="shared" si="2027"/>
        <v>580800</v>
      </c>
      <c r="R2746" s="317"/>
      <c r="U2746" s="320"/>
    </row>
    <row r="2747" spans="1:21" s="325" customFormat="1" outlineLevel="3">
      <c r="A2747" s="897"/>
      <c r="B2747" s="585"/>
      <c r="C2747" s="592">
        <v>3111002</v>
      </c>
      <c r="D2747" s="592" t="s">
        <v>71</v>
      </c>
      <c r="E2747" s="587">
        <v>480000</v>
      </c>
      <c r="F2747" s="594"/>
      <c r="G2747" s="594"/>
      <c r="H2747" s="594"/>
      <c r="I2747" s="324">
        <f t="shared" si="2001"/>
        <v>480000</v>
      </c>
      <c r="J2747" s="594"/>
      <c r="K2747" s="315"/>
      <c r="L2747" s="317">
        <f t="shared" si="1990"/>
        <v>480000</v>
      </c>
      <c r="M2747" s="317"/>
      <c r="N2747" s="372">
        <f t="shared" si="1993"/>
        <v>0</v>
      </c>
      <c r="O2747" s="336">
        <f t="shared" si="2014"/>
        <v>528000</v>
      </c>
      <c r="P2747" s="940">
        <f t="shared" si="2018"/>
        <v>580800</v>
      </c>
      <c r="R2747" s="317"/>
      <c r="U2747" s="320"/>
    </row>
    <row r="2748" spans="1:21" s="344" customFormat="1" outlineLevel="3">
      <c r="A2748" s="907"/>
      <c r="B2748" s="588"/>
      <c r="C2748" s="589" t="s">
        <v>526</v>
      </c>
      <c r="D2748" s="955"/>
      <c r="E2748" s="605">
        <f>E2746+E2741+E2739+E2735+E2731+E2743</f>
        <v>3926462</v>
      </c>
      <c r="F2748" s="605">
        <f t="shared" ref="F2748:K2748" si="2028">F2746+F2741+F2739+F2735+F2731+F2743</f>
        <v>0</v>
      </c>
      <c r="G2748" s="605">
        <f t="shared" si="2028"/>
        <v>0</v>
      </c>
      <c r="H2748" s="605">
        <f t="shared" si="2028"/>
        <v>0</v>
      </c>
      <c r="I2748" s="605">
        <f t="shared" si="2028"/>
        <v>3926462</v>
      </c>
      <c r="J2748" s="605">
        <f t="shared" si="2028"/>
        <v>0</v>
      </c>
      <c r="K2748" s="605">
        <f t="shared" si="2028"/>
        <v>-649000</v>
      </c>
      <c r="L2748" s="317">
        <f t="shared" si="1990"/>
        <v>3277462</v>
      </c>
      <c r="M2748" s="317"/>
      <c r="N2748" s="372">
        <f t="shared" si="1993"/>
        <v>649000</v>
      </c>
      <c r="O2748" s="605">
        <f t="shared" ref="O2748:P2748" si="2029">O2746+O2741+O2739+O2735+O2731+O2743</f>
        <v>3605208.2</v>
      </c>
      <c r="P2748" s="939">
        <f t="shared" si="2029"/>
        <v>3965729.0200000005</v>
      </c>
      <c r="R2748" s="317"/>
      <c r="U2748" s="320"/>
    </row>
    <row r="2749" spans="1:21" s="350" customFormat="1" outlineLevel="3">
      <c r="A2749" s="907"/>
      <c r="B2749" s="588"/>
      <c r="C2749" s="589"/>
      <c r="D2749" s="955"/>
      <c r="E2749" s="587"/>
      <c r="F2749" s="967"/>
      <c r="G2749" s="967"/>
      <c r="H2749" s="967"/>
      <c r="I2749" s="324">
        <f t="shared" si="2001"/>
        <v>0</v>
      </c>
      <c r="J2749" s="967"/>
      <c r="K2749" s="315"/>
      <c r="L2749" s="317">
        <f t="shared" si="1990"/>
        <v>0</v>
      </c>
      <c r="M2749" s="317"/>
      <c r="N2749" s="372">
        <f t="shared" si="1993"/>
        <v>0</v>
      </c>
      <c r="O2749" s="336">
        <f t="shared" si="2014"/>
        <v>0</v>
      </c>
      <c r="P2749" s="940">
        <f t="shared" si="2018"/>
        <v>0</v>
      </c>
      <c r="R2749" s="317"/>
      <c r="U2749" s="320"/>
    </row>
    <row r="2750" spans="1:21" s="344" customFormat="1" outlineLevel="3">
      <c r="A2750" s="907"/>
      <c r="B2750" s="588"/>
      <c r="C2750" s="589"/>
      <c r="D2750" s="955" t="s">
        <v>92</v>
      </c>
      <c r="E2750" s="587"/>
      <c r="F2750" s="967"/>
      <c r="G2750" s="967"/>
      <c r="H2750" s="967"/>
      <c r="I2750" s="324">
        <f t="shared" si="2001"/>
        <v>0</v>
      </c>
      <c r="J2750" s="967"/>
      <c r="K2750" s="315"/>
      <c r="L2750" s="317">
        <f t="shared" si="1990"/>
        <v>0</v>
      </c>
      <c r="M2750" s="317"/>
      <c r="N2750" s="372">
        <f t="shared" si="1993"/>
        <v>0</v>
      </c>
      <c r="O2750" s="336">
        <f t="shared" si="2014"/>
        <v>0</v>
      </c>
      <c r="P2750" s="940">
        <f t="shared" si="2018"/>
        <v>0</v>
      </c>
      <c r="R2750" s="317"/>
      <c r="U2750" s="320"/>
    </row>
    <row r="2751" spans="1:21" s="344" customFormat="1" outlineLevel="3">
      <c r="A2751" s="907"/>
      <c r="B2751" s="588"/>
      <c r="C2751" s="589" t="s">
        <v>548</v>
      </c>
      <c r="D2751" s="589" t="s">
        <v>260</v>
      </c>
      <c r="E2751" s="605">
        <f>E2752+E2753</f>
        <v>43000000</v>
      </c>
      <c r="F2751" s="605">
        <f t="shared" ref="F2751:P2751" si="2030">F2752+F2753</f>
        <v>0</v>
      </c>
      <c r="G2751" s="605">
        <f t="shared" si="2030"/>
        <v>-5433992</v>
      </c>
      <c r="H2751" s="605">
        <f t="shared" si="2030"/>
        <v>8433992</v>
      </c>
      <c r="I2751" s="605">
        <f t="shared" si="2030"/>
        <v>46000000</v>
      </c>
      <c r="J2751" s="605">
        <f t="shared" si="2030"/>
        <v>0</v>
      </c>
      <c r="K2751" s="605">
        <f t="shared" si="2030"/>
        <v>0</v>
      </c>
      <c r="L2751" s="317">
        <f t="shared" si="1990"/>
        <v>46000000</v>
      </c>
      <c r="M2751" s="317"/>
      <c r="N2751" s="372">
        <f t="shared" si="1993"/>
        <v>0</v>
      </c>
      <c r="O2751" s="605">
        <f t="shared" si="2030"/>
        <v>50600000</v>
      </c>
      <c r="P2751" s="605">
        <f t="shared" si="2030"/>
        <v>55660000</v>
      </c>
      <c r="R2751" s="317"/>
      <c r="U2751" s="320"/>
    </row>
    <row r="2752" spans="1:21" s="325" customFormat="1" outlineLevel="3">
      <c r="A2752" s="979"/>
      <c r="B2752" s="596"/>
      <c r="C2752" s="405">
        <v>3110504</v>
      </c>
      <c r="D2752" s="405" t="s">
        <v>1460</v>
      </c>
      <c r="E2752" s="587">
        <f>27000000-2000000+6000000</f>
        <v>31000000</v>
      </c>
      <c r="F2752" s="348"/>
      <c r="G2752" s="587">
        <v>-5433992</v>
      </c>
      <c r="H2752" s="587">
        <f>3000000+2433992</f>
        <v>5433992</v>
      </c>
      <c r="I2752" s="324">
        <f t="shared" si="2001"/>
        <v>31000000</v>
      </c>
      <c r="J2752" s="587"/>
      <c r="K2752" s="315"/>
      <c r="L2752" s="317">
        <f t="shared" si="1990"/>
        <v>31000000</v>
      </c>
      <c r="M2752" s="317"/>
      <c r="N2752" s="372">
        <f t="shared" si="1993"/>
        <v>0</v>
      </c>
      <c r="O2752" s="336">
        <f t="shared" si="2014"/>
        <v>34100000</v>
      </c>
      <c r="P2752" s="968">
        <f t="shared" ref="P2752:P2753" si="2031">O2752*1.1</f>
        <v>37510000</v>
      </c>
      <c r="Q2752" s="980"/>
      <c r="R2752" s="317"/>
      <c r="U2752" s="320"/>
    </row>
    <row r="2753" spans="1:21" s="344" customFormat="1" outlineLevel="2">
      <c r="A2753" s="979"/>
      <c r="B2753" s="596"/>
      <c r="C2753" s="510" t="s">
        <v>1461</v>
      </c>
      <c r="D2753" s="405" t="s">
        <v>1462</v>
      </c>
      <c r="E2753" s="587">
        <f>14000000-2000000</f>
        <v>12000000</v>
      </c>
      <c r="F2753" s="348"/>
      <c r="G2753" s="348"/>
      <c r="H2753" s="348">
        <v>3000000</v>
      </c>
      <c r="I2753" s="324">
        <f t="shared" si="2001"/>
        <v>15000000</v>
      </c>
      <c r="J2753" s="348"/>
      <c r="K2753" s="315"/>
      <c r="L2753" s="317">
        <f t="shared" si="1990"/>
        <v>15000000</v>
      </c>
      <c r="M2753" s="317"/>
      <c r="N2753" s="372">
        <f t="shared" si="1993"/>
        <v>0</v>
      </c>
      <c r="O2753" s="336">
        <f t="shared" si="2014"/>
        <v>16500000.000000002</v>
      </c>
      <c r="P2753" s="968">
        <f t="shared" si="2031"/>
        <v>18150000.000000004</v>
      </c>
      <c r="R2753" s="317"/>
      <c r="U2753" s="320"/>
    </row>
    <row r="2754" spans="1:21" s="344" customFormat="1" outlineLevel="1">
      <c r="A2754" s="979"/>
      <c r="B2754" s="586"/>
      <c r="C2754" s="328">
        <v>3111500</v>
      </c>
      <c r="D2754" s="328" t="s">
        <v>549</v>
      </c>
      <c r="E2754" s="605">
        <f>E2755+E2756</f>
        <v>6447732</v>
      </c>
      <c r="F2754" s="605">
        <f t="shared" ref="F2754:P2754" si="2032">F2755+F2756</f>
        <v>3581873.195677191</v>
      </c>
      <c r="G2754" s="605">
        <f t="shared" si="2032"/>
        <v>0</v>
      </c>
      <c r="H2754" s="605">
        <f t="shared" si="2032"/>
        <v>0</v>
      </c>
      <c r="I2754" s="605">
        <f t="shared" si="2032"/>
        <v>10029605.195677191</v>
      </c>
      <c r="J2754" s="605">
        <f t="shared" si="2032"/>
        <v>0</v>
      </c>
      <c r="K2754" s="605">
        <f t="shared" si="2032"/>
        <v>0</v>
      </c>
      <c r="L2754" s="317">
        <f t="shared" si="1990"/>
        <v>10029605.195677191</v>
      </c>
      <c r="M2754" s="317"/>
      <c r="N2754" s="372">
        <f t="shared" si="1993"/>
        <v>0</v>
      </c>
      <c r="O2754" s="605">
        <f t="shared" si="2032"/>
        <v>11032565.715244912</v>
      </c>
      <c r="P2754" s="605">
        <f t="shared" si="2032"/>
        <v>12135822.286769403</v>
      </c>
      <c r="R2754" s="317"/>
      <c r="U2754" s="320"/>
    </row>
    <row r="2755" spans="1:21" s="344" customFormat="1" outlineLevel="1">
      <c r="A2755" s="979"/>
      <c r="B2755" s="596"/>
      <c r="C2755" s="405">
        <v>3111504</v>
      </c>
      <c r="D2755" s="405" t="s">
        <v>1463</v>
      </c>
      <c r="E2755" s="587">
        <v>4735228</v>
      </c>
      <c r="F2755" s="348"/>
      <c r="G2755" s="348"/>
      <c r="H2755" s="348"/>
      <c r="I2755" s="324">
        <f t="shared" si="2001"/>
        <v>4735228</v>
      </c>
      <c r="J2755" s="348"/>
      <c r="K2755" s="315"/>
      <c r="L2755" s="317">
        <f t="shared" si="1990"/>
        <v>4735228</v>
      </c>
      <c r="M2755" s="317"/>
      <c r="N2755" s="372">
        <f t="shared" si="1993"/>
        <v>0</v>
      </c>
      <c r="O2755" s="336">
        <f t="shared" si="2014"/>
        <v>5208750.8000000007</v>
      </c>
      <c r="P2755" s="940">
        <f t="shared" si="2018"/>
        <v>5729625.8800000008</v>
      </c>
      <c r="R2755" s="317"/>
      <c r="U2755" s="320"/>
    </row>
    <row r="2756" spans="1:21" s="325" customFormat="1" outlineLevel="1">
      <c r="A2756" s="979"/>
      <c r="B2756" s="596"/>
      <c r="C2756" s="405">
        <v>3111504</v>
      </c>
      <c r="D2756" s="405" t="s">
        <v>2439</v>
      </c>
      <c r="E2756" s="587">
        <v>1712504</v>
      </c>
      <c r="F2756" s="587">
        <v>3581873.195677191</v>
      </c>
      <c r="G2756" s="348"/>
      <c r="H2756" s="348"/>
      <c r="I2756" s="324">
        <f t="shared" si="2001"/>
        <v>5294377.195677191</v>
      </c>
      <c r="J2756" s="348"/>
      <c r="K2756" s="315"/>
      <c r="L2756" s="317">
        <f t="shared" si="1990"/>
        <v>5294377.195677191</v>
      </c>
      <c r="M2756" s="317"/>
      <c r="N2756" s="372">
        <f t="shared" si="1993"/>
        <v>0</v>
      </c>
      <c r="O2756" s="336">
        <f t="shared" si="2014"/>
        <v>5823814.9152449109</v>
      </c>
      <c r="P2756" s="940">
        <f t="shared" si="2018"/>
        <v>6406196.4067694023</v>
      </c>
      <c r="R2756" s="317"/>
      <c r="U2756" s="320"/>
    </row>
    <row r="2757" spans="1:21" s="344" customFormat="1" outlineLevel="1">
      <c r="A2757" s="977"/>
      <c r="B2757" s="977"/>
      <c r="C2757" s="328" t="s">
        <v>175</v>
      </c>
      <c r="D2757" s="326"/>
      <c r="E2757" s="605">
        <f>E2751+E2754</f>
        <v>49447732</v>
      </c>
      <c r="F2757" s="605">
        <f t="shared" ref="F2757:K2757" si="2033">F2751+F2754</f>
        <v>3581873.195677191</v>
      </c>
      <c r="G2757" s="605">
        <f t="shared" si="2033"/>
        <v>-5433992</v>
      </c>
      <c r="H2757" s="605">
        <f t="shared" si="2033"/>
        <v>8433992</v>
      </c>
      <c r="I2757" s="605">
        <f t="shared" si="2033"/>
        <v>56029605.195677191</v>
      </c>
      <c r="J2757" s="605">
        <f t="shared" si="2033"/>
        <v>0</v>
      </c>
      <c r="K2757" s="605">
        <f t="shared" si="2033"/>
        <v>0</v>
      </c>
      <c r="L2757" s="317">
        <f t="shared" ref="L2757:L2820" si="2034">I2757+J2757+K2757</f>
        <v>56029605.195677191</v>
      </c>
      <c r="M2757" s="317"/>
      <c r="N2757" s="372">
        <f t="shared" si="1993"/>
        <v>0</v>
      </c>
      <c r="O2757" s="605">
        <f t="shared" ref="O2757:P2757" si="2035">O2751+O2754</f>
        <v>61632565.715244912</v>
      </c>
      <c r="P2757" s="939">
        <f t="shared" si="2035"/>
        <v>67795822.286769405</v>
      </c>
      <c r="R2757" s="317"/>
      <c r="U2757" s="320"/>
    </row>
    <row r="2758" spans="1:21" s="344" customFormat="1" outlineLevel="2">
      <c r="A2758" s="977"/>
      <c r="B2758" s="977"/>
      <c r="C2758" s="328" t="s">
        <v>84</v>
      </c>
      <c r="D2758" s="326"/>
      <c r="E2758" s="605">
        <f>E2757+E2748</f>
        <v>53374194</v>
      </c>
      <c r="F2758" s="605">
        <f t="shared" ref="F2758:K2758" si="2036">F2757+F2748</f>
        <v>3581873.195677191</v>
      </c>
      <c r="G2758" s="605">
        <f t="shared" si="2036"/>
        <v>-5433992</v>
      </c>
      <c r="H2758" s="605">
        <f t="shared" si="2036"/>
        <v>8433992</v>
      </c>
      <c r="I2758" s="605">
        <f t="shared" si="2036"/>
        <v>59956067.195677191</v>
      </c>
      <c r="J2758" s="605">
        <f t="shared" si="2036"/>
        <v>0</v>
      </c>
      <c r="K2758" s="605">
        <f t="shared" si="2036"/>
        <v>-649000</v>
      </c>
      <c r="L2758" s="317">
        <f t="shared" si="2034"/>
        <v>59307067.195677191</v>
      </c>
      <c r="M2758" s="317"/>
      <c r="N2758" s="372">
        <f t="shared" si="1993"/>
        <v>649000</v>
      </c>
      <c r="O2758" s="605">
        <f t="shared" ref="O2758:P2758" si="2037">O2757+O2748</f>
        <v>65237773.915244915</v>
      </c>
      <c r="P2758" s="939">
        <f t="shared" si="2037"/>
        <v>71761551.306769401</v>
      </c>
      <c r="R2758" s="317"/>
      <c r="U2758" s="320"/>
    </row>
    <row r="2759" spans="1:21" s="325" customFormat="1" outlineLevel="2">
      <c r="A2759" s="330"/>
      <c r="B2759" s="330"/>
      <c r="C2759" s="340"/>
      <c r="D2759" s="338"/>
      <c r="E2759" s="587"/>
      <c r="F2759" s="397"/>
      <c r="G2759" s="397"/>
      <c r="H2759" s="397"/>
      <c r="I2759" s="324">
        <f t="shared" si="2001"/>
        <v>0</v>
      </c>
      <c r="J2759" s="397"/>
      <c r="K2759" s="315"/>
      <c r="L2759" s="317">
        <f t="shared" si="2034"/>
        <v>0</v>
      </c>
      <c r="M2759" s="317"/>
      <c r="N2759" s="372">
        <f t="shared" si="1993"/>
        <v>0</v>
      </c>
      <c r="O2759" s="336">
        <f t="shared" si="2014"/>
        <v>0</v>
      </c>
      <c r="P2759" s="940">
        <f t="shared" si="2018"/>
        <v>0</v>
      </c>
      <c r="R2759" s="317"/>
      <c r="U2759" s="320"/>
    </row>
    <row r="2760" spans="1:21" s="344" customFormat="1" outlineLevel="2">
      <c r="A2760" s="588"/>
      <c r="B2760" s="588"/>
      <c r="C2760" s="340" t="s">
        <v>550</v>
      </c>
      <c r="D2760" s="338"/>
      <c r="E2760" s="587"/>
      <c r="F2760" s="397"/>
      <c r="G2760" s="397"/>
      <c r="H2760" s="397"/>
      <c r="I2760" s="324">
        <f t="shared" si="2001"/>
        <v>0</v>
      </c>
      <c r="J2760" s="397"/>
      <c r="K2760" s="315"/>
      <c r="L2760" s="317">
        <f t="shared" si="2034"/>
        <v>0</v>
      </c>
      <c r="M2760" s="317"/>
      <c r="N2760" s="372">
        <f t="shared" si="1993"/>
        <v>0</v>
      </c>
      <c r="O2760" s="336">
        <f t="shared" si="2014"/>
        <v>0</v>
      </c>
      <c r="P2760" s="940">
        <f t="shared" si="2018"/>
        <v>0</v>
      </c>
      <c r="R2760" s="317"/>
      <c r="U2760" s="320"/>
    </row>
    <row r="2761" spans="1:21" s="325" customFormat="1" outlineLevel="2">
      <c r="A2761" s="907" t="s">
        <v>447</v>
      </c>
      <c r="B2761" s="907"/>
      <c r="C2761" s="340" t="s">
        <v>551</v>
      </c>
      <c r="D2761" s="338"/>
      <c r="E2761" s="587"/>
      <c r="F2761" s="397"/>
      <c r="G2761" s="397"/>
      <c r="H2761" s="397"/>
      <c r="I2761" s="324">
        <f t="shared" si="2001"/>
        <v>0</v>
      </c>
      <c r="J2761" s="397"/>
      <c r="K2761" s="315"/>
      <c r="L2761" s="317">
        <f t="shared" si="2034"/>
        <v>0</v>
      </c>
      <c r="M2761" s="317"/>
      <c r="N2761" s="372">
        <f t="shared" ref="N2761:N2824" si="2038">M2761-K2761</f>
        <v>0</v>
      </c>
      <c r="O2761" s="336">
        <f t="shared" si="2014"/>
        <v>0</v>
      </c>
      <c r="P2761" s="940">
        <f t="shared" si="2018"/>
        <v>0</v>
      </c>
      <c r="R2761" s="317"/>
      <c r="U2761" s="320"/>
    </row>
    <row r="2762" spans="1:21" s="344" customFormat="1" outlineLevel="2">
      <c r="A2762" s="907"/>
      <c r="B2762" s="907" t="s">
        <v>146</v>
      </c>
      <c r="C2762" s="589">
        <v>2110100</v>
      </c>
      <c r="D2762" s="589" t="s">
        <v>13</v>
      </c>
      <c r="E2762" s="605">
        <f>E2763+E2764</f>
        <v>4169792</v>
      </c>
      <c r="F2762" s="605">
        <f t="shared" ref="F2762:K2762" si="2039">F2763+F2764</f>
        <v>0</v>
      </c>
      <c r="G2762" s="605">
        <f t="shared" si="2039"/>
        <v>0</v>
      </c>
      <c r="H2762" s="605">
        <f t="shared" si="2039"/>
        <v>0</v>
      </c>
      <c r="I2762" s="605">
        <f t="shared" si="2039"/>
        <v>4169792</v>
      </c>
      <c r="J2762" s="605">
        <f t="shared" si="2039"/>
        <v>0</v>
      </c>
      <c r="K2762" s="605">
        <f t="shared" si="2039"/>
        <v>0</v>
      </c>
      <c r="L2762" s="317">
        <f t="shared" si="2034"/>
        <v>4169792</v>
      </c>
      <c r="M2762" s="317"/>
      <c r="N2762" s="372">
        <f t="shared" si="2038"/>
        <v>0</v>
      </c>
      <c r="O2762" s="605">
        <f t="shared" ref="O2762:P2762" si="2040">O2763+O2764</f>
        <v>4586771.2</v>
      </c>
      <c r="P2762" s="939">
        <f t="shared" si="2040"/>
        <v>5045448.32</v>
      </c>
      <c r="R2762" s="317"/>
      <c r="U2762" s="320"/>
    </row>
    <row r="2763" spans="1:21" s="344" customFormat="1" outlineLevel="2">
      <c r="A2763" s="907"/>
      <c r="B2763" s="588"/>
      <c r="C2763" s="592">
        <v>2110101</v>
      </c>
      <c r="D2763" s="592" t="s">
        <v>14</v>
      </c>
      <c r="E2763" s="587">
        <v>4143792</v>
      </c>
      <c r="F2763" s="594"/>
      <c r="G2763" s="594"/>
      <c r="H2763" s="594"/>
      <c r="I2763" s="324">
        <f t="shared" si="2001"/>
        <v>4143792</v>
      </c>
      <c r="J2763" s="594"/>
      <c r="K2763" s="315"/>
      <c r="L2763" s="317">
        <f t="shared" si="2034"/>
        <v>4143792</v>
      </c>
      <c r="M2763" s="317"/>
      <c r="N2763" s="372">
        <f t="shared" si="2038"/>
        <v>0</v>
      </c>
      <c r="O2763" s="336">
        <f t="shared" si="2014"/>
        <v>4558171.2</v>
      </c>
      <c r="P2763" s="940">
        <f t="shared" si="2018"/>
        <v>5013988.32</v>
      </c>
      <c r="R2763" s="317"/>
      <c r="U2763" s="320"/>
    </row>
    <row r="2764" spans="1:21" s="344" customFormat="1" outlineLevel="2">
      <c r="A2764" s="907"/>
      <c r="B2764" s="585"/>
      <c r="C2764" s="592">
        <v>2110120</v>
      </c>
      <c r="D2764" s="592" t="s">
        <v>356</v>
      </c>
      <c r="E2764" s="587">
        <v>26000</v>
      </c>
      <c r="F2764" s="594"/>
      <c r="G2764" s="594"/>
      <c r="H2764" s="594"/>
      <c r="I2764" s="324">
        <f t="shared" si="2001"/>
        <v>26000</v>
      </c>
      <c r="J2764" s="594"/>
      <c r="K2764" s="315"/>
      <c r="L2764" s="317">
        <f t="shared" si="2034"/>
        <v>26000</v>
      </c>
      <c r="M2764" s="317"/>
      <c r="N2764" s="372">
        <f t="shared" si="2038"/>
        <v>0</v>
      </c>
      <c r="O2764" s="336">
        <f t="shared" si="2014"/>
        <v>28600.000000000004</v>
      </c>
      <c r="P2764" s="940">
        <f t="shared" si="2018"/>
        <v>31460.000000000007</v>
      </c>
      <c r="R2764" s="317"/>
      <c r="U2764" s="320"/>
    </row>
    <row r="2765" spans="1:21" s="325" customFormat="1" outlineLevel="2">
      <c r="A2765" s="907"/>
      <c r="B2765" s="588"/>
      <c r="C2765" s="589">
        <v>2210300</v>
      </c>
      <c r="D2765" s="589" t="s">
        <v>24</v>
      </c>
      <c r="E2765" s="605">
        <f>E2766+E2767+E2768</f>
        <v>1531282</v>
      </c>
      <c r="F2765" s="605">
        <f t="shared" ref="F2765:P2765" si="2041">F2766+F2767+F2768</f>
        <v>0</v>
      </c>
      <c r="G2765" s="605">
        <f t="shared" si="2041"/>
        <v>0</v>
      </c>
      <c r="H2765" s="605">
        <f t="shared" si="2041"/>
        <v>0</v>
      </c>
      <c r="I2765" s="605">
        <f t="shared" si="2041"/>
        <v>1531282</v>
      </c>
      <c r="J2765" s="605">
        <f t="shared" si="2041"/>
        <v>0</v>
      </c>
      <c r="K2765" s="605">
        <f t="shared" si="2041"/>
        <v>0</v>
      </c>
      <c r="L2765" s="317">
        <f t="shared" si="2034"/>
        <v>1531282</v>
      </c>
      <c r="M2765" s="317"/>
      <c r="N2765" s="372">
        <f t="shared" si="2038"/>
        <v>0</v>
      </c>
      <c r="O2765" s="605">
        <f t="shared" si="2041"/>
        <v>1684410.2000000002</v>
      </c>
      <c r="P2765" s="605">
        <f t="shared" si="2041"/>
        <v>1852851.2200000002</v>
      </c>
      <c r="R2765" s="317"/>
      <c r="U2765" s="320"/>
    </row>
    <row r="2766" spans="1:21" s="344" customFormat="1" outlineLevel="2">
      <c r="A2766" s="897"/>
      <c r="B2766" s="585"/>
      <c r="C2766" s="592">
        <v>2210301</v>
      </c>
      <c r="D2766" s="592" t="s">
        <v>188</v>
      </c>
      <c r="E2766" s="587">
        <v>490725</v>
      </c>
      <c r="F2766" s="594"/>
      <c r="G2766" s="594"/>
      <c r="H2766" s="594"/>
      <c r="I2766" s="324">
        <f t="shared" si="2001"/>
        <v>490725</v>
      </c>
      <c r="J2766" s="594"/>
      <c r="K2766" s="315"/>
      <c r="L2766" s="317">
        <f t="shared" si="2034"/>
        <v>490725</v>
      </c>
      <c r="M2766" s="317"/>
      <c r="N2766" s="372">
        <f t="shared" si="2038"/>
        <v>0</v>
      </c>
      <c r="O2766" s="336">
        <f t="shared" si="2014"/>
        <v>539797.5</v>
      </c>
      <c r="P2766" s="940">
        <f t="shared" si="2018"/>
        <v>593777.25</v>
      </c>
      <c r="Q2766" s="941"/>
      <c r="R2766" s="317"/>
      <c r="U2766" s="320"/>
    </row>
    <row r="2767" spans="1:21" s="325" customFormat="1" outlineLevel="1">
      <c r="A2767" s="897"/>
      <c r="B2767" s="585"/>
      <c r="C2767" s="592">
        <v>2210302</v>
      </c>
      <c r="D2767" s="592" t="s">
        <v>26</v>
      </c>
      <c r="E2767" s="587">
        <v>550680</v>
      </c>
      <c r="F2767" s="594"/>
      <c r="G2767" s="594"/>
      <c r="H2767" s="594"/>
      <c r="I2767" s="324">
        <f t="shared" si="2001"/>
        <v>550680</v>
      </c>
      <c r="J2767" s="594"/>
      <c r="K2767" s="315"/>
      <c r="L2767" s="317">
        <f t="shared" si="2034"/>
        <v>550680</v>
      </c>
      <c r="M2767" s="317"/>
      <c r="N2767" s="372">
        <f t="shared" si="2038"/>
        <v>0</v>
      </c>
      <c r="O2767" s="336">
        <f t="shared" si="2014"/>
        <v>605748</v>
      </c>
      <c r="P2767" s="940">
        <f t="shared" si="2018"/>
        <v>666322.80000000005</v>
      </c>
      <c r="Q2767" s="941"/>
      <c r="R2767" s="317"/>
      <c r="U2767" s="320"/>
    </row>
    <row r="2768" spans="1:21" s="325" customFormat="1" outlineLevel="1">
      <c r="A2768" s="897"/>
      <c r="B2768" s="585"/>
      <c r="C2768" s="592">
        <v>2210303</v>
      </c>
      <c r="D2768" s="330" t="s">
        <v>223</v>
      </c>
      <c r="E2768" s="587">
        <v>489877</v>
      </c>
      <c r="F2768" s="389"/>
      <c r="G2768" s="389"/>
      <c r="H2768" s="389"/>
      <c r="I2768" s="324">
        <f t="shared" si="2001"/>
        <v>489877</v>
      </c>
      <c r="J2768" s="389"/>
      <c r="K2768" s="315"/>
      <c r="L2768" s="317">
        <f t="shared" si="2034"/>
        <v>489877</v>
      </c>
      <c r="M2768" s="317"/>
      <c r="N2768" s="372">
        <f t="shared" si="2038"/>
        <v>0</v>
      </c>
      <c r="O2768" s="336">
        <f t="shared" si="2014"/>
        <v>538864.70000000007</v>
      </c>
      <c r="P2768" s="940">
        <f t="shared" si="2018"/>
        <v>592751.17000000016</v>
      </c>
      <c r="Q2768" s="941"/>
      <c r="R2768" s="317"/>
      <c r="U2768" s="320"/>
    </row>
    <row r="2769" spans="1:21" s="325" customFormat="1" outlineLevel="1">
      <c r="A2769" s="907"/>
      <c r="B2769" s="588"/>
      <c r="C2769" s="589">
        <v>2211300</v>
      </c>
      <c r="D2769" s="589" t="s">
        <v>57</v>
      </c>
      <c r="E2769" s="605">
        <f>E2770</f>
        <v>59803</v>
      </c>
      <c r="F2769" s="605">
        <f t="shared" ref="F2769:K2769" si="2042">F2770</f>
        <v>0</v>
      </c>
      <c r="G2769" s="605">
        <f t="shared" si="2042"/>
        <v>0</v>
      </c>
      <c r="H2769" s="605">
        <f t="shared" si="2042"/>
        <v>0</v>
      </c>
      <c r="I2769" s="605">
        <f t="shared" si="2042"/>
        <v>59803</v>
      </c>
      <c r="J2769" s="605">
        <f t="shared" si="2042"/>
        <v>0</v>
      </c>
      <c r="K2769" s="605">
        <f t="shared" si="2042"/>
        <v>0</v>
      </c>
      <c r="L2769" s="317">
        <f t="shared" si="2034"/>
        <v>59803</v>
      </c>
      <c r="M2769" s="317"/>
      <c r="N2769" s="372">
        <f t="shared" si="2038"/>
        <v>0</v>
      </c>
      <c r="O2769" s="605">
        <f t="shared" ref="O2769:P2769" si="2043">O2770</f>
        <v>65783.3</v>
      </c>
      <c r="P2769" s="939">
        <f t="shared" si="2043"/>
        <v>72361.63</v>
      </c>
      <c r="R2769" s="317"/>
      <c r="U2769" s="320"/>
    </row>
    <row r="2770" spans="1:21" s="325" customFormat="1" outlineLevel="1">
      <c r="A2770" s="897"/>
      <c r="B2770" s="585"/>
      <c r="C2770" s="592">
        <v>2211306</v>
      </c>
      <c r="D2770" s="592" t="s">
        <v>58</v>
      </c>
      <c r="E2770" s="587">
        <v>59803</v>
      </c>
      <c r="F2770" s="594"/>
      <c r="G2770" s="594"/>
      <c r="H2770" s="594"/>
      <c r="I2770" s="324">
        <f t="shared" si="2001"/>
        <v>59803</v>
      </c>
      <c r="J2770" s="594"/>
      <c r="K2770" s="315"/>
      <c r="L2770" s="317">
        <f t="shared" si="2034"/>
        <v>59803</v>
      </c>
      <c r="M2770" s="317"/>
      <c r="N2770" s="372">
        <f t="shared" si="2038"/>
        <v>0</v>
      </c>
      <c r="O2770" s="336">
        <f t="shared" si="2014"/>
        <v>65783.3</v>
      </c>
      <c r="P2770" s="940">
        <f t="shared" si="2018"/>
        <v>72361.63</v>
      </c>
      <c r="R2770" s="317"/>
      <c r="U2770" s="320"/>
    </row>
    <row r="2771" spans="1:21" s="325" customFormat="1" outlineLevel="1">
      <c r="A2771" s="907"/>
      <c r="B2771" s="588"/>
      <c r="C2771" s="589"/>
      <c r="D2771" s="955" t="s">
        <v>526</v>
      </c>
      <c r="E2771" s="605">
        <f>E2769+E2765+E2762</f>
        <v>5760877</v>
      </c>
      <c r="F2771" s="605">
        <f t="shared" ref="F2771:K2771" si="2044">F2769+F2765+F2762</f>
        <v>0</v>
      </c>
      <c r="G2771" s="605">
        <f t="shared" si="2044"/>
        <v>0</v>
      </c>
      <c r="H2771" s="605">
        <f t="shared" si="2044"/>
        <v>0</v>
      </c>
      <c r="I2771" s="605">
        <f t="shared" si="2044"/>
        <v>5760877</v>
      </c>
      <c r="J2771" s="605">
        <f t="shared" si="2044"/>
        <v>0</v>
      </c>
      <c r="K2771" s="605">
        <f t="shared" si="2044"/>
        <v>0</v>
      </c>
      <c r="L2771" s="317">
        <f t="shared" si="2034"/>
        <v>5760877</v>
      </c>
      <c r="M2771" s="317"/>
      <c r="N2771" s="372">
        <f t="shared" si="2038"/>
        <v>0</v>
      </c>
      <c r="O2771" s="605">
        <f t="shared" ref="O2771:P2771" si="2045">O2769+O2765+O2762</f>
        <v>6336964.7000000002</v>
      </c>
      <c r="P2771" s="939">
        <f t="shared" si="2045"/>
        <v>6970661.1699999999</v>
      </c>
      <c r="R2771" s="317"/>
      <c r="U2771" s="320"/>
    </row>
    <row r="2772" spans="1:21" s="344" customFormat="1" outlineLevel="1">
      <c r="A2772" s="907"/>
      <c r="B2772" s="588"/>
      <c r="C2772" s="589"/>
      <c r="D2772" s="955"/>
      <c r="E2772" s="605"/>
      <c r="F2772" s="967"/>
      <c r="G2772" s="967"/>
      <c r="H2772" s="967"/>
      <c r="I2772" s="324">
        <f t="shared" ref="I2772:I2834" si="2046">E2772+F2772+G2772+H2772</f>
        <v>0</v>
      </c>
      <c r="J2772" s="967"/>
      <c r="K2772" s="315"/>
      <c r="L2772" s="317">
        <f t="shared" si="2034"/>
        <v>0</v>
      </c>
      <c r="M2772" s="317"/>
      <c r="N2772" s="372">
        <f t="shared" si="2038"/>
        <v>0</v>
      </c>
      <c r="O2772" s="336">
        <f t="shared" si="2014"/>
        <v>0</v>
      </c>
      <c r="P2772" s="940">
        <f t="shared" si="2018"/>
        <v>0</v>
      </c>
      <c r="R2772" s="317"/>
      <c r="U2772" s="320"/>
    </row>
    <row r="2773" spans="1:21" s="344" customFormat="1" outlineLevel="1">
      <c r="A2773" s="907"/>
      <c r="B2773" s="588"/>
      <c r="C2773" s="340"/>
      <c r="D2773" s="338" t="s">
        <v>92</v>
      </c>
      <c r="E2773" s="605"/>
      <c r="F2773" s="397"/>
      <c r="G2773" s="397"/>
      <c r="H2773" s="397"/>
      <c r="I2773" s="324">
        <f t="shared" si="2046"/>
        <v>0</v>
      </c>
      <c r="J2773" s="397"/>
      <c r="K2773" s="315"/>
      <c r="L2773" s="317">
        <f t="shared" si="2034"/>
        <v>0</v>
      </c>
      <c r="M2773" s="317"/>
      <c r="N2773" s="372">
        <f t="shared" si="2038"/>
        <v>0</v>
      </c>
      <c r="O2773" s="336">
        <f t="shared" si="2014"/>
        <v>0</v>
      </c>
      <c r="P2773" s="940">
        <f t="shared" si="2018"/>
        <v>0</v>
      </c>
      <c r="R2773" s="317"/>
      <c r="U2773" s="320"/>
    </row>
    <row r="2774" spans="1:21" s="325" customFormat="1" outlineLevel="1">
      <c r="A2774" s="907"/>
      <c r="B2774" s="588"/>
      <c r="C2774" s="340">
        <v>3111400</v>
      </c>
      <c r="D2774" s="338" t="s">
        <v>531</v>
      </c>
      <c r="E2774" s="605">
        <f>E2775</f>
        <v>2000000</v>
      </c>
      <c r="F2774" s="605">
        <f t="shared" ref="F2774:K2774" si="2047">F2775</f>
        <v>0</v>
      </c>
      <c r="G2774" s="605">
        <f t="shared" si="2047"/>
        <v>0</v>
      </c>
      <c r="H2774" s="605">
        <f t="shared" si="2047"/>
        <v>0</v>
      </c>
      <c r="I2774" s="605">
        <f t="shared" si="2047"/>
        <v>2000000</v>
      </c>
      <c r="J2774" s="605">
        <f t="shared" si="2047"/>
        <v>0</v>
      </c>
      <c r="K2774" s="605">
        <f t="shared" si="2047"/>
        <v>0</v>
      </c>
      <c r="L2774" s="317">
        <f t="shared" si="2034"/>
        <v>2000000</v>
      </c>
      <c r="M2774" s="317"/>
      <c r="N2774" s="372">
        <f t="shared" si="2038"/>
        <v>0</v>
      </c>
      <c r="O2774" s="605">
        <f t="shared" ref="O2774:P2774" si="2048">O2775</f>
        <v>2200000</v>
      </c>
      <c r="P2774" s="939">
        <f t="shared" si="2048"/>
        <v>2420000</v>
      </c>
      <c r="R2774" s="317"/>
      <c r="U2774" s="320"/>
    </row>
    <row r="2775" spans="1:21" s="344" customFormat="1" outlineLevel="1">
      <c r="A2775" s="907"/>
      <c r="B2775" s="588"/>
      <c r="C2775" s="405">
        <v>3111403</v>
      </c>
      <c r="D2775" s="345" t="s">
        <v>1734</v>
      </c>
      <c r="E2775" s="587">
        <f>2690000-690000</f>
        <v>2000000</v>
      </c>
      <c r="F2775" s="406"/>
      <c r="G2775" s="406"/>
      <c r="H2775" s="406"/>
      <c r="I2775" s="324">
        <f t="shared" si="2046"/>
        <v>2000000</v>
      </c>
      <c r="J2775" s="406"/>
      <c r="K2775" s="315"/>
      <c r="L2775" s="317">
        <f t="shared" si="2034"/>
        <v>2000000</v>
      </c>
      <c r="M2775" s="317"/>
      <c r="N2775" s="372">
        <f t="shared" si="2038"/>
        <v>0</v>
      </c>
      <c r="O2775" s="336">
        <f t="shared" si="2014"/>
        <v>2200000</v>
      </c>
      <c r="P2775" s="940">
        <f t="shared" si="2018"/>
        <v>2420000</v>
      </c>
      <c r="R2775" s="317"/>
      <c r="U2775" s="320"/>
    </row>
    <row r="2776" spans="1:21" s="344" customFormat="1" outlineLevel="2">
      <c r="A2776" s="907"/>
      <c r="B2776" s="588"/>
      <c r="C2776" s="328" t="s">
        <v>606</v>
      </c>
      <c r="D2776" s="326"/>
      <c r="E2776" s="605">
        <f>E2774</f>
        <v>2000000</v>
      </c>
      <c r="F2776" s="605">
        <f t="shared" ref="F2776:P2776" si="2049">F2774</f>
        <v>0</v>
      </c>
      <c r="G2776" s="605">
        <f t="shared" si="2049"/>
        <v>0</v>
      </c>
      <c r="H2776" s="605">
        <f t="shared" si="2049"/>
        <v>0</v>
      </c>
      <c r="I2776" s="605">
        <f t="shared" si="2049"/>
        <v>2000000</v>
      </c>
      <c r="J2776" s="605">
        <f t="shared" si="2049"/>
        <v>0</v>
      </c>
      <c r="K2776" s="605">
        <f t="shared" si="2049"/>
        <v>0</v>
      </c>
      <c r="L2776" s="317">
        <f t="shared" si="2034"/>
        <v>2000000</v>
      </c>
      <c r="M2776" s="317"/>
      <c r="N2776" s="372">
        <f t="shared" si="2038"/>
        <v>0</v>
      </c>
      <c r="O2776" s="605">
        <f t="shared" si="2049"/>
        <v>2200000</v>
      </c>
      <c r="P2776" s="605">
        <f t="shared" si="2049"/>
        <v>2420000</v>
      </c>
      <c r="R2776" s="317"/>
      <c r="U2776" s="320"/>
    </row>
    <row r="2777" spans="1:21" s="344" customFormat="1" outlineLevel="2">
      <c r="A2777" s="907"/>
      <c r="B2777" s="588"/>
      <c r="C2777" s="328"/>
      <c r="D2777" s="326"/>
      <c r="E2777" s="605"/>
      <c r="F2777" s="461"/>
      <c r="G2777" s="461"/>
      <c r="H2777" s="461"/>
      <c r="I2777" s="324">
        <f t="shared" si="2046"/>
        <v>0</v>
      </c>
      <c r="J2777" s="461"/>
      <c r="K2777" s="315"/>
      <c r="L2777" s="317">
        <f t="shared" si="2034"/>
        <v>0</v>
      </c>
      <c r="M2777" s="317"/>
      <c r="N2777" s="372">
        <f t="shared" si="2038"/>
        <v>0</v>
      </c>
      <c r="O2777" s="336">
        <f t="shared" si="2014"/>
        <v>0</v>
      </c>
      <c r="P2777" s="940">
        <f t="shared" si="2018"/>
        <v>0</v>
      </c>
      <c r="R2777" s="317"/>
      <c r="U2777" s="320"/>
    </row>
    <row r="2778" spans="1:21" s="325" customFormat="1" outlineLevel="2">
      <c r="A2778" s="907"/>
      <c r="B2778" s="588"/>
      <c r="C2778" s="340" t="s">
        <v>84</v>
      </c>
      <c r="D2778" s="338"/>
      <c r="E2778" s="605">
        <f>E2771+E2776</f>
        <v>7760877</v>
      </c>
      <c r="F2778" s="605">
        <f t="shared" ref="F2778:K2778" si="2050">F2771+F2776</f>
        <v>0</v>
      </c>
      <c r="G2778" s="605">
        <f t="shared" si="2050"/>
        <v>0</v>
      </c>
      <c r="H2778" s="605">
        <f t="shared" si="2050"/>
        <v>0</v>
      </c>
      <c r="I2778" s="605">
        <f t="shared" si="2050"/>
        <v>7760877</v>
      </c>
      <c r="J2778" s="605">
        <f t="shared" si="2050"/>
        <v>0</v>
      </c>
      <c r="K2778" s="605">
        <f t="shared" si="2050"/>
        <v>0</v>
      </c>
      <c r="L2778" s="317">
        <f t="shared" si="2034"/>
        <v>7760877</v>
      </c>
      <c r="M2778" s="317"/>
      <c r="N2778" s="372">
        <f t="shared" si="2038"/>
        <v>0</v>
      </c>
      <c r="O2778" s="605">
        <f t="shared" ref="O2778:P2778" si="2051">O2771+O2776</f>
        <v>8536964.6999999993</v>
      </c>
      <c r="P2778" s="939">
        <f t="shared" si="2051"/>
        <v>9390661.1699999999</v>
      </c>
      <c r="R2778" s="317"/>
      <c r="U2778" s="320"/>
    </row>
    <row r="2779" spans="1:21" s="344" customFormat="1" outlineLevel="2">
      <c r="A2779" s="907"/>
      <c r="B2779" s="588"/>
      <c r="C2779" s="340"/>
      <c r="D2779" s="338"/>
      <c r="E2779" s="587"/>
      <c r="F2779" s="397"/>
      <c r="G2779" s="397"/>
      <c r="H2779" s="397"/>
      <c r="I2779" s="324">
        <f t="shared" si="2046"/>
        <v>0</v>
      </c>
      <c r="J2779" s="397"/>
      <c r="K2779" s="315"/>
      <c r="L2779" s="317">
        <f t="shared" si="2034"/>
        <v>0</v>
      </c>
      <c r="M2779" s="317"/>
      <c r="N2779" s="372">
        <f t="shared" si="2038"/>
        <v>0</v>
      </c>
      <c r="O2779" s="336">
        <f t="shared" si="2014"/>
        <v>0</v>
      </c>
      <c r="P2779" s="940">
        <f t="shared" si="2018"/>
        <v>0</v>
      </c>
      <c r="R2779" s="317"/>
      <c r="U2779" s="320"/>
    </row>
    <row r="2780" spans="1:21" s="325" customFormat="1" outlineLevel="2">
      <c r="A2780" s="907" t="s">
        <v>447</v>
      </c>
      <c r="B2780" s="907"/>
      <c r="C2780" s="340" t="s">
        <v>552</v>
      </c>
      <c r="D2780" s="338"/>
      <c r="E2780" s="587"/>
      <c r="F2780" s="397"/>
      <c r="G2780" s="397"/>
      <c r="H2780" s="397"/>
      <c r="I2780" s="324">
        <f t="shared" si="2046"/>
        <v>0</v>
      </c>
      <c r="J2780" s="397"/>
      <c r="K2780" s="315"/>
      <c r="L2780" s="317">
        <f t="shared" si="2034"/>
        <v>0</v>
      </c>
      <c r="M2780" s="317"/>
      <c r="N2780" s="372">
        <f t="shared" si="2038"/>
        <v>0</v>
      </c>
      <c r="O2780" s="336">
        <f t="shared" si="2014"/>
        <v>0</v>
      </c>
      <c r="P2780" s="940">
        <f t="shared" si="2018"/>
        <v>0</v>
      </c>
      <c r="R2780" s="317"/>
      <c r="U2780" s="320"/>
    </row>
    <row r="2781" spans="1:21" s="344" customFormat="1" outlineLevel="2">
      <c r="A2781" s="907"/>
      <c r="B2781" s="907" t="s">
        <v>146</v>
      </c>
      <c r="C2781" s="589">
        <v>2210300</v>
      </c>
      <c r="D2781" s="589" t="s">
        <v>24</v>
      </c>
      <c r="E2781" s="605">
        <f>E2782+E2783+E2784</f>
        <v>1428445</v>
      </c>
      <c r="F2781" s="605">
        <f t="shared" ref="F2781:K2781" si="2052">F2782+F2783+F2784</f>
        <v>0</v>
      </c>
      <c r="G2781" s="605">
        <f t="shared" si="2052"/>
        <v>0</v>
      </c>
      <c r="H2781" s="605">
        <f t="shared" si="2052"/>
        <v>0</v>
      </c>
      <c r="I2781" s="605">
        <f t="shared" si="2052"/>
        <v>1428445</v>
      </c>
      <c r="J2781" s="605">
        <f t="shared" si="2052"/>
        <v>0</v>
      </c>
      <c r="K2781" s="605">
        <f t="shared" si="2052"/>
        <v>0</v>
      </c>
      <c r="L2781" s="317">
        <f t="shared" si="2034"/>
        <v>1428445</v>
      </c>
      <c r="M2781" s="317"/>
      <c r="N2781" s="372">
        <f t="shared" si="2038"/>
        <v>0</v>
      </c>
      <c r="O2781" s="605">
        <f t="shared" ref="O2781:P2781" si="2053">O2782+O2783+O2784</f>
        <v>1571289.5</v>
      </c>
      <c r="P2781" s="939">
        <f t="shared" si="2053"/>
        <v>1728418.4500000002</v>
      </c>
      <c r="R2781" s="317"/>
      <c r="U2781" s="320"/>
    </row>
    <row r="2782" spans="1:21" s="344" customFormat="1" outlineLevel="2">
      <c r="A2782" s="897"/>
      <c r="B2782" s="585"/>
      <c r="C2782" s="592">
        <v>2210301</v>
      </c>
      <c r="D2782" s="592" t="s">
        <v>188</v>
      </c>
      <c r="E2782" s="587">
        <v>445962</v>
      </c>
      <c r="F2782" s="594"/>
      <c r="G2782" s="594"/>
      <c r="H2782" s="594"/>
      <c r="I2782" s="324">
        <f t="shared" si="2046"/>
        <v>445962</v>
      </c>
      <c r="J2782" s="594"/>
      <c r="K2782" s="315"/>
      <c r="L2782" s="317">
        <f t="shared" si="2034"/>
        <v>445962</v>
      </c>
      <c r="M2782" s="317"/>
      <c r="N2782" s="372">
        <f t="shared" si="2038"/>
        <v>0</v>
      </c>
      <c r="O2782" s="336">
        <f t="shared" si="2014"/>
        <v>490558.2</v>
      </c>
      <c r="P2782" s="940">
        <f t="shared" si="2018"/>
        <v>539614.02</v>
      </c>
      <c r="Q2782" s="941"/>
      <c r="R2782" s="317"/>
      <c r="U2782" s="320"/>
    </row>
    <row r="2783" spans="1:21" s="344" customFormat="1" outlineLevel="2">
      <c r="A2783" s="897"/>
      <c r="B2783" s="585"/>
      <c r="C2783" s="592">
        <v>2210302</v>
      </c>
      <c r="D2783" s="592" t="s">
        <v>26</v>
      </c>
      <c r="E2783" s="587">
        <v>502683</v>
      </c>
      <c r="F2783" s="594"/>
      <c r="G2783" s="594"/>
      <c r="H2783" s="594"/>
      <c r="I2783" s="324">
        <f t="shared" si="2046"/>
        <v>502683</v>
      </c>
      <c r="J2783" s="594"/>
      <c r="K2783" s="315"/>
      <c r="L2783" s="317">
        <f t="shared" si="2034"/>
        <v>502683</v>
      </c>
      <c r="M2783" s="317"/>
      <c r="N2783" s="372">
        <f t="shared" si="2038"/>
        <v>0</v>
      </c>
      <c r="O2783" s="336">
        <f t="shared" si="2014"/>
        <v>552951.30000000005</v>
      </c>
      <c r="P2783" s="940">
        <f t="shared" si="2018"/>
        <v>608246.43000000005</v>
      </c>
      <c r="Q2783" s="941"/>
      <c r="R2783" s="317"/>
      <c r="U2783" s="320"/>
    </row>
    <row r="2784" spans="1:21" s="325" customFormat="1" outlineLevel="1">
      <c r="A2784" s="897"/>
      <c r="B2784" s="585"/>
      <c r="C2784" s="592">
        <v>2210303</v>
      </c>
      <c r="D2784" s="330" t="s">
        <v>223</v>
      </c>
      <c r="E2784" s="587">
        <v>479800</v>
      </c>
      <c r="F2784" s="389"/>
      <c r="G2784" s="389"/>
      <c r="H2784" s="389"/>
      <c r="I2784" s="324">
        <f t="shared" si="2046"/>
        <v>479800</v>
      </c>
      <c r="J2784" s="389"/>
      <c r="K2784" s="315"/>
      <c r="L2784" s="317">
        <f t="shared" si="2034"/>
        <v>479800</v>
      </c>
      <c r="M2784" s="317"/>
      <c r="N2784" s="372">
        <f t="shared" si="2038"/>
        <v>0</v>
      </c>
      <c r="O2784" s="336">
        <f t="shared" si="2014"/>
        <v>527780</v>
      </c>
      <c r="P2784" s="940">
        <f t="shared" si="2018"/>
        <v>580558</v>
      </c>
      <c r="Q2784" s="941"/>
      <c r="R2784" s="317"/>
      <c r="U2784" s="320"/>
    </row>
    <row r="2785" spans="1:21" s="325" customFormat="1" outlineLevel="1">
      <c r="A2785" s="907"/>
      <c r="B2785" s="588"/>
      <c r="C2785" s="589">
        <v>2210200</v>
      </c>
      <c r="D2785" s="589" t="s">
        <v>20</v>
      </c>
      <c r="E2785" s="605">
        <f>E2786</f>
        <v>54000</v>
      </c>
      <c r="F2785" s="605">
        <f t="shared" ref="F2785:K2785" si="2054">F2786</f>
        <v>0</v>
      </c>
      <c r="G2785" s="605">
        <f t="shared" si="2054"/>
        <v>0</v>
      </c>
      <c r="H2785" s="605">
        <f t="shared" si="2054"/>
        <v>0</v>
      </c>
      <c r="I2785" s="605">
        <f t="shared" si="2054"/>
        <v>54000</v>
      </c>
      <c r="J2785" s="605">
        <f t="shared" si="2054"/>
        <v>0</v>
      </c>
      <c r="K2785" s="605">
        <f t="shared" si="2054"/>
        <v>0</v>
      </c>
      <c r="L2785" s="317">
        <f t="shared" si="2034"/>
        <v>54000</v>
      </c>
      <c r="M2785" s="317"/>
      <c r="N2785" s="372">
        <f t="shared" si="2038"/>
        <v>0</v>
      </c>
      <c r="O2785" s="605">
        <f t="shared" ref="O2785:P2785" si="2055">O2786</f>
        <v>59400.000000000007</v>
      </c>
      <c r="P2785" s="939">
        <f t="shared" si="2055"/>
        <v>65340.000000000015</v>
      </c>
      <c r="R2785" s="317"/>
      <c r="U2785" s="320"/>
    </row>
    <row r="2786" spans="1:21" s="325" customFormat="1" outlineLevel="1">
      <c r="A2786" s="897"/>
      <c r="B2786" s="585"/>
      <c r="C2786" s="592">
        <v>2210201</v>
      </c>
      <c r="D2786" s="592" t="s">
        <v>187</v>
      </c>
      <c r="E2786" s="587">
        <v>54000</v>
      </c>
      <c r="F2786" s="594"/>
      <c r="G2786" s="594"/>
      <c r="H2786" s="594"/>
      <c r="I2786" s="324">
        <f t="shared" si="2046"/>
        <v>54000</v>
      </c>
      <c r="J2786" s="594"/>
      <c r="K2786" s="315"/>
      <c r="L2786" s="317">
        <f t="shared" si="2034"/>
        <v>54000</v>
      </c>
      <c r="M2786" s="317"/>
      <c r="N2786" s="372">
        <f t="shared" si="2038"/>
        <v>0</v>
      </c>
      <c r="O2786" s="336">
        <f t="shared" si="2014"/>
        <v>59400.000000000007</v>
      </c>
      <c r="P2786" s="940">
        <f t="shared" si="2018"/>
        <v>65340.000000000015</v>
      </c>
      <c r="R2786" s="317"/>
      <c r="U2786" s="320"/>
    </row>
    <row r="2787" spans="1:21" s="325" customFormat="1" outlineLevel="1">
      <c r="A2787" s="907"/>
      <c r="B2787" s="588"/>
      <c r="C2787" s="589">
        <v>2210500</v>
      </c>
      <c r="D2787" s="589" t="s">
        <v>31</v>
      </c>
      <c r="E2787" s="605">
        <f>E2788</f>
        <v>162000</v>
      </c>
      <c r="F2787" s="605">
        <f t="shared" ref="F2787:K2787" si="2056">F2788</f>
        <v>0</v>
      </c>
      <c r="G2787" s="605">
        <f t="shared" si="2056"/>
        <v>0</v>
      </c>
      <c r="H2787" s="605">
        <f t="shared" si="2056"/>
        <v>0</v>
      </c>
      <c r="I2787" s="605">
        <f t="shared" si="2056"/>
        <v>162000</v>
      </c>
      <c r="J2787" s="605">
        <f t="shared" si="2056"/>
        <v>0</v>
      </c>
      <c r="K2787" s="605">
        <f t="shared" si="2056"/>
        <v>0</v>
      </c>
      <c r="L2787" s="317">
        <f t="shared" si="2034"/>
        <v>162000</v>
      </c>
      <c r="M2787" s="317"/>
      <c r="N2787" s="372">
        <f t="shared" si="2038"/>
        <v>0</v>
      </c>
      <c r="O2787" s="605">
        <f t="shared" ref="O2787:P2787" si="2057">O2788</f>
        <v>178200</v>
      </c>
      <c r="P2787" s="939">
        <f t="shared" si="2057"/>
        <v>196020.00000000003</v>
      </c>
      <c r="R2787" s="317"/>
      <c r="U2787" s="320"/>
    </row>
    <row r="2788" spans="1:21" s="325" customFormat="1" outlineLevel="1">
      <c r="A2788" s="897"/>
      <c r="B2788" s="585"/>
      <c r="C2788" s="592">
        <v>2210503</v>
      </c>
      <c r="D2788" s="592" t="s">
        <v>32</v>
      </c>
      <c r="E2788" s="587">
        <v>162000</v>
      </c>
      <c r="F2788" s="594"/>
      <c r="G2788" s="594"/>
      <c r="H2788" s="594"/>
      <c r="I2788" s="324">
        <f t="shared" si="2046"/>
        <v>162000</v>
      </c>
      <c r="J2788" s="594"/>
      <c r="K2788" s="315"/>
      <c r="L2788" s="317">
        <f t="shared" si="2034"/>
        <v>162000</v>
      </c>
      <c r="M2788" s="317"/>
      <c r="N2788" s="372">
        <f t="shared" si="2038"/>
        <v>0</v>
      </c>
      <c r="O2788" s="336">
        <f t="shared" si="2014"/>
        <v>178200</v>
      </c>
      <c r="P2788" s="940">
        <f t="shared" si="2018"/>
        <v>196020.00000000003</v>
      </c>
      <c r="R2788" s="317"/>
      <c r="U2788" s="320"/>
    </row>
    <row r="2789" spans="1:21" s="325" customFormat="1" outlineLevel="1">
      <c r="A2789" s="907"/>
      <c r="B2789" s="588"/>
      <c r="C2789" s="589"/>
      <c r="D2789" s="955" t="s">
        <v>526</v>
      </c>
      <c r="E2789" s="605">
        <f>E2787+E2785+E2781</f>
        <v>1644445</v>
      </c>
      <c r="F2789" s="605">
        <f t="shared" ref="F2789:K2789" si="2058">F2787+F2785+F2781</f>
        <v>0</v>
      </c>
      <c r="G2789" s="605">
        <f t="shared" si="2058"/>
        <v>0</v>
      </c>
      <c r="H2789" s="605">
        <f t="shared" si="2058"/>
        <v>0</v>
      </c>
      <c r="I2789" s="605">
        <f t="shared" si="2058"/>
        <v>1644445</v>
      </c>
      <c r="J2789" s="605">
        <f t="shared" si="2058"/>
        <v>0</v>
      </c>
      <c r="K2789" s="605">
        <f t="shared" si="2058"/>
        <v>0</v>
      </c>
      <c r="L2789" s="317">
        <f t="shared" si="2034"/>
        <v>1644445</v>
      </c>
      <c r="M2789" s="317"/>
      <c r="N2789" s="372">
        <f t="shared" si="2038"/>
        <v>0</v>
      </c>
      <c r="O2789" s="605">
        <f t="shared" ref="O2789:P2789" si="2059">O2787+O2785+O2781</f>
        <v>1808889.5</v>
      </c>
      <c r="P2789" s="939">
        <f t="shared" si="2059"/>
        <v>1989778.4500000002</v>
      </c>
      <c r="R2789" s="317"/>
      <c r="U2789" s="320"/>
    </row>
    <row r="2790" spans="1:21" s="344" customFormat="1" outlineLevel="1">
      <c r="A2790" s="907"/>
      <c r="B2790" s="588"/>
      <c r="C2790" s="589"/>
      <c r="D2790" s="955"/>
      <c r="E2790" s="605"/>
      <c r="F2790" s="967"/>
      <c r="G2790" s="967"/>
      <c r="H2790" s="967"/>
      <c r="I2790" s="324">
        <f t="shared" si="2046"/>
        <v>0</v>
      </c>
      <c r="J2790" s="967"/>
      <c r="K2790" s="315"/>
      <c r="L2790" s="317">
        <f t="shared" si="2034"/>
        <v>0</v>
      </c>
      <c r="M2790" s="317"/>
      <c r="N2790" s="372">
        <f t="shared" si="2038"/>
        <v>0</v>
      </c>
      <c r="O2790" s="336">
        <f t="shared" si="2014"/>
        <v>0</v>
      </c>
      <c r="P2790" s="940">
        <f t="shared" si="2018"/>
        <v>0</v>
      </c>
      <c r="R2790" s="317"/>
      <c r="U2790" s="320"/>
    </row>
    <row r="2791" spans="1:21" s="344" customFormat="1" outlineLevel="1">
      <c r="A2791" s="907"/>
      <c r="B2791" s="588"/>
      <c r="C2791" s="589"/>
      <c r="D2791" s="955" t="s">
        <v>92</v>
      </c>
      <c r="E2791" s="605"/>
      <c r="F2791" s="967"/>
      <c r="G2791" s="967"/>
      <c r="H2791" s="967"/>
      <c r="I2791" s="324">
        <f t="shared" si="2046"/>
        <v>0</v>
      </c>
      <c r="J2791" s="967"/>
      <c r="K2791" s="315"/>
      <c r="L2791" s="317">
        <f t="shared" si="2034"/>
        <v>0</v>
      </c>
      <c r="M2791" s="317"/>
      <c r="N2791" s="372">
        <f t="shared" si="2038"/>
        <v>0</v>
      </c>
      <c r="O2791" s="336">
        <f t="shared" ref="O2791:O2853" si="2060">L2791*1.1</f>
        <v>0</v>
      </c>
      <c r="P2791" s="940">
        <f t="shared" si="2018"/>
        <v>0</v>
      </c>
      <c r="R2791" s="317"/>
      <c r="U2791" s="320"/>
    </row>
    <row r="2792" spans="1:21" s="325" customFormat="1" outlineLevel="1">
      <c r="A2792" s="907"/>
      <c r="B2792" s="588"/>
      <c r="C2792" s="589">
        <v>3111100</v>
      </c>
      <c r="D2792" s="955" t="s">
        <v>73</v>
      </c>
      <c r="E2792" s="605">
        <f>E2793</f>
        <v>800000</v>
      </c>
      <c r="F2792" s="605">
        <f t="shared" ref="F2792:K2792" si="2061">F2793</f>
        <v>0</v>
      </c>
      <c r="G2792" s="605">
        <f t="shared" si="2061"/>
        <v>0</v>
      </c>
      <c r="H2792" s="605">
        <f t="shared" si="2061"/>
        <v>0</v>
      </c>
      <c r="I2792" s="605">
        <f t="shared" si="2061"/>
        <v>800000</v>
      </c>
      <c r="J2792" s="605">
        <f t="shared" si="2061"/>
        <v>0</v>
      </c>
      <c r="K2792" s="605">
        <f t="shared" si="2061"/>
        <v>0</v>
      </c>
      <c r="L2792" s="317">
        <f t="shared" si="2034"/>
        <v>800000</v>
      </c>
      <c r="M2792" s="317"/>
      <c r="N2792" s="372">
        <f t="shared" si="2038"/>
        <v>0</v>
      </c>
      <c r="O2792" s="605">
        <f t="shared" ref="O2792:P2792" si="2062">O2793</f>
        <v>880000.00000000012</v>
      </c>
      <c r="P2792" s="939">
        <f t="shared" si="2062"/>
        <v>968000.00000000023</v>
      </c>
      <c r="R2792" s="317"/>
      <c r="U2792" s="320"/>
    </row>
    <row r="2793" spans="1:21" s="344" customFormat="1" outlineLevel="1">
      <c r="A2793" s="907"/>
      <c r="B2793" s="588"/>
      <c r="C2793" s="405">
        <v>3111109</v>
      </c>
      <c r="D2793" s="405" t="s">
        <v>1735</v>
      </c>
      <c r="E2793" s="587">
        <v>800000</v>
      </c>
      <c r="F2793" s="348"/>
      <c r="G2793" s="348"/>
      <c r="H2793" s="348"/>
      <c r="I2793" s="324">
        <f t="shared" si="2046"/>
        <v>800000</v>
      </c>
      <c r="J2793" s="348"/>
      <c r="K2793" s="315"/>
      <c r="L2793" s="317">
        <f t="shared" si="2034"/>
        <v>800000</v>
      </c>
      <c r="M2793" s="317"/>
      <c r="N2793" s="372">
        <f t="shared" si="2038"/>
        <v>0</v>
      </c>
      <c r="O2793" s="336">
        <f t="shared" si="2060"/>
        <v>880000.00000000012</v>
      </c>
      <c r="P2793" s="940">
        <f t="shared" si="2018"/>
        <v>968000.00000000023</v>
      </c>
      <c r="R2793" s="317"/>
      <c r="U2793" s="320"/>
    </row>
    <row r="2794" spans="1:21" s="344" customFormat="1" outlineLevel="3">
      <c r="A2794" s="907"/>
      <c r="B2794" s="588"/>
      <c r="C2794" s="340" t="s">
        <v>175</v>
      </c>
      <c r="D2794" s="338"/>
      <c r="E2794" s="605">
        <f>E2792</f>
        <v>800000</v>
      </c>
      <c r="F2794" s="605">
        <f t="shared" ref="F2794:K2794" si="2063">F2792</f>
        <v>0</v>
      </c>
      <c r="G2794" s="605">
        <f t="shared" si="2063"/>
        <v>0</v>
      </c>
      <c r="H2794" s="605">
        <f t="shared" si="2063"/>
        <v>0</v>
      </c>
      <c r="I2794" s="605">
        <f t="shared" si="2063"/>
        <v>800000</v>
      </c>
      <c r="J2794" s="605">
        <f t="shared" si="2063"/>
        <v>0</v>
      </c>
      <c r="K2794" s="605">
        <f t="shared" si="2063"/>
        <v>0</v>
      </c>
      <c r="L2794" s="317">
        <f t="shared" si="2034"/>
        <v>800000</v>
      </c>
      <c r="M2794" s="317"/>
      <c r="N2794" s="372">
        <f t="shared" si="2038"/>
        <v>0</v>
      </c>
      <c r="O2794" s="605">
        <f t="shared" ref="O2794:P2794" si="2064">O2792</f>
        <v>880000.00000000012</v>
      </c>
      <c r="P2794" s="939">
        <f t="shared" si="2064"/>
        <v>968000.00000000023</v>
      </c>
      <c r="R2794" s="317"/>
      <c r="U2794" s="320"/>
    </row>
    <row r="2795" spans="1:21" s="344" customFormat="1" outlineLevel="3">
      <c r="A2795" s="907"/>
      <c r="B2795" s="588"/>
      <c r="C2795" s="340"/>
      <c r="D2795" s="338"/>
      <c r="E2795" s="605"/>
      <c r="F2795" s="397"/>
      <c r="G2795" s="397"/>
      <c r="H2795" s="397"/>
      <c r="I2795" s="324">
        <f t="shared" si="2046"/>
        <v>0</v>
      </c>
      <c r="J2795" s="397"/>
      <c r="K2795" s="315"/>
      <c r="L2795" s="317">
        <f t="shared" si="2034"/>
        <v>0</v>
      </c>
      <c r="M2795" s="317"/>
      <c r="N2795" s="372">
        <f t="shared" si="2038"/>
        <v>0</v>
      </c>
      <c r="O2795" s="336">
        <f t="shared" si="2060"/>
        <v>0</v>
      </c>
      <c r="P2795" s="940">
        <f t="shared" si="2018"/>
        <v>0</v>
      </c>
      <c r="R2795" s="317"/>
      <c r="U2795" s="320"/>
    </row>
    <row r="2796" spans="1:21" s="325" customFormat="1" outlineLevel="3">
      <c r="A2796" s="907"/>
      <c r="B2796" s="977"/>
      <c r="C2796" s="340" t="s">
        <v>84</v>
      </c>
      <c r="D2796" s="338"/>
      <c r="E2796" s="605">
        <f>E2789+E2794</f>
        <v>2444445</v>
      </c>
      <c r="F2796" s="605">
        <f t="shared" ref="F2796:P2796" si="2065">F2789+F2794</f>
        <v>0</v>
      </c>
      <c r="G2796" s="605">
        <f t="shared" si="2065"/>
        <v>0</v>
      </c>
      <c r="H2796" s="605">
        <f t="shared" si="2065"/>
        <v>0</v>
      </c>
      <c r="I2796" s="605">
        <f t="shared" si="2065"/>
        <v>2444445</v>
      </c>
      <c r="J2796" s="605">
        <f t="shared" si="2065"/>
        <v>0</v>
      </c>
      <c r="K2796" s="605">
        <f t="shared" si="2065"/>
        <v>0</v>
      </c>
      <c r="L2796" s="317">
        <f t="shared" si="2034"/>
        <v>2444445</v>
      </c>
      <c r="M2796" s="317"/>
      <c r="N2796" s="372">
        <f t="shared" si="2038"/>
        <v>0</v>
      </c>
      <c r="O2796" s="605">
        <f t="shared" si="2065"/>
        <v>2688889.5</v>
      </c>
      <c r="P2796" s="605">
        <f t="shared" si="2065"/>
        <v>2957778.45</v>
      </c>
      <c r="R2796" s="317"/>
      <c r="U2796" s="320"/>
    </row>
    <row r="2797" spans="1:21" s="344" customFormat="1" outlineLevel="3">
      <c r="A2797" s="907" t="s">
        <v>447</v>
      </c>
      <c r="B2797" s="588"/>
      <c r="C2797" s="340"/>
      <c r="D2797" s="338"/>
      <c r="E2797" s="587"/>
      <c r="F2797" s="397"/>
      <c r="G2797" s="397"/>
      <c r="H2797" s="397"/>
      <c r="I2797" s="324">
        <f t="shared" si="2046"/>
        <v>0</v>
      </c>
      <c r="J2797" s="397"/>
      <c r="K2797" s="315"/>
      <c r="L2797" s="317">
        <f t="shared" si="2034"/>
        <v>0</v>
      </c>
      <c r="M2797" s="317"/>
      <c r="N2797" s="372">
        <f t="shared" si="2038"/>
        <v>0</v>
      </c>
      <c r="O2797" s="336">
        <f t="shared" si="2060"/>
        <v>0</v>
      </c>
      <c r="P2797" s="940">
        <f t="shared" si="2018"/>
        <v>0</v>
      </c>
      <c r="R2797" s="317"/>
      <c r="U2797" s="320"/>
    </row>
    <row r="2798" spans="1:21" s="344" customFormat="1" outlineLevel="3">
      <c r="A2798" s="907"/>
      <c r="B2798" s="907" t="s">
        <v>146</v>
      </c>
      <c r="C2798" s="340" t="s">
        <v>1736</v>
      </c>
      <c r="D2798" s="338" t="s">
        <v>1737</v>
      </c>
      <c r="E2798" s="587"/>
      <c r="F2798" s="397"/>
      <c r="G2798" s="397"/>
      <c r="H2798" s="397"/>
      <c r="I2798" s="324">
        <f t="shared" si="2046"/>
        <v>0</v>
      </c>
      <c r="J2798" s="397"/>
      <c r="K2798" s="315"/>
      <c r="L2798" s="317">
        <f t="shared" si="2034"/>
        <v>0</v>
      </c>
      <c r="M2798" s="317"/>
      <c r="N2798" s="372">
        <f t="shared" si="2038"/>
        <v>0</v>
      </c>
      <c r="O2798" s="336">
        <f t="shared" si="2060"/>
        <v>0</v>
      </c>
      <c r="P2798" s="940">
        <f t="shared" si="2018"/>
        <v>0</v>
      </c>
      <c r="R2798" s="317"/>
      <c r="U2798" s="320"/>
    </row>
    <row r="2799" spans="1:21" s="344" customFormat="1" outlineLevel="3">
      <c r="A2799" s="907"/>
      <c r="B2799" s="907"/>
      <c r="C2799" s="589">
        <v>2210200</v>
      </c>
      <c r="D2799" s="589" t="s">
        <v>20</v>
      </c>
      <c r="E2799" s="605">
        <f>E2800</f>
        <v>730000</v>
      </c>
      <c r="F2799" s="605">
        <f t="shared" ref="F2799:P2799" si="2066">F2800</f>
        <v>0</v>
      </c>
      <c r="G2799" s="605">
        <f t="shared" si="2066"/>
        <v>0</v>
      </c>
      <c r="H2799" s="605">
        <f t="shared" si="2066"/>
        <v>0</v>
      </c>
      <c r="I2799" s="605">
        <f t="shared" si="2066"/>
        <v>730000</v>
      </c>
      <c r="J2799" s="605">
        <f t="shared" si="2066"/>
        <v>0</v>
      </c>
      <c r="K2799" s="605">
        <f t="shared" si="2066"/>
        <v>0</v>
      </c>
      <c r="L2799" s="317">
        <f t="shared" si="2034"/>
        <v>730000</v>
      </c>
      <c r="M2799" s="317"/>
      <c r="N2799" s="372">
        <f t="shared" si="2038"/>
        <v>0</v>
      </c>
      <c r="O2799" s="605">
        <f t="shared" si="2066"/>
        <v>803000.00000000012</v>
      </c>
      <c r="P2799" s="605">
        <f t="shared" si="2066"/>
        <v>883300.00000000023</v>
      </c>
      <c r="R2799" s="317"/>
      <c r="U2799" s="320"/>
    </row>
    <row r="2800" spans="1:21" s="344" customFormat="1" outlineLevel="3">
      <c r="A2800" s="907"/>
      <c r="B2800" s="907"/>
      <c r="C2800" s="592">
        <v>2210201</v>
      </c>
      <c r="D2800" s="592" t="s">
        <v>187</v>
      </c>
      <c r="E2800" s="587">
        <v>730000</v>
      </c>
      <c r="F2800" s="594"/>
      <c r="G2800" s="594"/>
      <c r="H2800" s="594"/>
      <c r="I2800" s="324">
        <f t="shared" si="2046"/>
        <v>730000</v>
      </c>
      <c r="J2800" s="594"/>
      <c r="K2800" s="315"/>
      <c r="L2800" s="317">
        <f t="shared" si="2034"/>
        <v>730000</v>
      </c>
      <c r="M2800" s="317"/>
      <c r="N2800" s="372">
        <f t="shared" si="2038"/>
        <v>0</v>
      </c>
      <c r="O2800" s="336">
        <f t="shared" si="2060"/>
        <v>803000.00000000012</v>
      </c>
      <c r="P2800" s="940">
        <f t="shared" ref="P2800:P2858" si="2067">O2800*1.1</f>
        <v>883300.00000000023</v>
      </c>
      <c r="R2800" s="317"/>
      <c r="U2800" s="320"/>
    </row>
    <row r="2801" spans="1:21" s="344" customFormat="1" outlineLevel="3">
      <c r="A2801" s="907"/>
      <c r="B2801" s="588"/>
      <c r="C2801" s="340">
        <v>2210300</v>
      </c>
      <c r="D2801" s="589" t="s">
        <v>24</v>
      </c>
      <c r="E2801" s="605">
        <f>E2802+E2803+E2804+E2805</f>
        <v>2850000</v>
      </c>
      <c r="F2801" s="605">
        <f t="shared" ref="F2801:P2801" si="2068">F2802+F2803+F2804+F2805</f>
        <v>0</v>
      </c>
      <c r="G2801" s="605">
        <f t="shared" si="2068"/>
        <v>0</v>
      </c>
      <c r="H2801" s="605">
        <f t="shared" si="2068"/>
        <v>0</v>
      </c>
      <c r="I2801" s="605">
        <f t="shared" si="2068"/>
        <v>2850000</v>
      </c>
      <c r="J2801" s="605">
        <f t="shared" si="2068"/>
        <v>0</v>
      </c>
      <c r="K2801" s="605">
        <f t="shared" si="2068"/>
        <v>3250500</v>
      </c>
      <c r="L2801" s="317">
        <f t="shared" si="2034"/>
        <v>6100500</v>
      </c>
      <c r="M2801" s="317"/>
      <c r="N2801" s="372">
        <f t="shared" si="2038"/>
        <v>-3250500</v>
      </c>
      <c r="O2801" s="605">
        <f t="shared" si="2068"/>
        <v>6710550</v>
      </c>
      <c r="P2801" s="605">
        <f t="shared" si="2068"/>
        <v>7381605</v>
      </c>
      <c r="R2801" s="317"/>
      <c r="U2801" s="320"/>
    </row>
    <row r="2802" spans="1:21" s="344" customFormat="1" outlineLevel="3">
      <c r="A2802" s="897"/>
      <c r="B2802" s="585"/>
      <c r="C2802" s="592">
        <v>2210301</v>
      </c>
      <c r="D2802" s="592" t="s">
        <v>188</v>
      </c>
      <c r="E2802" s="587">
        <v>390000</v>
      </c>
      <c r="F2802" s="594"/>
      <c r="G2802" s="594"/>
      <c r="H2802" s="594"/>
      <c r="I2802" s="324">
        <f t="shared" si="2046"/>
        <v>390000</v>
      </c>
      <c r="J2802" s="594"/>
      <c r="K2802" s="315"/>
      <c r="L2802" s="317">
        <f t="shared" si="2034"/>
        <v>390000</v>
      </c>
      <c r="M2802" s="317"/>
      <c r="N2802" s="372">
        <f t="shared" si="2038"/>
        <v>0</v>
      </c>
      <c r="O2802" s="336">
        <f t="shared" si="2060"/>
        <v>429000.00000000006</v>
      </c>
      <c r="P2802" s="940">
        <f t="shared" si="2067"/>
        <v>471900.00000000012</v>
      </c>
      <c r="Q2802" s="941"/>
      <c r="R2802" s="317"/>
      <c r="U2802" s="320"/>
    </row>
    <row r="2803" spans="1:21" s="344" customFormat="1" outlineLevel="3">
      <c r="A2803" s="897"/>
      <c r="B2803" s="585"/>
      <c r="C2803" s="592">
        <v>2210302</v>
      </c>
      <c r="D2803" s="592" t="s">
        <v>26</v>
      </c>
      <c r="E2803" s="587">
        <v>795000</v>
      </c>
      <c r="F2803" s="594"/>
      <c r="G2803" s="594"/>
      <c r="H2803" s="594"/>
      <c r="I2803" s="324">
        <f t="shared" si="2046"/>
        <v>795000</v>
      </c>
      <c r="J2803" s="594"/>
      <c r="K2803" s="315">
        <v>1025000</v>
      </c>
      <c r="L2803" s="317">
        <f t="shared" si="2034"/>
        <v>1820000</v>
      </c>
      <c r="M2803" s="317"/>
      <c r="N2803" s="372">
        <f t="shared" si="2038"/>
        <v>-1025000</v>
      </c>
      <c r="O2803" s="336">
        <f t="shared" si="2060"/>
        <v>2002000.0000000002</v>
      </c>
      <c r="P2803" s="940">
        <f t="shared" si="2067"/>
        <v>2202200.0000000005</v>
      </c>
      <c r="Q2803" s="941"/>
      <c r="R2803" s="317"/>
      <c r="U2803" s="320"/>
    </row>
    <row r="2804" spans="1:21" s="344" customFormat="1" outlineLevel="3">
      <c r="A2804" s="897"/>
      <c r="B2804" s="585"/>
      <c r="C2804" s="592">
        <v>2210303</v>
      </c>
      <c r="D2804" s="330" t="s">
        <v>223</v>
      </c>
      <c r="E2804" s="587">
        <v>915000</v>
      </c>
      <c r="F2804" s="389"/>
      <c r="G2804" s="389"/>
      <c r="H2804" s="389"/>
      <c r="I2804" s="324">
        <f t="shared" si="2046"/>
        <v>915000</v>
      </c>
      <c r="J2804" s="389"/>
      <c r="K2804" s="315">
        <v>1081500</v>
      </c>
      <c r="L2804" s="317">
        <f t="shared" si="2034"/>
        <v>1996500</v>
      </c>
      <c r="M2804" s="317"/>
      <c r="N2804" s="372">
        <f t="shared" si="2038"/>
        <v>-1081500</v>
      </c>
      <c r="O2804" s="336">
        <f t="shared" si="2060"/>
        <v>2196150</v>
      </c>
      <c r="P2804" s="940">
        <f t="shared" si="2067"/>
        <v>2415765</v>
      </c>
      <c r="Q2804" s="941"/>
      <c r="R2804" s="317"/>
      <c r="U2804" s="320"/>
    </row>
    <row r="2805" spans="1:21" s="344" customFormat="1" outlineLevel="3">
      <c r="A2805" s="897"/>
      <c r="B2805" s="585"/>
      <c r="C2805" s="592">
        <v>2210310</v>
      </c>
      <c r="D2805" s="330" t="s">
        <v>208</v>
      </c>
      <c r="E2805" s="587">
        <v>750000</v>
      </c>
      <c r="F2805" s="389"/>
      <c r="G2805" s="389"/>
      <c r="H2805" s="389"/>
      <c r="I2805" s="324">
        <f t="shared" si="2046"/>
        <v>750000</v>
      </c>
      <c r="J2805" s="389"/>
      <c r="K2805" s="315">
        <v>1144000</v>
      </c>
      <c r="L2805" s="317">
        <f t="shared" si="2034"/>
        <v>1894000</v>
      </c>
      <c r="M2805" s="317"/>
      <c r="N2805" s="372">
        <f t="shared" si="2038"/>
        <v>-1144000</v>
      </c>
      <c r="O2805" s="336">
        <f t="shared" si="2060"/>
        <v>2083400.0000000002</v>
      </c>
      <c r="P2805" s="940">
        <f t="shared" si="2067"/>
        <v>2291740.0000000005</v>
      </c>
      <c r="Q2805" s="941"/>
      <c r="R2805" s="317"/>
      <c r="U2805" s="320"/>
    </row>
    <row r="2806" spans="1:21" s="344" customFormat="1" outlineLevel="3">
      <c r="A2806" s="907"/>
      <c r="B2806" s="588"/>
      <c r="C2806" s="589">
        <v>2210600</v>
      </c>
      <c r="D2806" s="589" t="s">
        <v>154</v>
      </c>
      <c r="E2806" s="605">
        <f>E2807</f>
        <v>1760000</v>
      </c>
      <c r="F2806" s="605">
        <f t="shared" ref="F2806:K2806" si="2069">F2807</f>
        <v>0</v>
      </c>
      <c r="G2806" s="605">
        <f t="shared" si="2069"/>
        <v>0</v>
      </c>
      <c r="H2806" s="605">
        <f t="shared" si="2069"/>
        <v>0</v>
      </c>
      <c r="I2806" s="605">
        <f t="shared" si="2069"/>
        <v>1760000</v>
      </c>
      <c r="J2806" s="605">
        <f t="shared" si="2069"/>
        <v>0</v>
      </c>
      <c r="K2806" s="605">
        <f t="shared" si="2069"/>
        <v>-1760000</v>
      </c>
      <c r="L2806" s="317">
        <f t="shared" si="2034"/>
        <v>0</v>
      </c>
      <c r="M2806" s="317"/>
      <c r="N2806" s="372">
        <f t="shared" si="2038"/>
        <v>1760000</v>
      </c>
      <c r="O2806" s="605">
        <f t="shared" ref="O2806:P2806" si="2070">O2807</f>
        <v>0</v>
      </c>
      <c r="P2806" s="939">
        <f t="shared" si="2070"/>
        <v>0</v>
      </c>
      <c r="R2806" s="317"/>
      <c r="U2806" s="320"/>
    </row>
    <row r="2807" spans="1:21" s="344" customFormat="1" outlineLevel="3">
      <c r="A2807" s="897"/>
      <c r="B2807" s="585"/>
      <c r="C2807" s="592">
        <v>2210603</v>
      </c>
      <c r="D2807" s="592" t="s">
        <v>489</v>
      </c>
      <c r="E2807" s="587">
        <v>1760000</v>
      </c>
      <c r="F2807" s="594"/>
      <c r="G2807" s="594"/>
      <c r="H2807" s="594"/>
      <c r="I2807" s="324">
        <f t="shared" si="2046"/>
        <v>1760000</v>
      </c>
      <c r="J2807" s="594"/>
      <c r="K2807" s="315">
        <v>-1760000</v>
      </c>
      <c r="L2807" s="317">
        <f t="shared" si="2034"/>
        <v>0</v>
      </c>
      <c r="M2807" s="317"/>
      <c r="N2807" s="372">
        <f t="shared" si="2038"/>
        <v>1760000</v>
      </c>
      <c r="O2807" s="336">
        <f t="shared" si="2060"/>
        <v>0</v>
      </c>
      <c r="P2807" s="940">
        <f t="shared" si="2067"/>
        <v>0</v>
      </c>
      <c r="Q2807" s="941"/>
      <c r="R2807" s="317"/>
      <c r="U2807" s="320"/>
    </row>
    <row r="2808" spans="1:21" s="344" customFormat="1" outlineLevel="3">
      <c r="A2808" s="907"/>
      <c r="B2808" s="588"/>
      <c r="C2808" s="589">
        <v>2210700</v>
      </c>
      <c r="D2808" s="589" t="s">
        <v>194</v>
      </c>
      <c r="E2808" s="605">
        <f>E2809+E2810+E2811+E2812+E2813</f>
        <v>2500000</v>
      </c>
      <c r="F2808" s="605">
        <f t="shared" ref="F2808:K2808" si="2071">F2809+F2810+F2811+F2812+F2813</f>
        <v>0</v>
      </c>
      <c r="G2808" s="605">
        <f t="shared" si="2071"/>
        <v>0</v>
      </c>
      <c r="H2808" s="605">
        <f t="shared" si="2071"/>
        <v>0</v>
      </c>
      <c r="I2808" s="605">
        <f t="shared" si="2071"/>
        <v>2500000</v>
      </c>
      <c r="J2808" s="605">
        <f t="shared" si="2071"/>
        <v>0</v>
      </c>
      <c r="K2808" s="605">
        <f t="shared" si="2071"/>
        <v>0</v>
      </c>
      <c r="L2808" s="317">
        <f t="shared" si="2034"/>
        <v>2500000</v>
      </c>
      <c r="M2808" s="317"/>
      <c r="N2808" s="372">
        <f t="shared" si="2038"/>
        <v>0</v>
      </c>
      <c r="O2808" s="605">
        <f t="shared" ref="O2808:P2808" si="2072">O2809+O2810+O2811+O2812+O2813</f>
        <v>2750000</v>
      </c>
      <c r="P2808" s="939">
        <f t="shared" si="2072"/>
        <v>3025000</v>
      </c>
      <c r="R2808" s="317"/>
      <c r="U2808" s="320"/>
    </row>
    <row r="2809" spans="1:21" s="344" customFormat="1" outlineLevel="3">
      <c r="A2809" s="897"/>
      <c r="B2809" s="585"/>
      <c r="C2809" s="592">
        <v>2210701</v>
      </c>
      <c r="D2809" s="592" t="s">
        <v>36</v>
      </c>
      <c r="E2809" s="587">
        <v>587000</v>
      </c>
      <c r="F2809" s="594"/>
      <c r="G2809" s="594"/>
      <c r="H2809" s="594"/>
      <c r="I2809" s="324">
        <f t="shared" si="2046"/>
        <v>587000</v>
      </c>
      <c r="J2809" s="594"/>
      <c r="K2809" s="315"/>
      <c r="L2809" s="317">
        <f t="shared" si="2034"/>
        <v>587000</v>
      </c>
      <c r="M2809" s="317"/>
      <c r="N2809" s="372">
        <f t="shared" si="2038"/>
        <v>0</v>
      </c>
      <c r="O2809" s="336">
        <f t="shared" si="2060"/>
        <v>645700</v>
      </c>
      <c r="P2809" s="940">
        <f t="shared" si="2067"/>
        <v>710270</v>
      </c>
      <c r="Q2809" s="941"/>
      <c r="R2809" s="317"/>
      <c r="U2809" s="320"/>
    </row>
    <row r="2810" spans="1:21" s="344" customFormat="1" outlineLevel="3">
      <c r="A2810" s="897"/>
      <c r="B2810" s="585"/>
      <c r="C2810" s="592">
        <v>2210703</v>
      </c>
      <c r="D2810" s="592" t="s">
        <v>107</v>
      </c>
      <c r="E2810" s="587">
        <v>378000</v>
      </c>
      <c r="F2810" s="594"/>
      <c r="G2810" s="594"/>
      <c r="H2810" s="594"/>
      <c r="I2810" s="324">
        <f t="shared" si="2046"/>
        <v>378000</v>
      </c>
      <c r="J2810" s="594"/>
      <c r="K2810" s="315"/>
      <c r="L2810" s="317">
        <f t="shared" si="2034"/>
        <v>378000</v>
      </c>
      <c r="M2810" s="317"/>
      <c r="N2810" s="372">
        <f t="shared" si="2038"/>
        <v>0</v>
      </c>
      <c r="O2810" s="336">
        <f t="shared" si="2060"/>
        <v>415800.00000000006</v>
      </c>
      <c r="P2810" s="940">
        <f t="shared" si="2067"/>
        <v>457380.00000000012</v>
      </c>
      <c r="R2810" s="317"/>
      <c r="U2810" s="320"/>
    </row>
    <row r="2811" spans="1:21" s="344" customFormat="1" outlineLevel="3">
      <c r="A2811" s="897"/>
      <c r="B2811" s="585"/>
      <c r="C2811" s="592">
        <v>2210704</v>
      </c>
      <c r="D2811" s="592" t="s">
        <v>38</v>
      </c>
      <c r="E2811" s="587">
        <v>211000</v>
      </c>
      <c r="F2811" s="594"/>
      <c r="G2811" s="594"/>
      <c r="H2811" s="594"/>
      <c r="I2811" s="324">
        <f t="shared" si="2046"/>
        <v>211000</v>
      </c>
      <c r="J2811" s="594"/>
      <c r="K2811" s="315"/>
      <c r="L2811" s="317">
        <f t="shared" si="2034"/>
        <v>211000</v>
      </c>
      <c r="M2811" s="317"/>
      <c r="N2811" s="372">
        <f t="shared" si="2038"/>
        <v>0</v>
      </c>
      <c r="O2811" s="336">
        <f t="shared" si="2060"/>
        <v>232100.00000000003</v>
      </c>
      <c r="P2811" s="940">
        <f t="shared" si="2067"/>
        <v>255310.00000000006</v>
      </c>
      <c r="R2811" s="317"/>
      <c r="U2811" s="320"/>
    </row>
    <row r="2812" spans="1:21" s="344" customFormat="1" outlineLevel="3">
      <c r="A2812" s="897"/>
      <c r="B2812" s="585"/>
      <c r="C2812" s="592">
        <v>2210710</v>
      </c>
      <c r="D2812" s="592" t="s">
        <v>39</v>
      </c>
      <c r="E2812" s="587">
        <v>764000</v>
      </c>
      <c r="F2812" s="594"/>
      <c r="G2812" s="594"/>
      <c r="H2812" s="594"/>
      <c r="I2812" s="324">
        <f t="shared" si="2046"/>
        <v>764000</v>
      </c>
      <c r="J2812" s="594"/>
      <c r="K2812" s="315"/>
      <c r="L2812" s="317">
        <f t="shared" si="2034"/>
        <v>764000</v>
      </c>
      <c r="M2812" s="317"/>
      <c r="N2812" s="372">
        <f t="shared" si="2038"/>
        <v>0</v>
      </c>
      <c r="O2812" s="336">
        <f t="shared" si="2060"/>
        <v>840400.00000000012</v>
      </c>
      <c r="P2812" s="940">
        <f t="shared" si="2067"/>
        <v>924440.00000000023</v>
      </c>
      <c r="Q2812" s="941"/>
      <c r="R2812" s="317"/>
      <c r="U2812" s="320"/>
    </row>
    <row r="2813" spans="1:21" s="344" customFormat="1" outlineLevel="3">
      <c r="A2813" s="897"/>
      <c r="B2813" s="585"/>
      <c r="C2813" s="332">
        <v>2210715</v>
      </c>
      <c r="D2813" s="330" t="s">
        <v>40</v>
      </c>
      <c r="E2813" s="587">
        <v>560000</v>
      </c>
      <c r="F2813" s="389"/>
      <c r="G2813" s="389"/>
      <c r="H2813" s="389"/>
      <c r="I2813" s="324">
        <f t="shared" si="2046"/>
        <v>560000</v>
      </c>
      <c r="J2813" s="389"/>
      <c r="K2813" s="315"/>
      <c r="L2813" s="317">
        <f t="shared" si="2034"/>
        <v>560000</v>
      </c>
      <c r="M2813" s="317"/>
      <c r="N2813" s="372">
        <f t="shared" si="2038"/>
        <v>0</v>
      </c>
      <c r="O2813" s="336">
        <f t="shared" si="2060"/>
        <v>616000</v>
      </c>
      <c r="P2813" s="940">
        <f t="shared" si="2067"/>
        <v>677600</v>
      </c>
      <c r="R2813" s="317"/>
      <c r="U2813" s="320"/>
    </row>
    <row r="2814" spans="1:21" s="344" customFormat="1" outlineLevel="3">
      <c r="A2814" s="907"/>
      <c r="B2814" s="588"/>
      <c r="C2814" s="589">
        <v>2210800</v>
      </c>
      <c r="D2814" s="589" t="s">
        <v>42</v>
      </c>
      <c r="E2814" s="605">
        <f>E2815+E2816</f>
        <v>870000</v>
      </c>
      <c r="F2814" s="605">
        <f t="shared" ref="F2814:K2814" si="2073">F2815+F2816</f>
        <v>0</v>
      </c>
      <c r="G2814" s="605">
        <f t="shared" si="2073"/>
        <v>0</v>
      </c>
      <c r="H2814" s="605">
        <f t="shared" si="2073"/>
        <v>600000</v>
      </c>
      <c r="I2814" s="605">
        <f t="shared" si="2073"/>
        <v>1470000</v>
      </c>
      <c r="J2814" s="605">
        <f t="shared" si="2073"/>
        <v>0</v>
      </c>
      <c r="K2814" s="605">
        <f t="shared" si="2073"/>
        <v>1329800</v>
      </c>
      <c r="L2814" s="317">
        <f t="shared" si="2034"/>
        <v>2799800</v>
      </c>
      <c r="M2814" s="317"/>
      <c r="N2814" s="372">
        <f t="shared" si="2038"/>
        <v>-1329800</v>
      </c>
      <c r="O2814" s="605">
        <f t="shared" ref="O2814:P2814" si="2074">O2815+O2816</f>
        <v>3079780.0000000005</v>
      </c>
      <c r="P2814" s="939">
        <f t="shared" si="2074"/>
        <v>3387758.0000000009</v>
      </c>
      <c r="R2814" s="317"/>
      <c r="U2814" s="320"/>
    </row>
    <row r="2815" spans="1:21" s="325" customFormat="1" outlineLevel="3">
      <c r="A2815" s="897"/>
      <c r="B2815" s="585"/>
      <c r="C2815" s="592">
        <v>2210801</v>
      </c>
      <c r="D2815" s="592" t="s">
        <v>2421</v>
      </c>
      <c r="E2815" s="587">
        <v>320000</v>
      </c>
      <c r="F2815" s="594"/>
      <c r="G2815" s="594"/>
      <c r="H2815" s="594">
        <v>600000</v>
      </c>
      <c r="I2815" s="324">
        <f t="shared" si="2046"/>
        <v>920000</v>
      </c>
      <c r="J2815" s="594"/>
      <c r="K2815" s="315"/>
      <c r="L2815" s="317">
        <f t="shared" si="2034"/>
        <v>920000</v>
      </c>
      <c r="M2815" s="317"/>
      <c r="N2815" s="372">
        <f t="shared" si="2038"/>
        <v>0</v>
      </c>
      <c r="O2815" s="336">
        <f t="shared" si="2060"/>
        <v>1012000.0000000001</v>
      </c>
      <c r="P2815" s="940">
        <f t="shared" si="2067"/>
        <v>1113200.0000000002</v>
      </c>
      <c r="Q2815" s="941"/>
      <c r="R2815" s="317"/>
      <c r="U2815" s="320"/>
    </row>
    <row r="2816" spans="1:21" s="699" customFormat="1" outlineLevel="3">
      <c r="A2816" s="981"/>
      <c r="B2816" s="942"/>
      <c r="C2816" s="943">
        <v>2210802</v>
      </c>
      <c r="D2816" s="943" t="s">
        <v>97</v>
      </c>
      <c r="E2816" s="944">
        <v>550000</v>
      </c>
      <c r="F2816" s="945"/>
      <c r="G2816" s="945"/>
      <c r="H2816" s="945"/>
      <c r="I2816" s="370">
        <f t="shared" si="2046"/>
        <v>550000</v>
      </c>
      <c r="J2816" s="945">
        <v>0</v>
      </c>
      <c r="K2816" s="946">
        <v>1329800</v>
      </c>
      <c r="L2816" s="372">
        <f t="shared" si="2034"/>
        <v>1879800</v>
      </c>
      <c r="M2816" s="372"/>
      <c r="N2816" s="372">
        <f t="shared" si="2038"/>
        <v>-1329800</v>
      </c>
      <c r="O2816" s="373">
        <f t="shared" si="2060"/>
        <v>2067780.0000000002</v>
      </c>
      <c r="P2816" s="947">
        <f t="shared" si="2067"/>
        <v>2274558.0000000005</v>
      </c>
      <c r="R2816" s="372"/>
      <c r="U2816" s="320"/>
    </row>
    <row r="2817" spans="1:21" s="344" customFormat="1" outlineLevel="3">
      <c r="A2817" s="907"/>
      <c r="B2817" s="588"/>
      <c r="C2817" s="589">
        <v>2211000</v>
      </c>
      <c r="D2817" s="589" t="s">
        <v>118</v>
      </c>
      <c r="E2817" s="605">
        <f>E2818+E2819</f>
        <v>1520000</v>
      </c>
      <c r="F2817" s="605">
        <f t="shared" ref="F2817:K2817" si="2075">F2818+F2819</f>
        <v>0</v>
      </c>
      <c r="G2817" s="605">
        <f t="shared" si="2075"/>
        <v>0</v>
      </c>
      <c r="H2817" s="605">
        <f t="shared" si="2075"/>
        <v>0</v>
      </c>
      <c r="I2817" s="605">
        <f t="shared" si="2075"/>
        <v>1520000</v>
      </c>
      <c r="J2817" s="605">
        <f t="shared" si="2075"/>
        <v>0</v>
      </c>
      <c r="K2817" s="605">
        <f t="shared" si="2075"/>
        <v>0</v>
      </c>
      <c r="L2817" s="317">
        <f t="shared" si="2034"/>
        <v>1520000</v>
      </c>
      <c r="M2817" s="317"/>
      <c r="N2817" s="372">
        <f t="shared" si="2038"/>
        <v>0</v>
      </c>
      <c r="O2817" s="605">
        <f t="shared" ref="O2817:P2817" si="2076">O2818+O2819</f>
        <v>1672000.0000000002</v>
      </c>
      <c r="P2817" s="939">
        <f t="shared" si="2076"/>
        <v>1839200.0000000005</v>
      </c>
      <c r="R2817" s="317"/>
      <c r="U2817" s="320"/>
    </row>
    <row r="2818" spans="1:21" s="325" customFormat="1" outlineLevel="3">
      <c r="A2818" s="897"/>
      <c r="B2818" s="585"/>
      <c r="C2818" s="592">
        <v>2211016</v>
      </c>
      <c r="D2818" s="592" t="s">
        <v>196</v>
      </c>
      <c r="E2818" s="587">
        <v>850000</v>
      </c>
      <c r="F2818" s="594"/>
      <c r="G2818" s="594"/>
      <c r="H2818" s="594"/>
      <c r="I2818" s="324">
        <f t="shared" si="2046"/>
        <v>850000</v>
      </c>
      <c r="J2818" s="594"/>
      <c r="K2818" s="315"/>
      <c r="L2818" s="317">
        <f t="shared" si="2034"/>
        <v>850000</v>
      </c>
      <c r="M2818" s="317"/>
      <c r="N2818" s="372">
        <f t="shared" si="2038"/>
        <v>0</v>
      </c>
      <c r="O2818" s="336">
        <f t="shared" si="2060"/>
        <v>935000.00000000012</v>
      </c>
      <c r="P2818" s="940">
        <f t="shared" si="2067"/>
        <v>1028500.0000000002</v>
      </c>
      <c r="R2818" s="317"/>
      <c r="U2818" s="320"/>
    </row>
    <row r="2819" spans="1:21" s="344" customFormat="1" outlineLevel="3">
      <c r="A2819" s="897"/>
      <c r="B2819" s="585"/>
      <c r="C2819" s="592">
        <v>2211031</v>
      </c>
      <c r="D2819" s="592" t="s">
        <v>1465</v>
      </c>
      <c r="E2819" s="587">
        <v>670000</v>
      </c>
      <c r="F2819" s="594"/>
      <c r="G2819" s="594"/>
      <c r="H2819" s="594"/>
      <c r="I2819" s="324">
        <f t="shared" si="2046"/>
        <v>670000</v>
      </c>
      <c r="J2819" s="594"/>
      <c r="K2819" s="315"/>
      <c r="L2819" s="317">
        <f t="shared" si="2034"/>
        <v>670000</v>
      </c>
      <c r="M2819" s="317"/>
      <c r="N2819" s="372">
        <f t="shared" si="2038"/>
        <v>0</v>
      </c>
      <c r="O2819" s="336">
        <f t="shared" si="2060"/>
        <v>737000.00000000012</v>
      </c>
      <c r="P2819" s="940">
        <f t="shared" si="2067"/>
        <v>810700.00000000023</v>
      </c>
      <c r="R2819" s="317"/>
      <c r="U2819" s="320"/>
    </row>
    <row r="2820" spans="1:21" s="325" customFormat="1" outlineLevel="3">
      <c r="A2820" s="907"/>
      <c r="B2820" s="588"/>
      <c r="C2820" s="589">
        <v>2211100</v>
      </c>
      <c r="D2820" s="589" t="s">
        <v>51</v>
      </c>
      <c r="E2820" s="605">
        <f>E2821</f>
        <v>300000</v>
      </c>
      <c r="F2820" s="605">
        <f t="shared" ref="F2820:K2820" si="2077">F2821</f>
        <v>0</v>
      </c>
      <c r="G2820" s="605">
        <f t="shared" si="2077"/>
        <v>0</v>
      </c>
      <c r="H2820" s="605">
        <f t="shared" si="2077"/>
        <v>0</v>
      </c>
      <c r="I2820" s="605">
        <f t="shared" si="2077"/>
        <v>300000</v>
      </c>
      <c r="J2820" s="605">
        <f t="shared" si="2077"/>
        <v>0</v>
      </c>
      <c r="K2820" s="605">
        <f t="shared" si="2077"/>
        <v>0</v>
      </c>
      <c r="L2820" s="317">
        <f t="shared" si="2034"/>
        <v>300000</v>
      </c>
      <c r="M2820" s="317"/>
      <c r="N2820" s="372">
        <f t="shared" si="2038"/>
        <v>0</v>
      </c>
      <c r="O2820" s="605">
        <f t="shared" ref="O2820:P2820" si="2078">O2821</f>
        <v>330000</v>
      </c>
      <c r="P2820" s="939">
        <f t="shared" si="2078"/>
        <v>363000.00000000006</v>
      </c>
      <c r="R2820" s="317"/>
      <c r="U2820" s="320"/>
    </row>
    <row r="2821" spans="1:21" s="344" customFormat="1" outlineLevel="3">
      <c r="A2821" s="897"/>
      <c r="B2821" s="585"/>
      <c r="C2821" s="592">
        <v>2211101</v>
      </c>
      <c r="D2821" s="330" t="s">
        <v>197</v>
      </c>
      <c r="E2821" s="587">
        <v>300000</v>
      </c>
      <c r="F2821" s="389"/>
      <c r="G2821" s="389"/>
      <c r="H2821" s="389"/>
      <c r="I2821" s="324">
        <f t="shared" si="2046"/>
        <v>300000</v>
      </c>
      <c r="J2821" s="389"/>
      <c r="K2821" s="315"/>
      <c r="L2821" s="317">
        <f t="shared" ref="L2821:L2884" si="2079">I2821+J2821+K2821</f>
        <v>300000</v>
      </c>
      <c r="M2821" s="317"/>
      <c r="N2821" s="372">
        <f t="shared" si="2038"/>
        <v>0</v>
      </c>
      <c r="O2821" s="336">
        <f t="shared" si="2060"/>
        <v>330000</v>
      </c>
      <c r="P2821" s="940">
        <f t="shared" si="2067"/>
        <v>363000.00000000006</v>
      </c>
      <c r="R2821" s="317"/>
      <c r="U2821" s="320"/>
    </row>
    <row r="2822" spans="1:21" s="344" customFormat="1" outlineLevel="3">
      <c r="A2822" s="907"/>
      <c r="B2822" s="588"/>
      <c r="C2822" s="589">
        <v>2211200</v>
      </c>
      <c r="D2822" s="589" t="s">
        <v>55</v>
      </c>
      <c r="E2822" s="605">
        <f>E2823</f>
        <v>1300000</v>
      </c>
      <c r="F2822" s="605">
        <f t="shared" ref="F2822:K2822" si="2080">F2823</f>
        <v>0</v>
      </c>
      <c r="G2822" s="605">
        <f t="shared" si="2080"/>
        <v>0</v>
      </c>
      <c r="H2822" s="605">
        <f t="shared" si="2080"/>
        <v>400000</v>
      </c>
      <c r="I2822" s="605">
        <f t="shared" si="2080"/>
        <v>1700000</v>
      </c>
      <c r="J2822" s="605">
        <f t="shared" si="2080"/>
        <v>0</v>
      </c>
      <c r="K2822" s="605">
        <f t="shared" si="2080"/>
        <v>800000</v>
      </c>
      <c r="L2822" s="317">
        <f t="shared" si="2079"/>
        <v>2500000</v>
      </c>
      <c r="M2822" s="317"/>
      <c r="N2822" s="372">
        <f t="shared" si="2038"/>
        <v>-800000</v>
      </c>
      <c r="O2822" s="605">
        <f t="shared" ref="O2822:P2822" si="2081">O2823</f>
        <v>2750000</v>
      </c>
      <c r="P2822" s="939">
        <f t="shared" si="2081"/>
        <v>3025000.0000000005</v>
      </c>
      <c r="R2822" s="317"/>
      <c r="U2822" s="320"/>
    </row>
    <row r="2823" spans="1:21" s="325" customFormat="1" outlineLevel="3">
      <c r="A2823" s="897"/>
      <c r="B2823" s="585"/>
      <c r="C2823" s="592">
        <v>2211201</v>
      </c>
      <c r="D2823" s="592" t="s">
        <v>56</v>
      </c>
      <c r="E2823" s="587">
        <v>1300000</v>
      </c>
      <c r="F2823" s="594"/>
      <c r="G2823" s="594"/>
      <c r="H2823" s="594">
        <v>400000</v>
      </c>
      <c r="I2823" s="324">
        <f t="shared" si="2046"/>
        <v>1700000</v>
      </c>
      <c r="J2823" s="594"/>
      <c r="K2823" s="315">
        <f>900000-100000</f>
        <v>800000</v>
      </c>
      <c r="L2823" s="317">
        <f t="shared" si="2079"/>
        <v>2500000</v>
      </c>
      <c r="M2823" s="317"/>
      <c r="N2823" s="372">
        <f t="shared" si="2038"/>
        <v>-800000</v>
      </c>
      <c r="O2823" s="336">
        <f t="shared" si="2060"/>
        <v>2750000</v>
      </c>
      <c r="P2823" s="940">
        <f t="shared" si="2067"/>
        <v>3025000.0000000005</v>
      </c>
      <c r="Q2823" s="941"/>
      <c r="R2823" s="317"/>
      <c r="U2823" s="320"/>
    </row>
    <row r="2824" spans="1:21" s="344" customFormat="1" outlineLevel="3">
      <c r="A2824" s="907"/>
      <c r="B2824" s="588"/>
      <c r="C2824" s="589">
        <v>3110700</v>
      </c>
      <c r="D2824" s="338" t="s">
        <v>65</v>
      </c>
      <c r="E2824" s="605">
        <f>E2825+E2826</f>
        <v>18500000</v>
      </c>
      <c r="F2824" s="605">
        <f t="shared" ref="F2824:K2824" si="2082">F2825+F2826</f>
        <v>0</v>
      </c>
      <c r="G2824" s="605">
        <f t="shared" si="2082"/>
        <v>0</v>
      </c>
      <c r="H2824" s="605">
        <f t="shared" si="2082"/>
        <v>0</v>
      </c>
      <c r="I2824" s="605">
        <f t="shared" si="2082"/>
        <v>18500000</v>
      </c>
      <c r="J2824" s="605">
        <f t="shared" si="2082"/>
        <v>0</v>
      </c>
      <c r="K2824" s="605">
        <f t="shared" si="2082"/>
        <v>-2516500</v>
      </c>
      <c r="L2824" s="317">
        <f t="shared" si="2079"/>
        <v>15983500</v>
      </c>
      <c r="M2824" s="317"/>
      <c r="N2824" s="372">
        <f t="shared" si="2038"/>
        <v>2516500</v>
      </c>
      <c r="O2824" s="605">
        <f t="shared" ref="O2824:P2824" si="2083">O2825+O2826</f>
        <v>17581850</v>
      </c>
      <c r="P2824" s="939">
        <f t="shared" si="2083"/>
        <v>19340035.000000004</v>
      </c>
      <c r="R2824" s="317"/>
      <c r="U2824" s="320"/>
    </row>
    <row r="2825" spans="1:21" s="344" customFormat="1" outlineLevel="3">
      <c r="A2825" s="897"/>
      <c r="B2825" s="585"/>
      <c r="C2825" s="592">
        <v>3110701</v>
      </c>
      <c r="D2825" s="330" t="s">
        <v>1466</v>
      </c>
      <c r="E2825" s="587">
        <v>17000000</v>
      </c>
      <c r="F2825" s="389"/>
      <c r="G2825" s="389"/>
      <c r="H2825" s="389"/>
      <c r="I2825" s="324">
        <f t="shared" si="2046"/>
        <v>17000000</v>
      </c>
      <c r="J2825" s="389"/>
      <c r="K2825" s="982">
        <v>-1991500</v>
      </c>
      <c r="L2825" s="317">
        <f t="shared" si="2079"/>
        <v>15008500</v>
      </c>
      <c r="M2825" s="317"/>
      <c r="N2825" s="372">
        <f t="shared" ref="N2825:N2888" si="2084">M2825-K2825</f>
        <v>1991500</v>
      </c>
      <c r="O2825" s="336">
        <f t="shared" si="2060"/>
        <v>16509350.000000002</v>
      </c>
      <c r="P2825" s="940">
        <f t="shared" si="2067"/>
        <v>18160285.000000004</v>
      </c>
      <c r="Q2825" s="941"/>
      <c r="R2825" s="317"/>
      <c r="U2825" s="320"/>
    </row>
    <row r="2826" spans="1:21" s="325" customFormat="1" outlineLevel="3">
      <c r="A2826" s="897"/>
      <c r="B2826" s="585"/>
      <c r="C2826" s="592">
        <v>3110704</v>
      </c>
      <c r="D2826" s="330" t="s">
        <v>1467</v>
      </c>
      <c r="E2826" s="587">
        <v>1500000</v>
      </c>
      <c r="F2826" s="389"/>
      <c r="G2826" s="389"/>
      <c r="H2826" s="389"/>
      <c r="I2826" s="324">
        <f t="shared" si="2046"/>
        <v>1500000</v>
      </c>
      <c r="J2826" s="389"/>
      <c r="K2826" s="315">
        <v>-525000</v>
      </c>
      <c r="L2826" s="317">
        <f t="shared" si="2079"/>
        <v>975000</v>
      </c>
      <c r="M2826" s="317"/>
      <c r="N2826" s="372">
        <f t="shared" si="2084"/>
        <v>525000</v>
      </c>
      <c r="O2826" s="336">
        <f t="shared" si="2060"/>
        <v>1072500</v>
      </c>
      <c r="P2826" s="940">
        <f t="shared" si="2067"/>
        <v>1179750</v>
      </c>
      <c r="Q2826" s="941"/>
      <c r="R2826" s="317"/>
      <c r="U2826" s="320"/>
    </row>
    <row r="2827" spans="1:21" s="344" customFormat="1" outlineLevel="3">
      <c r="A2827" s="907"/>
      <c r="B2827" s="588"/>
      <c r="C2827" s="620">
        <v>3111000</v>
      </c>
      <c r="D2827" s="589" t="s">
        <v>69</v>
      </c>
      <c r="E2827" s="605">
        <f>E2829+E2828</f>
        <v>1170000</v>
      </c>
      <c r="F2827" s="605">
        <f t="shared" ref="F2827:K2827" si="2085">F2829+F2828</f>
        <v>0</v>
      </c>
      <c r="G2827" s="605">
        <f t="shared" si="2085"/>
        <v>0</v>
      </c>
      <c r="H2827" s="605">
        <f t="shared" si="2085"/>
        <v>0</v>
      </c>
      <c r="I2827" s="605">
        <f t="shared" si="2085"/>
        <v>1170000</v>
      </c>
      <c r="J2827" s="605">
        <f t="shared" si="2085"/>
        <v>0</v>
      </c>
      <c r="K2827" s="605">
        <f t="shared" si="2085"/>
        <v>-225000</v>
      </c>
      <c r="L2827" s="317">
        <f t="shared" si="2079"/>
        <v>945000</v>
      </c>
      <c r="M2827" s="317"/>
      <c r="N2827" s="372">
        <f t="shared" si="2084"/>
        <v>225000</v>
      </c>
      <c r="O2827" s="605">
        <f t="shared" ref="O2827:P2827" si="2086">O2829+O2828</f>
        <v>1039500.0000000001</v>
      </c>
      <c r="P2827" s="939">
        <f t="shared" si="2086"/>
        <v>1143450.0000000002</v>
      </c>
      <c r="R2827" s="317"/>
      <c r="U2827" s="320"/>
    </row>
    <row r="2828" spans="1:21" s="344" customFormat="1" outlineLevel="2">
      <c r="A2828" s="897"/>
      <c r="B2828" s="585"/>
      <c r="C2828" s="592">
        <v>3111001</v>
      </c>
      <c r="D2828" s="592" t="s">
        <v>70</v>
      </c>
      <c r="E2828" s="587">
        <v>450000</v>
      </c>
      <c r="F2828" s="594"/>
      <c r="G2828" s="594"/>
      <c r="H2828" s="594"/>
      <c r="I2828" s="324">
        <f t="shared" si="2046"/>
        <v>450000</v>
      </c>
      <c r="J2828" s="594"/>
      <c r="K2828" s="315">
        <v>-225000</v>
      </c>
      <c r="L2828" s="317">
        <f t="shared" si="2079"/>
        <v>225000</v>
      </c>
      <c r="M2828" s="317"/>
      <c r="N2828" s="372">
        <f t="shared" si="2084"/>
        <v>225000</v>
      </c>
      <c r="O2828" s="336">
        <f t="shared" si="2060"/>
        <v>247500.00000000003</v>
      </c>
      <c r="P2828" s="940">
        <f t="shared" si="2067"/>
        <v>272250.00000000006</v>
      </c>
      <c r="Q2828" s="941"/>
      <c r="R2828" s="317"/>
      <c r="U2828" s="320"/>
    </row>
    <row r="2829" spans="1:21" s="325" customFormat="1" outlineLevel="2">
      <c r="A2829" s="897"/>
      <c r="B2829" s="585"/>
      <c r="C2829" s="592">
        <v>3111002</v>
      </c>
      <c r="D2829" s="592" t="s">
        <v>71</v>
      </c>
      <c r="E2829" s="587">
        <v>720000</v>
      </c>
      <c r="F2829" s="594"/>
      <c r="G2829" s="594"/>
      <c r="H2829" s="594"/>
      <c r="I2829" s="324">
        <f t="shared" si="2046"/>
        <v>720000</v>
      </c>
      <c r="J2829" s="594"/>
      <c r="K2829" s="315"/>
      <c r="L2829" s="317">
        <f t="shared" si="2079"/>
        <v>720000</v>
      </c>
      <c r="M2829" s="317"/>
      <c r="N2829" s="372">
        <f t="shared" si="2084"/>
        <v>0</v>
      </c>
      <c r="O2829" s="336">
        <f t="shared" si="2060"/>
        <v>792000.00000000012</v>
      </c>
      <c r="P2829" s="940">
        <f t="shared" si="2067"/>
        <v>871200.00000000023</v>
      </c>
      <c r="Q2829" s="941"/>
      <c r="R2829" s="317"/>
      <c r="U2829" s="320"/>
    </row>
    <row r="2830" spans="1:21" s="344" customFormat="1" outlineLevel="1">
      <c r="A2830" s="907"/>
      <c r="B2830" s="588"/>
      <c r="C2830" s="589">
        <v>3111400</v>
      </c>
      <c r="D2830" s="589" t="s">
        <v>1468</v>
      </c>
      <c r="E2830" s="605">
        <f>E2831+E2832</f>
        <v>8000000</v>
      </c>
      <c r="F2830" s="605">
        <f t="shared" ref="F2830:K2830" si="2087">F2831+F2832</f>
        <v>0</v>
      </c>
      <c r="G2830" s="605">
        <f t="shared" si="2087"/>
        <v>0</v>
      </c>
      <c r="H2830" s="605">
        <f t="shared" si="2087"/>
        <v>-1000000</v>
      </c>
      <c r="I2830" s="605">
        <f t="shared" si="2087"/>
        <v>7000000</v>
      </c>
      <c r="J2830" s="605">
        <f t="shared" si="2087"/>
        <v>0</v>
      </c>
      <c r="K2830" s="605">
        <f t="shared" si="2087"/>
        <v>0</v>
      </c>
      <c r="L2830" s="317">
        <f t="shared" si="2079"/>
        <v>7000000</v>
      </c>
      <c r="M2830" s="317"/>
      <c r="N2830" s="372">
        <f t="shared" si="2084"/>
        <v>0</v>
      </c>
      <c r="O2830" s="605">
        <f t="shared" ref="O2830:P2830" si="2088">O2831+O2832</f>
        <v>7700000</v>
      </c>
      <c r="P2830" s="939">
        <f t="shared" si="2088"/>
        <v>8470000</v>
      </c>
      <c r="R2830" s="317"/>
      <c r="U2830" s="320"/>
    </row>
    <row r="2831" spans="1:21" s="325" customFormat="1" outlineLevel="1">
      <c r="A2831" s="897"/>
      <c r="B2831" s="585"/>
      <c r="C2831" s="592">
        <v>3111401</v>
      </c>
      <c r="D2831" s="592" t="s">
        <v>1469</v>
      </c>
      <c r="E2831" s="587">
        <f>2000000+2000000</f>
        <v>4000000</v>
      </c>
      <c r="F2831" s="594"/>
      <c r="G2831" s="594"/>
      <c r="H2831" s="587">
        <v>-1000000</v>
      </c>
      <c r="I2831" s="324">
        <f t="shared" si="2046"/>
        <v>3000000</v>
      </c>
      <c r="J2831" s="587"/>
      <c r="K2831" s="315"/>
      <c r="L2831" s="317">
        <f t="shared" si="2079"/>
        <v>3000000</v>
      </c>
      <c r="M2831" s="317"/>
      <c r="N2831" s="372">
        <f t="shared" si="2084"/>
        <v>0</v>
      </c>
      <c r="O2831" s="336">
        <f t="shared" si="2060"/>
        <v>3300000.0000000005</v>
      </c>
      <c r="P2831" s="940">
        <f t="shared" si="2067"/>
        <v>3630000.0000000009</v>
      </c>
      <c r="R2831" s="317"/>
      <c r="U2831" s="320"/>
    </row>
    <row r="2832" spans="1:21" s="344" customFormat="1" outlineLevel="1">
      <c r="A2832" s="897"/>
      <c r="B2832" s="585"/>
      <c r="C2832" s="592">
        <v>3111402</v>
      </c>
      <c r="D2832" s="592" t="s">
        <v>1470</v>
      </c>
      <c r="E2832" s="587">
        <f>2000000+2000000</f>
        <v>4000000</v>
      </c>
      <c r="F2832" s="594"/>
      <c r="G2832" s="594"/>
      <c r="H2832" s="587"/>
      <c r="I2832" s="324">
        <f t="shared" si="2046"/>
        <v>4000000</v>
      </c>
      <c r="J2832" s="587"/>
      <c r="K2832" s="315"/>
      <c r="L2832" s="317">
        <f t="shared" si="2079"/>
        <v>4000000</v>
      </c>
      <c r="M2832" s="317"/>
      <c r="N2832" s="372">
        <f t="shared" si="2084"/>
        <v>0</v>
      </c>
      <c r="O2832" s="336">
        <f t="shared" si="2060"/>
        <v>4400000</v>
      </c>
      <c r="P2832" s="940">
        <f t="shared" si="2067"/>
        <v>4840000</v>
      </c>
      <c r="R2832" s="317"/>
      <c r="U2832" s="320"/>
    </row>
    <row r="2833" spans="1:21" s="344" customFormat="1" outlineLevel="3">
      <c r="A2833" s="907"/>
      <c r="B2833" s="588"/>
      <c r="C2833" s="589" t="s">
        <v>99</v>
      </c>
      <c r="D2833" s="955"/>
      <c r="E2833" s="605">
        <f>E2827+E2824+E2822+E2820+E2817+E2808+E2801+E2799+E2814+E2830+E2806</f>
        <v>39500000</v>
      </c>
      <c r="F2833" s="605">
        <f t="shared" ref="F2833:P2833" si="2089">F2827+F2824+F2822+F2820+F2817+F2808+F2801+F2799+F2814+F2830+F2806</f>
        <v>0</v>
      </c>
      <c r="G2833" s="605">
        <f t="shared" si="2089"/>
        <v>0</v>
      </c>
      <c r="H2833" s="605">
        <f t="shared" si="2089"/>
        <v>0</v>
      </c>
      <c r="I2833" s="605">
        <f t="shared" si="2089"/>
        <v>39500000</v>
      </c>
      <c r="J2833" s="605">
        <f t="shared" si="2089"/>
        <v>0</v>
      </c>
      <c r="K2833" s="605">
        <f t="shared" si="2089"/>
        <v>878800</v>
      </c>
      <c r="L2833" s="317">
        <f t="shared" si="2079"/>
        <v>40378800</v>
      </c>
      <c r="M2833" s="317"/>
      <c r="N2833" s="372">
        <f t="shared" si="2084"/>
        <v>-878800</v>
      </c>
      <c r="O2833" s="605">
        <f t="shared" si="2089"/>
        <v>44416680</v>
      </c>
      <c r="P2833" s="605">
        <f t="shared" si="2089"/>
        <v>48858348</v>
      </c>
      <c r="R2833" s="317"/>
      <c r="U2833" s="320"/>
    </row>
    <row r="2834" spans="1:21" s="344" customFormat="1" outlineLevel="3">
      <c r="A2834" s="907"/>
      <c r="B2834" s="588"/>
      <c r="C2834" s="332"/>
      <c r="D2834" s="330"/>
      <c r="E2834" s="587"/>
      <c r="F2834" s="587"/>
      <c r="G2834" s="587"/>
      <c r="H2834" s="587"/>
      <c r="I2834" s="324">
        <f t="shared" si="2046"/>
        <v>0</v>
      </c>
      <c r="J2834" s="587"/>
      <c r="K2834" s="587"/>
      <c r="L2834" s="317">
        <f t="shared" si="2079"/>
        <v>0</v>
      </c>
      <c r="M2834" s="317"/>
      <c r="N2834" s="372">
        <f t="shared" si="2084"/>
        <v>0</v>
      </c>
      <c r="O2834" s="336">
        <f t="shared" si="2060"/>
        <v>0</v>
      </c>
      <c r="P2834" s="940">
        <f t="shared" si="2067"/>
        <v>0</v>
      </c>
      <c r="R2834" s="317"/>
      <c r="U2834" s="320"/>
    </row>
    <row r="2835" spans="1:21" s="344" customFormat="1" outlineLevel="3">
      <c r="A2835" s="907"/>
      <c r="B2835" s="588"/>
      <c r="C2835" s="340" t="s">
        <v>84</v>
      </c>
      <c r="D2835" s="338"/>
      <c r="E2835" s="605">
        <f>E2833</f>
        <v>39500000</v>
      </c>
      <c r="F2835" s="605">
        <f t="shared" ref="F2835:K2835" si="2090">F2833</f>
        <v>0</v>
      </c>
      <c r="G2835" s="605">
        <f t="shared" si="2090"/>
        <v>0</v>
      </c>
      <c r="H2835" s="605">
        <f t="shared" si="2090"/>
        <v>0</v>
      </c>
      <c r="I2835" s="605">
        <f t="shared" si="2090"/>
        <v>39500000</v>
      </c>
      <c r="J2835" s="605">
        <f t="shared" si="2090"/>
        <v>0</v>
      </c>
      <c r="K2835" s="605">
        <f t="shared" si="2090"/>
        <v>878800</v>
      </c>
      <c r="L2835" s="317">
        <f t="shared" si="2079"/>
        <v>40378800</v>
      </c>
      <c r="M2835" s="317"/>
      <c r="N2835" s="372">
        <f t="shared" si="2084"/>
        <v>-878800</v>
      </c>
      <c r="O2835" s="605">
        <f t="shared" ref="O2835:P2835" si="2091">O2833</f>
        <v>44416680</v>
      </c>
      <c r="P2835" s="939">
        <f t="shared" si="2091"/>
        <v>48858348</v>
      </c>
      <c r="R2835" s="317"/>
      <c r="U2835" s="320"/>
    </row>
    <row r="2836" spans="1:21" s="325" customFormat="1" outlineLevel="3">
      <c r="A2836" s="907" t="s">
        <v>447</v>
      </c>
      <c r="B2836" s="588"/>
      <c r="C2836" s="340"/>
      <c r="D2836" s="338"/>
      <c r="E2836" s="587"/>
      <c r="F2836" s="397"/>
      <c r="G2836" s="397"/>
      <c r="H2836" s="397"/>
      <c r="I2836" s="324">
        <f t="shared" ref="I2836:I2899" si="2092">E2836+F2836+G2836+H2836</f>
        <v>0</v>
      </c>
      <c r="J2836" s="397"/>
      <c r="K2836" s="315"/>
      <c r="L2836" s="317">
        <f t="shared" si="2079"/>
        <v>0</v>
      </c>
      <c r="M2836" s="317"/>
      <c r="N2836" s="372">
        <f t="shared" si="2084"/>
        <v>0</v>
      </c>
      <c r="O2836" s="336">
        <f t="shared" si="2060"/>
        <v>0</v>
      </c>
      <c r="P2836" s="940">
        <f t="shared" si="2067"/>
        <v>0</v>
      </c>
      <c r="R2836" s="317"/>
      <c r="U2836" s="320"/>
    </row>
    <row r="2837" spans="1:21" s="344" customFormat="1" outlineLevel="3">
      <c r="A2837" s="907"/>
      <c r="B2837" s="907" t="s">
        <v>146</v>
      </c>
      <c r="C2837" s="340" t="s">
        <v>553</v>
      </c>
      <c r="D2837" s="338"/>
      <c r="E2837" s="587"/>
      <c r="F2837" s="397"/>
      <c r="G2837" s="397"/>
      <c r="H2837" s="397"/>
      <c r="I2837" s="324">
        <f t="shared" si="2092"/>
        <v>0</v>
      </c>
      <c r="J2837" s="397"/>
      <c r="K2837" s="315"/>
      <c r="L2837" s="317">
        <f t="shared" si="2079"/>
        <v>0</v>
      </c>
      <c r="M2837" s="317"/>
      <c r="N2837" s="372">
        <f t="shared" si="2084"/>
        <v>0</v>
      </c>
      <c r="O2837" s="336">
        <f t="shared" si="2060"/>
        <v>0</v>
      </c>
      <c r="P2837" s="940">
        <f t="shared" si="2067"/>
        <v>0</v>
      </c>
      <c r="R2837" s="317"/>
      <c r="U2837" s="320"/>
    </row>
    <row r="2838" spans="1:21" s="325" customFormat="1" outlineLevel="3">
      <c r="A2838" s="907"/>
      <c r="B2838" s="588"/>
      <c r="C2838" s="589">
        <v>2210300</v>
      </c>
      <c r="D2838" s="589" t="s">
        <v>24</v>
      </c>
      <c r="E2838" s="605">
        <f>E2839+E2840+E2841</f>
        <v>1453910</v>
      </c>
      <c r="F2838" s="605">
        <f t="shared" ref="F2838:K2838" si="2093">F2839+F2840+F2841</f>
        <v>0</v>
      </c>
      <c r="G2838" s="605">
        <f t="shared" si="2093"/>
        <v>0</v>
      </c>
      <c r="H2838" s="605">
        <f t="shared" si="2093"/>
        <v>0</v>
      </c>
      <c r="I2838" s="605">
        <f t="shared" si="2093"/>
        <v>1453910</v>
      </c>
      <c r="J2838" s="605">
        <f t="shared" si="2093"/>
        <v>0</v>
      </c>
      <c r="K2838" s="605">
        <f t="shared" si="2093"/>
        <v>0</v>
      </c>
      <c r="L2838" s="317">
        <f t="shared" si="2079"/>
        <v>1453910</v>
      </c>
      <c r="M2838" s="317"/>
      <c r="N2838" s="372">
        <f t="shared" si="2084"/>
        <v>0</v>
      </c>
      <c r="O2838" s="605">
        <f t="shared" ref="O2838:P2838" si="2094">O2839+O2840+O2841</f>
        <v>1599301</v>
      </c>
      <c r="P2838" s="939">
        <f t="shared" si="2094"/>
        <v>1759231.1</v>
      </c>
      <c r="R2838" s="317"/>
      <c r="U2838" s="320"/>
    </row>
    <row r="2839" spans="1:21" s="344" customFormat="1" outlineLevel="3">
      <c r="A2839" s="897"/>
      <c r="B2839" s="585"/>
      <c r="C2839" s="592">
        <v>2210301</v>
      </c>
      <c r="D2839" s="592" t="s">
        <v>188</v>
      </c>
      <c r="E2839" s="587">
        <v>434053</v>
      </c>
      <c r="F2839" s="594"/>
      <c r="G2839" s="594"/>
      <c r="H2839" s="594"/>
      <c r="I2839" s="324">
        <f t="shared" si="2092"/>
        <v>434053</v>
      </c>
      <c r="J2839" s="594"/>
      <c r="K2839" s="315"/>
      <c r="L2839" s="317">
        <f t="shared" si="2079"/>
        <v>434053</v>
      </c>
      <c r="M2839" s="317"/>
      <c r="N2839" s="372">
        <f t="shared" si="2084"/>
        <v>0</v>
      </c>
      <c r="O2839" s="336">
        <f t="shared" si="2060"/>
        <v>477458.30000000005</v>
      </c>
      <c r="P2839" s="940">
        <f t="shared" si="2067"/>
        <v>525204.13000000012</v>
      </c>
      <c r="Q2839" s="941"/>
      <c r="R2839" s="317"/>
      <c r="U2839" s="320"/>
    </row>
    <row r="2840" spans="1:21" s="325" customFormat="1" outlineLevel="3">
      <c r="A2840" s="897"/>
      <c r="B2840" s="585"/>
      <c r="C2840" s="592">
        <v>2210302</v>
      </c>
      <c r="D2840" s="592" t="s">
        <v>26</v>
      </c>
      <c r="E2840" s="587">
        <v>544457</v>
      </c>
      <c r="F2840" s="594"/>
      <c r="G2840" s="594"/>
      <c r="H2840" s="594"/>
      <c r="I2840" s="324">
        <f t="shared" si="2092"/>
        <v>544457</v>
      </c>
      <c r="J2840" s="594"/>
      <c r="K2840" s="315"/>
      <c r="L2840" s="317">
        <f t="shared" si="2079"/>
        <v>544457</v>
      </c>
      <c r="M2840" s="317"/>
      <c r="N2840" s="372">
        <f t="shared" si="2084"/>
        <v>0</v>
      </c>
      <c r="O2840" s="336">
        <f t="shared" si="2060"/>
        <v>598902.70000000007</v>
      </c>
      <c r="P2840" s="940">
        <f t="shared" si="2067"/>
        <v>658792.97000000009</v>
      </c>
      <c r="Q2840" s="941"/>
      <c r="R2840" s="317"/>
      <c r="U2840" s="320"/>
    </row>
    <row r="2841" spans="1:21" s="344" customFormat="1" outlineLevel="3">
      <c r="A2841" s="897"/>
      <c r="B2841" s="585"/>
      <c r="C2841" s="592">
        <v>2210303</v>
      </c>
      <c r="D2841" s="330" t="s">
        <v>223</v>
      </c>
      <c r="E2841" s="587">
        <v>475400</v>
      </c>
      <c r="F2841" s="389"/>
      <c r="G2841" s="389"/>
      <c r="H2841" s="389"/>
      <c r="I2841" s="324">
        <f t="shared" si="2092"/>
        <v>475400</v>
      </c>
      <c r="J2841" s="389"/>
      <c r="K2841" s="315"/>
      <c r="L2841" s="317">
        <f t="shared" si="2079"/>
        <v>475400</v>
      </c>
      <c r="M2841" s="317"/>
      <c r="N2841" s="372">
        <f t="shared" si="2084"/>
        <v>0</v>
      </c>
      <c r="O2841" s="336">
        <f t="shared" si="2060"/>
        <v>522940.00000000006</v>
      </c>
      <c r="P2841" s="940">
        <f t="shared" si="2067"/>
        <v>575234.00000000012</v>
      </c>
      <c r="Q2841" s="941"/>
      <c r="R2841" s="317"/>
      <c r="U2841" s="320"/>
    </row>
    <row r="2842" spans="1:21" s="325" customFormat="1" outlineLevel="3">
      <c r="A2842" s="907"/>
      <c r="B2842" s="588"/>
      <c r="C2842" s="589">
        <v>2210500</v>
      </c>
      <c r="D2842" s="589" t="s">
        <v>31</v>
      </c>
      <c r="E2842" s="605">
        <f>E2843</f>
        <v>420000</v>
      </c>
      <c r="F2842" s="605">
        <f t="shared" ref="F2842:P2842" si="2095">F2843</f>
        <v>0</v>
      </c>
      <c r="G2842" s="605">
        <f t="shared" si="2095"/>
        <v>0</v>
      </c>
      <c r="H2842" s="605">
        <f t="shared" si="2095"/>
        <v>0</v>
      </c>
      <c r="I2842" s="605">
        <f t="shared" si="2095"/>
        <v>420000</v>
      </c>
      <c r="J2842" s="605">
        <f t="shared" si="2095"/>
        <v>0</v>
      </c>
      <c r="K2842" s="605">
        <f t="shared" si="2095"/>
        <v>0</v>
      </c>
      <c r="L2842" s="317">
        <f t="shared" si="2079"/>
        <v>420000</v>
      </c>
      <c r="M2842" s="317"/>
      <c r="N2842" s="372">
        <f t="shared" si="2084"/>
        <v>0</v>
      </c>
      <c r="O2842" s="605">
        <f t="shared" si="2095"/>
        <v>462000.00000000006</v>
      </c>
      <c r="P2842" s="605">
        <f t="shared" si="2095"/>
        <v>508200.00000000012</v>
      </c>
      <c r="R2842" s="317"/>
      <c r="U2842" s="320"/>
    </row>
    <row r="2843" spans="1:21" s="344" customFormat="1" outlineLevel="2">
      <c r="A2843" s="897"/>
      <c r="B2843" s="585"/>
      <c r="C2843" s="592">
        <v>2210505</v>
      </c>
      <c r="D2843" s="592" t="s">
        <v>192</v>
      </c>
      <c r="E2843" s="587">
        <v>420000</v>
      </c>
      <c r="F2843" s="594"/>
      <c r="G2843" s="594"/>
      <c r="H2843" s="594"/>
      <c r="I2843" s="324">
        <f t="shared" si="2092"/>
        <v>420000</v>
      </c>
      <c r="J2843" s="594"/>
      <c r="K2843" s="315"/>
      <c r="L2843" s="317">
        <f t="shared" si="2079"/>
        <v>420000</v>
      </c>
      <c r="M2843" s="317"/>
      <c r="N2843" s="372">
        <f t="shared" si="2084"/>
        <v>0</v>
      </c>
      <c r="O2843" s="336">
        <f t="shared" si="2060"/>
        <v>462000.00000000006</v>
      </c>
      <c r="P2843" s="940">
        <f t="shared" si="2067"/>
        <v>508200.00000000012</v>
      </c>
      <c r="R2843" s="317"/>
      <c r="U2843" s="320"/>
    </row>
    <row r="2844" spans="1:21" s="325" customFormat="1" outlineLevel="2">
      <c r="A2844" s="907"/>
      <c r="B2844" s="588"/>
      <c r="C2844" s="589">
        <v>2210600</v>
      </c>
      <c r="D2844" s="589" t="s">
        <v>154</v>
      </c>
      <c r="E2844" s="605">
        <f>E2845</f>
        <v>329826</v>
      </c>
      <c r="F2844" s="605">
        <f t="shared" ref="F2844:P2844" si="2096">F2845</f>
        <v>0</v>
      </c>
      <c r="G2844" s="605">
        <f t="shared" si="2096"/>
        <v>0</v>
      </c>
      <c r="H2844" s="605">
        <f t="shared" si="2096"/>
        <v>0</v>
      </c>
      <c r="I2844" s="605">
        <f t="shared" si="2096"/>
        <v>329826</v>
      </c>
      <c r="J2844" s="605">
        <f t="shared" si="2096"/>
        <v>0</v>
      </c>
      <c r="K2844" s="605">
        <f t="shared" si="2096"/>
        <v>-329800</v>
      </c>
      <c r="L2844" s="317">
        <f t="shared" si="2079"/>
        <v>26</v>
      </c>
      <c r="M2844" s="317"/>
      <c r="N2844" s="372">
        <f t="shared" si="2084"/>
        <v>329800</v>
      </c>
      <c r="O2844" s="605">
        <f t="shared" si="2096"/>
        <v>28.6</v>
      </c>
      <c r="P2844" s="605">
        <f t="shared" si="2096"/>
        <v>31.460000000000004</v>
      </c>
      <c r="R2844" s="317"/>
      <c r="U2844" s="320"/>
    </row>
    <row r="2845" spans="1:21" s="344" customFormat="1" outlineLevel="2">
      <c r="A2845" s="897"/>
      <c r="B2845" s="585"/>
      <c r="C2845" s="332">
        <v>2210606</v>
      </c>
      <c r="D2845" s="330" t="s">
        <v>554</v>
      </c>
      <c r="E2845" s="587">
        <v>329826</v>
      </c>
      <c r="F2845" s="389"/>
      <c r="G2845" s="389"/>
      <c r="H2845" s="389"/>
      <c r="I2845" s="324">
        <f t="shared" si="2092"/>
        <v>329826</v>
      </c>
      <c r="J2845" s="389"/>
      <c r="K2845" s="315">
        <v>-329800</v>
      </c>
      <c r="L2845" s="317">
        <f t="shared" si="2079"/>
        <v>26</v>
      </c>
      <c r="M2845" s="317"/>
      <c r="N2845" s="372">
        <f t="shared" si="2084"/>
        <v>329800</v>
      </c>
      <c r="O2845" s="336">
        <f t="shared" si="2060"/>
        <v>28.6</v>
      </c>
      <c r="P2845" s="940">
        <f t="shared" si="2067"/>
        <v>31.460000000000004</v>
      </c>
      <c r="Q2845" s="974"/>
      <c r="R2845" s="317"/>
      <c r="U2845" s="320"/>
    </row>
    <row r="2846" spans="1:21" s="731" customFormat="1" outlineLevel="3">
      <c r="A2846" s="907"/>
      <c r="B2846" s="588"/>
      <c r="C2846" s="340">
        <v>2211200</v>
      </c>
      <c r="D2846" s="338" t="s">
        <v>55</v>
      </c>
      <c r="E2846" s="605">
        <f>E2847</f>
        <v>1024972</v>
      </c>
      <c r="F2846" s="605">
        <f t="shared" ref="F2846:K2846" si="2097">F2847</f>
        <v>0</v>
      </c>
      <c r="G2846" s="605">
        <f t="shared" si="2097"/>
        <v>0</v>
      </c>
      <c r="H2846" s="605">
        <f t="shared" si="2097"/>
        <v>0</v>
      </c>
      <c r="I2846" s="605">
        <f t="shared" si="2097"/>
        <v>1024972</v>
      </c>
      <c r="J2846" s="605">
        <f t="shared" si="2097"/>
        <v>0</v>
      </c>
      <c r="K2846" s="605">
        <f t="shared" si="2097"/>
        <v>0</v>
      </c>
      <c r="L2846" s="317">
        <f t="shared" si="2079"/>
        <v>1024972</v>
      </c>
      <c r="M2846" s="317"/>
      <c r="N2846" s="372">
        <f t="shared" si="2084"/>
        <v>0</v>
      </c>
      <c r="O2846" s="605">
        <f t="shared" ref="O2846:P2846" si="2098">O2847</f>
        <v>1127469.2000000002</v>
      </c>
      <c r="P2846" s="939">
        <f t="shared" si="2098"/>
        <v>1240216.1200000003</v>
      </c>
      <c r="R2846" s="317"/>
      <c r="U2846" s="320"/>
    </row>
    <row r="2847" spans="1:21" s="344" customFormat="1" outlineLevel="3">
      <c r="A2847" s="897"/>
      <c r="B2847" s="585"/>
      <c r="C2847" s="332">
        <v>2211201</v>
      </c>
      <c r="D2847" s="330" t="s">
        <v>56</v>
      </c>
      <c r="E2847" s="587">
        <v>1024972</v>
      </c>
      <c r="F2847" s="389"/>
      <c r="G2847" s="389"/>
      <c r="H2847" s="389"/>
      <c r="I2847" s="324">
        <f t="shared" si="2092"/>
        <v>1024972</v>
      </c>
      <c r="J2847" s="389"/>
      <c r="K2847" s="315"/>
      <c r="L2847" s="317">
        <f t="shared" si="2079"/>
        <v>1024972</v>
      </c>
      <c r="M2847" s="317"/>
      <c r="N2847" s="372">
        <f t="shared" si="2084"/>
        <v>0</v>
      </c>
      <c r="O2847" s="336">
        <f t="shared" si="2060"/>
        <v>1127469.2000000002</v>
      </c>
      <c r="P2847" s="940">
        <f t="shared" si="2067"/>
        <v>1240216.1200000003</v>
      </c>
      <c r="Q2847" s="941"/>
      <c r="R2847" s="317"/>
      <c r="U2847" s="320"/>
    </row>
    <row r="2848" spans="1:21" s="325" customFormat="1" outlineLevel="3">
      <c r="A2848" s="907"/>
      <c r="B2848" s="588"/>
      <c r="C2848" s="589" t="s">
        <v>99</v>
      </c>
      <c r="D2848" s="955"/>
      <c r="E2848" s="605">
        <f>E2844+E2847+E2838+E2842</f>
        <v>3228708</v>
      </c>
      <c r="F2848" s="605">
        <f t="shared" ref="F2848:K2848" si="2099">F2844+F2847+F2838+F2842</f>
        <v>0</v>
      </c>
      <c r="G2848" s="605">
        <f t="shared" si="2099"/>
        <v>0</v>
      </c>
      <c r="H2848" s="605">
        <f t="shared" si="2099"/>
        <v>0</v>
      </c>
      <c r="I2848" s="605">
        <f t="shared" si="2099"/>
        <v>3228708</v>
      </c>
      <c r="J2848" s="605">
        <f t="shared" si="2099"/>
        <v>0</v>
      </c>
      <c r="K2848" s="605">
        <f t="shared" si="2099"/>
        <v>-329800</v>
      </c>
      <c r="L2848" s="317">
        <f t="shared" si="2079"/>
        <v>2898908</v>
      </c>
      <c r="M2848" s="317"/>
      <c r="N2848" s="372">
        <f t="shared" si="2084"/>
        <v>329800</v>
      </c>
      <c r="O2848" s="605">
        <f t="shared" ref="O2848:P2848" si="2100">O2844+O2847+O2838+O2842</f>
        <v>3188798.8000000003</v>
      </c>
      <c r="P2848" s="939">
        <f t="shared" si="2100"/>
        <v>3507678.6800000006</v>
      </c>
      <c r="R2848" s="317"/>
      <c r="U2848" s="320"/>
    </row>
    <row r="2849" spans="1:21" s="344" customFormat="1" outlineLevel="3">
      <c r="A2849" s="907"/>
      <c r="B2849" s="588"/>
      <c r="C2849" s="589"/>
      <c r="D2849" s="955"/>
      <c r="E2849" s="587"/>
      <c r="F2849" s="967"/>
      <c r="G2849" s="967"/>
      <c r="H2849" s="967"/>
      <c r="I2849" s="324">
        <f t="shared" si="2092"/>
        <v>0</v>
      </c>
      <c r="J2849" s="967"/>
      <c r="K2849" s="315"/>
      <c r="L2849" s="317">
        <f t="shared" si="2079"/>
        <v>0</v>
      </c>
      <c r="M2849" s="317"/>
      <c r="N2849" s="372">
        <f t="shared" si="2084"/>
        <v>0</v>
      </c>
      <c r="O2849" s="336">
        <f t="shared" si="2060"/>
        <v>0</v>
      </c>
      <c r="P2849" s="940">
        <f t="shared" si="2067"/>
        <v>0</v>
      </c>
      <c r="R2849" s="317"/>
      <c r="U2849" s="320"/>
    </row>
    <row r="2850" spans="1:21" s="325" customFormat="1" outlineLevel="3">
      <c r="A2850" s="907"/>
      <c r="B2850" s="588"/>
      <c r="C2850" s="589"/>
      <c r="D2850" s="955"/>
      <c r="E2850" s="587"/>
      <c r="F2850" s="967"/>
      <c r="G2850" s="967"/>
      <c r="H2850" s="967"/>
      <c r="I2850" s="324">
        <f t="shared" si="2092"/>
        <v>0</v>
      </c>
      <c r="J2850" s="967"/>
      <c r="K2850" s="315"/>
      <c r="L2850" s="317">
        <f t="shared" si="2079"/>
        <v>0</v>
      </c>
      <c r="M2850" s="317"/>
      <c r="N2850" s="372">
        <f t="shared" si="2084"/>
        <v>0</v>
      </c>
      <c r="O2850" s="336">
        <f t="shared" si="2060"/>
        <v>0</v>
      </c>
      <c r="P2850" s="940">
        <f t="shared" si="2067"/>
        <v>0</v>
      </c>
      <c r="R2850" s="317"/>
      <c r="U2850" s="320"/>
    </row>
    <row r="2851" spans="1:21" s="325" customFormat="1" outlineLevel="2">
      <c r="A2851" s="907"/>
      <c r="B2851" s="588"/>
      <c r="C2851" s="589"/>
      <c r="D2851" s="955" t="s">
        <v>92</v>
      </c>
      <c r="E2851" s="587"/>
      <c r="F2851" s="967"/>
      <c r="G2851" s="967"/>
      <c r="H2851" s="967"/>
      <c r="I2851" s="324">
        <f t="shared" si="2092"/>
        <v>0</v>
      </c>
      <c r="J2851" s="967"/>
      <c r="K2851" s="315"/>
      <c r="L2851" s="317">
        <f t="shared" si="2079"/>
        <v>0</v>
      </c>
      <c r="M2851" s="317"/>
      <c r="N2851" s="372">
        <f t="shared" si="2084"/>
        <v>0</v>
      </c>
      <c r="O2851" s="336">
        <f t="shared" si="2060"/>
        <v>0</v>
      </c>
      <c r="P2851" s="940">
        <f t="shared" si="2067"/>
        <v>0</v>
      </c>
      <c r="R2851" s="317"/>
      <c r="U2851" s="320"/>
    </row>
    <row r="2852" spans="1:21" s="325" customFormat="1" outlineLevel="2">
      <c r="A2852" s="907"/>
      <c r="B2852" s="588"/>
      <c r="C2852" s="770">
        <v>2630200</v>
      </c>
      <c r="D2852" s="338" t="s">
        <v>534</v>
      </c>
      <c r="E2852" s="605">
        <f>E2853</f>
        <v>114279</v>
      </c>
      <c r="F2852" s="605">
        <f t="shared" ref="F2852:K2852" si="2101">F2853</f>
        <v>0</v>
      </c>
      <c r="G2852" s="605">
        <f t="shared" si="2101"/>
        <v>0</v>
      </c>
      <c r="H2852" s="605">
        <f t="shared" si="2101"/>
        <v>0</v>
      </c>
      <c r="I2852" s="605">
        <f t="shared" si="2101"/>
        <v>114279</v>
      </c>
      <c r="J2852" s="605">
        <f t="shared" si="2101"/>
        <v>-114279</v>
      </c>
      <c r="K2852" s="605">
        <f t="shared" si="2101"/>
        <v>0</v>
      </c>
      <c r="L2852" s="317">
        <f t="shared" si="2079"/>
        <v>0</v>
      </c>
      <c r="M2852" s="317"/>
      <c r="N2852" s="372">
        <f t="shared" si="2084"/>
        <v>0</v>
      </c>
      <c r="O2852" s="605">
        <f t="shared" ref="O2852:P2852" si="2102">O2853</f>
        <v>0</v>
      </c>
      <c r="P2852" s="939">
        <f t="shared" si="2102"/>
        <v>0</v>
      </c>
      <c r="R2852" s="317"/>
      <c r="U2852" s="320"/>
    </row>
    <row r="2853" spans="1:21" s="325" customFormat="1" outlineLevel="2">
      <c r="A2853" s="897"/>
      <c r="B2853" s="585"/>
      <c r="C2853" s="773">
        <v>2630203</v>
      </c>
      <c r="D2853" s="330" t="s">
        <v>1833</v>
      </c>
      <c r="E2853" s="587">
        <v>114279</v>
      </c>
      <c r="F2853" s="389"/>
      <c r="G2853" s="389"/>
      <c r="H2853" s="389"/>
      <c r="I2853" s="324">
        <f t="shared" si="2092"/>
        <v>114279</v>
      </c>
      <c r="J2853" s="389">
        <v>-114279</v>
      </c>
      <c r="K2853" s="315"/>
      <c r="L2853" s="317">
        <f t="shared" si="2079"/>
        <v>0</v>
      </c>
      <c r="M2853" s="317"/>
      <c r="N2853" s="372">
        <f t="shared" si="2084"/>
        <v>0</v>
      </c>
      <c r="O2853" s="336">
        <f t="shared" si="2060"/>
        <v>0</v>
      </c>
      <c r="P2853" s="940">
        <f t="shared" si="2067"/>
        <v>0</v>
      </c>
      <c r="R2853" s="317"/>
      <c r="U2853" s="320" t="s">
        <v>1803</v>
      </c>
    </row>
    <row r="2854" spans="1:21" s="325" customFormat="1" outlineLevel="2">
      <c r="A2854" s="658"/>
      <c r="B2854" s="983"/>
      <c r="C2854" s="680">
        <v>3110200</v>
      </c>
      <c r="D2854" s="376" t="s">
        <v>1738</v>
      </c>
      <c r="E2854" s="984">
        <f>E2855</f>
        <v>6566008</v>
      </c>
      <c r="F2854" s="984">
        <f t="shared" ref="F2854:P2854" si="2103">F2855</f>
        <v>0</v>
      </c>
      <c r="G2854" s="984">
        <f t="shared" si="2103"/>
        <v>0</v>
      </c>
      <c r="H2854" s="984">
        <f t="shared" si="2103"/>
        <v>0</v>
      </c>
      <c r="I2854" s="984">
        <f t="shared" si="2103"/>
        <v>6566008</v>
      </c>
      <c r="J2854" s="984">
        <f t="shared" si="2103"/>
        <v>-6000000</v>
      </c>
      <c r="K2854" s="984">
        <f t="shared" si="2103"/>
        <v>0</v>
      </c>
      <c r="L2854" s="317">
        <f t="shared" si="2079"/>
        <v>566008</v>
      </c>
      <c r="M2854" s="2212"/>
      <c r="N2854" s="372">
        <f t="shared" si="2084"/>
        <v>0</v>
      </c>
      <c r="O2854" s="984">
        <f t="shared" si="2103"/>
        <v>622608.80000000005</v>
      </c>
      <c r="P2854" s="984">
        <f t="shared" si="2103"/>
        <v>684869.68</v>
      </c>
      <c r="R2854" s="317"/>
      <c r="U2854" s="320"/>
    </row>
    <row r="2855" spans="1:21" s="985" customFormat="1" outlineLevel="1">
      <c r="A2855" s="981"/>
      <c r="B2855" s="942"/>
      <c r="C2855" s="986">
        <v>3110299</v>
      </c>
      <c r="D2855" s="987" t="s">
        <v>1846</v>
      </c>
      <c r="E2855" s="944">
        <f>6000000+566008</f>
        <v>6566008</v>
      </c>
      <c r="F2855" s="988"/>
      <c r="G2855" s="944">
        <v>0</v>
      </c>
      <c r="H2855" s="988">
        <v>0</v>
      </c>
      <c r="I2855" s="370">
        <f t="shared" si="2092"/>
        <v>6566008</v>
      </c>
      <c r="J2855" s="988">
        <v>-6000000</v>
      </c>
      <c r="K2855" s="989"/>
      <c r="L2855" s="372">
        <f t="shared" si="2079"/>
        <v>566008</v>
      </c>
      <c r="M2855" s="372"/>
      <c r="N2855" s="372">
        <f t="shared" si="2084"/>
        <v>0</v>
      </c>
      <c r="O2855" s="373">
        <f t="shared" ref="O2855:O2919" si="2104">L2855*1.1</f>
        <v>622608.80000000005</v>
      </c>
      <c r="P2855" s="947">
        <f t="shared" si="2067"/>
        <v>684869.68</v>
      </c>
      <c r="Q2855" s="948"/>
      <c r="R2855" s="372"/>
      <c r="U2855" s="320" t="s">
        <v>1803</v>
      </c>
    </row>
    <row r="2856" spans="1:21" s="969" customFormat="1" outlineLevel="1">
      <c r="A2856" s="990"/>
      <c r="B2856" s="991"/>
      <c r="C2856" s="992">
        <v>3111400</v>
      </c>
      <c r="D2856" s="358" t="s">
        <v>254</v>
      </c>
      <c r="E2856" s="993">
        <f>E2857+E2858</f>
        <v>1000000</v>
      </c>
      <c r="F2856" s="993">
        <f t="shared" ref="F2856:K2856" si="2105">F2857+F2858</f>
        <v>0</v>
      </c>
      <c r="G2856" s="993">
        <f t="shared" si="2105"/>
        <v>0</v>
      </c>
      <c r="H2856" s="993">
        <f t="shared" si="2105"/>
        <v>0</v>
      </c>
      <c r="I2856" s="993">
        <f t="shared" si="2105"/>
        <v>1000000</v>
      </c>
      <c r="J2856" s="993">
        <f t="shared" si="2105"/>
        <v>0</v>
      </c>
      <c r="K2856" s="993">
        <f t="shared" si="2105"/>
        <v>0</v>
      </c>
      <c r="L2856" s="317">
        <f t="shared" si="2079"/>
        <v>1000000</v>
      </c>
      <c r="M2856" s="2211"/>
      <c r="N2856" s="372">
        <f t="shared" si="2084"/>
        <v>0</v>
      </c>
      <c r="O2856" s="993">
        <f t="shared" ref="O2856:P2856" si="2106">O2857+O2858</f>
        <v>1100000</v>
      </c>
      <c r="P2856" s="994">
        <f t="shared" si="2106"/>
        <v>1210000</v>
      </c>
      <c r="R2856" s="317"/>
      <c r="U2856" s="320"/>
    </row>
    <row r="2857" spans="1:21" s="969" customFormat="1" outlineLevel="1">
      <c r="A2857" s="897"/>
      <c r="B2857" s="585"/>
      <c r="C2857" s="332">
        <v>3111401</v>
      </c>
      <c r="D2857" s="330" t="s">
        <v>1471</v>
      </c>
      <c r="E2857" s="587">
        <v>500000</v>
      </c>
      <c r="F2857" s="389"/>
      <c r="G2857" s="389"/>
      <c r="H2857" s="389"/>
      <c r="I2857" s="324">
        <f t="shared" si="2092"/>
        <v>500000</v>
      </c>
      <c r="J2857" s="389"/>
      <c r="K2857" s="315"/>
      <c r="L2857" s="317">
        <f t="shared" si="2079"/>
        <v>500000</v>
      </c>
      <c r="M2857" s="317"/>
      <c r="N2857" s="372">
        <f t="shared" si="2084"/>
        <v>0</v>
      </c>
      <c r="O2857" s="336">
        <f t="shared" si="2104"/>
        <v>550000</v>
      </c>
      <c r="P2857" s="940">
        <f t="shared" si="2067"/>
        <v>605000</v>
      </c>
      <c r="R2857" s="317"/>
      <c r="U2857" s="320"/>
    </row>
    <row r="2858" spans="1:21" s="344" customFormat="1" outlineLevel="1">
      <c r="A2858" s="979"/>
      <c r="B2858" s="596"/>
      <c r="C2858" s="995">
        <v>3111403</v>
      </c>
      <c r="D2858" s="345" t="s">
        <v>1472</v>
      </c>
      <c r="E2858" s="587">
        <v>500000</v>
      </c>
      <c r="F2858" s="406"/>
      <c r="G2858" s="406"/>
      <c r="H2858" s="406"/>
      <c r="I2858" s="324">
        <f t="shared" si="2092"/>
        <v>500000</v>
      </c>
      <c r="J2858" s="406"/>
      <c r="K2858" s="315"/>
      <c r="L2858" s="317">
        <f t="shared" si="2079"/>
        <v>500000</v>
      </c>
      <c r="M2858" s="317"/>
      <c r="N2858" s="372">
        <f t="shared" si="2084"/>
        <v>0</v>
      </c>
      <c r="O2858" s="336">
        <f t="shared" si="2104"/>
        <v>550000</v>
      </c>
      <c r="P2858" s="940">
        <f t="shared" si="2067"/>
        <v>605000</v>
      </c>
      <c r="R2858" s="317"/>
      <c r="U2858" s="320"/>
    </row>
    <row r="2859" spans="1:21" s="446" customFormat="1" outlineLevel="1" collapsed="1">
      <c r="A2859" s="977"/>
      <c r="B2859" s="977"/>
      <c r="C2859" s="340" t="s">
        <v>175</v>
      </c>
      <c r="D2859" s="338"/>
      <c r="E2859" s="605">
        <f>E2856+E2852+E2854</f>
        <v>7680287</v>
      </c>
      <c r="F2859" s="605">
        <f t="shared" ref="F2859:K2859" si="2107">F2856+F2852+F2854</f>
        <v>0</v>
      </c>
      <c r="G2859" s="605">
        <f t="shared" si="2107"/>
        <v>0</v>
      </c>
      <c r="H2859" s="605">
        <f t="shared" si="2107"/>
        <v>0</v>
      </c>
      <c r="I2859" s="605">
        <f t="shared" si="2107"/>
        <v>7680287</v>
      </c>
      <c r="J2859" s="605">
        <f t="shared" si="2107"/>
        <v>-6114279</v>
      </c>
      <c r="K2859" s="605">
        <f t="shared" si="2107"/>
        <v>0</v>
      </c>
      <c r="L2859" s="317">
        <f t="shared" si="2079"/>
        <v>1566008</v>
      </c>
      <c r="M2859" s="317"/>
      <c r="N2859" s="372">
        <f t="shared" si="2084"/>
        <v>0</v>
      </c>
      <c r="O2859" s="605">
        <f t="shared" ref="O2859:P2859" si="2108">O2856+O2852+O2854</f>
        <v>1722608.8</v>
      </c>
      <c r="P2859" s="939">
        <f t="shared" si="2108"/>
        <v>1894869.6800000002</v>
      </c>
      <c r="R2859" s="317"/>
      <c r="U2859" s="320"/>
    </row>
    <row r="2860" spans="1:21" s="446" customFormat="1" outlineLevel="1">
      <c r="A2860" s="977"/>
      <c r="B2860" s="977"/>
      <c r="C2860" s="340" t="s">
        <v>84</v>
      </c>
      <c r="D2860" s="338"/>
      <c r="E2860" s="605">
        <f>E2859+E2848</f>
        <v>10908995</v>
      </c>
      <c r="F2860" s="605">
        <f t="shared" ref="F2860:K2860" si="2109">F2859+F2848</f>
        <v>0</v>
      </c>
      <c r="G2860" s="605">
        <f t="shared" si="2109"/>
        <v>0</v>
      </c>
      <c r="H2860" s="605">
        <f t="shared" si="2109"/>
        <v>0</v>
      </c>
      <c r="I2860" s="605">
        <f t="shared" si="2109"/>
        <v>10908995</v>
      </c>
      <c r="J2860" s="605">
        <f t="shared" si="2109"/>
        <v>-6114279</v>
      </c>
      <c r="K2860" s="605">
        <f t="shared" si="2109"/>
        <v>-329800</v>
      </c>
      <c r="L2860" s="317">
        <f t="shared" si="2079"/>
        <v>4464916</v>
      </c>
      <c r="M2860" s="317"/>
      <c r="N2860" s="372">
        <f t="shared" si="2084"/>
        <v>329800</v>
      </c>
      <c r="O2860" s="605">
        <f t="shared" ref="O2860:P2860" si="2110">O2859+O2848</f>
        <v>4911407.6000000006</v>
      </c>
      <c r="P2860" s="939">
        <f t="shared" si="2110"/>
        <v>5402548.3600000013</v>
      </c>
      <c r="R2860" s="317"/>
      <c r="U2860" s="320"/>
    </row>
    <row r="2861" spans="1:21" s="446" customFormat="1">
      <c r="A2861" s="977"/>
      <c r="B2861" s="977"/>
      <c r="C2861" s="439"/>
      <c r="D2861" s="314" t="s">
        <v>99</v>
      </c>
      <c r="E2861" s="619">
        <f t="shared" ref="E2861:P2861" si="2111">E2848+E2833+E2789+E2771+E2748+E2720+E2698+E2672+E2646+E2631+E2612+E2580</f>
        <v>126041343.99999999</v>
      </c>
      <c r="F2861" s="619">
        <f t="shared" ref="F2861:L2861" si="2112">F2848+F2833+F2789+F2771+F2748+F2720+F2698+F2672+F2646+F2631+F2612+F2580</f>
        <v>0</v>
      </c>
      <c r="G2861" s="619">
        <f t="shared" si="2112"/>
        <v>0</v>
      </c>
      <c r="H2861" s="619">
        <f t="shared" si="2112"/>
        <v>0</v>
      </c>
      <c r="I2861" s="619">
        <f t="shared" si="2112"/>
        <v>126041343.99999999</v>
      </c>
      <c r="J2861" s="619">
        <f t="shared" si="2112"/>
        <v>-5364483</v>
      </c>
      <c r="K2861" s="619">
        <f t="shared" si="2112"/>
        <v>0</v>
      </c>
      <c r="L2861" s="619">
        <f t="shared" si="2112"/>
        <v>120676860.99999999</v>
      </c>
      <c r="M2861" s="619"/>
      <c r="N2861" s="372">
        <f t="shared" si="2084"/>
        <v>0</v>
      </c>
      <c r="O2861" s="619">
        <f t="shared" si="2111"/>
        <v>132744547.10000001</v>
      </c>
      <c r="P2861" s="619">
        <f t="shared" si="2111"/>
        <v>145949294.92000002</v>
      </c>
      <c r="R2861" s="619"/>
      <c r="U2861" s="698"/>
    </row>
    <row r="2862" spans="1:21">
      <c r="A2862" s="977"/>
      <c r="B2862" s="977"/>
      <c r="C2862" s="439"/>
      <c r="D2862" s="314" t="s">
        <v>175</v>
      </c>
      <c r="E2862" s="619">
        <f t="shared" ref="E2862:P2862" si="2113">E2859+E2794+E2776+E2757+E2725+E2681+E2652+E2616</f>
        <v>173509734</v>
      </c>
      <c r="F2862" s="619">
        <f t="shared" ref="F2862:L2862" si="2114">F2859+F2794+F2776+F2757+F2725+F2681+F2652+F2616</f>
        <v>194820346.19567719</v>
      </c>
      <c r="G2862" s="619">
        <f t="shared" si="2114"/>
        <v>-5433992</v>
      </c>
      <c r="H2862" s="619">
        <f t="shared" si="2114"/>
        <v>8433992</v>
      </c>
      <c r="I2862" s="619">
        <f t="shared" si="2114"/>
        <v>371330080.19567716</v>
      </c>
      <c r="J2862" s="619">
        <f t="shared" si="2114"/>
        <v>-6614279</v>
      </c>
      <c r="K2862" s="619">
        <f t="shared" si="2114"/>
        <v>0</v>
      </c>
      <c r="L2862" s="619">
        <f t="shared" si="2114"/>
        <v>364715801.19567716</v>
      </c>
      <c r="M2862" s="619"/>
      <c r="N2862" s="372">
        <f t="shared" si="2084"/>
        <v>0</v>
      </c>
      <c r="O2862" s="619">
        <f t="shared" si="2113"/>
        <v>401187381.31524497</v>
      </c>
      <c r="P2862" s="619">
        <f t="shared" si="2113"/>
        <v>209907567.11676943</v>
      </c>
      <c r="R2862" s="619"/>
      <c r="U2862" s="698"/>
    </row>
    <row r="2863" spans="1:21">
      <c r="A2863" s="977"/>
      <c r="B2863" s="977"/>
      <c r="C2863" s="572" t="s">
        <v>1272</v>
      </c>
      <c r="D2863" s="573"/>
      <c r="E2863" s="619">
        <f>E2862+E2861</f>
        <v>299551078</v>
      </c>
      <c r="F2863" s="619">
        <f t="shared" ref="F2863:L2863" si="2115">F2862+F2861</f>
        <v>194820346.19567719</v>
      </c>
      <c r="G2863" s="619">
        <f t="shared" si="2115"/>
        <v>-5433992</v>
      </c>
      <c r="H2863" s="619">
        <f t="shared" si="2115"/>
        <v>8433992</v>
      </c>
      <c r="I2863" s="619">
        <f t="shared" si="2115"/>
        <v>497371424.19567716</v>
      </c>
      <c r="J2863" s="619">
        <f t="shared" si="2115"/>
        <v>-11978762</v>
      </c>
      <c r="K2863" s="619">
        <f t="shared" si="2115"/>
        <v>0</v>
      </c>
      <c r="L2863" s="619">
        <f t="shared" si="2115"/>
        <v>485392662.19567716</v>
      </c>
      <c r="M2863" s="619"/>
      <c r="N2863" s="372">
        <f t="shared" si="2084"/>
        <v>0</v>
      </c>
      <c r="O2863" s="619">
        <f t="shared" ref="O2863:P2863" si="2116">O2862+O2861</f>
        <v>533931928.415245</v>
      </c>
      <c r="P2863" s="619">
        <f t="shared" si="2116"/>
        <v>355856862.03676945</v>
      </c>
      <c r="R2863" s="619"/>
      <c r="U2863" s="698" t="s">
        <v>1803</v>
      </c>
    </row>
    <row r="2864" spans="1:21">
      <c r="A2864" s="977"/>
      <c r="B2864" s="977"/>
      <c r="C2864" s="314"/>
      <c r="D2864" s="574"/>
      <c r="E2864" s="619"/>
      <c r="F2864" s="576"/>
      <c r="G2864" s="576"/>
      <c r="H2864" s="576"/>
      <c r="I2864" s="324">
        <f t="shared" si="2092"/>
        <v>0</v>
      </c>
      <c r="J2864" s="576"/>
      <c r="K2864" s="576"/>
      <c r="L2864" s="317"/>
      <c r="M2864" s="317"/>
      <c r="N2864" s="372">
        <f t="shared" si="2084"/>
        <v>0</v>
      </c>
      <c r="O2864" s="336">
        <f t="shared" si="2104"/>
        <v>0</v>
      </c>
      <c r="P2864" s="319"/>
      <c r="Q2864" s="303">
        <v>11864483</v>
      </c>
      <c r="R2864" s="317">
        <f>Q2864+J2863+K2863</f>
        <v>-114279</v>
      </c>
      <c r="U2864" s="320"/>
    </row>
    <row r="2865" spans="1:21">
      <c r="A2865" s="996"/>
      <c r="B2865" s="996"/>
      <c r="C2865" s="578"/>
      <c r="D2865" s="579"/>
      <c r="E2865" s="997"/>
      <c r="F2865" s="581"/>
      <c r="G2865" s="581"/>
      <c r="H2865" s="581"/>
      <c r="I2865" s="324">
        <f t="shared" si="2092"/>
        <v>0</v>
      </c>
      <c r="J2865" s="581"/>
      <c r="K2865" s="581"/>
      <c r="L2865" s="317"/>
      <c r="M2865" s="317"/>
      <c r="N2865" s="372">
        <f t="shared" si="2084"/>
        <v>0</v>
      </c>
      <c r="O2865" s="336">
        <f t="shared" si="2104"/>
        <v>0</v>
      </c>
      <c r="P2865" s="319"/>
      <c r="R2865" s="317">
        <v>114279</v>
      </c>
      <c r="U2865" s="320"/>
    </row>
    <row r="2866" spans="1:21">
      <c r="A2866" s="313"/>
      <c r="B2866" s="313"/>
      <c r="C2866" s="314" t="s">
        <v>1256</v>
      </c>
      <c r="D2866" s="447"/>
      <c r="E2866" s="438"/>
      <c r="F2866" s="438"/>
      <c r="G2866" s="438"/>
      <c r="H2866" s="438"/>
      <c r="I2866" s="324">
        <f t="shared" si="2092"/>
        <v>0</v>
      </c>
      <c r="J2866" s="438"/>
      <c r="K2866" s="438"/>
      <c r="L2866" s="317"/>
      <c r="M2866" s="317"/>
      <c r="N2866" s="372">
        <f t="shared" si="2084"/>
        <v>0</v>
      </c>
      <c r="O2866" s="336">
        <f t="shared" si="2104"/>
        <v>0</v>
      </c>
      <c r="P2866" s="319"/>
      <c r="R2866" s="317">
        <f>R2864-R2865</f>
        <v>-228558</v>
      </c>
      <c r="U2866" s="320" t="s">
        <v>1803</v>
      </c>
    </row>
    <row r="2867" spans="1:21" outlineLevel="1">
      <c r="A2867" s="391" t="s">
        <v>178</v>
      </c>
      <c r="B2867" s="998"/>
      <c r="C2867" s="992" t="s">
        <v>555</v>
      </c>
      <c r="D2867" s="358"/>
      <c r="E2867" s="767"/>
      <c r="F2867" s="999"/>
      <c r="G2867" s="999"/>
      <c r="H2867" s="999"/>
      <c r="I2867" s="324">
        <f t="shared" si="2092"/>
        <v>0</v>
      </c>
      <c r="J2867" s="999"/>
      <c r="K2867" s="999"/>
      <c r="L2867" s="317">
        <f t="shared" si="2079"/>
        <v>0</v>
      </c>
      <c r="M2867" s="317"/>
      <c r="N2867" s="372">
        <f t="shared" si="2084"/>
        <v>0</v>
      </c>
      <c r="O2867" s="336">
        <f t="shared" si="2104"/>
        <v>0</v>
      </c>
      <c r="P2867" s="319">
        <f t="shared" ref="P2867:P2887" si="2117">O2867*1.1</f>
        <v>0</v>
      </c>
      <c r="R2867" s="317"/>
      <c r="U2867" s="320"/>
    </row>
    <row r="2868" spans="1:21" outlineLevel="1">
      <c r="A2868" s="611"/>
      <c r="B2868" s="611" t="s">
        <v>146</v>
      </c>
      <c r="C2868" s="340" t="s">
        <v>556</v>
      </c>
      <c r="D2868" s="338"/>
      <c r="E2868" s="389"/>
      <c r="F2868" s="397"/>
      <c r="G2868" s="397"/>
      <c r="H2868" s="397"/>
      <c r="I2868" s="324">
        <f t="shared" si="2092"/>
        <v>0</v>
      </c>
      <c r="J2868" s="397"/>
      <c r="K2868" s="397"/>
      <c r="L2868" s="317">
        <f t="shared" si="2079"/>
        <v>0</v>
      </c>
      <c r="M2868" s="317"/>
      <c r="N2868" s="372">
        <f t="shared" si="2084"/>
        <v>0</v>
      </c>
      <c r="O2868" s="336">
        <f t="shared" si="2104"/>
        <v>0</v>
      </c>
      <c r="P2868" s="319">
        <f t="shared" si="2117"/>
        <v>0</v>
      </c>
      <c r="R2868" s="317"/>
      <c r="U2868" s="320"/>
    </row>
    <row r="2869" spans="1:21" outlineLevel="2">
      <c r="A2869" s="338"/>
      <c r="B2869" s="612"/>
      <c r="C2869" s="340">
        <v>2110100</v>
      </c>
      <c r="D2869" s="338" t="s">
        <v>205</v>
      </c>
      <c r="E2869" s="397">
        <f>SUM(E2870)</f>
        <v>69159768</v>
      </c>
      <c r="F2869" s="397">
        <f t="shared" ref="F2869:P2869" si="2118">SUM(F2870)</f>
        <v>0</v>
      </c>
      <c r="G2869" s="397">
        <f t="shared" si="2118"/>
        <v>0</v>
      </c>
      <c r="H2869" s="397">
        <f t="shared" si="2118"/>
        <v>0</v>
      </c>
      <c r="I2869" s="397">
        <f t="shared" si="2118"/>
        <v>69159768</v>
      </c>
      <c r="J2869" s="397">
        <f t="shared" si="2118"/>
        <v>0</v>
      </c>
      <c r="K2869" s="397">
        <f t="shared" si="2118"/>
        <v>0</v>
      </c>
      <c r="L2869" s="317">
        <f t="shared" si="2079"/>
        <v>69159768</v>
      </c>
      <c r="M2869" s="317"/>
      <c r="N2869" s="372">
        <f t="shared" si="2084"/>
        <v>0</v>
      </c>
      <c r="O2869" s="397">
        <f t="shared" si="2118"/>
        <v>76075744.800000012</v>
      </c>
      <c r="P2869" s="397">
        <f t="shared" si="2118"/>
        <v>83683319.280000016</v>
      </c>
      <c r="R2869" s="317"/>
      <c r="U2869" s="320"/>
    </row>
    <row r="2870" spans="1:21" outlineLevel="2">
      <c r="A2870" s="611"/>
      <c r="B2870" s="611"/>
      <c r="C2870" s="332">
        <v>2110101</v>
      </c>
      <c r="D2870" s="330" t="s">
        <v>206</v>
      </c>
      <c r="E2870" s="389">
        <v>69159768</v>
      </c>
      <c r="F2870" s="389"/>
      <c r="G2870" s="389"/>
      <c r="H2870" s="389"/>
      <c r="I2870" s="324">
        <f t="shared" si="2092"/>
        <v>69159768</v>
      </c>
      <c r="J2870" s="389"/>
      <c r="K2870" s="389"/>
      <c r="L2870" s="317">
        <f t="shared" si="2079"/>
        <v>69159768</v>
      </c>
      <c r="M2870" s="317"/>
      <c r="N2870" s="372">
        <f t="shared" si="2084"/>
        <v>0</v>
      </c>
      <c r="O2870" s="336">
        <f t="shared" si="2104"/>
        <v>76075744.800000012</v>
      </c>
      <c r="P2870" s="319">
        <f t="shared" si="2117"/>
        <v>83683319.280000016</v>
      </c>
      <c r="R2870" s="317"/>
      <c r="U2870" s="320"/>
    </row>
    <row r="2871" spans="1:21" outlineLevel="2">
      <c r="A2871" s="612"/>
      <c r="B2871" s="612"/>
      <c r="C2871" s="340">
        <v>2210100</v>
      </c>
      <c r="D2871" s="338" t="s">
        <v>207</v>
      </c>
      <c r="E2871" s="397">
        <f>SUM(E2872:E2873)</f>
        <v>116000</v>
      </c>
      <c r="F2871" s="397">
        <f t="shared" ref="F2871:P2871" si="2119">SUM(F2872:F2873)</f>
        <v>0</v>
      </c>
      <c r="G2871" s="397">
        <f t="shared" si="2119"/>
        <v>0</v>
      </c>
      <c r="H2871" s="397">
        <f t="shared" si="2119"/>
        <v>0</v>
      </c>
      <c r="I2871" s="397">
        <f t="shared" si="2119"/>
        <v>116000</v>
      </c>
      <c r="J2871" s="397">
        <f t="shared" si="2119"/>
        <v>0</v>
      </c>
      <c r="K2871" s="397">
        <f t="shared" si="2119"/>
        <v>-64551</v>
      </c>
      <c r="L2871" s="317">
        <f t="shared" si="2079"/>
        <v>51449</v>
      </c>
      <c r="M2871" s="317"/>
      <c r="N2871" s="372">
        <f t="shared" si="2084"/>
        <v>64551</v>
      </c>
      <c r="O2871" s="397">
        <f t="shared" si="2119"/>
        <v>56593.9</v>
      </c>
      <c r="P2871" s="397">
        <f t="shared" si="2119"/>
        <v>62253.290000000008</v>
      </c>
      <c r="R2871" s="317"/>
      <c r="U2871" s="320"/>
    </row>
    <row r="2872" spans="1:21" outlineLevel="2">
      <c r="A2872" s="611"/>
      <c r="B2872" s="611"/>
      <c r="C2872" s="332">
        <v>2210101</v>
      </c>
      <c r="D2872" s="330" t="s">
        <v>17</v>
      </c>
      <c r="E2872" s="389">
        <v>87000</v>
      </c>
      <c r="F2872" s="389"/>
      <c r="G2872" s="389"/>
      <c r="H2872" s="389"/>
      <c r="I2872" s="324">
        <f t="shared" si="2092"/>
        <v>87000</v>
      </c>
      <c r="J2872" s="389"/>
      <c r="K2872" s="389">
        <v>-49520</v>
      </c>
      <c r="L2872" s="317">
        <f t="shared" si="2079"/>
        <v>37480</v>
      </c>
      <c r="M2872" s="317"/>
      <c r="N2872" s="372">
        <f t="shared" si="2084"/>
        <v>49520</v>
      </c>
      <c r="O2872" s="336">
        <f t="shared" si="2104"/>
        <v>41228</v>
      </c>
      <c r="P2872" s="319">
        <f t="shared" si="2117"/>
        <v>45350.8</v>
      </c>
      <c r="Q2872" s="303" t="s">
        <v>2528</v>
      </c>
      <c r="R2872" s="317"/>
      <c r="U2872" s="320"/>
    </row>
    <row r="2873" spans="1:21" outlineLevel="2">
      <c r="A2873" s="611"/>
      <c r="B2873" s="611"/>
      <c r="C2873" s="332">
        <v>2210102</v>
      </c>
      <c r="D2873" s="330" t="s">
        <v>18</v>
      </c>
      <c r="E2873" s="389">
        <v>29000</v>
      </c>
      <c r="F2873" s="389"/>
      <c r="G2873" s="389"/>
      <c r="H2873" s="389"/>
      <c r="I2873" s="324">
        <f t="shared" si="2092"/>
        <v>29000</v>
      </c>
      <c r="J2873" s="389"/>
      <c r="K2873" s="389">
        <v>-15031</v>
      </c>
      <c r="L2873" s="317">
        <f t="shared" si="2079"/>
        <v>13969</v>
      </c>
      <c r="M2873" s="317"/>
      <c r="N2873" s="372">
        <f t="shared" si="2084"/>
        <v>15031</v>
      </c>
      <c r="O2873" s="336">
        <f t="shared" si="2104"/>
        <v>15365.900000000001</v>
      </c>
      <c r="P2873" s="319">
        <f t="shared" si="2117"/>
        <v>16902.490000000002</v>
      </c>
      <c r="Q2873" s="303" t="s">
        <v>2528</v>
      </c>
      <c r="R2873" s="317"/>
      <c r="U2873" s="320"/>
    </row>
    <row r="2874" spans="1:21" outlineLevel="2">
      <c r="A2874" s="612"/>
      <c r="B2874" s="612"/>
      <c r="C2874" s="340">
        <v>2210200</v>
      </c>
      <c r="D2874" s="338" t="s">
        <v>20</v>
      </c>
      <c r="E2874" s="397">
        <f>SUM(E2875:E2876)</f>
        <v>75400</v>
      </c>
      <c r="F2874" s="397">
        <f t="shared" ref="F2874:P2874" si="2120">SUM(F2875:F2876)</f>
        <v>0</v>
      </c>
      <c r="G2874" s="397">
        <f t="shared" si="2120"/>
        <v>0</v>
      </c>
      <c r="H2874" s="397">
        <f t="shared" si="2120"/>
        <v>0</v>
      </c>
      <c r="I2874" s="397">
        <f t="shared" si="2120"/>
        <v>75400</v>
      </c>
      <c r="J2874" s="397">
        <f t="shared" si="2120"/>
        <v>0</v>
      </c>
      <c r="K2874" s="397">
        <f t="shared" si="2120"/>
        <v>221400</v>
      </c>
      <c r="L2874" s="317">
        <f t="shared" si="2079"/>
        <v>296800</v>
      </c>
      <c r="M2874" s="317"/>
      <c r="N2874" s="372">
        <f t="shared" si="2084"/>
        <v>-221400</v>
      </c>
      <c r="O2874" s="397">
        <f t="shared" si="2120"/>
        <v>326480</v>
      </c>
      <c r="P2874" s="397">
        <f t="shared" si="2120"/>
        <v>359128</v>
      </c>
      <c r="R2874" s="317"/>
      <c r="U2874" s="320"/>
    </row>
    <row r="2875" spans="1:21" outlineLevel="2">
      <c r="A2875" s="611"/>
      <c r="B2875" s="611"/>
      <c r="C2875" s="332">
        <v>2210201</v>
      </c>
      <c r="D2875" s="330" t="s">
        <v>187</v>
      </c>
      <c r="E2875" s="389">
        <v>58000</v>
      </c>
      <c r="F2875" s="389"/>
      <c r="G2875" s="389"/>
      <c r="H2875" s="389"/>
      <c r="I2875" s="324">
        <f t="shared" si="2092"/>
        <v>58000</v>
      </c>
      <c r="J2875" s="389"/>
      <c r="K2875" s="389">
        <f>85000+36400+100000</f>
        <v>221400</v>
      </c>
      <c r="L2875" s="317">
        <f t="shared" si="2079"/>
        <v>279400</v>
      </c>
      <c r="M2875" s="317"/>
      <c r="N2875" s="372">
        <f t="shared" si="2084"/>
        <v>-221400</v>
      </c>
      <c r="O2875" s="336">
        <f t="shared" si="2104"/>
        <v>307340</v>
      </c>
      <c r="P2875" s="319">
        <f t="shared" si="2117"/>
        <v>338074</v>
      </c>
      <c r="Q2875" s="303" t="s">
        <v>2529</v>
      </c>
      <c r="R2875" s="317"/>
      <c r="U2875" s="320"/>
    </row>
    <row r="2876" spans="1:21" outlineLevel="2">
      <c r="A2876" s="611"/>
      <c r="B2876" s="611"/>
      <c r="C2876" s="332">
        <v>2210203</v>
      </c>
      <c r="D2876" s="330" t="s">
        <v>557</v>
      </c>
      <c r="E2876" s="389">
        <v>17400</v>
      </c>
      <c r="F2876" s="389"/>
      <c r="G2876" s="389"/>
      <c r="H2876" s="389"/>
      <c r="I2876" s="324">
        <f t="shared" si="2092"/>
        <v>17400</v>
      </c>
      <c r="J2876" s="389"/>
      <c r="K2876" s="389"/>
      <c r="L2876" s="317">
        <f t="shared" si="2079"/>
        <v>17400</v>
      </c>
      <c r="M2876" s="317"/>
      <c r="N2876" s="372">
        <f t="shared" si="2084"/>
        <v>0</v>
      </c>
      <c r="O2876" s="336">
        <f t="shared" si="2104"/>
        <v>19140</v>
      </c>
      <c r="P2876" s="319">
        <f t="shared" si="2117"/>
        <v>21054</v>
      </c>
      <c r="R2876" s="317"/>
      <c r="U2876" s="320"/>
    </row>
    <row r="2877" spans="1:21" outlineLevel="2">
      <c r="A2877" s="612"/>
      <c r="B2877" s="612"/>
      <c r="C2877" s="340">
        <v>2210300</v>
      </c>
      <c r="D2877" s="338" t="s">
        <v>24</v>
      </c>
      <c r="E2877" s="397">
        <f>SUM(E2878:E2881)</f>
        <v>704352.14</v>
      </c>
      <c r="F2877" s="397">
        <f t="shared" ref="F2877:P2877" si="2121">SUM(F2878:F2881)</f>
        <v>0</v>
      </c>
      <c r="G2877" s="397">
        <f t="shared" si="2121"/>
        <v>0</v>
      </c>
      <c r="H2877" s="397">
        <f t="shared" si="2121"/>
        <v>0</v>
      </c>
      <c r="I2877" s="397">
        <f t="shared" si="2121"/>
        <v>704352.14</v>
      </c>
      <c r="J2877" s="397">
        <f t="shared" si="2121"/>
        <v>3422403</v>
      </c>
      <c r="K2877" s="397">
        <f t="shared" si="2121"/>
        <v>300474</v>
      </c>
      <c r="L2877" s="317">
        <f t="shared" si="2079"/>
        <v>4427229.1400000006</v>
      </c>
      <c r="M2877" s="317"/>
      <c r="N2877" s="372">
        <f t="shared" si="2084"/>
        <v>-300474</v>
      </c>
      <c r="O2877" s="397">
        <f t="shared" si="2121"/>
        <v>4869952.0540000005</v>
      </c>
      <c r="P2877" s="397">
        <f t="shared" si="2121"/>
        <v>4955045.7594000008</v>
      </c>
      <c r="R2877" s="317"/>
      <c r="U2877" s="320"/>
    </row>
    <row r="2878" spans="1:21" outlineLevel="2">
      <c r="A2878" s="611"/>
      <c r="B2878" s="611"/>
      <c r="C2878" s="332">
        <v>2210301</v>
      </c>
      <c r="D2878" s="330" t="s">
        <v>188</v>
      </c>
      <c r="E2878" s="389">
        <v>263352.14</v>
      </c>
      <c r="F2878" s="389"/>
      <c r="G2878" s="389"/>
      <c r="H2878" s="389"/>
      <c r="I2878" s="324">
        <f t="shared" si="2092"/>
        <v>263352.14</v>
      </c>
      <c r="J2878" s="389">
        <v>3422403</v>
      </c>
      <c r="K2878" s="389">
        <v>-31676</v>
      </c>
      <c r="L2878" s="317">
        <f t="shared" si="2079"/>
        <v>3654079.14</v>
      </c>
      <c r="M2878" s="317"/>
      <c r="N2878" s="372">
        <f t="shared" si="2084"/>
        <v>31676</v>
      </c>
      <c r="O2878" s="336">
        <f t="shared" si="2104"/>
        <v>4019487.0540000005</v>
      </c>
      <c r="P2878" s="319">
        <f t="shared" si="2117"/>
        <v>4421435.7594000008</v>
      </c>
      <c r="Q2878" s="303" t="s">
        <v>2530</v>
      </c>
      <c r="R2878" s="317"/>
      <c r="U2878" s="320" t="s">
        <v>1803</v>
      </c>
    </row>
    <row r="2879" spans="1:21" outlineLevel="2">
      <c r="A2879" s="611"/>
      <c r="B2879" s="611"/>
      <c r="C2879" s="332">
        <v>2210302</v>
      </c>
      <c r="D2879" s="330" t="s">
        <v>26</v>
      </c>
      <c r="E2879" s="389">
        <v>235000</v>
      </c>
      <c r="F2879" s="389"/>
      <c r="G2879" s="389"/>
      <c r="H2879" s="389"/>
      <c r="I2879" s="324">
        <f t="shared" si="2092"/>
        <v>235000</v>
      </c>
      <c r="J2879" s="389"/>
      <c r="K2879" s="389"/>
      <c r="L2879" s="317">
        <f t="shared" si="2079"/>
        <v>235000</v>
      </c>
      <c r="M2879" s="317"/>
      <c r="N2879" s="372">
        <f t="shared" si="2084"/>
        <v>0</v>
      </c>
      <c r="O2879" s="336">
        <f t="shared" si="2104"/>
        <v>258500.00000000003</v>
      </c>
      <c r="P2879" s="319">
        <f t="shared" si="2117"/>
        <v>284350.00000000006</v>
      </c>
      <c r="R2879" s="317"/>
      <c r="U2879" s="320"/>
    </row>
    <row r="2880" spans="1:21" outlineLevel="2">
      <c r="A2880" s="611"/>
      <c r="B2880" s="611"/>
      <c r="C2880" s="332">
        <v>2210303</v>
      </c>
      <c r="D2880" s="330" t="s">
        <v>558</v>
      </c>
      <c r="E2880" s="389">
        <v>206000</v>
      </c>
      <c r="F2880" s="389"/>
      <c r="G2880" s="389"/>
      <c r="H2880" s="389"/>
      <c r="I2880" s="324">
        <f t="shared" si="2092"/>
        <v>206000</v>
      </c>
      <c r="J2880" s="389"/>
      <c r="K2880" s="389"/>
      <c r="L2880" s="317">
        <f t="shared" si="2079"/>
        <v>206000</v>
      </c>
      <c r="M2880" s="317"/>
      <c r="N2880" s="372">
        <f t="shared" si="2084"/>
        <v>0</v>
      </c>
      <c r="O2880" s="336">
        <f t="shared" si="2104"/>
        <v>226600.00000000003</v>
      </c>
      <c r="P2880" s="319">
        <f t="shared" si="2117"/>
        <v>249260.00000000006</v>
      </c>
      <c r="R2880" s="317"/>
      <c r="U2880" s="320"/>
    </row>
    <row r="2881" spans="1:21" outlineLevel="2">
      <c r="A2881" s="1000"/>
      <c r="B2881" s="1000"/>
      <c r="C2881" s="1001">
        <v>2210304</v>
      </c>
      <c r="D2881" s="1002" t="s">
        <v>559</v>
      </c>
      <c r="E2881" s="1003"/>
      <c r="F2881" s="1003">
        <v>0</v>
      </c>
      <c r="G2881" s="1003"/>
      <c r="H2881" s="1003"/>
      <c r="I2881" s="324">
        <f t="shared" si="2092"/>
        <v>0</v>
      </c>
      <c r="J2881" s="1003"/>
      <c r="K2881" s="1003">
        <f>332150</f>
        <v>332150</v>
      </c>
      <c r="L2881" s="317">
        <f t="shared" si="2079"/>
        <v>332150</v>
      </c>
      <c r="M2881" s="317"/>
      <c r="N2881" s="372">
        <f t="shared" si="2084"/>
        <v>-332150</v>
      </c>
      <c r="O2881" s="336">
        <f t="shared" si="2104"/>
        <v>365365.00000000006</v>
      </c>
      <c r="P2881" s="1004"/>
      <c r="Q2881" s="303" t="s">
        <v>2531</v>
      </c>
      <c r="R2881" s="317"/>
      <c r="U2881" s="320"/>
    </row>
    <row r="2882" spans="1:21" outlineLevel="2">
      <c r="A2882" s="612"/>
      <c r="B2882" s="612"/>
      <c r="C2882" s="340">
        <v>2210400</v>
      </c>
      <c r="D2882" s="338" t="s">
        <v>189</v>
      </c>
      <c r="E2882" s="397">
        <f>SUM(E2883:E2885)</f>
        <v>361100</v>
      </c>
      <c r="F2882" s="397">
        <f t="shared" ref="F2882:P2882" si="2122">SUM(F2883:F2885)</f>
        <v>0</v>
      </c>
      <c r="G2882" s="397">
        <f t="shared" si="2122"/>
        <v>0</v>
      </c>
      <c r="H2882" s="397">
        <f t="shared" si="2122"/>
        <v>0</v>
      </c>
      <c r="I2882" s="397">
        <f t="shared" si="2122"/>
        <v>361100</v>
      </c>
      <c r="J2882" s="397">
        <f t="shared" si="2122"/>
        <v>0</v>
      </c>
      <c r="K2882" s="397">
        <f t="shared" si="2122"/>
        <v>-361100</v>
      </c>
      <c r="L2882" s="317">
        <f t="shared" si="2079"/>
        <v>0</v>
      </c>
      <c r="M2882" s="317"/>
      <c r="N2882" s="372">
        <f t="shared" si="2084"/>
        <v>361100</v>
      </c>
      <c r="O2882" s="397">
        <f t="shared" si="2122"/>
        <v>0</v>
      </c>
      <c r="P2882" s="397">
        <f t="shared" si="2122"/>
        <v>0</v>
      </c>
      <c r="R2882" s="317"/>
      <c r="U2882" s="320"/>
    </row>
    <row r="2883" spans="1:21" outlineLevel="2">
      <c r="A2883" s="611"/>
      <c r="B2883" s="611"/>
      <c r="C2883" s="332">
        <v>2210401</v>
      </c>
      <c r="D2883" s="330" t="s">
        <v>190</v>
      </c>
      <c r="E2883" s="389">
        <v>132000</v>
      </c>
      <c r="F2883" s="389"/>
      <c r="G2883" s="389"/>
      <c r="H2883" s="389"/>
      <c r="I2883" s="324">
        <f t="shared" si="2092"/>
        <v>132000</v>
      </c>
      <c r="J2883" s="389"/>
      <c r="K2883" s="389">
        <v>-132000</v>
      </c>
      <c r="L2883" s="317">
        <f t="shared" si="2079"/>
        <v>0</v>
      </c>
      <c r="M2883" s="317"/>
      <c r="N2883" s="372">
        <f t="shared" si="2084"/>
        <v>132000</v>
      </c>
      <c r="O2883" s="336">
        <f t="shared" si="2104"/>
        <v>0</v>
      </c>
      <c r="P2883" s="319">
        <f t="shared" si="2117"/>
        <v>0</v>
      </c>
      <c r="Q2883" s="303" t="s">
        <v>2532</v>
      </c>
      <c r="R2883" s="317"/>
      <c r="U2883" s="320"/>
    </row>
    <row r="2884" spans="1:21" outlineLevel="2">
      <c r="A2884" s="611"/>
      <c r="B2884" s="611"/>
      <c r="C2884" s="332">
        <v>2210402</v>
      </c>
      <c r="D2884" s="330" t="s">
        <v>191</v>
      </c>
      <c r="E2884" s="389">
        <v>174000</v>
      </c>
      <c r="F2884" s="389"/>
      <c r="G2884" s="389"/>
      <c r="H2884" s="389"/>
      <c r="I2884" s="324">
        <f t="shared" si="2092"/>
        <v>174000</v>
      </c>
      <c r="J2884" s="389"/>
      <c r="K2884" s="389">
        <v>-174000</v>
      </c>
      <c r="L2884" s="317">
        <f t="shared" si="2079"/>
        <v>0</v>
      </c>
      <c r="M2884" s="317"/>
      <c r="N2884" s="372">
        <f t="shared" si="2084"/>
        <v>174000</v>
      </c>
      <c r="O2884" s="336">
        <f t="shared" si="2104"/>
        <v>0</v>
      </c>
      <c r="P2884" s="319">
        <f t="shared" si="2117"/>
        <v>0</v>
      </c>
      <c r="Q2884" s="303" t="s">
        <v>2532</v>
      </c>
      <c r="R2884" s="317"/>
      <c r="U2884" s="320"/>
    </row>
    <row r="2885" spans="1:21" outlineLevel="2">
      <c r="A2885" s="611"/>
      <c r="B2885" s="611"/>
      <c r="C2885" s="332">
        <v>2210404</v>
      </c>
      <c r="D2885" s="330" t="s">
        <v>559</v>
      </c>
      <c r="E2885" s="389">
        <v>55100</v>
      </c>
      <c r="F2885" s="389"/>
      <c r="G2885" s="389"/>
      <c r="H2885" s="389"/>
      <c r="I2885" s="324">
        <f t="shared" si="2092"/>
        <v>55100</v>
      </c>
      <c r="J2885" s="389"/>
      <c r="K2885" s="389">
        <v>-55100</v>
      </c>
      <c r="L2885" s="317">
        <f t="shared" ref="L2885:L2948" si="2123">I2885+J2885+K2885</f>
        <v>0</v>
      </c>
      <c r="M2885" s="317"/>
      <c r="N2885" s="372">
        <f t="shared" si="2084"/>
        <v>55100</v>
      </c>
      <c r="O2885" s="336">
        <f t="shared" si="2104"/>
        <v>0</v>
      </c>
      <c r="P2885" s="319">
        <f t="shared" si="2117"/>
        <v>0</v>
      </c>
      <c r="Q2885" s="303" t="s">
        <v>2533</v>
      </c>
      <c r="R2885" s="317"/>
      <c r="U2885" s="320"/>
    </row>
    <row r="2886" spans="1:21" outlineLevel="2">
      <c r="A2886" s="612"/>
      <c r="B2886" s="612"/>
      <c r="C2886" s="340">
        <v>2210500</v>
      </c>
      <c r="D2886" s="1005" t="s">
        <v>560</v>
      </c>
      <c r="E2886" s="397">
        <f>SUM(E2887:E2889)</f>
        <v>1595000</v>
      </c>
      <c r="F2886" s="397">
        <f t="shared" ref="F2886:K2886" si="2124">SUM(F2887:F2889)</f>
        <v>0</v>
      </c>
      <c r="G2886" s="397">
        <f t="shared" si="2124"/>
        <v>0</v>
      </c>
      <c r="H2886" s="397">
        <f t="shared" si="2124"/>
        <v>0</v>
      </c>
      <c r="I2886" s="397">
        <f t="shared" si="2124"/>
        <v>1595000</v>
      </c>
      <c r="J2886" s="397">
        <f t="shared" si="2124"/>
        <v>0</v>
      </c>
      <c r="K2886" s="397">
        <f t="shared" si="2124"/>
        <v>-185000</v>
      </c>
      <c r="L2886" s="317">
        <f t="shared" si="2123"/>
        <v>1410000</v>
      </c>
      <c r="M2886" s="317"/>
      <c r="N2886" s="372">
        <f t="shared" si="2084"/>
        <v>185000</v>
      </c>
      <c r="O2886" s="397">
        <f t="shared" ref="O2886:P2886" si="2125">SUM(O2887:O2889)</f>
        <v>1551000</v>
      </c>
      <c r="P2886" s="397">
        <f t="shared" si="2125"/>
        <v>1706100.0000000002</v>
      </c>
      <c r="R2886" s="317"/>
      <c r="U2886" s="320"/>
    </row>
    <row r="2887" spans="1:21" outlineLevel="2">
      <c r="A2887" s="611"/>
      <c r="B2887" s="611"/>
      <c r="C2887" s="332">
        <v>2210503</v>
      </c>
      <c r="D2887" s="908" t="s">
        <v>561</v>
      </c>
      <c r="E2887" s="389">
        <v>145000</v>
      </c>
      <c r="F2887" s="389"/>
      <c r="G2887" s="389"/>
      <c r="H2887" s="389"/>
      <c r="I2887" s="324">
        <f t="shared" si="2092"/>
        <v>145000</v>
      </c>
      <c r="J2887" s="389"/>
      <c r="K2887" s="389">
        <v>-85000</v>
      </c>
      <c r="L2887" s="317">
        <f t="shared" si="2123"/>
        <v>60000</v>
      </c>
      <c r="M2887" s="317"/>
      <c r="N2887" s="372">
        <f t="shared" si="2084"/>
        <v>85000</v>
      </c>
      <c r="O2887" s="336">
        <f t="shared" si="2104"/>
        <v>66000</v>
      </c>
      <c r="P2887" s="319">
        <f t="shared" si="2117"/>
        <v>72600</v>
      </c>
      <c r="Q2887" s="303" t="s">
        <v>2534</v>
      </c>
      <c r="R2887" s="317"/>
      <c r="U2887" s="320"/>
    </row>
    <row r="2888" spans="1:21" outlineLevel="2">
      <c r="A2888" s="611"/>
      <c r="B2888" s="611"/>
      <c r="C2888" s="332">
        <v>2210505</v>
      </c>
      <c r="D2888" s="908" t="s">
        <v>562</v>
      </c>
      <c r="E2888" s="389">
        <f>1550000-250000</f>
        <v>1300000</v>
      </c>
      <c r="F2888" s="389"/>
      <c r="G2888" s="389"/>
      <c r="H2888" s="389"/>
      <c r="I2888" s="324">
        <f t="shared" si="2092"/>
        <v>1300000</v>
      </c>
      <c r="J2888" s="389"/>
      <c r="K2888" s="389"/>
      <c r="L2888" s="317">
        <f t="shared" si="2123"/>
        <v>1300000</v>
      </c>
      <c r="M2888" s="317"/>
      <c r="N2888" s="372">
        <f t="shared" si="2084"/>
        <v>0</v>
      </c>
      <c r="O2888" s="336">
        <f t="shared" si="2104"/>
        <v>1430000</v>
      </c>
      <c r="P2888" s="319">
        <f t="shared" ref="P2888:P2908" si="2126">O2888*1.1</f>
        <v>1573000.0000000002</v>
      </c>
      <c r="R2888" s="317"/>
      <c r="U2888" s="320"/>
    </row>
    <row r="2889" spans="1:21" outlineLevel="2">
      <c r="A2889" s="611"/>
      <c r="B2889" s="611"/>
      <c r="C2889" s="332">
        <v>2210599</v>
      </c>
      <c r="D2889" s="908" t="s">
        <v>563</v>
      </c>
      <c r="E2889" s="389">
        <v>150000</v>
      </c>
      <c r="F2889" s="389"/>
      <c r="G2889" s="389"/>
      <c r="H2889" s="389"/>
      <c r="I2889" s="324">
        <f t="shared" si="2092"/>
        <v>150000</v>
      </c>
      <c r="J2889" s="389"/>
      <c r="K2889" s="389">
        <v>-100000</v>
      </c>
      <c r="L2889" s="317">
        <f t="shared" si="2123"/>
        <v>50000</v>
      </c>
      <c r="M2889" s="317"/>
      <c r="N2889" s="372">
        <f t="shared" ref="N2889:N2952" si="2127">M2889-K2889</f>
        <v>100000</v>
      </c>
      <c r="O2889" s="336">
        <f t="shared" si="2104"/>
        <v>55000.000000000007</v>
      </c>
      <c r="P2889" s="319">
        <f t="shared" si="2126"/>
        <v>60500.000000000015</v>
      </c>
      <c r="Q2889" s="303" t="s">
        <v>2534</v>
      </c>
      <c r="R2889" s="317"/>
      <c r="U2889" s="320"/>
    </row>
    <row r="2890" spans="1:21" outlineLevel="2">
      <c r="A2890" s="612"/>
      <c r="B2890" s="612"/>
      <c r="C2890" s="340">
        <v>2210700</v>
      </c>
      <c r="D2890" s="1006" t="s">
        <v>35</v>
      </c>
      <c r="E2890" s="397">
        <f>SUM(E2891:E2894)</f>
        <v>514000</v>
      </c>
      <c r="F2890" s="397">
        <f t="shared" ref="F2890:K2890" si="2128">SUM(F2891:F2894)</f>
        <v>0</v>
      </c>
      <c r="G2890" s="397">
        <f t="shared" si="2128"/>
        <v>0</v>
      </c>
      <c r="H2890" s="397">
        <f t="shared" si="2128"/>
        <v>0</v>
      </c>
      <c r="I2890" s="397">
        <f t="shared" si="2128"/>
        <v>514000</v>
      </c>
      <c r="J2890" s="397">
        <f t="shared" si="2128"/>
        <v>0</v>
      </c>
      <c r="K2890" s="397">
        <f t="shared" si="2128"/>
        <v>0</v>
      </c>
      <c r="L2890" s="317">
        <f t="shared" si="2123"/>
        <v>514000</v>
      </c>
      <c r="M2890" s="317"/>
      <c r="N2890" s="372">
        <f t="shared" si="2127"/>
        <v>0</v>
      </c>
      <c r="O2890" s="397">
        <f t="shared" ref="O2890:P2890" si="2129">SUM(O2891:O2894)</f>
        <v>565400</v>
      </c>
      <c r="P2890" s="397">
        <f t="shared" si="2129"/>
        <v>621940.00000000012</v>
      </c>
      <c r="R2890" s="317"/>
      <c r="U2890" s="320"/>
    </row>
    <row r="2891" spans="1:21" outlineLevel="2">
      <c r="A2891" s="611"/>
      <c r="B2891" s="611"/>
      <c r="C2891" s="332">
        <v>2210701</v>
      </c>
      <c r="D2891" s="1007" t="s">
        <v>36</v>
      </c>
      <c r="E2891" s="389">
        <v>153000</v>
      </c>
      <c r="F2891" s="389"/>
      <c r="G2891" s="389"/>
      <c r="H2891" s="389"/>
      <c r="I2891" s="324">
        <f t="shared" si="2092"/>
        <v>153000</v>
      </c>
      <c r="J2891" s="389"/>
      <c r="K2891" s="389"/>
      <c r="L2891" s="317">
        <f t="shared" si="2123"/>
        <v>153000</v>
      </c>
      <c r="M2891" s="317"/>
      <c r="N2891" s="372">
        <f t="shared" si="2127"/>
        <v>0</v>
      </c>
      <c r="O2891" s="336">
        <f t="shared" si="2104"/>
        <v>168300</v>
      </c>
      <c r="P2891" s="319">
        <f t="shared" si="2126"/>
        <v>185130.00000000003</v>
      </c>
      <c r="R2891" s="317"/>
      <c r="U2891" s="320"/>
    </row>
    <row r="2892" spans="1:21" outlineLevel="2">
      <c r="A2892" s="611"/>
      <c r="B2892" s="611"/>
      <c r="C2892" s="332">
        <v>2210710</v>
      </c>
      <c r="D2892" s="1007" t="s">
        <v>39</v>
      </c>
      <c r="E2892" s="389">
        <v>104000</v>
      </c>
      <c r="F2892" s="389"/>
      <c r="G2892" s="389"/>
      <c r="H2892" s="389"/>
      <c r="I2892" s="324">
        <f t="shared" si="2092"/>
        <v>104000</v>
      </c>
      <c r="J2892" s="389"/>
      <c r="K2892" s="389">
        <v>-52000</v>
      </c>
      <c r="L2892" s="317">
        <f t="shared" si="2123"/>
        <v>52000</v>
      </c>
      <c r="M2892" s="317"/>
      <c r="N2892" s="372">
        <f t="shared" si="2127"/>
        <v>52000</v>
      </c>
      <c r="O2892" s="336">
        <f t="shared" si="2104"/>
        <v>57200.000000000007</v>
      </c>
      <c r="P2892" s="319">
        <f t="shared" si="2126"/>
        <v>62920.000000000015</v>
      </c>
      <c r="Q2892" s="303" t="s">
        <v>2552</v>
      </c>
      <c r="R2892" s="317"/>
      <c r="U2892" s="320"/>
    </row>
    <row r="2893" spans="1:21" outlineLevel="2">
      <c r="A2893" s="611"/>
      <c r="B2893" s="611"/>
      <c r="C2893" s="332">
        <v>2210715</v>
      </c>
      <c r="D2893" s="1007" t="s">
        <v>40</v>
      </c>
      <c r="E2893" s="389">
        <v>153000</v>
      </c>
      <c r="F2893" s="389"/>
      <c r="G2893" s="389"/>
      <c r="H2893" s="389"/>
      <c r="I2893" s="324">
        <f t="shared" si="2092"/>
        <v>153000</v>
      </c>
      <c r="J2893" s="389"/>
      <c r="K2893" s="389"/>
      <c r="L2893" s="317">
        <f t="shared" si="2123"/>
        <v>153000</v>
      </c>
      <c r="M2893" s="317"/>
      <c r="N2893" s="372">
        <f t="shared" si="2127"/>
        <v>0</v>
      </c>
      <c r="O2893" s="336">
        <f t="shared" si="2104"/>
        <v>168300</v>
      </c>
      <c r="P2893" s="319">
        <f t="shared" si="2126"/>
        <v>185130.00000000003</v>
      </c>
      <c r="R2893" s="317"/>
      <c r="U2893" s="320"/>
    </row>
    <row r="2894" spans="1:21" outlineLevel="2">
      <c r="A2894" s="611"/>
      <c r="B2894" s="611"/>
      <c r="C2894" s="332">
        <v>2210799</v>
      </c>
      <c r="D2894" s="1007" t="s">
        <v>564</v>
      </c>
      <c r="E2894" s="389">
        <v>104000</v>
      </c>
      <c r="F2894" s="389"/>
      <c r="G2894" s="389"/>
      <c r="H2894" s="389"/>
      <c r="I2894" s="324">
        <f t="shared" si="2092"/>
        <v>104000</v>
      </c>
      <c r="J2894" s="389"/>
      <c r="K2894" s="389">
        <f>52000</f>
        <v>52000</v>
      </c>
      <c r="L2894" s="317">
        <f t="shared" si="2123"/>
        <v>156000</v>
      </c>
      <c r="M2894" s="317"/>
      <c r="N2894" s="372">
        <f t="shared" si="2127"/>
        <v>-52000</v>
      </c>
      <c r="O2894" s="336">
        <f t="shared" si="2104"/>
        <v>171600</v>
      </c>
      <c r="P2894" s="319">
        <f t="shared" si="2126"/>
        <v>188760.00000000003</v>
      </c>
      <c r="Q2894" s="303" t="s">
        <v>2553</v>
      </c>
      <c r="R2894" s="317"/>
      <c r="U2894" s="320"/>
    </row>
    <row r="2895" spans="1:21" outlineLevel="2">
      <c r="A2895" s="612"/>
      <c r="B2895" s="612"/>
      <c r="C2895" s="340">
        <v>2210800</v>
      </c>
      <c r="D2895" s="338" t="s">
        <v>42</v>
      </c>
      <c r="E2895" s="397">
        <f>SUM(E2896:E2897)</f>
        <v>472000</v>
      </c>
      <c r="F2895" s="397">
        <f t="shared" ref="F2895:K2895" si="2130">SUM(F2896:F2897)</f>
        <v>0</v>
      </c>
      <c r="G2895" s="397">
        <f t="shared" si="2130"/>
        <v>0</v>
      </c>
      <c r="H2895" s="397">
        <f t="shared" si="2130"/>
        <v>0</v>
      </c>
      <c r="I2895" s="397">
        <f t="shared" si="2130"/>
        <v>472000</v>
      </c>
      <c r="J2895" s="397">
        <f t="shared" si="2130"/>
        <v>0</v>
      </c>
      <c r="K2895" s="397">
        <f t="shared" si="2130"/>
        <v>60626</v>
      </c>
      <c r="L2895" s="317">
        <f t="shared" si="2123"/>
        <v>532626</v>
      </c>
      <c r="M2895" s="317"/>
      <c r="N2895" s="372">
        <f t="shared" si="2127"/>
        <v>-60626</v>
      </c>
      <c r="O2895" s="397">
        <f t="shared" ref="O2895:P2895" si="2131">SUM(O2896:O2897)</f>
        <v>585888.60000000009</v>
      </c>
      <c r="P2895" s="397">
        <f t="shared" si="2131"/>
        <v>644477.4600000002</v>
      </c>
      <c r="R2895" s="317"/>
      <c r="U2895" s="320"/>
    </row>
    <row r="2896" spans="1:21" outlineLevel="2">
      <c r="A2896" s="611"/>
      <c r="B2896" s="611"/>
      <c r="C2896" s="332">
        <v>2210801</v>
      </c>
      <c r="D2896" s="330" t="s">
        <v>2421</v>
      </c>
      <c r="E2896" s="389">
        <v>290000</v>
      </c>
      <c r="F2896" s="389"/>
      <c r="G2896" s="389"/>
      <c r="H2896" s="389"/>
      <c r="I2896" s="324">
        <f t="shared" si="2092"/>
        <v>290000</v>
      </c>
      <c r="J2896" s="389"/>
      <c r="K2896" s="389">
        <v>60626</v>
      </c>
      <c r="L2896" s="317">
        <f t="shared" si="2123"/>
        <v>350626</v>
      </c>
      <c r="M2896" s="317"/>
      <c r="N2896" s="372">
        <f t="shared" si="2127"/>
        <v>-60626</v>
      </c>
      <c r="O2896" s="336">
        <f t="shared" si="2104"/>
        <v>385688.60000000003</v>
      </c>
      <c r="P2896" s="319">
        <f t="shared" si="2126"/>
        <v>424257.46000000008</v>
      </c>
      <c r="Q2896" s="303" t="s">
        <v>2535</v>
      </c>
      <c r="R2896" s="317"/>
      <c r="U2896" s="320"/>
    </row>
    <row r="2897" spans="1:21" outlineLevel="2">
      <c r="A2897" s="611"/>
      <c r="B2897" s="611"/>
      <c r="C2897" s="332">
        <v>2210802</v>
      </c>
      <c r="D2897" s="330" t="s">
        <v>565</v>
      </c>
      <c r="E2897" s="389">
        <v>182000</v>
      </c>
      <c r="F2897" s="389"/>
      <c r="G2897" s="389"/>
      <c r="H2897" s="389"/>
      <c r="I2897" s="324">
        <f t="shared" si="2092"/>
        <v>182000</v>
      </c>
      <c r="J2897" s="389"/>
      <c r="K2897" s="389"/>
      <c r="L2897" s="317">
        <f t="shared" si="2123"/>
        <v>182000</v>
      </c>
      <c r="M2897" s="317"/>
      <c r="N2897" s="372">
        <f t="shared" si="2127"/>
        <v>0</v>
      </c>
      <c r="O2897" s="336">
        <f t="shared" si="2104"/>
        <v>200200.00000000003</v>
      </c>
      <c r="P2897" s="319">
        <f t="shared" si="2126"/>
        <v>220220.00000000006</v>
      </c>
      <c r="R2897" s="317"/>
      <c r="U2897" s="320"/>
    </row>
    <row r="2898" spans="1:21" outlineLevel="2">
      <c r="A2898" s="612"/>
      <c r="B2898" s="612"/>
      <c r="C2898" s="340">
        <v>2211100</v>
      </c>
      <c r="D2898" s="338" t="s">
        <v>51</v>
      </c>
      <c r="E2898" s="397">
        <f>SUM(E2899:E2900)</f>
        <v>228400</v>
      </c>
      <c r="F2898" s="397">
        <f t="shared" ref="F2898:K2898" si="2132">SUM(F2899:F2900)</f>
        <v>0</v>
      </c>
      <c r="G2898" s="397">
        <f t="shared" si="2132"/>
        <v>0</v>
      </c>
      <c r="H2898" s="397">
        <f t="shared" si="2132"/>
        <v>0</v>
      </c>
      <c r="I2898" s="397">
        <f t="shared" si="2132"/>
        <v>228400</v>
      </c>
      <c r="J2898" s="397">
        <f t="shared" si="2132"/>
        <v>0</v>
      </c>
      <c r="K2898" s="397">
        <f t="shared" si="2132"/>
        <v>0</v>
      </c>
      <c r="L2898" s="317">
        <f t="shared" si="2123"/>
        <v>228400</v>
      </c>
      <c r="M2898" s="317"/>
      <c r="N2898" s="372">
        <f t="shared" si="2127"/>
        <v>0</v>
      </c>
      <c r="O2898" s="397">
        <f t="shared" ref="O2898:P2898" si="2133">SUM(O2899:O2900)</f>
        <v>251240</v>
      </c>
      <c r="P2898" s="397">
        <f t="shared" si="2133"/>
        <v>276364</v>
      </c>
      <c r="R2898" s="317"/>
      <c r="U2898" s="320"/>
    </row>
    <row r="2899" spans="1:21" outlineLevel="2">
      <c r="A2899" s="611"/>
      <c r="B2899" s="611"/>
      <c r="C2899" s="332">
        <v>2211101</v>
      </c>
      <c r="D2899" s="330" t="s">
        <v>197</v>
      </c>
      <c r="E2899" s="389">
        <v>145000</v>
      </c>
      <c r="F2899" s="1003">
        <v>0</v>
      </c>
      <c r="G2899" s="389"/>
      <c r="H2899" s="389"/>
      <c r="I2899" s="324">
        <f t="shared" si="2092"/>
        <v>145000</v>
      </c>
      <c r="J2899" s="389"/>
      <c r="K2899" s="389"/>
      <c r="L2899" s="317">
        <f t="shared" si="2123"/>
        <v>145000</v>
      </c>
      <c r="M2899" s="317"/>
      <c r="N2899" s="372">
        <f t="shared" si="2127"/>
        <v>0</v>
      </c>
      <c r="O2899" s="336">
        <f t="shared" si="2104"/>
        <v>159500</v>
      </c>
      <c r="P2899" s="319">
        <f t="shared" si="2126"/>
        <v>175450</v>
      </c>
      <c r="R2899" s="317"/>
      <c r="U2899" s="320"/>
    </row>
    <row r="2900" spans="1:21" outlineLevel="2">
      <c r="A2900" s="611"/>
      <c r="B2900" s="611"/>
      <c r="C2900" s="332">
        <v>2211102</v>
      </c>
      <c r="D2900" s="330" t="s">
        <v>213</v>
      </c>
      <c r="E2900" s="389">
        <v>83400</v>
      </c>
      <c r="F2900" s="389"/>
      <c r="G2900" s="389"/>
      <c r="H2900" s="389"/>
      <c r="I2900" s="324">
        <f t="shared" ref="I2900:I2965" si="2134">E2900+F2900+G2900+H2900</f>
        <v>83400</v>
      </c>
      <c r="J2900" s="389"/>
      <c r="K2900" s="389"/>
      <c r="L2900" s="317">
        <f t="shared" si="2123"/>
        <v>83400</v>
      </c>
      <c r="M2900" s="317"/>
      <c r="N2900" s="372">
        <f t="shared" si="2127"/>
        <v>0</v>
      </c>
      <c r="O2900" s="336">
        <f t="shared" si="2104"/>
        <v>91740.000000000015</v>
      </c>
      <c r="P2900" s="319">
        <f t="shared" si="2126"/>
        <v>100914.00000000003</v>
      </c>
      <c r="R2900" s="317"/>
      <c r="U2900" s="320"/>
    </row>
    <row r="2901" spans="1:21" outlineLevel="2">
      <c r="A2901" s="612"/>
      <c r="B2901" s="612"/>
      <c r="C2901" s="340">
        <v>2211200</v>
      </c>
      <c r="D2901" s="338" t="s">
        <v>55</v>
      </c>
      <c r="E2901" s="397">
        <f>SUM(E2902:E2902)</f>
        <v>618565</v>
      </c>
      <c r="F2901" s="397">
        <f t="shared" ref="F2901:K2901" si="2135">SUM(F2902:F2902)</f>
        <v>0</v>
      </c>
      <c r="G2901" s="397">
        <f t="shared" si="2135"/>
        <v>0</v>
      </c>
      <c r="H2901" s="397">
        <f t="shared" si="2135"/>
        <v>0</v>
      </c>
      <c r="I2901" s="397">
        <f t="shared" si="2135"/>
        <v>618565</v>
      </c>
      <c r="J2901" s="397">
        <f t="shared" si="2135"/>
        <v>0</v>
      </c>
      <c r="K2901" s="397">
        <f t="shared" si="2135"/>
        <v>122551</v>
      </c>
      <c r="L2901" s="317">
        <f t="shared" si="2123"/>
        <v>741116</v>
      </c>
      <c r="M2901" s="317"/>
      <c r="N2901" s="372">
        <f t="shared" si="2127"/>
        <v>-122551</v>
      </c>
      <c r="O2901" s="397">
        <f t="shared" ref="O2901:P2901" si="2136">SUM(O2902:O2902)</f>
        <v>815227.60000000009</v>
      </c>
      <c r="P2901" s="397">
        <f t="shared" si="2136"/>
        <v>896750.36000000022</v>
      </c>
      <c r="R2901" s="317"/>
      <c r="U2901" s="320"/>
    </row>
    <row r="2902" spans="1:21" outlineLevel="2">
      <c r="A2902" s="611"/>
      <c r="B2902" s="611"/>
      <c r="C2902" s="332">
        <v>2211201</v>
      </c>
      <c r="D2902" s="330" t="s">
        <v>56</v>
      </c>
      <c r="E2902" s="389">
        <v>618565</v>
      </c>
      <c r="F2902" s="389"/>
      <c r="G2902" s="389"/>
      <c r="H2902" s="389"/>
      <c r="I2902" s="324">
        <f t="shared" si="2134"/>
        <v>618565</v>
      </c>
      <c r="J2902" s="389"/>
      <c r="K2902" s="389">
        <f>29000+49520+15031+29000</f>
        <v>122551</v>
      </c>
      <c r="L2902" s="317">
        <f t="shared" si="2123"/>
        <v>741116</v>
      </c>
      <c r="M2902" s="317"/>
      <c r="N2902" s="372">
        <f t="shared" si="2127"/>
        <v>-122551</v>
      </c>
      <c r="O2902" s="336">
        <f t="shared" si="2104"/>
        <v>815227.60000000009</v>
      </c>
      <c r="P2902" s="319">
        <f t="shared" si="2126"/>
        <v>896750.36000000022</v>
      </c>
      <c r="Q2902" s="303" t="s">
        <v>2536</v>
      </c>
      <c r="R2902" s="317"/>
      <c r="U2902" s="320"/>
    </row>
    <row r="2903" spans="1:21" outlineLevel="2">
      <c r="A2903" s="611"/>
      <c r="B2903" s="611"/>
      <c r="C2903" s="707">
        <v>2211300</v>
      </c>
      <c r="D2903" s="737" t="s">
        <v>57</v>
      </c>
      <c r="E2903" s="389"/>
      <c r="F2903" s="397">
        <f>F2904</f>
        <v>0</v>
      </c>
      <c r="G2903" s="397">
        <f t="shared" ref="G2903:P2903" si="2137">G2904</f>
        <v>0</v>
      </c>
      <c r="H2903" s="397">
        <f t="shared" si="2137"/>
        <v>0</v>
      </c>
      <c r="I2903" s="397">
        <f>F2903+G2903+H2903</f>
        <v>0</v>
      </c>
      <c r="J2903" s="472">
        <f t="shared" ref="J2903:K2903" si="2138">SUM(J2904:J2904)</f>
        <v>0</v>
      </c>
      <c r="K2903" s="472">
        <f t="shared" si="2138"/>
        <v>650000</v>
      </c>
      <c r="L2903" s="317">
        <f t="shared" si="2123"/>
        <v>650000</v>
      </c>
      <c r="M2903" s="317"/>
      <c r="N2903" s="372">
        <f t="shared" si="2127"/>
        <v>-650000</v>
      </c>
      <c r="O2903" s="389">
        <f t="shared" si="2137"/>
        <v>0</v>
      </c>
      <c r="P2903" s="389">
        <f t="shared" si="2137"/>
        <v>0</v>
      </c>
      <c r="R2903" s="317"/>
      <c r="U2903" s="320"/>
    </row>
    <row r="2904" spans="1:21" outlineLevel="2">
      <c r="A2904" s="611"/>
      <c r="B2904" s="611"/>
      <c r="C2904" s="708">
        <v>2211310</v>
      </c>
      <c r="D2904" s="736" t="s">
        <v>2537</v>
      </c>
      <c r="E2904" s="389"/>
      <c r="F2904" s="389"/>
      <c r="G2904" s="389"/>
      <c r="H2904" s="389"/>
      <c r="I2904" s="324"/>
      <c r="J2904" s="1008"/>
      <c r="K2904" s="1008">
        <v>650000</v>
      </c>
      <c r="L2904" s="317">
        <f t="shared" si="2123"/>
        <v>650000</v>
      </c>
      <c r="M2904" s="317"/>
      <c r="N2904" s="372">
        <f t="shared" si="2127"/>
        <v>-650000</v>
      </c>
      <c r="O2904" s="336"/>
      <c r="P2904" s="319"/>
      <c r="Q2904" s="303" t="s">
        <v>2538</v>
      </c>
      <c r="R2904" s="317"/>
      <c r="U2904" s="320"/>
    </row>
    <row r="2905" spans="1:21" s="337" customFormat="1" outlineLevel="2">
      <c r="A2905" s="612"/>
      <c r="B2905" s="612"/>
      <c r="C2905" s="340">
        <v>2220100</v>
      </c>
      <c r="D2905" s="338" t="s">
        <v>566</v>
      </c>
      <c r="E2905" s="397">
        <f>SUM(E2906:E2906)</f>
        <v>145000</v>
      </c>
      <c r="F2905" s="397">
        <f t="shared" ref="F2905:K2905" si="2139">SUM(F2906:F2906)</f>
        <v>0</v>
      </c>
      <c r="G2905" s="397">
        <f t="shared" si="2139"/>
        <v>0</v>
      </c>
      <c r="H2905" s="397">
        <f t="shared" si="2139"/>
        <v>0</v>
      </c>
      <c r="I2905" s="397">
        <f t="shared" si="2139"/>
        <v>145000</v>
      </c>
      <c r="J2905" s="397">
        <f t="shared" si="2139"/>
        <v>0</v>
      </c>
      <c r="K2905" s="397">
        <f t="shared" si="2139"/>
        <v>125400</v>
      </c>
      <c r="L2905" s="317">
        <f t="shared" si="2123"/>
        <v>270400</v>
      </c>
      <c r="M2905" s="317"/>
      <c r="N2905" s="372">
        <f t="shared" si="2127"/>
        <v>-125400</v>
      </c>
      <c r="O2905" s="397">
        <f t="shared" ref="O2905:P2905" si="2140">SUM(O2906:O2906)</f>
        <v>297440</v>
      </c>
      <c r="P2905" s="397">
        <f t="shared" si="2140"/>
        <v>327184</v>
      </c>
      <c r="R2905" s="317"/>
      <c r="U2905" s="320"/>
    </row>
    <row r="2906" spans="1:21" s="350" customFormat="1" outlineLevel="2">
      <c r="A2906" s="611"/>
      <c r="B2906" s="611"/>
      <c r="C2906" s="332">
        <v>2220105</v>
      </c>
      <c r="D2906" s="330" t="s">
        <v>567</v>
      </c>
      <c r="E2906" s="389">
        <v>145000</v>
      </c>
      <c r="F2906" s="389"/>
      <c r="G2906" s="389"/>
      <c r="H2906" s="389"/>
      <c r="I2906" s="324">
        <f t="shared" si="2134"/>
        <v>145000</v>
      </c>
      <c r="J2906" s="389"/>
      <c r="K2906" s="389">
        <v>125400</v>
      </c>
      <c r="L2906" s="317">
        <f t="shared" si="2123"/>
        <v>270400</v>
      </c>
      <c r="M2906" s="317"/>
      <c r="N2906" s="372">
        <f t="shared" si="2127"/>
        <v>-125400</v>
      </c>
      <c r="O2906" s="336">
        <f t="shared" si="2104"/>
        <v>297440</v>
      </c>
      <c r="P2906" s="319">
        <f t="shared" si="2126"/>
        <v>327184</v>
      </c>
      <c r="Q2906" s="303" t="s">
        <v>2539</v>
      </c>
      <c r="R2906" s="317"/>
      <c r="U2906" s="320"/>
    </row>
    <row r="2907" spans="1:21" outlineLevel="2">
      <c r="A2907" s="612"/>
      <c r="B2907" s="612"/>
      <c r="C2907" s="340">
        <v>3111000</v>
      </c>
      <c r="D2907" s="338" t="s">
        <v>216</v>
      </c>
      <c r="E2907" s="397">
        <f>SUM(E2908:E2908)</f>
        <v>145000</v>
      </c>
      <c r="F2907" s="397">
        <f t="shared" ref="F2907:K2907" si="2141">SUM(F2908:F2908)</f>
        <v>0</v>
      </c>
      <c r="G2907" s="397">
        <f t="shared" si="2141"/>
        <v>0</v>
      </c>
      <c r="H2907" s="397">
        <f t="shared" si="2141"/>
        <v>0</v>
      </c>
      <c r="I2907" s="397">
        <f t="shared" si="2141"/>
        <v>145000</v>
      </c>
      <c r="J2907" s="397">
        <f t="shared" si="2141"/>
        <v>0</v>
      </c>
      <c r="K2907" s="397">
        <f t="shared" si="2141"/>
        <v>0</v>
      </c>
      <c r="L2907" s="317">
        <f t="shared" si="2123"/>
        <v>145000</v>
      </c>
      <c r="M2907" s="317"/>
      <c r="N2907" s="372">
        <f t="shared" si="2127"/>
        <v>0</v>
      </c>
      <c r="O2907" s="397">
        <f t="shared" ref="O2907:P2907" si="2142">SUM(O2908:O2908)</f>
        <v>159500</v>
      </c>
      <c r="P2907" s="397">
        <f t="shared" si="2142"/>
        <v>175450</v>
      </c>
      <c r="R2907" s="317"/>
      <c r="U2907" s="320"/>
    </row>
    <row r="2908" spans="1:21" outlineLevel="2">
      <c r="A2908" s="634"/>
      <c r="B2908" s="634"/>
      <c r="C2908" s="332">
        <v>3111001</v>
      </c>
      <c r="D2908" s="330" t="s">
        <v>568</v>
      </c>
      <c r="E2908" s="389">
        <v>145000</v>
      </c>
      <c r="F2908" s="389"/>
      <c r="G2908" s="389"/>
      <c r="H2908" s="389"/>
      <c r="I2908" s="324">
        <f t="shared" si="2134"/>
        <v>145000</v>
      </c>
      <c r="J2908" s="389"/>
      <c r="K2908" s="389"/>
      <c r="L2908" s="317">
        <f t="shared" si="2123"/>
        <v>145000</v>
      </c>
      <c r="M2908" s="317"/>
      <c r="N2908" s="372">
        <f t="shared" si="2127"/>
        <v>0</v>
      </c>
      <c r="O2908" s="336">
        <f t="shared" si="2104"/>
        <v>159500</v>
      </c>
      <c r="P2908" s="319">
        <f t="shared" si="2126"/>
        <v>175450</v>
      </c>
      <c r="R2908" s="317"/>
      <c r="U2908" s="320"/>
    </row>
    <row r="2909" spans="1:21" outlineLevel="1">
      <c r="A2909" s="617"/>
      <c r="B2909" s="617"/>
      <c r="C2909" s="314"/>
      <c r="D2909" s="447" t="s">
        <v>569</v>
      </c>
      <c r="E2909" s="438">
        <f>E2869+E2871+E2874+E2877+E2882+E2886+E2890+E2895+E2898+E2901+E2905+E2907+E2903</f>
        <v>74134585.140000001</v>
      </c>
      <c r="F2909" s="438">
        <f t="shared" ref="F2909:K2909" si="2143">F2869+F2871+F2874+F2877+F2882+F2886+F2890+F2895+F2898+F2901+F2905+F2907+F2903</f>
        <v>0</v>
      </c>
      <c r="G2909" s="438">
        <f t="shared" si="2143"/>
        <v>0</v>
      </c>
      <c r="H2909" s="438">
        <f t="shared" si="2143"/>
        <v>0</v>
      </c>
      <c r="I2909" s="438">
        <f t="shared" si="2143"/>
        <v>74134585.140000001</v>
      </c>
      <c r="J2909" s="438">
        <f t="shared" si="2143"/>
        <v>3422403</v>
      </c>
      <c r="K2909" s="438">
        <f t="shared" si="2143"/>
        <v>869800</v>
      </c>
      <c r="L2909" s="317">
        <f t="shared" si="2123"/>
        <v>78426788.140000001</v>
      </c>
      <c r="M2909" s="317"/>
      <c r="N2909" s="372">
        <f t="shared" si="2127"/>
        <v>-869800</v>
      </c>
      <c r="O2909" s="438">
        <f>O2869+O2871+O2874+O2877+O2882+O2886+O2890+O2895+O2898+O2901+O2905+O2907</f>
        <v>85554466.954000011</v>
      </c>
      <c r="P2909" s="438">
        <f>P2869+P2871+P2874+P2877+P2882+P2886+P2890+P2895+P2898+P2901+P2905+P2907</f>
        <v>93708012.149400011</v>
      </c>
      <c r="R2909" s="317"/>
      <c r="U2909" s="320"/>
    </row>
    <row r="2910" spans="1:21" outlineLevel="1">
      <c r="A2910" s="330"/>
      <c r="B2910" s="330"/>
      <c r="C2910" s="332"/>
      <c r="D2910" s="330"/>
      <c r="E2910" s="389"/>
      <c r="F2910" s="389"/>
      <c r="G2910" s="389"/>
      <c r="H2910" s="389"/>
      <c r="I2910" s="324">
        <f t="shared" si="2134"/>
        <v>0</v>
      </c>
      <c r="J2910" s="389"/>
      <c r="K2910" s="389"/>
      <c r="L2910" s="317">
        <f t="shared" si="2123"/>
        <v>0</v>
      </c>
      <c r="M2910" s="317"/>
      <c r="N2910" s="372">
        <f t="shared" si="2127"/>
        <v>0</v>
      </c>
      <c r="O2910" s="336">
        <f t="shared" si="2104"/>
        <v>0</v>
      </c>
      <c r="P2910" s="319">
        <f t="shared" ref="P2910:P2927" si="2144">O2910*1.1</f>
        <v>0</v>
      </c>
      <c r="R2910" s="317"/>
      <c r="U2910" s="320"/>
    </row>
    <row r="2911" spans="1:21" outlineLevel="1">
      <c r="A2911" s="617"/>
      <c r="B2911" s="617" t="s">
        <v>9</v>
      </c>
      <c r="C2911" s="314" t="s">
        <v>570</v>
      </c>
      <c r="D2911" s="447"/>
      <c r="E2911" s="438"/>
      <c r="F2911" s="438"/>
      <c r="G2911" s="438"/>
      <c r="H2911" s="438"/>
      <c r="I2911" s="324">
        <f t="shared" si="2134"/>
        <v>0</v>
      </c>
      <c r="J2911" s="438"/>
      <c r="K2911" s="438"/>
      <c r="L2911" s="317">
        <f t="shared" si="2123"/>
        <v>0</v>
      </c>
      <c r="M2911" s="317"/>
      <c r="N2911" s="372">
        <f t="shared" si="2127"/>
        <v>0</v>
      </c>
      <c r="O2911" s="336">
        <f t="shared" si="2104"/>
        <v>0</v>
      </c>
      <c r="P2911" s="319">
        <f t="shared" si="2144"/>
        <v>0</v>
      </c>
      <c r="R2911" s="317"/>
      <c r="U2911" s="320"/>
    </row>
    <row r="2912" spans="1:21" outlineLevel="1">
      <c r="A2912" s="907" t="s">
        <v>168</v>
      </c>
      <c r="B2912" s="907" t="s">
        <v>146</v>
      </c>
      <c r="C2912" s="737" t="s">
        <v>571</v>
      </c>
      <c r="D2912" s="737"/>
      <c r="E2912" s="670"/>
      <c r="F2912" s="750"/>
      <c r="G2912" s="750"/>
      <c r="H2912" s="750"/>
      <c r="I2912" s="324">
        <f t="shared" si="2134"/>
        <v>0</v>
      </c>
      <c r="J2912" s="750"/>
      <c r="K2912" s="750"/>
      <c r="L2912" s="317">
        <f t="shared" si="2123"/>
        <v>0</v>
      </c>
      <c r="M2912" s="317"/>
      <c r="N2912" s="372">
        <f t="shared" si="2127"/>
        <v>0</v>
      </c>
      <c r="O2912" s="336">
        <f t="shared" si="2104"/>
        <v>0</v>
      </c>
      <c r="P2912" s="319">
        <f t="shared" si="2144"/>
        <v>0</v>
      </c>
      <c r="R2912" s="317"/>
      <c r="U2912" s="320"/>
    </row>
    <row r="2913" spans="1:21" outlineLevel="3">
      <c r="A2913" s="907"/>
      <c r="B2913" s="907"/>
      <c r="C2913" s="707">
        <v>2210100</v>
      </c>
      <c r="D2913" s="737" t="s">
        <v>16</v>
      </c>
      <c r="E2913" s="472">
        <f>SUM(E2914:E2915)</f>
        <v>137344</v>
      </c>
      <c r="F2913" s="472">
        <f t="shared" ref="F2913:K2913" si="2145">SUM(F2914:F2915)</f>
        <v>0</v>
      </c>
      <c r="G2913" s="472">
        <f t="shared" si="2145"/>
        <v>0</v>
      </c>
      <c r="H2913" s="472">
        <f t="shared" si="2145"/>
        <v>0</v>
      </c>
      <c r="I2913" s="472">
        <f t="shared" si="2145"/>
        <v>137344</v>
      </c>
      <c r="J2913" s="472">
        <f t="shared" si="2145"/>
        <v>0</v>
      </c>
      <c r="K2913" s="472">
        <f t="shared" si="2145"/>
        <v>0</v>
      </c>
      <c r="L2913" s="317">
        <f t="shared" si="2123"/>
        <v>137344</v>
      </c>
      <c r="M2913" s="317"/>
      <c r="N2913" s="372">
        <f t="shared" si="2127"/>
        <v>0</v>
      </c>
      <c r="O2913" s="472">
        <f t="shared" ref="O2913:P2913" si="2146">SUM(O2914:O2915)</f>
        <v>151078.40000000002</v>
      </c>
      <c r="P2913" s="472">
        <f t="shared" si="2146"/>
        <v>166186.24000000005</v>
      </c>
      <c r="R2913" s="317"/>
      <c r="U2913" s="320"/>
    </row>
    <row r="2914" spans="1:21" outlineLevel="3">
      <c r="A2914" s="907"/>
      <c r="B2914" s="907"/>
      <c r="C2914" s="708">
        <v>2210101</v>
      </c>
      <c r="D2914" s="736" t="s">
        <v>17</v>
      </c>
      <c r="E2914" s="917">
        <v>50344</v>
      </c>
      <c r="F2914" s="594"/>
      <c r="G2914" s="594"/>
      <c r="H2914" s="594"/>
      <c r="I2914" s="324">
        <f t="shared" si="2134"/>
        <v>50344</v>
      </c>
      <c r="J2914" s="594"/>
      <c r="K2914" s="594"/>
      <c r="L2914" s="317">
        <f t="shared" si="2123"/>
        <v>50344</v>
      </c>
      <c r="M2914" s="317"/>
      <c r="N2914" s="372">
        <f t="shared" si="2127"/>
        <v>0</v>
      </c>
      <c r="O2914" s="336">
        <f t="shared" si="2104"/>
        <v>55378.400000000001</v>
      </c>
      <c r="P2914" s="319">
        <f t="shared" si="2144"/>
        <v>60916.240000000005</v>
      </c>
      <c r="R2914" s="317"/>
      <c r="U2914" s="320"/>
    </row>
    <row r="2915" spans="1:21" outlineLevel="3">
      <c r="A2915" s="907"/>
      <c r="B2915" s="907"/>
      <c r="C2915" s="708">
        <v>2210102</v>
      </c>
      <c r="D2915" s="736" t="s">
        <v>18</v>
      </c>
      <c r="E2915" s="917">
        <v>87000</v>
      </c>
      <c r="F2915" s="594"/>
      <c r="G2915" s="594"/>
      <c r="H2915" s="594"/>
      <c r="I2915" s="324">
        <f t="shared" si="2134"/>
        <v>87000</v>
      </c>
      <c r="J2915" s="594"/>
      <c r="K2915" s="594"/>
      <c r="L2915" s="317">
        <f t="shared" si="2123"/>
        <v>87000</v>
      </c>
      <c r="M2915" s="317"/>
      <c r="N2915" s="372">
        <f t="shared" si="2127"/>
        <v>0</v>
      </c>
      <c r="O2915" s="336">
        <f t="shared" si="2104"/>
        <v>95700.000000000015</v>
      </c>
      <c r="P2915" s="319">
        <f t="shared" si="2144"/>
        <v>105270.00000000003</v>
      </c>
      <c r="R2915" s="317"/>
      <c r="U2915" s="320"/>
    </row>
    <row r="2916" spans="1:21" outlineLevel="3">
      <c r="A2916" s="907"/>
      <c r="B2916" s="907"/>
      <c r="C2916" s="707">
        <v>2210200</v>
      </c>
      <c r="D2916" s="737" t="s">
        <v>20</v>
      </c>
      <c r="E2916" s="472">
        <f>SUM(E2917:E2919)</f>
        <v>77140</v>
      </c>
      <c r="F2916" s="472">
        <f t="shared" ref="F2916:K2916" si="2147">SUM(F2917:F2919)</f>
        <v>0</v>
      </c>
      <c r="G2916" s="472">
        <f t="shared" si="2147"/>
        <v>0</v>
      </c>
      <c r="H2916" s="472">
        <f t="shared" si="2147"/>
        <v>0</v>
      </c>
      <c r="I2916" s="472">
        <f t="shared" si="2147"/>
        <v>77140</v>
      </c>
      <c r="J2916" s="472">
        <f t="shared" si="2147"/>
        <v>0</v>
      </c>
      <c r="K2916" s="472">
        <f t="shared" si="2147"/>
        <v>0</v>
      </c>
      <c r="L2916" s="317">
        <f t="shared" si="2123"/>
        <v>77140</v>
      </c>
      <c r="M2916" s="317"/>
      <c r="N2916" s="372">
        <f t="shared" si="2127"/>
        <v>0</v>
      </c>
      <c r="O2916" s="472">
        <f t="shared" ref="O2916:P2916" si="2148">SUM(O2917:O2919)</f>
        <v>84854</v>
      </c>
      <c r="P2916" s="472">
        <f t="shared" si="2148"/>
        <v>93339.400000000009</v>
      </c>
      <c r="R2916" s="317"/>
      <c r="U2916" s="320"/>
    </row>
    <row r="2917" spans="1:21" outlineLevel="3">
      <c r="A2917" s="907"/>
      <c r="B2917" s="907"/>
      <c r="C2917" s="708">
        <v>2210201</v>
      </c>
      <c r="D2917" s="736" t="s">
        <v>187</v>
      </c>
      <c r="E2917" s="917">
        <v>36540</v>
      </c>
      <c r="F2917" s="594"/>
      <c r="G2917" s="594"/>
      <c r="H2917" s="594"/>
      <c r="I2917" s="324">
        <f t="shared" si="2134"/>
        <v>36540</v>
      </c>
      <c r="J2917" s="594"/>
      <c r="K2917" s="594"/>
      <c r="L2917" s="317">
        <f t="shared" si="2123"/>
        <v>36540</v>
      </c>
      <c r="M2917" s="317"/>
      <c r="N2917" s="372">
        <f t="shared" si="2127"/>
        <v>0</v>
      </c>
      <c r="O2917" s="336">
        <f t="shared" si="2104"/>
        <v>40194</v>
      </c>
      <c r="P2917" s="319">
        <f t="shared" si="2144"/>
        <v>44213.4</v>
      </c>
      <c r="R2917" s="317"/>
      <c r="U2917" s="320"/>
    </row>
    <row r="2918" spans="1:21" outlineLevel="3">
      <c r="A2918" s="907"/>
      <c r="B2918" s="907"/>
      <c r="C2918" s="708">
        <v>2210202</v>
      </c>
      <c r="D2918" s="736" t="s">
        <v>22</v>
      </c>
      <c r="E2918" s="917">
        <v>36540</v>
      </c>
      <c r="F2918" s="594"/>
      <c r="G2918" s="594"/>
      <c r="H2918" s="594"/>
      <c r="I2918" s="324">
        <f t="shared" si="2134"/>
        <v>36540</v>
      </c>
      <c r="J2918" s="594"/>
      <c r="K2918" s="594"/>
      <c r="L2918" s="317">
        <f t="shared" si="2123"/>
        <v>36540</v>
      </c>
      <c r="M2918" s="317"/>
      <c r="N2918" s="372">
        <f t="shared" si="2127"/>
        <v>0</v>
      </c>
      <c r="O2918" s="336">
        <f t="shared" si="2104"/>
        <v>40194</v>
      </c>
      <c r="P2918" s="319">
        <f t="shared" si="2144"/>
        <v>44213.4</v>
      </c>
      <c r="R2918" s="317"/>
      <c r="U2918" s="320"/>
    </row>
    <row r="2919" spans="1:21" outlineLevel="3">
      <c r="A2919" s="907"/>
      <c r="B2919" s="907"/>
      <c r="C2919" s="708">
        <v>2210203</v>
      </c>
      <c r="D2919" s="736" t="s">
        <v>23</v>
      </c>
      <c r="E2919" s="917">
        <v>4060</v>
      </c>
      <c r="F2919" s="594"/>
      <c r="G2919" s="594"/>
      <c r="H2919" s="594"/>
      <c r="I2919" s="324">
        <f t="shared" si="2134"/>
        <v>4060</v>
      </c>
      <c r="J2919" s="594"/>
      <c r="K2919" s="594"/>
      <c r="L2919" s="317">
        <f t="shared" si="2123"/>
        <v>4060</v>
      </c>
      <c r="M2919" s="317"/>
      <c r="N2919" s="372">
        <f t="shared" si="2127"/>
        <v>0</v>
      </c>
      <c r="O2919" s="336">
        <f t="shared" si="2104"/>
        <v>4466</v>
      </c>
      <c r="P2919" s="319">
        <f t="shared" si="2144"/>
        <v>4912.6000000000004</v>
      </c>
      <c r="R2919" s="317"/>
      <c r="U2919" s="320"/>
    </row>
    <row r="2920" spans="1:21" outlineLevel="3">
      <c r="A2920" s="907"/>
      <c r="B2920" s="907"/>
      <c r="C2920" s="707">
        <v>2210300</v>
      </c>
      <c r="D2920" s="737" t="s">
        <v>24</v>
      </c>
      <c r="E2920" s="472">
        <f>SUM(E2921:E2923)</f>
        <v>397000</v>
      </c>
      <c r="F2920" s="472">
        <f t="shared" ref="F2920:P2920" si="2149">SUM(F2921:F2923)</f>
        <v>0</v>
      </c>
      <c r="G2920" s="472">
        <f t="shared" si="2149"/>
        <v>0</v>
      </c>
      <c r="H2920" s="472">
        <f t="shared" si="2149"/>
        <v>200000</v>
      </c>
      <c r="I2920" s="472">
        <f t="shared" si="2149"/>
        <v>597000</v>
      </c>
      <c r="J2920" s="472">
        <f t="shared" si="2149"/>
        <v>0</v>
      </c>
      <c r="K2920" s="472">
        <f t="shared" si="2149"/>
        <v>0</v>
      </c>
      <c r="L2920" s="317">
        <f t="shared" si="2123"/>
        <v>597000</v>
      </c>
      <c r="M2920" s="317"/>
      <c r="N2920" s="372">
        <f t="shared" si="2127"/>
        <v>0</v>
      </c>
      <c r="O2920" s="472">
        <f t="shared" si="2149"/>
        <v>656700</v>
      </c>
      <c r="P2920" s="472">
        <f t="shared" si="2149"/>
        <v>722370</v>
      </c>
      <c r="R2920" s="317"/>
      <c r="U2920" s="320"/>
    </row>
    <row r="2921" spans="1:21" outlineLevel="3">
      <c r="A2921" s="907"/>
      <c r="B2921" s="907"/>
      <c r="C2921" s="708">
        <v>2210301</v>
      </c>
      <c r="D2921" s="736" t="s">
        <v>188</v>
      </c>
      <c r="E2921" s="917">
        <v>150500</v>
      </c>
      <c r="F2921" s="594"/>
      <c r="G2921" s="594"/>
      <c r="H2921" s="1009">
        <v>100000</v>
      </c>
      <c r="I2921" s="324">
        <f t="shared" si="2134"/>
        <v>250500</v>
      </c>
      <c r="J2921" s="1009"/>
      <c r="K2921" s="1009"/>
      <c r="L2921" s="317">
        <f t="shared" si="2123"/>
        <v>250500</v>
      </c>
      <c r="M2921" s="317"/>
      <c r="N2921" s="372">
        <f t="shared" si="2127"/>
        <v>0</v>
      </c>
      <c r="O2921" s="336">
        <f t="shared" ref="O2921:O2983" si="2150">L2921*1.1</f>
        <v>275550</v>
      </c>
      <c r="P2921" s="319">
        <f t="shared" si="2144"/>
        <v>303105</v>
      </c>
      <c r="R2921" s="317"/>
      <c r="U2921" s="320"/>
    </row>
    <row r="2922" spans="1:21" outlineLevel="3">
      <c r="A2922" s="907"/>
      <c r="B2922" s="907"/>
      <c r="C2922" s="708">
        <v>2210302</v>
      </c>
      <c r="D2922" s="736" t="s">
        <v>26</v>
      </c>
      <c r="E2922" s="917">
        <v>130500</v>
      </c>
      <c r="F2922" s="594"/>
      <c r="G2922" s="594"/>
      <c r="H2922" s="1009">
        <v>100000</v>
      </c>
      <c r="I2922" s="324">
        <f t="shared" si="2134"/>
        <v>230500</v>
      </c>
      <c r="J2922" s="1009"/>
      <c r="K2922" s="1009"/>
      <c r="L2922" s="317">
        <f t="shared" si="2123"/>
        <v>230500</v>
      </c>
      <c r="M2922" s="317"/>
      <c r="N2922" s="372">
        <f t="shared" si="2127"/>
        <v>0</v>
      </c>
      <c r="O2922" s="336">
        <f t="shared" si="2150"/>
        <v>253550.00000000003</v>
      </c>
      <c r="P2922" s="319">
        <f t="shared" si="2144"/>
        <v>278905.00000000006</v>
      </c>
      <c r="R2922" s="317"/>
      <c r="U2922" s="320"/>
    </row>
    <row r="2923" spans="1:21" outlineLevel="3">
      <c r="A2923" s="907"/>
      <c r="B2923" s="907"/>
      <c r="C2923" s="708">
        <v>2210303</v>
      </c>
      <c r="D2923" s="736" t="s">
        <v>223</v>
      </c>
      <c r="E2923" s="917">
        <v>116000</v>
      </c>
      <c r="F2923" s="594"/>
      <c r="G2923" s="594"/>
      <c r="H2923" s="594"/>
      <c r="I2923" s="324">
        <f t="shared" si="2134"/>
        <v>116000</v>
      </c>
      <c r="J2923" s="594"/>
      <c r="K2923" s="594"/>
      <c r="L2923" s="317">
        <f t="shared" si="2123"/>
        <v>116000</v>
      </c>
      <c r="M2923" s="317"/>
      <c r="N2923" s="372">
        <f t="shared" si="2127"/>
        <v>0</v>
      </c>
      <c r="O2923" s="336">
        <f t="shared" si="2150"/>
        <v>127600.00000000001</v>
      </c>
      <c r="P2923" s="319">
        <f t="shared" si="2144"/>
        <v>140360.00000000003</v>
      </c>
      <c r="R2923" s="317"/>
      <c r="U2923" s="320"/>
    </row>
    <row r="2924" spans="1:21" outlineLevel="3">
      <c r="A2924" s="907"/>
      <c r="B2924" s="907"/>
      <c r="C2924" s="707">
        <v>2210500</v>
      </c>
      <c r="D2924" s="737" t="s">
        <v>31</v>
      </c>
      <c r="E2924" s="472">
        <f>SUM(E2925:E2927)</f>
        <v>2387038</v>
      </c>
      <c r="F2924" s="472">
        <f t="shared" ref="F2924:K2924" si="2151">SUM(F2925:F2927)</f>
        <v>0</v>
      </c>
      <c r="G2924" s="472">
        <f t="shared" si="2151"/>
        <v>0</v>
      </c>
      <c r="H2924" s="472">
        <f t="shared" si="2151"/>
        <v>0</v>
      </c>
      <c r="I2924" s="472">
        <f t="shared" si="2151"/>
        <v>2387038</v>
      </c>
      <c r="J2924" s="472">
        <f t="shared" si="2151"/>
        <v>0</v>
      </c>
      <c r="K2924" s="472">
        <f t="shared" si="2151"/>
        <v>626979</v>
      </c>
      <c r="L2924" s="317">
        <f t="shared" si="2123"/>
        <v>3014017</v>
      </c>
      <c r="M2924" s="317"/>
      <c r="N2924" s="372">
        <f t="shared" si="2127"/>
        <v>-626979</v>
      </c>
      <c r="O2924" s="472">
        <f t="shared" ref="O2924:P2924" si="2152">SUM(O2925:O2927)</f>
        <v>3315418.7</v>
      </c>
      <c r="P2924" s="472">
        <f t="shared" si="2152"/>
        <v>3646960.5700000003</v>
      </c>
      <c r="R2924" s="317"/>
      <c r="U2924" s="320"/>
    </row>
    <row r="2925" spans="1:21" outlineLevel="3">
      <c r="A2925" s="907"/>
      <c r="B2925" s="907"/>
      <c r="C2925" s="708">
        <v>2210502</v>
      </c>
      <c r="D2925" s="736" t="s">
        <v>572</v>
      </c>
      <c r="E2925" s="917">
        <v>73080</v>
      </c>
      <c r="F2925" s="594"/>
      <c r="G2925" s="594"/>
      <c r="H2925" s="594"/>
      <c r="I2925" s="324">
        <f t="shared" si="2134"/>
        <v>73080</v>
      </c>
      <c r="J2925" s="594"/>
      <c r="K2925" s="594"/>
      <c r="L2925" s="317">
        <f t="shared" si="2123"/>
        <v>73080</v>
      </c>
      <c r="M2925" s="317"/>
      <c r="N2925" s="372">
        <f t="shared" si="2127"/>
        <v>0</v>
      </c>
      <c r="O2925" s="336">
        <f t="shared" si="2150"/>
        <v>80388</v>
      </c>
      <c r="P2925" s="319">
        <f t="shared" si="2144"/>
        <v>88426.8</v>
      </c>
      <c r="R2925" s="317"/>
      <c r="U2925" s="320"/>
    </row>
    <row r="2926" spans="1:21" outlineLevel="3">
      <c r="A2926" s="907"/>
      <c r="B2926" s="907"/>
      <c r="C2926" s="708">
        <v>2210503</v>
      </c>
      <c r="D2926" s="736" t="s">
        <v>32</v>
      </c>
      <c r="E2926" s="917">
        <v>20300</v>
      </c>
      <c r="F2926" s="594"/>
      <c r="G2926" s="594"/>
      <c r="H2926" s="594"/>
      <c r="I2926" s="324">
        <f t="shared" si="2134"/>
        <v>20300</v>
      </c>
      <c r="J2926" s="594"/>
      <c r="K2926" s="594"/>
      <c r="L2926" s="317">
        <f t="shared" si="2123"/>
        <v>20300</v>
      </c>
      <c r="M2926" s="317"/>
      <c r="N2926" s="372">
        <f t="shared" si="2127"/>
        <v>0</v>
      </c>
      <c r="O2926" s="336">
        <f t="shared" si="2150"/>
        <v>22330</v>
      </c>
      <c r="P2926" s="319">
        <f t="shared" si="2144"/>
        <v>24563.000000000004</v>
      </c>
      <c r="R2926" s="317"/>
      <c r="U2926" s="320"/>
    </row>
    <row r="2927" spans="1:21" outlineLevel="3">
      <c r="A2927" s="897"/>
      <c r="B2927" s="897"/>
      <c r="C2927" s="332">
        <v>2210504</v>
      </c>
      <c r="D2927" s="736" t="s">
        <v>1473</v>
      </c>
      <c r="E2927" s="917">
        <v>2293658</v>
      </c>
      <c r="F2927" s="594"/>
      <c r="G2927" s="594"/>
      <c r="H2927" s="594"/>
      <c r="I2927" s="324">
        <f t="shared" si="2134"/>
        <v>2293658</v>
      </c>
      <c r="J2927" s="594"/>
      <c r="K2927" s="594">
        <v>626979</v>
      </c>
      <c r="L2927" s="317">
        <f t="shared" si="2123"/>
        <v>2920637</v>
      </c>
      <c r="M2927" s="317"/>
      <c r="N2927" s="372">
        <f t="shared" si="2127"/>
        <v>-626979</v>
      </c>
      <c r="O2927" s="336">
        <f t="shared" si="2150"/>
        <v>3212700.7</v>
      </c>
      <c r="P2927" s="319">
        <f t="shared" si="2144"/>
        <v>3533970.7700000005</v>
      </c>
      <c r="Q2927" s="303" t="s">
        <v>2540</v>
      </c>
      <c r="R2927" s="317"/>
      <c r="U2927" s="320"/>
    </row>
    <row r="2928" spans="1:21" outlineLevel="3">
      <c r="A2928" s="907"/>
      <c r="B2928" s="907"/>
      <c r="C2928" s="707">
        <v>2210700</v>
      </c>
      <c r="D2928" s="737" t="s">
        <v>573</v>
      </c>
      <c r="E2928" s="472">
        <f>SUM(E2929:E2935)</f>
        <v>1802264</v>
      </c>
      <c r="F2928" s="472">
        <f t="shared" ref="F2928:K2928" si="2153">SUM(F2929:F2935)</f>
        <v>0</v>
      </c>
      <c r="G2928" s="472">
        <f t="shared" si="2153"/>
        <v>0</v>
      </c>
      <c r="H2928" s="472">
        <f t="shared" si="2153"/>
        <v>14300000</v>
      </c>
      <c r="I2928" s="472">
        <f t="shared" si="2153"/>
        <v>16102264</v>
      </c>
      <c r="J2928" s="472">
        <f t="shared" si="2153"/>
        <v>0</v>
      </c>
      <c r="K2928" s="472">
        <f t="shared" si="2153"/>
        <v>0</v>
      </c>
      <c r="L2928" s="317">
        <f t="shared" si="2123"/>
        <v>16102264</v>
      </c>
      <c r="M2928" s="317"/>
      <c r="N2928" s="372">
        <f t="shared" si="2127"/>
        <v>0</v>
      </c>
      <c r="O2928" s="472">
        <f t="shared" ref="O2928:P2928" si="2154">SUM(O2929:O2935)</f>
        <v>17712490.399999999</v>
      </c>
      <c r="P2928" s="472">
        <f t="shared" si="2154"/>
        <v>15984721.940000003</v>
      </c>
      <c r="R2928" s="317"/>
      <c r="U2928" s="320"/>
    </row>
    <row r="2929" spans="1:21" outlineLevel="3">
      <c r="A2929" s="907"/>
      <c r="B2929" s="907"/>
      <c r="C2929" s="708">
        <v>2210701</v>
      </c>
      <c r="D2929" s="736" t="s">
        <v>574</v>
      </c>
      <c r="E2929" s="917">
        <v>159500</v>
      </c>
      <c r="F2929" s="594"/>
      <c r="G2929" s="594"/>
      <c r="H2929" s="917"/>
      <c r="I2929" s="324">
        <f t="shared" si="2134"/>
        <v>159500</v>
      </c>
      <c r="J2929" s="917"/>
      <c r="K2929" s="917"/>
      <c r="L2929" s="317">
        <f t="shared" si="2123"/>
        <v>159500</v>
      </c>
      <c r="M2929" s="317"/>
      <c r="N2929" s="372">
        <f t="shared" si="2127"/>
        <v>0</v>
      </c>
      <c r="O2929" s="336">
        <f t="shared" si="2150"/>
        <v>175450</v>
      </c>
      <c r="P2929" s="319">
        <f t="shared" ref="P2929:P2948" si="2155">O2929*1.1</f>
        <v>192995.00000000003</v>
      </c>
      <c r="R2929" s="317"/>
      <c r="U2929" s="320"/>
    </row>
    <row r="2930" spans="1:21" outlineLevel="3">
      <c r="A2930" s="907"/>
      <c r="B2930" s="907"/>
      <c r="C2930" s="708">
        <v>2210702</v>
      </c>
      <c r="D2930" s="1010" t="s">
        <v>37</v>
      </c>
      <c r="E2930" s="917">
        <v>127500</v>
      </c>
      <c r="F2930" s="1011"/>
      <c r="G2930" s="1011"/>
      <c r="H2930" s="917"/>
      <c r="I2930" s="324">
        <f t="shared" si="2134"/>
        <v>127500</v>
      </c>
      <c r="J2930" s="917"/>
      <c r="K2930" s="917"/>
      <c r="L2930" s="317">
        <f t="shared" si="2123"/>
        <v>127500</v>
      </c>
      <c r="M2930" s="317"/>
      <c r="N2930" s="372">
        <f t="shared" si="2127"/>
        <v>0</v>
      </c>
      <c r="O2930" s="336">
        <f t="shared" si="2150"/>
        <v>140250</v>
      </c>
      <c r="P2930" s="319">
        <f t="shared" si="2155"/>
        <v>154275</v>
      </c>
      <c r="R2930" s="317"/>
      <c r="U2930" s="320"/>
    </row>
    <row r="2931" spans="1:21" outlineLevel="3">
      <c r="A2931" s="907"/>
      <c r="B2931" s="907"/>
      <c r="C2931" s="708">
        <v>2210703</v>
      </c>
      <c r="D2931" s="1010" t="s">
        <v>107</v>
      </c>
      <c r="E2931" s="917">
        <v>108750</v>
      </c>
      <c r="F2931" s="1011"/>
      <c r="G2931" s="1011"/>
      <c r="H2931" s="917"/>
      <c r="I2931" s="324">
        <f t="shared" si="2134"/>
        <v>108750</v>
      </c>
      <c r="J2931" s="917"/>
      <c r="K2931" s="917"/>
      <c r="L2931" s="317">
        <f t="shared" si="2123"/>
        <v>108750</v>
      </c>
      <c r="M2931" s="317"/>
      <c r="N2931" s="372">
        <f t="shared" si="2127"/>
        <v>0</v>
      </c>
      <c r="O2931" s="336">
        <f t="shared" si="2150"/>
        <v>119625.00000000001</v>
      </c>
      <c r="P2931" s="319">
        <f t="shared" si="2155"/>
        <v>131587.50000000003</v>
      </c>
      <c r="R2931" s="317"/>
      <c r="U2931" s="320"/>
    </row>
    <row r="2932" spans="1:21" outlineLevel="3">
      <c r="A2932" s="658"/>
      <c r="B2932" s="658"/>
      <c r="C2932" s="1012">
        <v>2210704</v>
      </c>
      <c r="D2932" s="1013" t="s">
        <v>38</v>
      </c>
      <c r="E2932" s="1014">
        <v>87000</v>
      </c>
      <c r="F2932" s="1015"/>
      <c r="G2932" s="1015"/>
      <c r="H2932" s="1014"/>
      <c r="I2932" s="324">
        <f t="shared" si="2134"/>
        <v>87000</v>
      </c>
      <c r="J2932" s="1014"/>
      <c r="K2932" s="1014"/>
      <c r="L2932" s="317">
        <f t="shared" si="2123"/>
        <v>87000</v>
      </c>
      <c r="M2932" s="317"/>
      <c r="N2932" s="372">
        <f t="shared" si="2127"/>
        <v>0</v>
      </c>
      <c r="O2932" s="336">
        <f t="shared" si="2150"/>
        <v>95700.000000000015</v>
      </c>
      <c r="P2932" s="319">
        <f t="shared" si="2155"/>
        <v>105270.00000000003</v>
      </c>
      <c r="R2932" s="317"/>
      <c r="U2932" s="320"/>
    </row>
    <row r="2933" spans="1:21" outlineLevel="3">
      <c r="A2933" s="1000"/>
      <c r="B2933" s="1000"/>
      <c r="C2933" s="1001">
        <v>2210707</v>
      </c>
      <c r="D2933" s="1002" t="s">
        <v>2150</v>
      </c>
      <c r="E2933" s="1003"/>
      <c r="F2933" s="1003"/>
      <c r="G2933" s="1003"/>
      <c r="H2933" s="1003">
        <f>12000000+3000000</f>
        <v>15000000</v>
      </c>
      <c r="I2933" s="324">
        <f t="shared" si="2134"/>
        <v>15000000</v>
      </c>
      <c r="J2933" s="1003"/>
      <c r="K2933" s="1003"/>
      <c r="L2933" s="317">
        <f t="shared" si="2123"/>
        <v>15000000</v>
      </c>
      <c r="M2933" s="317"/>
      <c r="N2933" s="372">
        <f t="shared" si="2127"/>
        <v>0</v>
      </c>
      <c r="O2933" s="336">
        <f t="shared" si="2150"/>
        <v>16500000.000000002</v>
      </c>
      <c r="P2933" s="1004">
        <v>14650982.500000004</v>
      </c>
      <c r="R2933" s="317"/>
      <c r="U2933" s="320"/>
    </row>
    <row r="2934" spans="1:21" outlineLevel="3">
      <c r="A2934" s="990"/>
      <c r="B2934" s="990"/>
      <c r="C2934" s="747">
        <v>2210710</v>
      </c>
      <c r="D2934" s="1016" t="s">
        <v>39</v>
      </c>
      <c r="E2934" s="1017">
        <v>201000</v>
      </c>
      <c r="F2934" s="1018"/>
      <c r="G2934" s="1018"/>
      <c r="H2934" s="1017"/>
      <c r="I2934" s="324">
        <f t="shared" si="2134"/>
        <v>201000</v>
      </c>
      <c r="J2934" s="1017"/>
      <c r="K2934" s="1017"/>
      <c r="L2934" s="317">
        <f t="shared" si="2123"/>
        <v>201000</v>
      </c>
      <c r="M2934" s="317"/>
      <c r="N2934" s="372">
        <f t="shared" si="2127"/>
        <v>0</v>
      </c>
      <c r="O2934" s="336">
        <f t="shared" si="2150"/>
        <v>221100.00000000003</v>
      </c>
      <c r="P2934" s="319">
        <f t="shared" si="2155"/>
        <v>243210.00000000006</v>
      </c>
      <c r="R2934" s="317"/>
      <c r="U2934" s="320"/>
    </row>
    <row r="2935" spans="1:21" outlineLevel="3">
      <c r="A2935" s="330"/>
      <c r="B2935" s="330"/>
      <c r="C2935" s="708">
        <v>2210799</v>
      </c>
      <c r="D2935" s="1019" t="s">
        <v>1474</v>
      </c>
      <c r="E2935" s="917">
        <v>1118514</v>
      </c>
      <c r="F2935" s="1020"/>
      <c r="G2935" s="1020"/>
      <c r="H2935" s="917">
        <v>-700000</v>
      </c>
      <c r="I2935" s="324">
        <f t="shared" si="2134"/>
        <v>418514</v>
      </c>
      <c r="J2935" s="917"/>
      <c r="K2935" s="917"/>
      <c r="L2935" s="317">
        <f t="shared" si="2123"/>
        <v>418514</v>
      </c>
      <c r="M2935" s="317"/>
      <c r="N2935" s="372">
        <f t="shared" si="2127"/>
        <v>0</v>
      </c>
      <c r="O2935" s="336">
        <f t="shared" si="2150"/>
        <v>460365.4</v>
      </c>
      <c r="P2935" s="319">
        <f t="shared" si="2155"/>
        <v>506401.94000000006</v>
      </c>
      <c r="R2935" s="317"/>
      <c r="U2935" s="320"/>
    </row>
    <row r="2936" spans="1:21" outlineLevel="3">
      <c r="A2936" s="907"/>
      <c r="B2936" s="907"/>
      <c r="C2936" s="707">
        <v>2210800</v>
      </c>
      <c r="D2936" s="737" t="s">
        <v>42</v>
      </c>
      <c r="E2936" s="472">
        <f>SUM(E2937:E2940)</f>
        <v>1615000</v>
      </c>
      <c r="F2936" s="472">
        <f t="shared" ref="F2936:P2936" si="2156">SUM(F2937:F2940)</f>
        <v>0</v>
      </c>
      <c r="G2936" s="472">
        <f t="shared" si="2156"/>
        <v>0</v>
      </c>
      <c r="H2936" s="472">
        <f t="shared" si="2156"/>
        <v>0</v>
      </c>
      <c r="I2936" s="472">
        <f t="shared" si="2156"/>
        <v>1615000</v>
      </c>
      <c r="J2936" s="472">
        <f t="shared" si="2156"/>
        <v>0</v>
      </c>
      <c r="K2936" s="472">
        <f t="shared" si="2156"/>
        <v>0</v>
      </c>
      <c r="L2936" s="317">
        <f t="shared" si="2123"/>
        <v>1615000</v>
      </c>
      <c r="M2936" s="317"/>
      <c r="N2936" s="372">
        <f t="shared" si="2127"/>
        <v>0</v>
      </c>
      <c r="O2936" s="472">
        <f t="shared" si="2156"/>
        <v>1776500</v>
      </c>
      <c r="P2936" s="472">
        <f t="shared" si="2156"/>
        <v>1954150</v>
      </c>
      <c r="R2936" s="317"/>
      <c r="U2936" s="320"/>
    </row>
    <row r="2937" spans="1:21" outlineLevel="3">
      <c r="A2937" s="907"/>
      <c r="B2937" s="907"/>
      <c r="C2937" s="708">
        <v>2210801</v>
      </c>
      <c r="D2937" s="736" t="s">
        <v>2421</v>
      </c>
      <c r="E2937" s="917">
        <v>145000</v>
      </c>
      <c r="F2937" s="594"/>
      <c r="G2937" s="594"/>
      <c r="H2937" s="1021"/>
      <c r="I2937" s="324">
        <f t="shared" si="2134"/>
        <v>145000</v>
      </c>
      <c r="J2937" s="1021"/>
      <c r="K2937" s="1021"/>
      <c r="L2937" s="317">
        <f t="shared" si="2123"/>
        <v>145000</v>
      </c>
      <c r="M2937" s="317"/>
      <c r="N2937" s="372">
        <f t="shared" si="2127"/>
        <v>0</v>
      </c>
      <c r="O2937" s="336">
        <f t="shared" si="2150"/>
        <v>159500</v>
      </c>
      <c r="P2937" s="319">
        <f t="shared" si="2155"/>
        <v>175450</v>
      </c>
      <c r="R2937" s="317"/>
      <c r="U2937" s="320"/>
    </row>
    <row r="2938" spans="1:21" outlineLevel="3">
      <c r="A2938" s="907"/>
      <c r="B2938" s="907"/>
      <c r="C2938" s="708">
        <v>2210802</v>
      </c>
      <c r="D2938" s="736" t="s">
        <v>97</v>
      </c>
      <c r="E2938" s="917">
        <v>145000</v>
      </c>
      <c r="F2938" s="594"/>
      <c r="G2938" s="594"/>
      <c r="H2938" s="594"/>
      <c r="I2938" s="324">
        <f t="shared" si="2134"/>
        <v>145000</v>
      </c>
      <c r="J2938" s="594"/>
      <c r="K2938" s="594"/>
      <c r="L2938" s="317">
        <f t="shared" si="2123"/>
        <v>145000</v>
      </c>
      <c r="M2938" s="317"/>
      <c r="N2938" s="372">
        <f t="shared" si="2127"/>
        <v>0</v>
      </c>
      <c r="O2938" s="336">
        <f t="shared" si="2150"/>
        <v>159500</v>
      </c>
      <c r="P2938" s="319">
        <f t="shared" si="2155"/>
        <v>175450</v>
      </c>
      <c r="R2938" s="317"/>
      <c r="U2938" s="320"/>
    </row>
    <row r="2939" spans="1:21" outlineLevel="3">
      <c r="A2939" s="611"/>
      <c r="B2939" s="611"/>
      <c r="C2939" s="332">
        <v>2210805</v>
      </c>
      <c r="D2939" s="330" t="s">
        <v>575</v>
      </c>
      <c r="E2939" s="917">
        <v>1145000</v>
      </c>
      <c r="F2939" s="389"/>
      <c r="G2939" s="389"/>
      <c r="H2939" s="1003">
        <v>0</v>
      </c>
      <c r="I2939" s="324">
        <f t="shared" si="2134"/>
        <v>1145000</v>
      </c>
      <c r="J2939" s="1003"/>
      <c r="K2939" s="1003"/>
      <c r="L2939" s="317">
        <f t="shared" si="2123"/>
        <v>1145000</v>
      </c>
      <c r="M2939" s="317"/>
      <c r="N2939" s="372">
        <f t="shared" si="2127"/>
        <v>0</v>
      </c>
      <c r="O2939" s="336">
        <f t="shared" si="2150"/>
        <v>1259500</v>
      </c>
      <c r="P2939" s="319">
        <f t="shared" si="2155"/>
        <v>1385450</v>
      </c>
      <c r="R2939" s="317"/>
      <c r="U2939" s="320"/>
    </row>
    <row r="2940" spans="1:21" outlineLevel="3">
      <c r="A2940" s="907"/>
      <c r="B2940" s="907"/>
      <c r="C2940" s="708">
        <v>2210810</v>
      </c>
      <c r="D2940" s="736" t="s">
        <v>576</v>
      </c>
      <c r="E2940" s="529">
        <v>180000</v>
      </c>
      <c r="F2940" s="594"/>
      <c r="G2940" s="594"/>
      <c r="H2940" s="1003">
        <v>0</v>
      </c>
      <c r="I2940" s="324">
        <f t="shared" si="2134"/>
        <v>180000</v>
      </c>
      <c r="J2940" s="1003"/>
      <c r="K2940" s="1003"/>
      <c r="L2940" s="317">
        <f t="shared" si="2123"/>
        <v>180000</v>
      </c>
      <c r="M2940" s="317"/>
      <c r="N2940" s="372">
        <f t="shared" si="2127"/>
        <v>0</v>
      </c>
      <c r="O2940" s="336">
        <f t="shared" si="2150"/>
        <v>198000.00000000003</v>
      </c>
      <c r="P2940" s="319">
        <f t="shared" si="2155"/>
        <v>217800.00000000006</v>
      </c>
      <c r="R2940" s="317"/>
      <c r="U2940" s="320"/>
    </row>
    <row r="2941" spans="1:21" outlineLevel="3">
      <c r="A2941" s="907"/>
      <c r="B2941" s="907"/>
      <c r="C2941" s="707">
        <v>2211100</v>
      </c>
      <c r="D2941" s="737" t="s">
        <v>51</v>
      </c>
      <c r="E2941" s="472">
        <f>SUM(E2942:E2944)</f>
        <v>105560</v>
      </c>
      <c r="F2941" s="472">
        <f t="shared" ref="F2941:K2941" si="2157">SUM(F2942:F2944)</f>
        <v>0</v>
      </c>
      <c r="G2941" s="472">
        <f t="shared" si="2157"/>
        <v>0</v>
      </c>
      <c r="H2941" s="472">
        <f t="shared" si="2157"/>
        <v>0</v>
      </c>
      <c r="I2941" s="472">
        <f t="shared" si="2157"/>
        <v>105560</v>
      </c>
      <c r="J2941" s="472">
        <f t="shared" si="2157"/>
        <v>0</v>
      </c>
      <c r="K2941" s="472">
        <f t="shared" si="2157"/>
        <v>0</v>
      </c>
      <c r="L2941" s="317">
        <f t="shared" si="2123"/>
        <v>105560</v>
      </c>
      <c r="M2941" s="317"/>
      <c r="N2941" s="372">
        <f t="shared" si="2127"/>
        <v>0</v>
      </c>
      <c r="O2941" s="472">
        <f t="shared" ref="O2941:P2941" si="2158">SUM(O2942:O2944)</f>
        <v>116116</v>
      </c>
      <c r="P2941" s="472">
        <f t="shared" si="2158"/>
        <v>127727.60000000002</v>
      </c>
      <c r="R2941" s="317"/>
      <c r="U2941" s="320"/>
    </row>
    <row r="2942" spans="1:21" outlineLevel="3">
      <c r="A2942" s="907"/>
      <c r="B2942" s="907"/>
      <c r="C2942" s="708">
        <v>2211101</v>
      </c>
      <c r="D2942" s="736" t="s">
        <v>577</v>
      </c>
      <c r="E2942" s="917">
        <v>40600</v>
      </c>
      <c r="F2942" s="594"/>
      <c r="G2942" s="594"/>
      <c r="H2942" s="750"/>
      <c r="I2942" s="324">
        <f t="shared" si="2134"/>
        <v>40600</v>
      </c>
      <c r="J2942" s="750"/>
      <c r="K2942" s="750"/>
      <c r="L2942" s="317">
        <f t="shared" si="2123"/>
        <v>40600</v>
      </c>
      <c r="M2942" s="317"/>
      <c r="N2942" s="372">
        <f t="shared" si="2127"/>
        <v>0</v>
      </c>
      <c r="O2942" s="336">
        <f t="shared" si="2150"/>
        <v>44660</v>
      </c>
      <c r="P2942" s="319">
        <f t="shared" si="2155"/>
        <v>49126.000000000007</v>
      </c>
      <c r="R2942" s="317"/>
      <c r="U2942" s="320"/>
    </row>
    <row r="2943" spans="1:21" outlineLevel="3">
      <c r="A2943" s="907"/>
      <c r="B2943" s="907"/>
      <c r="C2943" s="708">
        <v>2211102</v>
      </c>
      <c r="D2943" s="736" t="s">
        <v>53</v>
      </c>
      <c r="E2943" s="917">
        <v>40600</v>
      </c>
      <c r="F2943" s="594"/>
      <c r="G2943" s="594"/>
      <c r="H2943" s="594"/>
      <c r="I2943" s="324">
        <f t="shared" si="2134"/>
        <v>40600</v>
      </c>
      <c r="J2943" s="594"/>
      <c r="K2943" s="594"/>
      <c r="L2943" s="317">
        <f t="shared" si="2123"/>
        <v>40600</v>
      </c>
      <c r="M2943" s="317"/>
      <c r="N2943" s="372">
        <f t="shared" si="2127"/>
        <v>0</v>
      </c>
      <c r="O2943" s="336">
        <f t="shared" si="2150"/>
        <v>44660</v>
      </c>
      <c r="P2943" s="319">
        <f t="shared" si="2155"/>
        <v>49126.000000000007</v>
      </c>
      <c r="R2943" s="317"/>
      <c r="U2943" s="320"/>
    </row>
    <row r="2944" spans="1:21" outlineLevel="3">
      <c r="A2944" s="907"/>
      <c r="B2944" s="907"/>
      <c r="C2944" s="708">
        <v>2211103</v>
      </c>
      <c r="D2944" s="736" t="s">
        <v>54</v>
      </c>
      <c r="E2944" s="917">
        <v>24360</v>
      </c>
      <c r="F2944" s="594"/>
      <c r="G2944" s="594"/>
      <c r="H2944" s="594"/>
      <c r="I2944" s="324">
        <f t="shared" si="2134"/>
        <v>24360</v>
      </c>
      <c r="J2944" s="594"/>
      <c r="K2944" s="594"/>
      <c r="L2944" s="317">
        <f t="shared" si="2123"/>
        <v>24360</v>
      </c>
      <c r="M2944" s="317"/>
      <c r="N2944" s="372">
        <f t="shared" si="2127"/>
        <v>0</v>
      </c>
      <c r="O2944" s="336">
        <f t="shared" si="2150"/>
        <v>26796.000000000004</v>
      </c>
      <c r="P2944" s="319">
        <f t="shared" si="2155"/>
        <v>29475.600000000006</v>
      </c>
      <c r="R2944" s="317"/>
      <c r="U2944" s="320"/>
    </row>
    <row r="2945" spans="1:21" outlineLevel="3">
      <c r="A2945" s="907"/>
      <c r="B2945" s="907"/>
      <c r="C2945" s="707">
        <v>2211200</v>
      </c>
      <c r="D2945" s="737" t="s">
        <v>55</v>
      </c>
      <c r="E2945" s="472">
        <f>E2946</f>
        <v>116000</v>
      </c>
      <c r="F2945" s="472">
        <f t="shared" ref="F2945:K2945" si="2159">F2946</f>
        <v>0</v>
      </c>
      <c r="G2945" s="472">
        <f t="shared" si="2159"/>
        <v>0</v>
      </c>
      <c r="H2945" s="472">
        <f t="shared" si="2159"/>
        <v>500000</v>
      </c>
      <c r="I2945" s="472">
        <f t="shared" si="2159"/>
        <v>616000</v>
      </c>
      <c r="J2945" s="472">
        <f t="shared" si="2159"/>
        <v>0</v>
      </c>
      <c r="K2945" s="472">
        <f t="shared" si="2159"/>
        <v>0</v>
      </c>
      <c r="L2945" s="317">
        <f t="shared" si="2123"/>
        <v>616000</v>
      </c>
      <c r="M2945" s="317"/>
      <c r="N2945" s="372">
        <f t="shared" si="2127"/>
        <v>0</v>
      </c>
      <c r="O2945" s="472">
        <f t="shared" ref="O2945:P2945" si="2160">O2946</f>
        <v>677600</v>
      </c>
      <c r="P2945" s="472">
        <f t="shared" si="2160"/>
        <v>745360.00000000012</v>
      </c>
      <c r="R2945" s="317"/>
      <c r="U2945" s="320"/>
    </row>
    <row r="2946" spans="1:21" outlineLevel="3">
      <c r="A2946" s="907"/>
      <c r="B2946" s="907"/>
      <c r="C2946" s="708">
        <v>2211201</v>
      </c>
      <c r="D2946" s="736" t="s">
        <v>56</v>
      </c>
      <c r="E2946" s="917">
        <v>116000</v>
      </c>
      <c r="F2946" s="594"/>
      <c r="G2946" s="594"/>
      <c r="H2946" s="1009">
        <v>500000</v>
      </c>
      <c r="I2946" s="324">
        <f t="shared" si="2134"/>
        <v>616000</v>
      </c>
      <c r="J2946" s="1009"/>
      <c r="K2946" s="1009"/>
      <c r="L2946" s="317">
        <f t="shared" si="2123"/>
        <v>616000</v>
      </c>
      <c r="M2946" s="317"/>
      <c r="N2946" s="372">
        <f t="shared" si="2127"/>
        <v>0</v>
      </c>
      <c r="O2946" s="336">
        <f t="shared" si="2150"/>
        <v>677600</v>
      </c>
      <c r="P2946" s="319">
        <f t="shared" si="2155"/>
        <v>745360.00000000012</v>
      </c>
      <c r="R2946" s="317"/>
      <c r="U2946" s="320"/>
    </row>
    <row r="2947" spans="1:21" outlineLevel="3">
      <c r="A2947" s="907"/>
      <c r="B2947" s="907"/>
      <c r="C2947" s="707">
        <v>2211300</v>
      </c>
      <c r="D2947" s="737" t="s">
        <v>57</v>
      </c>
      <c r="E2947" s="472">
        <f>SUM(E2948:E2948)</f>
        <v>29000</v>
      </c>
      <c r="F2947" s="472">
        <f t="shared" ref="F2947:K2947" si="2161">SUM(F2948:F2948)</f>
        <v>0</v>
      </c>
      <c r="G2947" s="472">
        <f t="shared" si="2161"/>
        <v>0</v>
      </c>
      <c r="H2947" s="472">
        <f t="shared" si="2161"/>
        <v>0</v>
      </c>
      <c r="I2947" s="472">
        <f t="shared" si="2161"/>
        <v>29000</v>
      </c>
      <c r="J2947" s="472">
        <f t="shared" si="2161"/>
        <v>0</v>
      </c>
      <c r="K2947" s="472">
        <f t="shared" si="2161"/>
        <v>0</v>
      </c>
      <c r="L2947" s="317">
        <f t="shared" si="2123"/>
        <v>29000</v>
      </c>
      <c r="M2947" s="317"/>
      <c r="N2947" s="372">
        <f t="shared" si="2127"/>
        <v>0</v>
      </c>
      <c r="O2947" s="472">
        <f t="shared" ref="O2947:P2947" si="2162">SUM(O2948:O2948)</f>
        <v>31900.000000000004</v>
      </c>
      <c r="P2947" s="472">
        <f t="shared" si="2162"/>
        <v>35090.000000000007</v>
      </c>
      <c r="R2947" s="317"/>
      <c r="U2947" s="320"/>
    </row>
    <row r="2948" spans="1:21" outlineLevel="3">
      <c r="A2948" s="907"/>
      <c r="B2948" s="907"/>
      <c r="C2948" s="708">
        <v>2211301</v>
      </c>
      <c r="D2948" s="736" t="s">
        <v>198</v>
      </c>
      <c r="E2948" s="917">
        <v>29000</v>
      </c>
      <c r="F2948" s="594"/>
      <c r="G2948" s="594"/>
      <c r="H2948" s="1008"/>
      <c r="I2948" s="324">
        <f t="shared" si="2134"/>
        <v>29000</v>
      </c>
      <c r="J2948" s="1008"/>
      <c r="K2948" s="1008"/>
      <c r="L2948" s="317">
        <f t="shared" si="2123"/>
        <v>29000</v>
      </c>
      <c r="M2948" s="317"/>
      <c r="N2948" s="372">
        <f t="shared" si="2127"/>
        <v>0</v>
      </c>
      <c r="O2948" s="336">
        <f t="shared" si="2150"/>
        <v>31900.000000000004</v>
      </c>
      <c r="P2948" s="319">
        <f t="shared" si="2155"/>
        <v>35090.000000000007</v>
      </c>
      <c r="R2948" s="317"/>
      <c r="U2948" s="320"/>
    </row>
    <row r="2949" spans="1:21" outlineLevel="3">
      <c r="A2949" s="907"/>
      <c r="B2949" s="907"/>
      <c r="C2949" s="707">
        <v>2220100</v>
      </c>
      <c r="D2949" s="737" t="s">
        <v>62</v>
      </c>
      <c r="E2949" s="472">
        <f>E2950</f>
        <v>110200</v>
      </c>
      <c r="F2949" s="472">
        <f t="shared" ref="F2949:P2949" si="2163">F2950</f>
        <v>0</v>
      </c>
      <c r="G2949" s="472">
        <f t="shared" si="2163"/>
        <v>0</v>
      </c>
      <c r="H2949" s="472">
        <f t="shared" si="2163"/>
        <v>0</v>
      </c>
      <c r="I2949" s="472">
        <f t="shared" si="2163"/>
        <v>110200</v>
      </c>
      <c r="J2949" s="472">
        <f t="shared" si="2163"/>
        <v>0</v>
      </c>
      <c r="K2949" s="472">
        <f t="shared" si="2163"/>
        <v>0</v>
      </c>
      <c r="L2949" s="317">
        <f t="shared" ref="L2949:L3012" si="2164">I2949+J2949+K2949</f>
        <v>110200</v>
      </c>
      <c r="M2949" s="317"/>
      <c r="N2949" s="372">
        <f t="shared" si="2127"/>
        <v>0</v>
      </c>
      <c r="O2949" s="472">
        <f t="shared" si="2163"/>
        <v>121220.00000000001</v>
      </c>
      <c r="P2949" s="472">
        <f t="shared" si="2163"/>
        <v>133342.00000000003</v>
      </c>
      <c r="R2949" s="317"/>
      <c r="U2949" s="320"/>
    </row>
    <row r="2950" spans="1:21" outlineLevel="3">
      <c r="A2950" s="907"/>
      <c r="B2950" s="907"/>
      <c r="C2950" s="708">
        <v>2220101</v>
      </c>
      <c r="D2950" s="736" t="s">
        <v>578</v>
      </c>
      <c r="E2950" s="917">
        <v>110200</v>
      </c>
      <c r="F2950" s="594"/>
      <c r="G2950" s="594"/>
      <c r="H2950" s="750"/>
      <c r="I2950" s="324">
        <f t="shared" si="2134"/>
        <v>110200</v>
      </c>
      <c r="J2950" s="750"/>
      <c r="K2950" s="750"/>
      <c r="L2950" s="317">
        <f t="shared" si="2164"/>
        <v>110200</v>
      </c>
      <c r="M2950" s="317"/>
      <c r="N2950" s="372">
        <f t="shared" si="2127"/>
        <v>0</v>
      </c>
      <c r="O2950" s="336">
        <f t="shared" si="2150"/>
        <v>121220.00000000001</v>
      </c>
      <c r="P2950" s="319">
        <f t="shared" ref="P2950:P2962" si="2165">O2950*1.1</f>
        <v>133342.00000000003</v>
      </c>
      <c r="R2950" s="317"/>
      <c r="U2950" s="320"/>
    </row>
    <row r="2951" spans="1:21" outlineLevel="3">
      <c r="A2951" s="907"/>
      <c r="B2951" s="907"/>
      <c r="C2951" s="707">
        <v>2220200</v>
      </c>
      <c r="D2951" s="737" t="s">
        <v>124</v>
      </c>
      <c r="E2951" s="472">
        <f>E2952</f>
        <v>60900</v>
      </c>
      <c r="F2951" s="472">
        <f t="shared" ref="F2951:P2951" si="2166">F2952</f>
        <v>0</v>
      </c>
      <c r="G2951" s="472">
        <f t="shared" si="2166"/>
        <v>0</v>
      </c>
      <c r="H2951" s="472">
        <f t="shared" si="2166"/>
        <v>0</v>
      </c>
      <c r="I2951" s="472">
        <f t="shared" si="2166"/>
        <v>60900</v>
      </c>
      <c r="J2951" s="472">
        <f t="shared" si="2166"/>
        <v>0</v>
      </c>
      <c r="K2951" s="472">
        <f t="shared" si="2166"/>
        <v>0</v>
      </c>
      <c r="L2951" s="317">
        <f t="shared" si="2164"/>
        <v>60900</v>
      </c>
      <c r="M2951" s="317"/>
      <c r="N2951" s="372">
        <f t="shared" si="2127"/>
        <v>0</v>
      </c>
      <c r="O2951" s="472">
        <f t="shared" si="2166"/>
        <v>66990</v>
      </c>
      <c r="P2951" s="472">
        <f t="shared" si="2166"/>
        <v>73689</v>
      </c>
      <c r="R2951" s="317"/>
      <c r="U2951" s="320"/>
    </row>
    <row r="2952" spans="1:21" outlineLevel="3">
      <c r="A2952" s="907"/>
      <c r="B2952" s="907"/>
      <c r="C2952" s="708">
        <v>2220205</v>
      </c>
      <c r="D2952" s="736" t="s">
        <v>125</v>
      </c>
      <c r="E2952" s="917">
        <v>60900</v>
      </c>
      <c r="F2952" s="594"/>
      <c r="G2952" s="594"/>
      <c r="H2952" s="750"/>
      <c r="I2952" s="324">
        <f t="shared" si="2134"/>
        <v>60900</v>
      </c>
      <c r="J2952" s="750"/>
      <c r="K2952" s="750"/>
      <c r="L2952" s="317">
        <f t="shared" si="2164"/>
        <v>60900</v>
      </c>
      <c r="M2952" s="317"/>
      <c r="N2952" s="372">
        <f t="shared" si="2127"/>
        <v>0</v>
      </c>
      <c r="O2952" s="336">
        <f t="shared" si="2150"/>
        <v>66990</v>
      </c>
      <c r="P2952" s="319">
        <f t="shared" si="2165"/>
        <v>73689</v>
      </c>
      <c r="R2952" s="317"/>
      <c r="U2952" s="320"/>
    </row>
    <row r="2953" spans="1:21" outlineLevel="3">
      <c r="A2953" s="907"/>
      <c r="B2953" s="907"/>
      <c r="C2953" s="707">
        <v>3111000</v>
      </c>
      <c r="D2953" s="737" t="s">
        <v>69</v>
      </c>
      <c r="E2953" s="472">
        <f>SUM(E2954:E2956)</f>
        <v>121800</v>
      </c>
      <c r="F2953" s="472">
        <f t="shared" ref="F2953:K2953" si="2167">SUM(F2954:F2956)</f>
        <v>0</v>
      </c>
      <c r="G2953" s="472">
        <f t="shared" si="2167"/>
        <v>0</v>
      </c>
      <c r="H2953" s="472">
        <f t="shared" si="2167"/>
        <v>0</v>
      </c>
      <c r="I2953" s="472">
        <f t="shared" si="2167"/>
        <v>121800</v>
      </c>
      <c r="J2953" s="472">
        <f t="shared" si="2167"/>
        <v>0</v>
      </c>
      <c r="K2953" s="472">
        <f t="shared" si="2167"/>
        <v>0</v>
      </c>
      <c r="L2953" s="317">
        <f t="shared" si="2164"/>
        <v>121800</v>
      </c>
      <c r="M2953" s="317"/>
      <c r="N2953" s="372">
        <f t="shared" ref="N2953:N3016" si="2168">M2953-K2953</f>
        <v>0</v>
      </c>
      <c r="O2953" s="472">
        <f t="shared" ref="O2953:P2953" si="2169">SUM(O2954:O2956)</f>
        <v>133980</v>
      </c>
      <c r="P2953" s="472">
        <f t="shared" si="2169"/>
        <v>147378.00000000003</v>
      </c>
      <c r="R2953" s="317"/>
      <c r="U2953" s="320"/>
    </row>
    <row r="2954" spans="1:21" outlineLevel="3">
      <c r="A2954" s="907"/>
      <c r="B2954" s="907"/>
      <c r="C2954" s="708">
        <v>3111001</v>
      </c>
      <c r="D2954" s="736" t="s">
        <v>69</v>
      </c>
      <c r="E2954" s="917">
        <v>40600</v>
      </c>
      <c r="F2954" s="594"/>
      <c r="G2954" s="594"/>
      <c r="H2954" s="750"/>
      <c r="I2954" s="324">
        <f t="shared" si="2134"/>
        <v>40600</v>
      </c>
      <c r="J2954" s="750"/>
      <c r="K2954" s="750"/>
      <c r="L2954" s="317">
        <f t="shared" si="2164"/>
        <v>40600</v>
      </c>
      <c r="M2954" s="317"/>
      <c r="N2954" s="372">
        <f t="shared" si="2168"/>
        <v>0</v>
      </c>
      <c r="O2954" s="336">
        <f t="shared" si="2150"/>
        <v>44660</v>
      </c>
      <c r="P2954" s="319">
        <f t="shared" si="2165"/>
        <v>49126.000000000007</v>
      </c>
      <c r="R2954" s="317"/>
      <c r="U2954" s="320"/>
    </row>
    <row r="2955" spans="1:21" outlineLevel="3">
      <c r="A2955" s="907"/>
      <c r="B2955" s="907"/>
      <c r="C2955" s="708">
        <v>3111005</v>
      </c>
      <c r="D2955" s="736" t="s">
        <v>579</v>
      </c>
      <c r="E2955" s="917">
        <v>40600</v>
      </c>
      <c r="F2955" s="594"/>
      <c r="G2955" s="594"/>
      <c r="H2955" s="594"/>
      <c r="I2955" s="324">
        <f t="shared" si="2134"/>
        <v>40600</v>
      </c>
      <c r="J2955" s="594"/>
      <c r="K2955" s="594"/>
      <c r="L2955" s="317">
        <f t="shared" si="2164"/>
        <v>40600</v>
      </c>
      <c r="M2955" s="317"/>
      <c r="N2955" s="372">
        <f t="shared" si="2168"/>
        <v>0</v>
      </c>
      <c r="O2955" s="336">
        <f t="shared" si="2150"/>
        <v>44660</v>
      </c>
      <c r="P2955" s="319">
        <f t="shared" si="2165"/>
        <v>49126.000000000007</v>
      </c>
      <c r="R2955" s="317"/>
      <c r="U2955" s="320"/>
    </row>
    <row r="2956" spans="1:21" outlineLevel="3">
      <c r="A2956" s="907"/>
      <c r="B2956" s="907"/>
      <c r="C2956" s="708">
        <v>3111009</v>
      </c>
      <c r="D2956" s="736" t="s">
        <v>253</v>
      </c>
      <c r="E2956" s="917">
        <v>40600</v>
      </c>
      <c r="F2956" s="594"/>
      <c r="G2956" s="594"/>
      <c r="H2956" s="594"/>
      <c r="I2956" s="324">
        <f t="shared" si="2134"/>
        <v>40600</v>
      </c>
      <c r="J2956" s="594"/>
      <c r="K2956" s="594"/>
      <c r="L2956" s="317">
        <f t="shared" si="2164"/>
        <v>40600</v>
      </c>
      <c r="M2956" s="317"/>
      <c r="N2956" s="372">
        <f t="shared" si="2168"/>
        <v>0</v>
      </c>
      <c r="O2956" s="336">
        <f t="shared" si="2150"/>
        <v>44660</v>
      </c>
      <c r="P2956" s="319">
        <f t="shared" si="2165"/>
        <v>49126.000000000007</v>
      </c>
      <c r="R2956" s="317"/>
      <c r="U2956" s="320"/>
    </row>
    <row r="2957" spans="1:21" s="337" customFormat="1" outlineLevel="3">
      <c r="A2957" s="907"/>
      <c r="B2957" s="907"/>
      <c r="C2957" s="340">
        <v>3111400</v>
      </c>
      <c r="D2957" s="338" t="s">
        <v>602</v>
      </c>
      <c r="E2957" s="518">
        <f>E2958</f>
        <v>1376000</v>
      </c>
      <c r="F2957" s="518">
        <f t="shared" ref="F2957:P2957" si="2170">F2958</f>
        <v>0</v>
      </c>
      <c r="G2957" s="518">
        <f t="shared" si="2170"/>
        <v>0</v>
      </c>
      <c r="H2957" s="518">
        <f t="shared" si="2170"/>
        <v>0</v>
      </c>
      <c r="I2957" s="518">
        <f t="shared" si="2170"/>
        <v>1376000</v>
      </c>
      <c r="J2957" s="518">
        <f t="shared" si="2170"/>
        <v>0</v>
      </c>
      <c r="K2957" s="518">
        <f t="shared" si="2170"/>
        <v>0</v>
      </c>
      <c r="L2957" s="317">
        <f t="shared" si="2164"/>
        <v>1376000</v>
      </c>
      <c r="M2957" s="317"/>
      <c r="N2957" s="372">
        <f t="shared" si="2168"/>
        <v>0</v>
      </c>
      <c r="O2957" s="518">
        <f t="shared" si="2170"/>
        <v>1513600.0000000002</v>
      </c>
      <c r="P2957" s="518">
        <f t="shared" si="2170"/>
        <v>1664960.0000000005</v>
      </c>
      <c r="R2957" s="317"/>
      <c r="U2957" s="320"/>
    </row>
    <row r="2958" spans="1:21" outlineLevel="3">
      <c r="A2958" s="907"/>
      <c r="B2958" s="907"/>
      <c r="C2958" s="708">
        <v>3111401</v>
      </c>
      <c r="D2958" s="736" t="s">
        <v>1475</v>
      </c>
      <c r="E2958" s="529">
        <v>1376000</v>
      </c>
      <c r="F2958" s="594"/>
      <c r="G2958" s="594"/>
      <c r="H2958" s="1022"/>
      <c r="I2958" s="324">
        <f t="shared" si="2134"/>
        <v>1376000</v>
      </c>
      <c r="J2958" s="1022"/>
      <c r="K2958" s="1022"/>
      <c r="L2958" s="317">
        <f t="shared" si="2164"/>
        <v>1376000</v>
      </c>
      <c r="M2958" s="317"/>
      <c r="N2958" s="372">
        <f t="shared" si="2168"/>
        <v>0</v>
      </c>
      <c r="O2958" s="336">
        <f t="shared" si="2150"/>
        <v>1513600.0000000002</v>
      </c>
      <c r="P2958" s="319">
        <f t="shared" si="2165"/>
        <v>1664960.0000000005</v>
      </c>
      <c r="R2958" s="317"/>
      <c r="U2958" s="320"/>
    </row>
    <row r="2959" spans="1:21" outlineLevel="2">
      <c r="A2959" s="1023"/>
      <c r="B2959" s="1023"/>
      <c r="C2959" s="332"/>
      <c r="D2959" s="720" t="s">
        <v>99</v>
      </c>
      <c r="E2959" s="515">
        <f>E2957+E2953+E2951+E2949+E2947+E2945+E2941+E2936+E2928+E2924+E2920+E2916+E2913</f>
        <v>8335246</v>
      </c>
      <c r="F2959" s="515">
        <f t="shared" ref="F2959:P2959" si="2171">F2957+F2953+F2951+F2949+F2947+F2945+F2941+F2936+F2928+F2924+F2920+F2916+F2913</f>
        <v>0</v>
      </c>
      <c r="G2959" s="515">
        <f t="shared" si="2171"/>
        <v>0</v>
      </c>
      <c r="H2959" s="515">
        <f t="shared" si="2171"/>
        <v>15000000</v>
      </c>
      <c r="I2959" s="515">
        <f t="shared" si="2171"/>
        <v>23335246</v>
      </c>
      <c r="J2959" s="515">
        <f t="shared" si="2171"/>
        <v>0</v>
      </c>
      <c r="K2959" s="515">
        <f t="shared" si="2171"/>
        <v>626979</v>
      </c>
      <c r="L2959" s="317">
        <f t="shared" si="2164"/>
        <v>23962225</v>
      </c>
      <c r="M2959" s="317"/>
      <c r="N2959" s="372">
        <f t="shared" si="2168"/>
        <v>-626979</v>
      </c>
      <c r="O2959" s="515">
        <f t="shared" si="2171"/>
        <v>26358447.499999996</v>
      </c>
      <c r="P2959" s="515">
        <f t="shared" si="2171"/>
        <v>25495274.75</v>
      </c>
      <c r="R2959" s="317"/>
      <c r="U2959" s="320"/>
    </row>
    <row r="2960" spans="1:21" outlineLevel="2">
      <c r="A2960" s="907"/>
      <c r="B2960" s="907"/>
      <c r="C2960" s="707"/>
      <c r="D2960" s="737"/>
      <c r="E2960" s="917">
        <v>0</v>
      </c>
      <c r="F2960" s="750"/>
      <c r="G2960" s="750"/>
      <c r="H2960" s="1024"/>
      <c r="I2960" s="324">
        <f t="shared" si="2134"/>
        <v>0</v>
      </c>
      <c r="J2960" s="1024"/>
      <c r="K2960" s="1024"/>
      <c r="L2960" s="317">
        <f t="shared" si="2164"/>
        <v>0</v>
      </c>
      <c r="M2960" s="317"/>
      <c r="N2960" s="372">
        <f t="shared" si="2168"/>
        <v>0</v>
      </c>
      <c r="O2960" s="336">
        <f t="shared" si="2150"/>
        <v>0</v>
      </c>
      <c r="P2960" s="319">
        <f t="shared" si="2165"/>
        <v>0</v>
      </c>
      <c r="R2960" s="317"/>
      <c r="U2960" s="320"/>
    </row>
    <row r="2961" spans="1:21" outlineLevel="2">
      <c r="A2961" s="907" t="s">
        <v>168</v>
      </c>
      <c r="B2961" s="907" t="s">
        <v>146</v>
      </c>
      <c r="C2961" s="707" t="s">
        <v>92</v>
      </c>
      <c r="D2961" s="737"/>
      <c r="E2961" s="917"/>
      <c r="F2961" s="750"/>
      <c r="G2961" s="750"/>
      <c r="H2961" s="750"/>
      <c r="I2961" s="324">
        <f t="shared" si="2134"/>
        <v>0</v>
      </c>
      <c r="J2961" s="750"/>
      <c r="K2961" s="750"/>
      <c r="L2961" s="317">
        <f t="shared" si="2164"/>
        <v>0</v>
      </c>
      <c r="M2961" s="317"/>
      <c r="N2961" s="372">
        <f t="shared" si="2168"/>
        <v>0</v>
      </c>
      <c r="O2961" s="336">
        <f t="shared" si="2150"/>
        <v>0</v>
      </c>
      <c r="P2961" s="319"/>
      <c r="R2961" s="317"/>
      <c r="U2961" s="320"/>
    </row>
    <row r="2962" spans="1:21" outlineLevel="3">
      <c r="A2962" s="897"/>
      <c r="B2962" s="897"/>
      <c r="C2962" s="332">
        <v>3110504</v>
      </c>
      <c r="D2962" s="330" t="s">
        <v>2440</v>
      </c>
      <c r="E2962" s="529">
        <v>2626501</v>
      </c>
      <c r="F2962" s="389"/>
      <c r="G2962" s="389"/>
      <c r="H2962" s="750"/>
      <c r="I2962" s="324">
        <f t="shared" si="2134"/>
        <v>2626501</v>
      </c>
      <c r="J2962" s="750"/>
      <c r="K2962" s="750">
        <f>-626979-1999522</f>
        <v>-2626501</v>
      </c>
      <c r="L2962" s="317">
        <f t="shared" si="2164"/>
        <v>0</v>
      </c>
      <c r="M2962" s="317"/>
      <c r="N2962" s="372">
        <f t="shared" si="2168"/>
        <v>2626501</v>
      </c>
      <c r="O2962" s="336">
        <f t="shared" si="2150"/>
        <v>0</v>
      </c>
      <c r="P2962" s="319">
        <f t="shared" si="2165"/>
        <v>0</v>
      </c>
      <c r="Q2962" s="303" t="s">
        <v>2554</v>
      </c>
      <c r="R2962" s="317"/>
      <c r="U2962" s="320"/>
    </row>
    <row r="2963" spans="1:21" outlineLevel="2">
      <c r="A2963" s="1023"/>
      <c r="B2963" s="1023"/>
      <c r="C2963" s="720" t="s">
        <v>175</v>
      </c>
      <c r="D2963" s="330"/>
      <c r="E2963" s="515">
        <f>E2962</f>
        <v>2626501</v>
      </c>
      <c r="F2963" s="515">
        <f t="shared" ref="F2963:K2963" si="2172">F2962</f>
        <v>0</v>
      </c>
      <c r="G2963" s="515">
        <f t="shared" si="2172"/>
        <v>0</v>
      </c>
      <c r="H2963" s="515">
        <f t="shared" si="2172"/>
        <v>0</v>
      </c>
      <c r="I2963" s="515">
        <f t="shared" si="2172"/>
        <v>2626501</v>
      </c>
      <c r="J2963" s="515">
        <f t="shared" si="2172"/>
        <v>0</v>
      </c>
      <c r="K2963" s="515">
        <f t="shared" si="2172"/>
        <v>-2626501</v>
      </c>
      <c r="L2963" s="317">
        <f t="shared" si="2164"/>
        <v>0</v>
      </c>
      <c r="M2963" s="317"/>
      <c r="N2963" s="372">
        <f t="shared" si="2168"/>
        <v>2626501</v>
      </c>
      <c r="O2963" s="515">
        <f t="shared" ref="O2963:P2963" si="2173">O2962</f>
        <v>0</v>
      </c>
      <c r="P2963" s="515">
        <f t="shared" si="2173"/>
        <v>0</v>
      </c>
      <c r="R2963" s="317"/>
      <c r="U2963" s="320"/>
    </row>
    <row r="2964" spans="1:21" outlineLevel="1">
      <c r="A2964" s="1023"/>
      <c r="B2964" s="1023"/>
      <c r="C2964" s="720" t="s">
        <v>580</v>
      </c>
      <c r="D2964" s="1025"/>
      <c r="E2964" s="515">
        <f>E2959+E2963</f>
        <v>10961747</v>
      </c>
      <c r="F2964" s="515">
        <f t="shared" ref="F2964:K2964" si="2174">F2959+F2963</f>
        <v>0</v>
      </c>
      <c r="G2964" s="515">
        <f t="shared" si="2174"/>
        <v>0</v>
      </c>
      <c r="H2964" s="515">
        <f t="shared" si="2174"/>
        <v>15000000</v>
      </c>
      <c r="I2964" s="515">
        <f t="shared" si="2174"/>
        <v>25961747</v>
      </c>
      <c r="J2964" s="515">
        <f t="shared" si="2174"/>
        <v>0</v>
      </c>
      <c r="K2964" s="515">
        <f t="shared" si="2174"/>
        <v>-1999522</v>
      </c>
      <c r="L2964" s="317">
        <f t="shared" si="2164"/>
        <v>23962225</v>
      </c>
      <c r="M2964" s="317"/>
      <c r="N2964" s="372">
        <f t="shared" si="2168"/>
        <v>1999522</v>
      </c>
      <c r="O2964" s="515">
        <f t="shared" ref="O2964:P2964" si="2175">O2959+O2963</f>
        <v>26358447.499999996</v>
      </c>
      <c r="P2964" s="515">
        <f t="shared" si="2175"/>
        <v>25495274.75</v>
      </c>
      <c r="R2964" s="317"/>
      <c r="U2964" s="320"/>
    </row>
    <row r="2965" spans="1:21" outlineLevel="1">
      <c r="A2965" s="611"/>
      <c r="B2965" s="611"/>
      <c r="C2965" s="332"/>
      <c r="D2965" s="330"/>
      <c r="E2965" s="917">
        <v>0</v>
      </c>
      <c r="F2965" s="389"/>
      <c r="G2965" s="389"/>
      <c r="H2965" s="1024"/>
      <c r="I2965" s="324">
        <f t="shared" si="2134"/>
        <v>0</v>
      </c>
      <c r="J2965" s="1024"/>
      <c r="K2965" s="1024"/>
      <c r="L2965" s="317">
        <f t="shared" si="2164"/>
        <v>0</v>
      </c>
      <c r="M2965" s="317"/>
      <c r="N2965" s="372">
        <f t="shared" si="2168"/>
        <v>0</v>
      </c>
      <c r="O2965" s="336">
        <f t="shared" si="2150"/>
        <v>0</v>
      </c>
      <c r="P2965" s="319">
        <f t="shared" ref="P2965:P2983" si="2176">O2965*1.1</f>
        <v>0</v>
      </c>
      <c r="R2965" s="317"/>
      <c r="U2965" s="320"/>
    </row>
    <row r="2966" spans="1:21" outlineLevel="1">
      <c r="A2966" s="1023" t="s">
        <v>168</v>
      </c>
      <c r="B2966" s="1023"/>
      <c r="C2966" s="712" t="s">
        <v>581</v>
      </c>
      <c r="D2966" s="712"/>
      <c r="E2966" s="917">
        <v>0</v>
      </c>
      <c r="F2966" s="316"/>
      <c r="G2966" s="316"/>
      <c r="H2966" s="1003"/>
      <c r="I2966" s="324">
        <f t="shared" ref="I2966:I3031" si="2177">E2966+F2966+G2966+H2966</f>
        <v>0</v>
      </c>
      <c r="J2966" s="1003"/>
      <c r="K2966" s="1003"/>
      <c r="L2966" s="317">
        <f t="shared" si="2164"/>
        <v>0</v>
      </c>
      <c r="M2966" s="317"/>
      <c r="N2966" s="372">
        <f t="shared" si="2168"/>
        <v>0</v>
      </c>
      <c r="O2966" s="336">
        <f t="shared" si="2150"/>
        <v>0</v>
      </c>
      <c r="P2966" s="319">
        <f t="shared" si="2176"/>
        <v>0</v>
      </c>
      <c r="R2966" s="317"/>
      <c r="U2966" s="320"/>
    </row>
    <row r="2967" spans="1:21" outlineLevel="1">
      <c r="A2967" s="907"/>
      <c r="B2967" s="907" t="s">
        <v>146</v>
      </c>
      <c r="C2967" s="635" t="s">
        <v>582</v>
      </c>
      <c r="D2967" s="635"/>
      <c r="E2967" s="917">
        <v>0</v>
      </c>
      <c r="F2967" s="386"/>
      <c r="G2967" s="386"/>
      <c r="H2967" s="1026"/>
      <c r="I2967" s="324">
        <f t="shared" si="2177"/>
        <v>0</v>
      </c>
      <c r="J2967" s="1026"/>
      <c r="K2967" s="1026"/>
      <c r="L2967" s="317">
        <f t="shared" si="2164"/>
        <v>0</v>
      </c>
      <c r="M2967" s="317"/>
      <c r="N2967" s="372">
        <f t="shared" si="2168"/>
        <v>0</v>
      </c>
      <c r="O2967" s="336">
        <f t="shared" si="2150"/>
        <v>0</v>
      </c>
      <c r="P2967" s="319">
        <f t="shared" si="2176"/>
        <v>0</v>
      </c>
      <c r="R2967" s="317"/>
      <c r="U2967" s="320"/>
    </row>
    <row r="2968" spans="1:21" outlineLevel="3">
      <c r="A2968" s="907"/>
      <c r="B2968" s="907"/>
      <c r="C2968" s="707">
        <v>2210200</v>
      </c>
      <c r="D2968" s="635" t="s">
        <v>20</v>
      </c>
      <c r="E2968" s="472">
        <f>SUM(E2969:E2970)</f>
        <v>182800</v>
      </c>
      <c r="F2968" s="472">
        <f t="shared" ref="F2968:P2968" si="2178">SUM(F2969:F2970)</f>
        <v>0</v>
      </c>
      <c r="G2968" s="472">
        <f t="shared" si="2178"/>
        <v>0</v>
      </c>
      <c r="H2968" s="472">
        <f t="shared" si="2178"/>
        <v>0</v>
      </c>
      <c r="I2968" s="472">
        <f t="shared" si="2178"/>
        <v>182800</v>
      </c>
      <c r="J2968" s="472">
        <f t="shared" si="2178"/>
        <v>0</v>
      </c>
      <c r="K2968" s="472">
        <f t="shared" si="2178"/>
        <v>0</v>
      </c>
      <c r="L2968" s="317">
        <f t="shared" si="2164"/>
        <v>182800</v>
      </c>
      <c r="M2968" s="317"/>
      <c r="N2968" s="372">
        <f t="shared" si="2168"/>
        <v>0</v>
      </c>
      <c r="O2968" s="472">
        <f t="shared" si="2178"/>
        <v>201080</v>
      </c>
      <c r="P2968" s="472">
        <f t="shared" si="2178"/>
        <v>221188.00000000003</v>
      </c>
      <c r="R2968" s="317"/>
      <c r="U2968" s="320"/>
    </row>
    <row r="2969" spans="1:21" outlineLevel="3">
      <c r="A2969" s="907"/>
      <c r="B2969" s="907"/>
      <c r="C2969" s="708">
        <v>2210202</v>
      </c>
      <c r="D2969" s="709" t="s">
        <v>22</v>
      </c>
      <c r="E2969" s="917">
        <v>119000</v>
      </c>
      <c r="F2969" s="778">
        <v>0</v>
      </c>
      <c r="G2969" s="334"/>
      <c r="H2969" s="1021">
        <v>0</v>
      </c>
      <c r="I2969" s="324">
        <f t="shared" si="2177"/>
        <v>119000</v>
      </c>
      <c r="J2969" s="1021"/>
      <c r="K2969" s="1021"/>
      <c r="L2969" s="317">
        <f t="shared" si="2164"/>
        <v>119000</v>
      </c>
      <c r="M2969" s="317"/>
      <c r="N2969" s="372">
        <f t="shared" si="2168"/>
        <v>0</v>
      </c>
      <c r="O2969" s="336">
        <f t="shared" si="2150"/>
        <v>130900.00000000001</v>
      </c>
      <c r="P2969" s="319">
        <f t="shared" si="2176"/>
        <v>143990.00000000003</v>
      </c>
      <c r="R2969" s="317"/>
      <c r="U2969" s="320"/>
    </row>
    <row r="2970" spans="1:21" outlineLevel="3">
      <c r="A2970" s="907"/>
      <c r="B2970" s="907"/>
      <c r="C2970" s="708">
        <v>2210299</v>
      </c>
      <c r="D2970" s="709" t="s">
        <v>583</v>
      </c>
      <c r="E2970" s="917">
        <v>63800</v>
      </c>
      <c r="F2970" s="778">
        <v>0</v>
      </c>
      <c r="G2970" s="334"/>
      <c r="H2970" s="1027"/>
      <c r="I2970" s="324">
        <f t="shared" si="2177"/>
        <v>63800</v>
      </c>
      <c r="J2970" s="1027"/>
      <c r="K2970" s="1027"/>
      <c r="L2970" s="317">
        <f t="shared" si="2164"/>
        <v>63800</v>
      </c>
      <c r="M2970" s="317"/>
      <c r="N2970" s="372">
        <f t="shared" si="2168"/>
        <v>0</v>
      </c>
      <c r="O2970" s="336">
        <f t="shared" si="2150"/>
        <v>70180</v>
      </c>
      <c r="P2970" s="319">
        <f t="shared" si="2176"/>
        <v>77198</v>
      </c>
      <c r="R2970" s="317"/>
      <c r="U2970" s="320"/>
    </row>
    <row r="2971" spans="1:21" outlineLevel="3">
      <c r="A2971" s="907"/>
      <c r="B2971" s="907"/>
      <c r="C2971" s="707">
        <v>2210300</v>
      </c>
      <c r="D2971" s="635" t="s">
        <v>24</v>
      </c>
      <c r="E2971" s="472">
        <f>SUM(E2972:E2974)</f>
        <v>380500</v>
      </c>
      <c r="F2971" s="472">
        <f t="shared" ref="F2971:K2971" si="2179">SUM(F2972:F2974)</f>
        <v>0</v>
      </c>
      <c r="G2971" s="472">
        <f t="shared" si="2179"/>
        <v>0</v>
      </c>
      <c r="H2971" s="472">
        <f t="shared" si="2179"/>
        <v>500000</v>
      </c>
      <c r="I2971" s="472">
        <f t="shared" si="2179"/>
        <v>880500</v>
      </c>
      <c r="J2971" s="472">
        <f t="shared" si="2179"/>
        <v>0</v>
      </c>
      <c r="K2971" s="472">
        <f t="shared" si="2179"/>
        <v>0</v>
      </c>
      <c r="L2971" s="317">
        <f t="shared" si="2164"/>
        <v>880500</v>
      </c>
      <c r="M2971" s="317"/>
      <c r="N2971" s="372">
        <f t="shared" si="2168"/>
        <v>0</v>
      </c>
      <c r="O2971" s="472">
        <f t="shared" ref="O2971:P2971" si="2180">SUM(O2972:O2974)</f>
        <v>968550</v>
      </c>
      <c r="P2971" s="472">
        <f t="shared" si="2180"/>
        <v>1065405.0000000002</v>
      </c>
      <c r="R2971" s="317"/>
      <c r="U2971" s="320"/>
    </row>
    <row r="2972" spans="1:21" outlineLevel="3">
      <c r="A2972" s="907"/>
      <c r="B2972" s="907"/>
      <c r="C2972" s="708">
        <v>2210301</v>
      </c>
      <c r="D2972" s="709" t="s">
        <v>25</v>
      </c>
      <c r="E2972" s="917">
        <v>124000</v>
      </c>
      <c r="F2972" s="334"/>
      <c r="G2972" s="334"/>
      <c r="H2972" s="1028">
        <v>150000</v>
      </c>
      <c r="I2972" s="324">
        <f t="shared" si="2177"/>
        <v>274000</v>
      </c>
      <c r="J2972" s="1028"/>
      <c r="K2972" s="1028"/>
      <c r="L2972" s="317">
        <f t="shared" si="2164"/>
        <v>274000</v>
      </c>
      <c r="M2972" s="317"/>
      <c r="N2972" s="372">
        <f t="shared" si="2168"/>
        <v>0</v>
      </c>
      <c r="O2972" s="336">
        <f t="shared" si="2150"/>
        <v>301400</v>
      </c>
      <c r="P2972" s="319">
        <f t="shared" si="2176"/>
        <v>331540</v>
      </c>
      <c r="R2972" s="317"/>
      <c r="U2972" s="320"/>
    </row>
    <row r="2973" spans="1:21" outlineLevel="3">
      <c r="A2973" s="907"/>
      <c r="B2973" s="907"/>
      <c r="C2973" s="708">
        <v>2210302</v>
      </c>
      <c r="D2973" s="709" t="s">
        <v>26</v>
      </c>
      <c r="E2973" s="917">
        <v>158500</v>
      </c>
      <c r="F2973" s="334"/>
      <c r="G2973" s="334"/>
      <c r="H2973" s="1028">
        <v>250000</v>
      </c>
      <c r="I2973" s="324">
        <f t="shared" si="2177"/>
        <v>408500</v>
      </c>
      <c r="J2973" s="1028"/>
      <c r="K2973" s="1028"/>
      <c r="L2973" s="317">
        <f t="shared" si="2164"/>
        <v>408500</v>
      </c>
      <c r="M2973" s="317"/>
      <c r="N2973" s="372">
        <f t="shared" si="2168"/>
        <v>0</v>
      </c>
      <c r="O2973" s="336">
        <f t="shared" si="2150"/>
        <v>449350.00000000006</v>
      </c>
      <c r="P2973" s="319">
        <f t="shared" si="2176"/>
        <v>494285.00000000012</v>
      </c>
      <c r="R2973" s="317"/>
      <c r="U2973" s="320"/>
    </row>
    <row r="2974" spans="1:21" outlineLevel="3">
      <c r="A2974" s="907"/>
      <c r="B2974" s="907"/>
      <c r="C2974" s="708">
        <v>2210303</v>
      </c>
      <c r="D2974" s="709" t="s">
        <v>27</v>
      </c>
      <c r="E2974" s="917">
        <v>98000</v>
      </c>
      <c r="F2974" s="334"/>
      <c r="G2974" s="334"/>
      <c r="H2974" s="1028">
        <v>100000</v>
      </c>
      <c r="I2974" s="324">
        <f t="shared" si="2177"/>
        <v>198000</v>
      </c>
      <c r="J2974" s="1028"/>
      <c r="K2974" s="1028"/>
      <c r="L2974" s="317">
        <f t="shared" si="2164"/>
        <v>198000</v>
      </c>
      <c r="M2974" s="317"/>
      <c r="N2974" s="372">
        <f t="shared" si="2168"/>
        <v>0</v>
      </c>
      <c r="O2974" s="336">
        <f t="shared" si="2150"/>
        <v>217800.00000000003</v>
      </c>
      <c r="P2974" s="319">
        <f t="shared" si="2176"/>
        <v>239580.00000000006</v>
      </c>
      <c r="R2974" s="317"/>
      <c r="U2974" s="320"/>
    </row>
    <row r="2975" spans="1:21" outlineLevel="3">
      <c r="A2975" s="907"/>
      <c r="B2975" s="907"/>
      <c r="C2975" s="707">
        <v>2210700</v>
      </c>
      <c r="D2975" s="635" t="s">
        <v>35</v>
      </c>
      <c r="E2975" s="472">
        <f>SUM(E2976:E2978)</f>
        <v>378500</v>
      </c>
      <c r="F2975" s="472">
        <f t="shared" ref="F2975:K2975" si="2181">SUM(F2976:F2978)</f>
        <v>0</v>
      </c>
      <c r="G2975" s="472">
        <f t="shared" si="2181"/>
        <v>0</v>
      </c>
      <c r="H2975" s="472">
        <f t="shared" si="2181"/>
        <v>100000</v>
      </c>
      <c r="I2975" s="472">
        <f t="shared" si="2181"/>
        <v>478500</v>
      </c>
      <c r="J2975" s="472">
        <f t="shared" si="2181"/>
        <v>0</v>
      </c>
      <c r="K2975" s="472">
        <f t="shared" si="2181"/>
        <v>0</v>
      </c>
      <c r="L2975" s="317">
        <f t="shared" si="2164"/>
        <v>478500</v>
      </c>
      <c r="M2975" s="317"/>
      <c r="N2975" s="372">
        <f t="shared" si="2168"/>
        <v>0</v>
      </c>
      <c r="O2975" s="472">
        <f t="shared" ref="O2975:P2975" si="2182">SUM(O2976:O2978)</f>
        <v>526350</v>
      </c>
      <c r="P2975" s="472">
        <f t="shared" si="2182"/>
        <v>578985</v>
      </c>
      <c r="R2975" s="317"/>
      <c r="U2975" s="320"/>
    </row>
    <row r="2976" spans="1:21" outlineLevel="3">
      <c r="A2976" s="907"/>
      <c r="B2976" s="907"/>
      <c r="C2976" s="708">
        <v>2210701</v>
      </c>
      <c r="D2976" s="709" t="s">
        <v>36</v>
      </c>
      <c r="E2976" s="917">
        <v>159500</v>
      </c>
      <c r="F2976" s="334"/>
      <c r="G2976" s="334"/>
      <c r="H2976" s="1028">
        <v>100000</v>
      </c>
      <c r="I2976" s="324">
        <f t="shared" si="2177"/>
        <v>259500</v>
      </c>
      <c r="J2976" s="1028"/>
      <c r="K2976" s="1028"/>
      <c r="L2976" s="317">
        <f t="shared" si="2164"/>
        <v>259500</v>
      </c>
      <c r="M2976" s="317"/>
      <c r="N2976" s="372">
        <f t="shared" si="2168"/>
        <v>0</v>
      </c>
      <c r="O2976" s="336">
        <f t="shared" si="2150"/>
        <v>285450</v>
      </c>
      <c r="P2976" s="319">
        <f t="shared" si="2176"/>
        <v>313995</v>
      </c>
      <c r="R2976" s="317"/>
      <c r="U2976" s="320"/>
    </row>
    <row r="2977" spans="1:21" outlineLevel="3">
      <c r="A2977" s="907"/>
      <c r="B2977" s="907"/>
      <c r="C2977" s="708">
        <v>2210704</v>
      </c>
      <c r="D2977" s="709" t="s">
        <v>38</v>
      </c>
      <c r="E2977" s="917">
        <v>130500</v>
      </c>
      <c r="F2977" s="334"/>
      <c r="G2977" s="334"/>
      <c r="H2977" s="1028"/>
      <c r="I2977" s="324">
        <f t="shared" si="2177"/>
        <v>130500</v>
      </c>
      <c r="J2977" s="1028"/>
      <c r="K2977" s="1028"/>
      <c r="L2977" s="317">
        <f t="shared" si="2164"/>
        <v>130500</v>
      </c>
      <c r="M2977" s="317"/>
      <c r="N2977" s="372">
        <f t="shared" si="2168"/>
        <v>0</v>
      </c>
      <c r="O2977" s="336">
        <f t="shared" si="2150"/>
        <v>143550</v>
      </c>
      <c r="P2977" s="319">
        <f t="shared" si="2176"/>
        <v>157905</v>
      </c>
      <c r="R2977" s="317"/>
      <c r="U2977" s="320"/>
    </row>
    <row r="2978" spans="1:21" outlineLevel="3">
      <c r="A2978" s="907"/>
      <c r="B2978" s="907"/>
      <c r="C2978" s="708">
        <v>2210711</v>
      </c>
      <c r="D2978" s="709" t="s">
        <v>156</v>
      </c>
      <c r="E2978" s="917">
        <v>88500</v>
      </c>
      <c r="F2978" s="334"/>
      <c r="G2978" s="334"/>
      <c r="H2978" s="1028"/>
      <c r="I2978" s="324">
        <f t="shared" si="2177"/>
        <v>88500</v>
      </c>
      <c r="J2978" s="1028"/>
      <c r="K2978" s="1028"/>
      <c r="L2978" s="317">
        <f t="shared" si="2164"/>
        <v>88500</v>
      </c>
      <c r="M2978" s="317"/>
      <c r="N2978" s="372">
        <f t="shared" si="2168"/>
        <v>0</v>
      </c>
      <c r="O2978" s="336">
        <f t="shared" si="2150"/>
        <v>97350.000000000015</v>
      </c>
      <c r="P2978" s="319">
        <f t="shared" si="2176"/>
        <v>107085.00000000003</v>
      </c>
      <c r="R2978" s="317"/>
      <c r="U2978" s="320"/>
    </row>
    <row r="2979" spans="1:21" outlineLevel="3">
      <c r="A2979" s="907"/>
      <c r="B2979" s="907"/>
      <c r="C2979" s="707">
        <v>2210800</v>
      </c>
      <c r="D2979" s="635" t="s">
        <v>42</v>
      </c>
      <c r="E2979" s="472">
        <f>SUM(E2980:E2981)</f>
        <v>290000</v>
      </c>
      <c r="F2979" s="472">
        <f t="shared" ref="F2979:P2979" si="2183">SUM(F2980:F2981)</f>
        <v>0</v>
      </c>
      <c r="G2979" s="472">
        <f t="shared" si="2183"/>
        <v>0</v>
      </c>
      <c r="H2979" s="472">
        <f t="shared" si="2183"/>
        <v>0</v>
      </c>
      <c r="I2979" s="472">
        <f t="shared" si="2183"/>
        <v>290000</v>
      </c>
      <c r="J2979" s="472">
        <f t="shared" si="2183"/>
        <v>0</v>
      </c>
      <c r="K2979" s="472">
        <f t="shared" si="2183"/>
        <v>0</v>
      </c>
      <c r="L2979" s="317">
        <f t="shared" si="2164"/>
        <v>290000</v>
      </c>
      <c r="M2979" s="317"/>
      <c r="N2979" s="372">
        <f t="shared" si="2168"/>
        <v>0</v>
      </c>
      <c r="O2979" s="472">
        <f t="shared" si="2183"/>
        <v>319000.00000000006</v>
      </c>
      <c r="P2979" s="472">
        <f t="shared" si="2183"/>
        <v>350900.00000000012</v>
      </c>
      <c r="R2979" s="317"/>
      <c r="U2979" s="320"/>
    </row>
    <row r="2980" spans="1:21" outlineLevel="3">
      <c r="A2980" s="907"/>
      <c r="B2980" s="907"/>
      <c r="C2980" s="708">
        <v>2210801</v>
      </c>
      <c r="D2980" s="709" t="s">
        <v>2421</v>
      </c>
      <c r="E2980" s="917">
        <v>203000</v>
      </c>
      <c r="F2980" s="778">
        <v>0</v>
      </c>
      <c r="G2980" s="334"/>
      <c r="H2980" s="1027"/>
      <c r="I2980" s="324">
        <f t="shared" si="2177"/>
        <v>203000</v>
      </c>
      <c r="J2980" s="1027"/>
      <c r="K2980" s="1027"/>
      <c r="L2980" s="317">
        <f t="shared" si="2164"/>
        <v>203000</v>
      </c>
      <c r="M2980" s="317"/>
      <c r="N2980" s="372">
        <f t="shared" si="2168"/>
        <v>0</v>
      </c>
      <c r="O2980" s="336">
        <f t="shared" si="2150"/>
        <v>223300.00000000003</v>
      </c>
      <c r="P2980" s="319">
        <f t="shared" si="2176"/>
        <v>245630.00000000006</v>
      </c>
      <c r="R2980" s="317"/>
      <c r="U2980" s="320"/>
    </row>
    <row r="2981" spans="1:21" outlineLevel="3">
      <c r="A2981" s="907"/>
      <c r="B2981" s="907"/>
      <c r="C2981" s="708">
        <v>2210802</v>
      </c>
      <c r="D2981" s="709" t="s">
        <v>45</v>
      </c>
      <c r="E2981" s="917">
        <v>87000</v>
      </c>
      <c r="F2981" s="334"/>
      <c r="G2981" s="334"/>
      <c r="H2981" s="1027"/>
      <c r="I2981" s="324">
        <f t="shared" si="2177"/>
        <v>87000</v>
      </c>
      <c r="J2981" s="1027"/>
      <c r="K2981" s="1027"/>
      <c r="L2981" s="317">
        <f t="shared" si="2164"/>
        <v>87000</v>
      </c>
      <c r="M2981" s="317"/>
      <c r="N2981" s="372">
        <f t="shared" si="2168"/>
        <v>0</v>
      </c>
      <c r="O2981" s="336">
        <f t="shared" si="2150"/>
        <v>95700.000000000015</v>
      </c>
      <c r="P2981" s="319">
        <f t="shared" si="2176"/>
        <v>105270.00000000003</v>
      </c>
      <c r="R2981" s="317"/>
      <c r="U2981" s="320"/>
    </row>
    <row r="2982" spans="1:21" s="337" customFormat="1" outlineLevel="3">
      <c r="A2982" s="907"/>
      <c r="B2982" s="907"/>
      <c r="C2982" s="707">
        <v>2211200</v>
      </c>
      <c r="D2982" s="635" t="s">
        <v>55</v>
      </c>
      <c r="E2982" s="472">
        <f>E2983</f>
        <v>168200</v>
      </c>
      <c r="F2982" s="472">
        <f t="shared" ref="F2982:P2982" si="2184">F2983</f>
        <v>0</v>
      </c>
      <c r="G2982" s="472">
        <f t="shared" si="2184"/>
        <v>0</v>
      </c>
      <c r="H2982" s="472">
        <f t="shared" si="2184"/>
        <v>500000</v>
      </c>
      <c r="I2982" s="472">
        <f t="shared" si="2184"/>
        <v>668200</v>
      </c>
      <c r="J2982" s="472">
        <f t="shared" si="2184"/>
        <v>0</v>
      </c>
      <c r="K2982" s="472">
        <f t="shared" si="2184"/>
        <v>0</v>
      </c>
      <c r="L2982" s="317">
        <f t="shared" si="2164"/>
        <v>668200</v>
      </c>
      <c r="M2982" s="317"/>
      <c r="N2982" s="372">
        <f t="shared" si="2168"/>
        <v>0</v>
      </c>
      <c r="O2982" s="472">
        <f t="shared" si="2184"/>
        <v>735020.00000000012</v>
      </c>
      <c r="P2982" s="472">
        <f t="shared" si="2184"/>
        <v>808522.00000000023</v>
      </c>
      <c r="R2982" s="317"/>
      <c r="U2982" s="320"/>
    </row>
    <row r="2983" spans="1:21" outlineLevel="3">
      <c r="A2983" s="907"/>
      <c r="B2983" s="907"/>
      <c r="C2983" s="708">
        <v>2211201</v>
      </c>
      <c r="D2983" s="709" t="s">
        <v>56</v>
      </c>
      <c r="E2983" s="917">
        <v>168200</v>
      </c>
      <c r="F2983" s="334"/>
      <c r="G2983" s="334"/>
      <c r="H2983" s="1029">
        <v>500000</v>
      </c>
      <c r="I2983" s="324">
        <f t="shared" si="2177"/>
        <v>668200</v>
      </c>
      <c r="J2983" s="1029"/>
      <c r="K2983" s="1029"/>
      <c r="L2983" s="317">
        <f t="shared" si="2164"/>
        <v>668200</v>
      </c>
      <c r="M2983" s="317"/>
      <c r="N2983" s="372">
        <f t="shared" si="2168"/>
        <v>0</v>
      </c>
      <c r="O2983" s="336">
        <f t="shared" si="2150"/>
        <v>735020.00000000012</v>
      </c>
      <c r="P2983" s="319">
        <f t="shared" si="2176"/>
        <v>808522.00000000023</v>
      </c>
      <c r="R2983" s="317"/>
      <c r="U2983" s="320"/>
    </row>
    <row r="2984" spans="1:21" outlineLevel="3">
      <c r="A2984" s="907"/>
      <c r="B2984" s="907"/>
      <c r="C2984" s="707">
        <v>2211300</v>
      </c>
      <c r="D2984" s="635" t="s">
        <v>57</v>
      </c>
      <c r="E2984" s="472">
        <f>E2985</f>
        <v>180000</v>
      </c>
      <c r="F2984" s="472">
        <f t="shared" ref="F2984:K2984" si="2185">F2985</f>
        <v>0</v>
      </c>
      <c r="G2984" s="472">
        <f t="shared" si="2185"/>
        <v>0</v>
      </c>
      <c r="H2984" s="472">
        <f t="shared" si="2185"/>
        <v>-100000</v>
      </c>
      <c r="I2984" s="472">
        <f t="shared" si="2185"/>
        <v>80000</v>
      </c>
      <c r="J2984" s="472">
        <f t="shared" si="2185"/>
        <v>0</v>
      </c>
      <c r="K2984" s="472">
        <f t="shared" si="2185"/>
        <v>0</v>
      </c>
      <c r="L2984" s="317">
        <f t="shared" si="2164"/>
        <v>80000</v>
      </c>
      <c r="M2984" s="317"/>
      <c r="N2984" s="372">
        <f t="shared" si="2168"/>
        <v>0</v>
      </c>
      <c r="O2984" s="472">
        <f t="shared" ref="O2984:P2984" si="2186">O2985</f>
        <v>88000</v>
      </c>
      <c r="P2984" s="472">
        <f t="shared" si="2186"/>
        <v>96800.000000000015</v>
      </c>
      <c r="R2984" s="317"/>
      <c r="U2984" s="320"/>
    </row>
    <row r="2985" spans="1:21" outlineLevel="3">
      <c r="A2985" s="907"/>
      <c r="B2985" s="907"/>
      <c r="C2985" s="708">
        <v>2211306</v>
      </c>
      <c r="D2985" s="709" t="s">
        <v>1477</v>
      </c>
      <c r="E2985" s="917">
        <v>180000</v>
      </c>
      <c r="F2985" s="334"/>
      <c r="G2985" s="334"/>
      <c r="H2985" s="1028">
        <v>-100000</v>
      </c>
      <c r="I2985" s="324">
        <f t="shared" si="2177"/>
        <v>80000</v>
      </c>
      <c r="J2985" s="1028"/>
      <c r="K2985" s="1028"/>
      <c r="L2985" s="317">
        <f t="shared" si="2164"/>
        <v>80000</v>
      </c>
      <c r="M2985" s="317"/>
      <c r="N2985" s="372">
        <f t="shared" si="2168"/>
        <v>0</v>
      </c>
      <c r="O2985" s="336">
        <f t="shared" ref="O2985:O3049" si="2187">L2985*1.1</f>
        <v>88000</v>
      </c>
      <c r="P2985" s="319">
        <f t="shared" ref="P2985:P2998" si="2188">O2985*1.1</f>
        <v>96800.000000000015</v>
      </c>
      <c r="R2985" s="317"/>
      <c r="U2985" s="320"/>
    </row>
    <row r="2986" spans="1:21" outlineLevel="3">
      <c r="A2986" s="611"/>
      <c r="B2986" s="611"/>
      <c r="C2986" s="707">
        <v>2220200</v>
      </c>
      <c r="D2986" s="635" t="s">
        <v>86</v>
      </c>
      <c r="E2986" s="472">
        <f>SUM(E2987:E2988)</f>
        <v>127600</v>
      </c>
      <c r="F2986" s="472">
        <f t="shared" ref="F2986:K2986" si="2189">SUM(F2987:F2988)</f>
        <v>0</v>
      </c>
      <c r="G2986" s="472">
        <f t="shared" si="2189"/>
        <v>0</v>
      </c>
      <c r="H2986" s="472">
        <f t="shared" si="2189"/>
        <v>0</v>
      </c>
      <c r="I2986" s="472">
        <f t="shared" si="2189"/>
        <v>127600</v>
      </c>
      <c r="J2986" s="472">
        <f t="shared" si="2189"/>
        <v>0</v>
      </c>
      <c r="K2986" s="472">
        <f t="shared" si="2189"/>
        <v>0</v>
      </c>
      <c r="L2986" s="317">
        <f t="shared" si="2164"/>
        <v>127600</v>
      </c>
      <c r="M2986" s="317"/>
      <c r="N2986" s="372">
        <f t="shared" si="2168"/>
        <v>0</v>
      </c>
      <c r="O2986" s="472">
        <f t="shared" ref="O2986:P2986" si="2190">SUM(O2987:O2988)</f>
        <v>140360</v>
      </c>
      <c r="P2986" s="472">
        <f t="shared" si="2190"/>
        <v>154396.00000000003</v>
      </c>
      <c r="R2986" s="317"/>
      <c r="U2986" s="320"/>
    </row>
    <row r="2987" spans="1:21" outlineLevel="3">
      <c r="A2987" s="907"/>
      <c r="B2987" s="907"/>
      <c r="C2987" s="708">
        <v>2220202</v>
      </c>
      <c r="D2987" s="709" t="s">
        <v>495</v>
      </c>
      <c r="E2987" s="917">
        <v>40600</v>
      </c>
      <c r="F2987" s="334"/>
      <c r="G2987" s="334"/>
      <c r="H2987" s="1027"/>
      <c r="I2987" s="324">
        <f t="shared" si="2177"/>
        <v>40600</v>
      </c>
      <c r="J2987" s="1027"/>
      <c r="K2987" s="1027"/>
      <c r="L2987" s="317">
        <f t="shared" si="2164"/>
        <v>40600</v>
      </c>
      <c r="M2987" s="317"/>
      <c r="N2987" s="372">
        <f t="shared" si="2168"/>
        <v>0</v>
      </c>
      <c r="O2987" s="336">
        <f t="shared" si="2187"/>
        <v>44660</v>
      </c>
      <c r="P2987" s="319">
        <f t="shared" si="2188"/>
        <v>49126.000000000007</v>
      </c>
      <c r="R2987" s="317"/>
      <c r="U2987" s="320"/>
    </row>
    <row r="2988" spans="1:21" outlineLevel="3">
      <c r="A2988" s="907"/>
      <c r="B2988" s="907"/>
      <c r="C2988" s="708">
        <v>2220210</v>
      </c>
      <c r="D2988" s="709" t="s">
        <v>163</v>
      </c>
      <c r="E2988" s="917">
        <v>87000</v>
      </c>
      <c r="F2988" s="334"/>
      <c r="G2988" s="334"/>
      <c r="H2988" s="1027"/>
      <c r="I2988" s="324">
        <f t="shared" si="2177"/>
        <v>87000</v>
      </c>
      <c r="J2988" s="1027"/>
      <c r="K2988" s="1027"/>
      <c r="L2988" s="317">
        <f t="shared" si="2164"/>
        <v>87000</v>
      </c>
      <c r="M2988" s="317"/>
      <c r="N2988" s="372">
        <f t="shared" si="2168"/>
        <v>0</v>
      </c>
      <c r="O2988" s="336">
        <f t="shared" si="2187"/>
        <v>95700.000000000015</v>
      </c>
      <c r="P2988" s="319">
        <f t="shared" si="2188"/>
        <v>105270.00000000003</v>
      </c>
      <c r="R2988" s="317"/>
      <c r="U2988" s="320"/>
    </row>
    <row r="2989" spans="1:21" outlineLevel="3">
      <c r="A2989" s="907"/>
      <c r="B2989" s="907"/>
      <c r="C2989" s="707">
        <v>3111000</v>
      </c>
      <c r="D2989" s="635" t="s">
        <v>69</v>
      </c>
      <c r="E2989" s="472">
        <f>E2990</f>
        <v>81200</v>
      </c>
      <c r="F2989" s="472">
        <f t="shared" ref="F2989:K2989" si="2191">F2990</f>
        <v>0</v>
      </c>
      <c r="G2989" s="472">
        <f t="shared" si="2191"/>
        <v>0</v>
      </c>
      <c r="H2989" s="472">
        <f t="shared" si="2191"/>
        <v>0</v>
      </c>
      <c r="I2989" s="472">
        <f t="shared" si="2191"/>
        <v>81200</v>
      </c>
      <c r="J2989" s="472">
        <f t="shared" si="2191"/>
        <v>0</v>
      </c>
      <c r="K2989" s="472">
        <f t="shared" si="2191"/>
        <v>0</v>
      </c>
      <c r="L2989" s="317">
        <f t="shared" si="2164"/>
        <v>81200</v>
      </c>
      <c r="M2989" s="317"/>
      <c r="N2989" s="372">
        <f t="shared" si="2168"/>
        <v>0</v>
      </c>
      <c r="O2989" s="472">
        <f t="shared" ref="O2989:P2989" si="2192">O2990</f>
        <v>89320</v>
      </c>
      <c r="P2989" s="472">
        <f t="shared" si="2192"/>
        <v>98252.000000000015</v>
      </c>
      <c r="R2989" s="317"/>
      <c r="U2989" s="320"/>
    </row>
    <row r="2990" spans="1:21" outlineLevel="3">
      <c r="A2990" s="907"/>
      <c r="B2990" s="907"/>
      <c r="C2990" s="708">
        <v>3111002</v>
      </c>
      <c r="D2990" s="709" t="s">
        <v>71</v>
      </c>
      <c r="E2990" s="917">
        <v>81200</v>
      </c>
      <c r="F2990" s="334"/>
      <c r="G2990" s="334"/>
      <c r="H2990" s="1027"/>
      <c r="I2990" s="324">
        <f t="shared" si="2177"/>
        <v>81200</v>
      </c>
      <c r="J2990" s="1027"/>
      <c r="K2990" s="1027"/>
      <c r="L2990" s="317">
        <f t="shared" si="2164"/>
        <v>81200</v>
      </c>
      <c r="M2990" s="317"/>
      <c r="N2990" s="372">
        <f t="shared" si="2168"/>
        <v>0</v>
      </c>
      <c r="O2990" s="336">
        <f t="shared" si="2187"/>
        <v>89320</v>
      </c>
      <c r="P2990" s="319">
        <f t="shared" si="2188"/>
        <v>98252.000000000015</v>
      </c>
      <c r="R2990" s="317"/>
      <c r="U2990" s="320"/>
    </row>
    <row r="2991" spans="1:21" outlineLevel="3">
      <c r="A2991" s="907"/>
      <c r="B2991" s="907"/>
      <c r="C2991" s="707">
        <v>3111100</v>
      </c>
      <c r="D2991" s="635" t="s">
        <v>584</v>
      </c>
      <c r="E2991" s="472">
        <f>SUM(E2992+E2993)</f>
        <v>4334000</v>
      </c>
      <c r="F2991" s="472">
        <f t="shared" ref="F2991:P2991" si="2193">SUM(F2992+F2993)</f>
        <v>0</v>
      </c>
      <c r="G2991" s="472">
        <f t="shared" si="2193"/>
        <v>0</v>
      </c>
      <c r="H2991" s="472">
        <f t="shared" si="2193"/>
        <v>0</v>
      </c>
      <c r="I2991" s="472">
        <f t="shared" si="2193"/>
        <v>4334000</v>
      </c>
      <c r="J2991" s="472">
        <f t="shared" si="2193"/>
        <v>0</v>
      </c>
      <c r="K2991" s="472">
        <f t="shared" si="2193"/>
        <v>0</v>
      </c>
      <c r="L2991" s="317">
        <f t="shared" si="2164"/>
        <v>4334000</v>
      </c>
      <c r="M2991" s="317"/>
      <c r="N2991" s="372">
        <f t="shared" si="2168"/>
        <v>0</v>
      </c>
      <c r="O2991" s="472">
        <f t="shared" si="2193"/>
        <v>4767400</v>
      </c>
      <c r="P2991" s="472">
        <f t="shared" si="2193"/>
        <v>5244140.0000000009</v>
      </c>
      <c r="R2991" s="317"/>
      <c r="U2991" s="320"/>
    </row>
    <row r="2992" spans="1:21" outlineLevel="3">
      <c r="A2992" s="907"/>
      <c r="B2992" s="907"/>
      <c r="C2992" s="331" t="s">
        <v>74</v>
      </c>
      <c r="D2992" s="709" t="s">
        <v>1478</v>
      </c>
      <c r="E2992" s="917">
        <v>3200000</v>
      </c>
      <c r="F2992" s="334"/>
      <c r="G2992" s="334"/>
      <c r="H2992" s="1027"/>
      <c r="I2992" s="324">
        <f t="shared" si="2177"/>
        <v>3200000</v>
      </c>
      <c r="J2992" s="1027"/>
      <c r="K2992" s="1027"/>
      <c r="L2992" s="317">
        <f t="shared" si="2164"/>
        <v>3200000</v>
      </c>
      <c r="M2992" s="317"/>
      <c r="N2992" s="372">
        <f t="shared" si="2168"/>
        <v>0</v>
      </c>
      <c r="O2992" s="336">
        <f t="shared" si="2187"/>
        <v>3520000.0000000005</v>
      </c>
      <c r="P2992" s="319">
        <f t="shared" si="2188"/>
        <v>3872000.0000000009</v>
      </c>
      <c r="R2992" s="317"/>
      <c r="U2992" s="320"/>
    </row>
    <row r="2993" spans="1:21" outlineLevel="3">
      <c r="A2993" s="907"/>
      <c r="B2993" s="907"/>
      <c r="C2993" s="331" t="s">
        <v>74</v>
      </c>
      <c r="D2993" s="709" t="s">
        <v>1479</v>
      </c>
      <c r="E2993" s="389">
        <v>1134000</v>
      </c>
      <c r="F2993" s="778">
        <v>0</v>
      </c>
      <c r="G2993" s="334"/>
      <c r="H2993" s="1027"/>
      <c r="I2993" s="324">
        <f t="shared" si="2177"/>
        <v>1134000</v>
      </c>
      <c r="J2993" s="1027"/>
      <c r="K2993" s="1027"/>
      <c r="L2993" s="317">
        <f t="shared" si="2164"/>
        <v>1134000</v>
      </c>
      <c r="M2993" s="317"/>
      <c r="N2993" s="372">
        <f t="shared" si="2168"/>
        <v>0</v>
      </c>
      <c r="O2993" s="336">
        <f t="shared" si="2187"/>
        <v>1247400</v>
      </c>
      <c r="P2993" s="319">
        <f t="shared" si="2188"/>
        <v>1372140</v>
      </c>
      <c r="R2993" s="317"/>
      <c r="U2993" s="320"/>
    </row>
    <row r="2994" spans="1:21" outlineLevel="2">
      <c r="A2994" s="1023"/>
      <c r="B2994" s="1023"/>
      <c r="C2994" s="720"/>
      <c r="D2994" s="712" t="s">
        <v>585</v>
      </c>
      <c r="E2994" s="515">
        <f>E2968+E2971+E2975+E2979+E2982+E2984+E2986+E2989+E2991</f>
        <v>6122800</v>
      </c>
      <c r="F2994" s="515">
        <f t="shared" ref="F2994:K2994" si="2194">F2968+F2971+F2975+F2979+F2982+F2984+F2986+F2989+F2991</f>
        <v>0</v>
      </c>
      <c r="G2994" s="515">
        <f t="shared" si="2194"/>
        <v>0</v>
      </c>
      <c r="H2994" s="515">
        <f t="shared" si="2194"/>
        <v>1000000</v>
      </c>
      <c r="I2994" s="515">
        <f t="shared" si="2194"/>
        <v>7122800</v>
      </c>
      <c r="J2994" s="515">
        <f t="shared" si="2194"/>
        <v>0</v>
      </c>
      <c r="K2994" s="515">
        <f t="shared" si="2194"/>
        <v>0</v>
      </c>
      <c r="L2994" s="317">
        <f t="shared" si="2164"/>
        <v>7122800</v>
      </c>
      <c r="M2994" s="317"/>
      <c r="N2994" s="372">
        <f t="shared" si="2168"/>
        <v>0</v>
      </c>
      <c r="O2994" s="515">
        <f t="shared" ref="O2994:P2994" si="2195">O2968+O2971+O2975+O2979+O2982+O2984+O2986+O2989+O2991</f>
        <v>7835080</v>
      </c>
      <c r="P2994" s="515">
        <f t="shared" si="2195"/>
        <v>8618588.0000000019</v>
      </c>
      <c r="R2994" s="317"/>
      <c r="U2994" s="320"/>
    </row>
    <row r="2995" spans="1:21" outlineLevel="2">
      <c r="A2995" s="611"/>
      <c r="B2995" s="611"/>
      <c r="C2995" s="332"/>
      <c r="D2995" s="330"/>
      <c r="E2995" s="389"/>
      <c r="F2995" s="389"/>
      <c r="G2995" s="389"/>
      <c r="H2995" s="1024"/>
      <c r="I2995" s="324">
        <f t="shared" si="2177"/>
        <v>0</v>
      </c>
      <c r="J2995" s="1024"/>
      <c r="K2995" s="1024"/>
      <c r="L2995" s="317">
        <f t="shared" si="2164"/>
        <v>0</v>
      </c>
      <c r="M2995" s="317"/>
      <c r="N2995" s="372">
        <f t="shared" si="2168"/>
        <v>0</v>
      </c>
      <c r="O2995" s="336">
        <f t="shared" si="2187"/>
        <v>0</v>
      </c>
      <c r="P2995" s="319">
        <f t="shared" si="2188"/>
        <v>0</v>
      </c>
      <c r="R2995" s="317"/>
      <c r="U2995" s="320"/>
    </row>
    <row r="2996" spans="1:21" outlineLevel="2">
      <c r="A2996" s="611"/>
      <c r="B2996" s="611"/>
      <c r="C2996" s="332"/>
      <c r="D2996" s="330"/>
      <c r="E2996" s="389"/>
      <c r="F2996" s="389"/>
      <c r="G2996" s="389"/>
      <c r="H2996" s="1003"/>
      <c r="I2996" s="324">
        <f t="shared" si="2177"/>
        <v>0</v>
      </c>
      <c r="J2996" s="1003"/>
      <c r="K2996" s="1003"/>
      <c r="L2996" s="317">
        <f t="shared" si="2164"/>
        <v>0</v>
      </c>
      <c r="M2996" s="317"/>
      <c r="N2996" s="372">
        <f t="shared" si="2168"/>
        <v>0</v>
      </c>
      <c r="O2996" s="336">
        <f t="shared" si="2187"/>
        <v>0</v>
      </c>
      <c r="P2996" s="319">
        <f t="shared" si="2188"/>
        <v>0</v>
      </c>
      <c r="R2996" s="317"/>
      <c r="U2996" s="320"/>
    </row>
    <row r="2997" spans="1:21" outlineLevel="2">
      <c r="A2997" s="611"/>
      <c r="B2997" s="611"/>
      <c r="C2997" s="332"/>
      <c r="D2997" s="338" t="s">
        <v>92</v>
      </c>
      <c r="E2997" s="389">
        <f>E2998+E2999+E3000</f>
        <v>2216000</v>
      </c>
      <c r="F2997" s="389">
        <f t="shared" ref="F2997:L2997" si="2196">F2998+F2999+F3000</f>
        <v>0</v>
      </c>
      <c r="G2997" s="389">
        <f t="shared" si="2196"/>
        <v>0</v>
      </c>
      <c r="H2997" s="389">
        <f t="shared" si="2196"/>
        <v>0</v>
      </c>
      <c r="I2997" s="389">
        <f t="shared" si="2196"/>
        <v>2216000</v>
      </c>
      <c r="J2997" s="389">
        <f t="shared" si="2196"/>
        <v>0</v>
      </c>
      <c r="K2997" s="389">
        <f t="shared" si="2196"/>
        <v>8099522</v>
      </c>
      <c r="L2997" s="389">
        <f t="shared" si="2196"/>
        <v>10315522</v>
      </c>
      <c r="M2997" s="389"/>
      <c r="N2997" s="372">
        <f t="shared" si="2168"/>
        <v>-8099522</v>
      </c>
      <c r="O2997" s="397">
        <f t="shared" ref="O2997" si="2197">O2998</f>
        <v>1628682.0000000002</v>
      </c>
      <c r="P2997" s="397">
        <f t="shared" ref="P2997" si="2198">P2998</f>
        <v>1791550.2000000004</v>
      </c>
      <c r="R2997" s="389"/>
      <c r="U2997" s="1030"/>
    </row>
    <row r="2998" spans="1:21" outlineLevel="3">
      <c r="A2998" s="611"/>
      <c r="B2998" s="611"/>
      <c r="C2998" s="332">
        <v>3110504</v>
      </c>
      <c r="D2998" s="330" t="s">
        <v>1480</v>
      </c>
      <c r="E2998" s="389">
        <v>2216000</v>
      </c>
      <c r="F2998" s="389"/>
      <c r="G2998" s="389"/>
      <c r="H2998" s="1022"/>
      <c r="I2998" s="324">
        <f t="shared" si="2177"/>
        <v>2216000</v>
      </c>
      <c r="J2998" s="1022"/>
      <c r="K2998" s="1003">
        <v>-735380</v>
      </c>
      <c r="L2998" s="317">
        <f t="shared" si="2164"/>
        <v>1480620</v>
      </c>
      <c r="M2998" s="317"/>
      <c r="N2998" s="372">
        <f t="shared" si="2168"/>
        <v>735380</v>
      </c>
      <c r="O2998" s="336">
        <f t="shared" si="2187"/>
        <v>1628682.0000000002</v>
      </c>
      <c r="P2998" s="319">
        <f t="shared" si="2188"/>
        <v>1791550.2000000004</v>
      </c>
      <c r="Q2998" s="303" t="s">
        <v>2541</v>
      </c>
      <c r="R2998" s="317"/>
      <c r="U2998" s="320"/>
    </row>
    <row r="2999" spans="1:21" outlineLevel="3">
      <c r="A2999" s="611"/>
      <c r="B2999" s="611"/>
      <c r="C2999" s="332">
        <v>3111111</v>
      </c>
      <c r="D2999" s="330" t="s">
        <v>2542</v>
      </c>
      <c r="E2999" s="389"/>
      <c r="F2999" s="389"/>
      <c r="G2999" s="389"/>
      <c r="H2999" s="1022"/>
      <c r="I2999" s="324">
        <f t="shared" si="2177"/>
        <v>0</v>
      </c>
      <c r="J2999" s="1022"/>
      <c r="K2999" s="1003">
        <v>2235380</v>
      </c>
      <c r="L2999" s="317">
        <f t="shared" si="2164"/>
        <v>2235380</v>
      </c>
      <c r="M2999" s="317"/>
      <c r="N2999" s="372">
        <f t="shared" si="2168"/>
        <v>-2235380</v>
      </c>
      <c r="O2999" s="336"/>
      <c r="P2999" s="319"/>
      <c r="Q2999" s="303" t="s">
        <v>2544</v>
      </c>
      <c r="R2999" s="317"/>
      <c r="U2999" s="320"/>
    </row>
    <row r="3000" spans="1:21" outlineLevel="3">
      <c r="A3000" s="611"/>
      <c r="B3000" s="611"/>
      <c r="C3000" s="332">
        <v>3111111</v>
      </c>
      <c r="D3000" s="330" t="s">
        <v>2543</v>
      </c>
      <c r="E3000" s="389"/>
      <c r="F3000" s="389"/>
      <c r="G3000" s="389"/>
      <c r="H3000" s="1022"/>
      <c r="I3000" s="324">
        <f t="shared" si="2177"/>
        <v>0</v>
      </c>
      <c r="J3000" s="1003"/>
      <c r="K3000" s="1003">
        <v>6599522</v>
      </c>
      <c r="L3000" s="317">
        <f t="shared" si="2164"/>
        <v>6599522</v>
      </c>
      <c r="M3000" s="317"/>
      <c r="N3000" s="372">
        <f t="shared" si="2168"/>
        <v>-6599522</v>
      </c>
      <c r="O3000" s="336"/>
      <c r="P3000" s="319"/>
      <c r="Q3000" s="303" t="s">
        <v>2555</v>
      </c>
      <c r="R3000" s="317"/>
      <c r="U3000" s="320"/>
    </row>
    <row r="3001" spans="1:21" outlineLevel="2">
      <c r="A3001" s="612"/>
      <c r="B3001" s="612"/>
      <c r="C3001" s="340"/>
      <c r="D3001" s="712" t="s">
        <v>175</v>
      </c>
      <c r="E3001" s="438">
        <f>E2997</f>
        <v>2216000</v>
      </c>
      <c r="F3001" s="438">
        <f t="shared" ref="F3001:K3001" si="2199">F2997</f>
        <v>0</v>
      </c>
      <c r="G3001" s="438">
        <f t="shared" si="2199"/>
        <v>0</v>
      </c>
      <c r="H3001" s="438">
        <f t="shared" si="2199"/>
        <v>0</v>
      </c>
      <c r="I3001" s="438">
        <f t="shared" si="2199"/>
        <v>2216000</v>
      </c>
      <c r="J3001" s="438">
        <f t="shared" si="2199"/>
        <v>0</v>
      </c>
      <c r="K3001" s="438">
        <f t="shared" si="2199"/>
        <v>8099522</v>
      </c>
      <c r="L3001" s="317">
        <f t="shared" si="2164"/>
        <v>10315522</v>
      </c>
      <c r="M3001" s="317"/>
      <c r="N3001" s="372">
        <f t="shared" si="2168"/>
        <v>-8099522</v>
      </c>
      <c r="O3001" s="438">
        <f t="shared" ref="O3001:P3001" si="2200">O2998</f>
        <v>1628682.0000000002</v>
      </c>
      <c r="P3001" s="438">
        <f t="shared" si="2200"/>
        <v>1791550.2000000004</v>
      </c>
      <c r="Q3001" s="303">
        <v>2772403</v>
      </c>
      <c r="R3001" s="317"/>
      <c r="U3001" s="320"/>
    </row>
    <row r="3002" spans="1:21" outlineLevel="1">
      <c r="A3002" s="612"/>
      <c r="B3002" s="612"/>
      <c r="C3002" s="340"/>
      <c r="D3002" s="712" t="s">
        <v>84</v>
      </c>
      <c r="E3002" s="438">
        <f>E3001+E2994</f>
        <v>8338800</v>
      </c>
      <c r="F3002" s="438">
        <f t="shared" ref="F3002:P3002" si="2201">F3001+F2994</f>
        <v>0</v>
      </c>
      <c r="G3002" s="438">
        <f t="shared" si="2201"/>
        <v>0</v>
      </c>
      <c r="H3002" s="438">
        <f t="shared" si="2201"/>
        <v>1000000</v>
      </c>
      <c r="I3002" s="438">
        <f t="shared" si="2201"/>
        <v>9338800</v>
      </c>
      <c r="J3002" s="438">
        <f t="shared" si="2201"/>
        <v>0</v>
      </c>
      <c r="K3002" s="438">
        <f t="shared" si="2201"/>
        <v>8099522</v>
      </c>
      <c r="L3002" s="317">
        <f t="shared" si="2164"/>
        <v>17438322</v>
      </c>
      <c r="M3002" s="317"/>
      <c r="N3002" s="372">
        <f t="shared" si="2168"/>
        <v>-8099522</v>
      </c>
      <c r="O3002" s="438">
        <f t="shared" si="2201"/>
        <v>9463762</v>
      </c>
      <c r="P3002" s="438">
        <f t="shared" si="2201"/>
        <v>10410138.200000003</v>
      </c>
      <c r="R3002" s="317"/>
      <c r="U3002" s="320"/>
    </row>
    <row r="3003" spans="1:21" outlineLevel="1">
      <c r="A3003" s="330"/>
      <c r="B3003" s="330"/>
      <c r="C3003" s="332"/>
      <c r="D3003" s="330"/>
      <c r="E3003" s="389"/>
      <c r="F3003" s="389"/>
      <c r="G3003" s="389"/>
      <c r="H3003" s="1031"/>
      <c r="I3003" s="324">
        <f t="shared" si="2177"/>
        <v>0</v>
      </c>
      <c r="J3003" s="1031"/>
      <c r="K3003" s="1031"/>
      <c r="L3003" s="317">
        <f t="shared" si="2164"/>
        <v>0</v>
      </c>
      <c r="M3003" s="317"/>
      <c r="N3003" s="372">
        <f t="shared" si="2168"/>
        <v>0</v>
      </c>
      <c r="O3003" s="336">
        <f t="shared" si="2187"/>
        <v>0</v>
      </c>
      <c r="P3003" s="319">
        <f t="shared" ref="P3003:P3017" si="2202">O3003*1.1</f>
        <v>0</v>
      </c>
      <c r="R3003" s="317"/>
      <c r="U3003" s="320"/>
    </row>
    <row r="3004" spans="1:21" outlineLevel="1">
      <c r="A3004" s="611" t="s">
        <v>144</v>
      </c>
      <c r="B3004" s="611"/>
      <c r="C3004" s="340" t="s">
        <v>586</v>
      </c>
      <c r="D3004" s="338"/>
      <c r="E3004" s="389"/>
      <c r="F3004" s="397"/>
      <c r="G3004" s="397"/>
      <c r="H3004" s="397"/>
      <c r="I3004" s="324">
        <f t="shared" si="2177"/>
        <v>0</v>
      </c>
      <c r="J3004" s="397"/>
      <c r="K3004" s="397"/>
      <c r="L3004" s="317">
        <f t="shared" si="2164"/>
        <v>0</v>
      </c>
      <c r="M3004" s="317"/>
      <c r="N3004" s="372">
        <f t="shared" si="2168"/>
        <v>0</v>
      </c>
      <c r="O3004" s="336">
        <f t="shared" si="2187"/>
        <v>0</v>
      </c>
      <c r="P3004" s="319">
        <f t="shared" si="2202"/>
        <v>0</v>
      </c>
      <c r="R3004" s="317"/>
      <c r="U3004" s="320"/>
    </row>
    <row r="3005" spans="1:21" outlineLevel="1">
      <c r="A3005" s="611"/>
      <c r="B3005" s="611" t="s">
        <v>146</v>
      </c>
      <c r="C3005" s="340" t="s">
        <v>587</v>
      </c>
      <c r="D3005" s="338"/>
      <c r="E3005" s="389"/>
      <c r="F3005" s="397"/>
      <c r="G3005" s="397"/>
      <c r="H3005" s="397"/>
      <c r="I3005" s="324">
        <f t="shared" si="2177"/>
        <v>0</v>
      </c>
      <c r="J3005" s="397"/>
      <c r="K3005" s="397"/>
      <c r="L3005" s="317">
        <f t="shared" si="2164"/>
        <v>0</v>
      </c>
      <c r="M3005" s="317"/>
      <c r="N3005" s="372">
        <f t="shared" si="2168"/>
        <v>0</v>
      </c>
      <c r="O3005" s="336">
        <f t="shared" si="2187"/>
        <v>0</v>
      </c>
      <c r="P3005" s="319">
        <f t="shared" si="2202"/>
        <v>0</v>
      </c>
      <c r="R3005" s="317"/>
      <c r="U3005" s="320"/>
    </row>
    <row r="3006" spans="1:21" outlineLevel="2">
      <c r="A3006" s="612"/>
      <c r="B3006" s="612"/>
      <c r="C3006" s="340">
        <v>2210100</v>
      </c>
      <c r="D3006" s="338" t="s">
        <v>16</v>
      </c>
      <c r="E3006" s="397">
        <f>SUM(E3007)</f>
        <v>29000</v>
      </c>
      <c r="F3006" s="397">
        <f t="shared" ref="F3006:K3006" si="2203">SUM(F3007)</f>
        <v>0</v>
      </c>
      <c r="G3006" s="397">
        <f t="shared" si="2203"/>
        <v>0</v>
      </c>
      <c r="H3006" s="397">
        <f t="shared" si="2203"/>
        <v>0</v>
      </c>
      <c r="I3006" s="397">
        <f t="shared" si="2203"/>
        <v>29000</v>
      </c>
      <c r="J3006" s="397">
        <f t="shared" si="2203"/>
        <v>0</v>
      </c>
      <c r="K3006" s="397">
        <f t="shared" si="2203"/>
        <v>0</v>
      </c>
      <c r="L3006" s="317">
        <f t="shared" si="2164"/>
        <v>29000</v>
      </c>
      <c r="M3006" s="317"/>
      <c r="N3006" s="372">
        <f t="shared" si="2168"/>
        <v>0</v>
      </c>
      <c r="O3006" s="397">
        <f t="shared" ref="O3006:P3006" si="2204">SUM(O3007)</f>
        <v>31900.000000000004</v>
      </c>
      <c r="P3006" s="397">
        <f t="shared" si="2204"/>
        <v>35090.000000000007</v>
      </c>
      <c r="R3006" s="317"/>
      <c r="U3006" s="320"/>
    </row>
    <row r="3007" spans="1:21" outlineLevel="2">
      <c r="A3007" s="611"/>
      <c r="B3007" s="611"/>
      <c r="C3007" s="332">
        <v>2210101</v>
      </c>
      <c r="D3007" s="330" t="s">
        <v>17</v>
      </c>
      <c r="E3007" s="389">
        <v>29000</v>
      </c>
      <c r="F3007" s="389"/>
      <c r="G3007" s="389"/>
      <c r="H3007" s="389"/>
      <c r="I3007" s="324">
        <f t="shared" si="2177"/>
        <v>29000</v>
      </c>
      <c r="J3007" s="389"/>
      <c r="K3007" s="389"/>
      <c r="L3007" s="317">
        <f t="shared" si="2164"/>
        <v>29000</v>
      </c>
      <c r="M3007" s="317"/>
      <c r="N3007" s="372">
        <f t="shared" si="2168"/>
        <v>0</v>
      </c>
      <c r="O3007" s="336">
        <f t="shared" si="2187"/>
        <v>31900.000000000004</v>
      </c>
      <c r="P3007" s="319">
        <f t="shared" si="2202"/>
        <v>35090.000000000007</v>
      </c>
      <c r="R3007" s="317"/>
      <c r="U3007" s="320"/>
    </row>
    <row r="3008" spans="1:21" outlineLevel="2">
      <c r="A3008" s="612"/>
      <c r="B3008" s="612"/>
      <c r="C3008" s="340">
        <v>2210200</v>
      </c>
      <c r="D3008" s="338" t="s">
        <v>20</v>
      </c>
      <c r="E3008" s="397">
        <f>SUM(E3009)</f>
        <v>57000</v>
      </c>
      <c r="F3008" s="397">
        <f t="shared" ref="F3008:P3008" si="2205">SUM(F3009)</f>
        <v>0</v>
      </c>
      <c r="G3008" s="397">
        <f t="shared" si="2205"/>
        <v>0</v>
      </c>
      <c r="H3008" s="397">
        <f t="shared" si="2205"/>
        <v>0</v>
      </c>
      <c r="I3008" s="397">
        <f t="shared" si="2205"/>
        <v>57000</v>
      </c>
      <c r="J3008" s="397">
        <f t="shared" si="2205"/>
        <v>0</v>
      </c>
      <c r="K3008" s="397">
        <f t="shared" si="2205"/>
        <v>0</v>
      </c>
      <c r="L3008" s="317">
        <f t="shared" si="2164"/>
        <v>57000</v>
      </c>
      <c r="M3008" s="317"/>
      <c r="N3008" s="372">
        <f t="shared" si="2168"/>
        <v>0</v>
      </c>
      <c r="O3008" s="397">
        <f t="shared" si="2205"/>
        <v>62700.000000000007</v>
      </c>
      <c r="P3008" s="397">
        <f t="shared" si="2205"/>
        <v>68970.000000000015</v>
      </c>
      <c r="R3008" s="317"/>
      <c r="U3008" s="320"/>
    </row>
    <row r="3009" spans="1:21" outlineLevel="2">
      <c r="A3009" s="611"/>
      <c r="B3009" s="611"/>
      <c r="C3009" s="332">
        <v>2210201</v>
      </c>
      <c r="D3009" s="330" t="s">
        <v>187</v>
      </c>
      <c r="E3009" s="389">
        <v>57000</v>
      </c>
      <c r="F3009" s="389"/>
      <c r="G3009" s="389"/>
      <c r="H3009" s="389"/>
      <c r="I3009" s="324">
        <f t="shared" si="2177"/>
        <v>57000</v>
      </c>
      <c r="J3009" s="389"/>
      <c r="K3009" s="389"/>
      <c r="L3009" s="317">
        <f t="shared" si="2164"/>
        <v>57000</v>
      </c>
      <c r="M3009" s="317"/>
      <c r="N3009" s="372">
        <f t="shared" si="2168"/>
        <v>0</v>
      </c>
      <c r="O3009" s="336">
        <f t="shared" si="2187"/>
        <v>62700.000000000007</v>
      </c>
      <c r="P3009" s="319">
        <f t="shared" si="2202"/>
        <v>68970.000000000015</v>
      </c>
      <c r="R3009" s="317"/>
      <c r="U3009" s="320"/>
    </row>
    <row r="3010" spans="1:21" outlineLevel="2">
      <c r="A3010" s="612"/>
      <c r="B3010" s="612"/>
      <c r="C3010" s="340">
        <v>2210300</v>
      </c>
      <c r="D3010" s="338" t="s">
        <v>24</v>
      </c>
      <c r="E3010" s="397">
        <f>SUM(E3011:E3015)</f>
        <v>573000</v>
      </c>
      <c r="F3010" s="397">
        <f t="shared" ref="F3010:P3010" si="2206">SUM(F3011:F3015)</f>
        <v>0</v>
      </c>
      <c r="G3010" s="397">
        <f t="shared" si="2206"/>
        <v>0</v>
      </c>
      <c r="H3010" s="397">
        <f t="shared" si="2206"/>
        <v>0</v>
      </c>
      <c r="I3010" s="397">
        <f t="shared" si="2206"/>
        <v>573000</v>
      </c>
      <c r="J3010" s="397">
        <f t="shared" si="2206"/>
        <v>0</v>
      </c>
      <c r="K3010" s="397">
        <f t="shared" si="2206"/>
        <v>0</v>
      </c>
      <c r="L3010" s="317">
        <f t="shared" si="2164"/>
        <v>573000</v>
      </c>
      <c r="M3010" s="317"/>
      <c r="N3010" s="372">
        <f t="shared" si="2168"/>
        <v>0</v>
      </c>
      <c r="O3010" s="397">
        <f t="shared" si="2206"/>
        <v>630300</v>
      </c>
      <c r="P3010" s="397">
        <f t="shared" si="2206"/>
        <v>693330.00000000012</v>
      </c>
      <c r="R3010" s="317"/>
      <c r="U3010" s="320"/>
    </row>
    <row r="3011" spans="1:21" outlineLevel="2">
      <c r="A3011" s="611"/>
      <c r="B3011" s="611"/>
      <c r="C3011" s="332">
        <v>2210301</v>
      </c>
      <c r="D3011" s="330" t="s">
        <v>188</v>
      </c>
      <c r="E3011" s="389">
        <v>174000</v>
      </c>
      <c r="F3011" s="389"/>
      <c r="G3011" s="389"/>
      <c r="H3011" s="389"/>
      <c r="I3011" s="324">
        <f t="shared" si="2177"/>
        <v>174000</v>
      </c>
      <c r="J3011" s="389"/>
      <c r="K3011" s="389"/>
      <c r="L3011" s="317">
        <f t="shared" si="2164"/>
        <v>174000</v>
      </c>
      <c r="M3011" s="317"/>
      <c r="N3011" s="372">
        <f t="shared" si="2168"/>
        <v>0</v>
      </c>
      <c r="O3011" s="336">
        <f t="shared" si="2187"/>
        <v>191400.00000000003</v>
      </c>
      <c r="P3011" s="319">
        <f t="shared" si="2202"/>
        <v>210540.00000000006</v>
      </c>
      <c r="R3011" s="317"/>
      <c r="U3011" s="320"/>
    </row>
    <row r="3012" spans="1:21" outlineLevel="2">
      <c r="A3012" s="611"/>
      <c r="B3012" s="611"/>
      <c r="C3012" s="332">
        <v>2210302</v>
      </c>
      <c r="D3012" s="330" t="s">
        <v>26</v>
      </c>
      <c r="E3012" s="389">
        <v>174000</v>
      </c>
      <c r="F3012" s="389"/>
      <c r="G3012" s="389"/>
      <c r="H3012" s="389"/>
      <c r="I3012" s="324">
        <f t="shared" si="2177"/>
        <v>174000</v>
      </c>
      <c r="J3012" s="389"/>
      <c r="K3012" s="389"/>
      <c r="L3012" s="317">
        <f t="shared" si="2164"/>
        <v>174000</v>
      </c>
      <c r="M3012" s="317"/>
      <c r="N3012" s="372">
        <f t="shared" si="2168"/>
        <v>0</v>
      </c>
      <c r="O3012" s="336">
        <f t="shared" si="2187"/>
        <v>191400.00000000003</v>
      </c>
      <c r="P3012" s="319">
        <f t="shared" si="2202"/>
        <v>210540.00000000006</v>
      </c>
      <c r="R3012" s="317"/>
      <c r="U3012" s="320"/>
    </row>
    <row r="3013" spans="1:21" outlineLevel="2">
      <c r="A3013" s="611"/>
      <c r="B3013" s="611"/>
      <c r="C3013" s="332">
        <v>2210303</v>
      </c>
      <c r="D3013" s="330" t="s">
        <v>223</v>
      </c>
      <c r="E3013" s="389">
        <v>145000</v>
      </c>
      <c r="F3013" s="389"/>
      <c r="G3013" s="389"/>
      <c r="H3013" s="389"/>
      <c r="I3013" s="324">
        <f t="shared" si="2177"/>
        <v>145000</v>
      </c>
      <c r="J3013" s="389"/>
      <c r="K3013" s="389"/>
      <c r="L3013" s="317">
        <f t="shared" ref="L3013:L3076" si="2207">I3013+J3013+K3013</f>
        <v>145000</v>
      </c>
      <c r="M3013" s="317"/>
      <c r="N3013" s="372">
        <f t="shared" si="2168"/>
        <v>0</v>
      </c>
      <c r="O3013" s="336">
        <f t="shared" si="2187"/>
        <v>159500</v>
      </c>
      <c r="P3013" s="319">
        <f t="shared" si="2202"/>
        <v>175450</v>
      </c>
      <c r="R3013" s="317"/>
      <c r="U3013" s="320"/>
    </row>
    <row r="3014" spans="1:21" outlineLevel="2">
      <c r="A3014" s="1000"/>
      <c r="B3014" s="1000"/>
      <c r="C3014" s="1001">
        <v>2210304</v>
      </c>
      <c r="D3014" s="1002" t="s">
        <v>559</v>
      </c>
      <c r="E3014" s="1003"/>
      <c r="F3014" s="1003">
        <v>0</v>
      </c>
      <c r="G3014" s="1003"/>
      <c r="H3014" s="1003"/>
      <c r="I3014" s="324">
        <f t="shared" si="2177"/>
        <v>0</v>
      </c>
      <c r="J3014" s="1003"/>
      <c r="K3014" s="1003"/>
      <c r="L3014" s="317">
        <f t="shared" si="2207"/>
        <v>0</v>
      </c>
      <c r="M3014" s="317"/>
      <c r="N3014" s="372">
        <f t="shared" si="2168"/>
        <v>0</v>
      </c>
      <c r="O3014" s="336">
        <f t="shared" si="2187"/>
        <v>0</v>
      </c>
      <c r="P3014" s="319">
        <f t="shared" si="2202"/>
        <v>0</v>
      </c>
      <c r="R3014" s="317"/>
      <c r="U3014" s="320"/>
    </row>
    <row r="3015" spans="1:21" outlineLevel="2">
      <c r="A3015" s="1000"/>
      <c r="B3015" s="1000"/>
      <c r="C3015" s="1001">
        <v>2210310</v>
      </c>
      <c r="D3015" s="1002" t="s">
        <v>208</v>
      </c>
      <c r="E3015" s="1003">
        <v>80000</v>
      </c>
      <c r="F3015" s="1003"/>
      <c r="G3015" s="1003"/>
      <c r="H3015" s="1003"/>
      <c r="I3015" s="324">
        <f t="shared" si="2177"/>
        <v>80000</v>
      </c>
      <c r="J3015" s="1003"/>
      <c r="K3015" s="1003"/>
      <c r="L3015" s="317">
        <f t="shared" si="2207"/>
        <v>80000</v>
      </c>
      <c r="M3015" s="317"/>
      <c r="N3015" s="372">
        <f t="shared" si="2168"/>
        <v>0</v>
      </c>
      <c r="O3015" s="336">
        <f t="shared" si="2187"/>
        <v>88000</v>
      </c>
      <c r="P3015" s="319">
        <f t="shared" si="2202"/>
        <v>96800.000000000015</v>
      </c>
      <c r="R3015" s="317"/>
      <c r="U3015" s="320"/>
    </row>
    <row r="3016" spans="1:21" outlineLevel="2">
      <c r="A3016" s="1032"/>
      <c r="B3016" s="1032"/>
      <c r="C3016" s="1033">
        <v>2210500</v>
      </c>
      <c r="D3016" s="1034" t="s">
        <v>31</v>
      </c>
      <c r="E3016" s="1022">
        <f>E3017</f>
        <v>0</v>
      </c>
      <c r="F3016" s="1022">
        <f t="shared" ref="F3016:P3016" si="2208">F3017</f>
        <v>0</v>
      </c>
      <c r="G3016" s="1022">
        <f t="shared" si="2208"/>
        <v>0</v>
      </c>
      <c r="H3016" s="1022">
        <f t="shared" si="2208"/>
        <v>0</v>
      </c>
      <c r="I3016" s="1022">
        <f t="shared" si="2208"/>
        <v>0</v>
      </c>
      <c r="J3016" s="1022">
        <f t="shared" ref="J3016:K3016" si="2209">J3017</f>
        <v>0</v>
      </c>
      <c r="K3016" s="1022">
        <f t="shared" si="2209"/>
        <v>0</v>
      </c>
      <c r="L3016" s="317">
        <f t="shared" si="2207"/>
        <v>0</v>
      </c>
      <c r="M3016" s="317"/>
      <c r="N3016" s="372">
        <f t="shared" si="2168"/>
        <v>0</v>
      </c>
      <c r="O3016" s="1022">
        <f t="shared" si="2208"/>
        <v>0</v>
      </c>
      <c r="P3016" s="1022">
        <f t="shared" si="2208"/>
        <v>0</v>
      </c>
      <c r="R3016" s="317"/>
      <c r="U3016" s="320"/>
    </row>
    <row r="3017" spans="1:21" outlineLevel="2">
      <c r="A3017" s="1000"/>
      <c r="B3017" s="1000"/>
      <c r="C3017" s="1035" t="s">
        <v>588</v>
      </c>
      <c r="D3017" s="1002" t="s">
        <v>2072</v>
      </c>
      <c r="E3017" s="1003">
        <v>0</v>
      </c>
      <c r="F3017" s="1003"/>
      <c r="G3017" s="1003"/>
      <c r="H3017" s="1003">
        <f>10000000-10000000+10000000-10000000</f>
        <v>0</v>
      </c>
      <c r="I3017" s="324">
        <f t="shared" si="2177"/>
        <v>0</v>
      </c>
      <c r="J3017" s="1003"/>
      <c r="K3017" s="1003"/>
      <c r="L3017" s="317">
        <f t="shared" si="2207"/>
        <v>0</v>
      </c>
      <c r="M3017" s="317"/>
      <c r="N3017" s="372">
        <f t="shared" ref="N3017:N3080" si="2210">M3017-K3017</f>
        <v>0</v>
      </c>
      <c r="O3017" s="336">
        <f t="shared" si="2187"/>
        <v>0</v>
      </c>
      <c r="P3017" s="319">
        <f t="shared" si="2202"/>
        <v>0</v>
      </c>
      <c r="R3017" s="317"/>
      <c r="U3017" s="320"/>
    </row>
    <row r="3018" spans="1:21" outlineLevel="2">
      <c r="A3018" s="1032"/>
      <c r="B3018" s="1032"/>
      <c r="C3018" s="1033">
        <v>2210700</v>
      </c>
      <c r="D3018" s="1034" t="s">
        <v>35</v>
      </c>
      <c r="E3018" s="1022">
        <f>E3019+E3020</f>
        <v>2585000</v>
      </c>
      <c r="F3018" s="1022">
        <f t="shared" ref="F3018:P3018" si="2211">F3019+F3020</f>
        <v>0</v>
      </c>
      <c r="G3018" s="1022">
        <f t="shared" si="2211"/>
        <v>0</v>
      </c>
      <c r="H3018" s="1022">
        <f t="shared" si="2211"/>
        <v>4000000</v>
      </c>
      <c r="I3018" s="1022">
        <f t="shared" si="2211"/>
        <v>6585000</v>
      </c>
      <c r="J3018" s="1022">
        <f t="shared" si="2211"/>
        <v>0</v>
      </c>
      <c r="K3018" s="1022">
        <f t="shared" si="2211"/>
        <v>0</v>
      </c>
      <c r="L3018" s="317">
        <f t="shared" si="2207"/>
        <v>6585000</v>
      </c>
      <c r="M3018" s="317"/>
      <c r="N3018" s="372">
        <f t="shared" si="2210"/>
        <v>0</v>
      </c>
      <c r="O3018" s="1022">
        <f t="shared" si="2211"/>
        <v>7243500.0000000009</v>
      </c>
      <c r="P3018" s="1022">
        <f t="shared" si="2211"/>
        <v>7967850.0000000019</v>
      </c>
      <c r="R3018" s="317"/>
      <c r="U3018" s="320"/>
    </row>
    <row r="3019" spans="1:21" outlineLevel="2">
      <c r="A3019" s="611"/>
      <c r="B3019" s="611"/>
      <c r="C3019" s="332">
        <v>2210701</v>
      </c>
      <c r="D3019" s="330" t="s">
        <v>36</v>
      </c>
      <c r="E3019" s="389">
        <v>145000</v>
      </c>
      <c r="F3019" s="389"/>
      <c r="G3019" s="389"/>
      <c r="H3019" s="389"/>
      <c r="I3019" s="324">
        <f t="shared" si="2177"/>
        <v>145000</v>
      </c>
      <c r="J3019" s="389"/>
      <c r="K3019" s="389"/>
      <c r="L3019" s="317">
        <f t="shared" si="2207"/>
        <v>145000</v>
      </c>
      <c r="M3019" s="317"/>
      <c r="N3019" s="372">
        <f t="shared" si="2210"/>
        <v>0</v>
      </c>
      <c r="O3019" s="336">
        <f t="shared" si="2187"/>
        <v>159500</v>
      </c>
      <c r="P3019" s="319">
        <f t="shared" ref="P3019:P3039" si="2212">O3019*1.1</f>
        <v>175450</v>
      </c>
      <c r="R3019" s="317"/>
      <c r="U3019" s="320"/>
    </row>
    <row r="3020" spans="1:21" outlineLevel="2">
      <c r="A3020" s="611"/>
      <c r="B3020" s="611"/>
      <c r="C3020" s="332">
        <v>2210707</v>
      </c>
      <c r="D3020" s="330" t="s">
        <v>590</v>
      </c>
      <c r="E3020" s="389">
        <v>2440000</v>
      </c>
      <c r="F3020" s="1003"/>
      <c r="G3020" s="1003"/>
      <c r="H3020" s="1003">
        <v>4000000</v>
      </c>
      <c r="I3020" s="324">
        <f t="shared" si="2177"/>
        <v>6440000</v>
      </c>
      <c r="J3020" s="1003"/>
      <c r="K3020" s="1003"/>
      <c r="L3020" s="317">
        <f t="shared" si="2207"/>
        <v>6440000</v>
      </c>
      <c r="M3020" s="317"/>
      <c r="N3020" s="372">
        <f t="shared" si="2210"/>
        <v>0</v>
      </c>
      <c r="O3020" s="336">
        <f t="shared" si="2187"/>
        <v>7084000.0000000009</v>
      </c>
      <c r="P3020" s="319">
        <f t="shared" si="2212"/>
        <v>7792400.0000000019</v>
      </c>
      <c r="R3020" s="317"/>
      <c r="U3020" s="320"/>
    </row>
    <row r="3021" spans="1:21" outlineLevel="2">
      <c r="A3021" s="612"/>
      <c r="B3021" s="612"/>
      <c r="C3021" s="340">
        <v>2210800</v>
      </c>
      <c r="D3021" s="338" t="s">
        <v>42</v>
      </c>
      <c r="E3021" s="397">
        <f>SUM(E3022:E3023)</f>
        <v>255200</v>
      </c>
      <c r="F3021" s="397">
        <f t="shared" ref="F3021:P3021" si="2213">SUM(F3022:F3023)</f>
        <v>0</v>
      </c>
      <c r="G3021" s="397">
        <f t="shared" si="2213"/>
        <v>0</v>
      </c>
      <c r="H3021" s="397">
        <f t="shared" si="2213"/>
        <v>0</v>
      </c>
      <c r="I3021" s="397">
        <f t="shared" si="2213"/>
        <v>255200</v>
      </c>
      <c r="J3021" s="397">
        <f t="shared" si="2213"/>
        <v>0</v>
      </c>
      <c r="K3021" s="397">
        <f t="shared" si="2213"/>
        <v>0</v>
      </c>
      <c r="L3021" s="317">
        <f t="shared" si="2207"/>
        <v>255200</v>
      </c>
      <c r="M3021" s="317"/>
      <c r="N3021" s="372">
        <f t="shared" si="2210"/>
        <v>0</v>
      </c>
      <c r="O3021" s="397">
        <f t="shared" si="2213"/>
        <v>280720</v>
      </c>
      <c r="P3021" s="397">
        <f t="shared" si="2213"/>
        <v>308792</v>
      </c>
      <c r="R3021" s="317"/>
      <c r="U3021" s="320"/>
    </row>
    <row r="3022" spans="1:21" outlineLevel="2">
      <c r="A3022" s="611"/>
      <c r="B3022" s="611"/>
      <c r="C3022" s="332">
        <v>2210801</v>
      </c>
      <c r="D3022" s="330" t="s">
        <v>2421</v>
      </c>
      <c r="E3022" s="389">
        <v>139200</v>
      </c>
      <c r="F3022" s="1003"/>
      <c r="G3022" s="1003"/>
      <c r="H3022" s="1003"/>
      <c r="I3022" s="324">
        <f t="shared" si="2177"/>
        <v>139200</v>
      </c>
      <c r="J3022" s="1003"/>
      <c r="K3022" s="1003"/>
      <c r="L3022" s="317">
        <f t="shared" si="2207"/>
        <v>139200</v>
      </c>
      <c r="M3022" s="317"/>
      <c r="N3022" s="372">
        <f t="shared" si="2210"/>
        <v>0</v>
      </c>
      <c r="O3022" s="336">
        <f t="shared" si="2187"/>
        <v>153120</v>
      </c>
      <c r="P3022" s="319">
        <f t="shared" si="2212"/>
        <v>168432</v>
      </c>
      <c r="R3022" s="317"/>
      <c r="U3022" s="320"/>
    </row>
    <row r="3023" spans="1:21" outlineLevel="2">
      <c r="A3023" s="611"/>
      <c r="B3023" s="611"/>
      <c r="C3023" s="332">
        <v>2210802</v>
      </c>
      <c r="D3023" s="330" t="s">
        <v>97</v>
      </c>
      <c r="E3023" s="389">
        <v>116000</v>
      </c>
      <c r="F3023" s="1003"/>
      <c r="G3023" s="1003"/>
      <c r="H3023" s="1003"/>
      <c r="I3023" s="324">
        <f t="shared" si="2177"/>
        <v>116000</v>
      </c>
      <c r="J3023" s="1003"/>
      <c r="K3023" s="1003"/>
      <c r="L3023" s="317">
        <f t="shared" si="2207"/>
        <v>116000</v>
      </c>
      <c r="M3023" s="317"/>
      <c r="N3023" s="372">
        <f t="shared" si="2210"/>
        <v>0</v>
      </c>
      <c r="O3023" s="336">
        <f t="shared" si="2187"/>
        <v>127600.00000000001</v>
      </c>
      <c r="P3023" s="319">
        <f t="shared" si="2212"/>
        <v>140360.00000000003</v>
      </c>
      <c r="R3023" s="317"/>
      <c r="U3023" s="320"/>
    </row>
    <row r="3024" spans="1:21" outlineLevel="2">
      <c r="A3024" s="612"/>
      <c r="B3024" s="612"/>
      <c r="C3024" s="340">
        <v>2211000</v>
      </c>
      <c r="D3024" s="338" t="s">
        <v>118</v>
      </c>
      <c r="E3024" s="397">
        <f>SUM(E3025:E3026)</f>
        <v>6758000</v>
      </c>
      <c r="F3024" s="397">
        <f t="shared" ref="F3024:K3024" si="2214">SUM(F3025:F3026)</f>
        <v>0</v>
      </c>
      <c r="G3024" s="397">
        <f t="shared" si="2214"/>
        <v>-5000000</v>
      </c>
      <c r="H3024" s="397">
        <f t="shared" si="2214"/>
        <v>5000000</v>
      </c>
      <c r="I3024" s="397">
        <f t="shared" si="2214"/>
        <v>6758000</v>
      </c>
      <c r="J3024" s="397">
        <f t="shared" si="2214"/>
        <v>0</v>
      </c>
      <c r="K3024" s="397">
        <f t="shared" si="2214"/>
        <v>0</v>
      </c>
      <c r="L3024" s="317">
        <f t="shared" si="2207"/>
        <v>6758000</v>
      </c>
      <c r="M3024" s="317"/>
      <c r="N3024" s="372">
        <f t="shared" si="2210"/>
        <v>0</v>
      </c>
      <c r="O3024" s="397">
        <f t="shared" ref="O3024:P3024" si="2215">SUM(O3025:O3026)</f>
        <v>7433800.0000000009</v>
      </c>
      <c r="P3024" s="397">
        <f t="shared" si="2215"/>
        <v>8177180.0000000019</v>
      </c>
      <c r="R3024" s="317"/>
      <c r="U3024" s="320"/>
    </row>
    <row r="3025" spans="1:21" outlineLevel="2">
      <c r="A3025" s="611"/>
      <c r="B3025" s="611"/>
      <c r="C3025" s="332">
        <v>2211016</v>
      </c>
      <c r="D3025" s="330" t="s">
        <v>196</v>
      </c>
      <c r="E3025" s="389">
        <v>29000</v>
      </c>
      <c r="F3025" s="1003"/>
      <c r="G3025" s="1003"/>
      <c r="H3025" s="1003"/>
      <c r="I3025" s="324">
        <f t="shared" si="2177"/>
        <v>29000</v>
      </c>
      <c r="J3025" s="1003"/>
      <c r="K3025" s="1003"/>
      <c r="L3025" s="317">
        <f t="shared" si="2207"/>
        <v>29000</v>
      </c>
      <c r="M3025" s="317"/>
      <c r="N3025" s="372">
        <f t="shared" si="2210"/>
        <v>0</v>
      </c>
      <c r="O3025" s="336">
        <f t="shared" si="2187"/>
        <v>31900.000000000004</v>
      </c>
      <c r="P3025" s="319">
        <f t="shared" si="2212"/>
        <v>35090.000000000007</v>
      </c>
      <c r="R3025" s="317"/>
      <c r="U3025" s="320"/>
    </row>
    <row r="3026" spans="1:21" outlineLevel="2">
      <c r="A3026" s="611"/>
      <c r="B3026" s="611"/>
      <c r="C3026" s="332">
        <v>2211031</v>
      </c>
      <c r="D3026" s="330" t="s">
        <v>591</v>
      </c>
      <c r="E3026" s="389">
        <f>1729000+5000000</f>
        <v>6729000</v>
      </c>
      <c r="F3026" s="1003">
        <v>0</v>
      </c>
      <c r="G3026" s="1003">
        <v>-5000000</v>
      </c>
      <c r="H3026" s="1003">
        <v>5000000</v>
      </c>
      <c r="I3026" s="324">
        <f t="shared" si="2177"/>
        <v>6729000</v>
      </c>
      <c r="J3026" s="1003"/>
      <c r="K3026" s="1003"/>
      <c r="L3026" s="317">
        <f t="shared" si="2207"/>
        <v>6729000</v>
      </c>
      <c r="M3026" s="317"/>
      <c r="N3026" s="372">
        <f t="shared" si="2210"/>
        <v>0</v>
      </c>
      <c r="O3026" s="336">
        <f t="shared" si="2187"/>
        <v>7401900.0000000009</v>
      </c>
      <c r="P3026" s="319">
        <f t="shared" si="2212"/>
        <v>8142090.0000000019</v>
      </c>
      <c r="R3026" s="317"/>
      <c r="U3026" s="320"/>
    </row>
    <row r="3027" spans="1:21" outlineLevel="2">
      <c r="A3027" s="612"/>
      <c r="B3027" s="612"/>
      <c r="C3027" s="340">
        <v>2211100</v>
      </c>
      <c r="D3027" s="338" t="s">
        <v>51</v>
      </c>
      <c r="E3027" s="397">
        <f>SUM(E3028:E3029)</f>
        <v>153000</v>
      </c>
      <c r="F3027" s="397">
        <f t="shared" ref="F3027:K3027" si="2216">SUM(F3028:F3029)</f>
        <v>0</v>
      </c>
      <c r="G3027" s="397">
        <f t="shared" si="2216"/>
        <v>0</v>
      </c>
      <c r="H3027" s="397">
        <f t="shared" si="2216"/>
        <v>0</v>
      </c>
      <c r="I3027" s="397">
        <f t="shared" si="2216"/>
        <v>153000</v>
      </c>
      <c r="J3027" s="397">
        <f t="shared" si="2216"/>
        <v>0</v>
      </c>
      <c r="K3027" s="397">
        <f t="shared" si="2216"/>
        <v>0</v>
      </c>
      <c r="L3027" s="317">
        <f t="shared" si="2207"/>
        <v>153000</v>
      </c>
      <c r="M3027" s="317"/>
      <c r="N3027" s="372">
        <f t="shared" si="2210"/>
        <v>0</v>
      </c>
      <c r="O3027" s="397">
        <f t="shared" ref="O3027:P3027" si="2217">SUM(O3028:O3029)</f>
        <v>168300.00000000003</v>
      </c>
      <c r="P3027" s="397">
        <f t="shared" si="2217"/>
        <v>185130.00000000006</v>
      </c>
      <c r="R3027" s="317"/>
      <c r="U3027" s="320"/>
    </row>
    <row r="3028" spans="1:21" outlineLevel="2">
      <c r="A3028" s="611"/>
      <c r="B3028" s="611"/>
      <c r="C3028" s="332">
        <v>2211101</v>
      </c>
      <c r="D3028" s="330" t="s">
        <v>289</v>
      </c>
      <c r="E3028" s="389">
        <v>95000</v>
      </c>
      <c r="F3028" s="1003"/>
      <c r="G3028" s="1003"/>
      <c r="H3028" s="1003"/>
      <c r="I3028" s="324">
        <f t="shared" si="2177"/>
        <v>95000</v>
      </c>
      <c r="J3028" s="1003"/>
      <c r="K3028" s="1003"/>
      <c r="L3028" s="317">
        <f t="shared" si="2207"/>
        <v>95000</v>
      </c>
      <c r="M3028" s="317"/>
      <c r="N3028" s="372">
        <f t="shared" si="2210"/>
        <v>0</v>
      </c>
      <c r="O3028" s="336">
        <f t="shared" si="2187"/>
        <v>104500.00000000001</v>
      </c>
      <c r="P3028" s="319">
        <f t="shared" si="2212"/>
        <v>114950.00000000003</v>
      </c>
      <c r="R3028" s="317"/>
      <c r="U3028" s="320"/>
    </row>
    <row r="3029" spans="1:21" outlineLevel="2">
      <c r="A3029" s="611"/>
      <c r="B3029" s="611"/>
      <c r="C3029" s="332">
        <v>2211102</v>
      </c>
      <c r="D3029" s="330" t="s">
        <v>53</v>
      </c>
      <c r="E3029" s="389">
        <v>58000</v>
      </c>
      <c r="F3029" s="1003"/>
      <c r="G3029" s="1003"/>
      <c r="H3029" s="1003"/>
      <c r="I3029" s="324">
        <f t="shared" si="2177"/>
        <v>58000</v>
      </c>
      <c r="J3029" s="1003"/>
      <c r="K3029" s="1003"/>
      <c r="L3029" s="317">
        <f t="shared" si="2207"/>
        <v>58000</v>
      </c>
      <c r="M3029" s="317"/>
      <c r="N3029" s="372">
        <f t="shared" si="2210"/>
        <v>0</v>
      </c>
      <c r="O3029" s="336">
        <f t="shared" si="2187"/>
        <v>63800.000000000007</v>
      </c>
      <c r="P3029" s="319">
        <f t="shared" si="2212"/>
        <v>70180.000000000015</v>
      </c>
      <c r="R3029" s="317"/>
      <c r="U3029" s="320"/>
    </row>
    <row r="3030" spans="1:21" outlineLevel="2">
      <c r="A3030" s="612"/>
      <c r="B3030" s="612"/>
      <c r="C3030" s="340">
        <v>2211200</v>
      </c>
      <c r="D3030" s="338" t="s">
        <v>55</v>
      </c>
      <c r="E3030" s="397">
        <f>SUM(E3031)</f>
        <v>287000</v>
      </c>
      <c r="F3030" s="397">
        <f t="shared" ref="F3030:K3030" si="2218">SUM(F3031)</f>
        <v>0</v>
      </c>
      <c r="G3030" s="397">
        <f t="shared" si="2218"/>
        <v>0</v>
      </c>
      <c r="H3030" s="397">
        <f t="shared" si="2218"/>
        <v>200000</v>
      </c>
      <c r="I3030" s="397">
        <f t="shared" si="2218"/>
        <v>487000</v>
      </c>
      <c r="J3030" s="397">
        <f t="shared" si="2218"/>
        <v>0</v>
      </c>
      <c r="K3030" s="397">
        <f t="shared" si="2218"/>
        <v>0</v>
      </c>
      <c r="L3030" s="317">
        <f t="shared" si="2207"/>
        <v>487000</v>
      </c>
      <c r="M3030" s="317"/>
      <c r="N3030" s="372">
        <f t="shared" si="2210"/>
        <v>0</v>
      </c>
      <c r="O3030" s="397">
        <f t="shared" ref="O3030:P3030" si="2219">SUM(O3031)</f>
        <v>535700</v>
      </c>
      <c r="P3030" s="397">
        <f t="shared" si="2219"/>
        <v>589270</v>
      </c>
      <c r="R3030" s="317"/>
      <c r="U3030" s="320"/>
    </row>
    <row r="3031" spans="1:21" outlineLevel="2">
      <c r="A3031" s="611"/>
      <c r="B3031" s="611"/>
      <c r="C3031" s="332">
        <v>2211201</v>
      </c>
      <c r="D3031" s="330" t="s">
        <v>56</v>
      </c>
      <c r="E3031" s="389">
        <v>287000</v>
      </c>
      <c r="F3031" s="1003"/>
      <c r="G3031" s="1003"/>
      <c r="H3031" s="1003">
        <v>200000</v>
      </c>
      <c r="I3031" s="324">
        <f t="shared" si="2177"/>
        <v>487000</v>
      </c>
      <c r="J3031" s="1003"/>
      <c r="K3031" s="1003"/>
      <c r="L3031" s="317">
        <f t="shared" si="2207"/>
        <v>487000</v>
      </c>
      <c r="M3031" s="317"/>
      <c r="N3031" s="372">
        <f t="shared" si="2210"/>
        <v>0</v>
      </c>
      <c r="O3031" s="336">
        <f t="shared" si="2187"/>
        <v>535700</v>
      </c>
      <c r="P3031" s="319">
        <f t="shared" si="2212"/>
        <v>589270</v>
      </c>
      <c r="R3031" s="317"/>
      <c r="U3031" s="320"/>
    </row>
    <row r="3032" spans="1:21" outlineLevel="2">
      <c r="A3032" s="611"/>
      <c r="B3032" s="611"/>
      <c r="C3032" s="707">
        <v>2211300</v>
      </c>
      <c r="D3032" s="635" t="s">
        <v>57</v>
      </c>
      <c r="E3032" s="472">
        <f>E3033+E3034</f>
        <v>6639800</v>
      </c>
      <c r="F3032" s="472">
        <f t="shared" ref="F3032:K3032" si="2220">F3033+F3034</f>
        <v>0</v>
      </c>
      <c r="G3032" s="472">
        <f t="shared" si="2220"/>
        <v>0</v>
      </c>
      <c r="H3032" s="472">
        <f t="shared" si="2220"/>
        <v>0</v>
      </c>
      <c r="I3032" s="472">
        <f t="shared" si="2220"/>
        <v>6639800</v>
      </c>
      <c r="J3032" s="472">
        <f t="shared" si="2220"/>
        <v>0</v>
      </c>
      <c r="K3032" s="472">
        <f t="shared" si="2220"/>
        <v>0</v>
      </c>
      <c r="L3032" s="317">
        <f t="shared" si="2207"/>
        <v>6639800</v>
      </c>
      <c r="M3032" s="317"/>
      <c r="N3032" s="372">
        <f t="shared" si="2210"/>
        <v>0</v>
      </c>
      <c r="O3032" s="472">
        <f t="shared" ref="O3032:P3032" si="2221">O3033+O3034</f>
        <v>7303780</v>
      </c>
      <c r="P3032" s="472">
        <f t="shared" si="2221"/>
        <v>8034158.0000000019</v>
      </c>
      <c r="R3032" s="317"/>
      <c r="U3032" s="320"/>
    </row>
    <row r="3033" spans="1:21" outlineLevel="2">
      <c r="A3033" s="611"/>
      <c r="B3033" s="611"/>
      <c r="C3033" s="332">
        <v>2211306</v>
      </c>
      <c r="D3033" s="330" t="s">
        <v>592</v>
      </c>
      <c r="E3033" s="389">
        <v>1639800</v>
      </c>
      <c r="F3033" s="1003"/>
      <c r="G3033" s="1003"/>
      <c r="H3033" s="1003"/>
      <c r="I3033" s="324">
        <f t="shared" ref="I3033:I3094" si="2222">E3033+F3033+G3033+H3033</f>
        <v>1639800</v>
      </c>
      <c r="J3033" s="1003"/>
      <c r="K3033" s="1003"/>
      <c r="L3033" s="317">
        <f t="shared" si="2207"/>
        <v>1639800</v>
      </c>
      <c r="M3033" s="317"/>
      <c r="N3033" s="372">
        <f t="shared" si="2210"/>
        <v>0</v>
      </c>
      <c r="O3033" s="336">
        <f t="shared" si="2187"/>
        <v>1803780.0000000002</v>
      </c>
      <c r="P3033" s="319">
        <f t="shared" si="2212"/>
        <v>1984158.0000000005</v>
      </c>
      <c r="R3033" s="317"/>
      <c r="U3033" s="320"/>
    </row>
    <row r="3034" spans="1:21" outlineLevel="2">
      <c r="A3034" s="611"/>
      <c r="B3034" s="611"/>
      <c r="C3034" s="332">
        <v>2211399</v>
      </c>
      <c r="D3034" s="330" t="s">
        <v>1815</v>
      </c>
      <c r="E3034" s="389">
        <f>15000000-10000000</f>
        <v>5000000</v>
      </c>
      <c r="F3034" s="1003"/>
      <c r="G3034" s="1003"/>
      <c r="H3034" s="1003"/>
      <c r="I3034" s="324">
        <f t="shared" si="2222"/>
        <v>5000000</v>
      </c>
      <c r="J3034" s="1003"/>
      <c r="K3034" s="1003"/>
      <c r="L3034" s="317">
        <f t="shared" si="2207"/>
        <v>5000000</v>
      </c>
      <c r="M3034" s="317"/>
      <c r="N3034" s="372">
        <f t="shared" si="2210"/>
        <v>0</v>
      </c>
      <c r="O3034" s="336">
        <f t="shared" si="2187"/>
        <v>5500000</v>
      </c>
      <c r="P3034" s="319">
        <f t="shared" si="2212"/>
        <v>6050000.0000000009</v>
      </c>
      <c r="R3034" s="317"/>
      <c r="U3034" s="320"/>
    </row>
    <row r="3035" spans="1:21" outlineLevel="2">
      <c r="A3035" s="612"/>
      <c r="B3035" s="612"/>
      <c r="C3035" s="340">
        <v>2220100</v>
      </c>
      <c r="D3035" s="338" t="s">
        <v>62</v>
      </c>
      <c r="E3035" s="397">
        <f>SUM(E3036)</f>
        <v>69600</v>
      </c>
      <c r="F3035" s="397">
        <f t="shared" ref="F3035:K3035" si="2223">SUM(F3036)</f>
        <v>0</v>
      </c>
      <c r="G3035" s="397">
        <f t="shared" si="2223"/>
        <v>0</v>
      </c>
      <c r="H3035" s="397">
        <f t="shared" si="2223"/>
        <v>200000</v>
      </c>
      <c r="I3035" s="397">
        <f t="shared" si="2223"/>
        <v>269600</v>
      </c>
      <c r="J3035" s="397">
        <f t="shared" si="2223"/>
        <v>0</v>
      </c>
      <c r="K3035" s="397">
        <f t="shared" si="2223"/>
        <v>0</v>
      </c>
      <c r="L3035" s="317">
        <f t="shared" si="2207"/>
        <v>269600</v>
      </c>
      <c r="M3035" s="317"/>
      <c r="N3035" s="372">
        <f t="shared" si="2210"/>
        <v>0</v>
      </c>
      <c r="O3035" s="397">
        <f t="shared" ref="O3035:P3035" si="2224">SUM(O3036)</f>
        <v>296560</v>
      </c>
      <c r="P3035" s="397">
        <f t="shared" si="2224"/>
        <v>326216</v>
      </c>
      <c r="R3035" s="317"/>
      <c r="U3035" s="320"/>
    </row>
    <row r="3036" spans="1:21" outlineLevel="2">
      <c r="A3036" s="611"/>
      <c r="B3036" s="611"/>
      <c r="C3036" s="332">
        <v>2220101</v>
      </c>
      <c r="D3036" s="330" t="s">
        <v>200</v>
      </c>
      <c r="E3036" s="389">
        <v>69600</v>
      </c>
      <c r="F3036" s="1003">
        <v>0</v>
      </c>
      <c r="G3036" s="1003"/>
      <c r="H3036" s="1003">
        <v>200000</v>
      </c>
      <c r="I3036" s="324">
        <f t="shared" si="2222"/>
        <v>269600</v>
      </c>
      <c r="J3036" s="1003"/>
      <c r="K3036" s="1003"/>
      <c r="L3036" s="317">
        <f t="shared" si="2207"/>
        <v>269600</v>
      </c>
      <c r="M3036" s="317"/>
      <c r="N3036" s="372">
        <f t="shared" si="2210"/>
        <v>0</v>
      </c>
      <c r="O3036" s="336">
        <f t="shared" si="2187"/>
        <v>296560</v>
      </c>
      <c r="P3036" s="319">
        <f t="shared" si="2212"/>
        <v>326216</v>
      </c>
      <c r="R3036" s="317"/>
      <c r="U3036" s="320"/>
    </row>
    <row r="3037" spans="1:21" outlineLevel="2">
      <c r="A3037" s="612"/>
      <c r="B3037" s="612"/>
      <c r="C3037" s="340">
        <v>2220200</v>
      </c>
      <c r="D3037" s="338" t="s">
        <v>124</v>
      </c>
      <c r="E3037" s="397">
        <f>SUM(E3038:E3039)</f>
        <v>58000</v>
      </c>
      <c r="F3037" s="397">
        <f t="shared" ref="F3037:K3037" si="2225">SUM(F3038:F3039)</f>
        <v>0</v>
      </c>
      <c r="G3037" s="397">
        <f t="shared" si="2225"/>
        <v>0</v>
      </c>
      <c r="H3037" s="397">
        <f t="shared" si="2225"/>
        <v>0</v>
      </c>
      <c r="I3037" s="397">
        <f t="shared" si="2225"/>
        <v>58000</v>
      </c>
      <c r="J3037" s="397">
        <f t="shared" si="2225"/>
        <v>0</v>
      </c>
      <c r="K3037" s="397">
        <f t="shared" si="2225"/>
        <v>0</v>
      </c>
      <c r="L3037" s="317">
        <f t="shared" si="2207"/>
        <v>58000</v>
      </c>
      <c r="M3037" s="317"/>
      <c r="N3037" s="372">
        <f t="shared" si="2210"/>
        <v>0</v>
      </c>
      <c r="O3037" s="397">
        <f t="shared" ref="O3037:P3037" si="2226">SUM(O3038:O3039)</f>
        <v>63800</v>
      </c>
      <c r="P3037" s="397">
        <f t="shared" si="2226"/>
        <v>70180</v>
      </c>
      <c r="R3037" s="317"/>
      <c r="U3037" s="320"/>
    </row>
    <row r="3038" spans="1:21" outlineLevel="2">
      <c r="A3038" s="611"/>
      <c r="B3038" s="611"/>
      <c r="C3038" s="332">
        <v>2220202</v>
      </c>
      <c r="D3038" s="330" t="s">
        <v>87</v>
      </c>
      <c r="E3038" s="389">
        <v>40600</v>
      </c>
      <c r="F3038" s="1003"/>
      <c r="G3038" s="1003"/>
      <c r="H3038" s="1003"/>
      <c r="I3038" s="324">
        <f t="shared" si="2222"/>
        <v>40600</v>
      </c>
      <c r="J3038" s="1003"/>
      <c r="K3038" s="1003"/>
      <c r="L3038" s="317">
        <f t="shared" si="2207"/>
        <v>40600</v>
      </c>
      <c r="M3038" s="317"/>
      <c r="N3038" s="372">
        <f t="shared" si="2210"/>
        <v>0</v>
      </c>
      <c r="O3038" s="336">
        <f t="shared" si="2187"/>
        <v>44660</v>
      </c>
      <c r="P3038" s="319">
        <f t="shared" si="2212"/>
        <v>49126.000000000007</v>
      </c>
      <c r="R3038" s="317"/>
      <c r="U3038" s="320"/>
    </row>
    <row r="3039" spans="1:21" outlineLevel="2">
      <c r="A3039" s="611"/>
      <c r="B3039" s="611"/>
      <c r="C3039" s="332">
        <v>2220210</v>
      </c>
      <c r="D3039" s="330" t="s">
        <v>163</v>
      </c>
      <c r="E3039" s="389">
        <v>17400</v>
      </c>
      <c r="F3039" s="1003"/>
      <c r="G3039" s="1003"/>
      <c r="H3039" s="1003"/>
      <c r="I3039" s="324">
        <f t="shared" si="2222"/>
        <v>17400</v>
      </c>
      <c r="J3039" s="1003"/>
      <c r="K3039" s="1003"/>
      <c r="L3039" s="317">
        <f t="shared" si="2207"/>
        <v>17400</v>
      </c>
      <c r="M3039" s="317"/>
      <c r="N3039" s="372">
        <f t="shared" si="2210"/>
        <v>0</v>
      </c>
      <c r="O3039" s="336">
        <f t="shared" si="2187"/>
        <v>19140</v>
      </c>
      <c r="P3039" s="319">
        <f t="shared" si="2212"/>
        <v>21054</v>
      </c>
      <c r="R3039" s="317"/>
      <c r="U3039" s="320"/>
    </row>
    <row r="3040" spans="1:21" outlineLevel="1">
      <c r="A3040" s="617"/>
      <c r="B3040" s="617"/>
      <c r="C3040" s="314"/>
      <c r="D3040" s="447" t="s">
        <v>593</v>
      </c>
      <c r="E3040" s="438">
        <f>E3006+E3008+E3010+E3016+E3021+E3024+E3027+E3030+E3032+E3035+E3037+E3018</f>
        <v>17464600</v>
      </c>
      <c r="F3040" s="438">
        <f t="shared" ref="F3040:K3040" si="2227">F3006+F3008+F3010+F3016+F3021+F3024+F3027+F3030+F3032+F3035+F3037+F3018</f>
        <v>0</v>
      </c>
      <c r="G3040" s="438">
        <f t="shared" si="2227"/>
        <v>-5000000</v>
      </c>
      <c r="H3040" s="438">
        <f t="shared" si="2227"/>
        <v>9400000</v>
      </c>
      <c r="I3040" s="438">
        <f t="shared" si="2227"/>
        <v>21864600</v>
      </c>
      <c r="J3040" s="438">
        <f t="shared" si="2227"/>
        <v>0</v>
      </c>
      <c r="K3040" s="438">
        <f t="shared" si="2227"/>
        <v>0</v>
      </c>
      <c r="L3040" s="317">
        <f t="shared" si="2207"/>
        <v>21864600</v>
      </c>
      <c r="M3040" s="317"/>
      <c r="N3040" s="372">
        <f t="shared" si="2210"/>
        <v>0</v>
      </c>
      <c r="O3040" s="438">
        <f t="shared" ref="O3040:P3040" si="2228">O3006+O3008+O3010+O3016+O3021+O3024+O3027+O3030+O3032+O3035+O3037+O3018</f>
        <v>24051060</v>
      </c>
      <c r="P3040" s="438">
        <f t="shared" si="2228"/>
        <v>26456166.000000007</v>
      </c>
      <c r="R3040" s="317"/>
      <c r="U3040" s="320"/>
    </row>
    <row r="3041" spans="1:21" outlineLevel="1">
      <c r="A3041" s="612"/>
      <c r="B3041" s="612"/>
      <c r="C3041" s="340"/>
      <c r="D3041" s="338"/>
      <c r="E3041" s="397"/>
      <c r="F3041" s="397"/>
      <c r="G3041" s="397"/>
      <c r="H3041" s="397"/>
      <c r="I3041" s="324">
        <f t="shared" si="2222"/>
        <v>0</v>
      </c>
      <c r="J3041" s="397"/>
      <c r="K3041" s="397"/>
      <c r="L3041" s="317">
        <f t="shared" si="2207"/>
        <v>0</v>
      </c>
      <c r="M3041" s="317"/>
      <c r="N3041" s="372">
        <f t="shared" si="2210"/>
        <v>0</v>
      </c>
      <c r="O3041" s="336">
        <f t="shared" si="2187"/>
        <v>0</v>
      </c>
      <c r="P3041" s="319">
        <f t="shared" ref="P3041:P3059" si="2229">O3041*1.1</f>
        <v>0</v>
      </c>
      <c r="R3041" s="317"/>
      <c r="U3041" s="320"/>
    </row>
    <row r="3042" spans="1:21" outlineLevel="1">
      <c r="A3042" s="617"/>
      <c r="B3042" s="617"/>
      <c r="C3042" s="314"/>
      <c r="D3042" s="447" t="s">
        <v>594</v>
      </c>
      <c r="E3042" s="438">
        <f>E3040</f>
        <v>17464600</v>
      </c>
      <c r="F3042" s="438">
        <f t="shared" ref="F3042:K3042" si="2230">F3040</f>
        <v>0</v>
      </c>
      <c r="G3042" s="438">
        <f t="shared" si="2230"/>
        <v>-5000000</v>
      </c>
      <c r="H3042" s="438">
        <f t="shared" si="2230"/>
        <v>9400000</v>
      </c>
      <c r="I3042" s="438">
        <f t="shared" si="2230"/>
        <v>21864600</v>
      </c>
      <c r="J3042" s="438">
        <f t="shared" si="2230"/>
        <v>0</v>
      </c>
      <c r="K3042" s="438">
        <f t="shared" si="2230"/>
        <v>0</v>
      </c>
      <c r="L3042" s="317">
        <f t="shared" si="2207"/>
        <v>21864600</v>
      </c>
      <c r="M3042" s="317"/>
      <c r="N3042" s="372">
        <f t="shared" si="2210"/>
        <v>0</v>
      </c>
      <c r="O3042" s="438">
        <f t="shared" ref="O3042:P3042" si="2231">O3040</f>
        <v>24051060</v>
      </c>
      <c r="P3042" s="438">
        <f t="shared" si="2231"/>
        <v>26456166.000000007</v>
      </c>
      <c r="R3042" s="317"/>
      <c r="U3042" s="320"/>
    </row>
    <row r="3043" spans="1:21" outlineLevel="1">
      <c r="A3043" s="611"/>
      <c r="B3043" s="611"/>
      <c r="C3043" s="332"/>
      <c r="D3043" s="330"/>
      <c r="E3043" s="389"/>
      <c r="F3043" s="389"/>
      <c r="G3043" s="389"/>
      <c r="H3043" s="389"/>
      <c r="I3043" s="324">
        <f t="shared" si="2222"/>
        <v>0</v>
      </c>
      <c r="J3043" s="389"/>
      <c r="K3043" s="389"/>
      <c r="L3043" s="317">
        <f t="shared" si="2207"/>
        <v>0</v>
      </c>
      <c r="M3043" s="317"/>
      <c r="N3043" s="372">
        <f t="shared" si="2210"/>
        <v>0</v>
      </c>
      <c r="O3043" s="336">
        <f t="shared" si="2187"/>
        <v>0</v>
      </c>
      <c r="P3043" s="319">
        <f t="shared" si="2229"/>
        <v>0</v>
      </c>
      <c r="R3043" s="317"/>
      <c r="U3043" s="320"/>
    </row>
    <row r="3044" spans="1:21" outlineLevel="1">
      <c r="A3044" s="612" t="s">
        <v>144</v>
      </c>
      <c r="B3044" s="611" t="s">
        <v>146</v>
      </c>
      <c r="C3044" s="340" t="s">
        <v>595</v>
      </c>
      <c r="D3044" s="338"/>
      <c r="E3044" s="389"/>
      <c r="F3044" s="397"/>
      <c r="G3044" s="397"/>
      <c r="H3044" s="397"/>
      <c r="I3044" s="324">
        <f t="shared" si="2222"/>
        <v>0</v>
      </c>
      <c r="J3044" s="397"/>
      <c r="K3044" s="397"/>
      <c r="L3044" s="317">
        <f t="shared" si="2207"/>
        <v>0</v>
      </c>
      <c r="M3044" s="317"/>
      <c r="N3044" s="372">
        <f t="shared" si="2210"/>
        <v>0</v>
      </c>
      <c r="O3044" s="336">
        <f t="shared" si="2187"/>
        <v>0</v>
      </c>
      <c r="P3044" s="319">
        <f t="shared" si="2229"/>
        <v>0</v>
      </c>
      <c r="R3044" s="317"/>
      <c r="U3044" s="320"/>
    </row>
    <row r="3045" spans="1:21" outlineLevel="3">
      <c r="A3045" s="612"/>
      <c r="B3045" s="612"/>
      <c r="C3045" s="340">
        <v>2210100</v>
      </c>
      <c r="D3045" s="338" t="s">
        <v>16</v>
      </c>
      <c r="E3045" s="397">
        <f>SUM(E3046:E3047)</f>
        <v>49600</v>
      </c>
      <c r="F3045" s="397">
        <f t="shared" ref="F3045:P3045" si="2232">SUM(F3046:F3047)</f>
        <v>0</v>
      </c>
      <c r="G3045" s="397">
        <f t="shared" si="2232"/>
        <v>0</v>
      </c>
      <c r="H3045" s="397">
        <f t="shared" si="2232"/>
        <v>0</v>
      </c>
      <c r="I3045" s="397">
        <f t="shared" si="2232"/>
        <v>49600</v>
      </c>
      <c r="J3045" s="397">
        <f t="shared" si="2232"/>
        <v>0</v>
      </c>
      <c r="K3045" s="397">
        <f t="shared" si="2232"/>
        <v>0</v>
      </c>
      <c r="L3045" s="317">
        <f t="shared" si="2207"/>
        <v>49600</v>
      </c>
      <c r="M3045" s="317"/>
      <c r="N3045" s="372">
        <f t="shared" si="2210"/>
        <v>0</v>
      </c>
      <c r="O3045" s="397">
        <f t="shared" si="2232"/>
        <v>54560</v>
      </c>
      <c r="P3045" s="397">
        <f t="shared" si="2232"/>
        <v>60016</v>
      </c>
      <c r="R3045" s="317"/>
      <c r="U3045" s="320"/>
    </row>
    <row r="3046" spans="1:21" outlineLevel="3">
      <c r="A3046" s="611"/>
      <c r="B3046" s="611"/>
      <c r="C3046" s="332">
        <v>2210101</v>
      </c>
      <c r="D3046" s="330" t="s">
        <v>17</v>
      </c>
      <c r="E3046" s="389">
        <v>32200</v>
      </c>
      <c r="F3046" s="389"/>
      <c r="G3046" s="389"/>
      <c r="H3046" s="389"/>
      <c r="I3046" s="324">
        <f t="shared" si="2222"/>
        <v>32200</v>
      </c>
      <c r="J3046" s="389"/>
      <c r="K3046" s="389"/>
      <c r="L3046" s="317">
        <f t="shared" si="2207"/>
        <v>32200</v>
      </c>
      <c r="M3046" s="317"/>
      <c r="N3046" s="372">
        <f t="shared" si="2210"/>
        <v>0</v>
      </c>
      <c r="O3046" s="336">
        <f t="shared" si="2187"/>
        <v>35420</v>
      </c>
      <c r="P3046" s="319">
        <f t="shared" si="2229"/>
        <v>38962</v>
      </c>
      <c r="R3046" s="317"/>
      <c r="U3046" s="320"/>
    </row>
    <row r="3047" spans="1:21" outlineLevel="3">
      <c r="A3047" s="611"/>
      <c r="B3047" s="611"/>
      <c r="C3047" s="332">
        <v>2210102</v>
      </c>
      <c r="D3047" s="330" t="s">
        <v>18</v>
      </c>
      <c r="E3047" s="389">
        <v>17400</v>
      </c>
      <c r="F3047" s="389"/>
      <c r="G3047" s="389"/>
      <c r="H3047" s="389"/>
      <c r="I3047" s="324">
        <f t="shared" si="2222"/>
        <v>17400</v>
      </c>
      <c r="J3047" s="389"/>
      <c r="K3047" s="389"/>
      <c r="L3047" s="317">
        <f t="shared" si="2207"/>
        <v>17400</v>
      </c>
      <c r="M3047" s="317"/>
      <c r="N3047" s="372">
        <f t="shared" si="2210"/>
        <v>0</v>
      </c>
      <c r="O3047" s="336">
        <f t="shared" si="2187"/>
        <v>19140</v>
      </c>
      <c r="P3047" s="319">
        <f t="shared" si="2229"/>
        <v>21054</v>
      </c>
      <c r="R3047" s="317"/>
      <c r="U3047" s="320"/>
    </row>
    <row r="3048" spans="1:21" outlineLevel="3">
      <c r="A3048" s="612"/>
      <c r="B3048" s="612"/>
      <c r="C3048" s="340">
        <v>2210200</v>
      </c>
      <c r="D3048" s="338" t="s">
        <v>20</v>
      </c>
      <c r="E3048" s="397">
        <f>SUM(E3049)</f>
        <v>58000</v>
      </c>
      <c r="F3048" s="397">
        <f t="shared" ref="F3048:K3048" si="2233">SUM(F3049)</f>
        <v>0</v>
      </c>
      <c r="G3048" s="397">
        <f t="shared" si="2233"/>
        <v>0</v>
      </c>
      <c r="H3048" s="397">
        <f t="shared" si="2233"/>
        <v>0</v>
      </c>
      <c r="I3048" s="397">
        <f t="shared" si="2233"/>
        <v>58000</v>
      </c>
      <c r="J3048" s="397">
        <f t="shared" si="2233"/>
        <v>0</v>
      </c>
      <c r="K3048" s="397">
        <f t="shared" si="2233"/>
        <v>0</v>
      </c>
      <c r="L3048" s="317">
        <f t="shared" si="2207"/>
        <v>58000</v>
      </c>
      <c r="M3048" s="317"/>
      <c r="N3048" s="372">
        <f t="shared" si="2210"/>
        <v>0</v>
      </c>
      <c r="O3048" s="397">
        <f t="shared" ref="O3048:P3048" si="2234">SUM(O3049)</f>
        <v>63800.000000000007</v>
      </c>
      <c r="P3048" s="397">
        <f t="shared" si="2234"/>
        <v>70180.000000000015</v>
      </c>
      <c r="R3048" s="317"/>
      <c r="U3048" s="320"/>
    </row>
    <row r="3049" spans="1:21" outlineLevel="3">
      <c r="A3049" s="611"/>
      <c r="B3049" s="611"/>
      <c r="C3049" s="332">
        <v>2210201</v>
      </c>
      <c r="D3049" s="330" t="s">
        <v>187</v>
      </c>
      <c r="E3049" s="389">
        <v>58000</v>
      </c>
      <c r="F3049" s="389"/>
      <c r="G3049" s="389"/>
      <c r="H3049" s="389"/>
      <c r="I3049" s="324">
        <f t="shared" si="2222"/>
        <v>58000</v>
      </c>
      <c r="J3049" s="389"/>
      <c r="K3049" s="389"/>
      <c r="L3049" s="317">
        <f t="shared" si="2207"/>
        <v>58000</v>
      </c>
      <c r="M3049" s="317"/>
      <c r="N3049" s="372">
        <f t="shared" si="2210"/>
        <v>0</v>
      </c>
      <c r="O3049" s="336">
        <f t="shared" si="2187"/>
        <v>63800.000000000007</v>
      </c>
      <c r="P3049" s="319">
        <f t="shared" si="2229"/>
        <v>70180.000000000015</v>
      </c>
      <c r="R3049" s="317"/>
      <c r="U3049" s="320"/>
    </row>
    <row r="3050" spans="1:21" outlineLevel="3">
      <c r="A3050" s="612"/>
      <c r="B3050" s="612"/>
      <c r="C3050" s="340">
        <v>2210300</v>
      </c>
      <c r="D3050" s="338" t="s">
        <v>24</v>
      </c>
      <c r="E3050" s="397">
        <f>SUM(E3051:E3053)</f>
        <v>371600</v>
      </c>
      <c r="F3050" s="397">
        <f t="shared" ref="F3050:K3050" si="2235">SUM(F3051:F3053)</f>
        <v>0</v>
      </c>
      <c r="G3050" s="397">
        <f t="shared" si="2235"/>
        <v>0</v>
      </c>
      <c r="H3050" s="397">
        <f t="shared" si="2235"/>
        <v>0</v>
      </c>
      <c r="I3050" s="397">
        <f t="shared" si="2235"/>
        <v>371600</v>
      </c>
      <c r="J3050" s="397">
        <f t="shared" si="2235"/>
        <v>0</v>
      </c>
      <c r="K3050" s="397">
        <f t="shared" si="2235"/>
        <v>0</v>
      </c>
      <c r="L3050" s="317">
        <f t="shared" si="2207"/>
        <v>371600</v>
      </c>
      <c r="M3050" s="317"/>
      <c r="N3050" s="372">
        <f t="shared" si="2210"/>
        <v>0</v>
      </c>
      <c r="O3050" s="397">
        <f t="shared" ref="O3050:P3050" si="2236">SUM(O3051:O3053)</f>
        <v>408760</v>
      </c>
      <c r="P3050" s="397">
        <f t="shared" si="2236"/>
        <v>449636.00000000012</v>
      </c>
      <c r="R3050" s="317"/>
      <c r="U3050" s="320"/>
    </row>
    <row r="3051" spans="1:21" outlineLevel="3">
      <c r="A3051" s="611"/>
      <c r="B3051" s="611"/>
      <c r="C3051" s="332">
        <v>2210301</v>
      </c>
      <c r="D3051" s="330" t="s">
        <v>188</v>
      </c>
      <c r="E3051" s="389">
        <v>116000</v>
      </c>
      <c r="F3051" s="389"/>
      <c r="G3051" s="389"/>
      <c r="H3051" s="389"/>
      <c r="I3051" s="324">
        <f t="shared" si="2222"/>
        <v>116000</v>
      </c>
      <c r="J3051" s="389"/>
      <c r="K3051" s="389"/>
      <c r="L3051" s="317">
        <f t="shared" si="2207"/>
        <v>116000</v>
      </c>
      <c r="M3051" s="317"/>
      <c r="N3051" s="372">
        <f t="shared" si="2210"/>
        <v>0</v>
      </c>
      <c r="O3051" s="336">
        <f t="shared" ref="O3051:O3114" si="2237">L3051*1.1</f>
        <v>127600.00000000001</v>
      </c>
      <c r="P3051" s="319">
        <f t="shared" si="2229"/>
        <v>140360.00000000003</v>
      </c>
      <c r="R3051" s="317"/>
      <c r="U3051" s="320"/>
    </row>
    <row r="3052" spans="1:21" outlineLevel="3">
      <c r="A3052" s="611"/>
      <c r="B3052" s="611"/>
      <c r="C3052" s="332">
        <v>2210302</v>
      </c>
      <c r="D3052" s="330" t="s">
        <v>26</v>
      </c>
      <c r="E3052" s="389">
        <v>157000</v>
      </c>
      <c r="F3052" s="389"/>
      <c r="G3052" s="389"/>
      <c r="H3052" s="389"/>
      <c r="I3052" s="324">
        <f t="shared" si="2222"/>
        <v>157000</v>
      </c>
      <c r="J3052" s="389"/>
      <c r="K3052" s="389"/>
      <c r="L3052" s="317">
        <f t="shared" si="2207"/>
        <v>157000</v>
      </c>
      <c r="M3052" s="317"/>
      <c r="N3052" s="372">
        <f t="shared" si="2210"/>
        <v>0</v>
      </c>
      <c r="O3052" s="336">
        <f t="shared" si="2237"/>
        <v>172700</v>
      </c>
      <c r="P3052" s="319">
        <f t="shared" si="2229"/>
        <v>189970.00000000003</v>
      </c>
      <c r="R3052" s="317"/>
      <c r="U3052" s="320"/>
    </row>
    <row r="3053" spans="1:21" outlineLevel="3">
      <c r="A3053" s="611"/>
      <c r="B3053" s="611"/>
      <c r="C3053" s="332">
        <v>2210303</v>
      </c>
      <c r="D3053" s="330" t="s">
        <v>223</v>
      </c>
      <c r="E3053" s="389">
        <v>98600</v>
      </c>
      <c r="F3053" s="389"/>
      <c r="G3053" s="389"/>
      <c r="H3053" s="389"/>
      <c r="I3053" s="324">
        <f t="shared" si="2222"/>
        <v>98600</v>
      </c>
      <c r="J3053" s="389"/>
      <c r="K3053" s="389"/>
      <c r="L3053" s="317">
        <f t="shared" si="2207"/>
        <v>98600</v>
      </c>
      <c r="M3053" s="317"/>
      <c r="N3053" s="372">
        <f t="shared" si="2210"/>
        <v>0</v>
      </c>
      <c r="O3053" s="336">
        <f t="shared" si="2237"/>
        <v>108460.00000000001</v>
      </c>
      <c r="P3053" s="319">
        <f t="shared" si="2229"/>
        <v>119306.00000000003</v>
      </c>
      <c r="R3053" s="317"/>
      <c r="U3053" s="320"/>
    </row>
    <row r="3054" spans="1:21" outlineLevel="3">
      <c r="A3054" s="612"/>
      <c r="B3054" s="612"/>
      <c r="C3054" s="340">
        <v>2210500</v>
      </c>
      <c r="D3054" s="338" t="s">
        <v>31</v>
      </c>
      <c r="E3054" s="397">
        <f>SUM(E3055)</f>
        <v>87000</v>
      </c>
      <c r="F3054" s="397">
        <f t="shared" ref="F3054:K3054" si="2238">SUM(F3055)</f>
        <v>0</v>
      </c>
      <c r="G3054" s="397">
        <f t="shared" si="2238"/>
        <v>0</v>
      </c>
      <c r="H3054" s="397">
        <f t="shared" si="2238"/>
        <v>0</v>
      </c>
      <c r="I3054" s="397">
        <f t="shared" si="2238"/>
        <v>87000</v>
      </c>
      <c r="J3054" s="397">
        <f t="shared" si="2238"/>
        <v>0</v>
      </c>
      <c r="K3054" s="397">
        <f t="shared" si="2238"/>
        <v>0</v>
      </c>
      <c r="L3054" s="317">
        <f t="shared" si="2207"/>
        <v>87000</v>
      </c>
      <c r="M3054" s="317"/>
      <c r="N3054" s="372">
        <f t="shared" si="2210"/>
        <v>0</v>
      </c>
      <c r="O3054" s="397">
        <f t="shared" ref="O3054:P3054" si="2239">SUM(O3055)</f>
        <v>95700.000000000015</v>
      </c>
      <c r="P3054" s="397">
        <f t="shared" si="2239"/>
        <v>105270.00000000003</v>
      </c>
      <c r="R3054" s="317"/>
      <c r="U3054" s="320"/>
    </row>
    <row r="3055" spans="1:21" outlineLevel="3">
      <c r="A3055" s="611"/>
      <c r="B3055" s="611"/>
      <c r="C3055" s="332">
        <v>2210504</v>
      </c>
      <c r="D3055" s="330" t="s">
        <v>33</v>
      </c>
      <c r="E3055" s="389">
        <v>87000</v>
      </c>
      <c r="F3055" s="389"/>
      <c r="G3055" s="389"/>
      <c r="H3055" s="389"/>
      <c r="I3055" s="324">
        <f t="shared" si="2222"/>
        <v>87000</v>
      </c>
      <c r="J3055" s="389"/>
      <c r="K3055" s="389"/>
      <c r="L3055" s="317">
        <f t="shared" si="2207"/>
        <v>87000</v>
      </c>
      <c r="M3055" s="317"/>
      <c r="N3055" s="372">
        <f t="shared" si="2210"/>
        <v>0</v>
      </c>
      <c r="O3055" s="336">
        <f t="shared" si="2237"/>
        <v>95700.000000000015</v>
      </c>
      <c r="P3055" s="319">
        <f t="shared" si="2229"/>
        <v>105270.00000000003</v>
      </c>
      <c r="R3055" s="317"/>
      <c r="U3055" s="320"/>
    </row>
    <row r="3056" spans="1:21" outlineLevel="3">
      <c r="A3056" s="612"/>
      <c r="B3056" s="612"/>
      <c r="C3056" s="340">
        <v>2210800</v>
      </c>
      <c r="D3056" s="338" t="s">
        <v>42</v>
      </c>
      <c r="E3056" s="397">
        <f>SUM(E3057)</f>
        <v>58000</v>
      </c>
      <c r="F3056" s="397">
        <f t="shared" ref="F3056:K3056" si="2240">SUM(F3057)</f>
        <v>0</v>
      </c>
      <c r="G3056" s="397">
        <f t="shared" si="2240"/>
        <v>0</v>
      </c>
      <c r="H3056" s="397">
        <f t="shared" si="2240"/>
        <v>0</v>
      </c>
      <c r="I3056" s="397">
        <f t="shared" si="2240"/>
        <v>58000</v>
      </c>
      <c r="J3056" s="397">
        <f t="shared" si="2240"/>
        <v>0</v>
      </c>
      <c r="K3056" s="397">
        <f t="shared" si="2240"/>
        <v>0</v>
      </c>
      <c r="L3056" s="317">
        <f t="shared" si="2207"/>
        <v>58000</v>
      </c>
      <c r="M3056" s="317"/>
      <c r="N3056" s="372">
        <f t="shared" si="2210"/>
        <v>0</v>
      </c>
      <c r="O3056" s="397">
        <f t="shared" ref="O3056:P3056" si="2241">SUM(O3057)</f>
        <v>63800.000000000007</v>
      </c>
      <c r="P3056" s="397">
        <f t="shared" si="2241"/>
        <v>70180.000000000015</v>
      </c>
      <c r="R3056" s="317"/>
      <c r="U3056" s="320"/>
    </row>
    <row r="3057" spans="1:21" outlineLevel="3">
      <c r="A3057" s="611"/>
      <c r="B3057" s="611"/>
      <c r="C3057" s="332">
        <v>2210802</v>
      </c>
      <c r="D3057" s="330" t="s">
        <v>97</v>
      </c>
      <c r="E3057" s="389">
        <v>58000</v>
      </c>
      <c r="F3057" s="389"/>
      <c r="G3057" s="389"/>
      <c r="H3057" s="389"/>
      <c r="I3057" s="324">
        <f t="shared" si="2222"/>
        <v>58000</v>
      </c>
      <c r="J3057" s="389"/>
      <c r="K3057" s="389"/>
      <c r="L3057" s="317">
        <f t="shared" si="2207"/>
        <v>58000</v>
      </c>
      <c r="M3057" s="317"/>
      <c r="N3057" s="372">
        <f t="shared" si="2210"/>
        <v>0</v>
      </c>
      <c r="O3057" s="336">
        <f t="shared" si="2237"/>
        <v>63800.000000000007</v>
      </c>
      <c r="P3057" s="319">
        <f t="shared" si="2229"/>
        <v>70180.000000000015</v>
      </c>
      <c r="R3057" s="317"/>
      <c r="U3057" s="320"/>
    </row>
    <row r="3058" spans="1:21" outlineLevel="3">
      <c r="A3058" s="612"/>
      <c r="B3058" s="612"/>
      <c r="C3058" s="340">
        <v>2211100</v>
      </c>
      <c r="D3058" s="338" t="s">
        <v>51</v>
      </c>
      <c r="E3058" s="397">
        <f>SUM(E3059:E3059)</f>
        <v>69600</v>
      </c>
      <c r="F3058" s="397">
        <f t="shared" ref="F3058:K3058" si="2242">SUM(F3059:F3059)</f>
        <v>0</v>
      </c>
      <c r="G3058" s="397">
        <f t="shared" si="2242"/>
        <v>0</v>
      </c>
      <c r="H3058" s="397">
        <f t="shared" si="2242"/>
        <v>0</v>
      </c>
      <c r="I3058" s="397">
        <f t="shared" si="2242"/>
        <v>69600</v>
      </c>
      <c r="J3058" s="397">
        <f t="shared" si="2242"/>
        <v>0</v>
      </c>
      <c r="K3058" s="397">
        <f t="shared" si="2242"/>
        <v>0</v>
      </c>
      <c r="L3058" s="317">
        <f t="shared" si="2207"/>
        <v>69600</v>
      </c>
      <c r="M3058" s="317"/>
      <c r="N3058" s="372">
        <f t="shared" si="2210"/>
        <v>0</v>
      </c>
      <c r="O3058" s="397">
        <f t="shared" ref="O3058:P3058" si="2243">SUM(O3059:O3059)</f>
        <v>76560</v>
      </c>
      <c r="P3058" s="397">
        <f t="shared" si="2243"/>
        <v>84216</v>
      </c>
      <c r="R3058" s="317"/>
      <c r="U3058" s="320"/>
    </row>
    <row r="3059" spans="1:21" outlineLevel="3">
      <c r="A3059" s="611"/>
      <c r="B3059" s="611"/>
      <c r="C3059" s="332">
        <v>2211101</v>
      </c>
      <c r="D3059" s="330" t="s">
        <v>289</v>
      </c>
      <c r="E3059" s="389">
        <v>69600</v>
      </c>
      <c r="F3059" s="1003">
        <v>0</v>
      </c>
      <c r="G3059" s="389"/>
      <c r="H3059" s="389"/>
      <c r="I3059" s="324">
        <f t="shared" si="2222"/>
        <v>69600</v>
      </c>
      <c r="J3059" s="389"/>
      <c r="K3059" s="389"/>
      <c r="L3059" s="317">
        <f t="shared" si="2207"/>
        <v>69600</v>
      </c>
      <c r="M3059" s="317"/>
      <c r="N3059" s="372">
        <f t="shared" si="2210"/>
        <v>0</v>
      </c>
      <c r="O3059" s="336">
        <f t="shared" si="2237"/>
        <v>76560</v>
      </c>
      <c r="P3059" s="319">
        <f t="shared" si="2229"/>
        <v>84216</v>
      </c>
      <c r="R3059" s="317"/>
      <c r="U3059" s="320"/>
    </row>
    <row r="3060" spans="1:21" outlineLevel="3">
      <c r="A3060" s="612"/>
      <c r="B3060" s="612"/>
      <c r="C3060" s="340">
        <v>2211200</v>
      </c>
      <c r="D3060" s="338" t="s">
        <v>55</v>
      </c>
      <c r="E3060" s="397">
        <f>SUM(E3061)</f>
        <v>145000</v>
      </c>
      <c r="F3060" s="397">
        <f t="shared" ref="F3060:P3060" si="2244">SUM(F3061)</f>
        <v>0</v>
      </c>
      <c r="G3060" s="397">
        <f t="shared" si="2244"/>
        <v>0</v>
      </c>
      <c r="H3060" s="397">
        <f t="shared" si="2244"/>
        <v>0</v>
      </c>
      <c r="I3060" s="397">
        <f t="shared" si="2244"/>
        <v>145000</v>
      </c>
      <c r="J3060" s="397">
        <f t="shared" si="2244"/>
        <v>0</v>
      </c>
      <c r="K3060" s="397">
        <f t="shared" si="2244"/>
        <v>0</v>
      </c>
      <c r="L3060" s="317">
        <f t="shared" si="2207"/>
        <v>145000</v>
      </c>
      <c r="M3060" s="317"/>
      <c r="N3060" s="372">
        <f t="shared" si="2210"/>
        <v>0</v>
      </c>
      <c r="O3060" s="397">
        <f t="shared" si="2244"/>
        <v>159500</v>
      </c>
      <c r="P3060" s="397">
        <f t="shared" si="2244"/>
        <v>175450</v>
      </c>
      <c r="R3060" s="317"/>
      <c r="U3060" s="320"/>
    </row>
    <row r="3061" spans="1:21" outlineLevel="3">
      <c r="A3061" s="611"/>
      <c r="B3061" s="611"/>
      <c r="C3061" s="332">
        <v>2211201</v>
      </c>
      <c r="D3061" s="330" t="s">
        <v>56</v>
      </c>
      <c r="E3061" s="389">
        <v>145000</v>
      </c>
      <c r="F3061" s="389"/>
      <c r="G3061" s="389"/>
      <c r="H3061" s="389"/>
      <c r="I3061" s="324">
        <f t="shared" si="2222"/>
        <v>145000</v>
      </c>
      <c r="J3061" s="389"/>
      <c r="K3061" s="389"/>
      <c r="L3061" s="317">
        <f t="shared" si="2207"/>
        <v>145000</v>
      </c>
      <c r="M3061" s="317"/>
      <c r="N3061" s="372">
        <f t="shared" si="2210"/>
        <v>0</v>
      </c>
      <c r="O3061" s="336">
        <f t="shared" si="2237"/>
        <v>159500</v>
      </c>
      <c r="P3061" s="319">
        <f t="shared" ref="P3061:P3079" si="2245">O3061*1.1</f>
        <v>175450</v>
      </c>
      <c r="R3061" s="317"/>
      <c r="U3061" s="320"/>
    </row>
    <row r="3062" spans="1:21" outlineLevel="3">
      <c r="A3062" s="612"/>
      <c r="B3062" s="612"/>
      <c r="C3062" s="340">
        <v>2220100</v>
      </c>
      <c r="D3062" s="338" t="s">
        <v>62</v>
      </c>
      <c r="E3062" s="397">
        <f>E3063</f>
        <v>69600</v>
      </c>
      <c r="F3062" s="397">
        <f t="shared" ref="F3062:K3062" si="2246">F3063</f>
        <v>0</v>
      </c>
      <c r="G3062" s="397">
        <f t="shared" si="2246"/>
        <v>0</v>
      </c>
      <c r="H3062" s="397">
        <f t="shared" si="2246"/>
        <v>0</v>
      </c>
      <c r="I3062" s="397">
        <f t="shared" si="2246"/>
        <v>69600</v>
      </c>
      <c r="J3062" s="397">
        <f t="shared" si="2246"/>
        <v>0</v>
      </c>
      <c r="K3062" s="397">
        <f t="shared" si="2246"/>
        <v>0</v>
      </c>
      <c r="L3062" s="317">
        <f t="shared" si="2207"/>
        <v>69600</v>
      </c>
      <c r="M3062" s="317"/>
      <c r="N3062" s="372">
        <f t="shared" si="2210"/>
        <v>0</v>
      </c>
      <c r="O3062" s="397">
        <f t="shared" ref="O3062:P3062" si="2247">O3063</f>
        <v>76560</v>
      </c>
      <c r="P3062" s="397">
        <f t="shared" si="2247"/>
        <v>84216</v>
      </c>
      <c r="R3062" s="317"/>
      <c r="U3062" s="320"/>
    </row>
    <row r="3063" spans="1:21" outlineLevel="3">
      <c r="A3063" s="611"/>
      <c r="B3063" s="611"/>
      <c r="C3063" s="332">
        <v>2220101</v>
      </c>
      <c r="D3063" s="330" t="s">
        <v>200</v>
      </c>
      <c r="E3063" s="389">
        <v>69600</v>
      </c>
      <c r="F3063" s="389"/>
      <c r="G3063" s="389"/>
      <c r="H3063" s="389"/>
      <c r="I3063" s="324">
        <f t="shared" si="2222"/>
        <v>69600</v>
      </c>
      <c r="J3063" s="389"/>
      <c r="K3063" s="389"/>
      <c r="L3063" s="317">
        <f t="shared" si="2207"/>
        <v>69600</v>
      </c>
      <c r="M3063" s="317"/>
      <c r="N3063" s="372">
        <f t="shared" si="2210"/>
        <v>0</v>
      </c>
      <c r="O3063" s="336">
        <f t="shared" si="2237"/>
        <v>76560</v>
      </c>
      <c r="P3063" s="319">
        <f t="shared" si="2245"/>
        <v>84216</v>
      </c>
      <c r="R3063" s="317"/>
      <c r="U3063" s="320"/>
    </row>
    <row r="3064" spans="1:21" outlineLevel="3">
      <c r="A3064" s="612"/>
      <c r="B3064" s="612"/>
      <c r="C3064" s="340">
        <v>2220200</v>
      </c>
      <c r="D3064" s="338" t="s">
        <v>124</v>
      </c>
      <c r="E3064" s="397">
        <f>SUM(E3065)</f>
        <v>29000</v>
      </c>
      <c r="F3064" s="397">
        <f t="shared" ref="F3064:P3064" si="2248">SUM(F3065)</f>
        <v>0</v>
      </c>
      <c r="G3064" s="397">
        <f t="shared" si="2248"/>
        <v>0</v>
      </c>
      <c r="H3064" s="397">
        <f t="shared" si="2248"/>
        <v>0</v>
      </c>
      <c r="I3064" s="397">
        <f t="shared" si="2248"/>
        <v>29000</v>
      </c>
      <c r="J3064" s="397">
        <f t="shared" si="2248"/>
        <v>0</v>
      </c>
      <c r="K3064" s="397">
        <f t="shared" si="2248"/>
        <v>0</v>
      </c>
      <c r="L3064" s="317">
        <f t="shared" si="2207"/>
        <v>29000</v>
      </c>
      <c r="M3064" s="317"/>
      <c r="N3064" s="372">
        <f t="shared" si="2210"/>
        <v>0</v>
      </c>
      <c r="O3064" s="397">
        <f t="shared" si="2248"/>
        <v>31900.000000000004</v>
      </c>
      <c r="P3064" s="397">
        <f t="shared" si="2248"/>
        <v>35090.000000000007</v>
      </c>
      <c r="R3064" s="317"/>
      <c r="U3064" s="320"/>
    </row>
    <row r="3065" spans="1:21" outlineLevel="3">
      <c r="A3065" s="611"/>
      <c r="B3065" s="611"/>
      <c r="C3065" s="332">
        <v>2220210</v>
      </c>
      <c r="D3065" s="330" t="s">
        <v>163</v>
      </c>
      <c r="E3065" s="389">
        <v>29000</v>
      </c>
      <c r="F3065" s="389"/>
      <c r="G3065" s="389"/>
      <c r="H3065" s="389"/>
      <c r="I3065" s="324">
        <f t="shared" si="2222"/>
        <v>29000</v>
      </c>
      <c r="J3065" s="389"/>
      <c r="K3065" s="389"/>
      <c r="L3065" s="317">
        <f t="shared" si="2207"/>
        <v>29000</v>
      </c>
      <c r="M3065" s="317"/>
      <c r="N3065" s="372">
        <f t="shared" si="2210"/>
        <v>0</v>
      </c>
      <c r="O3065" s="336">
        <f t="shared" si="2237"/>
        <v>31900.000000000004</v>
      </c>
      <c r="P3065" s="319">
        <f t="shared" si="2245"/>
        <v>35090.000000000007</v>
      </c>
      <c r="R3065" s="317"/>
      <c r="U3065" s="320"/>
    </row>
    <row r="3066" spans="1:21" outlineLevel="2">
      <c r="A3066" s="617"/>
      <c r="B3066" s="617"/>
      <c r="C3066" s="314"/>
      <c r="D3066" s="447" t="s">
        <v>406</v>
      </c>
      <c r="E3066" s="438">
        <f>E3045+E3048+E3050+E3054+E3056+E3058+E3060+E3062+E3064</f>
        <v>937400</v>
      </c>
      <c r="F3066" s="438">
        <f t="shared" ref="F3066:K3066" si="2249">F3045+F3048+F3050+F3054+F3056+F3058+F3060+F3062+F3064</f>
        <v>0</v>
      </c>
      <c r="G3066" s="438">
        <f t="shared" si="2249"/>
        <v>0</v>
      </c>
      <c r="H3066" s="438">
        <f t="shared" si="2249"/>
        <v>0</v>
      </c>
      <c r="I3066" s="438">
        <f t="shared" si="2249"/>
        <v>937400</v>
      </c>
      <c r="J3066" s="438">
        <f t="shared" si="2249"/>
        <v>0</v>
      </c>
      <c r="K3066" s="438">
        <f t="shared" si="2249"/>
        <v>0</v>
      </c>
      <c r="L3066" s="317">
        <f t="shared" si="2207"/>
        <v>937400</v>
      </c>
      <c r="M3066" s="317"/>
      <c r="N3066" s="372">
        <f t="shared" si="2210"/>
        <v>0</v>
      </c>
      <c r="O3066" s="438">
        <f t="shared" ref="O3066:P3066" si="2250">O3045+O3048+O3050+O3054+O3056+O3058+O3060+O3062+O3064</f>
        <v>1031140</v>
      </c>
      <c r="P3066" s="438">
        <f t="shared" si="2250"/>
        <v>1134254</v>
      </c>
      <c r="R3066" s="317"/>
      <c r="U3066" s="320"/>
    </row>
    <row r="3067" spans="1:21" outlineLevel="2">
      <c r="A3067" s="611"/>
      <c r="B3067" s="611"/>
      <c r="C3067" s="332"/>
      <c r="D3067" s="330"/>
      <c r="E3067" s="389"/>
      <c r="F3067" s="389"/>
      <c r="G3067" s="389"/>
      <c r="H3067" s="389"/>
      <c r="I3067" s="324">
        <f t="shared" si="2222"/>
        <v>0</v>
      </c>
      <c r="J3067" s="389"/>
      <c r="K3067" s="389"/>
      <c r="L3067" s="317">
        <f t="shared" si="2207"/>
        <v>0</v>
      </c>
      <c r="M3067" s="317"/>
      <c r="N3067" s="372">
        <f t="shared" si="2210"/>
        <v>0</v>
      </c>
      <c r="O3067" s="336">
        <f t="shared" si="2237"/>
        <v>0</v>
      </c>
      <c r="P3067" s="319">
        <f t="shared" si="2245"/>
        <v>0</v>
      </c>
      <c r="R3067" s="317"/>
      <c r="U3067" s="320"/>
    </row>
    <row r="3068" spans="1:21" outlineLevel="2">
      <c r="A3068" s="611"/>
      <c r="B3068" s="611"/>
      <c r="C3068" s="332"/>
      <c r="D3068" s="338" t="s">
        <v>92</v>
      </c>
      <c r="E3068" s="389"/>
      <c r="F3068" s="397"/>
      <c r="G3068" s="397"/>
      <c r="H3068" s="397"/>
      <c r="I3068" s="324">
        <f t="shared" si="2222"/>
        <v>0</v>
      </c>
      <c r="J3068" s="397"/>
      <c r="K3068" s="397"/>
      <c r="L3068" s="317">
        <f t="shared" si="2207"/>
        <v>0</v>
      </c>
      <c r="M3068" s="317"/>
      <c r="N3068" s="372">
        <f t="shared" si="2210"/>
        <v>0</v>
      </c>
      <c r="O3068" s="336">
        <f t="shared" si="2237"/>
        <v>0</v>
      </c>
      <c r="P3068" s="319">
        <f t="shared" si="2245"/>
        <v>0</v>
      </c>
      <c r="R3068" s="317"/>
      <c r="U3068" s="320"/>
    </row>
    <row r="3069" spans="1:21" outlineLevel="3">
      <c r="A3069" s="800"/>
      <c r="B3069" s="800"/>
      <c r="C3069" s="659">
        <v>3130101</v>
      </c>
      <c r="D3069" s="352" t="s">
        <v>1481</v>
      </c>
      <c r="E3069" s="661">
        <f>2000000-2000000</f>
        <v>0</v>
      </c>
      <c r="F3069" s="661"/>
      <c r="G3069" s="661"/>
      <c r="H3069" s="661"/>
      <c r="I3069" s="324">
        <f t="shared" si="2222"/>
        <v>0</v>
      </c>
      <c r="J3069" s="661"/>
      <c r="K3069" s="661"/>
      <c r="L3069" s="317">
        <f t="shared" si="2207"/>
        <v>0</v>
      </c>
      <c r="M3069" s="317"/>
      <c r="N3069" s="372">
        <f t="shared" si="2210"/>
        <v>0</v>
      </c>
      <c r="O3069" s="336">
        <f t="shared" si="2237"/>
        <v>0</v>
      </c>
      <c r="P3069" s="319">
        <f t="shared" si="2245"/>
        <v>0</v>
      </c>
      <c r="R3069" s="317"/>
      <c r="U3069" s="320"/>
    </row>
    <row r="3070" spans="1:21" outlineLevel="3">
      <c r="A3070" s="611"/>
      <c r="B3070" s="611"/>
      <c r="C3070" s="332">
        <v>3110504</v>
      </c>
      <c r="D3070" s="330" t="s">
        <v>1482</v>
      </c>
      <c r="E3070" s="389">
        <f>21000000+9000000+10000000</f>
        <v>40000000</v>
      </c>
      <c r="F3070" s="389">
        <v>12941041.476212207</v>
      </c>
      <c r="G3070" s="389">
        <v>-20000000</v>
      </c>
      <c r="H3070" s="389">
        <f>-15000000-3000000</f>
        <v>-18000000</v>
      </c>
      <c r="I3070" s="324">
        <f t="shared" si="2222"/>
        <v>14941041.476212204</v>
      </c>
      <c r="J3070" s="389"/>
      <c r="K3070" s="389">
        <f>-2000000-800000+1300000-1300000</f>
        <v>-2800000</v>
      </c>
      <c r="L3070" s="317">
        <f t="shared" si="2207"/>
        <v>12141041.476212204</v>
      </c>
      <c r="M3070" s="317"/>
      <c r="N3070" s="372">
        <f t="shared" si="2210"/>
        <v>2800000</v>
      </c>
      <c r="O3070" s="336">
        <f t="shared" si="2237"/>
        <v>13355145.623833425</v>
      </c>
      <c r="P3070" s="319">
        <f t="shared" si="2245"/>
        <v>14690660.18621677</v>
      </c>
      <c r="Q3070" s="303" t="s">
        <v>2556</v>
      </c>
      <c r="R3070" s="317"/>
      <c r="U3070" s="320"/>
    </row>
    <row r="3071" spans="1:21" outlineLevel="3">
      <c r="A3071" s="998"/>
      <c r="B3071" s="998"/>
      <c r="C3071" s="764">
        <v>3110504</v>
      </c>
      <c r="D3071" s="390" t="s">
        <v>1825</v>
      </c>
      <c r="E3071" s="767">
        <v>10000000</v>
      </c>
      <c r="F3071" s="767"/>
      <c r="G3071" s="767"/>
      <c r="H3071" s="767"/>
      <c r="I3071" s="324">
        <f t="shared" si="2222"/>
        <v>10000000</v>
      </c>
      <c r="J3071" s="767"/>
      <c r="K3071" s="767"/>
      <c r="L3071" s="317">
        <f t="shared" si="2207"/>
        <v>10000000</v>
      </c>
      <c r="M3071" s="317"/>
      <c r="N3071" s="372">
        <f t="shared" si="2210"/>
        <v>0</v>
      </c>
      <c r="O3071" s="336">
        <f t="shared" si="2237"/>
        <v>11000000</v>
      </c>
      <c r="P3071" s="319"/>
      <c r="R3071" s="317"/>
      <c r="U3071" s="320"/>
    </row>
    <row r="3072" spans="1:21" outlineLevel="3">
      <c r="A3072" s="611"/>
      <c r="B3072" s="611"/>
      <c r="C3072" s="332">
        <v>3110504</v>
      </c>
      <c r="D3072" s="330" t="s">
        <v>2028</v>
      </c>
      <c r="E3072" s="389">
        <v>3000000</v>
      </c>
      <c r="F3072" s="389"/>
      <c r="G3072" s="389"/>
      <c r="H3072" s="389"/>
      <c r="I3072" s="324">
        <f t="shared" si="2222"/>
        <v>3000000</v>
      </c>
      <c r="J3072" s="389"/>
      <c r="K3072" s="389"/>
      <c r="L3072" s="317">
        <f t="shared" si="2207"/>
        <v>3000000</v>
      </c>
      <c r="M3072" s="317"/>
      <c r="N3072" s="372">
        <f t="shared" si="2210"/>
        <v>0</v>
      </c>
      <c r="O3072" s="336">
        <f t="shared" si="2237"/>
        <v>3300000.0000000005</v>
      </c>
      <c r="P3072" s="319">
        <f t="shared" si="2245"/>
        <v>3630000.0000000009</v>
      </c>
      <c r="R3072" s="317"/>
      <c r="U3072" s="320"/>
    </row>
    <row r="3073" spans="1:21" outlineLevel="2">
      <c r="A3073" s="617"/>
      <c r="B3073" s="617"/>
      <c r="C3073" s="314"/>
      <c r="D3073" s="447" t="s">
        <v>175</v>
      </c>
      <c r="E3073" s="438">
        <f>E3069+E3070+E3072+E3071</f>
        <v>53000000</v>
      </c>
      <c r="F3073" s="438">
        <f t="shared" ref="F3073:K3073" si="2251">F3069+F3070+F3072+F3071</f>
        <v>12941041.476212207</v>
      </c>
      <c r="G3073" s="438">
        <f t="shared" si="2251"/>
        <v>-20000000</v>
      </c>
      <c r="H3073" s="438">
        <f t="shared" si="2251"/>
        <v>-18000000</v>
      </c>
      <c r="I3073" s="438">
        <f t="shared" si="2251"/>
        <v>27941041.476212204</v>
      </c>
      <c r="J3073" s="438">
        <f t="shared" si="2251"/>
        <v>0</v>
      </c>
      <c r="K3073" s="438">
        <f t="shared" si="2251"/>
        <v>-2800000</v>
      </c>
      <c r="L3073" s="317">
        <f t="shared" si="2207"/>
        <v>25141041.476212204</v>
      </c>
      <c r="M3073" s="317"/>
      <c r="N3073" s="372">
        <f t="shared" si="2210"/>
        <v>2800000</v>
      </c>
      <c r="O3073" s="438">
        <f t="shared" ref="O3073:P3073" si="2252">O3069+O3070+O3072+O3071</f>
        <v>27655145.623833425</v>
      </c>
      <c r="P3073" s="438">
        <f t="shared" si="2252"/>
        <v>18320660.186216772</v>
      </c>
      <c r="R3073" s="317"/>
      <c r="U3073" s="320"/>
    </row>
    <row r="3074" spans="1:21" outlineLevel="1">
      <c r="A3074" s="617"/>
      <c r="B3074" s="617"/>
      <c r="C3074" s="314"/>
      <c r="D3074" s="447" t="s">
        <v>596</v>
      </c>
      <c r="E3074" s="438">
        <f>E3073+E3066</f>
        <v>53937400</v>
      </c>
      <c r="F3074" s="438">
        <f t="shared" ref="F3074:K3074" si="2253">F3073+F3066</f>
        <v>12941041.476212207</v>
      </c>
      <c r="G3074" s="438">
        <f t="shared" si="2253"/>
        <v>-20000000</v>
      </c>
      <c r="H3074" s="438">
        <f t="shared" si="2253"/>
        <v>-18000000</v>
      </c>
      <c r="I3074" s="438">
        <f t="shared" si="2253"/>
        <v>28878441.476212204</v>
      </c>
      <c r="J3074" s="438">
        <f t="shared" si="2253"/>
        <v>0</v>
      </c>
      <c r="K3074" s="438">
        <f t="shared" si="2253"/>
        <v>-2800000</v>
      </c>
      <c r="L3074" s="317">
        <f t="shared" si="2207"/>
        <v>26078441.476212204</v>
      </c>
      <c r="M3074" s="317"/>
      <c r="N3074" s="372">
        <f t="shared" si="2210"/>
        <v>2800000</v>
      </c>
      <c r="O3074" s="438">
        <f t="shared" ref="O3074:P3074" si="2254">O3073+O3066</f>
        <v>28686285.623833425</v>
      </c>
      <c r="P3074" s="438">
        <f t="shared" si="2254"/>
        <v>19454914.186216772</v>
      </c>
      <c r="R3074" s="317"/>
      <c r="U3074" s="320"/>
    </row>
    <row r="3075" spans="1:21" outlineLevel="1">
      <c r="A3075" s="475"/>
      <c r="B3075" s="475"/>
      <c r="C3075" s="328"/>
      <c r="D3075" s="314" t="s">
        <v>597</v>
      </c>
      <c r="E3075" s="438">
        <f>E3074+E3042+E3002+E2964</f>
        <v>90702547</v>
      </c>
      <c r="F3075" s="438">
        <f t="shared" ref="F3075:P3075" si="2255">F3074+F3042+F3002+F2964</f>
        <v>12941041.476212207</v>
      </c>
      <c r="G3075" s="438">
        <f t="shared" si="2255"/>
        <v>-25000000</v>
      </c>
      <c r="H3075" s="438">
        <f t="shared" si="2255"/>
        <v>7400000</v>
      </c>
      <c r="I3075" s="438">
        <f t="shared" si="2255"/>
        <v>86043588.476212204</v>
      </c>
      <c r="J3075" s="438">
        <f t="shared" si="2255"/>
        <v>0</v>
      </c>
      <c r="K3075" s="438">
        <f t="shared" si="2255"/>
        <v>3300000</v>
      </c>
      <c r="L3075" s="317">
        <f t="shared" si="2207"/>
        <v>89343588.476212204</v>
      </c>
      <c r="M3075" s="317"/>
      <c r="N3075" s="372">
        <f t="shared" si="2210"/>
        <v>-3300000</v>
      </c>
      <c r="O3075" s="438">
        <f t="shared" si="2255"/>
        <v>88559555.123833418</v>
      </c>
      <c r="P3075" s="438">
        <f t="shared" si="2255"/>
        <v>81816493.136216789</v>
      </c>
      <c r="R3075" s="317"/>
      <c r="U3075" s="320"/>
    </row>
    <row r="3076" spans="1:21" outlineLevel="1">
      <c r="A3076" s="330"/>
      <c r="B3076" s="330"/>
      <c r="C3076" s="332"/>
      <c r="D3076" s="330"/>
      <c r="E3076" s="389"/>
      <c r="F3076" s="389"/>
      <c r="G3076" s="389"/>
      <c r="H3076" s="389"/>
      <c r="I3076" s="324">
        <f t="shared" si="2222"/>
        <v>0</v>
      </c>
      <c r="J3076" s="389"/>
      <c r="K3076" s="389"/>
      <c r="L3076" s="317">
        <f t="shared" si="2207"/>
        <v>0</v>
      </c>
      <c r="M3076" s="317"/>
      <c r="N3076" s="372">
        <f t="shared" si="2210"/>
        <v>0</v>
      </c>
      <c r="O3076" s="336">
        <f t="shared" si="2237"/>
        <v>0</v>
      </c>
      <c r="P3076" s="319">
        <f t="shared" si="2245"/>
        <v>0</v>
      </c>
      <c r="R3076" s="317"/>
      <c r="U3076" s="320"/>
    </row>
    <row r="3077" spans="1:21" outlineLevel="1">
      <c r="A3077" s="330"/>
      <c r="B3077" s="330"/>
      <c r="C3077" s="332"/>
      <c r="D3077" s="330"/>
      <c r="E3077" s="389"/>
      <c r="F3077" s="389"/>
      <c r="G3077" s="389"/>
      <c r="H3077" s="389"/>
      <c r="I3077" s="324">
        <f t="shared" si="2222"/>
        <v>0</v>
      </c>
      <c r="J3077" s="389"/>
      <c r="K3077" s="389"/>
      <c r="L3077" s="317">
        <f t="shared" ref="L3077:L3140" si="2256">I3077+J3077+K3077</f>
        <v>0</v>
      </c>
      <c r="M3077" s="317"/>
      <c r="N3077" s="372">
        <f t="shared" si="2210"/>
        <v>0</v>
      </c>
      <c r="O3077" s="336">
        <f t="shared" si="2237"/>
        <v>0</v>
      </c>
      <c r="P3077" s="319">
        <f t="shared" si="2245"/>
        <v>0</v>
      </c>
      <c r="R3077" s="317"/>
      <c r="U3077" s="320"/>
    </row>
    <row r="3078" spans="1:21" outlineLevel="1">
      <c r="A3078" s="617"/>
      <c r="B3078" s="617" t="s">
        <v>100</v>
      </c>
      <c r="C3078" s="314" t="s">
        <v>598</v>
      </c>
      <c r="D3078" s="447"/>
      <c r="E3078" s="438"/>
      <c r="F3078" s="438"/>
      <c r="G3078" s="438"/>
      <c r="H3078" s="438"/>
      <c r="I3078" s="324">
        <f t="shared" si="2222"/>
        <v>0</v>
      </c>
      <c r="J3078" s="438"/>
      <c r="K3078" s="438"/>
      <c r="L3078" s="317">
        <f t="shared" si="2256"/>
        <v>0</v>
      </c>
      <c r="M3078" s="317"/>
      <c r="N3078" s="372">
        <f t="shared" si="2210"/>
        <v>0</v>
      </c>
      <c r="O3078" s="336">
        <f t="shared" si="2237"/>
        <v>0</v>
      </c>
      <c r="P3078" s="319">
        <f t="shared" si="2245"/>
        <v>0</v>
      </c>
      <c r="R3078" s="317"/>
      <c r="U3078" s="320"/>
    </row>
    <row r="3079" spans="1:21" outlineLevel="1">
      <c r="A3079" s="611" t="s">
        <v>144</v>
      </c>
      <c r="B3079" s="611"/>
      <c r="C3079" s="340" t="s">
        <v>599</v>
      </c>
      <c r="D3079" s="338"/>
      <c r="E3079" s="389"/>
      <c r="F3079" s="397"/>
      <c r="G3079" s="397"/>
      <c r="H3079" s="397"/>
      <c r="I3079" s="324">
        <f t="shared" si="2222"/>
        <v>0</v>
      </c>
      <c r="J3079" s="397"/>
      <c r="K3079" s="397"/>
      <c r="L3079" s="317">
        <f t="shared" si="2256"/>
        <v>0</v>
      </c>
      <c r="M3079" s="317"/>
      <c r="N3079" s="372">
        <f t="shared" si="2210"/>
        <v>0</v>
      </c>
      <c r="O3079" s="336">
        <f t="shared" si="2237"/>
        <v>0</v>
      </c>
      <c r="P3079" s="319">
        <f t="shared" si="2245"/>
        <v>0</v>
      </c>
      <c r="R3079" s="317"/>
      <c r="U3079" s="320"/>
    </row>
    <row r="3080" spans="1:21" outlineLevel="1">
      <c r="A3080" s="611"/>
      <c r="B3080" s="611" t="s">
        <v>146</v>
      </c>
      <c r="C3080" s="340" t="s">
        <v>600</v>
      </c>
      <c r="D3080" s="338"/>
      <c r="E3080" s="389"/>
      <c r="F3080" s="397"/>
      <c r="G3080" s="397"/>
      <c r="H3080" s="397"/>
      <c r="I3080" s="324">
        <f t="shared" si="2222"/>
        <v>0</v>
      </c>
      <c r="J3080" s="397"/>
      <c r="K3080" s="397"/>
      <c r="L3080" s="317">
        <f t="shared" si="2256"/>
        <v>0</v>
      </c>
      <c r="M3080" s="317"/>
      <c r="N3080" s="372">
        <f t="shared" si="2210"/>
        <v>0</v>
      </c>
      <c r="O3080" s="336">
        <f t="shared" si="2237"/>
        <v>0</v>
      </c>
      <c r="P3080" s="319">
        <f t="shared" ref="P3080:P3099" si="2257">O3080*1.1</f>
        <v>0</v>
      </c>
      <c r="R3080" s="317"/>
      <c r="U3080" s="320"/>
    </row>
    <row r="3081" spans="1:21" outlineLevel="3">
      <c r="A3081" s="612"/>
      <c r="B3081" s="612"/>
      <c r="C3081" s="340">
        <v>2210200</v>
      </c>
      <c r="D3081" s="338" t="s">
        <v>20</v>
      </c>
      <c r="E3081" s="397">
        <f>SUM(E3082)</f>
        <v>29000</v>
      </c>
      <c r="F3081" s="397">
        <f t="shared" ref="F3081:P3081" si="2258">SUM(F3082)</f>
        <v>0</v>
      </c>
      <c r="G3081" s="397">
        <f t="shared" si="2258"/>
        <v>0</v>
      </c>
      <c r="H3081" s="397">
        <f t="shared" si="2258"/>
        <v>0</v>
      </c>
      <c r="I3081" s="397">
        <f t="shared" si="2258"/>
        <v>29000</v>
      </c>
      <c r="J3081" s="397">
        <f t="shared" si="2258"/>
        <v>0</v>
      </c>
      <c r="K3081" s="397">
        <f t="shared" si="2258"/>
        <v>0</v>
      </c>
      <c r="L3081" s="317">
        <f t="shared" si="2256"/>
        <v>29000</v>
      </c>
      <c r="M3081" s="317"/>
      <c r="N3081" s="372">
        <f t="shared" ref="N3081:N3144" si="2259">M3081-K3081</f>
        <v>0</v>
      </c>
      <c r="O3081" s="397">
        <f t="shared" si="2258"/>
        <v>31900.000000000004</v>
      </c>
      <c r="P3081" s="397">
        <f t="shared" si="2258"/>
        <v>35090.000000000007</v>
      </c>
      <c r="R3081" s="317"/>
      <c r="U3081" s="320"/>
    </row>
    <row r="3082" spans="1:21" outlineLevel="3">
      <c r="A3082" s="611"/>
      <c r="B3082" s="611"/>
      <c r="C3082" s="332">
        <v>2210201</v>
      </c>
      <c r="D3082" s="330" t="s">
        <v>187</v>
      </c>
      <c r="E3082" s="389">
        <v>29000</v>
      </c>
      <c r="F3082" s="389"/>
      <c r="G3082" s="389"/>
      <c r="H3082" s="389"/>
      <c r="I3082" s="324">
        <f t="shared" si="2222"/>
        <v>29000</v>
      </c>
      <c r="J3082" s="389"/>
      <c r="K3082" s="389"/>
      <c r="L3082" s="317">
        <f t="shared" si="2256"/>
        <v>29000</v>
      </c>
      <c r="M3082" s="317"/>
      <c r="N3082" s="372">
        <f t="shared" si="2259"/>
        <v>0</v>
      </c>
      <c r="O3082" s="336">
        <f t="shared" si="2237"/>
        <v>31900.000000000004</v>
      </c>
      <c r="P3082" s="319">
        <f t="shared" si="2257"/>
        <v>35090.000000000007</v>
      </c>
      <c r="R3082" s="317"/>
      <c r="U3082" s="320"/>
    </row>
    <row r="3083" spans="1:21" outlineLevel="3">
      <c r="A3083" s="612"/>
      <c r="B3083" s="612"/>
      <c r="C3083" s="340">
        <v>2210300</v>
      </c>
      <c r="D3083" s="338" t="s">
        <v>24</v>
      </c>
      <c r="E3083" s="397">
        <f>SUM(E3084:E3086)</f>
        <v>546392.6</v>
      </c>
      <c r="F3083" s="397">
        <f t="shared" ref="F3083:K3083" si="2260">SUM(F3084:F3086)</f>
        <v>0</v>
      </c>
      <c r="G3083" s="397">
        <f t="shared" si="2260"/>
        <v>0</v>
      </c>
      <c r="H3083" s="397">
        <f t="shared" si="2260"/>
        <v>0</v>
      </c>
      <c r="I3083" s="397">
        <f t="shared" si="2260"/>
        <v>546392.6</v>
      </c>
      <c r="J3083" s="397">
        <f t="shared" si="2260"/>
        <v>0</v>
      </c>
      <c r="K3083" s="397">
        <f t="shared" si="2260"/>
        <v>0</v>
      </c>
      <c r="L3083" s="317">
        <f t="shared" si="2256"/>
        <v>546392.6</v>
      </c>
      <c r="M3083" s="317"/>
      <c r="N3083" s="372">
        <f t="shared" si="2259"/>
        <v>0</v>
      </c>
      <c r="O3083" s="397">
        <f t="shared" ref="O3083:P3083" si="2261">SUM(O3084:O3086)</f>
        <v>601031.8600000001</v>
      </c>
      <c r="P3083" s="397">
        <f t="shared" si="2261"/>
        <v>661135.04600000021</v>
      </c>
      <c r="R3083" s="317"/>
      <c r="U3083" s="320"/>
    </row>
    <row r="3084" spans="1:21" outlineLevel="3">
      <c r="A3084" s="611"/>
      <c r="B3084" s="611"/>
      <c r="C3084" s="332">
        <v>2210301</v>
      </c>
      <c r="D3084" s="330" t="s">
        <v>188</v>
      </c>
      <c r="E3084" s="389">
        <v>203000</v>
      </c>
      <c r="F3084" s="389"/>
      <c r="G3084" s="389"/>
      <c r="H3084" s="389"/>
      <c r="I3084" s="324">
        <f t="shared" si="2222"/>
        <v>203000</v>
      </c>
      <c r="J3084" s="389"/>
      <c r="K3084" s="389"/>
      <c r="L3084" s="317">
        <f t="shared" si="2256"/>
        <v>203000</v>
      </c>
      <c r="M3084" s="317"/>
      <c r="N3084" s="372">
        <f t="shared" si="2259"/>
        <v>0</v>
      </c>
      <c r="O3084" s="336">
        <f t="shared" si="2237"/>
        <v>223300.00000000003</v>
      </c>
      <c r="P3084" s="319">
        <f t="shared" si="2257"/>
        <v>245630.00000000006</v>
      </c>
      <c r="R3084" s="317"/>
      <c r="U3084" s="320"/>
    </row>
    <row r="3085" spans="1:21" outlineLevel="3">
      <c r="A3085" s="611"/>
      <c r="B3085" s="611"/>
      <c r="C3085" s="332">
        <v>2210302</v>
      </c>
      <c r="D3085" s="330" t="s">
        <v>26</v>
      </c>
      <c r="E3085" s="389">
        <v>230840</v>
      </c>
      <c r="F3085" s="389"/>
      <c r="G3085" s="389"/>
      <c r="H3085" s="389"/>
      <c r="I3085" s="324">
        <f t="shared" si="2222"/>
        <v>230840</v>
      </c>
      <c r="J3085" s="389"/>
      <c r="K3085" s="389"/>
      <c r="L3085" s="317">
        <f t="shared" si="2256"/>
        <v>230840</v>
      </c>
      <c r="M3085" s="317"/>
      <c r="N3085" s="372">
        <f t="shared" si="2259"/>
        <v>0</v>
      </c>
      <c r="O3085" s="336">
        <f t="shared" si="2237"/>
        <v>253924.00000000003</v>
      </c>
      <c r="P3085" s="319">
        <f t="shared" si="2257"/>
        <v>279316.40000000008</v>
      </c>
      <c r="R3085" s="317"/>
      <c r="U3085" s="320"/>
    </row>
    <row r="3086" spans="1:21" outlineLevel="3">
      <c r="A3086" s="611"/>
      <c r="B3086" s="611"/>
      <c r="C3086" s="332">
        <v>2210303</v>
      </c>
      <c r="D3086" s="330" t="s">
        <v>223</v>
      </c>
      <c r="E3086" s="389">
        <v>112552.6</v>
      </c>
      <c r="F3086" s="389"/>
      <c r="G3086" s="389"/>
      <c r="H3086" s="389"/>
      <c r="I3086" s="324">
        <f t="shared" si="2222"/>
        <v>112552.6</v>
      </c>
      <c r="J3086" s="389"/>
      <c r="K3086" s="389"/>
      <c r="L3086" s="317">
        <f t="shared" si="2256"/>
        <v>112552.6</v>
      </c>
      <c r="M3086" s="317"/>
      <c r="N3086" s="372">
        <f t="shared" si="2259"/>
        <v>0</v>
      </c>
      <c r="O3086" s="336">
        <f t="shared" si="2237"/>
        <v>123807.86000000002</v>
      </c>
      <c r="P3086" s="319">
        <f t="shared" si="2257"/>
        <v>136188.64600000004</v>
      </c>
      <c r="R3086" s="317"/>
      <c r="U3086" s="320"/>
    </row>
    <row r="3087" spans="1:21" outlineLevel="3">
      <c r="A3087" s="612"/>
      <c r="B3087" s="612"/>
      <c r="C3087" s="340">
        <v>2210500</v>
      </c>
      <c r="D3087" s="338" t="s">
        <v>31</v>
      </c>
      <c r="E3087" s="397">
        <f>SUM(E3088:E3090)</f>
        <v>894200</v>
      </c>
      <c r="F3087" s="397">
        <f t="shared" ref="F3087:K3087" si="2262">SUM(F3088:F3090)</f>
        <v>0</v>
      </c>
      <c r="G3087" s="397">
        <f t="shared" si="2262"/>
        <v>0</v>
      </c>
      <c r="H3087" s="397">
        <f t="shared" si="2262"/>
        <v>0</v>
      </c>
      <c r="I3087" s="397">
        <f t="shared" si="2262"/>
        <v>894200</v>
      </c>
      <c r="J3087" s="397">
        <f t="shared" si="2262"/>
        <v>0</v>
      </c>
      <c r="K3087" s="397">
        <f t="shared" si="2262"/>
        <v>-29000</v>
      </c>
      <c r="L3087" s="317">
        <f t="shared" si="2256"/>
        <v>865200</v>
      </c>
      <c r="M3087" s="317"/>
      <c r="N3087" s="372">
        <f t="shared" si="2259"/>
        <v>29000</v>
      </c>
      <c r="O3087" s="397">
        <f t="shared" ref="O3087:P3087" si="2263">SUM(O3088:O3090)</f>
        <v>951720.00000000012</v>
      </c>
      <c r="P3087" s="397">
        <f t="shared" si="2263"/>
        <v>1046892.0000000002</v>
      </c>
      <c r="R3087" s="317"/>
      <c r="U3087" s="320"/>
    </row>
    <row r="3088" spans="1:21" outlineLevel="3">
      <c r="A3088" s="611"/>
      <c r="B3088" s="611"/>
      <c r="C3088" s="332">
        <v>2210502</v>
      </c>
      <c r="D3088" s="330" t="s">
        <v>105</v>
      </c>
      <c r="E3088" s="389">
        <v>58000</v>
      </c>
      <c r="F3088" s="389"/>
      <c r="G3088" s="389"/>
      <c r="H3088" s="389"/>
      <c r="I3088" s="324">
        <f t="shared" si="2222"/>
        <v>58000</v>
      </c>
      <c r="J3088" s="389"/>
      <c r="K3088" s="389"/>
      <c r="L3088" s="317">
        <f t="shared" si="2256"/>
        <v>58000</v>
      </c>
      <c r="M3088" s="317"/>
      <c r="N3088" s="372">
        <f t="shared" si="2259"/>
        <v>0</v>
      </c>
      <c r="O3088" s="336">
        <f t="shared" si="2237"/>
        <v>63800.000000000007</v>
      </c>
      <c r="P3088" s="319">
        <f t="shared" si="2257"/>
        <v>70180.000000000015</v>
      </c>
      <c r="R3088" s="317"/>
      <c r="U3088" s="320"/>
    </row>
    <row r="3089" spans="1:21" outlineLevel="3">
      <c r="A3089" s="611"/>
      <c r="B3089" s="611"/>
      <c r="C3089" s="332">
        <v>2210503</v>
      </c>
      <c r="D3089" s="330" t="s">
        <v>32</v>
      </c>
      <c r="E3089" s="389">
        <v>29000</v>
      </c>
      <c r="F3089" s="389"/>
      <c r="G3089" s="389"/>
      <c r="H3089" s="389"/>
      <c r="I3089" s="324">
        <f t="shared" si="2222"/>
        <v>29000</v>
      </c>
      <c r="J3089" s="389"/>
      <c r="K3089" s="389">
        <v>-29000</v>
      </c>
      <c r="L3089" s="317">
        <f t="shared" si="2256"/>
        <v>0</v>
      </c>
      <c r="M3089" s="317"/>
      <c r="N3089" s="372">
        <f t="shared" si="2259"/>
        <v>29000</v>
      </c>
      <c r="O3089" s="336">
        <f t="shared" si="2237"/>
        <v>0</v>
      </c>
      <c r="P3089" s="319">
        <f t="shared" si="2257"/>
        <v>0</v>
      </c>
      <c r="Q3089" s="303" t="s">
        <v>2528</v>
      </c>
      <c r="R3089" s="317"/>
      <c r="U3089" s="320"/>
    </row>
    <row r="3090" spans="1:21" outlineLevel="3">
      <c r="A3090" s="611"/>
      <c r="B3090" s="611"/>
      <c r="C3090" s="332">
        <v>2210504</v>
      </c>
      <c r="D3090" s="330" t="s">
        <v>1483</v>
      </c>
      <c r="E3090" s="389">
        <f>1807200-1000000</f>
        <v>807200</v>
      </c>
      <c r="F3090" s="389"/>
      <c r="G3090" s="389"/>
      <c r="H3090" s="389"/>
      <c r="I3090" s="324">
        <f t="shared" si="2222"/>
        <v>807200</v>
      </c>
      <c r="J3090" s="389"/>
      <c r="K3090" s="389"/>
      <c r="L3090" s="317">
        <f t="shared" si="2256"/>
        <v>807200</v>
      </c>
      <c r="M3090" s="317"/>
      <c r="N3090" s="372">
        <f t="shared" si="2259"/>
        <v>0</v>
      </c>
      <c r="O3090" s="336">
        <f t="shared" si="2237"/>
        <v>887920.00000000012</v>
      </c>
      <c r="P3090" s="319">
        <f t="shared" si="2257"/>
        <v>976712.00000000023</v>
      </c>
      <c r="R3090" s="317"/>
      <c r="U3090" s="320"/>
    </row>
    <row r="3091" spans="1:21" outlineLevel="3">
      <c r="A3091" s="612"/>
      <c r="B3091" s="612"/>
      <c r="C3091" s="340">
        <v>2210700</v>
      </c>
      <c r="D3091" s="338" t="s">
        <v>35</v>
      </c>
      <c r="E3091" s="397">
        <f>SUM(E3092:E3094)</f>
        <v>931200</v>
      </c>
      <c r="F3091" s="397">
        <f t="shared" ref="F3091:P3091" si="2264">SUM(F3092:F3094)</f>
        <v>0</v>
      </c>
      <c r="G3091" s="397">
        <f t="shared" si="2264"/>
        <v>0</v>
      </c>
      <c r="H3091" s="397">
        <f t="shared" si="2264"/>
        <v>0</v>
      </c>
      <c r="I3091" s="397">
        <f t="shared" si="2264"/>
        <v>931200</v>
      </c>
      <c r="J3091" s="397">
        <f t="shared" si="2264"/>
        <v>0</v>
      </c>
      <c r="K3091" s="397">
        <f t="shared" si="2264"/>
        <v>0</v>
      </c>
      <c r="L3091" s="317">
        <f t="shared" si="2256"/>
        <v>931200</v>
      </c>
      <c r="M3091" s="317"/>
      <c r="N3091" s="372">
        <f t="shared" si="2259"/>
        <v>0</v>
      </c>
      <c r="O3091" s="397">
        <f t="shared" si="2264"/>
        <v>1024320</v>
      </c>
      <c r="P3091" s="397">
        <f t="shared" si="2264"/>
        <v>1126752.0000000002</v>
      </c>
      <c r="R3091" s="317"/>
      <c r="U3091" s="320"/>
    </row>
    <row r="3092" spans="1:21" outlineLevel="3">
      <c r="A3092" s="611"/>
      <c r="B3092" s="611"/>
      <c r="C3092" s="332">
        <v>2210701</v>
      </c>
      <c r="D3092" s="330" t="s">
        <v>36</v>
      </c>
      <c r="E3092" s="389">
        <v>103000</v>
      </c>
      <c r="F3092" s="389"/>
      <c r="G3092" s="389"/>
      <c r="H3092" s="389"/>
      <c r="I3092" s="324">
        <f t="shared" si="2222"/>
        <v>103000</v>
      </c>
      <c r="J3092" s="389"/>
      <c r="K3092" s="389"/>
      <c r="L3092" s="317">
        <f t="shared" si="2256"/>
        <v>103000</v>
      </c>
      <c r="M3092" s="317"/>
      <c r="N3092" s="372">
        <f t="shared" si="2259"/>
        <v>0</v>
      </c>
      <c r="O3092" s="336">
        <f t="shared" si="2237"/>
        <v>113300.00000000001</v>
      </c>
      <c r="P3092" s="319">
        <f t="shared" si="2257"/>
        <v>124630.00000000003</v>
      </c>
      <c r="R3092" s="317"/>
      <c r="U3092" s="320"/>
    </row>
    <row r="3093" spans="1:21" outlineLevel="3">
      <c r="A3093" s="611"/>
      <c r="B3093" s="611"/>
      <c r="C3093" s="332">
        <v>2210707</v>
      </c>
      <c r="D3093" s="330" t="s">
        <v>1484</v>
      </c>
      <c r="E3093" s="389">
        <f>1148400-500000</f>
        <v>648400</v>
      </c>
      <c r="F3093" s="389"/>
      <c r="G3093" s="389"/>
      <c r="H3093" s="389"/>
      <c r="I3093" s="324">
        <f t="shared" si="2222"/>
        <v>648400</v>
      </c>
      <c r="J3093" s="389"/>
      <c r="K3093" s="389"/>
      <c r="L3093" s="317">
        <f t="shared" si="2256"/>
        <v>648400</v>
      </c>
      <c r="M3093" s="317"/>
      <c r="N3093" s="372">
        <f t="shared" si="2259"/>
        <v>0</v>
      </c>
      <c r="O3093" s="336">
        <f t="shared" si="2237"/>
        <v>713240</v>
      </c>
      <c r="P3093" s="319">
        <f t="shared" si="2257"/>
        <v>784564.00000000012</v>
      </c>
      <c r="R3093" s="317"/>
      <c r="U3093" s="320"/>
    </row>
    <row r="3094" spans="1:21" outlineLevel="3">
      <c r="A3094" s="611"/>
      <c r="B3094" s="611"/>
      <c r="C3094" s="332">
        <v>2210710</v>
      </c>
      <c r="D3094" s="330" t="s">
        <v>39</v>
      </c>
      <c r="E3094" s="389">
        <v>179800</v>
      </c>
      <c r="F3094" s="389"/>
      <c r="G3094" s="389"/>
      <c r="H3094" s="389"/>
      <c r="I3094" s="324">
        <f t="shared" si="2222"/>
        <v>179800</v>
      </c>
      <c r="J3094" s="389"/>
      <c r="K3094" s="389"/>
      <c r="L3094" s="317">
        <f t="shared" si="2256"/>
        <v>179800</v>
      </c>
      <c r="M3094" s="317"/>
      <c r="N3094" s="372">
        <f t="shared" si="2259"/>
        <v>0</v>
      </c>
      <c r="O3094" s="336">
        <f t="shared" si="2237"/>
        <v>197780.00000000003</v>
      </c>
      <c r="P3094" s="319">
        <f t="shared" si="2257"/>
        <v>217558.00000000006</v>
      </c>
      <c r="R3094" s="317"/>
      <c r="U3094" s="320"/>
    </row>
    <row r="3095" spans="1:21" s="350" customFormat="1" outlineLevel="3">
      <c r="A3095" s="612"/>
      <c r="B3095" s="612"/>
      <c r="C3095" s="340">
        <v>2210800</v>
      </c>
      <c r="D3095" s="338" t="s">
        <v>42</v>
      </c>
      <c r="E3095" s="397">
        <f>SUM(E3096:E3097)</f>
        <v>1616420</v>
      </c>
      <c r="F3095" s="397">
        <f t="shared" ref="F3095:K3095" si="2265">SUM(F3096:F3097)</f>
        <v>0</v>
      </c>
      <c r="G3095" s="397">
        <f t="shared" si="2265"/>
        <v>0</v>
      </c>
      <c r="H3095" s="397">
        <f t="shared" si="2265"/>
        <v>0</v>
      </c>
      <c r="I3095" s="397">
        <f t="shared" si="2265"/>
        <v>1616420</v>
      </c>
      <c r="J3095" s="397">
        <f t="shared" si="2265"/>
        <v>0</v>
      </c>
      <c r="K3095" s="397">
        <f t="shared" si="2265"/>
        <v>0</v>
      </c>
      <c r="L3095" s="317">
        <f t="shared" si="2256"/>
        <v>1616420</v>
      </c>
      <c r="M3095" s="317"/>
      <c r="N3095" s="372">
        <f t="shared" si="2259"/>
        <v>0</v>
      </c>
      <c r="O3095" s="397">
        <f t="shared" ref="O3095:P3095" si="2266">SUM(O3096:O3097)</f>
        <v>1778062.0000000002</v>
      </c>
      <c r="P3095" s="397">
        <f t="shared" si="2266"/>
        <v>1955868.2000000004</v>
      </c>
      <c r="R3095" s="317"/>
      <c r="U3095" s="320"/>
    </row>
    <row r="3096" spans="1:21" s="969" customFormat="1" outlineLevel="3">
      <c r="A3096" s="611"/>
      <c r="B3096" s="611"/>
      <c r="C3096" s="332">
        <v>2210801</v>
      </c>
      <c r="D3096" s="330" t="s">
        <v>2421</v>
      </c>
      <c r="E3096" s="389">
        <v>145000</v>
      </c>
      <c r="F3096" s="389"/>
      <c r="G3096" s="389"/>
      <c r="H3096" s="389"/>
      <c r="I3096" s="324">
        <f t="shared" ref="I3096:I3159" si="2267">E3096+F3096+G3096+H3096</f>
        <v>145000</v>
      </c>
      <c r="J3096" s="389"/>
      <c r="K3096" s="389"/>
      <c r="L3096" s="317">
        <f t="shared" si="2256"/>
        <v>145000</v>
      </c>
      <c r="M3096" s="317"/>
      <c r="N3096" s="372">
        <f t="shared" si="2259"/>
        <v>0</v>
      </c>
      <c r="O3096" s="336">
        <f t="shared" si="2237"/>
        <v>159500</v>
      </c>
      <c r="P3096" s="319">
        <f t="shared" si="2257"/>
        <v>175450</v>
      </c>
      <c r="R3096" s="317"/>
      <c r="U3096" s="320"/>
    </row>
    <row r="3097" spans="1:21" s="350" customFormat="1" outlineLevel="3">
      <c r="A3097" s="634"/>
      <c r="B3097" s="634"/>
      <c r="C3097" s="332">
        <v>2210805</v>
      </c>
      <c r="D3097" s="330" t="s">
        <v>1485</v>
      </c>
      <c r="E3097" s="389">
        <f>1971420-500000</f>
        <v>1471420</v>
      </c>
      <c r="F3097" s="389"/>
      <c r="G3097" s="389"/>
      <c r="H3097" s="389"/>
      <c r="I3097" s="324">
        <f t="shared" si="2267"/>
        <v>1471420</v>
      </c>
      <c r="J3097" s="389"/>
      <c r="K3097" s="389"/>
      <c r="L3097" s="317">
        <f t="shared" si="2256"/>
        <v>1471420</v>
      </c>
      <c r="M3097" s="317"/>
      <c r="N3097" s="372">
        <f t="shared" si="2259"/>
        <v>0</v>
      </c>
      <c r="O3097" s="336">
        <f t="shared" si="2237"/>
        <v>1618562.0000000002</v>
      </c>
      <c r="P3097" s="319">
        <f t="shared" si="2257"/>
        <v>1780418.2000000004</v>
      </c>
      <c r="R3097" s="317"/>
      <c r="U3097" s="320"/>
    </row>
    <row r="3098" spans="1:21" s="350" customFormat="1" outlineLevel="3">
      <c r="A3098" s="1036"/>
      <c r="B3098" s="1036"/>
      <c r="C3098" s="340">
        <v>2211100</v>
      </c>
      <c r="D3098" s="338" t="s">
        <v>51</v>
      </c>
      <c r="E3098" s="397">
        <f>SUM(E3099:E3100)</f>
        <v>133400</v>
      </c>
      <c r="F3098" s="397">
        <f t="shared" ref="F3098:P3098" si="2268">SUM(F3099:F3100)</f>
        <v>0</v>
      </c>
      <c r="G3098" s="397">
        <f t="shared" si="2268"/>
        <v>0</v>
      </c>
      <c r="H3098" s="397">
        <f t="shared" si="2268"/>
        <v>0</v>
      </c>
      <c r="I3098" s="397">
        <f t="shared" si="2268"/>
        <v>133400</v>
      </c>
      <c r="J3098" s="397">
        <f t="shared" si="2268"/>
        <v>0</v>
      </c>
      <c r="K3098" s="397">
        <f t="shared" si="2268"/>
        <v>0</v>
      </c>
      <c r="L3098" s="317">
        <f t="shared" si="2256"/>
        <v>133400</v>
      </c>
      <c r="M3098" s="317"/>
      <c r="N3098" s="372">
        <f t="shared" si="2259"/>
        <v>0</v>
      </c>
      <c r="O3098" s="397">
        <f t="shared" si="2268"/>
        <v>146740.00000000003</v>
      </c>
      <c r="P3098" s="397">
        <f t="shared" si="2268"/>
        <v>161414.00000000006</v>
      </c>
      <c r="R3098" s="317"/>
      <c r="U3098" s="320"/>
    </row>
    <row r="3099" spans="1:21" outlineLevel="3">
      <c r="A3099" s="634"/>
      <c r="B3099" s="634"/>
      <c r="C3099" s="332">
        <v>2211101</v>
      </c>
      <c r="D3099" s="330" t="s">
        <v>289</v>
      </c>
      <c r="E3099" s="389">
        <v>87000</v>
      </c>
      <c r="F3099" s="389"/>
      <c r="G3099" s="389"/>
      <c r="H3099" s="389"/>
      <c r="I3099" s="324">
        <f t="shared" si="2267"/>
        <v>87000</v>
      </c>
      <c r="J3099" s="389"/>
      <c r="K3099" s="389"/>
      <c r="L3099" s="317">
        <f t="shared" si="2256"/>
        <v>87000</v>
      </c>
      <c r="M3099" s="317"/>
      <c r="N3099" s="372">
        <f t="shared" si="2259"/>
        <v>0</v>
      </c>
      <c r="O3099" s="336">
        <f t="shared" si="2237"/>
        <v>95700.000000000015</v>
      </c>
      <c r="P3099" s="319">
        <f t="shared" si="2257"/>
        <v>105270.00000000003</v>
      </c>
      <c r="R3099" s="317"/>
      <c r="U3099" s="320"/>
    </row>
    <row r="3100" spans="1:21" outlineLevel="3">
      <c r="A3100" s="634"/>
      <c r="B3100" s="634"/>
      <c r="C3100" s="332">
        <v>2211102</v>
      </c>
      <c r="D3100" s="330" t="s">
        <v>53</v>
      </c>
      <c r="E3100" s="389">
        <v>46400</v>
      </c>
      <c r="F3100" s="389"/>
      <c r="G3100" s="389"/>
      <c r="H3100" s="389"/>
      <c r="I3100" s="324">
        <f t="shared" si="2267"/>
        <v>46400</v>
      </c>
      <c r="J3100" s="389"/>
      <c r="K3100" s="389"/>
      <c r="L3100" s="317">
        <f t="shared" si="2256"/>
        <v>46400</v>
      </c>
      <c r="M3100" s="317"/>
      <c r="N3100" s="372">
        <f t="shared" si="2259"/>
        <v>0</v>
      </c>
      <c r="O3100" s="336">
        <f t="shared" si="2237"/>
        <v>51040.000000000007</v>
      </c>
      <c r="P3100" s="319">
        <f t="shared" ref="P3100:P3114" si="2269">O3100*1.1</f>
        <v>56144.000000000015</v>
      </c>
      <c r="R3100" s="317"/>
      <c r="U3100" s="320"/>
    </row>
    <row r="3101" spans="1:21" outlineLevel="3">
      <c r="A3101" s="612"/>
      <c r="B3101" s="612"/>
      <c r="C3101" s="340">
        <v>2211200</v>
      </c>
      <c r="D3101" s="338" t="s">
        <v>55</v>
      </c>
      <c r="E3101" s="397">
        <f>SUM(E3102)</f>
        <v>298600</v>
      </c>
      <c r="F3101" s="397">
        <f t="shared" ref="F3101:P3101" si="2270">SUM(F3102)</f>
        <v>0</v>
      </c>
      <c r="G3101" s="397">
        <f t="shared" si="2270"/>
        <v>0</v>
      </c>
      <c r="H3101" s="397">
        <f t="shared" si="2270"/>
        <v>300000</v>
      </c>
      <c r="I3101" s="397">
        <f t="shared" si="2270"/>
        <v>598600</v>
      </c>
      <c r="J3101" s="397">
        <f t="shared" si="2270"/>
        <v>0</v>
      </c>
      <c r="K3101" s="397">
        <f t="shared" si="2270"/>
        <v>0</v>
      </c>
      <c r="L3101" s="317">
        <f t="shared" si="2256"/>
        <v>598600</v>
      </c>
      <c r="M3101" s="317"/>
      <c r="N3101" s="372">
        <f t="shared" si="2259"/>
        <v>0</v>
      </c>
      <c r="O3101" s="397">
        <f t="shared" si="2270"/>
        <v>658460</v>
      </c>
      <c r="P3101" s="397">
        <f t="shared" si="2270"/>
        <v>724306.00000000012</v>
      </c>
      <c r="R3101" s="317"/>
      <c r="U3101" s="320"/>
    </row>
    <row r="3102" spans="1:21" outlineLevel="3">
      <c r="A3102" s="611"/>
      <c r="B3102" s="611"/>
      <c r="C3102" s="332">
        <v>2211201</v>
      </c>
      <c r="D3102" s="330" t="s">
        <v>56</v>
      </c>
      <c r="E3102" s="389">
        <v>298600</v>
      </c>
      <c r="F3102" s="389"/>
      <c r="G3102" s="389"/>
      <c r="H3102" s="389">
        <v>300000</v>
      </c>
      <c r="I3102" s="324">
        <f t="shared" si="2267"/>
        <v>598600</v>
      </c>
      <c r="J3102" s="389"/>
      <c r="K3102" s="389"/>
      <c r="L3102" s="317">
        <f t="shared" si="2256"/>
        <v>598600</v>
      </c>
      <c r="M3102" s="317"/>
      <c r="N3102" s="372">
        <f t="shared" si="2259"/>
        <v>0</v>
      </c>
      <c r="O3102" s="336">
        <f t="shared" si="2237"/>
        <v>658460</v>
      </c>
      <c r="P3102" s="319">
        <f t="shared" si="2269"/>
        <v>724306.00000000012</v>
      </c>
      <c r="R3102" s="317"/>
      <c r="U3102" s="320"/>
    </row>
    <row r="3103" spans="1:21" outlineLevel="3">
      <c r="A3103" s="611"/>
      <c r="B3103" s="611"/>
      <c r="C3103" s="340">
        <v>2211300</v>
      </c>
      <c r="D3103" s="338" t="s">
        <v>57</v>
      </c>
      <c r="E3103" s="397">
        <f>E3104</f>
        <v>1786000</v>
      </c>
      <c r="F3103" s="397">
        <f t="shared" ref="F3103:P3103" si="2271">F3104</f>
        <v>0</v>
      </c>
      <c r="G3103" s="397">
        <f t="shared" si="2271"/>
        <v>0</v>
      </c>
      <c r="H3103" s="397">
        <f t="shared" si="2271"/>
        <v>0</v>
      </c>
      <c r="I3103" s="397">
        <f t="shared" si="2271"/>
        <v>1786000</v>
      </c>
      <c r="J3103" s="397">
        <f t="shared" si="2271"/>
        <v>0</v>
      </c>
      <c r="K3103" s="397">
        <f t="shared" si="2271"/>
        <v>0</v>
      </c>
      <c r="L3103" s="317">
        <f t="shared" si="2256"/>
        <v>1786000</v>
      </c>
      <c r="M3103" s="317"/>
      <c r="N3103" s="372">
        <f t="shared" si="2259"/>
        <v>0</v>
      </c>
      <c r="O3103" s="397">
        <f t="shared" si="2271"/>
        <v>1964600.0000000002</v>
      </c>
      <c r="P3103" s="397">
        <f t="shared" si="2271"/>
        <v>2161060.0000000005</v>
      </c>
      <c r="R3103" s="317"/>
      <c r="U3103" s="320"/>
    </row>
    <row r="3104" spans="1:21" s="337" customFormat="1" outlineLevel="3">
      <c r="A3104" s="612"/>
      <c r="B3104" s="612"/>
      <c r="C3104" s="332">
        <v>2211320</v>
      </c>
      <c r="D3104" s="330" t="s">
        <v>1486</v>
      </c>
      <c r="E3104" s="389">
        <v>1786000</v>
      </c>
      <c r="F3104" s="389"/>
      <c r="G3104" s="389"/>
      <c r="H3104" s="1003"/>
      <c r="I3104" s="324">
        <f t="shared" si="2267"/>
        <v>1786000</v>
      </c>
      <c r="J3104" s="1003"/>
      <c r="K3104" s="1003"/>
      <c r="L3104" s="317">
        <f t="shared" si="2256"/>
        <v>1786000</v>
      </c>
      <c r="M3104" s="317"/>
      <c r="N3104" s="372">
        <f t="shared" si="2259"/>
        <v>0</v>
      </c>
      <c r="O3104" s="336">
        <f t="shared" si="2237"/>
        <v>1964600.0000000002</v>
      </c>
      <c r="P3104" s="319">
        <f t="shared" si="2269"/>
        <v>2161060.0000000005</v>
      </c>
      <c r="R3104" s="317"/>
      <c r="U3104" s="320"/>
    </row>
    <row r="3105" spans="1:21" outlineLevel="3">
      <c r="A3105" s="611"/>
      <c r="B3105" s="611"/>
      <c r="C3105" s="340">
        <v>2220100</v>
      </c>
      <c r="D3105" s="338" t="s">
        <v>62</v>
      </c>
      <c r="E3105" s="397">
        <f>SUM(E3106)</f>
        <v>110200</v>
      </c>
      <c r="F3105" s="397">
        <f t="shared" ref="F3105:K3105" si="2272">SUM(F3106)</f>
        <v>0</v>
      </c>
      <c r="G3105" s="397">
        <f t="shared" si="2272"/>
        <v>0</v>
      </c>
      <c r="H3105" s="397">
        <f t="shared" si="2272"/>
        <v>150000</v>
      </c>
      <c r="I3105" s="397">
        <f t="shared" si="2272"/>
        <v>260200</v>
      </c>
      <c r="J3105" s="397">
        <f t="shared" si="2272"/>
        <v>0</v>
      </c>
      <c r="K3105" s="397">
        <f t="shared" si="2272"/>
        <v>0</v>
      </c>
      <c r="L3105" s="317">
        <f t="shared" si="2256"/>
        <v>260200</v>
      </c>
      <c r="M3105" s="317"/>
      <c r="N3105" s="372">
        <f t="shared" si="2259"/>
        <v>0</v>
      </c>
      <c r="O3105" s="397">
        <f t="shared" ref="O3105:P3105" si="2273">SUM(O3106)</f>
        <v>286220</v>
      </c>
      <c r="P3105" s="397">
        <f t="shared" si="2273"/>
        <v>314842</v>
      </c>
      <c r="R3105" s="317"/>
      <c r="U3105" s="320"/>
    </row>
    <row r="3106" spans="1:21" outlineLevel="3">
      <c r="A3106" s="612"/>
      <c r="B3106" s="612"/>
      <c r="C3106" s="332">
        <v>2220101</v>
      </c>
      <c r="D3106" s="330" t="s">
        <v>200</v>
      </c>
      <c r="E3106" s="389">
        <v>110200</v>
      </c>
      <c r="F3106" s="389"/>
      <c r="G3106" s="389"/>
      <c r="H3106" s="389">
        <v>150000</v>
      </c>
      <c r="I3106" s="324">
        <f t="shared" si="2267"/>
        <v>260200</v>
      </c>
      <c r="J3106" s="389"/>
      <c r="K3106" s="389"/>
      <c r="L3106" s="317">
        <f t="shared" si="2256"/>
        <v>260200</v>
      </c>
      <c r="M3106" s="317"/>
      <c r="N3106" s="372">
        <f t="shared" si="2259"/>
        <v>0</v>
      </c>
      <c r="O3106" s="336">
        <f t="shared" si="2237"/>
        <v>286220</v>
      </c>
      <c r="P3106" s="319">
        <f t="shared" si="2269"/>
        <v>314842</v>
      </c>
      <c r="R3106" s="317"/>
      <c r="U3106" s="320"/>
    </row>
    <row r="3107" spans="1:21" outlineLevel="3">
      <c r="A3107" s="611"/>
      <c r="B3107" s="611"/>
      <c r="C3107" s="340">
        <v>2220200</v>
      </c>
      <c r="D3107" s="338" t="s">
        <v>124</v>
      </c>
      <c r="E3107" s="397">
        <f>SUM(E3108:E3109)</f>
        <v>104400</v>
      </c>
      <c r="F3107" s="397">
        <f t="shared" ref="F3107:K3107" si="2274">SUM(F3108:F3109)</f>
        <v>0</v>
      </c>
      <c r="G3107" s="397">
        <f t="shared" si="2274"/>
        <v>0</v>
      </c>
      <c r="H3107" s="397">
        <f t="shared" si="2274"/>
        <v>0</v>
      </c>
      <c r="I3107" s="397">
        <f t="shared" si="2274"/>
        <v>104400</v>
      </c>
      <c r="J3107" s="397">
        <f t="shared" si="2274"/>
        <v>0</v>
      </c>
      <c r="K3107" s="397">
        <f t="shared" si="2274"/>
        <v>0</v>
      </c>
      <c r="L3107" s="317">
        <f t="shared" si="2256"/>
        <v>104400</v>
      </c>
      <c r="M3107" s="317"/>
      <c r="N3107" s="372">
        <f t="shared" si="2259"/>
        <v>0</v>
      </c>
      <c r="O3107" s="397">
        <f t="shared" ref="O3107:P3107" si="2275">SUM(O3108:O3109)</f>
        <v>114840.00000000001</v>
      </c>
      <c r="P3107" s="397">
        <f t="shared" si="2275"/>
        <v>126324.00000000003</v>
      </c>
      <c r="R3107" s="317"/>
      <c r="U3107" s="320"/>
    </row>
    <row r="3108" spans="1:21" outlineLevel="3">
      <c r="A3108" s="612"/>
      <c r="B3108" s="612"/>
      <c r="C3108" s="332">
        <v>2220205</v>
      </c>
      <c r="D3108" s="330" t="s">
        <v>125</v>
      </c>
      <c r="E3108" s="389">
        <v>58000</v>
      </c>
      <c r="F3108" s="389"/>
      <c r="G3108" s="389"/>
      <c r="H3108" s="389"/>
      <c r="I3108" s="324">
        <f t="shared" si="2267"/>
        <v>58000</v>
      </c>
      <c r="J3108" s="389"/>
      <c r="K3108" s="389"/>
      <c r="L3108" s="317">
        <f t="shared" si="2256"/>
        <v>58000</v>
      </c>
      <c r="M3108" s="317"/>
      <c r="N3108" s="372">
        <f t="shared" si="2259"/>
        <v>0</v>
      </c>
      <c r="O3108" s="336">
        <f t="shared" si="2237"/>
        <v>63800.000000000007</v>
      </c>
      <c r="P3108" s="319">
        <f t="shared" si="2269"/>
        <v>70180.000000000015</v>
      </c>
      <c r="R3108" s="317"/>
      <c r="U3108" s="320"/>
    </row>
    <row r="3109" spans="1:21" outlineLevel="3">
      <c r="A3109" s="611"/>
      <c r="B3109" s="611"/>
      <c r="C3109" s="332">
        <v>2220210</v>
      </c>
      <c r="D3109" s="330" t="s">
        <v>163</v>
      </c>
      <c r="E3109" s="389">
        <v>46400</v>
      </c>
      <c r="F3109" s="389"/>
      <c r="G3109" s="389"/>
      <c r="H3109" s="389"/>
      <c r="I3109" s="324">
        <f t="shared" si="2267"/>
        <v>46400</v>
      </c>
      <c r="J3109" s="389"/>
      <c r="K3109" s="389"/>
      <c r="L3109" s="317">
        <f t="shared" si="2256"/>
        <v>46400</v>
      </c>
      <c r="M3109" s="317"/>
      <c r="N3109" s="372">
        <f t="shared" si="2259"/>
        <v>0</v>
      </c>
      <c r="O3109" s="336">
        <f t="shared" si="2237"/>
        <v>51040.000000000007</v>
      </c>
      <c r="P3109" s="319">
        <f t="shared" si="2269"/>
        <v>56144.000000000015</v>
      </c>
      <c r="R3109" s="317"/>
      <c r="U3109" s="320"/>
    </row>
    <row r="3110" spans="1:21" outlineLevel="3">
      <c r="A3110" s="612"/>
      <c r="B3110" s="612"/>
      <c r="C3110" s="340">
        <v>3111000</v>
      </c>
      <c r="D3110" s="338" t="s">
        <v>69</v>
      </c>
      <c r="E3110" s="397">
        <f>SUM(E3111:E3112)</f>
        <v>174000</v>
      </c>
      <c r="F3110" s="397">
        <f t="shared" ref="F3110:K3110" si="2276">SUM(F3111:F3112)</f>
        <v>0</v>
      </c>
      <c r="G3110" s="397">
        <f t="shared" si="2276"/>
        <v>0</v>
      </c>
      <c r="H3110" s="397">
        <f t="shared" si="2276"/>
        <v>0</v>
      </c>
      <c r="I3110" s="397">
        <f t="shared" si="2276"/>
        <v>174000</v>
      </c>
      <c r="J3110" s="397">
        <f t="shared" si="2276"/>
        <v>0</v>
      </c>
      <c r="K3110" s="397">
        <f t="shared" si="2276"/>
        <v>0</v>
      </c>
      <c r="L3110" s="317">
        <f t="shared" si="2256"/>
        <v>174000</v>
      </c>
      <c r="M3110" s="317"/>
      <c r="N3110" s="372">
        <f t="shared" si="2259"/>
        <v>0</v>
      </c>
      <c r="O3110" s="397">
        <f t="shared" ref="O3110:P3110" si="2277">SUM(O3111:O3112)</f>
        <v>191400.00000000003</v>
      </c>
      <c r="P3110" s="397">
        <f t="shared" si="2277"/>
        <v>210540.00000000006</v>
      </c>
      <c r="R3110" s="317"/>
      <c r="U3110" s="320"/>
    </row>
    <row r="3111" spans="1:21" outlineLevel="3">
      <c r="A3111" s="611"/>
      <c r="B3111" s="611"/>
      <c r="C3111" s="332">
        <v>3111001</v>
      </c>
      <c r="D3111" s="330" t="s">
        <v>69</v>
      </c>
      <c r="E3111" s="389">
        <v>87000</v>
      </c>
      <c r="F3111" s="389"/>
      <c r="G3111" s="389"/>
      <c r="H3111" s="389"/>
      <c r="I3111" s="324">
        <f t="shared" si="2267"/>
        <v>87000</v>
      </c>
      <c r="J3111" s="389"/>
      <c r="K3111" s="389"/>
      <c r="L3111" s="317">
        <f t="shared" si="2256"/>
        <v>87000</v>
      </c>
      <c r="M3111" s="317"/>
      <c r="N3111" s="372">
        <f t="shared" si="2259"/>
        <v>0</v>
      </c>
      <c r="O3111" s="336">
        <f t="shared" si="2237"/>
        <v>95700.000000000015</v>
      </c>
      <c r="P3111" s="319">
        <f t="shared" si="2269"/>
        <v>105270.00000000003</v>
      </c>
      <c r="R3111" s="317"/>
      <c r="U3111" s="320"/>
    </row>
    <row r="3112" spans="1:21" outlineLevel="3">
      <c r="A3112" s="611"/>
      <c r="B3112" s="611"/>
      <c r="C3112" s="332">
        <v>3111002</v>
      </c>
      <c r="D3112" s="330" t="s">
        <v>71</v>
      </c>
      <c r="E3112" s="389">
        <v>87000</v>
      </c>
      <c r="F3112" s="389"/>
      <c r="G3112" s="389"/>
      <c r="H3112" s="389"/>
      <c r="I3112" s="324">
        <f t="shared" si="2267"/>
        <v>87000</v>
      </c>
      <c r="J3112" s="389"/>
      <c r="K3112" s="389"/>
      <c r="L3112" s="317">
        <f t="shared" si="2256"/>
        <v>87000</v>
      </c>
      <c r="M3112" s="317"/>
      <c r="N3112" s="372">
        <f t="shared" si="2259"/>
        <v>0</v>
      </c>
      <c r="O3112" s="336">
        <f t="shared" si="2237"/>
        <v>95700.000000000015</v>
      </c>
      <c r="P3112" s="319">
        <f t="shared" si="2269"/>
        <v>105270.00000000003</v>
      </c>
      <c r="R3112" s="317"/>
      <c r="U3112" s="320"/>
    </row>
    <row r="3113" spans="1:21" outlineLevel="2">
      <c r="A3113" s="617"/>
      <c r="B3113" s="617"/>
      <c r="C3113" s="314"/>
      <c r="D3113" s="447" t="s">
        <v>99</v>
      </c>
      <c r="E3113" s="438">
        <f>E3081+E3083+E3087+E3091+E3095+E3098+E3101+E3103+E3105+E3107+E3110</f>
        <v>6623812.5999999996</v>
      </c>
      <c r="F3113" s="438">
        <f t="shared" ref="F3113:K3113" si="2278">F3081+F3083+F3087+F3091+F3095+F3098+F3101+F3103+F3105+F3107+F3110</f>
        <v>0</v>
      </c>
      <c r="G3113" s="438">
        <f t="shared" si="2278"/>
        <v>0</v>
      </c>
      <c r="H3113" s="438">
        <f t="shared" si="2278"/>
        <v>450000</v>
      </c>
      <c r="I3113" s="438">
        <f t="shared" si="2278"/>
        <v>7073812.5999999996</v>
      </c>
      <c r="J3113" s="438">
        <f t="shared" si="2278"/>
        <v>0</v>
      </c>
      <c r="K3113" s="438">
        <f t="shared" si="2278"/>
        <v>-29000</v>
      </c>
      <c r="L3113" s="317">
        <f t="shared" si="2256"/>
        <v>7044812.5999999996</v>
      </c>
      <c r="M3113" s="317"/>
      <c r="N3113" s="372">
        <f t="shared" si="2259"/>
        <v>29000</v>
      </c>
      <c r="O3113" s="438">
        <f t="shared" ref="O3113:P3113" si="2279">O3081+O3083+O3087+O3091+O3095+O3098+O3101+O3103+O3105+O3107+O3110</f>
        <v>7749293.8600000003</v>
      </c>
      <c r="P3113" s="438">
        <f t="shared" si="2279"/>
        <v>8524223.2460000012</v>
      </c>
      <c r="R3113" s="317"/>
      <c r="U3113" s="320"/>
    </row>
    <row r="3114" spans="1:21" outlineLevel="2">
      <c r="A3114" s="612"/>
      <c r="B3114" s="612"/>
      <c r="C3114" s="340"/>
      <c r="D3114" s="338"/>
      <c r="E3114" s="397"/>
      <c r="F3114" s="397"/>
      <c r="G3114" s="397"/>
      <c r="H3114" s="397"/>
      <c r="I3114" s="324">
        <f t="shared" si="2267"/>
        <v>0</v>
      </c>
      <c r="J3114" s="397"/>
      <c r="K3114" s="397"/>
      <c r="L3114" s="317">
        <f t="shared" si="2256"/>
        <v>0</v>
      </c>
      <c r="M3114" s="317"/>
      <c r="N3114" s="372">
        <f t="shared" si="2259"/>
        <v>0</v>
      </c>
      <c r="O3114" s="336">
        <f t="shared" si="2237"/>
        <v>0</v>
      </c>
      <c r="P3114" s="319">
        <f t="shared" si="2269"/>
        <v>0</v>
      </c>
      <c r="R3114" s="317"/>
      <c r="U3114" s="320"/>
    </row>
    <row r="3115" spans="1:21" outlineLevel="2">
      <c r="A3115" s="612"/>
      <c r="B3115" s="612"/>
      <c r="C3115" s="340" t="s">
        <v>92</v>
      </c>
      <c r="D3115" s="338"/>
      <c r="E3115" s="397"/>
      <c r="F3115" s="397"/>
      <c r="G3115" s="397"/>
      <c r="H3115" s="397"/>
      <c r="I3115" s="324">
        <f t="shared" si="2267"/>
        <v>0</v>
      </c>
      <c r="J3115" s="397"/>
      <c r="K3115" s="397"/>
      <c r="L3115" s="317">
        <f t="shared" si="2256"/>
        <v>0</v>
      </c>
      <c r="M3115" s="317"/>
      <c r="N3115" s="372">
        <f t="shared" si="2259"/>
        <v>0</v>
      </c>
      <c r="O3115" s="336">
        <f t="shared" ref="O3115:O3178" si="2280">L3115*1.1</f>
        <v>0</v>
      </c>
      <c r="P3115" s="319">
        <f t="shared" ref="P3115:P3136" si="2281">O3115*1.1</f>
        <v>0</v>
      </c>
      <c r="R3115" s="317"/>
      <c r="U3115" s="320"/>
    </row>
    <row r="3116" spans="1:21" outlineLevel="2">
      <c r="A3116" s="612"/>
      <c r="B3116" s="612"/>
      <c r="C3116" s="332">
        <v>3130101</v>
      </c>
      <c r="D3116" s="330" t="s">
        <v>1487</v>
      </c>
      <c r="E3116" s="389">
        <v>500000</v>
      </c>
      <c r="F3116" s="389"/>
      <c r="G3116" s="389"/>
      <c r="H3116" s="389"/>
      <c r="I3116" s="324">
        <f t="shared" si="2267"/>
        <v>500000</v>
      </c>
      <c r="J3116" s="389"/>
      <c r="K3116" s="389">
        <f>-500000+206402-206402</f>
        <v>-500000</v>
      </c>
      <c r="L3116" s="317">
        <f t="shared" si="2256"/>
        <v>0</v>
      </c>
      <c r="M3116" s="317"/>
      <c r="N3116" s="372">
        <f t="shared" si="2259"/>
        <v>500000</v>
      </c>
      <c r="O3116" s="336">
        <f t="shared" si="2280"/>
        <v>0</v>
      </c>
      <c r="P3116" s="319">
        <f t="shared" si="2281"/>
        <v>0</v>
      </c>
      <c r="Q3116" s="303" t="s">
        <v>2557</v>
      </c>
      <c r="R3116" s="317"/>
      <c r="U3116" s="320"/>
    </row>
    <row r="3117" spans="1:21" outlineLevel="2">
      <c r="A3117" s="612"/>
      <c r="B3117" s="612"/>
      <c r="C3117" s="332">
        <v>3110504</v>
      </c>
      <c r="D3117" s="330" t="s">
        <v>1488</v>
      </c>
      <c r="E3117" s="389">
        <f>5000000-5000000</f>
        <v>0</v>
      </c>
      <c r="F3117" s="389"/>
      <c r="G3117" s="389"/>
      <c r="H3117" s="389"/>
      <c r="I3117" s="324">
        <f t="shared" si="2267"/>
        <v>0</v>
      </c>
      <c r="J3117" s="389"/>
      <c r="K3117" s="389"/>
      <c r="L3117" s="317">
        <f t="shared" si="2256"/>
        <v>0</v>
      </c>
      <c r="M3117" s="317"/>
      <c r="N3117" s="372">
        <f t="shared" si="2259"/>
        <v>0</v>
      </c>
      <c r="O3117" s="336">
        <f t="shared" si="2280"/>
        <v>0</v>
      </c>
      <c r="P3117" s="319">
        <f t="shared" si="2281"/>
        <v>0</v>
      </c>
      <c r="R3117" s="317"/>
      <c r="U3117" s="320"/>
    </row>
    <row r="3118" spans="1:21" outlineLevel="3">
      <c r="A3118" s="612"/>
      <c r="B3118" s="612"/>
      <c r="C3118" s="332">
        <v>3110504</v>
      </c>
      <c r="D3118" s="330" t="s">
        <v>2440</v>
      </c>
      <c r="E3118" s="389">
        <v>32905</v>
      </c>
      <c r="F3118" s="389"/>
      <c r="G3118" s="389"/>
      <c r="H3118" s="389"/>
      <c r="I3118" s="324">
        <f t="shared" si="2267"/>
        <v>32905</v>
      </c>
      <c r="J3118" s="389"/>
      <c r="K3118" s="389">
        <v>-32905</v>
      </c>
      <c r="L3118" s="317">
        <f t="shared" si="2256"/>
        <v>0</v>
      </c>
      <c r="M3118" s="317"/>
      <c r="N3118" s="372">
        <f t="shared" si="2259"/>
        <v>32905</v>
      </c>
      <c r="O3118" s="336">
        <f t="shared" si="2280"/>
        <v>0</v>
      </c>
      <c r="P3118" s="319">
        <f t="shared" si="2281"/>
        <v>0</v>
      </c>
      <c r="Q3118" s="303" t="s">
        <v>2545</v>
      </c>
      <c r="R3118" s="317"/>
      <c r="U3118" s="320"/>
    </row>
    <row r="3119" spans="1:21" outlineLevel="2">
      <c r="A3119" s="617"/>
      <c r="B3119" s="617"/>
      <c r="C3119" s="314"/>
      <c r="D3119" s="447" t="s">
        <v>175</v>
      </c>
      <c r="E3119" s="438">
        <f>E3116+E3117+E3118</f>
        <v>532905</v>
      </c>
      <c r="F3119" s="438">
        <f t="shared" ref="F3119:K3119" si="2282">F3116+F3117+F3118</f>
        <v>0</v>
      </c>
      <c r="G3119" s="438">
        <f t="shared" si="2282"/>
        <v>0</v>
      </c>
      <c r="H3119" s="438">
        <f t="shared" si="2282"/>
        <v>0</v>
      </c>
      <c r="I3119" s="438">
        <f t="shared" si="2282"/>
        <v>532905</v>
      </c>
      <c r="J3119" s="438">
        <f t="shared" si="2282"/>
        <v>0</v>
      </c>
      <c r="K3119" s="438">
        <f t="shared" si="2282"/>
        <v>-532905</v>
      </c>
      <c r="L3119" s="317">
        <f t="shared" si="2256"/>
        <v>0</v>
      </c>
      <c r="M3119" s="317"/>
      <c r="N3119" s="372">
        <f t="shared" si="2259"/>
        <v>532905</v>
      </c>
      <c r="O3119" s="438">
        <f t="shared" ref="O3119:P3119" si="2283">O3116+O3117+O3118</f>
        <v>0</v>
      </c>
      <c r="P3119" s="438">
        <f t="shared" si="2283"/>
        <v>0</v>
      </c>
      <c r="R3119" s="317"/>
      <c r="U3119" s="320"/>
    </row>
    <row r="3120" spans="1:21" outlineLevel="1">
      <c r="A3120" s="617"/>
      <c r="B3120" s="617"/>
      <c r="C3120" s="314"/>
      <c r="D3120" s="447" t="s">
        <v>603</v>
      </c>
      <c r="E3120" s="438">
        <f>E3119+E3113</f>
        <v>7156717.5999999996</v>
      </c>
      <c r="F3120" s="438">
        <f t="shared" ref="F3120:P3120" si="2284">F3119+F3113</f>
        <v>0</v>
      </c>
      <c r="G3120" s="438">
        <f t="shared" si="2284"/>
        <v>0</v>
      </c>
      <c r="H3120" s="438">
        <f t="shared" si="2284"/>
        <v>450000</v>
      </c>
      <c r="I3120" s="438">
        <f t="shared" si="2284"/>
        <v>7606717.5999999996</v>
      </c>
      <c r="J3120" s="438">
        <f t="shared" si="2284"/>
        <v>0</v>
      </c>
      <c r="K3120" s="438">
        <f t="shared" si="2284"/>
        <v>-561905</v>
      </c>
      <c r="L3120" s="317">
        <f t="shared" si="2256"/>
        <v>7044812.5999999996</v>
      </c>
      <c r="M3120" s="317"/>
      <c r="N3120" s="372">
        <f t="shared" si="2259"/>
        <v>561905</v>
      </c>
      <c r="O3120" s="438">
        <f t="shared" si="2284"/>
        <v>7749293.8600000003</v>
      </c>
      <c r="P3120" s="438">
        <f t="shared" si="2284"/>
        <v>8524223.2460000012</v>
      </c>
      <c r="R3120" s="317"/>
      <c r="U3120" s="320"/>
    </row>
    <row r="3121" spans="1:21" outlineLevel="1">
      <c r="A3121" s="611"/>
      <c r="B3121" s="611"/>
      <c r="C3121" s="332"/>
      <c r="D3121" s="330"/>
      <c r="E3121" s="389"/>
      <c r="F3121" s="389"/>
      <c r="G3121" s="389"/>
      <c r="H3121" s="389"/>
      <c r="I3121" s="324">
        <f t="shared" si="2267"/>
        <v>0</v>
      </c>
      <c r="J3121" s="389"/>
      <c r="K3121" s="389"/>
      <c r="L3121" s="317">
        <f t="shared" si="2256"/>
        <v>0</v>
      </c>
      <c r="M3121" s="317"/>
      <c r="N3121" s="372">
        <f t="shared" si="2259"/>
        <v>0</v>
      </c>
      <c r="O3121" s="336">
        <f t="shared" si="2280"/>
        <v>0</v>
      </c>
      <c r="P3121" s="319">
        <f t="shared" si="2281"/>
        <v>0</v>
      </c>
      <c r="R3121" s="317"/>
      <c r="U3121" s="320"/>
    </row>
    <row r="3122" spans="1:21" outlineLevel="1">
      <c r="A3122" s="611"/>
      <c r="B3122" s="611"/>
      <c r="C3122" s="340" t="s">
        <v>604</v>
      </c>
      <c r="D3122" s="338"/>
      <c r="E3122" s="389"/>
      <c r="F3122" s="397"/>
      <c r="G3122" s="397"/>
      <c r="H3122" s="397"/>
      <c r="I3122" s="324">
        <f t="shared" si="2267"/>
        <v>0</v>
      </c>
      <c r="J3122" s="397"/>
      <c r="K3122" s="397"/>
      <c r="L3122" s="317">
        <f t="shared" si="2256"/>
        <v>0</v>
      </c>
      <c r="M3122" s="317"/>
      <c r="N3122" s="372">
        <f t="shared" si="2259"/>
        <v>0</v>
      </c>
      <c r="O3122" s="336">
        <f t="shared" si="2280"/>
        <v>0</v>
      </c>
      <c r="P3122" s="319">
        <f t="shared" si="2281"/>
        <v>0</v>
      </c>
      <c r="R3122" s="317"/>
      <c r="U3122" s="320"/>
    </row>
    <row r="3123" spans="1:21" outlineLevel="1">
      <c r="A3123" s="611" t="s">
        <v>144</v>
      </c>
      <c r="B3123" s="611" t="s">
        <v>146</v>
      </c>
      <c r="C3123" s="340" t="s">
        <v>605</v>
      </c>
      <c r="D3123" s="338"/>
      <c r="E3123" s="389"/>
      <c r="F3123" s="397"/>
      <c r="G3123" s="397"/>
      <c r="H3123" s="397"/>
      <c r="I3123" s="324">
        <f t="shared" si="2267"/>
        <v>0</v>
      </c>
      <c r="J3123" s="397"/>
      <c r="K3123" s="397"/>
      <c r="L3123" s="317">
        <f t="shared" si="2256"/>
        <v>0</v>
      </c>
      <c r="M3123" s="317"/>
      <c r="N3123" s="372">
        <f t="shared" si="2259"/>
        <v>0</v>
      </c>
      <c r="O3123" s="336">
        <f t="shared" si="2280"/>
        <v>0</v>
      </c>
      <c r="P3123" s="319">
        <f t="shared" si="2281"/>
        <v>0</v>
      </c>
      <c r="R3123" s="317"/>
      <c r="U3123" s="320"/>
    </row>
    <row r="3124" spans="1:21" outlineLevel="3">
      <c r="A3124" s="612"/>
      <c r="B3124" s="612"/>
      <c r="C3124" s="340">
        <v>2210200</v>
      </c>
      <c r="D3124" s="338" t="s">
        <v>20</v>
      </c>
      <c r="E3124" s="397">
        <f>SUM(E3125)</f>
        <v>40600</v>
      </c>
      <c r="F3124" s="397">
        <f t="shared" ref="F3124:K3124" si="2285">SUM(F3125)</f>
        <v>0</v>
      </c>
      <c r="G3124" s="397">
        <f t="shared" si="2285"/>
        <v>0</v>
      </c>
      <c r="H3124" s="397">
        <f t="shared" si="2285"/>
        <v>0</v>
      </c>
      <c r="I3124" s="397">
        <f t="shared" si="2285"/>
        <v>40600</v>
      </c>
      <c r="J3124" s="397">
        <f t="shared" si="2285"/>
        <v>0</v>
      </c>
      <c r="K3124" s="397">
        <f t="shared" si="2285"/>
        <v>0</v>
      </c>
      <c r="L3124" s="317">
        <f t="shared" si="2256"/>
        <v>40600</v>
      </c>
      <c r="M3124" s="317"/>
      <c r="N3124" s="372">
        <f t="shared" si="2259"/>
        <v>0</v>
      </c>
      <c r="O3124" s="397">
        <f t="shared" ref="O3124:P3124" si="2286">SUM(O3125)</f>
        <v>44660</v>
      </c>
      <c r="P3124" s="397">
        <f t="shared" si="2286"/>
        <v>49126.000000000007</v>
      </c>
      <c r="R3124" s="317"/>
      <c r="U3124" s="320"/>
    </row>
    <row r="3125" spans="1:21" outlineLevel="3">
      <c r="A3125" s="611"/>
      <c r="B3125" s="611"/>
      <c r="C3125" s="332">
        <v>2210201</v>
      </c>
      <c r="D3125" s="330" t="s">
        <v>187</v>
      </c>
      <c r="E3125" s="389">
        <v>40600</v>
      </c>
      <c r="F3125" s="389"/>
      <c r="G3125" s="389"/>
      <c r="H3125" s="389"/>
      <c r="I3125" s="324">
        <f t="shared" si="2267"/>
        <v>40600</v>
      </c>
      <c r="J3125" s="389"/>
      <c r="K3125" s="389"/>
      <c r="L3125" s="317">
        <f t="shared" si="2256"/>
        <v>40600</v>
      </c>
      <c r="M3125" s="317"/>
      <c r="N3125" s="372">
        <f t="shared" si="2259"/>
        <v>0</v>
      </c>
      <c r="O3125" s="336">
        <f t="shared" si="2280"/>
        <v>44660</v>
      </c>
      <c r="P3125" s="319">
        <f t="shared" si="2281"/>
        <v>49126.000000000007</v>
      </c>
      <c r="R3125" s="317"/>
      <c r="U3125" s="320"/>
    </row>
    <row r="3126" spans="1:21" outlineLevel="3">
      <c r="A3126" s="612"/>
      <c r="B3126" s="612"/>
      <c r="C3126" s="340">
        <v>2210300</v>
      </c>
      <c r="D3126" s="338" t="s">
        <v>24</v>
      </c>
      <c r="E3126" s="397">
        <f>SUM(E3127:E3129)</f>
        <v>693000</v>
      </c>
      <c r="F3126" s="397">
        <f t="shared" ref="F3126:P3126" si="2287">SUM(F3127:F3129)</f>
        <v>0</v>
      </c>
      <c r="G3126" s="397">
        <f t="shared" si="2287"/>
        <v>0</v>
      </c>
      <c r="H3126" s="397">
        <f t="shared" si="2287"/>
        <v>0</v>
      </c>
      <c r="I3126" s="397">
        <f t="shared" si="2287"/>
        <v>693000</v>
      </c>
      <c r="J3126" s="397">
        <f t="shared" si="2287"/>
        <v>0</v>
      </c>
      <c r="K3126" s="397">
        <f t="shared" si="2287"/>
        <v>0</v>
      </c>
      <c r="L3126" s="317">
        <f t="shared" si="2256"/>
        <v>693000</v>
      </c>
      <c r="M3126" s="317"/>
      <c r="N3126" s="372">
        <f t="shared" si="2259"/>
        <v>0</v>
      </c>
      <c r="O3126" s="397">
        <f t="shared" si="2287"/>
        <v>762300</v>
      </c>
      <c r="P3126" s="397">
        <f t="shared" si="2287"/>
        <v>838530</v>
      </c>
      <c r="R3126" s="317"/>
      <c r="U3126" s="320"/>
    </row>
    <row r="3127" spans="1:21" outlineLevel="3">
      <c r="A3127" s="611"/>
      <c r="B3127" s="611"/>
      <c r="C3127" s="332">
        <v>2210301</v>
      </c>
      <c r="D3127" s="330" t="s">
        <v>188</v>
      </c>
      <c r="E3127" s="389">
        <v>245000</v>
      </c>
      <c r="F3127" s="389"/>
      <c r="G3127" s="389"/>
      <c r="H3127" s="389"/>
      <c r="I3127" s="324">
        <f t="shared" si="2267"/>
        <v>245000</v>
      </c>
      <c r="J3127" s="389"/>
      <c r="K3127" s="389"/>
      <c r="L3127" s="317">
        <f t="shared" si="2256"/>
        <v>245000</v>
      </c>
      <c r="M3127" s="317"/>
      <c r="N3127" s="372">
        <f t="shared" si="2259"/>
        <v>0</v>
      </c>
      <c r="O3127" s="336">
        <f t="shared" si="2280"/>
        <v>269500</v>
      </c>
      <c r="P3127" s="319">
        <f t="shared" si="2281"/>
        <v>296450</v>
      </c>
      <c r="R3127" s="317"/>
      <c r="U3127" s="320"/>
    </row>
    <row r="3128" spans="1:21" outlineLevel="3">
      <c r="A3128" s="611"/>
      <c r="B3128" s="611"/>
      <c r="C3128" s="332">
        <v>2210302</v>
      </c>
      <c r="D3128" s="330" t="s">
        <v>26</v>
      </c>
      <c r="E3128" s="389">
        <v>203000</v>
      </c>
      <c r="F3128" s="389"/>
      <c r="G3128" s="389"/>
      <c r="H3128" s="389"/>
      <c r="I3128" s="324">
        <f t="shared" si="2267"/>
        <v>203000</v>
      </c>
      <c r="J3128" s="389"/>
      <c r="K3128" s="389"/>
      <c r="L3128" s="317">
        <f t="shared" si="2256"/>
        <v>203000</v>
      </c>
      <c r="M3128" s="317"/>
      <c r="N3128" s="372">
        <f t="shared" si="2259"/>
        <v>0</v>
      </c>
      <c r="O3128" s="336">
        <f t="shared" si="2280"/>
        <v>223300.00000000003</v>
      </c>
      <c r="P3128" s="319">
        <f t="shared" si="2281"/>
        <v>245630.00000000006</v>
      </c>
      <c r="R3128" s="317"/>
      <c r="U3128" s="320"/>
    </row>
    <row r="3129" spans="1:21" s="350" customFormat="1" outlineLevel="3">
      <c r="A3129" s="611"/>
      <c r="B3129" s="611"/>
      <c r="C3129" s="332">
        <v>2210303</v>
      </c>
      <c r="D3129" s="330" t="s">
        <v>223</v>
      </c>
      <c r="E3129" s="389">
        <v>245000</v>
      </c>
      <c r="F3129" s="389"/>
      <c r="G3129" s="389"/>
      <c r="H3129" s="389"/>
      <c r="I3129" s="324">
        <f t="shared" si="2267"/>
        <v>245000</v>
      </c>
      <c r="J3129" s="389"/>
      <c r="K3129" s="389"/>
      <c r="L3129" s="317">
        <f t="shared" si="2256"/>
        <v>245000</v>
      </c>
      <c r="M3129" s="317"/>
      <c r="N3129" s="372">
        <f t="shared" si="2259"/>
        <v>0</v>
      </c>
      <c r="O3129" s="336">
        <f t="shared" si="2280"/>
        <v>269500</v>
      </c>
      <c r="P3129" s="319">
        <f t="shared" si="2281"/>
        <v>296450</v>
      </c>
      <c r="R3129" s="317"/>
      <c r="U3129" s="320"/>
    </row>
    <row r="3130" spans="1:21" outlineLevel="3">
      <c r="A3130" s="612"/>
      <c r="B3130" s="612"/>
      <c r="C3130" s="340">
        <v>2210500</v>
      </c>
      <c r="D3130" s="338" t="s">
        <v>31</v>
      </c>
      <c r="E3130" s="397">
        <f>E3131</f>
        <v>290000</v>
      </c>
      <c r="F3130" s="397">
        <f t="shared" ref="F3130:K3130" si="2288">F3131</f>
        <v>0</v>
      </c>
      <c r="G3130" s="397">
        <f t="shared" si="2288"/>
        <v>0</v>
      </c>
      <c r="H3130" s="397">
        <f t="shared" si="2288"/>
        <v>0</v>
      </c>
      <c r="I3130" s="397">
        <f t="shared" si="2288"/>
        <v>290000</v>
      </c>
      <c r="J3130" s="397">
        <f t="shared" si="2288"/>
        <v>0</v>
      </c>
      <c r="K3130" s="397">
        <f t="shared" si="2288"/>
        <v>0</v>
      </c>
      <c r="L3130" s="317">
        <f t="shared" si="2256"/>
        <v>290000</v>
      </c>
      <c r="M3130" s="317"/>
      <c r="N3130" s="372">
        <f t="shared" si="2259"/>
        <v>0</v>
      </c>
      <c r="O3130" s="397">
        <f t="shared" ref="O3130:P3130" si="2289">O3131</f>
        <v>319000</v>
      </c>
      <c r="P3130" s="397">
        <f t="shared" si="2289"/>
        <v>350900</v>
      </c>
      <c r="R3130" s="317"/>
      <c r="U3130" s="320"/>
    </row>
    <row r="3131" spans="1:21" s="350" customFormat="1" outlineLevel="3">
      <c r="A3131" s="634"/>
      <c r="B3131" s="634"/>
      <c r="C3131" s="332">
        <v>2210504</v>
      </c>
      <c r="D3131" s="330" t="s">
        <v>106</v>
      </c>
      <c r="E3131" s="389">
        <v>290000</v>
      </c>
      <c r="F3131" s="389"/>
      <c r="G3131" s="389"/>
      <c r="H3131" s="389"/>
      <c r="I3131" s="324">
        <f t="shared" si="2267"/>
        <v>290000</v>
      </c>
      <c r="J3131" s="389"/>
      <c r="K3131" s="389"/>
      <c r="L3131" s="317">
        <f t="shared" si="2256"/>
        <v>290000</v>
      </c>
      <c r="M3131" s="317"/>
      <c r="N3131" s="372">
        <f t="shared" si="2259"/>
        <v>0</v>
      </c>
      <c r="O3131" s="336">
        <f t="shared" si="2280"/>
        <v>319000</v>
      </c>
      <c r="P3131" s="319">
        <f t="shared" si="2281"/>
        <v>350900</v>
      </c>
      <c r="R3131" s="317"/>
      <c r="U3131" s="320"/>
    </row>
    <row r="3132" spans="1:21" outlineLevel="3">
      <c r="A3132" s="612"/>
      <c r="B3132" s="612"/>
      <c r="C3132" s="340">
        <v>2210700</v>
      </c>
      <c r="D3132" s="338" t="s">
        <v>35</v>
      </c>
      <c r="E3132" s="397">
        <f>E3133</f>
        <v>250000</v>
      </c>
      <c r="F3132" s="397">
        <f t="shared" ref="F3132:K3132" si="2290">F3133</f>
        <v>0</v>
      </c>
      <c r="G3132" s="397">
        <f t="shared" si="2290"/>
        <v>0</v>
      </c>
      <c r="H3132" s="397">
        <f t="shared" si="2290"/>
        <v>0</v>
      </c>
      <c r="I3132" s="397">
        <f t="shared" si="2290"/>
        <v>250000</v>
      </c>
      <c r="J3132" s="397">
        <f t="shared" si="2290"/>
        <v>0</v>
      </c>
      <c r="K3132" s="397">
        <f t="shared" si="2290"/>
        <v>-125400</v>
      </c>
      <c r="L3132" s="317">
        <f t="shared" si="2256"/>
        <v>124600</v>
      </c>
      <c r="M3132" s="317"/>
      <c r="N3132" s="372">
        <f t="shared" si="2259"/>
        <v>125400</v>
      </c>
      <c r="O3132" s="397">
        <f t="shared" ref="O3132:P3132" si="2291">O3133</f>
        <v>137060</v>
      </c>
      <c r="P3132" s="397">
        <f t="shared" si="2291"/>
        <v>150766</v>
      </c>
      <c r="R3132" s="317"/>
      <c r="U3132" s="320"/>
    </row>
    <row r="3133" spans="1:21" outlineLevel="3">
      <c r="A3133" s="634"/>
      <c r="B3133" s="634"/>
      <c r="C3133" s="332">
        <v>2210705</v>
      </c>
      <c r="D3133" s="330" t="s">
        <v>1489</v>
      </c>
      <c r="E3133" s="389">
        <v>250000</v>
      </c>
      <c r="F3133" s="389"/>
      <c r="G3133" s="389"/>
      <c r="H3133" s="389"/>
      <c r="I3133" s="324">
        <f t="shared" si="2267"/>
        <v>250000</v>
      </c>
      <c r="J3133" s="389"/>
      <c r="K3133" s="389">
        <v>-125400</v>
      </c>
      <c r="L3133" s="317">
        <f t="shared" si="2256"/>
        <v>124600</v>
      </c>
      <c r="M3133" s="317"/>
      <c r="N3133" s="372">
        <f t="shared" si="2259"/>
        <v>125400</v>
      </c>
      <c r="O3133" s="336">
        <f t="shared" si="2280"/>
        <v>137060</v>
      </c>
      <c r="P3133" s="319">
        <f t="shared" si="2281"/>
        <v>150766</v>
      </c>
      <c r="Q3133" s="303" t="s">
        <v>2546</v>
      </c>
      <c r="R3133" s="317"/>
      <c r="U3133" s="320"/>
    </row>
    <row r="3134" spans="1:21" outlineLevel="3">
      <c r="A3134" s="612"/>
      <c r="B3134" s="612"/>
      <c r="C3134" s="340">
        <v>2210800</v>
      </c>
      <c r="D3134" s="338" t="s">
        <v>42</v>
      </c>
      <c r="E3134" s="397">
        <f>SUM(E3135:E3137)</f>
        <v>4639200</v>
      </c>
      <c r="F3134" s="397">
        <f t="shared" ref="F3134:P3134" si="2292">SUM(F3135:F3137)</f>
        <v>0</v>
      </c>
      <c r="G3134" s="397">
        <f t="shared" si="2292"/>
        <v>0</v>
      </c>
      <c r="H3134" s="397">
        <f t="shared" si="2292"/>
        <v>0</v>
      </c>
      <c r="I3134" s="397">
        <f t="shared" si="2292"/>
        <v>4639200</v>
      </c>
      <c r="J3134" s="397">
        <f t="shared" si="2292"/>
        <v>0</v>
      </c>
      <c r="K3134" s="397">
        <f t="shared" si="2292"/>
        <v>0</v>
      </c>
      <c r="L3134" s="317">
        <f t="shared" si="2256"/>
        <v>4639200</v>
      </c>
      <c r="M3134" s="317"/>
      <c r="N3134" s="372">
        <f t="shared" si="2259"/>
        <v>0</v>
      </c>
      <c r="O3134" s="397">
        <f t="shared" si="2292"/>
        <v>5103120</v>
      </c>
      <c r="P3134" s="397">
        <f t="shared" si="2292"/>
        <v>5613432</v>
      </c>
      <c r="R3134" s="317"/>
      <c r="U3134" s="320"/>
    </row>
    <row r="3135" spans="1:21" outlineLevel="3">
      <c r="A3135" s="611"/>
      <c r="B3135" s="611"/>
      <c r="C3135" s="332">
        <v>2210801</v>
      </c>
      <c r="D3135" s="330" t="s">
        <v>2421</v>
      </c>
      <c r="E3135" s="389">
        <v>269600</v>
      </c>
      <c r="F3135" s="389"/>
      <c r="G3135" s="389"/>
      <c r="H3135" s="389"/>
      <c r="I3135" s="324">
        <f t="shared" si="2267"/>
        <v>269600</v>
      </c>
      <c r="J3135" s="389"/>
      <c r="K3135" s="389"/>
      <c r="L3135" s="317">
        <f t="shared" si="2256"/>
        <v>269600</v>
      </c>
      <c r="M3135" s="317"/>
      <c r="N3135" s="372">
        <f t="shared" si="2259"/>
        <v>0</v>
      </c>
      <c r="O3135" s="336">
        <f t="shared" si="2280"/>
        <v>296560</v>
      </c>
      <c r="P3135" s="319">
        <f t="shared" si="2281"/>
        <v>326216</v>
      </c>
      <c r="R3135" s="317"/>
      <c r="U3135" s="320"/>
    </row>
    <row r="3136" spans="1:21" outlineLevel="3">
      <c r="A3136" s="611"/>
      <c r="B3136" s="611"/>
      <c r="C3136" s="332">
        <v>2210802</v>
      </c>
      <c r="D3136" s="330" t="s">
        <v>97</v>
      </c>
      <c r="E3136" s="389">
        <v>69600</v>
      </c>
      <c r="F3136" s="389"/>
      <c r="G3136" s="389"/>
      <c r="H3136" s="389"/>
      <c r="I3136" s="324">
        <f t="shared" si="2267"/>
        <v>69600</v>
      </c>
      <c r="J3136" s="389"/>
      <c r="K3136" s="389"/>
      <c r="L3136" s="317">
        <f t="shared" si="2256"/>
        <v>69600</v>
      </c>
      <c r="M3136" s="317"/>
      <c r="N3136" s="372">
        <f t="shared" si="2259"/>
        <v>0</v>
      </c>
      <c r="O3136" s="336">
        <f t="shared" si="2280"/>
        <v>76560</v>
      </c>
      <c r="P3136" s="319">
        <f t="shared" si="2281"/>
        <v>84216</v>
      </c>
      <c r="R3136" s="317"/>
      <c r="U3136" s="320"/>
    </row>
    <row r="3137" spans="1:21" outlineLevel="3">
      <c r="A3137" s="611"/>
      <c r="B3137" s="611"/>
      <c r="C3137" s="332">
        <v>2210805</v>
      </c>
      <c r="D3137" s="330" t="s">
        <v>1490</v>
      </c>
      <c r="E3137" s="389">
        <f>4500000-200000</f>
        <v>4300000</v>
      </c>
      <c r="F3137" s="389"/>
      <c r="G3137" s="389"/>
      <c r="H3137" s="389"/>
      <c r="I3137" s="324">
        <f t="shared" si="2267"/>
        <v>4300000</v>
      </c>
      <c r="J3137" s="389"/>
      <c r="K3137" s="389"/>
      <c r="L3137" s="317">
        <f t="shared" si="2256"/>
        <v>4300000</v>
      </c>
      <c r="M3137" s="317"/>
      <c r="N3137" s="372">
        <f t="shared" si="2259"/>
        <v>0</v>
      </c>
      <c r="O3137" s="336">
        <f t="shared" si="2280"/>
        <v>4730000</v>
      </c>
      <c r="P3137" s="319">
        <f t="shared" ref="P3137:P3155" si="2293">O3137*1.1</f>
        <v>5203000</v>
      </c>
      <c r="R3137" s="317"/>
      <c r="U3137" s="320"/>
    </row>
    <row r="3138" spans="1:21" outlineLevel="3">
      <c r="A3138" s="612"/>
      <c r="B3138" s="612"/>
      <c r="C3138" s="340">
        <v>2211100</v>
      </c>
      <c r="D3138" s="338" t="s">
        <v>51</v>
      </c>
      <c r="E3138" s="397">
        <f>SUM(E3139:E3140)</f>
        <v>63800</v>
      </c>
      <c r="F3138" s="397">
        <f t="shared" ref="F3138:P3138" si="2294">SUM(F3139:F3140)</f>
        <v>5463579</v>
      </c>
      <c r="G3138" s="397">
        <f t="shared" si="2294"/>
        <v>0</v>
      </c>
      <c r="H3138" s="397">
        <f t="shared" si="2294"/>
        <v>0</v>
      </c>
      <c r="I3138" s="397">
        <f t="shared" si="2294"/>
        <v>5527379</v>
      </c>
      <c r="J3138" s="397">
        <f t="shared" si="2294"/>
        <v>0</v>
      </c>
      <c r="K3138" s="397">
        <f t="shared" si="2294"/>
        <v>0</v>
      </c>
      <c r="L3138" s="317">
        <f t="shared" si="2256"/>
        <v>5527379</v>
      </c>
      <c r="M3138" s="317"/>
      <c r="N3138" s="372">
        <f t="shared" si="2259"/>
        <v>0</v>
      </c>
      <c r="O3138" s="397">
        <f t="shared" si="2294"/>
        <v>6080116.9000000004</v>
      </c>
      <c r="P3138" s="397">
        <f t="shared" si="2294"/>
        <v>6688128.5900000008</v>
      </c>
      <c r="R3138" s="317"/>
      <c r="U3138" s="320"/>
    </row>
    <row r="3139" spans="1:21" outlineLevel="3">
      <c r="A3139" s="611"/>
      <c r="B3139" s="611"/>
      <c r="C3139" s="332">
        <v>2211101</v>
      </c>
      <c r="D3139" s="330" t="s">
        <v>289</v>
      </c>
      <c r="E3139" s="389">
        <v>34800</v>
      </c>
      <c r="F3139" s="389">
        <v>5463579</v>
      </c>
      <c r="G3139" s="1003"/>
      <c r="H3139" s="1003"/>
      <c r="I3139" s="324">
        <f t="shared" si="2267"/>
        <v>5498379</v>
      </c>
      <c r="J3139" s="1003"/>
      <c r="K3139" s="1003"/>
      <c r="L3139" s="317">
        <f t="shared" si="2256"/>
        <v>5498379</v>
      </c>
      <c r="M3139" s="317"/>
      <c r="N3139" s="372">
        <f t="shared" si="2259"/>
        <v>0</v>
      </c>
      <c r="O3139" s="336">
        <f t="shared" si="2280"/>
        <v>6048216.9000000004</v>
      </c>
      <c r="P3139" s="319">
        <f t="shared" si="2293"/>
        <v>6653038.5900000008</v>
      </c>
      <c r="R3139" s="317"/>
      <c r="U3139" s="320"/>
    </row>
    <row r="3140" spans="1:21" outlineLevel="3">
      <c r="A3140" s="611"/>
      <c r="B3140" s="611"/>
      <c r="C3140" s="332">
        <v>2211102</v>
      </c>
      <c r="D3140" s="330" t="s">
        <v>53</v>
      </c>
      <c r="E3140" s="389">
        <v>29000</v>
      </c>
      <c r="F3140" s="1003"/>
      <c r="G3140" s="1003"/>
      <c r="H3140" s="1003"/>
      <c r="I3140" s="324">
        <f t="shared" si="2267"/>
        <v>29000</v>
      </c>
      <c r="J3140" s="1003"/>
      <c r="K3140" s="1003"/>
      <c r="L3140" s="317">
        <f t="shared" si="2256"/>
        <v>29000</v>
      </c>
      <c r="M3140" s="317"/>
      <c r="N3140" s="372">
        <f t="shared" si="2259"/>
        <v>0</v>
      </c>
      <c r="O3140" s="336">
        <f t="shared" si="2280"/>
        <v>31900.000000000004</v>
      </c>
      <c r="P3140" s="319">
        <f t="shared" si="2293"/>
        <v>35090.000000000007</v>
      </c>
      <c r="R3140" s="317"/>
      <c r="U3140" s="320"/>
    </row>
    <row r="3141" spans="1:21" s="337" customFormat="1" outlineLevel="3">
      <c r="A3141" s="612"/>
      <c r="B3141" s="612"/>
      <c r="C3141" s="340">
        <v>2211200</v>
      </c>
      <c r="D3141" s="338" t="s">
        <v>55</v>
      </c>
      <c r="E3141" s="397">
        <f>SUM(E3142)</f>
        <v>285600</v>
      </c>
      <c r="F3141" s="397">
        <f t="shared" ref="F3141:K3141" si="2295">SUM(F3142)</f>
        <v>0</v>
      </c>
      <c r="G3141" s="397">
        <f t="shared" si="2295"/>
        <v>0</v>
      </c>
      <c r="H3141" s="397">
        <f t="shared" si="2295"/>
        <v>0</v>
      </c>
      <c r="I3141" s="397">
        <f t="shared" si="2295"/>
        <v>285600</v>
      </c>
      <c r="J3141" s="397">
        <f t="shared" si="2295"/>
        <v>0</v>
      </c>
      <c r="K3141" s="397">
        <f t="shared" si="2295"/>
        <v>0</v>
      </c>
      <c r="L3141" s="317">
        <f t="shared" ref="L3141:L3204" si="2296">I3141+J3141+K3141</f>
        <v>285600</v>
      </c>
      <c r="M3141" s="317"/>
      <c r="N3141" s="372">
        <f t="shared" si="2259"/>
        <v>0</v>
      </c>
      <c r="O3141" s="397">
        <f t="shared" ref="O3141:P3141" si="2297">SUM(O3142)</f>
        <v>314160</v>
      </c>
      <c r="P3141" s="397">
        <f t="shared" si="2297"/>
        <v>345576</v>
      </c>
      <c r="R3141" s="317"/>
      <c r="U3141" s="320"/>
    </row>
    <row r="3142" spans="1:21" s="350" customFormat="1" outlineLevel="3">
      <c r="A3142" s="611"/>
      <c r="B3142" s="611"/>
      <c r="C3142" s="332">
        <v>2211201</v>
      </c>
      <c r="D3142" s="330" t="s">
        <v>56</v>
      </c>
      <c r="E3142" s="389">
        <v>285600</v>
      </c>
      <c r="F3142" s="1003"/>
      <c r="G3142" s="1003"/>
      <c r="H3142" s="1003"/>
      <c r="I3142" s="324">
        <f t="shared" si="2267"/>
        <v>285600</v>
      </c>
      <c r="J3142" s="1003"/>
      <c r="K3142" s="1003"/>
      <c r="L3142" s="317">
        <f t="shared" si="2296"/>
        <v>285600</v>
      </c>
      <c r="M3142" s="317"/>
      <c r="N3142" s="372">
        <f t="shared" si="2259"/>
        <v>0</v>
      </c>
      <c r="O3142" s="336">
        <f t="shared" si="2280"/>
        <v>314160</v>
      </c>
      <c r="P3142" s="319">
        <f t="shared" si="2293"/>
        <v>345576</v>
      </c>
      <c r="R3142" s="317"/>
      <c r="U3142" s="320"/>
    </row>
    <row r="3143" spans="1:21" outlineLevel="3">
      <c r="A3143" s="612"/>
      <c r="B3143" s="612"/>
      <c r="C3143" s="340">
        <v>2211300</v>
      </c>
      <c r="D3143" s="338" t="s">
        <v>57</v>
      </c>
      <c r="E3143" s="397">
        <f>E3144</f>
        <v>3000000</v>
      </c>
      <c r="F3143" s="397">
        <f t="shared" ref="F3143:K3143" si="2298">F3144</f>
        <v>0</v>
      </c>
      <c r="G3143" s="397">
        <f t="shared" si="2298"/>
        <v>0</v>
      </c>
      <c r="H3143" s="397">
        <f t="shared" si="2298"/>
        <v>0</v>
      </c>
      <c r="I3143" s="397">
        <f t="shared" si="2298"/>
        <v>3000000</v>
      </c>
      <c r="J3143" s="397">
        <f t="shared" si="2298"/>
        <v>0</v>
      </c>
      <c r="K3143" s="397">
        <f t="shared" si="2298"/>
        <v>-1410000</v>
      </c>
      <c r="L3143" s="317">
        <f t="shared" si="2296"/>
        <v>1590000</v>
      </c>
      <c r="M3143" s="317"/>
      <c r="N3143" s="372">
        <f t="shared" si="2259"/>
        <v>1410000</v>
      </c>
      <c r="O3143" s="397">
        <f t="shared" ref="O3143:P3143" si="2299">O3144</f>
        <v>1749000.0000000002</v>
      </c>
      <c r="P3143" s="397">
        <f t="shared" si="2299"/>
        <v>1923900.0000000005</v>
      </c>
      <c r="R3143" s="317"/>
      <c r="U3143" s="320"/>
    </row>
    <row r="3144" spans="1:21" outlineLevel="3">
      <c r="A3144" s="634"/>
      <c r="B3144" s="634"/>
      <c r="C3144" s="332">
        <v>2211399</v>
      </c>
      <c r="D3144" s="330" t="s">
        <v>1831</v>
      </c>
      <c r="E3144" s="389">
        <f>850000+9150000-7000000</f>
        <v>3000000</v>
      </c>
      <c r="F3144" s="1003"/>
      <c r="G3144" s="1003"/>
      <c r="H3144" s="1003"/>
      <c r="I3144" s="324">
        <f t="shared" si="2267"/>
        <v>3000000</v>
      </c>
      <c r="J3144" s="1003"/>
      <c r="K3144" s="1003">
        <v>-1410000</v>
      </c>
      <c r="L3144" s="317">
        <f t="shared" si="2296"/>
        <v>1590000</v>
      </c>
      <c r="M3144" s="317"/>
      <c r="N3144" s="372">
        <f t="shared" si="2259"/>
        <v>1410000</v>
      </c>
      <c r="O3144" s="336">
        <f t="shared" si="2280"/>
        <v>1749000.0000000002</v>
      </c>
      <c r="P3144" s="319">
        <f t="shared" si="2293"/>
        <v>1923900.0000000005</v>
      </c>
      <c r="Q3144" s="303" t="s">
        <v>2558</v>
      </c>
      <c r="R3144" s="317"/>
      <c r="U3144" s="320"/>
    </row>
    <row r="3145" spans="1:21" outlineLevel="3">
      <c r="A3145" s="612"/>
      <c r="B3145" s="612"/>
      <c r="C3145" s="340">
        <v>2220100</v>
      </c>
      <c r="D3145" s="338" t="s">
        <v>62</v>
      </c>
      <c r="E3145" s="397">
        <f>SUM(E3146)</f>
        <v>78300</v>
      </c>
      <c r="F3145" s="397">
        <f t="shared" ref="F3145:K3145" si="2300">SUM(F3146)</f>
        <v>0</v>
      </c>
      <c r="G3145" s="397">
        <f t="shared" si="2300"/>
        <v>0</v>
      </c>
      <c r="H3145" s="397">
        <f t="shared" si="2300"/>
        <v>150000</v>
      </c>
      <c r="I3145" s="397">
        <f t="shared" si="2300"/>
        <v>228300</v>
      </c>
      <c r="J3145" s="397">
        <f t="shared" si="2300"/>
        <v>0</v>
      </c>
      <c r="K3145" s="397">
        <f t="shared" si="2300"/>
        <v>0</v>
      </c>
      <c r="L3145" s="317">
        <f t="shared" si="2296"/>
        <v>228300</v>
      </c>
      <c r="M3145" s="317"/>
      <c r="N3145" s="372">
        <f t="shared" ref="N3145:N3208" si="2301">M3145-K3145</f>
        <v>0</v>
      </c>
      <c r="O3145" s="397">
        <f t="shared" ref="O3145:P3145" si="2302">SUM(O3146)</f>
        <v>251130.00000000003</v>
      </c>
      <c r="P3145" s="397">
        <f t="shared" si="2302"/>
        <v>276243.00000000006</v>
      </c>
      <c r="R3145" s="317"/>
      <c r="U3145" s="320"/>
    </row>
    <row r="3146" spans="1:21" outlineLevel="3">
      <c r="A3146" s="611"/>
      <c r="B3146" s="611"/>
      <c r="C3146" s="332">
        <v>2220101</v>
      </c>
      <c r="D3146" s="330" t="s">
        <v>200</v>
      </c>
      <c r="E3146" s="389">
        <v>78300</v>
      </c>
      <c r="F3146" s="1003"/>
      <c r="G3146" s="1003"/>
      <c r="H3146" s="389">
        <v>150000</v>
      </c>
      <c r="I3146" s="324">
        <f t="shared" si="2267"/>
        <v>228300</v>
      </c>
      <c r="J3146" s="389"/>
      <c r="K3146" s="389"/>
      <c r="L3146" s="317">
        <f t="shared" si="2296"/>
        <v>228300</v>
      </c>
      <c r="M3146" s="317"/>
      <c r="N3146" s="372">
        <f t="shared" si="2301"/>
        <v>0</v>
      </c>
      <c r="O3146" s="336">
        <f t="shared" si="2280"/>
        <v>251130.00000000003</v>
      </c>
      <c r="P3146" s="319">
        <f t="shared" si="2293"/>
        <v>276243.00000000006</v>
      </c>
      <c r="R3146" s="317"/>
      <c r="U3146" s="320"/>
    </row>
    <row r="3147" spans="1:21" outlineLevel="3">
      <c r="A3147" s="612"/>
      <c r="B3147" s="612"/>
      <c r="C3147" s="340">
        <v>2220200</v>
      </c>
      <c r="D3147" s="338" t="s">
        <v>124</v>
      </c>
      <c r="E3147" s="397">
        <f>SUM(E3148:E3149)</f>
        <v>40600</v>
      </c>
      <c r="F3147" s="397">
        <f t="shared" ref="F3147:K3147" si="2303">SUM(F3148:F3149)</f>
        <v>0</v>
      </c>
      <c r="G3147" s="397">
        <f t="shared" si="2303"/>
        <v>0</v>
      </c>
      <c r="H3147" s="397">
        <f t="shared" si="2303"/>
        <v>0</v>
      </c>
      <c r="I3147" s="397">
        <f t="shared" si="2303"/>
        <v>40600</v>
      </c>
      <c r="J3147" s="397">
        <f t="shared" si="2303"/>
        <v>0</v>
      </c>
      <c r="K3147" s="397">
        <f t="shared" si="2303"/>
        <v>0</v>
      </c>
      <c r="L3147" s="317">
        <f t="shared" si="2296"/>
        <v>40600</v>
      </c>
      <c r="M3147" s="317"/>
      <c r="N3147" s="372">
        <f t="shared" si="2301"/>
        <v>0</v>
      </c>
      <c r="O3147" s="397">
        <f t="shared" ref="O3147:P3147" si="2304">SUM(O3148:O3149)</f>
        <v>44660.000000000007</v>
      </c>
      <c r="P3147" s="397">
        <f t="shared" si="2304"/>
        <v>49126.000000000015</v>
      </c>
      <c r="R3147" s="317"/>
      <c r="U3147" s="320"/>
    </row>
    <row r="3148" spans="1:21" outlineLevel="3">
      <c r="A3148" s="611"/>
      <c r="B3148" s="611"/>
      <c r="C3148" s="332">
        <v>2220202</v>
      </c>
      <c r="D3148" s="330" t="s">
        <v>87</v>
      </c>
      <c r="E3148" s="389">
        <v>29000</v>
      </c>
      <c r="F3148" s="1003"/>
      <c r="G3148" s="1003"/>
      <c r="H3148" s="1003"/>
      <c r="I3148" s="324">
        <f t="shared" si="2267"/>
        <v>29000</v>
      </c>
      <c r="J3148" s="1003"/>
      <c r="K3148" s="1003"/>
      <c r="L3148" s="317">
        <f t="shared" si="2296"/>
        <v>29000</v>
      </c>
      <c r="M3148" s="317"/>
      <c r="N3148" s="372">
        <f t="shared" si="2301"/>
        <v>0</v>
      </c>
      <c r="O3148" s="336">
        <f t="shared" si="2280"/>
        <v>31900.000000000004</v>
      </c>
      <c r="P3148" s="319">
        <f t="shared" si="2293"/>
        <v>35090.000000000007</v>
      </c>
      <c r="R3148" s="317"/>
      <c r="U3148" s="320"/>
    </row>
    <row r="3149" spans="1:21" s="350" customFormat="1" outlineLevel="3">
      <c r="A3149" s="611"/>
      <c r="B3149" s="611"/>
      <c r="C3149" s="332">
        <v>2220210</v>
      </c>
      <c r="D3149" s="330" t="s">
        <v>163</v>
      </c>
      <c r="E3149" s="389">
        <v>11600</v>
      </c>
      <c r="F3149" s="1003"/>
      <c r="G3149" s="1003"/>
      <c r="H3149" s="1003"/>
      <c r="I3149" s="324">
        <f t="shared" si="2267"/>
        <v>11600</v>
      </c>
      <c r="J3149" s="1003"/>
      <c r="K3149" s="1003"/>
      <c r="L3149" s="317">
        <f t="shared" si="2296"/>
        <v>11600</v>
      </c>
      <c r="M3149" s="317"/>
      <c r="N3149" s="372">
        <f t="shared" si="2301"/>
        <v>0</v>
      </c>
      <c r="O3149" s="336">
        <f t="shared" si="2280"/>
        <v>12760.000000000002</v>
      </c>
      <c r="P3149" s="319">
        <f t="shared" si="2293"/>
        <v>14036.000000000004</v>
      </c>
      <c r="R3149" s="317"/>
      <c r="U3149" s="320"/>
    </row>
    <row r="3150" spans="1:21" outlineLevel="3">
      <c r="A3150" s="612"/>
      <c r="B3150" s="612"/>
      <c r="C3150" s="340">
        <v>3111400</v>
      </c>
      <c r="D3150" s="338" t="s">
        <v>602</v>
      </c>
      <c r="E3150" s="397">
        <f>E3151</f>
        <v>500000</v>
      </c>
      <c r="F3150" s="397">
        <f t="shared" ref="F3150:P3150" si="2305">F3151</f>
        <v>0</v>
      </c>
      <c r="G3150" s="397">
        <f t="shared" si="2305"/>
        <v>0</v>
      </c>
      <c r="H3150" s="397">
        <f t="shared" si="2305"/>
        <v>0</v>
      </c>
      <c r="I3150" s="397">
        <f t="shared" si="2305"/>
        <v>500000</v>
      </c>
      <c r="J3150" s="397">
        <f t="shared" si="2305"/>
        <v>0</v>
      </c>
      <c r="K3150" s="397">
        <f t="shared" si="2305"/>
        <v>-323497</v>
      </c>
      <c r="L3150" s="317">
        <f t="shared" si="2296"/>
        <v>176503</v>
      </c>
      <c r="M3150" s="317"/>
      <c r="N3150" s="372">
        <f t="shared" si="2301"/>
        <v>323497</v>
      </c>
      <c r="O3150" s="397">
        <f t="shared" si="2305"/>
        <v>194153.30000000002</v>
      </c>
      <c r="P3150" s="397">
        <f t="shared" si="2305"/>
        <v>213568.63000000003</v>
      </c>
      <c r="R3150" s="317"/>
      <c r="U3150" s="320"/>
    </row>
    <row r="3151" spans="1:21" outlineLevel="3">
      <c r="A3151" s="634"/>
      <c r="B3151" s="634"/>
      <c r="C3151" s="332">
        <v>3111401</v>
      </c>
      <c r="D3151" s="330" t="s">
        <v>2548</v>
      </c>
      <c r="E3151" s="389">
        <v>500000</v>
      </c>
      <c r="F3151" s="1003"/>
      <c r="G3151" s="1003"/>
      <c r="H3151" s="1003"/>
      <c r="I3151" s="324">
        <f t="shared" si="2267"/>
        <v>500000</v>
      </c>
      <c r="J3151" s="1003"/>
      <c r="K3151" s="1003">
        <v>-323497</v>
      </c>
      <c r="L3151" s="317">
        <f t="shared" si="2296"/>
        <v>176503</v>
      </c>
      <c r="M3151" s="317"/>
      <c r="N3151" s="372">
        <f t="shared" si="2301"/>
        <v>323497</v>
      </c>
      <c r="O3151" s="336">
        <f t="shared" si="2280"/>
        <v>194153.30000000002</v>
      </c>
      <c r="P3151" s="319">
        <f t="shared" si="2293"/>
        <v>213568.63000000003</v>
      </c>
      <c r="Q3151" s="303" t="s">
        <v>2547</v>
      </c>
      <c r="R3151" s="317"/>
      <c r="U3151" s="320"/>
    </row>
    <row r="3152" spans="1:21" outlineLevel="2">
      <c r="A3152" s="617"/>
      <c r="B3152" s="617"/>
      <c r="C3152" s="314"/>
      <c r="D3152" s="447" t="s">
        <v>593</v>
      </c>
      <c r="E3152" s="438">
        <f>E3150+E3147+E3145+E3141+E3138+E3134+E3126+E3124+E3132+E3130+E3143</f>
        <v>9881100</v>
      </c>
      <c r="F3152" s="438">
        <f t="shared" ref="F3152:P3152" si="2306">F3150+F3147+F3145+F3141+F3138+F3134+F3126+F3124+F3132+F3130+F3143</f>
        <v>5463579</v>
      </c>
      <c r="G3152" s="438">
        <f t="shared" si="2306"/>
        <v>0</v>
      </c>
      <c r="H3152" s="438">
        <f t="shared" si="2306"/>
        <v>150000</v>
      </c>
      <c r="I3152" s="438">
        <f t="shared" si="2306"/>
        <v>15494679</v>
      </c>
      <c r="J3152" s="438">
        <f t="shared" si="2306"/>
        <v>0</v>
      </c>
      <c r="K3152" s="438">
        <f t="shared" si="2306"/>
        <v>-1858897</v>
      </c>
      <c r="L3152" s="317">
        <f t="shared" si="2296"/>
        <v>13635782</v>
      </c>
      <c r="M3152" s="317"/>
      <c r="N3152" s="372">
        <f t="shared" si="2301"/>
        <v>1858897</v>
      </c>
      <c r="O3152" s="438">
        <f t="shared" si="2306"/>
        <v>14999360.199999999</v>
      </c>
      <c r="P3152" s="438">
        <f t="shared" si="2306"/>
        <v>16499296.220000001</v>
      </c>
      <c r="R3152" s="317"/>
      <c r="U3152" s="320"/>
    </row>
    <row r="3153" spans="1:21" s="350" customFormat="1" outlineLevel="2">
      <c r="A3153" s="611"/>
      <c r="B3153" s="611"/>
      <c r="C3153" s="332"/>
      <c r="D3153" s="330"/>
      <c r="E3153" s="389"/>
      <c r="F3153" s="1003"/>
      <c r="G3153" s="1003"/>
      <c r="H3153" s="1003"/>
      <c r="I3153" s="324">
        <f t="shared" si="2267"/>
        <v>0</v>
      </c>
      <c r="J3153" s="1003"/>
      <c r="K3153" s="1003"/>
      <c r="L3153" s="317">
        <f t="shared" si="2296"/>
        <v>0</v>
      </c>
      <c r="M3153" s="317"/>
      <c r="N3153" s="372">
        <f t="shared" si="2301"/>
        <v>0</v>
      </c>
      <c r="O3153" s="336">
        <f t="shared" si="2280"/>
        <v>0</v>
      </c>
      <c r="P3153" s="319">
        <f t="shared" si="2293"/>
        <v>0</v>
      </c>
      <c r="R3153" s="317"/>
      <c r="U3153" s="320"/>
    </row>
    <row r="3154" spans="1:21" s="350" customFormat="1" outlineLevel="2">
      <c r="A3154" s="611"/>
      <c r="B3154" s="611"/>
      <c r="C3154" s="332"/>
      <c r="D3154" s="338" t="s">
        <v>474</v>
      </c>
      <c r="E3154" s="389"/>
      <c r="F3154" s="1022"/>
      <c r="G3154" s="1022"/>
      <c r="H3154" s="1022"/>
      <c r="I3154" s="324">
        <f t="shared" si="2267"/>
        <v>0</v>
      </c>
      <c r="J3154" s="1022"/>
      <c r="K3154" s="1022"/>
      <c r="L3154" s="317">
        <f t="shared" si="2296"/>
        <v>0</v>
      </c>
      <c r="M3154" s="317"/>
      <c r="N3154" s="372">
        <f t="shared" si="2301"/>
        <v>0</v>
      </c>
      <c r="O3154" s="336">
        <f t="shared" si="2280"/>
        <v>0</v>
      </c>
      <c r="P3154" s="319">
        <f t="shared" si="2293"/>
        <v>0</v>
      </c>
      <c r="R3154" s="317"/>
      <c r="U3154" s="320"/>
    </row>
    <row r="3155" spans="1:21" s="350" customFormat="1" outlineLevel="3">
      <c r="A3155" s="634"/>
      <c r="B3155" s="634"/>
      <c r="C3155" s="332">
        <v>3110504</v>
      </c>
      <c r="D3155" s="330" t="s">
        <v>1492</v>
      </c>
      <c r="E3155" s="389">
        <v>10185000</v>
      </c>
      <c r="F3155" s="389">
        <v>998598</v>
      </c>
      <c r="G3155" s="389"/>
      <c r="H3155" s="389">
        <v>-1000000</v>
      </c>
      <c r="I3155" s="324">
        <f t="shared" si="2267"/>
        <v>10183598</v>
      </c>
      <c r="J3155" s="389"/>
      <c r="K3155" s="389">
        <v>-1683598</v>
      </c>
      <c r="L3155" s="317">
        <f t="shared" si="2296"/>
        <v>8500000</v>
      </c>
      <c r="M3155" s="317"/>
      <c r="N3155" s="372">
        <f t="shared" si="2301"/>
        <v>1683598</v>
      </c>
      <c r="O3155" s="336">
        <f t="shared" si="2280"/>
        <v>9350000</v>
      </c>
      <c r="P3155" s="319">
        <f t="shared" si="2293"/>
        <v>10285000</v>
      </c>
      <c r="Q3155" s="303" t="s">
        <v>2559</v>
      </c>
      <c r="R3155" s="317"/>
      <c r="U3155" s="320"/>
    </row>
    <row r="3156" spans="1:21" outlineLevel="2">
      <c r="A3156" s="617"/>
      <c r="B3156" s="617"/>
      <c r="C3156" s="314"/>
      <c r="D3156" s="447" t="s">
        <v>606</v>
      </c>
      <c r="E3156" s="438">
        <f>E3155</f>
        <v>10185000</v>
      </c>
      <c r="F3156" s="438">
        <f t="shared" ref="F3156:P3156" si="2307">F3155</f>
        <v>998598</v>
      </c>
      <c r="G3156" s="438">
        <f t="shared" si="2307"/>
        <v>0</v>
      </c>
      <c r="H3156" s="438">
        <f t="shared" si="2307"/>
        <v>-1000000</v>
      </c>
      <c r="I3156" s="438">
        <f t="shared" si="2307"/>
        <v>10183598</v>
      </c>
      <c r="J3156" s="438">
        <f t="shared" si="2307"/>
        <v>0</v>
      </c>
      <c r="K3156" s="438">
        <f t="shared" si="2307"/>
        <v>-1683598</v>
      </c>
      <c r="L3156" s="317">
        <f t="shared" si="2296"/>
        <v>8500000</v>
      </c>
      <c r="M3156" s="317"/>
      <c r="N3156" s="372">
        <f t="shared" si="2301"/>
        <v>1683598</v>
      </c>
      <c r="O3156" s="438">
        <f t="shared" si="2307"/>
        <v>9350000</v>
      </c>
      <c r="P3156" s="438">
        <f t="shared" si="2307"/>
        <v>10285000</v>
      </c>
      <c r="R3156" s="317"/>
      <c r="U3156" s="320"/>
    </row>
    <row r="3157" spans="1:21" outlineLevel="1">
      <c r="A3157" s="617"/>
      <c r="B3157" s="617"/>
      <c r="C3157" s="314"/>
      <c r="D3157" s="447" t="s">
        <v>607</v>
      </c>
      <c r="E3157" s="438">
        <f>E3156+E3152</f>
        <v>20066100</v>
      </c>
      <c r="F3157" s="438">
        <f t="shared" ref="F3157:K3157" si="2308">F3156+F3152</f>
        <v>6462177</v>
      </c>
      <c r="G3157" s="438">
        <f t="shared" si="2308"/>
        <v>0</v>
      </c>
      <c r="H3157" s="438">
        <f t="shared" si="2308"/>
        <v>-850000</v>
      </c>
      <c r="I3157" s="438">
        <f t="shared" si="2308"/>
        <v>25678277</v>
      </c>
      <c r="J3157" s="438">
        <f t="shared" si="2308"/>
        <v>0</v>
      </c>
      <c r="K3157" s="438">
        <f t="shared" si="2308"/>
        <v>-3542495</v>
      </c>
      <c r="L3157" s="317">
        <f t="shared" si="2296"/>
        <v>22135782</v>
      </c>
      <c r="M3157" s="317"/>
      <c r="N3157" s="372">
        <f t="shared" si="2301"/>
        <v>3542495</v>
      </c>
      <c r="O3157" s="438">
        <f t="shared" ref="O3157:P3157" si="2309">O3156+O3152</f>
        <v>24349360.199999999</v>
      </c>
      <c r="P3157" s="438">
        <f t="shared" si="2309"/>
        <v>26784296.219999999</v>
      </c>
      <c r="R3157" s="317"/>
      <c r="U3157" s="320"/>
    </row>
    <row r="3158" spans="1:21" outlineLevel="1">
      <c r="A3158" s="611"/>
      <c r="B3158" s="611"/>
      <c r="C3158" s="332"/>
      <c r="D3158" s="330"/>
      <c r="E3158" s="389"/>
      <c r="F3158" s="389"/>
      <c r="G3158" s="389"/>
      <c r="H3158" s="389"/>
      <c r="I3158" s="324">
        <f t="shared" si="2267"/>
        <v>0</v>
      </c>
      <c r="J3158" s="389"/>
      <c r="K3158" s="389"/>
      <c r="L3158" s="317">
        <f t="shared" si="2296"/>
        <v>0</v>
      </c>
      <c r="M3158" s="317"/>
      <c r="N3158" s="372">
        <f t="shared" si="2301"/>
        <v>0</v>
      </c>
      <c r="O3158" s="336">
        <f t="shared" si="2280"/>
        <v>0</v>
      </c>
      <c r="P3158" s="319">
        <f t="shared" ref="P3158:P3184" si="2310">O3158*1.1</f>
        <v>0</v>
      </c>
      <c r="R3158" s="317"/>
      <c r="U3158" s="320"/>
    </row>
    <row r="3159" spans="1:21" outlineLevel="1">
      <c r="A3159" s="611"/>
      <c r="B3159" s="611"/>
      <c r="C3159" s="332"/>
      <c r="D3159" s="330"/>
      <c r="E3159" s="389"/>
      <c r="F3159" s="389"/>
      <c r="G3159" s="389"/>
      <c r="H3159" s="389"/>
      <c r="I3159" s="324">
        <f t="shared" si="2267"/>
        <v>0</v>
      </c>
      <c r="J3159" s="389"/>
      <c r="K3159" s="389"/>
      <c r="L3159" s="317">
        <f t="shared" si="2296"/>
        <v>0</v>
      </c>
      <c r="M3159" s="317"/>
      <c r="N3159" s="372">
        <f t="shared" si="2301"/>
        <v>0</v>
      </c>
      <c r="O3159" s="336">
        <f t="shared" si="2280"/>
        <v>0</v>
      </c>
      <c r="P3159" s="319">
        <f t="shared" si="2310"/>
        <v>0</v>
      </c>
      <c r="R3159" s="317"/>
      <c r="U3159" s="320"/>
    </row>
    <row r="3160" spans="1:21" outlineLevel="1">
      <c r="A3160" s="1037" t="s">
        <v>144</v>
      </c>
      <c r="B3160" s="1037"/>
      <c r="C3160" s="314" t="s">
        <v>608</v>
      </c>
      <c r="D3160" s="447"/>
      <c r="E3160" s="514"/>
      <c r="F3160" s="438"/>
      <c r="G3160" s="438"/>
      <c r="H3160" s="438"/>
      <c r="I3160" s="324">
        <f t="shared" ref="I3160:I3223" si="2311">E3160+F3160+G3160+H3160</f>
        <v>0</v>
      </c>
      <c r="J3160" s="438"/>
      <c r="K3160" s="438"/>
      <c r="L3160" s="317">
        <f t="shared" si="2296"/>
        <v>0</v>
      </c>
      <c r="M3160" s="317"/>
      <c r="N3160" s="372">
        <f t="shared" si="2301"/>
        <v>0</v>
      </c>
      <c r="O3160" s="336">
        <f t="shared" si="2280"/>
        <v>0</v>
      </c>
      <c r="P3160" s="319">
        <f t="shared" si="2310"/>
        <v>0</v>
      </c>
      <c r="R3160" s="317"/>
      <c r="U3160" s="320"/>
    </row>
    <row r="3161" spans="1:21" outlineLevel="1">
      <c r="A3161" s="611"/>
      <c r="B3161" s="611" t="s">
        <v>146</v>
      </c>
      <c r="C3161" s="340" t="s">
        <v>609</v>
      </c>
      <c r="D3161" s="338"/>
      <c r="E3161" s="389"/>
      <c r="F3161" s="397"/>
      <c r="G3161" s="397"/>
      <c r="H3161" s="397"/>
      <c r="I3161" s="324">
        <f t="shared" si="2311"/>
        <v>0</v>
      </c>
      <c r="J3161" s="397"/>
      <c r="K3161" s="397"/>
      <c r="L3161" s="317">
        <f t="shared" si="2296"/>
        <v>0</v>
      </c>
      <c r="M3161" s="317"/>
      <c r="N3161" s="372">
        <f t="shared" si="2301"/>
        <v>0</v>
      </c>
      <c r="O3161" s="336">
        <f t="shared" si="2280"/>
        <v>0</v>
      </c>
      <c r="P3161" s="319">
        <f t="shared" si="2310"/>
        <v>0</v>
      </c>
      <c r="R3161" s="317"/>
      <c r="U3161" s="320"/>
    </row>
    <row r="3162" spans="1:21" outlineLevel="2">
      <c r="A3162" s="612"/>
      <c r="B3162" s="612"/>
      <c r="C3162" s="340">
        <v>2210200</v>
      </c>
      <c r="D3162" s="338" t="s">
        <v>20</v>
      </c>
      <c r="E3162" s="397">
        <f>SUM(E3163:E3164)</f>
        <v>58000</v>
      </c>
      <c r="F3162" s="397">
        <f t="shared" ref="F3162:P3162" si="2312">SUM(F3163:F3164)</f>
        <v>0</v>
      </c>
      <c r="G3162" s="397">
        <f t="shared" si="2312"/>
        <v>0</v>
      </c>
      <c r="H3162" s="397">
        <f t="shared" si="2312"/>
        <v>0</v>
      </c>
      <c r="I3162" s="397">
        <f t="shared" si="2312"/>
        <v>58000</v>
      </c>
      <c r="J3162" s="397">
        <f t="shared" si="2312"/>
        <v>0</v>
      </c>
      <c r="K3162" s="397">
        <f t="shared" si="2312"/>
        <v>0</v>
      </c>
      <c r="L3162" s="317">
        <f t="shared" si="2296"/>
        <v>58000</v>
      </c>
      <c r="M3162" s="317"/>
      <c r="N3162" s="372">
        <f t="shared" si="2301"/>
        <v>0</v>
      </c>
      <c r="O3162" s="397">
        <f t="shared" si="2312"/>
        <v>63800.000000000007</v>
      </c>
      <c r="P3162" s="397">
        <f t="shared" si="2312"/>
        <v>70180.000000000015</v>
      </c>
      <c r="R3162" s="317"/>
      <c r="U3162" s="320"/>
    </row>
    <row r="3163" spans="1:21" outlineLevel="2">
      <c r="A3163" s="611"/>
      <c r="B3163" s="611"/>
      <c r="C3163" s="332">
        <v>2210201</v>
      </c>
      <c r="D3163" s="330" t="s">
        <v>187</v>
      </c>
      <c r="E3163" s="389">
        <v>29000</v>
      </c>
      <c r="F3163" s="389"/>
      <c r="G3163" s="389"/>
      <c r="H3163" s="389"/>
      <c r="I3163" s="324">
        <f t="shared" si="2311"/>
        <v>29000</v>
      </c>
      <c r="J3163" s="389"/>
      <c r="K3163" s="389"/>
      <c r="L3163" s="317">
        <f t="shared" si="2296"/>
        <v>29000</v>
      </c>
      <c r="M3163" s="317"/>
      <c r="N3163" s="372">
        <f t="shared" si="2301"/>
        <v>0</v>
      </c>
      <c r="O3163" s="336">
        <f t="shared" si="2280"/>
        <v>31900.000000000004</v>
      </c>
      <c r="P3163" s="319">
        <f t="shared" si="2310"/>
        <v>35090.000000000007</v>
      </c>
      <c r="R3163" s="317"/>
      <c r="U3163" s="320"/>
    </row>
    <row r="3164" spans="1:21" outlineLevel="2">
      <c r="A3164" s="611"/>
      <c r="B3164" s="611"/>
      <c r="C3164" s="332">
        <v>2210202</v>
      </c>
      <c r="D3164" s="330" t="s">
        <v>22</v>
      </c>
      <c r="E3164" s="389">
        <v>29000</v>
      </c>
      <c r="F3164" s="389"/>
      <c r="G3164" s="389"/>
      <c r="H3164" s="389"/>
      <c r="I3164" s="324">
        <f t="shared" si="2311"/>
        <v>29000</v>
      </c>
      <c r="J3164" s="389"/>
      <c r="K3164" s="389"/>
      <c r="L3164" s="317">
        <f t="shared" si="2296"/>
        <v>29000</v>
      </c>
      <c r="M3164" s="317"/>
      <c r="N3164" s="372">
        <f t="shared" si="2301"/>
        <v>0</v>
      </c>
      <c r="O3164" s="336">
        <f t="shared" si="2280"/>
        <v>31900.000000000004</v>
      </c>
      <c r="P3164" s="319">
        <f t="shared" si="2310"/>
        <v>35090.000000000007</v>
      </c>
      <c r="R3164" s="317"/>
      <c r="U3164" s="320"/>
    </row>
    <row r="3165" spans="1:21" outlineLevel="2">
      <c r="A3165" s="612"/>
      <c r="B3165" s="612"/>
      <c r="C3165" s="340">
        <v>2210300</v>
      </c>
      <c r="D3165" s="338" t="s">
        <v>24</v>
      </c>
      <c r="E3165" s="397">
        <f>SUM(E3166:E3168)</f>
        <v>364800</v>
      </c>
      <c r="F3165" s="397">
        <f t="shared" ref="F3165:K3165" si="2313">SUM(F3166:F3168)</f>
        <v>0</v>
      </c>
      <c r="G3165" s="397">
        <f t="shared" si="2313"/>
        <v>0</v>
      </c>
      <c r="H3165" s="397">
        <f t="shared" si="2313"/>
        <v>0</v>
      </c>
      <c r="I3165" s="397">
        <f t="shared" si="2313"/>
        <v>364800</v>
      </c>
      <c r="J3165" s="397">
        <f t="shared" si="2313"/>
        <v>0</v>
      </c>
      <c r="K3165" s="397">
        <f t="shared" si="2313"/>
        <v>0</v>
      </c>
      <c r="L3165" s="317">
        <f t="shared" si="2296"/>
        <v>364800</v>
      </c>
      <c r="M3165" s="317"/>
      <c r="N3165" s="372">
        <f t="shared" si="2301"/>
        <v>0</v>
      </c>
      <c r="O3165" s="397">
        <f t="shared" ref="O3165:P3165" si="2314">SUM(O3166:O3168)</f>
        <v>401280.00000000006</v>
      </c>
      <c r="P3165" s="397">
        <f t="shared" si="2314"/>
        <v>441408.00000000012</v>
      </c>
      <c r="R3165" s="317"/>
      <c r="U3165" s="320"/>
    </row>
    <row r="3166" spans="1:21" outlineLevel="2">
      <c r="A3166" s="612"/>
      <c r="B3166" s="612"/>
      <c r="C3166" s="332">
        <v>2210301</v>
      </c>
      <c r="D3166" s="330" t="s">
        <v>188</v>
      </c>
      <c r="E3166" s="389">
        <v>187000</v>
      </c>
      <c r="F3166" s="389"/>
      <c r="G3166" s="389"/>
      <c r="H3166" s="389"/>
      <c r="I3166" s="324">
        <f t="shared" si="2311"/>
        <v>187000</v>
      </c>
      <c r="J3166" s="389"/>
      <c r="K3166" s="389"/>
      <c r="L3166" s="317">
        <f t="shared" si="2296"/>
        <v>187000</v>
      </c>
      <c r="M3166" s="317"/>
      <c r="N3166" s="372">
        <f t="shared" si="2301"/>
        <v>0</v>
      </c>
      <c r="O3166" s="336">
        <f t="shared" si="2280"/>
        <v>205700.00000000003</v>
      </c>
      <c r="P3166" s="319">
        <f t="shared" ref="P3166:P3168" si="2315">O3166*1.1</f>
        <v>226270.00000000006</v>
      </c>
      <c r="R3166" s="317"/>
      <c r="U3166" s="320"/>
    </row>
    <row r="3167" spans="1:21" outlineLevel="2">
      <c r="A3167" s="612"/>
      <c r="B3167" s="612"/>
      <c r="C3167" s="332">
        <v>2210302</v>
      </c>
      <c r="D3167" s="330" t="s">
        <v>26</v>
      </c>
      <c r="E3167" s="389">
        <v>98600</v>
      </c>
      <c r="F3167" s="389"/>
      <c r="G3167" s="389"/>
      <c r="H3167" s="389"/>
      <c r="I3167" s="324">
        <f t="shared" si="2311"/>
        <v>98600</v>
      </c>
      <c r="J3167" s="389"/>
      <c r="K3167" s="389"/>
      <c r="L3167" s="317">
        <f t="shared" si="2296"/>
        <v>98600</v>
      </c>
      <c r="M3167" s="317"/>
      <c r="N3167" s="372">
        <f t="shared" si="2301"/>
        <v>0</v>
      </c>
      <c r="O3167" s="336">
        <f t="shared" si="2280"/>
        <v>108460.00000000001</v>
      </c>
      <c r="P3167" s="319">
        <f t="shared" si="2315"/>
        <v>119306.00000000003</v>
      </c>
      <c r="R3167" s="317"/>
      <c r="U3167" s="320"/>
    </row>
    <row r="3168" spans="1:21" outlineLevel="2">
      <c r="A3168" s="612"/>
      <c r="B3168" s="612"/>
      <c r="C3168" s="332">
        <v>2210303</v>
      </c>
      <c r="D3168" s="330" t="s">
        <v>223</v>
      </c>
      <c r="E3168" s="389">
        <v>79200</v>
      </c>
      <c r="F3168" s="389"/>
      <c r="G3168" s="389"/>
      <c r="H3168" s="389"/>
      <c r="I3168" s="324">
        <f t="shared" si="2311"/>
        <v>79200</v>
      </c>
      <c r="J3168" s="389"/>
      <c r="K3168" s="389"/>
      <c r="L3168" s="317">
        <f t="shared" si="2296"/>
        <v>79200</v>
      </c>
      <c r="M3168" s="317"/>
      <c r="N3168" s="372">
        <f t="shared" si="2301"/>
        <v>0</v>
      </c>
      <c r="O3168" s="336">
        <f t="shared" si="2280"/>
        <v>87120</v>
      </c>
      <c r="P3168" s="319">
        <f t="shared" si="2315"/>
        <v>95832.000000000015</v>
      </c>
      <c r="R3168" s="317"/>
      <c r="U3168" s="320"/>
    </row>
    <row r="3169" spans="1:21" outlineLevel="2">
      <c r="A3169" s="612"/>
      <c r="B3169" s="612"/>
      <c r="C3169" s="340">
        <v>2210500</v>
      </c>
      <c r="D3169" s="338" t="s">
        <v>31</v>
      </c>
      <c r="E3169" s="397">
        <f>SUM(E3170:E3171)</f>
        <v>65400</v>
      </c>
      <c r="F3169" s="397">
        <f t="shared" ref="F3169:P3169" si="2316">SUM(F3170:F3171)</f>
        <v>0</v>
      </c>
      <c r="G3169" s="397">
        <f t="shared" si="2316"/>
        <v>0</v>
      </c>
      <c r="H3169" s="397">
        <f t="shared" si="2316"/>
        <v>0</v>
      </c>
      <c r="I3169" s="397">
        <f t="shared" si="2316"/>
        <v>65400</v>
      </c>
      <c r="J3169" s="397">
        <f t="shared" si="2316"/>
        <v>0</v>
      </c>
      <c r="K3169" s="397">
        <f t="shared" si="2316"/>
        <v>-65400</v>
      </c>
      <c r="L3169" s="317">
        <f t="shared" si="2296"/>
        <v>0</v>
      </c>
      <c r="M3169" s="317"/>
      <c r="N3169" s="372">
        <f t="shared" si="2301"/>
        <v>65400</v>
      </c>
      <c r="O3169" s="397">
        <f t="shared" si="2316"/>
        <v>0</v>
      </c>
      <c r="P3169" s="397">
        <f t="shared" si="2316"/>
        <v>0</v>
      </c>
      <c r="R3169" s="317"/>
      <c r="U3169" s="320"/>
    </row>
    <row r="3170" spans="1:21" outlineLevel="2">
      <c r="A3170" s="612"/>
      <c r="B3170" s="612"/>
      <c r="C3170" s="332">
        <v>2210502</v>
      </c>
      <c r="D3170" s="330" t="s">
        <v>105</v>
      </c>
      <c r="E3170" s="389">
        <v>36400</v>
      </c>
      <c r="F3170" s="389"/>
      <c r="G3170" s="389"/>
      <c r="H3170" s="389"/>
      <c r="I3170" s="324">
        <f t="shared" si="2311"/>
        <v>36400</v>
      </c>
      <c r="J3170" s="389"/>
      <c r="K3170" s="389">
        <v>-36400</v>
      </c>
      <c r="L3170" s="317">
        <f t="shared" si="2296"/>
        <v>0</v>
      </c>
      <c r="M3170" s="317"/>
      <c r="N3170" s="372">
        <f t="shared" si="2301"/>
        <v>36400</v>
      </c>
      <c r="O3170" s="336">
        <f t="shared" si="2280"/>
        <v>0</v>
      </c>
      <c r="P3170" s="319">
        <f t="shared" ref="P3170:P3171" si="2317">O3170*1.1</f>
        <v>0</v>
      </c>
      <c r="Q3170" s="303" t="s">
        <v>2534</v>
      </c>
      <c r="R3170" s="317"/>
      <c r="U3170" s="320"/>
    </row>
    <row r="3171" spans="1:21" outlineLevel="2">
      <c r="A3171" s="612"/>
      <c r="B3171" s="612"/>
      <c r="C3171" s="332">
        <v>2210503</v>
      </c>
      <c r="D3171" s="330" t="s">
        <v>32</v>
      </c>
      <c r="E3171" s="389">
        <v>29000</v>
      </c>
      <c r="F3171" s="389"/>
      <c r="G3171" s="389"/>
      <c r="H3171" s="389"/>
      <c r="I3171" s="324">
        <f t="shared" si="2311"/>
        <v>29000</v>
      </c>
      <c r="J3171" s="389"/>
      <c r="K3171" s="389">
        <v>-29000</v>
      </c>
      <c r="L3171" s="317">
        <f t="shared" si="2296"/>
        <v>0</v>
      </c>
      <c r="M3171" s="317"/>
      <c r="N3171" s="372">
        <f t="shared" si="2301"/>
        <v>29000</v>
      </c>
      <c r="O3171" s="336">
        <f t="shared" si="2280"/>
        <v>0</v>
      </c>
      <c r="P3171" s="319">
        <f t="shared" si="2317"/>
        <v>0</v>
      </c>
      <c r="Q3171" s="303" t="s">
        <v>2528</v>
      </c>
      <c r="R3171" s="317"/>
      <c r="U3171" s="320"/>
    </row>
    <row r="3172" spans="1:21" outlineLevel="2">
      <c r="A3172" s="612"/>
      <c r="B3172" s="612"/>
      <c r="C3172" s="340">
        <v>2210700</v>
      </c>
      <c r="D3172" s="338" t="s">
        <v>35</v>
      </c>
      <c r="E3172" s="397">
        <f>E3173</f>
        <v>807000</v>
      </c>
      <c r="F3172" s="397">
        <f t="shared" ref="F3172:K3172" si="2318">F3173</f>
        <v>0</v>
      </c>
      <c r="G3172" s="397">
        <f t="shared" si="2318"/>
        <v>0</v>
      </c>
      <c r="H3172" s="397">
        <f t="shared" si="2318"/>
        <v>0</v>
      </c>
      <c r="I3172" s="397">
        <f t="shared" si="2318"/>
        <v>807000</v>
      </c>
      <c r="J3172" s="397">
        <f t="shared" si="2318"/>
        <v>0</v>
      </c>
      <c r="K3172" s="397">
        <f t="shared" si="2318"/>
        <v>0</v>
      </c>
      <c r="L3172" s="317">
        <f t="shared" si="2296"/>
        <v>807000</v>
      </c>
      <c r="M3172" s="317"/>
      <c r="N3172" s="372">
        <f t="shared" si="2301"/>
        <v>0</v>
      </c>
      <c r="O3172" s="397">
        <f t="shared" ref="O3172:P3172" si="2319">O3173</f>
        <v>887700.00000000012</v>
      </c>
      <c r="P3172" s="397">
        <f t="shared" si="2319"/>
        <v>976470.00000000023</v>
      </c>
      <c r="R3172" s="317"/>
      <c r="U3172" s="320"/>
    </row>
    <row r="3173" spans="1:21" outlineLevel="2">
      <c r="A3173" s="612"/>
      <c r="B3173" s="612"/>
      <c r="C3173" s="708">
        <v>2210799</v>
      </c>
      <c r="D3173" s="1019" t="s">
        <v>1493</v>
      </c>
      <c r="E3173" s="389">
        <v>807000</v>
      </c>
      <c r="F3173" s="1020"/>
      <c r="G3173" s="1020"/>
      <c r="H3173" s="1020"/>
      <c r="I3173" s="324">
        <f t="shared" si="2311"/>
        <v>807000</v>
      </c>
      <c r="J3173" s="1020"/>
      <c r="K3173" s="1020"/>
      <c r="L3173" s="317">
        <f t="shared" si="2296"/>
        <v>807000</v>
      </c>
      <c r="M3173" s="317"/>
      <c r="N3173" s="372">
        <f t="shared" si="2301"/>
        <v>0</v>
      </c>
      <c r="O3173" s="336">
        <f t="shared" si="2280"/>
        <v>887700.00000000012</v>
      </c>
      <c r="P3173" s="319">
        <f t="shared" ref="P3173" si="2320">O3173*1.1</f>
        <v>976470.00000000023</v>
      </c>
      <c r="R3173" s="317"/>
      <c r="U3173" s="320"/>
    </row>
    <row r="3174" spans="1:21" outlineLevel="2">
      <c r="A3174" s="612"/>
      <c r="B3174" s="612"/>
      <c r="C3174" s="340">
        <v>2210800</v>
      </c>
      <c r="D3174" s="338" t="s">
        <v>42</v>
      </c>
      <c r="E3174" s="397">
        <f>SUM(E3175:E3176)</f>
        <v>127600</v>
      </c>
      <c r="F3174" s="397">
        <f t="shared" ref="F3174:K3174" si="2321">SUM(F3175:F3176)</f>
        <v>0</v>
      </c>
      <c r="G3174" s="397">
        <f t="shared" si="2321"/>
        <v>0</v>
      </c>
      <c r="H3174" s="397">
        <f t="shared" si="2321"/>
        <v>0</v>
      </c>
      <c r="I3174" s="397">
        <f t="shared" si="2321"/>
        <v>127600</v>
      </c>
      <c r="J3174" s="397">
        <f t="shared" si="2321"/>
        <v>0</v>
      </c>
      <c r="K3174" s="397">
        <f t="shared" si="2321"/>
        <v>0</v>
      </c>
      <c r="L3174" s="317">
        <f t="shared" si="2296"/>
        <v>127600</v>
      </c>
      <c r="M3174" s="317"/>
      <c r="N3174" s="372">
        <f t="shared" si="2301"/>
        <v>0</v>
      </c>
      <c r="O3174" s="397">
        <f t="shared" ref="O3174:P3174" si="2322">SUM(O3175:O3176)</f>
        <v>140360</v>
      </c>
      <c r="P3174" s="397">
        <f t="shared" si="2322"/>
        <v>154396</v>
      </c>
      <c r="R3174" s="317"/>
      <c r="U3174" s="320"/>
    </row>
    <row r="3175" spans="1:21" outlineLevel="2">
      <c r="A3175" s="612"/>
      <c r="B3175" s="612"/>
      <c r="C3175" s="332">
        <v>2210801</v>
      </c>
      <c r="D3175" s="330" t="s">
        <v>2421</v>
      </c>
      <c r="E3175" s="389">
        <v>58000</v>
      </c>
      <c r="F3175" s="389"/>
      <c r="G3175" s="389"/>
      <c r="H3175" s="389"/>
      <c r="I3175" s="324">
        <f t="shared" si="2311"/>
        <v>58000</v>
      </c>
      <c r="J3175" s="389"/>
      <c r="K3175" s="389"/>
      <c r="L3175" s="317">
        <f t="shared" si="2296"/>
        <v>58000</v>
      </c>
      <c r="M3175" s="317"/>
      <c r="N3175" s="372">
        <f t="shared" si="2301"/>
        <v>0</v>
      </c>
      <c r="O3175" s="336">
        <f t="shared" si="2280"/>
        <v>63800.000000000007</v>
      </c>
      <c r="P3175" s="319">
        <f t="shared" ref="P3175:P3176" si="2323">O3175*1.1</f>
        <v>70180.000000000015</v>
      </c>
      <c r="R3175" s="317"/>
      <c r="U3175" s="320"/>
    </row>
    <row r="3176" spans="1:21" outlineLevel="2">
      <c r="A3176" s="612"/>
      <c r="B3176" s="612"/>
      <c r="C3176" s="332">
        <v>2210802</v>
      </c>
      <c r="D3176" s="330" t="s">
        <v>97</v>
      </c>
      <c r="E3176" s="389">
        <v>69600</v>
      </c>
      <c r="F3176" s="389"/>
      <c r="G3176" s="389"/>
      <c r="H3176" s="389"/>
      <c r="I3176" s="324">
        <f t="shared" si="2311"/>
        <v>69600</v>
      </c>
      <c r="J3176" s="389"/>
      <c r="K3176" s="389"/>
      <c r="L3176" s="317">
        <f t="shared" si="2296"/>
        <v>69600</v>
      </c>
      <c r="M3176" s="317"/>
      <c r="N3176" s="372">
        <f t="shared" si="2301"/>
        <v>0</v>
      </c>
      <c r="O3176" s="336">
        <f t="shared" si="2280"/>
        <v>76560</v>
      </c>
      <c r="P3176" s="319">
        <f t="shared" si="2323"/>
        <v>84216</v>
      </c>
      <c r="R3176" s="317"/>
      <c r="U3176" s="320"/>
    </row>
    <row r="3177" spans="1:21" outlineLevel="2">
      <c r="A3177" s="612"/>
      <c r="B3177" s="612"/>
      <c r="C3177" s="340">
        <v>2211000</v>
      </c>
      <c r="D3177" s="338" t="s">
        <v>118</v>
      </c>
      <c r="E3177" s="397">
        <f>SUM(E3178:E3179)</f>
        <v>10212600</v>
      </c>
      <c r="F3177" s="397">
        <f t="shared" ref="F3177:P3177" si="2324">SUM(F3178:F3179)</f>
        <v>2399900</v>
      </c>
      <c r="G3177" s="397">
        <f t="shared" si="2324"/>
        <v>-7679600</v>
      </c>
      <c r="H3177" s="397">
        <f t="shared" si="2324"/>
        <v>7679600</v>
      </c>
      <c r="I3177" s="397">
        <f t="shared" si="2324"/>
        <v>12612500</v>
      </c>
      <c r="J3177" s="397">
        <f t="shared" si="2324"/>
        <v>0</v>
      </c>
      <c r="K3177" s="397">
        <f t="shared" si="2324"/>
        <v>0</v>
      </c>
      <c r="L3177" s="317">
        <f t="shared" si="2296"/>
        <v>12612500</v>
      </c>
      <c r="M3177" s="317"/>
      <c r="N3177" s="372">
        <f t="shared" si="2301"/>
        <v>0</v>
      </c>
      <c r="O3177" s="397">
        <f t="shared" si="2324"/>
        <v>13873750.000000002</v>
      </c>
      <c r="P3177" s="397">
        <f t="shared" si="2324"/>
        <v>15261125.000000004</v>
      </c>
      <c r="R3177" s="317"/>
      <c r="U3177" s="320"/>
    </row>
    <row r="3178" spans="1:21" outlineLevel="2">
      <c r="A3178" s="611"/>
      <c r="B3178" s="611"/>
      <c r="C3178" s="332">
        <v>2211029</v>
      </c>
      <c r="D3178" s="330" t="s">
        <v>1494</v>
      </c>
      <c r="E3178" s="389">
        <f>2533000+7679600</f>
        <v>10212600</v>
      </c>
      <c r="F3178" s="389">
        <v>2399900</v>
      </c>
      <c r="G3178" s="389">
        <v>-7679600</v>
      </c>
      <c r="H3178" s="389">
        <v>7679600</v>
      </c>
      <c r="I3178" s="324">
        <f t="shared" si="2311"/>
        <v>12612500</v>
      </c>
      <c r="J3178" s="389"/>
      <c r="K3178" s="389"/>
      <c r="L3178" s="317">
        <f t="shared" si="2296"/>
        <v>12612500</v>
      </c>
      <c r="M3178" s="317"/>
      <c r="N3178" s="372">
        <f t="shared" si="2301"/>
        <v>0</v>
      </c>
      <c r="O3178" s="336">
        <f t="shared" si="2280"/>
        <v>13873750.000000002</v>
      </c>
      <c r="P3178" s="319">
        <f t="shared" si="2310"/>
        <v>15261125.000000004</v>
      </c>
      <c r="R3178" s="317"/>
      <c r="U3178" s="320"/>
    </row>
    <row r="3179" spans="1:21" outlineLevel="2">
      <c r="A3179" s="611"/>
      <c r="B3179" s="611"/>
      <c r="C3179" s="332">
        <v>2211031</v>
      </c>
      <c r="D3179" s="330" t="s">
        <v>601</v>
      </c>
      <c r="E3179" s="389">
        <f>679600-679600</f>
        <v>0</v>
      </c>
      <c r="F3179" s="389"/>
      <c r="G3179" s="389"/>
      <c r="H3179" s="389"/>
      <c r="I3179" s="324">
        <f t="shared" si="2311"/>
        <v>0</v>
      </c>
      <c r="J3179" s="389"/>
      <c r="K3179" s="389"/>
      <c r="L3179" s="317">
        <f t="shared" si="2296"/>
        <v>0</v>
      </c>
      <c r="M3179" s="317"/>
      <c r="N3179" s="372">
        <f t="shared" si="2301"/>
        <v>0</v>
      </c>
      <c r="O3179" s="336">
        <f t="shared" ref="O3179:O3242" si="2325">L3179*1.1</f>
        <v>0</v>
      </c>
      <c r="P3179" s="319">
        <f t="shared" si="2310"/>
        <v>0</v>
      </c>
      <c r="R3179" s="317"/>
      <c r="U3179" s="320"/>
    </row>
    <row r="3180" spans="1:21" outlineLevel="2">
      <c r="A3180" s="611"/>
      <c r="B3180" s="611"/>
      <c r="C3180" s="340">
        <v>2211100</v>
      </c>
      <c r="D3180" s="338" t="s">
        <v>51</v>
      </c>
      <c r="E3180" s="397">
        <f>SUM(E3181:E3182)</f>
        <v>174000</v>
      </c>
      <c r="F3180" s="397">
        <f t="shared" ref="F3180:P3180" si="2326">SUM(F3181:F3182)</f>
        <v>0</v>
      </c>
      <c r="G3180" s="397">
        <f t="shared" si="2326"/>
        <v>0</v>
      </c>
      <c r="H3180" s="397">
        <f t="shared" si="2326"/>
        <v>0</v>
      </c>
      <c r="I3180" s="397">
        <f t="shared" si="2326"/>
        <v>174000</v>
      </c>
      <c r="J3180" s="397">
        <f t="shared" si="2326"/>
        <v>0</v>
      </c>
      <c r="K3180" s="397">
        <f t="shared" si="2326"/>
        <v>0</v>
      </c>
      <c r="L3180" s="317">
        <f t="shared" si="2296"/>
        <v>174000</v>
      </c>
      <c r="M3180" s="317"/>
      <c r="N3180" s="372">
        <f t="shared" si="2301"/>
        <v>0</v>
      </c>
      <c r="O3180" s="397">
        <f t="shared" si="2326"/>
        <v>191400.00000000003</v>
      </c>
      <c r="P3180" s="397">
        <f t="shared" si="2326"/>
        <v>210540.00000000006</v>
      </c>
      <c r="R3180" s="317"/>
      <c r="U3180" s="320"/>
    </row>
    <row r="3181" spans="1:21" outlineLevel="2">
      <c r="A3181" s="612"/>
      <c r="B3181" s="612"/>
      <c r="C3181" s="332">
        <v>2211101</v>
      </c>
      <c r="D3181" s="330" t="s">
        <v>289</v>
      </c>
      <c r="E3181" s="389">
        <v>87000</v>
      </c>
      <c r="F3181" s="389"/>
      <c r="G3181" s="389"/>
      <c r="H3181" s="389"/>
      <c r="I3181" s="324">
        <f t="shared" si="2311"/>
        <v>87000</v>
      </c>
      <c r="J3181" s="389"/>
      <c r="K3181" s="389"/>
      <c r="L3181" s="317">
        <f t="shared" si="2296"/>
        <v>87000</v>
      </c>
      <c r="M3181" s="317"/>
      <c r="N3181" s="372">
        <f t="shared" si="2301"/>
        <v>0</v>
      </c>
      <c r="O3181" s="336">
        <f t="shared" si="2325"/>
        <v>95700.000000000015</v>
      </c>
      <c r="P3181" s="319">
        <f t="shared" si="2310"/>
        <v>105270.00000000003</v>
      </c>
      <c r="R3181" s="317"/>
      <c r="U3181" s="320"/>
    </row>
    <row r="3182" spans="1:21" outlineLevel="2">
      <c r="A3182" s="611"/>
      <c r="B3182" s="611"/>
      <c r="C3182" s="332">
        <v>2211103</v>
      </c>
      <c r="D3182" s="330" t="s">
        <v>54</v>
      </c>
      <c r="E3182" s="389">
        <v>87000</v>
      </c>
      <c r="F3182" s="389"/>
      <c r="G3182" s="389"/>
      <c r="H3182" s="389"/>
      <c r="I3182" s="324">
        <f t="shared" si="2311"/>
        <v>87000</v>
      </c>
      <c r="J3182" s="389"/>
      <c r="K3182" s="389"/>
      <c r="L3182" s="317">
        <f t="shared" si="2296"/>
        <v>87000</v>
      </c>
      <c r="M3182" s="317"/>
      <c r="N3182" s="372">
        <f t="shared" si="2301"/>
        <v>0</v>
      </c>
      <c r="O3182" s="336">
        <f t="shared" si="2325"/>
        <v>95700.000000000015</v>
      </c>
      <c r="P3182" s="319">
        <f t="shared" si="2310"/>
        <v>105270.00000000003</v>
      </c>
      <c r="R3182" s="317"/>
      <c r="U3182" s="320"/>
    </row>
    <row r="3183" spans="1:21" outlineLevel="2">
      <c r="A3183" s="611"/>
      <c r="B3183" s="611"/>
      <c r="C3183" s="340">
        <v>2211200</v>
      </c>
      <c r="D3183" s="338" t="s">
        <v>55</v>
      </c>
      <c r="E3183" s="397">
        <f>SUM(E3184)</f>
        <v>281200</v>
      </c>
      <c r="F3183" s="397">
        <f t="shared" ref="F3183:P3183" si="2327">SUM(F3184)</f>
        <v>0</v>
      </c>
      <c r="G3183" s="397">
        <f t="shared" si="2327"/>
        <v>0</v>
      </c>
      <c r="H3183" s="397">
        <f t="shared" si="2327"/>
        <v>0</v>
      </c>
      <c r="I3183" s="397">
        <f t="shared" si="2327"/>
        <v>281200</v>
      </c>
      <c r="J3183" s="397">
        <f t="shared" si="2327"/>
        <v>0</v>
      </c>
      <c r="K3183" s="397">
        <f t="shared" si="2327"/>
        <v>0</v>
      </c>
      <c r="L3183" s="317">
        <f t="shared" si="2296"/>
        <v>281200</v>
      </c>
      <c r="M3183" s="317"/>
      <c r="N3183" s="372">
        <f t="shared" si="2301"/>
        <v>0</v>
      </c>
      <c r="O3183" s="397">
        <f t="shared" si="2327"/>
        <v>309320</v>
      </c>
      <c r="P3183" s="397">
        <f t="shared" si="2327"/>
        <v>340252</v>
      </c>
      <c r="R3183" s="317"/>
      <c r="U3183" s="320"/>
    </row>
    <row r="3184" spans="1:21" outlineLevel="2">
      <c r="A3184" s="612"/>
      <c r="B3184" s="612"/>
      <c r="C3184" s="332">
        <v>2211201</v>
      </c>
      <c r="D3184" s="330" t="s">
        <v>56</v>
      </c>
      <c r="E3184" s="389">
        <v>281200</v>
      </c>
      <c r="F3184" s="389"/>
      <c r="G3184" s="389"/>
      <c r="H3184" s="389"/>
      <c r="I3184" s="324">
        <f t="shared" si="2311"/>
        <v>281200</v>
      </c>
      <c r="J3184" s="389"/>
      <c r="K3184" s="389"/>
      <c r="L3184" s="317">
        <f t="shared" si="2296"/>
        <v>281200</v>
      </c>
      <c r="M3184" s="317"/>
      <c r="N3184" s="372">
        <f t="shared" si="2301"/>
        <v>0</v>
      </c>
      <c r="O3184" s="336">
        <f t="shared" si="2325"/>
        <v>309320</v>
      </c>
      <c r="P3184" s="319">
        <f t="shared" si="2310"/>
        <v>340252</v>
      </c>
      <c r="R3184" s="317"/>
      <c r="U3184" s="320"/>
    </row>
    <row r="3185" spans="1:21" outlineLevel="1">
      <c r="A3185" s="617"/>
      <c r="B3185" s="617"/>
      <c r="C3185" s="314" t="s">
        <v>99</v>
      </c>
      <c r="D3185" s="447"/>
      <c r="E3185" s="438">
        <f>E3162+E3165+E3169+E3172+E3174+E3177+E3180+E3183</f>
        <v>12090600</v>
      </c>
      <c r="F3185" s="438">
        <f t="shared" ref="F3185:K3185" si="2328">F3162+F3165+F3169+F3172+F3174+F3177+F3180+F3183</f>
        <v>2399900</v>
      </c>
      <c r="G3185" s="438">
        <f t="shared" si="2328"/>
        <v>-7679600</v>
      </c>
      <c r="H3185" s="438">
        <f t="shared" si="2328"/>
        <v>7679600</v>
      </c>
      <c r="I3185" s="438">
        <f t="shared" si="2328"/>
        <v>14490500</v>
      </c>
      <c r="J3185" s="438">
        <f t="shared" si="2328"/>
        <v>0</v>
      </c>
      <c r="K3185" s="438">
        <f t="shared" si="2328"/>
        <v>-65400</v>
      </c>
      <c r="L3185" s="317">
        <f t="shared" si="2296"/>
        <v>14425100</v>
      </c>
      <c r="M3185" s="317"/>
      <c r="N3185" s="372">
        <f t="shared" si="2301"/>
        <v>65400</v>
      </c>
      <c r="O3185" s="438">
        <f t="shared" ref="O3185:P3185" si="2329">O3162+O3165+O3169+O3172+O3174+O3177+O3180+O3183</f>
        <v>15867610.000000002</v>
      </c>
      <c r="P3185" s="438">
        <f t="shared" si="2329"/>
        <v>17454371.000000004</v>
      </c>
      <c r="R3185" s="317"/>
      <c r="U3185" s="320"/>
    </row>
    <row r="3186" spans="1:21" outlineLevel="1">
      <c r="A3186" s="617"/>
      <c r="B3186" s="617"/>
      <c r="C3186" s="314"/>
      <c r="D3186" s="447" t="s">
        <v>610</v>
      </c>
      <c r="E3186" s="438">
        <f>E3185</f>
        <v>12090600</v>
      </c>
      <c r="F3186" s="438">
        <f t="shared" ref="F3186:P3186" si="2330">F3185</f>
        <v>2399900</v>
      </c>
      <c r="G3186" s="438">
        <f t="shared" si="2330"/>
        <v>-7679600</v>
      </c>
      <c r="H3186" s="438">
        <f t="shared" si="2330"/>
        <v>7679600</v>
      </c>
      <c r="I3186" s="438">
        <f t="shared" si="2330"/>
        <v>14490500</v>
      </c>
      <c r="J3186" s="438">
        <f t="shared" si="2330"/>
        <v>0</v>
      </c>
      <c r="K3186" s="438">
        <f t="shared" si="2330"/>
        <v>-65400</v>
      </c>
      <c r="L3186" s="317">
        <f t="shared" si="2296"/>
        <v>14425100</v>
      </c>
      <c r="M3186" s="317"/>
      <c r="N3186" s="372">
        <f t="shared" si="2301"/>
        <v>65400</v>
      </c>
      <c r="O3186" s="438">
        <f t="shared" si="2330"/>
        <v>15867610.000000002</v>
      </c>
      <c r="P3186" s="438">
        <f t="shared" si="2330"/>
        <v>17454371.000000004</v>
      </c>
      <c r="R3186" s="317"/>
      <c r="U3186" s="320"/>
    </row>
    <row r="3187" spans="1:21" outlineLevel="1">
      <c r="A3187" s="611"/>
      <c r="B3187" s="611"/>
      <c r="C3187" s="332"/>
      <c r="D3187" s="330"/>
      <c r="E3187" s="389"/>
      <c r="F3187" s="389"/>
      <c r="G3187" s="389"/>
      <c r="H3187" s="389"/>
      <c r="I3187" s="324">
        <f t="shared" si="2311"/>
        <v>0</v>
      </c>
      <c r="J3187" s="389"/>
      <c r="K3187" s="389"/>
      <c r="L3187" s="317">
        <f t="shared" si="2296"/>
        <v>0</v>
      </c>
      <c r="M3187" s="317"/>
      <c r="N3187" s="372">
        <f t="shared" si="2301"/>
        <v>0</v>
      </c>
      <c r="O3187" s="336">
        <f t="shared" si="2325"/>
        <v>0</v>
      </c>
      <c r="P3187" s="319">
        <f t="shared" ref="P3187:P3199" si="2331">O3187*1.1</f>
        <v>0</v>
      </c>
      <c r="R3187" s="317"/>
      <c r="U3187" s="320"/>
    </row>
    <row r="3188" spans="1:21" outlineLevel="1">
      <c r="A3188" s="617" t="s">
        <v>144</v>
      </c>
      <c r="B3188" s="1037" t="s">
        <v>146</v>
      </c>
      <c r="C3188" s="314" t="s">
        <v>611</v>
      </c>
      <c r="D3188" s="447"/>
      <c r="E3188" s="514"/>
      <c r="F3188" s="438"/>
      <c r="G3188" s="438"/>
      <c r="H3188" s="438"/>
      <c r="I3188" s="324">
        <f t="shared" si="2311"/>
        <v>0</v>
      </c>
      <c r="J3188" s="438"/>
      <c r="K3188" s="438"/>
      <c r="L3188" s="317">
        <f t="shared" si="2296"/>
        <v>0</v>
      </c>
      <c r="M3188" s="317"/>
      <c r="N3188" s="372">
        <f t="shared" si="2301"/>
        <v>0</v>
      </c>
      <c r="O3188" s="336">
        <f t="shared" si="2325"/>
        <v>0</v>
      </c>
      <c r="P3188" s="319">
        <f t="shared" si="2331"/>
        <v>0</v>
      </c>
      <c r="R3188" s="317"/>
      <c r="U3188" s="320"/>
    </row>
    <row r="3189" spans="1:21" outlineLevel="2">
      <c r="A3189" s="612"/>
      <c r="B3189" s="612"/>
      <c r="C3189" s="340">
        <v>2210100</v>
      </c>
      <c r="D3189" s="338" t="s">
        <v>16</v>
      </c>
      <c r="E3189" s="397">
        <f>SUM(E3190)</f>
        <v>29000</v>
      </c>
      <c r="F3189" s="397">
        <f t="shared" ref="F3189:P3189" si="2332">SUM(F3190)</f>
        <v>0</v>
      </c>
      <c r="G3189" s="397">
        <f t="shared" si="2332"/>
        <v>0</v>
      </c>
      <c r="H3189" s="397">
        <f t="shared" si="2332"/>
        <v>0</v>
      </c>
      <c r="I3189" s="397">
        <f t="shared" si="2332"/>
        <v>29000</v>
      </c>
      <c r="J3189" s="397">
        <f t="shared" si="2332"/>
        <v>0</v>
      </c>
      <c r="K3189" s="397">
        <f t="shared" si="2332"/>
        <v>-29000</v>
      </c>
      <c r="L3189" s="317">
        <f t="shared" si="2296"/>
        <v>0</v>
      </c>
      <c r="M3189" s="317"/>
      <c r="N3189" s="372">
        <f t="shared" si="2301"/>
        <v>29000</v>
      </c>
      <c r="O3189" s="397">
        <f t="shared" si="2332"/>
        <v>0</v>
      </c>
      <c r="P3189" s="397">
        <f t="shared" si="2332"/>
        <v>0</v>
      </c>
      <c r="R3189" s="317"/>
      <c r="U3189" s="320"/>
    </row>
    <row r="3190" spans="1:21" outlineLevel="2">
      <c r="A3190" s="611"/>
      <c r="B3190" s="611"/>
      <c r="C3190" s="332">
        <v>2210101</v>
      </c>
      <c r="D3190" s="330" t="s">
        <v>17</v>
      </c>
      <c r="E3190" s="389">
        <v>29000</v>
      </c>
      <c r="F3190" s="389"/>
      <c r="G3190" s="389"/>
      <c r="H3190" s="389"/>
      <c r="I3190" s="324">
        <f t="shared" si="2311"/>
        <v>29000</v>
      </c>
      <c r="J3190" s="389"/>
      <c r="K3190" s="389">
        <v>-29000</v>
      </c>
      <c r="L3190" s="317">
        <f t="shared" si="2296"/>
        <v>0</v>
      </c>
      <c r="M3190" s="317"/>
      <c r="N3190" s="372">
        <f t="shared" si="2301"/>
        <v>29000</v>
      </c>
      <c r="O3190" s="336">
        <f t="shared" si="2325"/>
        <v>0</v>
      </c>
      <c r="P3190" s="319">
        <f t="shared" si="2331"/>
        <v>0</v>
      </c>
      <c r="Q3190" s="303" t="s">
        <v>2534</v>
      </c>
      <c r="R3190" s="317"/>
      <c r="U3190" s="320"/>
    </row>
    <row r="3191" spans="1:21" outlineLevel="2">
      <c r="A3191" s="338"/>
      <c r="B3191" s="612"/>
      <c r="C3191" s="340">
        <v>2210200</v>
      </c>
      <c r="D3191" s="338" t="s">
        <v>20</v>
      </c>
      <c r="E3191" s="397">
        <f>SUM(E3192)</f>
        <v>17400</v>
      </c>
      <c r="F3191" s="397">
        <f t="shared" ref="F3191:K3191" si="2333">SUM(F3192)</f>
        <v>0</v>
      </c>
      <c r="G3191" s="397">
        <f t="shared" si="2333"/>
        <v>0</v>
      </c>
      <c r="H3191" s="397">
        <f t="shared" si="2333"/>
        <v>0</v>
      </c>
      <c r="I3191" s="397">
        <f t="shared" si="2333"/>
        <v>17400</v>
      </c>
      <c r="J3191" s="397">
        <f t="shared" si="2333"/>
        <v>0</v>
      </c>
      <c r="K3191" s="397">
        <f t="shared" si="2333"/>
        <v>29000</v>
      </c>
      <c r="L3191" s="317">
        <f t="shared" si="2296"/>
        <v>46400</v>
      </c>
      <c r="M3191" s="317"/>
      <c r="N3191" s="372">
        <f t="shared" si="2301"/>
        <v>-29000</v>
      </c>
      <c r="O3191" s="397">
        <f t="shared" ref="O3191:P3191" si="2334">SUM(O3192)</f>
        <v>51040.000000000007</v>
      </c>
      <c r="P3191" s="397">
        <f t="shared" si="2334"/>
        <v>56144.000000000015</v>
      </c>
      <c r="R3191" s="317"/>
      <c r="U3191" s="320"/>
    </row>
    <row r="3192" spans="1:21" outlineLevel="2">
      <c r="A3192" s="611"/>
      <c r="B3192" s="611"/>
      <c r="C3192" s="332">
        <v>2210201</v>
      </c>
      <c r="D3192" s="330" t="s">
        <v>187</v>
      </c>
      <c r="E3192" s="389">
        <v>17400</v>
      </c>
      <c r="F3192" s="389"/>
      <c r="G3192" s="389"/>
      <c r="H3192" s="389"/>
      <c r="I3192" s="324">
        <f t="shared" si="2311"/>
        <v>17400</v>
      </c>
      <c r="J3192" s="389"/>
      <c r="K3192" s="389">
        <v>29000</v>
      </c>
      <c r="L3192" s="317">
        <f t="shared" si="2296"/>
        <v>46400</v>
      </c>
      <c r="M3192" s="317"/>
      <c r="N3192" s="372">
        <f t="shared" si="2301"/>
        <v>-29000</v>
      </c>
      <c r="O3192" s="336">
        <f t="shared" si="2325"/>
        <v>51040.000000000007</v>
      </c>
      <c r="P3192" s="319">
        <f t="shared" si="2331"/>
        <v>56144.000000000015</v>
      </c>
      <c r="Q3192" s="303" t="s">
        <v>2549</v>
      </c>
      <c r="R3192" s="317"/>
      <c r="U3192" s="320"/>
    </row>
    <row r="3193" spans="1:21" outlineLevel="2">
      <c r="A3193" s="612"/>
      <c r="B3193" s="612"/>
      <c r="C3193" s="340">
        <v>2210300</v>
      </c>
      <c r="D3193" s="338" t="s">
        <v>24</v>
      </c>
      <c r="E3193" s="397">
        <f>SUM(E3194:E3195)</f>
        <v>174000</v>
      </c>
      <c r="F3193" s="397">
        <f t="shared" ref="F3193:P3193" si="2335">SUM(F3194:F3195)</f>
        <v>0</v>
      </c>
      <c r="G3193" s="397">
        <f t="shared" si="2335"/>
        <v>0</v>
      </c>
      <c r="H3193" s="397">
        <f t="shared" si="2335"/>
        <v>0</v>
      </c>
      <c r="I3193" s="397">
        <f t="shared" si="2335"/>
        <v>174000</v>
      </c>
      <c r="J3193" s="397">
        <f t="shared" si="2335"/>
        <v>0</v>
      </c>
      <c r="K3193" s="397">
        <f t="shared" si="2335"/>
        <v>0</v>
      </c>
      <c r="L3193" s="317">
        <f t="shared" si="2296"/>
        <v>174000</v>
      </c>
      <c r="M3193" s="317"/>
      <c r="N3193" s="372">
        <f t="shared" si="2301"/>
        <v>0</v>
      </c>
      <c r="O3193" s="397">
        <f t="shared" si="2335"/>
        <v>191400.00000000003</v>
      </c>
      <c r="P3193" s="397">
        <f t="shared" si="2335"/>
        <v>210540.00000000006</v>
      </c>
      <c r="R3193" s="317"/>
      <c r="U3193" s="320"/>
    </row>
    <row r="3194" spans="1:21" outlineLevel="2">
      <c r="A3194" s="611"/>
      <c r="B3194" s="611"/>
      <c r="C3194" s="332">
        <v>2210302</v>
      </c>
      <c r="D3194" s="330" t="s">
        <v>26</v>
      </c>
      <c r="E3194" s="389">
        <v>87000</v>
      </c>
      <c r="F3194" s="389"/>
      <c r="G3194" s="389"/>
      <c r="H3194" s="389"/>
      <c r="I3194" s="324">
        <f t="shared" si="2311"/>
        <v>87000</v>
      </c>
      <c r="J3194" s="389"/>
      <c r="K3194" s="389"/>
      <c r="L3194" s="317">
        <f t="shared" si="2296"/>
        <v>87000</v>
      </c>
      <c r="M3194" s="317"/>
      <c r="N3194" s="372">
        <f t="shared" si="2301"/>
        <v>0</v>
      </c>
      <c r="O3194" s="336">
        <f t="shared" si="2325"/>
        <v>95700.000000000015</v>
      </c>
      <c r="P3194" s="319">
        <f t="shared" si="2331"/>
        <v>105270.00000000003</v>
      </c>
      <c r="R3194" s="317"/>
      <c r="U3194" s="320"/>
    </row>
    <row r="3195" spans="1:21" outlineLevel="2">
      <c r="A3195" s="611"/>
      <c r="B3195" s="611"/>
      <c r="C3195" s="332">
        <v>2210303</v>
      </c>
      <c r="D3195" s="330" t="s">
        <v>223</v>
      </c>
      <c r="E3195" s="389">
        <v>87000</v>
      </c>
      <c r="F3195" s="389"/>
      <c r="G3195" s="389"/>
      <c r="H3195" s="389"/>
      <c r="I3195" s="324">
        <f t="shared" si="2311"/>
        <v>87000</v>
      </c>
      <c r="J3195" s="389"/>
      <c r="K3195" s="389"/>
      <c r="L3195" s="317">
        <f t="shared" si="2296"/>
        <v>87000</v>
      </c>
      <c r="M3195" s="317"/>
      <c r="N3195" s="372">
        <f t="shared" si="2301"/>
        <v>0</v>
      </c>
      <c r="O3195" s="336">
        <f t="shared" si="2325"/>
        <v>95700.000000000015</v>
      </c>
      <c r="P3195" s="319">
        <f t="shared" si="2331"/>
        <v>105270.00000000003</v>
      </c>
      <c r="R3195" s="317"/>
      <c r="U3195" s="320"/>
    </row>
    <row r="3196" spans="1:21" outlineLevel="2">
      <c r="A3196" s="612"/>
      <c r="B3196" s="612"/>
      <c r="C3196" s="340">
        <v>2210500</v>
      </c>
      <c r="D3196" s="338" t="s">
        <v>31</v>
      </c>
      <c r="E3196" s="397">
        <f>SUM(E3197)</f>
        <v>29000</v>
      </c>
      <c r="F3196" s="397">
        <f t="shared" ref="F3196:P3196" si="2336">SUM(F3197)</f>
        <v>0</v>
      </c>
      <c r="G3196" s="397">
        <f t="shared" si="2336"/>
        <v>0</v>
      </c>
      <c r="H3196" s="397">
        <f t="shared" si="2336"/>
        <v>0</v>
      </c>
      <c r="I3196" s="397">
        <f t="shared" si="2336"/>
        <v>29000</v>
      </c>
      <c r="J3196" s="397">
        <f t="shared" si="2336"/>
        <v>0</v>
      </c>
      <c r="K3196" s="397">
        <f t="shared" si="2336"/>
        <v>0</v>
      </c>
      <c r="L3196" s="317">
        <f t="shared" si="2296"/>
        <v>29000</v>
      </c>
      <c r="M3196" s="317"/>
      <c r="N3196" s="372">
        <f t="shared" si="2301"/>
        <v>0</v>
      </c>
      <c r="O3196" s="397">
        <f t="shared" si="2336"/>
        <v>31900.000000000004</v>
      </c>
      <c r="P3196" s="397">
        <f t="shared" si="2336"/>
        <v>35090.000000000007</v>
      </c>
      <c r="R3196" s="317"/>
      <c r="U3196" s="320"/>
    </row>
    <row r="3197" spans="1:21" outlineLevel="2">
      <c r="A3197" s="611"/>
      <c r="B3197" s="611"/>
      <c r="C3197" s="332">
        <v>2210503</v>
      </c>
      <c r="D3197" s="330" t="s">
        <v>32</v>
      </c>
      <c r="E3197" s="389">
        <v>29000</v>
      </c>
      <c r="F3197" s="389"/>
      <c r="G3197" s="389"/>
      <c r="H3197" s="389"/>
      <c r="I3197" s="324">
        <f t="shared" si="2311"/>
        <v>29000</v>
      </c>
      <c r="J3197" s="389"/>
      <c r="K3197" s="389"/>
      <c r="L3197" s="317">
        <f t="shared" si="2296"/>
        <v>29000</v>
      </c>
      <c r="M3197" s="317"/>
      <c r="N3197" s="372">
        <f t="shared" si="2301"/>
        <v>0</v>
      </c>
      <c r="O3197" s="336">
        <f t="shared" si="2325"/>
        <v>31900.000000000004</v>
      </c>
      <c r="P3197" s="319">
        <f t="shared" si="2331"/>
        <v>35090.000000000007</v>
      </c>
      <c r="R3197" s="317"/>
      <c r="U3197" s="320"/>
    </row>
    <row r="3198" spans="1:21" outlineLevel="2">
      <c r="A3198" s="612"/>
      <c r="B3198" s="612"/>
      <c r="C3198" s="340">
        <v>2210800</v>
      </c>
      <c r="D3198" s="338" t="s">
        <v>42</v>
      </c>
      <c r="E3198" s="397">
        <f>SUM(E3199:E3200)</f>
        <v>162400</v>
      </c>
      <c r="F3198" s="397">
        <f t="shared" ref="F3198:K3198" si="2337">SUM(F3199:F3200)</f>
        <v>0</v>
      </c>
      <c r="G3198" s="397">
        <f t="shared" si="2337"/>
        <v>0</v>
      </c>
      <c r="H3198" s="397">
        <f t="shared" si="2337"/>
        <v>0</v>
      </c>
      <c r="I3198" s="397">
        <f t="shared" si="2337"/>
        <v>162400</v>
      </c>
      <c r="J3198" s="397">
        <f t="shared" si="2337"/>
        <v>0</v>
      </c>
      <c r="K3198" s="397">
        <f t="shared" si="2337"/>
        <v>0</v>
      </c>
      <c r="L3198" s="317">
        <f t="shared" si="2296"/>
        <v>162400</v>
      </c>
      <c r="M3198" s="317"/>
      <c r="N3198" s="372">
        <f t="shared" si="2301"/>
        <v>0</v>
      </c>
      <c r="O3198" s="397">
        <f t="shared" ref="O3198:P3198" si="2338">SUM(O3199:O3200)</f>
        <v>178640</v>
      </c>
      <c r="P3198" s="397">
        <f t="shared" si="2338"/>
        <v>196504.00000000006</v>
      </c>
      <c r="R3198" s="317"/>
      <c r="U3198" s="320"/>
    </row>
    <row r="3199" spans="1:21" s="337" customFormat="1" outlineLevel="2">
      <c r="A3199" s="611"/>
      <c r="B3199" s="611"/>
      <c r="C3199" s="332">
        <v>2210801</v>
      </c>
      <c r="D3199" s="330" t="s">
        <v>2421</v>
      </c>
      <c r="E3199" s="389">
        <v>87000</v>
      </c>
      <c r="F3199" s="389"/>
      <c r="G3199" s="389"/>
      <c r="H3199" s="389"/>
      <c r="I3199" s="324">
        <f t="shared" si="2311"/>
        <v>87000</v>
      </c>
      <c r="J3199" s="389"/>
      <c r="K3199" s="389"/>
      <c r="L3199" s="317">
        <f t="shared" si="2296"/>
        <v>87000</v>
      </c>
      <c r="M3199" s="317"/>
      <c r="N3199" s="372">
        <f t="shared" si="2301"/>
        <v>0</v>
      </c>
      <c r="O3199" s="336">
        <f t="shared" si="2325"/>
        <v>95700.000000000015</v>
      </c>
      <c r="P3199" s="319">
        <f t="shared" si="2331"/>
        <v>105270.00000000003</v>
      </c>
      <c r="R3199" s="317"/>
      <c r="U3199" s="320"/>
    </row>
    <row r="3200" spans="1:21" outlineLevel="2">
      <c r="A3200" s="611"/>
      <c r="B3200" s="611"/>
      <c r="C3200" s="332">
        <v>2210802</v>
      </c>
      <c r="D3200" s="330" t="s">
        <v>97</v>
      </c>
      <c r="E3200" s="389">
        <v>75400</v>
      </c>
      <c r="F3200" s="389"/>
      <c r="G3200" s="389"/>
      <c r="H3200" s="389"/>
      <c r="I3200" s="324">
        <f t="shared" si="2311"/>
        <v>75400</v>
      </c>
      <c r="J3200" s="389"/>
      <c r="K3200" s="389"/>
      <c r="L3200" s="317">
        <f t="shared" si="2296"/>
        <v>75400</v>
      </c>
      <c r="M3200" s="317"/>
      <c r="N3200" s="372">
        <f t="shared" si="2301"/>
        <v>0</v>
      </c>
      <c r="O3200" s="336">
        <f t="shared" si="2325"/>
        <v>82940</v>
      </c>
      <c r="P3200" s="319">
        <f t="shared" ref="P3200:P3204" si="2339">O3200*1.1</f>
        <v>91234.000000000015</v>
      </c>
      <c r="R3200" s="317"/>
      <c r="U3200" s="320"/>
    </row>
    <row r="3201" spans="1:21" outlineLevel="2">
      <c r="A3201" s="612"/>
      <c r="B3201" s="612"/>
      <c r="C3201" s="340">
        <v>2640400</v>
      </c>
      <c r="D3201" s="338" t="s">
        <v>422</v>
      </c>
      <c r="E3201" s="397">
        <f>E3202</f>
        <v>1728980</v>
      </c>
      <c r="F3201" s="397">
        <f t="shared" ref="F3201:P3201" si="2340">F3202</f>
        <v>568500</v>
      </c>
      <c r="G3201" s="397">
        <f t="shared" si="2340"/>
        <v>0</v>
      </c>
      <c r="H3201" s="397">
        <f t="shared" si="2340"/>
        <v>0</v>
      </c>
      <c r="I3201" s="397">
        <f t="shared" si="2340"/>
        <v>2297480</v>
      </c>
      <c r="J3201" s="397">
        <f t="shared" si="2340"/>
        <v>0</v>
      </c>
      <c r="K3201" s="397">
        <f t="shared" si="2340"/>
        <v>0</v>
      </c>
      <c r="L3201" s="317">
        <f t="shared" si="2296"/>
        <v>2297480</v>
      </c>
      <c r="M3201" s="317"/>
      <c r="N3201" s="372">
        <f t="shared" si="2301"/>
        <v>0</v>
      </c>
      <c r="O3201" s="397">
        <f t="shared" si="2340"/>
        <v>2527228</v>
      </c>
      <c r="P3201" s="397">
        <f t="shared" si="2340"/>
        <v>2779950.8000000003</v>
      </c>
      <c r="R3201" s="317"/>
      <c r="U3201" s="320"/>
    </row>
    <row r="3202" spans="1:21" outlineLevel="2">
      <c r="A3202" s="611"/>
      <c r="B3202" s="611"/>
      <c r="C3202" s="332">
        <v>2640402</v>
      </c>
      <c r="D3202" s="330" t="s">
        <v>612</v>
      </c>
      <c r="E3202" s="389">
        <v>1728980</v>
      </c>
      <c r="F3202" s="389">
        <v>568500</v>
      </c>
      <c r="G3202" s="389"/>
      <c r="H3202" s="389"/>
      <c r="I3202" s="324">
        <f t="shared" si="2311"/>
        <v>2297480</v>
      </c>
      <c r="J3202" s="389"/>
      <c r="K3202" s="389"/>
      <c r="L3202" s="317">
        <f t="shared" si="2296"/>
        <v>2297480</v>
      </c>
      <c r="M3202" s="317"/>
      <c r="N3202" s="372">
        <f t="shared" si="2301"/>
        <v>0</v>
      </c>
      <c r="O3202" s="336">
        <f t="shared" si="2325"/>
        <v>2527228</v>
      </c>
      <c r="P3202" s="319">
        <f t="shared" si="2339"/>
        <v>2779950.8000000003</v>
      </c>
      <c r="R3202" s="317"/>
      <c r="U3202" s="320"/>
    </row>
    <row r="3203" spans="1:21" outlineLevel="1">
      <c r="A3203" s="617"/>
      <c r="B3203" s="617"/>
      <c r="C3203" s="314"/>
      <c r="D3203" s="447" t="s">
        <v>99</v>
      </c>
      <c r="E3203" s="438">
        <f>E3198+E3196+E3193+E3191+E3189+E3201</f>
        <v>2140780</v>
      </c>
      <c r="F3203" s="438">
        <f t="shared" ref="F3203:P3203" si="2341">F3198+F3196+F3193+F3191+F3189+F3201</f>
        <v>568500</v>
      </c>
      <c r="G3203" s="438">
        <f t="shared" si="2341"/>
        <v>0</v>
      </c>
      <c r="H3203" s="438">
        <f t="shared" si="2341"/>
        <v>0</v>
      </c>
      <c r="I3203" s="438">
        <f t="shared" si="2341"/>
        <v>2709280</v>
      </c>
      <c r="J3203" s="438">
        <f t="shared" si="2341"/>
        <v>0</v>
      </c>
      <c r="K3203" s="438">
        <f t="shared" si="2341"/>
        <v>0</v>
      </c>
      <c r="L3203" s="317">
        <f t="shared" si="2296"/>
        <v>2709280</v>
      </c>
      <c r="M3203" s="317"/>
      <c r="N3203" s="372">
        <f t="shared" si="2301"/>
        <v>0</v>
      </c>
      <c r="O3203" s="438">
        <f t="shared" si="2341"/>
        <v>2980208</v>
      </c>
      <c r="P3203" s="438">
        <f t="shared" si="2341"/>
        <v>3278228.8000000003</v>
      </c>
      <c r="R3203" s="317"/>
      <c r="U3203" s="320"/>
    </row>
    <row r="3204" spans="1:21" outlineLevel="1">
      <c r="A3204" s="611"/>
      <c r="B3204" s="611"/>
      <c r="C3204" s="332"/>
      <c r="D3204" s="330"/>
      <c r="E3204" s="389"/>
      <c r="F3204" s="389"/>
      <c r="G3204" s="389"/>
      <c r="H3204" s="389"/>
      <c r="I3204" s="324">
        <f t="shared" si="2311"/>
        <v>0</v>
      </c>
      <c r="J3204" s="389"/>
      <c r="K3204" s="389"/>
      <c r="L3204" s="317">
        <f t="shared" si="2296"/>
        <v>0</v>
      </c>
      <c r="M3204" s="317"/>
      <c r="N3204" s="372">
        <f t="shared" si="2301"/>
        <v>0</v>
      </c>
      <c r="O3204" s="336">
        <f t="shared" si="2325"/>
        <v>0</v>
      </c>
      <c r="P3204" s="319">
        <f t="shared" si="2339"/>
        <v>0</v>
      </c>
      <c r="R3204" s="317"/>
      <c r="U3204" s="320"/>
    </row>
    <row r="3205" spans="1:21" outlineLevel="1" collapsed="1">
      <c r="A3205" s="612"/>
      <c r="B3205" s="612"/>
      <c r="C3205" s="340"/>
      <c r="D3205" s="447" t="s">
        <v>613</v>
      </c>
      <c r="E3205" s="438">
        <f>E3203</f>
        <v>2140780</v>
      </c>
      <c r="F3205" s="438">
        <f t="shared" ref="F3205:P3205" si="2342">F3203</f>
        <v>568500</v>
      </c>
      <c r="G3205" s="438">
        <f t="shared" si="2342"/>
        <v>0</v>
      </c>
      <c r="H3205" s="438">
        <f t="shared" si="2342"/>
        <v>0</v>
      </c>
      <c r="I3205" s="438">
        <f t="shared" si="2342"/>
        <v>2709280</v>
      </c>
      <c r="J3205" s="438">
        <f t="shared" si="2342"/>
        <v>0</v>
      </c>
      <c r="K3205" s="438">
        <f t="shared" si="2342"/>
        <v>0</v>
      </c>
      <c r="L3205" s="317">
        <f t="shared" ref="L3205:L3268" si="2343">I3205+J3205+K3205</f>
        <v>2709280</v>
      </c>
      <c r="M3205" s="317"/>
      <c r="N3205" s="372">
        <f t="shared" si="2301"/>
        <v>0</v>
      </c>
      <c r="O3205" s="438">
        <f t="shared" si="2342"/>
        <v>2980208</v>
      </c>
      <c r="P3205" s="438">
        <f t="shared" si="2342"/>
        <v>3278228.8000000003</v>
      </c>
      <c r="R3205" s="317"/>
      <c r="U3205" s="320"/>
    </row>
    <row r="3206" spans="1:21" outlineLevel="1">
      <c r="A3206" s="612"/>
      <c r="B3206" s="612"/>
      <c r="C3206" s="340"/>
      <c r="D3206" s="447" t="s">
        <v>614</v>
      </c>
      <c r="E3206" s="438">
        <f>E3205+E3186+E3157+E3120</f>
        <v>41454197.600000001</v>
      </c>
      <c r="F3206" s="438">
        <f t="shared" ref="F3206:K3206" si="2344">F3205+F3186+F3157+F3120</f>
        <v>9430577</v>
      </c>
      <c r="G3206" s="438">
        <f t="shared" si="2344"/>
        <v>-7679600</v>
      </c>
      <c r="H3206" s="438">
        <f t="shared" si="2344"/>
        <v>7279600</v>
      </c>
      <c r="I3206" s="438">
        <f t="shared" si="2344"/>
        <v>50484774.600000001</v>
      </c>
      <c r="J3206" s="438">
        <f t="shared" si="2344"/>
        <v>0</v>
      </c>
      <c r="K3206" s="438">
        <f t="shared" si="2344"/>
        <v>-4169800</v>
      </c>
      <c r="L3206" s="317">
        <f t="shared" si="2343"/>
        <v>46314974.600000001</v>
      </c>
      <c r="M3206" s="317"/>
      <c r="N3206" s="372">
        <f t="shared" si="2301"/>
        <v>4169800</v>
      </c>
      <c r="O3206" s="438">
        <f t="shared" ref="O3206:P3206" si="2345">O3205+O3186+O3157+O3120</f>
        <v>50946472.060000002</v>
      </c>
      <c r="P3206" s="438">
        <f t="shared" si="2345"/>
        <v>56041119.266000003</v>
      </c>
      <c r="R3206" s="317"/>
      <c r="U3206" s="320"/>
    </row>
    <row r="3207" spans="1:21">
      <c r="A3207" s="1037"/>
      <c r="B3207" s="617"/>
      <c r="C3207" s="314"/>
      <c r="D3207" s="447" t="s">
        <v>406</v>
      </c>
      <c r="E3207" s="438">
        <f>E3203+E3185+E3152+E3113+E3066+E3040+E2994+E2909+E2959</f>
        <v>137730923.74000001</v>
      </c>
      <c r="F3207" s="438">
        <f t="shared" ref="F3207:P3207" si="2346">F3203+F3185+F3152+F3113+F3066+F3040+F2994+F2909+F2959</f>
        <v>8431979</v>
      </c>
      <c r="G3207" s="438">
        <f t="shared" si="2346"/>
        <v>-12679600</v>
      </c>
      <c r="H3207" s="438">
        <f t="shared" si="2346"/>
        <v>33679600</v>
      </c>
      <c r="I3207" s="438">
        <f t="shared" si="2346"/>
        <v>167162902.74000001</v>
      </c>
      <c r="J3207" s="438">
        <f t="shared" si="2346"/>
        <v>3422403</v>
      </c>
      <c r="K3207" s="438">
        <f t="shared" si="2346"/>
        <v>-456518</v>
      </c>
      <c r="L3207" s="438">
        <f t="shared" si="2346"/>
        <v>170128787.74000001</v>
      </c>
      <c r="M3207" s="438"/>
      <c r="N3207" s="372">
        <f t="shared" si="2301"/>
        <v>456518</v>
      </c>
      <c r="O3207" s="438">
        <f t="shared" si="2346"/>
        <v>186426666.514</v>
      </c>
      <c r="P3207" s="438">
        <f t="shared" si="2346"/>
        <v>201168414.16540003</v>
      </c>
      <c r="R3207" s="438"/>
      <c r="U3207" s="1038"/>
    </row>
    <row r="3208" spans="1:21">
      <c r="A3208" s="1037"/>
      <c r="B3208" s="617"/>
      <c r="C3208" s="314"/>
      <c r="D3208" s="447" t="s">
        <v>175</v>
      </c>
      <c r="E3208" s="438">
        <f>E3156+E3119+E3073+E3001+E2963</f>
        <v>68560406</v>
      </c>
      <c r="F3208" s="438">
        <f t="shared" ref="F3208:P3208" si="2347">F3156+F3119+F3073+F3001+F2963</f>
        <v>13939639.476212207</v>
      </c>
      <c r="G3208" s="438">
        <f t="shared" si="2347"/>
        <v>-20000000</v>
      </c>
      <c r="H3208" s="438">
        <f t="shared" si="2347"/>
        <v>-19000000</v>
      </c>
      <c r="I3208" s="438">
        <f t="shared" si="2347"/>
        <v>43500045.476212204</v>
      </c>
      <c r="J3208" s="438">
        <f t="shared" si="2347"/>
        <v>0</v>
      </c>
      <c r="K3208" s="438">
        <f t="shared" si="2347"/>
        <v>456518</v>
      </c>
      <c r="L3208" s="438">
        <f t="shared" si="2347"/>
        <v>43956563.476212204</v>
      </c>
      <c r="M3208" s="438"/>
      <c r="N3208" s="372">
        <f t="shared" si="2301"/>
        <v>-456518</v>
      </c>
      <c r="O3208" s="438">
        <f t="shared" si="2347"/>
        <v>38633827.623833425</v>
      </c>
      <c r="P3208" s="438">
        <f t="shared" si="2347"/>
        <v>30397210.386216771</v>
      </c>
      <c r="R3208" s="438"/>
      <c r="U3208" s="1038"/>
    </row>
    <row r="3209" spans="1:21">
      <c r="A3209" s="1037"/>
      <c r="B3209" s="617"/>
      <c r="C3209" s="758" t="s">
        <v>1273</v>
      </c>
      <c r="D3209" s="759"/>
      <c r="E3209" s="438">
        <f>E3208+E3207</f>
        <v>206291329.74000001</v>
      </c>
      <c r="F3209" s="438">
        <f t="shared" ref="F3209:P3209" si="2348">F3208+F3207</f>
        <v>22371618.476212207</v>
      </c>
      <c r="G3209" s="438">
        <f t="shared" si="2348"/>
        <v>-32679600</v>
      </c>
      <c r="H3209" s="438">
        <f t="shared" si="2348"/>
        <v>14679600</v>
      </c>
      <c r="I3209" s="438">
        <f t="shared" si="2348"/>
        <v>210662948.21621221</v>
      </c>
      <c r="J3209" s="438">
        <f t="shared" si="2348"/>
        <v>3422403</v>
      </c>
      <c r="K3209" s="438">
        <f t="shared" si="2348"/>
        <v>0</v>
      </c>
      <c r="L3209" s="438">
        <f t="shared" si="2348"/>
        <v>214085351.21621221</v>
      </c>
      <c r="M3209" s="438"/>
      <c r="N3209" s="372">
        <f t="shared" ref="N3209:N3272" si="2349">M3209-K3209</f>
        <v>0</v>
      </c>
      <c r="O3209" s="438">
        <f t="shared" si="2348"/>
        <v>225060494.13783342</v>
      </c>
      <c r="P3209" s="438">
        <f t="shared" si="2348"/>
        <v>231565624.55161679</v>
      </c>
      <c r="Q3209" s="303">
        <v>3422403</v>
      </c>
      <c r="R3209" s="438">
        <f>J3209+K3209+Q3209</f>
        <v>6844806</v>
      </c>
      <c r="U3209" s="1038" t="s">
        <v>1803</v>
      </c>
    </row>
    <row r="3210" spans="1:21" s="344" customFormat="1">
      <c r="A3210" s="897"/>
      <c r="B3210" s="897"/>
      <c r="C3210" s="332"/>
      <c r="D3210" s="330"/>
      <c r="E3210" s="422"/>
      <c r="F3210" s="389"/>
      <c r="G3210" s="389"/>
      <c r="H3210" s="389"/>
      <c r="I3210" s="324">
        <f t="shared" si="2311"/>
        <v>0</v>
      </c>
      <c r="J3210" s="389"/>
      <c r="K3210" s="389"/>
      <c r="L3210" s="317"/>
      <c r="M3210" s="317"/>
      <c r="N3210" s="372">
        <f t="shared" si="2349"/>
        <v>0</v>
      </c>
      <c r="O3210" s="336">
        <f t="shared" si="2325"/>
        <v>0</v>
      </c>
      <c r="P3210" s="319"/>
      <c r="R3210" s="317"/>
      <c r="U3210" s="320"/>
    </row>
    <row r="3211" spans="1:21" s="344" customFormat="1">
      <c r="A3211" s="1039"/>
      <c r="B3211" s="1039"/>
      <c r="C3211" s="659"/>
      <c r="D3211" s="352"/>
      <c r="E3211" s="1040"/>
      <c r="F3211" s="661"/>
      <c r="G3211" s="661"/>
      <c r="H3211" s="661"/>
      <c r="I3211" s="324">
        <f t="shared" si="2311"/>
        <v>0</v>
      </c>
      <c r="J3211" s="661"/>
      <c r="K3211" s="661"/>
      <c r="L3211" s="317"/>
      <c r="M3211" s="317"/>
      <c r="N3211" s="372">
        <f t="shared" si="2349"/>
        <v>0</v>
      </c>
      <c r="O3211" s="336">
        <f t="shared" si="2325"/>
        <v>0</v>
      </c>
      <c r="P3211" s="319"/>
      <c r="R3211" s="317"/>
      <c r="U3211" s="320"/>
    </row>
    <row r="3212" spans="1:21" s="344" customFormat="1">
      <c r="A3212" s="345"/>
      <c r="B3212" s="345"/>
      <c r="C3212" s="314" t="s">
        <v>1257</v>
      </c>
      <c r="D3212" s="447"/>
      <c r="E3212" s="438"/>
      <c r="F3212" s="438"/>
      <c r="G3212" s="438"/>
      <c r="H3212" s="438"/>
      <c r="I3212" s="324">
        <f t="shared" si="2311"/>
        <v>0</v>
      </c>
      <c r="J3212" s="438"/>
      <c r="K3212" s="438"/>
      <c r="L3212" s="317"/>
      <c r="M3212" s="317"/>
      <c r="N3212" s="372">
        <f t="shared" si="2349"/>
        <v>0</v>
      </c>
      <c r="O3212" s="336">
        <f t="shared" si="2325"/>
        <v>0</v>
      </c>
      <c r="P3212" s="319"/>
      <c r="R3212" s="317"/>
      <c r="U3212" s="320" t="s">
        <v>1803</v>
      </c>
    </row>
    <row r="3213" spans="1:21" s="344" customFormat="1" outlineLevel="1">
      <c r="A3213" s="1041"/>
      <c r="B3213" s="1041"/>
      <c r="C3213" s="1042" t="s">
        <v>615</v>
      </c>
      <c r="D3213" s="1043"/>
      <c r="E3213" s="1044"/>
      <c r="F3213" s="1044"/>
      <c r="G3213" s="1044"/>
      <c r="H3213" s="1044"/>
      <c r="I3213" s="324">
        <f t="shared" si="2311"/>
        <v>0</v>
      </c>
      <c r="J3213" s="1044"/>
      <c r="K3213" s="1044"/>
      <c r="L3213" s="317">
        <f t="shared" si="2343"/>
        <v>0</v>
      </c>
      <c r="M3213" s="317"/>
      <c r="N3213" s="372">
        <f t="shared" si="2349"/>
        <v>0</v>
      </c>
      <c r="O3213" s="336">
        <f t="shared" si="2325"/>
        <v>0</v>
      </c>
      <c r="P3213" s="319">
        <f t="shared" ref="P3213:P3232" si="2350">O3213*1.1</f>
        <v>0</v>
      </c>
      <c r="R3213" s="317"/>
      <c r="U3213" s="320"/>
    </row>
    <row r="3214" spans="1:21" s="344" customFormat="1" outlineLevel="1">
      <c r="A3214" s="345"/>
      <c r="B3214" s="345"/>
      <c r="C3214" s="340" t="s">
        <v>616</v>
      </c>
      <c r="D3214" s="338"/>
      <c r="E3214" s="397"/>
      <c r="F3214" s="397"/>
      <c r="G3214" s="397"/>
      <c r="H3214" s="397"/>
      <c r="I3214" s="324">
        <f t="shared" si="2311"/>
        <v>0</v>
      </c>
      <c r="J3214" s="397"/>
      <c r="K3214" s="397"/>
      <c r="L3214" s="317">
        <f t="shared" si="2343"/>
        <v>0</v>
      </c>
      <c r="M3214" s="317"/>
      <c r="N3214" s="372">
        <f t="shared" si="2349"/>
        <v>0</v>
      </c>
      <c r="O3214" s="336">
        <f t="shared" si="2325"/>
        <v>0</v>
      </c>
      <c r="P3214" s="319">
        <f t="shared" si="2350"/>
        <v>0</v>
      </c>
      <c r="R3214" s="317"/>
      <c r="U3214" s="320"/>
    </row>
    <row r="3215" spans="1:21" s="344" customFormat="1" outlineLevel="2">
      <c r="A3215" s="506"/>
      <c r="B3215" s="506"/>
      <c r="C3215" s="583">
        <v>2110100</v>
      </c>
      <c r="D3215" s="493" t="s">
        <v>13</v>
      </c>
      <c r="E3215" s="858">
        <f>E3216</f>
        <v>221180851</v>
      </c>
      <c r="F3215" s="858">
        <f t="shared" ref="F3215:K3215" si="2351">F3216</f>
        <v>0</v>
      </c>
      <c r="G3215" s="858">
        <f t="shared" si="2351"/>
        <v>0</v>
      </c>
      <c r="H3215" s="858">
        <f t="shared" si="2351"/>
        <v>0</v>
      </c>
      <c r="I3215" s="858">
        <f t="shared" si="2351"/>
        <v>221180851</v>
      </c>
      <c r="J3215" s="858">
        <f t="shared" si="2351"/>
        <v>0</v>
      </c>
      <c r="K3215" s="858">
        <f t="shared" si="2351"/>
        <v>0</v>
      </c>
      <c r="L3215" s="317">
        <f t="shared" si="2343"/>
        <v>221180851</v>
      </c>
      <c r="M3215" s="2211"/>
      <c r="N3215" s="372">
        <f t="shared" si="2349"/>
        <v>0</v>
      </c>
      <c r="O3215" s="858">
        <f t="shared" ref="O3215:P3215" si="2352">O3216</f>
        <v>243298936.10000002</v>
      </c>
      <c r="P3215" s="858">
        <f t="shared" si="2352"/>
        <v>267628829.71000004</v>
      </c>
      <c r="R3215" s="317"/>
      <c r="U3215" s="320"/>
    </row>
    <row r="3216" spans="1:21" s="344" customFormat="1" outlineLevel="2">
      <c r="A3216" s="345"/>
      <c r="B3216" s="345"/>
      <c r="C3216" s="405">
        <v>2110101</v>
      </c>
      <c r="D3216" s="345" t="s">
        <v>14</v>
      </c>
      <c r="E3216" s="406">
        <v>221180851</v>
      </c>
      <c r="F3216" s="406"/>
      <c r="G3216" s="406"/>
      <c r="H3216" s="406"/>
      <c r="I3216" s="324">
        <f t="shared" si="2311"/>
        <v>221180851</v>
      </c>
      <c r="J3216" s="406"/>
      <c r="K3216" s="406"/>
      <c r="L3216" s="317">
        <f t="shared" si="2343"/>
        <v>221180851</v>
      </c>
      <c r="M3216" s="317"/>
      <c r="N3216" s="372">
        <f t="shared" si="2349"/>
        <v>0</v>
      </c>
      <c r="O3216" s="336">
        <f t="shared" si="2325"/>
        <v>243298936.10000002</v>
      </c>
      <c r="P3216" s="319">
        <f t="shared" si="2350"/>
        <v>267628829.71000004</v>
      </c>
      <c r="R3216" s="317"/>
      <c r="U3216" s="320"/>
    </row>
    <row r="3217" spans="1:21" s="344" customFormat="1" outlineLevel="2">
      <c r="A3217" s="345"/>
      <c r="B3217" s="345"/>
      <c r="C3217" s="328">
        <v>2120100</v>
      </c>
      <c r="D3217" s="326" t="s">
        <v>184</v>
      </c>
      <c r="E3217" s="461">
        <f>E3218</f>
        <v>124089.5</v>
      </c>
      <c r="F3217" s="461">
        <f t="shared" ref="F3217:K3217" si="2353">F3218</f>
        <v>0</v>
      </c>
      <c r="G3217" s="461">
        <f t="shared" si="2353"/>
        <v>0</v>
      </c>
      <c r="H3217" s="461">
        <f t="shared" si="2353"/>
        <v>0</v>
      </c>
      <c r="I3217" s="461">
        <f t="shared" si="2353"/>
        <v>124089.5</v>
      </c>
      <c r="J3217" s="461">
        <f t="shared" si="2353"/>
        <v>0</v>
      </c>
      <c r="K3217" s="461">
        <f t="shared" si="2353"/>
        <v>0</v>
      </c>
      <c r="L3217" s="317">
        <f t="shared" si="2343"/>
        <v>124089.5</v>
      </c>
      <c r="M3217" s="317"/>
      <c r="N3217" s="372">
        <f t="shared" si="2349"/>
        <v>0</v>
      </c>
      <c r="O3217" s="461">
        <f t="shared" ref="O3217:P3217" si="2354">O3218</f>
        <v>136498.45000000001</v>
      </c>
      <c r="P3217" s="461">
        <f t="shared" si="2354"/>
        <v>150148.29500000001</v>
      </c>
      <c r="R3217" s="317"/>
      <c r="U3217" s="320"/>
    </row>
    <row r="3218" spans="1:21" s="344" customFormat="1" outlineLevel="2">
      <c r="A3218" s="345"/>
      <c r="B3218" s="345"/>
      <c r="C3218" s="405">
        <v>2120103</v>
      </c>
      <c r="D3218" s="345" t="s">
        <v>617</v>
      </c>
      <c r="E3218" s="406">
        <v>124089.5</v>
      </c>
      <c r="F3218" s="406"/>
      <c r="G3218" s="406"/>
      <c r="H3218" s="406"/>
      <c r="I3218" s="324">
        <f t="shared" si="2311"/>
        <v>124089.5</v>
      </c>
      <c r="J3218" s="406"/>
      <c r="K3218" s="406"/>
      <c r="L3218" s="317">
        <f t="shared" si="2343"/>
        <v>124089.5</v>
      </c>
      <c r="M3218" s="317"/>
      <c r="N3218" s="372">
        <f t="shared" si="2349"/>
        <v>0</v>
      </c>
      <c r="O3218" s="336">
        <f t="shared" si="2325"/>
        <v>136498.45000000001</v>
      </c>
      <c r="P3218" s="319">
        <f t="shared" si="2350"/>
        <v>150148.29500000001</v>
      </c>
      <c r="R3218" s="317"/>
      <c r="U3218" s="320"/>
    </row>
    <row r="3219" spans="1:21" s="344" customFormat="1" outlineLevel="2">
      <c r="A3219" s="345"/>
      <c r="B3219" s="345"/>
      <c r="C3219" s="328">
        <v>2210100</v>
      </c>
      <c r="D3219" s="326" t="s">
        <v>16</v>
      </c>
      <c r="E3219" s="461">
        <f>E3220+E3221</f>
        <v>249400</v>
      </c>
      <c r="F3219" s="461">
        <f t="shared" ref="F3219:K3219" si="2355">F3220+F3221</f>
        <v>0</v>
      </c>
      <c r="G3219" s="461">
        <f t="shared" si="2355"/>
        <v>0</v>
      </c>
      <c r="H3219" s="461">
        <f t="shared" si="2355"/>
        <v>0</v>
      </c>
      <c r="I3219" s="461">
        <f t="shared" si="2355"/>
        <v>249400</v>
      </c>
      <c r="J3219" s="461">
        <f t="shared" si="2355"/>
        <v>0</v>
      </c>
      <c r="K3219" s="461">
        <f t="shared" si="2355"/>
        <v>0</v>
      </c>
      <c r="L3219" s="317">
        <f t="shared" si="2343"/>
        <v>249400</v>
      </c>
      <c r="M3219" s="317"/>
      <c r="N3219" s="372">
        <f t="shared" si="2349"/>
        <v>0</v>
      </c>
      <c r="O3219" s="461">
        <f t="shared" ref="O3219:P3219" si="2356">O3220+O3221</f>
        <v>274340</v>
      </c>
      <c r="P3219" s="461">
        <f t="shared" si="2356"/>
        <v>301774</v>
      </c>
      <c r="R3219" s="317"/>
      <c r="U3219" s="320"/>
    </row>
    <row r="3220" spans="1:21" s="344" customFormat="1" outlineLevel="2">
      <c r="A3220" s="345"/>
      <c r="B3220" s="345"/>
      <c r="C3220" s="405">
        <v>2210101</v>
      </c>
      <c r="D3220" s="345" t="s">
        <v>17</v>
      </c>
      <c r="E3220" s="406">
        <v>145000</v>
      </c>
      <c r="F3220" s="406"/>
      <c r="G3220" s="406"/>
      <c r="H3220" s="406"/>
      <c r="I3220" s="324">
        <f t="shared" si="2311"/>
        <v>145000</v>
      </c>
      <c r="J3220" s="406"/>
      <c r="K3220" s="406"/>
      <c r="L3220" s="317">
        <f t="shared" si="2343"/>
        <v>145000</v>
      </c>
      <c r="M3220" s="317"/>
      <c r="N3220" s="372">
        <f t="shared" si="2349"/>
        <v>0</v>
      </c>
      <c r="O3220" s="336">
        <f t="shared" si="2325"/>
        <v>159500</v>
      </c>
      <c r="P3220" s="319">
        <f t="shared" si="2350"/>
        <v>175450</v>
      </c>
      <c r="R3220" s="317"/>
      <c r="U3220" s="320"/>
    </row>
    <row r="3221" spans="1:21" s="344" customFormat="1" outlineLevel="2">
      <c r="A3221" s="345"/>
      <c r="B3221" s="345"/>
      <c r="C3221" s="405">
        <v>2210102</v>
      </c>
      <c r="D3221" s="345" t="s">
        <v>18</v>
      </c>
      <c r="E3221" s="406">
        <v>104400</v>
      </c>
      <c r="F3221" s="406"/>
      <c r="G3221" s="406"/>
      <c r="H3221" s="406"/>
      <c r="I3221" s="324">
        <f t="shared" si="2311"/>
        <v>104400</v>
      </c>
      <c r="J3221" s="406"/>
      <c r="K3221" s="406"/>
      <c r="L3221" s="317">
        <f t="shared" si="2343"/>
        <v>104400</v>
      </c>
      <c r="M3221" s="317"/>
      <c r="N3221" s="372">
        <f t="shared" si="2349"/>
        <v>0</v>
      </c>
      <c r="O3221" s="336">
        <f t="shared" si="2325"/>
        <v>114840.00000000001</v>
      </c>
      <c r="P3221" s="319">
        <f t="shared" si="2350"/>
        <v>126324.00000000003</v>
      </c>
      <c r="R3221" s="317"/>
      <c r="U3221" s="320"/>
    </row>
    <row r="3222" spans="1:21" s="344" customFormat="1" outlineLevel="2">
      <c r="A3222" s="345"/>
      <c r="B3222" s="345"/>
      <c r="C3222" s="328">
        <v>2210200</v>
      </c>
      <c r="D3222" s="326" t="s">
        <v>20</v>
      </c>
      <c r="E3222" s="461">
        <f>E3223+E3224+E3225</f>
        <v>1000500</v>
      </c>
      <c r="F3222" s="461">
        <f t="shared" ref="F3222:P3222" si="2357">F3223+F3224+F3225</f>
        <v>0</v>
      </c>
      <c r="G3222" s="461">
        <f t="shared" si="2357"/>
        <v>0</v>
      </c>
      <c r="H3222" s="461">
        <f t="shared" si="2357"/>
        <v>0</v>
      </c>
      <c r="I3222" s="461">
        <f t="shared" si="2357"/>
        <v>1000500</v>
      </c>
      <c r="J3222" s="461">
        <f t="shared" si="2357"/>
        <v>0</v>
      </c>
      <c r="K3222" s="461">
        <f t="shared" si="2357"/>
        <v>0</v>
      </c>
      <c r="L3222" s="317">
        <f t="shared" si="2343"/>
        <v>1000500</v>
      </c>
      <c r="M3222" s="317"/>
      <c r="N3222" s="372">
        <f t="shared" si="2349"/>
        <v>0</v>
      </c>
      <c r="O3222" s="461">
        <f t="shared" si="2357"/>
        <v>1100550</v>
      </c>
      <c r="P3222" s="461">
        <f t="shared" si="2357"/>
        <v>1210605</v>
      </c>
      <c r="R3222" s="317"/>
      <c r="U3222" s="320"/>
    </row>
    <row r="3223" spans="1:21" s="344" customFormat="1" outlineLevel="2">
      <c r="A3223" s="345"/>
      <c r="B3223" s="345"/>
      <c r="C3223" s="405">
        <v>2210201</v>
      </c>
      <c r="D3223" s="345" t="s">
        <v>21</v>
      </c>
      <c r="E3223" s="406">
        <v>522000</v>
      </c>
      <c r="F3223" s="406"/>
      <c r="G3223" s="406"/>
      <c r="H3223" s="406"/>
      <c r="I3223" s="324">
        <f t="shared" si="2311"/>
        <v>522000</v>
      </c>
      <c r="J3223" s="406"/>
      <c r="K3223" s="406"/>
      <c r="L3223" s="317">
        <f t="shared" si="2343"/>
        <v>522000</v>
      </c>
      <c r="M3223" s="317"/>
      <c r="N3223" s="372">
        <f t="shared" si="2349"/>
        <v>0</v>
      </c>
      <c r="O3223" s="336">
        <f t="shared" si="2325"/>
        <v>574200</v>
      </c>
      <c r="P3223" s="319">
        <f t="shared" si="2350"/>
        <v>631620</v>
      </c>
      <c r="R3223" s="317"/>
      <c r="U3223" s="320"/>
    </row>
    <row r="3224" spans="1:21" s="344" customFormat="1" outlineLevel="2">
      <c r="A3224" s="345"/>
      <c r="B3224" s="345"/>
      <c r="C3224" s="405">
        <v>2210202</v>
      </c>
      <c r="D3224" s="345" t="s">
        <v>1509</v>
      </c>
      <c r="E3224" s="406">
        <v>464000</v>
      </c>
      <c r="F3224" s="406"/>
      <c r="G3224" s="406"/>
      <c r="H3224" s="406"/>
      <c r="I3224" s="324">
        <f t="shared" ref="I3224:I3287" si="2358">E3224+F3224+G3224+H3224</f>
        <v>464000</v>
      </c>
      <c r="J3224" s="406"/>
      <c r="K3224" s="406"/>
      <c r="L3224" s="317">
        <f t="shared" si="2343"/>
        <v>464000</v>
      </c>
      <c r="M3224" s="317"/>
      <c r="N3224" s="372">
        <f t="shared" si="2349"/>
        <v>0</v>
      </c>
      <c r="O3224" s="336">
        <f t="shared" si="2325"/>
        <v>510400.00000000006</v>
      </c>
      <c r="P3224" s="319">
        <f t="shared" si="2350"/>
        <v>561440.00000000012</v>
      </c>
      <c r="R3224" s="317"/>
      <c r="U3224" s="320"/>
    </row>
    <row r="3225" spans="1:21" s="344" customFormat="1" outlineLevel="2">
      <c r="A3225" s="345"/>
      <c r="B3225" s="345"/>
      <c r="C3225" s="405">
        <v>2210203</v>
      </c>
      <c r="D3225" s="345" t="s">
        <v>23</v>
      </c>
      <c r="E3225" s="406">
        <v>14500</v>
      </c>
      <c r="F3225" s="406"/>
      <c r="G3225" s="406"/>
      <c r="H3225" s="406"/>
      <c r="I3225" s="324">
        <f t="shared" si="2358"/>
        <v>14500</v>
      </c>
      <c r="J3225" s="406"/>
      <c r="K3225" s="406"/>
      <c r="L3225" s="317">
        <f t="shared" si="2343"/>
        <v>14500</v>
      </c>
      <c r="M3225" s="317"/>
      <c r="N3225" s="372">
        <f t="shared" si="2349"/>
        <v>0</v>
      </c>
      <c r="O3225" s="336">
        <f t="shared" si="2325"/>
        <v>15950.000000000002</v>
      </c>
      <c r="P3225" s="319">
        <f t="shared" si="2350"/>
        <v>17545.000000000004</v>
      </c>
      <c r="R3225" s="317"/>
      <c r="U3225" s="320"/>
    </row>
    <row r="3226" spans="1:21" s="344" customFormat="1" outlineLevel="2">
      <c r="A3226" s="345"/>
      <c r="B3226" s="345"/>
      <c r="C3226" s="328">
        <v>2210300</v>
      </c>
      <c r="D3226" s="326" t="s">
        <v>24</v>
      </c>
      <c r="E3226" s="461">
        <f>E3227+E3228+E3229+E3230</f>
        <v>1358688.5054000001</v>
      </c>
      <c r="F3226" s="461">
        <f t="shared" ref="F3226:P3226" si="2359">F3227+F3228+F3229+F3230</f>
        <v>0</v>
      </c>
      <c r="G3226" s="461">
        <f t="shared" si="2359"/>
        <v>0</v>
      </c>
      <c r="H3226" s="461">
        <f t="shared" si="2359"/>
        <v>0</v>
      </c>
      <c r="I3226" s="461">
        <f t="shared" si="2359"/>
        <v>1358688.5054000001</v>
      </c>
      <c r="J3226" s="461">
        <f t="shared" si="2359"/>
        <v>0</v>
      </c>
      <c r="K3226" s="461">
        <f t="shared" si="2359"/>
        <v>0</v>
      </c>
      <c r="L3226" s="317">
        <f t="shared" si="2343"/>
        <v>1358688.5054000001</v>
      </c>
      <c r="M3226" s="317"/>
      <c r="N3226" s="372">
        <f t="shared" si="2349"/>
        <v>0</v>
      </c>
      <c r="O3226" s="461">
        <f t="shared" si="2359"/>
        <v>1494557.3559400002</v>
      </c>
      <c r="P3226" s="461">
        <f t="shared" si="2359"/>
        <v>1644013.0915340004</v>
      </c>
      <c r="R3226" s="317"/>
      <c r="U3226" s="320"/>
    </row>
    <row r="3227" spans="1:21" s="344" customFormat="1" outlineLevel="2">
      <c r="A3227" s="345"/>
      <c r="B3227" s="345"/>
      <c r="C3227" s="405">
        <v>2210301</v>
      </c>
      <c r="D3227" s="345" t="s">
        <v>25</v>
      </c>
      <c r="E3227" s="406">
        <f>2130500-2000000</f>
        <v>130500</v>
      </c>
      <c r="F3227" s="406"/>
      <c r="G3227" s="406"/>
      <c r="H3227" s="406"/>
      <c r="I3227" s="324">
        <f t="shared" si="2358"/>
        <v>130500</v>
      </c>
      <c r="J3227" s="406"/>
      <c r="K3227" s="406"/>
      <c r="L3227" s="317">
        <f t="shared" si="2343"/>
        <v>130500</v>
      </c>
      <c r="M3227" s="317"/>
      <c r="N3227" s="372">
        <f t="shared" si="2349"/>
        <v>0</v>
      </c>
      <c r="O3227" s="336">
        <f t="shared" si="2325"/>
        <v>143550</v>
      </c>
      <c r="P3227" s="319">
        <f t="shared" si="2350"/>
        <v>157905</v>
      </c>
      <c r="R3227" s="317"/>
      <c r="U3227" s="320"/>
    </row>
    <row r="3228" spans="1:21" s="344" customFormat="1" outlineLevel="2">
      <c r="A3228" s="345"/>
      <c r="B3228" s="345"/>
      <c r="C3228" s="405">
        <v>2210302</v>
      </c>
      <c r="D3228" s="345" t="s">
        <v>1668</v>
      </c>
      <c r="E3228" s="406">
        <f>1000000-500000</f>
        <v>500000</v>
      </c>
      <c r="F3228" s="406"/>
      <c r="G3228" s="406"/>
      <c r="H3228" s="406"/>
      <c r="I3228" s="324">
        <f t="shared" si="2358"/>
        <v>500000</v>
      </c>
      <c r="J3228" s="406"/>
      <c r="K3228" s="406"/>
      <c r="L3228" s="317">
        <f t="shared" si="2343"/>
        <v>500000</v>
      </c>
      <c r="M3228" s="317"/>
      <c r="N3228" s="372">
        <f t="shared" si="2349"/>
        <v>0</v>
      </c>
      <c r="O3228" s="336">
        <f t="shared" si="2325"/>
        <v>550000</v>
      </c>
      <c r="P3228" s="319">
        <f t="shared" si="2350"/>
        <v>605000</v>
      </c>
      <c r="R3228" s="317"/>
      <c r="U3228" s="320"/>
    </row>
    <row r="3229" spans="1:21" s="344" customFormat="1" outlineLevel="2">
      <c r="A3229" s="345"/>
      <c r="B3229" s="345"/>
      <c r="C3229" s="405">
        <v>2210303</v>
      </c>
      <c r="D3229" s="345" t="s">
        <v>27</v>
      </c>
      <c r="E3229" s="406">
        <f>2554499.5054-500000-1500000</f>
        <v>554499.50540000014</v>
      </c>
      <c r="F3229" s="406"/>
      <c r="G3229" s="406"/>
      <c r="H3229" s="406"/>
      <c r="I3229" s="324">
        <f t="shared" si="2358"/>
        <v>554499.50540000014</v>
      </c>
      <c r="J3229" s="406"/>
      <c r="K3229" s="406"/>
      <c r="L3229" s="317">
        <f t="shared" si="2343"/>
        <v>554499.50540000014</v>
      </c>
      <c r="M3229" s="317"/>
      <c r="N3229" s="372">
        <f t="shared" si="2349"/>
        <v>0</v>
      </c>
      <c r="O3229" s="336">
        <f t="shared" si="2325"/>
        <v>609949.45594000025</v>
      </c>
      <c r="P3229" s="319">
        <f t="shared" si="2350"/>
        <v>670944.4015340003</v>
      </c>
      <c r="R3229" s="317"/>
      <c r="U3229" s="320"/>
    </row>
    <row r="3230" spans="1:21" s="344" customFormat="1" outlineLevel="2">
      <c r="A3230" s="345"/>
      <c r="B3230" s="345"/>
      <c r="C3230" s="405">
        <v>2210304</v>
      </c>
      <c r="D3230" s="345" t="s">
        <v>28</v>
      </c>
      <c r="E3230" s="406">
        <v>173689</v>
      </c>
      <c r="F3230" s="406"/>
      <c r="G3230" s="406"/>
      <c r="H3230" s="406"/>
      <c r="I3230" s="324">
        <f t="shared" si="2358"/>
        <v>173689</v>
      </c>
      <c r="J3230" s="406"/>
      <c r="K3230" s="406"/>
      <c r="L3230" s="317">
        <f t="shared" si="2343"/>
        <v>173689</v>
      </c>
      <c r="M3230" s="317"/>
      <c r="N3230" s="372">
        <f t="shared" si="2349"/>
        <v>0</v>
      </c>
      <c r="O3230" s="336">
        <f t="shared" si="2325"/>
        <v>191057.90000000002</v>
      </c>
      <c r="P3230" s="319">
        <f t="shared" si="2350"/>
        <v>210163.69000000003</v>
      </c>
      <c r="R3230" s="317"/>
      <c r="U3230" s="320"/>
    </row>
    <row r="3231" spans="1:21" s="344" customFormat="1" outlineLevel="2">
      <c r="A3231" s="345"/>
      <c r="B3231" s="345"/>
      <c r="C3231" s="328">
        <v>2210400</v>
      </c>
      <c r="D3231" s="326" t="s">
        <v>484</v>
      </c>
      <c r="E3231" s="461">
        <f>E3232</f>
        <v>500000</v>
      </c>
      <c r="F3231" s="461">
        <f t="shared" ref="F3231:P3231" si="2360">F3232</f>
        <v>0</v>
      </c>
      <c r="G3231" s="461">
        <f t="shared" si="2360"/>
        <v>0</v>
      </c>
      <c r="H3231" s="461">
        <f t="shared" si="2360"/>
        <v>0</v>
      </c>
      <c r="I3231" s="461">
        <f t="shared" si="2360"/>
        <v>500000</v>
      </c>
      <c r="J3231" s="461">
        <f t="shared" si="2360"/>
        <v>0</v>
      </c>
      <c r="K3231" s="461">
        <f t="shared" si="2360"/>
        <v>0</v>
      </c>
      <c r="L3231" s="317">
        <f t="shared" si="2343"/>
        <v>500000</v>
      </c>
      <c r="M3231" s="317"/>
      <c r="N3231" s="372">
        <f t="shared" si="2349"/>
        <v>0</v>
      </c>
      <c r="O3231" s="461">
        <f t="shared" si="2360"/>
        <v>550000</v>
      </c>
      <c r="P3231" s="461">
        <f t="shared" si="2360"/>
        <v>605000</v>
      </c>
      <c r="R3231" s="317"/>
      <c r="U3231" s="320"/>
    </row>
    <row r="3232" spans="1:21" s="344" customFormat="1" outlineLevel="2">
      <c r="A3232" s="345"/>
      <c r="B3232" s="345"/>
      <c r="C3232" s="405">
        <v>2210401</v>
      </c>
      <c r="D3232" s="345" t="s">
        <v>25</v>
      </c>
      <c r="E3232" s="406">
        <v>500000</v>
      </c>
      <c r="F3232" s="406"/>
      <c r="G3232" s="406"/>
      <c r="H3232" s="406"/>
      <c r="I3232" s="324">
        <f t="shared" si="2358"/>
        <v>500000</v>
      </c>
      <c r="J3232" s="406"/>
      <c r="K3232" s="406"/>
      <c r="L3232" s="317">
        <f t="shared" si="2343"/>
        <v>500000</v>
      </c>
      <c r="M3232" s="317"/>
      <c r="N3232" s="372">
        <f t="shared" si="2349"/>
        <v>0</v>
      </c>
      <c r="O3232" s="336">
        <f t="shared" si="2325"/>
        <v>550000</v>
      </c>
      <c r="P3232" s="319">
        <f t="shared" si="2350"/>
        <v>605000</v>
      </c>
      <c r="R3232" s="317"/>
      <c r="U3232" s="320"/>
    </row>
    <row r="3233" spans="1:21" s="344" customFormat="1" outlineLevel="2">
      <c r="A3233" s="345"/>
      <c r="B3233" s="345"/>
      <c r="C3233" s="328">
        <v>2210500</v>
      </c>
      <c r="D3233" s="326" t="s">
        <v>31</v>
      </c>
      <c r="E3233" s="461">
        <f>E3234+E3235+E3236</f>
        <v>1385800</v>
      </c>
      <c r="F3233" s="461">
        <f t="shared" ref="F3233:K3233" si="2361">F3234+F3235+F3236</f>
        <v>332320</v>
      </c>
      <c r="G3233" s="461">
        <f t="shared" si="2361"/>
        <v>0</v>
      </c>
      <c r="H3233" s="461">
        <f t="shared" si="2361"/>
        <v>0</v>
      </c>
      <c r="I3233" s="461">
        <f t="shared" si="2361"/>
        <v>1718120</v>
      </c>
      <c r="J3233" s="461">
        <f t="shared" si="2361"/>
        <v>0</v>
      </c>
      <c r="K3233" s="461">
        <f t="shared" si="2361"/>
        <v>0</v>
      </c>
      <c r="L3233" s="317">
        <f t="shared" si="2343"/>
        <v>1718120</v>
      </c>
      <c r="M3233" s="317"/>
      <c r="N3233" s="372">
        <f t="shared" si="2349"/>
        <v>0</v>
      </c>
      <c r="O3233" s="461">
        <f t="shared" ref="O3233:P3233" si="2362">O3234+O3235+O3236</f>
        <v>1889932</v>
      </c>
      <c r="P3233" s="461">
        <f t="shared" si="2362"/>
        <v>2078925.2000000002</v>
      </c>
      <c r="R3233" s="317"/>
      <c r="U3233" s="320"/>
    </row>
    <row r="3234" spans="1:21" s="344" customFormat="1" outlineLevel="2">
      <c r="A3234" s="345"/>
      <c r="B3234" s="345"/>
      <c r="C3234" s="405">
        <v>2210502</v>
      </c>
      <c r="D3234" s="345" t="s">
        <v>105</v>
      </c>
      <c r="E3234" s="406">
        <f>2261000-1000000-1000000</f>
        <v>261000</v>
      </c>
      <c r="F3234" s="406"/>
      <c r="G3234" s="406"/>
      <c r="H3234" s="406"/>
      <c r="I3234" s="324">
        <f t="shared" si="2358"/>
        <v>261000</v>
      </c>
      <c r="J3234" s="406"/>
      <c r="K3234" s="406"/>
      <c r="L3234" s="317">
        <f t="shared" si="2343"/>
        <v>261000</v>
      </c>
      <c r="M3234" s="317"/>
      <c r="N3234" s="372">
        <f t="shared" si="2349"/>
        <v>0</v>
      </c>
      <c r="O3234" s="336">
        <f t="shared" si="2325"/>
        <v>287100</v>
      </c>
      <c r="P3234" s="319">
        <f t="shared" ref="P3234:P3251" si="2363">O3234*1.1</f>
        <v>315810</v>
      </c>
      <c r="R3234" s="317"/>
      <c r="U3234" s="320"/>
    </row>
    <row r="3235" spans="1:21" s="344" customFormat="1" outlineLevel="2">
      <c r="A3235" s="345"/>
      <c r="B3235" s="345"/>
      <c r="C3235" s="405">
        <v>2210503</v>
      </c>
      <c r="D3235" s="345" t="s">
        <v>32</v>
      </c>
      <c r="E3235" s="406">
        <f>2121800-500000-1000000</f>
        <v>621800</v>
      </c>
      <c r="F3235" s="406">
        <v>332320</v>
      </c>
      <c r="G3235" s="406"/>
      <c r="H3235" s="406"/>
      <c r="I3235" s="324">
        <f t="shared" si="2358"/>
        <v>954120</v>
      </c>
      <c r="J3235" s="406"/>
      <c r="K3235" s="406"/>
      <c r="L3235" s="317">
        <f t="shared" si="2343"/>
        <v>954120</v>
      </c>
      <c r="M3235" s="317"/>
      <c r="N3235" s="372">
        <f t="shared" si="2349"/>
        <v>0</v>
      </c>
      <c r="O3235" s="336">
        <f t="shared" si="2325"/>
        <v>1049532</v>
      </c>
      <c r="P3235" s="319">
        <f t="shared" si="2363"/>
        <v>1154485.2000000002</v>
      </c>
      <c r="R3235" s="317"/>
      <c r="U3235" s="320"/>
    </row>
    <row r="3236" spans="1:21" s="344" customFormat="1" outlineLevel="2">
      <c r="A3236" s="345"/>
      <c r="B3236" s="345"/>
      <c r="C3236" s="405">
        <v>2210504</v>
      </c>
      <c r="D3236" s="1045" t="s">
        <v>33</v>
      </c>
      <c r="E3236" s="406">
        <f>1203000-700000</f>
        <v>503000</v>
      </c>
      <c r="F3236" s="917"/>
      <c r="G3236" s="917"/>
      <c r="H3236" s="917"/>
      <c r="I3236" s="324">
        <f t="shared" si="2358"/>
        <v>503000</v>
      </c>
      <c r="J3236" s="917"/>
      <c r="K3236" s="917"/>
      <c r="L3236" s="317">
        <f t="shared" si="2343"/>
        <v>503000</v>
      </c>
      <c r="M3236" s="317"/>
      <c r="N3236" s="372">
        <f t="shared" si="2349"/>
        <v>0</v>
      </c>
      <c r="O3236" s="336">
        <f t="shared" si="2325"/>
        <v>553300</v>
      </c>
      <c r="P3236" s="319">
        <f t="shared" si="2363"/>
        <v>608630</v>
      </c>
      <c r="R3236" s="317"/>
      <c r="U3236" s="320"/>
    </row>
    <row r="3237" spans="1:21" s="344" customFormat="1" outlineLevel="2">
      <c r="A3237" s="345"/>
      <c r="B3237" s="345"/>
      <c r="C3237" s="328">
        <v>2210700</v>
      </c>
      <c r="D3237" s="326" t="s">
        <v>35</v>
      </c>
      <c r="E3237" s="461">
        <f>SUM(E3238:E3242)</f>
        <v>1143000</v>
      </c>
      <c r="F3237" s="461">
        <f t="shared" ref="F3237:P3237" si="2364">SUM(F3238:F3242)</f>
        <v>2849103</v>
      </c>
      <c r="G3237" s="461">
        <f t="shared" si="2364"/>
        <v>0</v>
      </c>
      <c r="H3237" s="461">
        <f t="shared" si="2364"/>
        <v>0</v>
      </c>
      <c r="I3237" s="461">
        <f t="shared" si="2364"/>
        <v>3992103</v>
      </c>
      <c r="J3237" s="461">
        <f t="shared" si="2364"/>
        <v>0</v>
      </c>
      <c r="K3237" s="461">
        <f t="shared" si="2364"/>
        <v>0</v>
      </c>
      <c r="L3237" s="317">
        <f t="shared" si="2343"/>
        <v>3992103</v>
      </c>
      <c r="M3237" s="317"/>
      <c r="N3237" s="372">
        <f t="shared" si="2349"/>
        <v>0</v>
      </c>
      <c r="O3237" s="461">
        <f t="shared" si="2364"/>
        <v>4391313.3000000007</v>
      </c>
      <c r="P3237" s="461">
        <f t="shared" si="2364"/>
        <v>4830444.6300000008</v>
      </c>
      <c r="R3237" s="317"/>
      <c r="U3237" s="320"/>
    </row>
    <row r="3238" spans="1:21" s="344" customFormat="1" outlineLevel="2">
      <c r="A3238" s="345"/>
      <c r="B3238" s="345"/>
      <c r="C3238" s="405">
        <v>2210701</v>
      </c>
      <c r="D3238" s="345" t="s">
        <v>36</v>
      </c>
      <c r="E3238" s="406">
        <f>1116000-500000</f>
        <v>616000</v>
      </c>
      <c r="F3238" s="406"/>
      <c r="G3238" s="406"/>
      <c r="H3238" s="406"/>
      <c r="I3238" s="324">
        <f t="shared" si="2358"/>
        <v>616000</v>
      </c>
      <c r="J3238" s="406"/>
      <c r="K3238" s="406"/>
      <c r="L3238" s="317">
        <f t="shared" si="2343"/>
        <v>616000</v>
      </c>
      <c r="M3238" s="317"/>
      <c r="N3238" s="372">
        <f t="shared" si="2349"/>
        <v>0</v>
      </c>
      <c r="O3238" s="336">
        <f t="shared" si="2325"/>
        <v>677600</v>
      </c>
      <c r="P3238" s="319">
        <f t="shared" si="2363"/>
        <v>745360.00000000012</v>
      </c>
      <c r="R3238" s="317"/>
      <c r="U3238" s="320"/>
    </row>
    <row r="3239" spans="1:21" s="344" customFormat="1" outlineLevel="2">
      <c r="A3239" s="345"/>
      <c r="B3239" s="345"/>
      <c r="C3239" s="405">
        <v>2210703</v>
      </c>
      <c r="D3239" s="345" t="s">
        <v>107</v>
      </c>
      <c r="E3239" s="406">
        <v>145000</v>
      </c>
      <c r="F3239" s="406"/>
      <c r="G3239" s="406"/>
      <c r="H3239" s="406"/>
      <c r="I3239" s="324">
        <f t="shared" si="2358"/>
        <v>145000</v>
      </c>
      <c r="J3239" s="406"/>
      <c r="K3239" s="406"/>
      <c r="L3239" s="317">
        <f t="shared" si="2343"/>
        <v>145000</v>
      </c>
      <c r="M3239" s="317"/>
      <c r="N3239" s="372">
        <f t="shared" si="2349"/>
        <v>0</v>
      </c>
      <c r="O3239" s="336">
        <f t="shared" si="2325"/>
        <v>159500</v>
      </c>
      <c r="P3239" s="319">
        <f t="shared" si="2363"/>
        <v>175450</v>
      </c>
      <c r="R3239" s="317"/>
      <c r="U3239" s="320"/>
    </row>
    <row r="3240" spans="1:21" s="344" customFormat="1" outlineLevel="2">
      <c r="A3240" s="345"/>
      <c r="B3240" s="345"/>
      <c r="C3240" s="405">
        <v>2210704</v>
      </c>
      <c r="D3240" s="345" t="s">
        <v>38</v>
      </c>
      <c r="E3240" s="406">
        <v>116000</v>
      </c>
      <c r="F3240" s="406"/>
      <c r="G3240" s="406"/>
      <c r="H3240" s="406"/>
      <c r="I3240" s="324">
        <f t="shared" si="2358"/>
        <v>116000</v>
      </c>
      <c r="J3240" s="406"/>
      <c r="K3240" s="406"/>
      <c r="L3240" s="317">
        <f t="shared" si="2343"/>
        <v>116000</v>
      </c>
      <c r="M3240" s="317"/>
      <c r="N3240" s="372">
        <f t="shared" si="2349"/>
        <v>0</v>
      </c>
      <c r="O3240" s="336">
        <f t="shared" si="2325"/>
        <v>127600.00000000001</v>
      </c>
      <c r="P3240" s="319">
        <f t="shared" si="2363"/>
        <v>140360.00000000003</v>
      </c>
      <c r="R3240" s="317"/>
      <c r="U3240" s="320"/>
    </row>
    <row r="3241" spans="1:21" s="344" customFormat="1" outlineLevel="2">
      <c r="A3241" s="345"/>
      <c r="B3241" s="345"/>
      <c r="C3241" s="405">
        <v>2210710</v>
      </c>
      <c r="D3241" s="345" t="s">
        <v>39</v>
      </c>
      <c r="E3241" s="406">
        <v>116000</v>
      </c>
      <c r="F3241" s="406"/>
      <c r="G3241" s="406"/>
      <c r="H3241" s="406"/>
      <c r="I3241" s="324">
        <f t="shared" si="2358"/>
        <v>116000</v>
      </c>
      <c r="J3241" s="406"/>
      <c r="K3241" s="406"/>
      <c r="L3241" s="317">
        <f t="shared" si="2343"/>
        <v>116000</v>
      </c>
      <c r="M3241" s="317"/>
      <c r="N3241" s="372">
        <f t="shared" si="2349"/>
        <v>0</v>
      </c>
      <c r="O3241" s="336">
        <f t="shared" si="2325"/>
        <v>127600.00000000001</v>
      </c>
      <c r="P3241" s="319">
        <f t="shared" si="2363"/>
        <v>140360.00000000003</v>
      </c>
      <c r="R3241" s="317"/>
      <c r="U3241" s="320"/>
    </row>
    <row r="3242" spans="1:21" s="344" customFormat="1" outlineLevel="2">
      <c r="A3242" s="345"/>
      <c r="B3242" s="345"/>
      <c r="C3242" s="405">
        <v>2210715</v>
      </c>
      <c r="D3242" s="345" t="s">
        <v>40</v>
      </c>
      <c r="E3242" s="406">
        <f>550000-400000</f>
        <v>150000</v>
      </c>
      <c r="F3242" s="406">
        <v>2849103</v>
      </c>
      <c r="G3242" s="406"/>
      <c r="H3242" s="406"/>
      <c r="I3242" s="324">
        <f t="shared" si="2358"/>
        <v>2999103</v>
      </c>
      <c r="J3242" s="406"/>
      <c r="K3242" s="406"/>
      <c r="L3242" s="317">
        <f t="shared" si="2343"/>
        <v>2999103</v>
      </c>
      <c r="M3242" s="317"/>
      <c r="N3242" s="372">
        <f t="shared" si="2349"/>
        <v>0</v>
      </c>
      <c r="O3242" s="336">
        <f t="shared" si="2325"/>
        <v>3299013.3000000003</v>
      </c>
      <c r="P3242" s="319">
        <f t="shared" si="2363"/>
        <v>3628914.6300000008</v>
      </c>
      <c r="R3242" s="317"/>
      <c r="U3242" s="320"/>
    </row>
    <row r="3243" spans="1:21" s="344" customFormat="1" outlineLevel="2">
      <c r="A3243" s="345"/>
      <c r="B3243" s="345"/>
      <c r="C3243" s="328">
        <v>2210800</v>
      </c>
      <c r="D3243" s="326" t="s">
        <v>42</v>
      </c>
      <c r="E3243" s="461">
        <f>E3244+E3245</f>
        <v>905000</v>
      </c>
      <c r="F3243" s="461">
        <f t="shared" ref="F3243:K3243" si="2365">F3244+F3245</f>
        <v>4377333.3671903983</v>
      </c>
      <c r="G3243" s="461">
        <f t="shared" si="2365"/>
        <v>0</v>
      </c>
      <c r="H3243" s="461">
        <f t="shared" si="2365"/>
        <v>0</v>
      </c>
      <c r="I3243" s="461">
        <f t="shared" si="2365"/>
        <v>5282333.3671903983</v>
      </c>
      <c r="J3243" s="461">
        <f t="shared" si="2365"/>
        <v>0</v>
      </c>
      <c r="K3243" s="461">
        <f t="shared" si="2365"/>
        <v>0</v>
      </c>
      <c r="L3243" s="317">
        <f t="shared" si="2343"/>
        <v>5282333.3671903983</v>
      </c>
      <c r="M3243" s="317"/>
      <c r="N3243" s="372">
        <f t="shared" si="2349"/>
        <v>0</v>
      </c>
      <c r="O3243" s="461">
        <f t="shared" ref="O3243:P3243" si="2366">O3244+O3245</f>
        <v>5810566.7039094381</v>
      </c>
      <c r="P3243" s="461">
        <f t="shared" si="2366"/>
        <v>6391623.3743003821</v>
      </c>
      <c r="R3243" s="317"/>
      <c r="U3243" s="320"/>
    </row>
    <row r="3244" spans="1:21" s="344" customFormat="1" outlineLevel="2">
      <c r="A3244" s="345"/>
      <c r="B3244" s="345"/>
      <c r="C3244" s="405">
        <v>2210801</v>
      </c>
      <c r="D3244" s="345" t="s">
        <v>2421</v>
      </c>
      <c r="E3244" s="406">
        <v>187000</v>
      </c>
      <c r="F3244" s="406">
        <v>4377333.3671903983</v>
      </c>
      <c r="G3244" s="406"/>
      <c r="H3244" s="406"/>
      <c r="I3244" s="324">
        <f t="shared" si="2358"/>
        <v>4564333.3671903983</v>
      </c>
      <c r="J3244" s="406"/>
      <c r="K3244" s="406"/>
      <c r="L3244" s="317">
        <f t="shared" si="2343"/>
        <v>4564333.3671903983</v>
      </c>
      <c r="M3244" s="317"/>
      <c r="N3244" s="372">
        <f t="shared" si="2349"/>
        <v>0</v>
      </c>
      <c r="O3244" s="336">
        <f t="shared" ref="O3244:O3306" si="2367">L3244*1.1</f>
        <v>5020766.7039094381</v>
      </c>
      <c r="P3244" s="319">
        <f t="shared" si="2363"/>
        <v>5522843.3743003821</v>
      </c>
      <c r="R3244" s="317"/>
      <c r="U3244" s="320"/>
    </row>
    <row r="3245" spans="1:21" s="344" customFormat="1" outlineLevel="2">
      <c r="A3245" s="345"/>
      <c r="B3245" s="345"/>
      <c r="C3245" s="405">
        <v>2210802</v>
      </c>
      <c r="D3245" s="345" t="s">
        <v>618</v>
      </c>
      <c r="E3245" s="406">
        <f>1218000-500000</f>
        <v>718000</v>
      </c>
      <c r="F3245" s="406"/>
      <c r="G3245" s="406"/>
      <c r="H3245" s="406"/>
      <c r="I3245" s="324">
        <f t="shared" si="2358"/>
        <v>718000</v>
      </c>
      <c r="J3245" s="406"/>
      <c r="K3245" s="406"/>
      <c r="L3245" s="317">
        <f t="shared" si="2343"/>
        <v>718000</v>
      </c>
      <c r="M3245" s="317"/>
      <c r="N3245" s="372">
        <f t="shared" si="2349"/>
        <v>0</v>
      </c>
      <c r="O3245" s="336">
        <f t="shared" si="2367"/>
        <v>789800.00000000012</v>
      </c>
      <c r="P3245" s="319">
        <f t="shared" si="2363"/>
        <v>868780.00000000023</v>
      </c>
      <c r="R3245" s="317"/>
      <c r="U3245" s="320"/>
    </row>
    <row r="3246" spans="1:21" s="344" customFormat="1" outlineLevel="2">
      <c r="A3246" s="345"/>
      <c r="B3246" s="345"/>
      <c r="C3246" s="328">
        <v>2211100</v>
      </c>
      <c r="D3246" s="326" t="s">
        <v>51</v>
      </c>
      <c r="E3246" s="461">
        <f>E3247+E3248+E3249</f>
        <v>936400</v>
      </c>
      <c r="F3246" s="461">
        <f t="shared" ref="F3246:I3246" si="2368">F3247+F3248+F3249</f>
        <v>315590</v>
      </c>
      <c r="G3246" s="461">
        <f t="shared" si="2368"/>
        <v>0</v>
      </c>
      <c r="H3246" s="461">
        <f t="shared" si="2368"/>
        <v>0</v>
      </c>
      <c r="I3246" s="461">
        <f t="shared" si="2368"/>
        <v>1251990</v>
      </c>
      <c r="J3246" s="461"/>
      <c r="K3246" s="461"/>
      <c r="L3246" s="317">
        <f t="shared" si="2343"/>
        <v>1251990</v>
      </c>
      <c r="M3246" s="317"/>
      <c r="N3246" s="372">
        <f t="shared" si="2349"/>
        <v>0</v>
      </c>
      <c r="O3246" s="461">
        <f t="shared" ref="O3246:P3246" si="2369">O3247+O3248+O3249</f>
        <v>1377189</v>
      </c>
      <c r="P3246" s="461">
        <f t="shared" si="2369"/>
        <v>1514907.9000000001</v>
      </c>
      <c r="R3246" s="317"/>
      <c r="U3246" s="320"/>
    </row>
    <row r="3247" spans="1:21" s="344" customFormat="1" outlineLevel="2">
      <c r="A3247" s="345"/>
      <c r="B3247" s="345"/>
      <c r="C3247" s="405">
        <v>2211101</v>
      </c>
      <c r="D3247" s="345" t="s">
        <v>52</v>
      </c>
      <c r="E3247" s="406">
        <f>1203000-500000</f>
        <v>703000</v>
      </c>
      <c r="F3247" s="406">
        <v>315590</v>
      </c>
      <c r="G3247" s="406"/>
      <c r="H3247" s="406"/>
      <c r="I3247" s="324">
        <f t="shared" si="2358"/>
        <v>1018590</v>
      </c>
      <c r="J3247" s="406"/>
      <c r="K3247" s="406"/>
      <c r="L3247" s="317">
        <f t="shared" si="2343"/>
        <v>1018590</v>
      </c>
      <c r="M3247" s="317"/>
      <c r="N3247" s="372">
        <f t="shared" si="2349"/>
        <v>0</v>
      </c>
      <c r="O3247" s="336">
        <f t="shared" si="2367"/>
        <v>1120449</v>
      </c>
      <c r="P3247" s="319">
        <f t="shared" si="2363"/>
        <v>1232493.9000000001</v>
      </c>
      <c r="R3247" s="317"/>
      <c r="U3247" s="320"/>
    </row>
    <row r="3248" spans="1:21" s="344" customFormat="1" outlineLevel="2">
      <c r="A3248" s="345"/>
      <c r="B3248" s="345"/>
      <c r="C3248" s="405">
        <v>2211102</v>
      </c>
      <c r="D3248" s="345" t="s">
        <v>53</v>
      </c>
      <c r="E3248" s="406">
        <v>187000</v>
      </c>
      <c r="F3248" s="406"/>
      <c r="G3248" s="406"/>
      <c r="H3248" s="406"/>
      <c r="I3248" s="324">
        <f t="shared" si="2358"/>
        <v>187000</v>
      </c>
      <c r="J3248" s="406"/>
      <c r="K3248" s="406"/>
      <c r="L3248" s="317">
        <f t="shared" si="2343"/>
        <v>187000</v>
      </c>
      <c r="M3248" s="317"/>
      <c r="N3248" s="372">
        <f t="shared" si="2349"/>
        <v>0</v>
      </c>
      <c r="O3248" s="336">
        <f t="shared" si="2367"/>
        <v>205700.00000000003</v>
      </c>
      <c r="P3248" s="319">
        <f t="shared" si="2363"/>
        <v>226270.00000000006</v>
      </c>
      <c r="R3248" s="317"/>
      <c r="U3248" s="320"/>
    </row>
    <row r="3249" spans="1:21" s="344" customFormat="1" outlineLevel="2">
      <c r="A3249" s="345"/>
      <c r="B3249" s="345"/>
      <c r="C3249" s="405">
        <v>2211103</v>
      </c>
      <c r="D3249" s="345" t="s">
        <v>54</v>
      </c>
      <c r="E3249" s="406">
        <v>46400</v>
      </c>
      <c r="F3249" s="406"/>
      <c r="G3249" s="406"/>
      <c r="H3249" s="406"/>
      <c r="I3249" s="324">
        <f t="shared" si="2358"/>
        <v>46400</v>
      </c>
      <c r="J3249" s="406"/>
      <c r="K3249" s="406"/>
      <c r="L3249" s="317">
        <f t="shared" si="2343"/>
        <v>46400</v>
      </c>
      <c r="M3249" s="317"/>
      <c r="N3249" s="372">
        <f t="shared" si="2349"/>
        <v>0</v>
      </c>
      <c r="O3249" s="336">
        <f t="shared" si="2367"/>
        <v>51040.000000000007</v>
      </c>
      <c r="P3249" s="319">
        <f t="shared" si="2363"/>
        <v>56144.000000000015</v>
      </c>
      <c r="R3249" s="317"/>
      <c r="U3249" s="320"/>
    </row>
    <row r="3250" spans="1:21" s="344" customFormat="1" outlineLevel="2">
      <c r="A3250" s="345"/>
      <c r="B3250" s="345"/>
      <c r="C3250" s="328">
        <v>2211200</v>
      </c>
      <c r="D3250" s="326" t="s">
        <v>55</v>
      </c>
      <c r="E3250" s="461">
        <f>E3251</f>
        <v>1660000</v>
      </c>
      <c r="F3250" s="461">
        <f t="shared" ref="F3250:K3250" si="2370">F3251</f>
        <v>0</v>
      </c>
      <c r="G3250" s="461">
        <f t="shared" si="2370"/>
        <v>0</v>
      </c>
      <c r="H3250" s="461">
        <f t="shared" si="2370"/>
        <v>0</v>
      </c>
      <c r="I3250" s="461">
        <f t="shared" si="2370"/>
        <v>1660000</v>
      </c>
      <c r="J3250" s="461">
        <f t="shared" si="2370"/>
        <v>0</v>
      </c>
      <c r="K3250" s="461">
        <f t="shared" si="2370"/>
        <v>0</v>
      </c>
      <c r="L3250" s="317">
        <f t="shared" si="2343"/>
        <v>1660000</v>
      </c>
      <c r="M3250" s="317"/>
      <c r="N3250" s="372">
        <f t="shared" si="2349"/>
        <v>0</v>
      </c>
      <c r="O3250" s="461">
        <f t="shared" ref="O3250:P3250" si="2371">O3251</f>
        <v>1826000.0000000002</v>
      </c>
      <c r="P3250" s="461">
        <f t="shared" si="2371"/>
        <v>2008600.0000000005</v>
      </c>
      <c r="R3250" s="317"/>
      <c r="U3250" s="320"/>
    </row>
    <row r="3251" spans="1:21" s="344" customFormat="1" outlineLevel="2">
      <c r="A3251" s="345"/>
      <c r="B3251" s="345"/>
      <c r="C3251" s="405">
        <v>2211201</v>
      </c>
      <c r="D3251" s="345" t="s">
        <v>56</v>
      </c>
      <c r="E3251" s="406">
        <f>3160000-1000000-500000</f>
        <v>1660000</v>
      </c>
      <c r="F3251" s="406"/>
      <c r="G3251" s="406"/>
      <c r="H3251" s="406"/>
      <c r="I3251" s="324">
        <f t="shared" si="2358"/>
        <v>1660000</v>
      </c>
      <c r="J3251" s="406"/>
      <c r="K3251" s="406"/>
      <c r="L3251" s="317">
        <f t="shared" si="2343"/>
        <v>1660000</v>
      </c>
      <c r="M3251" s="317"/>
      <c r="N3251" s="372">
        <f t="shared" si="2349"/>
        <v>0</v>
      </c>
      <c r="O3251" s="336">
        <f t="shared" si="2367"/>
        <v>1826000.0000000002</v>
      </c>
      <c r="P3251" s="319">
        <f t="shared" si="2363"/>
        <v>2008600.0000000005</v>
      </c>
      <c r="R3251" s="317"/>
      <c r="U3251" s="320"/>
    </row>
    <row r="3252" spans="1:21" s="344" customFormat="1" outlineLevel="2">
      <c r="A3252" s="345"/>
      <c r="B3252" s="345"/>
      <c r="C3252" s="328">
        <v>2211300</v>
      </c>
      <c r="D3252" s="326" t="s">
        <v>619</v>
      </c>
      <c r="E3252" s="461">
        <f>E3253</f>
        <v>63800</v>
      </c>
      <c r="F3252" s="461">
        <f t="shared" ref="F3252:K3252" si="2372">F3253</f>
        <v>0</v>
      </c>
      <c r="G3252" s="461">
        <f t="shared" si="2372"/>
        <v>0</v>
      </c>
      <c r="H3252" s="461">
        <f t="shared" si="2372"/>
        <v>0</v>
      </c>
      <c r="I3252" s="461">
        <f t="shared" si="2372"/>
        <v>63800</v>
      </c>
      <c r="J3252" s="461">
        <f t="shared" si="2372"/>
        <v>0</v>
      </c>
      <c r="K3252" s="461">
        <f t="shared" si="2372"/>
        <v>0</v>
      </c>
      <c r="L3252" s="317">
        <f t="shared" si="2343"/>
        <v>63800</v>
      </c>
      <c r="M3252" s="317"/>
      <c r="N3252" s="372">
        <f t="shared" si="2349"/>
        <v>0</v>
      </c>
      <c r="O3252" s="461">
        <f t="shared" ref="O3252:P3252" si="2373">O3253</f>
        <v>70180</v>
      </c>
      <c r="P3252" s="461">
        <f t="shared" si="2373"/>
        <v>77198</v>
      </c>
      <c r="R3252" s="317"/>
      <c r="U3252" s="320"/>
    </row>
    <row r="3253" spans="1:21" s="344" customFormat="1" outlineLevel="2">
      <c r="A3253" s="345"/>
      <c r="B3253" s="345"/>
      <c r="C3253" s="405">
        <v>2211301</v>
      </c>
      <c r="D3253" s="345" t="s">
        <v>198</v>
      </c>
      <c r="E3253" s="406">
        <v>63800</v>
      </c>
      <c r="F3253" s="406"/>
      <c r="G3253" s="406"/>
      <c r="H3253" s="406"/>
      <c r="I3253" s="324">
        <f t="shared" si="2358"/>
        <v>63800</v>
      </c>
      <c r="J3253" s="406"/>
      <c r="K3253" s="406"/>
      <c r="L3253" s="317">
        <f t="shared" si="2343"/>
        <v>63800</v>
      </c>
      <c r="M3253" s="317"/>
      <c r="N3253" s="372">
        <f t="shared" si="2349"/>
        <v>0</v>
      </c>
      <c r="O3253" s="336">
        <f t="shared" si="2367"/>
        <v>70180</v>
      </c>
      <c r="P3253" s="319">
        <f t="shared" ref="P3253:P3277" si="2374">O3253*1.1</f>
        <v>77198</v>
      </c>
      <c r="R3253" s="317"/>
      <c r="U3253" s="320"/>
    </row>
    <row r="3254" spans="1:21" s="344" customFormat="1" outlineLevel="2">
      <c r="A3254" s="345"/>
      <c r="B3254" s="345"/>
      <c r="C3254" s="328">
        <v>2220100</v>
      </c>
      <c r="D3254" s="326" t="s">
        <v>62</v>
      </c>
      <c r="E3254" s="461">
        <f>E3255+E3256</f>
        <v>1225000</v>
      </c>
      <c r="F3254" s="461">
        <f t="shared" ref="F3254:P3254" si="2375">F3255+F3256</f>
        <v>186494</v>
      </c>
      <c r="G3254" s="461">
        <f t="shared" si="2375"/>
        <v>0</v>
      </c>
      <c r="H3254" s="461">
        <f t="shared" si="2375"/>
        <v>0</v>
      </c>
      <c r="I3254" s="461">
        <f t="shared" si="2375"/>
        <v>1411494</v>
      </c>
      <c r="J3254" s="461">
        <f t="shared" si="2375"/>
        <v>0</v>
      </c>
      <c r="K3254" s="461">
        <f t="shared" si="2375"/>
        <v>0</v>
      </c>
      <c r="L3254" s="317">
        <f t="shared" si="2343"/>
        <v>1411494</v>
      </c>
      <c r="M3254" s="317"/>
      <c r="N3254" s="372">
        <f t="shared" si="2349"/>
        <v>0</v>
      </c>
      <c r="O3254" s="461">
        <f t="shared" si="2375"/>
        <v>1552643.4000000001</v>
      </c>
      <c r="P3254" s="461">
        <f t="shared" si="2375"/>
        <v>1707907.7400000002</v>
      </c>
      <c r="R3254" s="317"/>
      <c r="U3254" s="320"/>
    </row>
    <row r="3255" spans="1:21" s="344" customFormat="1" outlineLevel="2">
      <c r="A3255" s="345"/>
      <c r="B3255" s="345"/>
      <c r="C3255" s="405">
        <v>2220101</v>
      </c>
      <c r="D3255" s="345" t="s">
        <v>250</v>
      </c>
      <c r="E3255" s="406">
        <f>1435000-500000</f>
        <v>935000</v>
      </c>
      <c r="F3255" s="406"/>
      <c r="G3255" s="406"/>
      <c r="H3255" s="406"/>
      <c r="I3255" s="324">
        <f t="shared" si="2358"/>
        <v>935000</v>
      </c>
      <c r="J3255" s="406"/>
      <c r="K3255" s="406"/>
      <c r="L3255" s="317">
        <f t="shared" si="2343"/>
        <v>935000</v>
      </c>
      <c r="M3255" s="317"/>
      <c r="N3255" s="372">
        <f t="shared" si="2349"/>
        <v>0</v>
      </c>
      <c r="O3255" s="336">
        <f t="shared" si="2367"/>
        <v>1028500.0000000001</v>
      </c>
      <c r="P3255" s="319">
        <f t="shared" si="2374"/>
        <v>1131350.0000000002</v>
      </c>
      <c r="R3255" s="317"/>
      <c r="U3255" s="320"/>
    </row>
    <row r="3256" spans="1:21" s="344" customFormat="1" outlineLevel="2">
      <c r="A3256" s="345"/>
      <c r="B3256" s="345"/>
      <c r="C3256" s="405">
        <v>2220105</v>
      </c>
      <c r="D3256" s="345" t="s">
        <v>64</v>
      </c>
      <c r="E3256" s="406">
        <v>290000</v>
      </c>
      <c r="F3256" s="406">
        <v>186494</v>
      </c>
      <c r="G3256" s="406"/>
      <c r="H3256" s="406"/>
      <c r="I3256" s="324">
        <f t="shared" si="2358"/>
        <v>476494</v>
      </c>
      <c r="J3256" s="406"/>
      <c r="K3256" s="406"/>
      <c r="L3256" s="317">
        <f t="shared" si="2343"/>
        <v>476494</v>
      </c>
      <c r="M3256" s="317"/>
      <c r="N3256" s="372">
        <f t="shared" si="2349"/>
        <v>0</v>
      </c>
      <c r="O3256" s="336">
        <f t="shared" si="2367"/>
        <v>524143.4</v>
      </c>
      <c r="P3256" s="319">
        <f t="shared" si="2374"/>
        <v>576557.74000000011</v>
      </c>
      <c r="R3256" s="317"/>
      <c r="U3256" s="320"/>
    </row>
    <row r="3257" spans="1:21" s="325" customFormat="1" outlineLevel="2">
      <c r="A3257" s="345"/>
      <c r="B3257" s="345"/>
      <c r="C3257" s="328">
        <v>3110300</v>
      </c>
      <c r="D3257" s="326" t="s">
        <v>251</v>
      </c>
      <c r="E3257" s="461">
        <f>E3258</f>
        <v>116000</v>
      </c>
      <c r="F3257" s="461">
        <f t="shared" ref="F3257:K3257" si="2376">F3258</f>
        <v>0</v>
      </c>
      <c r="G3257" s="461">
        <f t="shared" si="2376"/>
        <v>0</v>
      </c>
      <c r="H3257" s="461">
        <f t="shared" si="2376"/>
        <v>0</v>
      </c>
      <c r="I3257" s="461">
        <f t="shared" si="2376"/>
        <v>116000</v>
      </c>
      <c r="J3257" s="461">
        <f t="shared" si="2376"/>
        <v>0</v>
      </c>
      <c r="K3257" s="461">
        <f t="shared" si="2376"/>
        <v>0</v>
      </c>
      <c r="L3257" s="317">
        <f t="shared" si="2343"/>
        <v>116000</v>
      </c>
      <c r="M3257" s="317"/>
      <c r="N3257" s="372">
        <f t="shared" si="2349"/>
        <v>0</v>
      </c>
      <c r="O3257" s="461">
        <f t="shared" ref="O3257:P3257" si="2377">O3258</f>
        <v>127600.00000000001</v>
      </c>
      <c r="P3257" s="461">
        <f t="shared" si="2377"/>
        <v>140360.00000000003</v>
      </c>
      <c r="R3257" s="317"/>
      <c r="U3257" s="320"/>
    </row>
    <row r="3258" spans="1:21" s="350" customFormat="1" outlineLevel="2">
      <c r="A3258" s="345"/>
      <c r="B3258" s="345"/>
      <c r="C3258" s="405">
        <v>3110302</v>
      </c>
      <c r="D3258" s="345" t="s">
        <v>252</v>
      </c>
      <c r="E3258" s="406">
        <v>116000</v>
      </c>
      <c r="F3258" s="406">
        <v>0</v>
      </c>
      <c r="G3258" s="406"/>
      <c r="H3258" s="406"/>
      <c r="I3258" s="324">
        <f t="shared" si="2358"/>
        <v>116000</v>
      </c>
      <c r="J3258" s="406"/>
      <c r="K3258" s="406"/>
      <c r="L3258" s="317">
        <f t="shared" si="2343"/>
        <v>116000</v>
      </c>
      <c r="M3258" s="317"/>
      <c r="N3258" s="372">
        <f t="shared" si="2349"/>
        <v>0</v>
      </c>
      <c r="O3258" s="336">
        <f t="shared" si="2367"/>
        <v>127600.00000000001</v>
      </c>
      <c r="P3258" s="319">
        <f t="shared" si="2374"/>
        <v>140360.00000000003</v>
      </c>
      <c r="R3258" s="317"/>
      <c r="U3258" s="320"/>
    </row>
    <row r="3259" spans="1:21" s="344" customFormat="1" outlineLevel="2">
      <c r="A3259" s="326"/>
      <c r="B3259" s="326"/>
      <c r="C3259" s="328">
        <v>3110700</v>
      </c>
      <c r="D3259" s="326" t="s">
        <v>172</v>
      </c>
      <c r="E3259" s="461">
        <f>E3260</f>
        <v>0</v>
      </c>
      <c r="F3259" s="461">
        <f t="shared" ref="F3259:K3259" si="2378">F3260</f>
        <v>0</v>
      </c>
      <c r="G3259" s="461">
        <f t="shared" si="2378"/>
        <v>0</v>
      </c>
      <c r="H3259" s="461">
        <f t="shared" si="2378"/>
        <v>0</v>
      </c>
      <c r="I3259" s="461">
        <f t="shared" si="2378"/>
        <v>0</v>
      </c>
      <c r="J3259" s="461">
        <f t="shared" si="2378"/>
        <v>0</v>
      </c>
      <c r="K3259" s="461">
        <f t="shared" si="2378"/>
        <v>0</v>
      </c>
      <c r="L3259" s="317">
        <f t="shared" si="2343"/>
        <v>0</v>
      </c>
      <c r="M3259" s="317"/>
      <c r="N3259" s="372">
        <f t="shared" si="2349"/>
        <v>0</v>
      </c>
      <c r="O3259" s="336">
        <f t="shared" si="2367"/>
        <v>0</v>
      </c>
      <c r="P3259" s="319">
        <f t="shared" si="2374"/>
        <v>0</v>
      </c>
      <c r="R3259" s="317"/>
      <c r="U3259" s="320"/>
    </row>
    <row r="3260" spans="1:21" s="344" customFormat="1" outlineLevel="2">
      <c r="A3260" s="356"/>
      <c r="B3260" s="356"/>
      <c r="C3260" s="405">
        <v>3110701</v>
      </c>
      <c r="D3260" s="345" t="s">
        <v>140</v>
      </c>
      <c r="E3260" s="406">
        <v>0</v>
      </c>
      <c r="F3260" s="406"/>
      <c r="G3260" s="406"/>
      <c r="H3260" s="406"/>
      <c r="I3260" s="324">
        <f t="shared" si="2358"/>
        <v>0</v>
      </c>
      <c r="J3260" s="406"/>
      <c r="K3260" s="406"/>
      <c r="L3260" s="317">
        <f t="shared" si="2343"/>
        <v>0</v>
      </c>
      <c r="M3260" s="317"/>
      <c r="N3260" s="372">
        <f t="shared" si="2349"/>
        <v>0</v>
      </c>
      <c r="O3260" s="336">
        <f t="shared" si="2367"/>
        <v>0</v>
      </c>
      <c r="P3260" s="319">
        <f t="shared" si="2374"/>
        <v>0</v>
      </c>
      <c r="R3260" s="317"/>
      <c r="U3260" s="320"/>
    </row>
    <row r="3261" spans="1:21" s="344" customFormat="1" outlineLevel="2">
      <c r="A3261" s="345"/>
      <c r="B3261" s="345"/>
      <c r="C3261" s="328">
        <v>3111000</v>
      </c>
      <c r="D3261" s="326" t="s">
        <v>69</v>
      </c>
      <c r="E3261" s="461">
        <f>E3262+E3263+E3264</f>
        <v>1248994.8045999999</v>
      </c>
      <c r="F3261" s="461">
        <f t="shared" ref="F3261:P3261" si="2379">F3262+F3263+F3264</f>
        <v>1320300</v>
      </c>
      <c r="G3261" s="461">
        <f t="shared" si="2379"/>
        <v>0</v>
      </c>
      <c r="H3261" s="461">
        <f t="shared" si="2379"/>
        <v>0</v>
      </c>
      <c r="I3261" s="461">
        <f t="shared" si="2379"/>
        <v>2569294.8045999999</v>
      </c>
      <c r="J3261" s="461">
        <f t="shared" si="2379"/>
        <v>0</v>
      </c>
      <c r="K3261" s="461">
        <f t="shared" si="2379"/>
        <v>0</v>
      </c>
      <c r="L3261" s="317">
        <f t="shared" si="2343"/>
        <v>2569294.8045999999</v>
      </c>
      <c r="M3261" s="317"/>
      <c r="N3261" s="372">
        <f t="shared" si="2349"/>
        <v>0</v>
      </c>
      <c r="O3261" s="461">
        <f t="shared" si="2379"/>
        <v>2826224.2850600001</v>
      </c>
      <c r="P3261" s="461">
        <f t="shared" si="2379"/>
        <v>3108846.7135660006</v>
      </c>
      <c r="R3261" s="317"/>
      <c r="U3261" s="320"/>
    </row>
    <row r="3262" spans="1:21" s="344" customFormat="1" outlineLevel="2">
      <c r="A3262" s="345"/>
      <c r="B3262" s="345"/>
      <c r="C3262" s="405">
        <v>3111001</v>
      </c>
      <c r="D3262" s="345" t="s">
        <v>70</v>
      </c>
      <c r="E3262" s="406">
        <f>2132994.8046-1000000-500000</f>
        <v>632994.80459999992</v>
      </c>
      <c r="F3262" s="406"/>
      <c r="G3262" s="406"/>
      <c r="H3262" s="406"/>
      <c r="I3262" s="324">
        <f t="shared" si="2358"/>
        <v>632994.80459999992</v>
      </c>
      <c r="J3262" s="406"/>
      <c r="K3262" s="406"/>
      <c r="L3262" s="317">
        <f t="shared" si="2343"/>
        <v>632994.80459999992</v>
      </c>
      <c r="M3262" s="317"/>
      <c r="N3262" s="372">
        <f t="shared" si="2349"/>
        <v>0</v>
      </c>
      <c r="O3262" s="336">
        <f t="shared" si="2367"/>
        <v>696294.28505999991</v>
      </c>
      <c r="P3262" s="319">
        <f t="shared" si="2374"/>
        <v>765923.71356599999</v>
      </c>
      <c r="R3262" s="317"/>
      <c r="U3262" s="320"/>
    </row>
    <row r="3263" spans="1:21" s="325" customFormat="1" outlineLevel="2">
      <c r="A3263" s="345"/>
      <c r="B3263" s="345"/>
      <c r="C3263" s="405">
        <v>3111002</v>
      </c>
      <c r="D3263" s="345" t="s">
        <v>71</v>
      </c>
      <c r="E3263" s="406">
        <v>500000</v>
      </c>
      <c r="F3263" s="406">
        <v>1320300</v>
      </c>
      <c r="G3263" s="406"/>
      <c r="H3263" s="406"/>
      <c r="I3263" s="324">
        <f t="shared" si="2358"/>
        <v>1820300</v>
      </c>
      <c r="J3263" s="406"/>
      <c r="K3263" s="406"/>
      <c r="L3263" s="317">
        <f t="shared" si="2343"/>
        <v>1820300</v>
      </c>
      <c r="M3263" s="317"/>
      <c r="N3263" s="372">
        <f t="shared" si="2349"/>
        <v>0</v>
      </c>
      <c r="O3263" s="336">
        <f t="shared" si="2367"/>
        <v>2002330.0000000002</v>
      </c>
      <c r="P3263" s="319">
        <f t="shared" si="2374"/>
        <v>2202563.0000000005</v>
      </c>
      <c r="R3263" s="317"/>
      <c r="U3263" s="320"/>
    </row>
    <row r="3264" spans="1:21" s="344" customFormat="1" outlineLevel="2">
      <c r="A3264" s="345"/>
      <c r="B3264" s="345"/>
      <c r="C3264" s="405">
        <v>3111009</v>
      </c>
      <c r="D3264" s="345" t="s">
        <v>253</v>
      </c>
      <c r="E3264" s="406">
        <v>116000</v>
      </c>
      <c r="F3264" s="406"/>
      <c r="G3264" s="406"/>
      <c r="H3264" s="406"/>
      <c r="I3264" s="324">
        <f t="shared" si="2358"/>
        <v>116000</v>
      </c>
      <c r="J3264" s="406"/>
      <c r="K3264" s="406"/>
      <c r="L3264" s="317">
        <f t="shared" si="2343"/>
        <v>116000</v>
      </c>
      <c r="M3264" s="317"/>
      <c r="N3264" s="372">
        <f t="shared" si="2349"/>
        <v>0</v>
      </c>
      <c r="O3264" s="336">
        <f t="shared" si="2367"/>
        <v>127600.00000000001</v>
      </c>
      <c r="P3264" s="319">
        <f t="shared" si="2374"/>
        <v>140360.00000000003</v>
      </c>
      <c r="R3264" s="317"/>
      <c r="U3264" s="320"/>
    </row>
    <row r="3265" spans="1:21" s="344" customFormat="1" outlineLevel="2">
      <c r="A3265" s="326"/>
      <c r="B3265" s="326"/>
      <c r="C3265" s="328">
        <v>4110400</v>
      </c>
      <c r="D3265" s="326" t="s">
        <v>1245</v>
      </c>
      <c r="E3265" s="461">
        <f>E3266</f>
        <v>40000000</v>
      </c>
      <c r="F3265" s="461">
        <f t="shared" ref="F3265:Q3265" si="2380">F3266</f>
        <v>0</v>
      </c>
      <c r="G3265" s="461">
        <f t="shared" si="2380"/>
        <v>0</v>
      </c>
      <c r="H3265" s="461">
        <f t="shared" si="2380"/>
        <v>0</v>
      </c>
      <c r="I3265" s="461">
        <f t="shared" si="2380"/>
        <v>40000000</v>
      </c>
      <c r="J3265" s="461">
        <f t="shared" si="2380"/>
        <v>0</v>
      </c>
      <c r="K3265" s="461">
        <f t="shared" si="2380"/>
        <v>0</v>
      </c>
      <c r="L3265" s="317">
        <f t="shared" si="2343"/>
        <v>40000000</v>
      </c>
      <c r="M3265" s="317"/>
      <c r="N3265" s="372">
        <f t="shared" si="2349"/>
        <v>0</v>
      </c>
      <c r="O3265" s="461">
        <f t="shared" si="2380"/>
        <v>44000000</v>
      </c>
      <c r="P3265" s="461">
        <f t="shared" si="2380"/>
        <v>48400000.000000007</v>
      </c>
      <c r="Q3265" s="461">
        <f t="shared" si="2380"/>
        <v>0</v>
      </c>
      <c r="R3265" s="317"/>
      <c r="U3265" s="320"/>
    </row>
    <row r="3266" spans="1:21" s="344" customFormat="1" outlineLevel="2">
      <c r="A3266" s="345"/>
      <c r="B3266" s="345"/>
      <c r="C3266" s="405">
        <v>4110403</v>
      </c>
      <c r="D3266" s="345" t="s">
        <v>2447</v>
      </c>
      <c r="E3266" s="406">
        <f>35000000+5000000</f>
        <v>40000000</v>
      </c>
      <c r="F3266" s="406">
        <v>0</v>
      </c>
      <c r="G3266" s="406"/>
      <c r="H3266" s="406"/>
      <c r="I3266" s="324">
        <f t="shared" si="2358"/>
        <v>40000000</v>
      </c>
      <c r="J3266" s="406"/>
      <c r="K3266" s="406"/>
      <c r="L3266" s="317">
        <f t="shared" si="2343"/>
        <v>40000000</v>
      </c>
      <c r="M3266" s="317"/>
      <c r="N3266" s="372">
        <f t="shared" si="2349"/>
        <v>0</v>
      </c>
      <c r="O3266" s="336">
        <f t="shared" si="2367"/>
        <v>44000000</v>
      </c>
      <c r="P3266" s="319">
        <f t="shared" si="2374"/>
        <v>48400000.000000007</v>
      </c>
      <c r="R3266" s="317"/>
      <c r="U3266" s="320"/>
    </row>
    <row r="3267" spans="1:21" s="344" customFormat="1" outlineLevel="1">
      <c r="A3267" s="345"/>
      <c r="B3267" s="345"/>
      <c r="C3267" s="314"/>
      <c r="D3267" s="447" t="s">
        <v>128</v>
      </c>
      <c r="E3267" s="438">
        <f>E3215+E3217+E3219+E3222+E3226+E3231+E3233+E3237+E3243+E3246+E3250+E3252+E3254+E3257+E3259+E3261+E3265</f>
        <v>273097523.81</v>
      </c>
      <c r="F3267" s="438">
        <f t="shared" ref="F3267:K3267" si="2381">F3215+F3217+F3219+F3222+F3226+F3231+F3233+F3237+F3243+F3246+F3250+F3252+F3254+F3257+F3259+F3261+F3265</f>
        <v>9381140.3671903983</v>
      </c>
      <c r="G3267" s="438">
        <f t="shared" si="2381"/>
        <v>0</v>
      </c>
      <c r="H3267" s="438">
        <f t="shared" si="2381"/>
        <v>0</v>
      </c>
      <c r="I3267" s="438">
        <f t="shared" si="2381"/>
        <v>282478664.17719042</v>
      </c>
      <c r="J3267" s="438">
        <f t="shared" si="2381"/>
        <v>0</v>
      </c>
      <c r="K3267" s="438">
        <f t="shared" si="2381"/>
        <v>0</v>
      </c>
      <c r="L3267" s="317">
        <f t="shared" si="2343"/>
        <v>282478664.17719042</v>
      </c>
      <c r="M3267" s="317"/>
      <c r="N3267" s="372">
        <f t="shared" si="2349"/>
        <v>0</v>
      </c>
      <c r="O3267" s="438">
        <f t="shared" ref="O3267:P3267" si="2382">O3215+O3217+O3219+O3222+O3226+O3231+O3233+O3237+O3243+O3246+O3250+O3252+O3254+O3257+O3259+O3261+O3265</f>
        <v>310726530.59490943</v>
      </c>
      <c r="P3267" s="438">
        <f t="shared" si="2382"/>
        <v>341799183.65440035</v>
      </c>
      <c r="R3267" s="317"/>
      <c r="U3267" s="320"/>
    </row>
    <row r="3268" spans="1:21" s="344" customFormat="1" outlineLevel="1">
      <c r="A3268" s="345"/>
      <c r="B3268" s="345"/>
      <c r="C3268" s="314"/>
      <c r="D3268" s="447"/>
      <c r="E3268" s="438"/>
      <c r="F3268" s="438"/>
      <c r="G3268" s="438"/>
      <c r="H3268" s="438"/>
      <c r="I3268" s="324">
        <f t="shared" si="2358"/>
        <v>0</v>
      </c>
      <c r="J3268" s="438"/>
      <c r="K3268" s="438"/>
      <c r="L3268" s="317">
        <f t="shared" si="2343"/>
        <v>0</v>
      </c>
      <c r="M3268" s="317"/>
      <c r="N3268" s="372">
        <f t="shared" si="2349"/>
        <v>0</v>
      </c>
      <c r="O3268" s="336">
        <f t="shared" si="2367"/>
        <v>0</v>
      </c>
      <c r="P3268" s="797"/>
      <c r="R3268" s="317"/>
      <c r="U3268" s="320"/>
    </row>
    <row r="3269" spans="1:21" s="344" customFormat="1" outlineLevel="1">
      <c r="A3269" s="345"/>
      <c r="B3269" s="345"/>
      <c r="C3269" s="314"/>
      <c r="D3269" s="326" t="s">
        <v>92</v>
      </c>
      <c r="E3269" s="461"/>
      <c r="F3269" s="461"/>
      <c r="G3269" s="461"/>
      <c r="H3269" s="461"/>
      <c r="I3269" s="324">
        <f t="shared" si="2358"/>
        <v>0</v>
      </c>
      <c r="J3269" s="461"/>
      <c r="K3269" s="461"/>
      <c r="L3269" s="317">
        <f t="shared" ref="L3269:L3332" si="2383">I3269+J3269+K3269</f>
        <v>0</v>
      </c>
      <c r="M3269" s="317"/>
      <c r="N3269" s="372">
        <f t="shared" si="2349"/>
        <v>0</v>
      </c>
      <c r="O3269" s="336">
        <f t="shared" si="2367"/>
        <v>0</v>
      </c>
      <c r="P3269" s="797"/>
      <c r="R3269" s="317"/>
      <c r="U3269" s="320"/>
    </row>
    <row r="3270" spans="1:21" s="325" customFormat="1" outlineLevel="1">
      <c r="A3270" s="923"/>
      <c r="B3270" s="923"/>
      <c r="C3270" s="578"/>
      <c r="D3270" s="483" t="s">
        <v>1667</v>
      </c>
      <c r="E3270" s="1046">
        <v>20000000</v>
      </c>
      <c r="F3270" s="1046"/>
      <c r="G3270" s="1046"/>
      <c r="H3270" s="1046"/>
      <c r="I3270" s="324">
        <f t="shared" si="2358"/>
        <v>20000000</v>
      </c>
      <c r="J3270" s="1046">
        <v>-8068675</v>
      </c>
      <c r="K3270" s="1046"/>
      <c r="L3270" s="317">
        <f t="shared" si="2383"/>
        <v>11931325</v>
      </c>
      <c r="M3270" s="317"/>
      <c r="N3270" s="372">
        <f t="shared" si="2349"/>
        <v>0</v>
      </c>
      <c r="O3270" s="336">
        <f t="shared" si="2367"/>
        <v>13124457.500000002</v>
      </c>
      <c r="P3270" s="797">
        <f>O3270*1.1</f>
        <v>14436903.250000004</v>
      </c>
      <c r="R3270" s="317"/>
      <c r="U3270" s="320" t="s">
        <v>1803</v>
      </c>
    </row>
    <row r="3271" spans="1:21" s="344" customFormat="1" outlineLevel="1">
      <c r="A3271" s="345"/>
      <c r="B3271" s="345"/>
      <c r="C3271" s="314"/>
      <c r="D3271" s="345" t="s">
        <v>1510</v>
      </c>
      <c r="E3271" s="406">
        <v>37500000</v>
      </c>
      <c r="F3271" s="406">
        <v>39666973.549999997</v>
      </c>
      <c r="G3271" s="406"/>
      <c r="H3271" s="406">
        <f>-37500000+37500000</f>
        <v>0</v>
      </c>
      <c r="I3271" s="324">
        <f t="shared" si="2358"/>
        <v>77166973.549999997</v>
      </c>
      <c r="J3271" s="406"/>
      <c r="K3271" s="406"/>
      <c r="L3271" s="317">
        <f t="shared" si="2383"/>
        <v>77166973.549999997</v>
      </c>
      <c r="M3271" s="317"/>
      <c r="N3271" s="372">
        <f t="shared" si="2349"/>
        <v>0</v>
      </c>
      <c r="O3271" s="336">
        <f t="shared" si="2367"/>
        <v>84883670.905000001</v>
      </c>
      <c r="P3271" s="319">
        <f t="shared" ref="P3271:P3272" si="2384">O3271*1.1</f>
        <v>93372037.995500013</v>
      </c>
      <c r="R3271" s="317"/>
      <c r="U3271" s="320"/>
    </row>
    <row r="3272" spans="1:21" s="344" customFormat="1" outlineLevel="1">
      <c r="A3272" s="345"/>
      <c r="B3272" s="345"/>
      <c r="C3272" s="314"/>
      <c r="D3272" s="345" t="s">
        <v>2029</v>
      </c>
      <c r="E3272" s="406">
        <v>5625000</v>
      </c>
      <c r="F3272" s="406"/>
      <c r="G3272" s="406"/>
      <c r="H3272" s="406">
        <f>-5625000+5625000</f>
        <v>0</v>
      </c>
      <c r="I3272" s="324">
        <f t="shared" si="2358"/>
        <v>5625000</v>
      </c>
      <c r="J3272" s="406"/>
      <c r="K3272" s="406"/>
      <c r="L3272" s="317">
        <f t="shared" si="2383"/>
        <v>5625000</v>
      </c>
      <c r="M3272" s="317"/>
      <c r="N3272" s="372">
        <f t="shared" si="2349"/>
        <v>0</v>
      </c>
      <c r="O3272" s="336">
        <f t="shared" si="2367"/>
        <v>6187500.0000000009</v>
      </c>
      <c r="P3272" s="319">
        <f t="shared" si="2384"/>
        <v>6806250.0000000019</v>
      </c>
      <c r="R3272" s="317"/>
      <c r="U3272" s="320"/>
    </row>
    <row r="3273" spans="1:21" s="344" customFormat="1" outlineLevel="1">
      <c r="A3273" s="506"/>
      <c r="B3273" s="506"/>
      <c r="C3273" s="322"/>
      <c r="D3273" s="493" t="s">
        <v>261</v>
      </c>
      <c r="E3273" s="665">
        <f>E3271+E3270+E3272</f>
        <v>63125000</v>
      </c>
      <c r="F3273" s="665">
        <f t="shared" ref="F3273:K3273" si="2385">F3271+F3270+F3272</f>
        <v>39666973.549999997</v>
      </c>
      <c r="G3273" s="665">
        <f t="shared" si="2385"/>
        <v>0</v>
      </c>
      <c r="H3273" s="665">
        <f t="shared" si="2385"/>
        <v>0</v>
      </c>
      <c r="I3273" s="665">
        <f t="shared" si="2385"/>
        <v>102791973.55</v>
      </c>
      <c r="J3273" s="665">
        <f t="shared" si="2385"/>
        <v>-8068675</v>
      </c>
      <c r="K3273" s="665">
        <f t="shared" si="2385"/>
        <v>0</v>
      </c>
      <c r="L3273" s="317">
        <f t="shared" si="2383"/>
        <v>94723298.549999997</v>
      </c>
      <c r="M3273" s="2211"/>
      <c r="N3273" s="372">
        <f t="shared" ref="N3273:N3336" si="2386">M3273-K3273</f>
        <v>0</v>
      </c>
      <c r="O3273" s="665">
        <f t="shared" ref="O3273:P3273" si="2387">O3271+O3270+O3272</f>
        <v>104195628.405</v>
      </c>
      <c r="P3273" s="665">
        <f t="shared" si="2387"/>
        <v>114615191.24550001</v>
      </c>
      <c r="R3273" s="317"/>
      <c r="U3273" s="320"/>
    </row>
    <row r="3274" spans="1:21" s="344" customFormat="1" outlineLevel="1">
      <c r="A3274" s="345"/>
      <c r="B3274" s="345"/>
      <c r="C3274" s="314"/>
      <c r="D3274" s="447" t="s">
        <v>580</v>
      </c>
      <c r="E3274" s="438">
        <f>E3267+E3273</f>
        <v>336222523.81</v>
      </c>
      <c r="F3274" s="438">
        <f t="shared" ref="F3274:P3274" si="2388">F3267+F3273</f>
        <v>49048113.917190395</v>
      </c>
      <c r="G3274" s="438">
        <f t="shared" si="2388"/>
        <v>0</v>
      </c>
      <c r="H3274" s="438">
        <f t="shared" si="2388"/>
        <v>0</v>
      </c>
      <c r="I3274" s="438">
        <f t="shared" si="2388"/>
        <v>385270637.72719043</v>
      </c>
      <c r="J3274" s="438">
        <f t="shared" si="2388"/>
        <v>-8068675</v>
      </c>
      <c r="K3274" s="438">
        <f t="shared" si="2388"/>
        <v>0</v>
      </c>
      <c r="L3274" s="317">
        <f t="shared" si="2383"/>
        <v>377201962.72719043</v>
      </c>
      <c r="M3274" s="317"/>
      <c r="N3274" s="372">
        <f t="shared" si="2386"/>
        <v>0</v>
      </c>
      <c r="O3274" s="438">
        <f t="shared" si="2388"/>
        <v>414922158.9999094</v>
      </c>
      <c r="P3274" s="438">
        <f t="shared" si="2388"/>
        <v>456414374.89990038</v>
      </c>
      <c r="R3274" s="317"/>
      <c r="U3274" s="320"/>
    </row>
    <row r="3275" spans="1:21" s="344" customFormat="1" outlineLevel="1">
      <c r="A3275" s="483"/>
      <c r="B3275" s="483"/>
      <c r="C3275" s="659"/>
      <c r="D3275" s="352"/>
      <c r="E3275" s="661"/>
      <c r="F3275" s="661"/>
      <c r="G3275" s="661"/>
      <c r="H3275" s="661"/>
      <c r="I3275" s="324">
        <f t="shared" si="2358"/>
        <v>0</v>
      </c>
      <c r="J3275" s="661"/>
      <c r="K3275" s="661"/>
      <c r="L3275" s="317">
        <f t="shared" si="2383"/>
        <v>0</v>
      </c>
      <c r="M3275" s="317"/>
      <c r="N3275" s="372">
        <f t="shared" si="2386"/>
        <v>0</v>
      </c>
      <c r="O3275" s="336">
        <f t="shared" si="2367"/>
        <v>0</v>
      </c>
      <c r="P3275" s="319"/>
      <c r="R3275" s="317"/>
      <c r="U3275" s="320"/>
    </row>
    <row r="3276" spans="1:21" s="344" customFormat="1" outlineLevel="1">
      <c r="A3276" s="345"/>
      <c r="B3276" s="345"/>
      <c r="C3276" s="314" t="s">
        <v>621</v>
      </c>
      <c r="D3276" s="447"/>
      <c r="E3276" s="438"/>
      <c r="F3276" s="438"/>
      <c r="G3276" s="438"/>
      <c r="H3276" s="438"/>
      <c r="I3276" s="324">
        <f t="shared" si="2358"/>
        <v>0</v>
      </c>
      <c r="J3276" s="438"/>
      <c r="K3276" s="438"/>
      <c r="L3276" s="317">
        <f t="shared" si="2383"/>
        <v>0</v>
      </c>
      <c r="M3276" s="317"/>
      <c r="N3276" s="372">
        <f t="shared" si="2386"/>
        <v>0</v>
      </c>
      <c r="O3276" s="336">
        <f t="shared" si="2367"/>
        <v>0</v>
      </c>
      <c r="P3276" s="319">
        <f t="shared" si="2374"/>
        <v>0</v>
      </c>
      <c r="R3276" s="317"/>
      <c r="U3276" s="320"/>
    </row>
    <row r="3277" spans="1:21" s="344" customFormat="1" outlineLevel="1">
      <c r="A3277" s="506"/>
      <c r="B3277" s="506"/>
      <c r="C3277" s="992" t="s">
        <v>622</v>
      </c>
      <c r="D3277" s="358"/>
      <c r="E3277" s="999"/>
      <c r="F3277" s="999"/>
      <c r="G3277" s="999"/>
      <c r="H3277" s="999"/>
      <c r="I3277" s="324">
        <f t="shared" si="2358"/>
        <v>0</v>
      </c>
      <c r="J3277" s="999"/>
      <c r="K3277" s="999"/>
      <c r="L3277" s="317">
        <f t="shared" si="2383"/>
        <v>0</v>
      </c>
      <c r="M3277" s="317"/>
      <c r="N3277" s="372">
        <f t="shared" si="2386"/>
        <v>0</v>
      </c>
      <c r="O3277" s="336">
        <f t="shared" si="2367"/>
        <v>0</v>
      </c>
      <c r="P3277" s="319">
        <f t="shared" si="2374"/>
        <v>0</v>
      </c>
      <c r="R3277" s="317"/>
      <c r="U3277" s="320"/>
    </row>
    <row r="3278" spans="1:21" s="344" customFormat="1" outlineLevel="1">
      <c r="A3278" s="345"/>
      <c r="B3278" s="345"/>
      <c r="C3278" s="340" t="s">
        <v>623</v>
      </c>
      <c r="D3278" s="338"/>
      <c r="E3278" s="397"/>
      <c r="F3278" s="397"/>
      <c r="G3278" s="397"/>
      <c r="H3278" s="397"/>
      <c r="I3278" s="397"/>
      <c r="J3278" s="397"/>
      <c r="K3278" s="397"/>
      <c r="L3278" s="317">
        <f t="shared" si="2383"/>
        <v>0</v>
      </c>
      <c r="M3278" s="317"/>
      <c r="N3278" s="372">
        <f t="shared" si="2386"/>
        <v>0</v>
      </c>
      <c r="O3278" s="397"/>
      <c r="P3278" s="397"/>
      <c r="R3278" s="317"/>
      <c r="U3278" s="320"/>
    </row>
    <row r="3279" spans="1:21" s="344" customFormat="1" outlineLevel="2">
      <c r="A3279" s="345"/>
      <c r="B3279" s="345"/>
      <c r="C3279" s="328">
        <v>2210100</v>
      </c>
      <c r="D3279" s="326" t="s">
        <v>16</v>
      </c>
      <c r="E3279" s="461">
        <f>E3280+E3281</f>
        <v>175000</v>
      </c>
      <c r="F3279" s="461">
        <f t="shared" ref="F3279:K3279" si="2389">F3280+F3281</f>
        <v>0</v>
      </c>
      <c r="G3279" s="461">
        <f t="shared" si="2389"/>
        <v>0</v>
      </c>
      <c r="H3279" s="461">
        <f t="shared" si="2389"/>
        <v>0</v>
      </c>
      <c r="I3279" s="461">
        <f t="shared" si="2389"/>
        <v>175000</v>
      </c>
      <c r="J3279" s="461">
        <f t="shared" si="2389"/>
        <v>0</v>
      </c>
      <c r="K3279" s="461">
        <f t="shared" si="2389"/>
        <v>-175000</v>
      </c>
      <c r="L3279" s="317">
        <f t="shared" si="2383"/>
        <v>0</v>
      </c>
      <c r="M3279" s="317"/>
      <c r="N3279" s="372">
        <f t="shared" si="2386"/>
        <v>175000</v>
      </c>
      <c r="O3279" s="461">
        <f t="shared" ref="O3279:P3279" si="2390">O3280+O3281</f>
        <v>0</v>
      </c>
      <c r="P3279" s="461">
        <f t="shared" si="2390"/>
        <v>0</v>
      </c>
      <c r="R3279" s="317"/>
      <c r="U3279" s="320"/>
    </row>
    <row r="3280" spans="1:21" s="344" customFormat="1" outlineLevel="2">
      <c r="A3280" s="345"/>
      <c r="B3280" s="345"/>
      <c r="C3280" s="405">
        <v>2210101</v>
      </c>
      <c r="D3280" s="345" t="s">
        <v>17</v>
      </c>
      <c r="E3280" s="406">
        <v>135000</v>
      </c>
      <c r="F3280" s="406"/>
      <c r="G3280" s="406"/>
      <c r="H3280" s="406"/>
      <c r="I3280" s="324">
        <f t="shared" si="2358"/>
        <v>135000</v>
      </c>
      <c r="J3280" s="406"/>
      <c r="K3280" s="406">
        <v>-135000</v>
      </c>
      <c r="L3280" s="317">
        <f t="shared" si="2383"/>
        <v>0</v>
      </c>
      <c r="M3280" s="317"/>
      <c r="N3280" s="372">
        <f t="shared" si="2386"/>
        <v>135000</v>
      </c>
      <c r="O3280" s="336">
        <f t="shared" si="2367"/>
        <v>0</v>
      </c>
      <c r="P3280" s="319">
        <f t="shared" ref="P3280:P3302" si="2391">O3280*1.1</f>
        <v>0</v>
      </c>
      <c r="R3280" s="317"/>
      <c r="U3280" s="320"/>
    </row>
    <row r="3281" spans="1:21" s="344" customFormat="1" outlineLevel="2">
      <c r="A3281" s="345"/>
      <c r="B3281" s="345"/>
      <c r="C3281" s="405">
        <v>2210102</v>
      </c>
      <c r="D3281" s="345" t="s">
        <v>18</v>
      </c>
      <c r="E3281" s="406">
        <v>40000</v>
      </c>
      <c r="F3281" s="406"/>
      <c r="G3281" s="406"/>
      <c r="H3281" s="406"/>
      <c r="I3281" s="324">
        <f t="shared" si="2358"/>
        <v>40000</v>
      </c>
      <c r="J3281" s="406"/>
      <c r="K3281" s="406">
        <v>-40000</v>
      </c>
      <c r="L3281" s="317">
        <f t="shared" si="2383"/>
        <v>0</v>
      </c>
      <c r="M3281" s="317"/>
      <c r="N3281" s="372">
        <f t="shared" si="2386"/>
        <v>40000</v>
      </c>
      <c r="O3281" s="336">
        <f t="shared" si="2367"/>
        <v>0</v>
      </c>
      <c r="P3281" s="319">
        <f t="shared" si="2391"/>
        <v>0</v>
      </c>
      <c r="R3281" s="317"/>
      <c r="U3281" s="320"/>
    </row>
    <row r="3282" spans="1:21" s="344" customFormat="1" outlineLevel="2">
      <c r="A3282" s="345"/>
      <c r="B3282" s="345"/>
      <c r="C3282" s="328">
        <v>2210200</v>
      </c>
      <c r="D3282" s="326" t="s">
        <v>20</v>
      </c>
      <c r="E3282" s="461">
        <f>E3283</f>
        <v>90000</v>
      </c>
      <c r="F3282" s="461">
        <f t="shared" ref="F3282:I3282" si="2392">F3283</f>
        <v>0</v>
      </c>
      <c r="G3282" s="461">
        <f t="shared" si="2392"/>
        <v>0</v>
      </c>
      <c r="H3282" s="461">
        <f t="shared" si="2392"/>
        <v>0</v>
      </c>
      <c r="I3282" s="461">
        <f t="shared" si="2392"/>
        <v>90000</v>
      </c>
      <c r="J3282" s="461"/>
      <c r="K3282" s="461"/>
      <c r="L3282" s="317">
        <f t="shared" si="2383"/>
        <v>90000</v>
      </c>
      <c r="M3282" s="317"/>
      <c r="N3282" s="372">
        <f t="shared" si="2386"/>
        <v>0</v>
      </c>
      <c r="O3282" s="461">
        <f t="shared" ref="O3282:P3282" si="2393">O3283</f>
        <v>99000.000000000015</v>
      </c>
      <c r="P3282" s="461">
        <f t="shared" si="2393"/>
        <v>108900.00000000003</v>
      </c>
      <c r="R3282" s="317"/>
      <c r="U3282" s="320"/>
    </row>
    <row r="3283" spans="1:21" s="344" customFormat="1" outlineLevel="2">
      <c r="A3283" s="345"/>
      <c r="B3283" s="345"/>
      <c r="C3283" s="405">
        <v>2210201</v>
      </c>
      <c r="D3283" s="345" t="s">
        <v>21</v>
      </c>
      <c r="E3283" s="406">
        <v>90000</v>
      </c>
      <c r="F3283" s="406"/>
      <c r="G3283" s="406"/>
      <c r="H3283" s="406"/>
      <c r="I3283" s="324">
        <f t="shared" si="2358"/>
        <v>90000</v>
      </c>
      <c r="J3283" s="406"/>
      <c r="K3283" s="406"/>
      <c r="L3283" s="317">
        <f t="shared" si="2383"/>
        <v>90000</v>
      </c>
      <c r="M3283" s="317"/>
      <c r="N3283" s="372">
        <f t="shared" si="2386"/>
        <v>0</v>
      </c>
      <c r="O3283" s="336">
        <f t="shared" si="2367"/>
        <v>99000.000000000015</v>
      </c>
      <c r="P3283" s="319">
        <f t="shared" si="2391"/>
        <v>108900.00000000003</v>
      </c>
      <c r="R3283" s="317"/>
      <c r="U3283" s="320"/>
    </row>
    <row r="3284" spans="1:21" s="344" customFormat="1" outlineLevel="2">
      <c r="A3284" s="345"/>
      <c r="B3284" s="345"/>
      <c r="C3284" s="328">
        <v>2210300</v>
      </c>
      <c r="D3284" s="326" t="s">
        <v>24</v>
      </c>
      <c r="E3284" s="461">
        <f>E3285+E3286+E3287+E3288</f>
        <v>4006300</v>
      </c>
      <c r="F3284" s="461">
        <f t="shared" ref="F3284:K3284" si="2394">F3285+F3286+F3287+F3288</f>
        <v>0</v>
      </c>
      <c r="G3284" s="461">
        <f t="shared" si="2394"/>
        <v>0</v>
      </c>
      <c r="H3284" s="461">
        <f t="shared" si="2394"/>
        <v>0</v>
      </c>
      <c r="I3284" s="461">
        <f t="shared" si="2394"/>
        <v>4006300</v>
      </c>
      <c r="J3284" s="461">
        <f t="shared" si="2394"/>
        <v>0</v>
      </c>
      <c r="K3284" s="461">
        <f t="shared" si="2394"/>
        <v>1150300</v>
      </c>
      <c r="L3284" s="317">
        <f t="shared" si="2383"/>
        <v>5156600</v>
      </c>
      <c r="M3284" s="317"/>
      <c r="N3284" s="372">
        <f t="shared" si="2386"/>
        <v>-1150300</v>
      </c>
      <c r="O3284" s="461">
        <f t="shared" ref="O3284:P3284" si="2395">O3285+O3286+O3287+O3288</f>
        <v>5672260.0000000009</v>
      </c>
      <c r="P3284" s="461">
        <f t="shared" si="2395"/>
        <v>6239486.0000000019</v>
      </c>
      <c r="R3284" s="317"/>
      <c r="U3284" s="320"/>
    </row>
    <row r="3285" spans="1:21" s="344" customFormat="1" outlineLevel="2">
      <c r="A3285" s="345"/>
      <c r="B3285" s="345"/>
      <c r="C3285" s="405">
        <v>2210301</v>
      </c>
      <c r="D3285" s="345" t="s">
        <v>25</v>
      </c>
      <c r="E3285" s="406">
        <f>350000+355000</f>
        <v>705000</v>
      </c>
      <c r="F3285" s="406"/>
      <c r="G3285" s="406"/>
      <c r="H3285" s="406"/>
      <c r="I3285" s="324">
        <f t="shared" si="2358"/>
        <v>705000</v>
      </c>
      <c r="J3285" s="406"/>
      <c r="K3285" s="406"/>
      <c r="L3285" s="317">
        <f t="shared" si="2383"/>
        <v>705000</v>
      </c>
      <c r="M3285" s="317"/>
      <c r="N3285" s="372">
        <f t="shared" si="2386"/>
        <v>0</v>
      </c>
      <c r="O3285" s="336">
        <f t="shared" si="2367"/>
        <v>775500.00000000012</v>
      </c>
      <c r="P3285" s="319">
        <f t="shared" si="2391"/>
        <v>853050.00000000023</v>
      </c>
      <c r="R3285" s="317"/>
      <c r="U3285" s="320"/>
    </row>
    <row r="3286" spans="1:21" s="344" customFormat="1" outlineLevel="2">
      <c r="A3286" s="345"/>
      <c r="B3286" s="345"/>
      <c r="C3286" s="405">
        <v>2210302</v>
      </c>
      <c r="D3286" s="345" t="s">
        <v>26</v>
      </c>
      <c r="E3286" s="406">
        <f>2560000-1000000</f>
        <v>1560000</v>
      </c>
      <c r="F3286" s="406"/>
      <c r="G3286" s="406"/>
      <c r="H3286" s="406"/>
      <c r="I3286" s="324">
        <f t="shared" si="2358"/>
        <v>1560000</v>
      </c>
      <c r="J3286" s="406"/>
      <c r="K3286" s="406"/>
      <c r="L3286" s="317">
        <f t="shared" si="2383"/>
        <v>1560000</v>
      </c>
      <c r="M3286" s="317"/>
      <c r="N3286" s="372">
        <f t="shared" si="2386"/>
        <v>0</v>
      </c>
      <c r="O3286" s="336">
        <f t="shared" si="2367"/>
        <v>1716000.0000000002</v>
      </c>
      <c r="P3286" s="319">
        <f t="shared" si="2391"/>
        <v>1887600.0000000005</v>
      </c>
      <c r="R3286" s="317"/>
      <c r="U3286" s="320"/>
    </row>
    <row r="3287" spans="1:21" s="344" customFormat="1" outlineLevel="2">
      <c r="A3287" s="345"/>
      <c r="B3287" s="345"/>
      <c r="C3287" s="405">
        <v>2210303</v>
      </c>
      <c r="D3287" s="345" t="s">
        <v>27</v>
      </c>
      <c r="E3287" s="406">
        <f>2700500-1000000</f>
        <v>1700500</v>
      </c>
      <c r="F3287" s="406"/>
      <c r="G3287" s="406"/>
      <c r="H3287" s="406"/>
      <c r="I3287" s="324">
        <f t="shared" si="2358"/>
        <v>1700500</v>
      </c>
      <c r="J3287" s="406"/>
      <c r="K3287" s="406">
        <v>1150300</v>
      </c>
      <c r="L3287" s="317">
        <f t="shared" si="2383"/>
        <v>2850800</v>
      </c>
      <c r="M3287" s="317"/>
      <c r="N3287" s="372">
        <f t="shared" si="2386"/>
        <v>-1150300</v>
      </c>
      <c r="O3287" s="336">
        <f t="shared" si="2367"/>
        <v>3135880.0000000005</v>
      </c>
      <c r="P3287" s="319">
        <f t="shared" si="2391"/>
        <v>3449468.0000000009</v>
      </c>
      <c r="R3287" s="317"/>
      <c r="U3287" s="320"/>
    </row>
    <row r="3288" spans="1:21" s="344" customFormat="1" outlineLevel="2">
      <c r="A3288" s="345"/>
      <c r="B3288" s="345"/>
      <c r="C3288" s="405">
        <v>2210304</v>
      </c>
      <c r="D3288" s="345" t="s">
        <v>28</v>
      </c>
      <c r="E3288" s="406">
        <v>40800</v>
      </c>
      <c r="F3288" s="406"/>
      <c r="G3288" s="406"/>
      <c r="H3288" s="406"/>
      <c r="I3288" s="324">
        <f t="shared" ref="I3288:I3350" si="2396">E3288+F3288+G3288+H3288</f>
        <v>40800</v>
      </c>
      <c r="J3288" s="406"/>
      <c r="K3288" s="406"/>
      <c r="L3288" s="317">
        <f t="shared" si="2383"/>
        <v>40800</v>
      </c>
      <c r="M3288" s="317"/>
      <c r="N3288" s="372">
        <f t="shared" si="2386"/>
        <v>0</v>
      </c>
      <c r="O3288" s="336">
        <f t="shared" si="2367"/>
        <v>44880</v>
      </c>
      <c r="P3288" s="319">
        <f t="shared" si="2391"/>
        <v>49368.000000000007</v>
      </c>
      <c r="R3288" s="317"/>
      <c r="U3288" s="320"/>
    </row>
    <row r="3289" spans="1:21" s="344" customFormat="1" outlineLevel="2">
      <c r="A3289" s="345"/>
      <c r="B3289" s="345"/>
      <c r="C3289" s="328">
        <v>2210500</v>
      </c>
      <c r="D3289" s="326" t="s">
        <v>31</v>
      </c>
      <c r="E3289" s="461">
        <f>E3290+E3291+E3292</f>
        <v>8566800</v>
      </c>
      <c r="F3289" s="461">
        <f t="shared" ref="F3289:K3289" si="2397">F3290+F3291+F3292</f>
        <v>0</v>
      </c>
      <c r="G3289" s="461">
        <f t="shared" si="2397"/>
        <v>0</v>
      </c>
      <c r="H3289" s="461">
        <f t="shared" si="2397"/>
        <v>0</v>
      </c>
      <c r="I3289" s="461">
        <f t="shared" si="2397"/>
        <v>8566800</v>
      </c>
      <c r="J3289" s="461">
        <f t="shared" si="2397"/>
        <v>0</v>
      </c>
      <c r="K3289" s="461">
        <f t="shared" si="2397"/>
        <v>0</v>
      </c>
      <c r="L3289" s="317">
        <f t="shared" si="2383"/>
        <v>8566800</v>
      </c>
      <c r="M3289" s="317"/>
      <c r="N3289" s="372">
        <f t="shared" si="2386"/>
        <v>0</v>
      </c>
      <c r="O3289" s="461">
        <f t="shared" ref="O3289:P3289" si="2398">O3290+O3291+O3292</f>
        <v>9423480</v>
      </c>
      <c r="P3289" s="461">
        <f t="shared" si="2398"/>
        <v>10365828.000000002</v>
      </c>
      <c r="R3289" s="317"/>
      <c r="U3289" s="320"/>
    </row>
    <row r="3290" spans="1:21" s="344" customFormat="1" outlineLevel="2">
      <c r="A3290" s="345"/>
      <c r="B3290" s="345"/>
      <c r="C3290" s="405">
        <v>2210502</v>
      </c>
      <c r="D3290" s="345" t="s">
        <v>105</v>
      </c>
      <c r="E3290" s="406">
        <f>2450000-500000</f>
        <v>1950000</v>
      </c>
      <c r="F3290" s="406"/>
      <c r="G3290" s="406"/>
      <c r="H3290" s="406"/>
      <c r="I3290" s="324">
        <f t="shared" si="2396"/>
        <v>1950000</v>
      </c>
      <c r="J3290" s="406"/>
      <c r="K3290" s="406"/>
      <c r="L3290" s="317">
        <f t="shared" si="2383"/>
        <v>1950000</v>
      </c>
      <c r="M3290" s="317"/>
      <c r="N3290" s="372">
        <f t="shared" si="2386"/>
        <v>0</v>
      </c>
      <c r="O3290" s="336">
        <f t="shared" si="2367"/>
        <v>2145000</v>
      </c>
      <c r="P3290" s="319">
        <f t="shared" ref="P3290:P3292" si="2399">O3290*1.1</f>
        <v>2359500</v>
      </c>
      <c r="R3290" s="317"/>
      <c r="U3290" s="320"/>
    </row>
    <row r="3291" spans="1:21" s="344" customFormat="1" outlineLevel="2">
      <c r="A3291" s="345"/>
      <c r="B3291" s="345"/>
      <c r="C3291" s="405">
        <v>2210503</v>
      </c>
      <c r="D3291" s="345" t="s">
        <v>32</v>
      </c>
      <c r="E3291" s="406">
        <v>116000</v>
      </c>
      <c r="F3291" s="406"/>
      <c r="G3291" s="406"/>
      <c r="H3291" s="406"/>
      <c r="I3291" s="324">
        <f t="shared" si="2396"/>
        <v>116000</v>
      </c>
      <c r="J3291" s="406"/>
      <c r="K3291" s="406"/>
      <c r="L3291" s="317">
        <f t="shared" si="2383"/>
        <v>116000</v>
      </c>
      <c r="M3291" s="317"/>
      <c r="N3291" s="372">
        <f t="shared" si="2386"/>
        <v>0</v>
      </c>
      <c r="O3291" s="336">
        <f t="shared" si="2367"/>
        <v>127600.00000000001</v>
      </c>
      <c r="P3291" s="319">
        <f t="shared" si="2399"/>
        <v>140360.00000000003</v>
      </c>
      <c r="R3291" s="317"/>
      <c r="U3291" s="320"/>
    </row>
    <row r="3292" spans="1:21" s="344" customFormat="1" outlineLevel="2">
      <c r="A3292" s="345"/>
      <c r="B3292" s="345"/>
      <c r="C3292" s="405">
        <v>2210504</v>
      </c>
      <c r="D3292" s="345" t="s">
        <v>624</v>
      </c>
      <c r="E3292" s="406">
        <v>6500800</v>
      </c>
      <c r="F3292" s="406"/>
      <c r="G3292" s="406"/>
      <c r="H3292" s="406"/>
      <c r="I3292" s="324">
        <f t="shared" si="2396"/>
        <v>6500800</v>
      </c>
      <c r="J3292" s="406"/>
      <c r="K3292" s="406"/>
      <c r="L3292" s="317">
        <f t="shared" si="2383"/>
        <v>6500800</v>
      </c>
      <c r="M3292" s="317"/>
      <c r="N3292" s="372">
        <f t="shared" si="2386"/>
        <v>0</v>
      </c>
      <c r="O3292" s="336">
        <f t="shared" si="2367"/>
        <v>7150880.0000000009</v>
      </c>
      <c r="P3292" s="319">
        <f t="shared" si="2399"/>
        <v>7865968.0000000019</v>
      </c>
      <c r="R3292" s="317"/>
      <c r="U3292" s="320"/>
    </row>
    <row r="3293" spans="1:21" s="344" customFormat="1" outlineLevel="2">
      <c r="A3293" s="345"/>
      <c r="B3293" s="345"/>
      <c r="C3293" s="328">
        <v>2210700</v>
      </c>
      <c r="D3293" s="326" t="s">
        <v>35</v>
      </c>
      <c r="E3293" s="461">
        <f>E3294+E3295+E3296+E3297+E3298</f>
        <v>2801000</v>
      </c>
      <c r="F3293" s="461">
        <f t="shared" ref="F3293:P3293" si="2400">F3294+F3295+F3296+F3297+F3298</f>
        <v>0</v>
      </c>
      <c r="G3293" s="461">
        <f t="shared" si="2400"/>
        <v>0</v>
      </c>
      <c r="H3293" s="461">
        <f t="shared" si="2400"/>
        <v>0</v>
      </c>
      <c r="I3293" s="461">
        <f t="shared" si="2400"/>
        <v>2801000</v>
      </c>
      <c r="J3293" s="461">
        <f t="shared" si="2400"/>
        <v>0</v>
      </c>
      <c r="K3293" s="461">
        <f t="shared" si="2400"/>
        <v>0</v>
      </c>
      <c r="L3293" s="317">
        <f t="shared" si="2383"/>
        <v>2801000</v>
      </c>
      <c r="M3293" s="317"/>
      <c r="N3293" s="372">
        <f t="shared" si="2386"/>
        <v>0</v>
      </c>
      <c r="O3293" s="461">
        <f t="shared" si="2400"/>
        <v>3081100</v>
      </c>
      <c r="P3293" s="461">
        <f t="shared" si="2400"/>
        <v>3389210</v>
      </c>
      <c r="R3293" s="317"/>
      <c r="U3293" s="320"/>
    </row>
    <row r="3294" spans="1:21" s="344" customFormat="1" outlineLevel="2">
      <c r="A3294" s="345"/>
      <c r="B3294" s="345"/>
      <c r="C3294" s="405">
        <v>2210701</v>
      </c>
      <c r="D3294" s="345" t="s">
        <v>36</v>
      </c>
      <c r="E3294" s="406">
        <v>500000</v>
      </c>
      <c r="F3294" s="406"/>
      <c r="G3294" s="406"/>
      <c r="H3294" s="406"/>
      <c r="I3294" s="324">
        <f t="shared" si="2396"/>
        <v>500000</v>
      </c>
      <c r="J3294" s="406"/>
      <c r="K3294" s="406"/>
      <c r="L3294" s="317">
        <f t="shared" si="2383"/>
        <v>500000</v>
      </c>
      <c r="M3294" s="317"/>
      <c r="N3294" s="372">
        <f t="shared" si="2386"/>
        <v>0</v>
      </c>
      <c r="O3294" s="336">
        <f t="shared" si="2367"/>
        <v>550000</v>
      </c>
      <c r="P3294" s="319">
        <f t="shared" si="2391"/>
        <v>605000</v>
      </c>
      <c r="R3294" s="317"/>
      <c r="U3294" s="320"/>
    </row>
    <row r="3295" spans="1:21" s="344" customFormat="1" outlineLevel="2">
      <c r="A3295" s="345"/>
      <c r="B3295" s="345"/>
      <c r="C3295" s="405">
        <v>2210703</v>
      </c>
      <c r="D3295" s="345" t="s">
        <v>107</v>
      </c>
      <c r="E3295" s="406">
        <v>650000</v>
      </c>
      <c r="F3295" s="406"/>
      <c r="G3295" s="406"/>
      <c r="H3295" s="406"/>
      <c r="I3295" s="324">
        <f t="shared" si="2396"/>
        <v>650000</v>
      </c>
      <c r="J3295" s="406"/>
      <c r="K3295" s="406"/>
      <c r="L3295" s="317">
        <f t="shared" si="2383"/>
        <v>650000</v>
      </c>
      <c r="M3295" s="317"/>
      <c r="N3295" s="372">
        <f t="shared" si="2386"/>
        <v>0</v>
      </c>
      <c r="O3295" s="336">
        <f t="shared" si="2367"/>
        <v>715000</v>
      </c>
      <c r="P3295" s="319">
        <f t="shared" si="2391"/>
        <v>786500.00000000012</v>
      </c>
      <c r="R3295" s="317"/>
      <c r="U3295" s="320"/>
    </row>
    <row r="3296" spans="1:21" s="344" customFormat="1" outlineLevel="2">
      <c r="A3296" s="345"/>
      <c r="B3296" s="345"/>
      <c r="C3296" s="405">
        <v>2210704</v>
      </c>
      <c r="D3296" s="345" t="s">
        <v>38</v>
      </c>
      <c r="E3296" s="406">
        <v>554000</v>
      </c>
      <c r="F3296" s="406"/>
      <c r="G3296" s="406"/>
      <c r="H3296" s="406"/>
      <c r="I3296" s="324">
        <f t="shared" si="2396"/>
        <v>554000</v>
      </c>
      <c r="J3296" s="406"/>
      <c r="K3296" s="406"/>
      <c r="L3296" s="317">
        <f t="shared" si="2383"/>
        <v>554000</v>
      </c>
      <c r="M3296" s="317"/>
      <c r="N3296" s="372">
        <f t="shared" si="2386"/>
        <v>0</v>
      </c>
      <c r="O3296" s="336">
        <f t="shared" si="2367"/>
        <v>609400</v>
      </c>
      <c r="P3296" s="319">
        <f t="shared" si="2391"/>
        <v>670340</v>
      </c>
      <c r="R3296" s="317"/>
      <c r="U3296" s="320"/>
    </row>
    <row r="3297" spans="1:21" s="344" customFormat="1" outlineLevel="2">
      <c r="A3297" s="345"/>
      <c r="B3297" s="345"/>
      <c r="C3297" s="405">
        <v>2210710</v>
      </c>
      <c r="D3297" s="345" t="s">
        <v>39</v>
      </c>
      <c r="E3297" s="406">
        <v>329000</v>
      </c>
      <c r="F3297" s="406"/>
      <c r="G3297" s="406"/>
      <c r="H3297" s="406"/>
      <c r="I3297" s="324">
        <f t="shared" si="2396"/>
        <v>329000</v>
      </c>
      <c r="J3297" s="406"/>
      <c r="K3297" s="406"/>
      <c r="L3297" s="317">
        <f t="shared" si="2383"/>
        <v>329000</v>
      </c>
      <c r="M3297" s="317"/>
      <c r="N3297" s="372">
        <f t="shared" si="2386"/>
        <v>0</v>
      </c>
      <c r="O3297" s="336">
        <f t="shared" si="2367"/>
        <v>361900.00000000006</v>
      </c>
      <c r="P3297" s="319">
        <f t="shared" si="2391"/>
        <v>398090.00000000012</v>
      </c>
      <c r="R3297" s="317"/>
      <c r="U3297" s="320"/>
    </row>
    <row r="3298" spans="1:21" s="344" customFormat="1" outlineLevel="2">
      <c r="A3298" s="345"/>
      <c r="B3298" s="345"/>
      <c r="C3298" s="405">
        <v>2210715</v>
      </c>
      <c r="D3298" s="345" t="s">
        <v>40</v>
      </c>
      <c r="E3298" s="406">
        <v>768000</v>
      </c>
      <c r="F3298" s="406"/>
      <c r="G3298" s="406"/>
      <c r="H3298" s="406"/>
      <c r="I3298" s="324">
        <f t="shared" si="2396"/>
        <v>768000</v>
      </c>
      <c r="J3298" s="406"/>
      <c r="K3298" s="406"/>
      <c r="L3298" s="317">
        <f t="shared" si="2383"/>
        <v>768000</v>
      </c>
      <c r="M3298" s="317"/>
      <c r="N3298" s="372">
        <f t="shared" si="2386"/>
        <v>0</v>
      </c>
      <c r="O3298" s="336">
        <f t="shared" si="2367"/>
        <v>844800.00000000012</v>
      </c>
      <c r="P3298" s="319">
        <f t="shared" si="2391"/>
        <v>929280.00000000023</v>
      </c>
      <c r="R3298" s="317"/>
      <c r="U3298" s="320"/>
    </row>
    <row r="3299" spans="1:21" s="344" customFormat="1" outlineLevel="2">
      <c r="A3299" s="345"/>
      <c r="B3299" s="345"/>
      <c r="C3299" s="328">
        <v>2211100</v>
      </c>
      <c r="D3299" s="326" t="s">
        <v>51</v>
      </c>
      <c r="E3299" s="461">
        <f>E3300+E3301+E3302</f>
        <v>1283000</v>
      </c>
      <c r="F3299" s="461">
        <f t="shared" ref="F3299:K3299" si="2401">F3300+F3301+F3302</f>
        <v>0</v>
      </c>
      <c r="G3299" s="461">
        <f t="shared" si="2401"/>
        <v>0</v>
      </c>
      <c r="H3299" s="461">
        <f t="shared" si="2401"/>
        <v>0</v>
      </c>
      <c r="I3299" s="461">
        <f t="shared" si="2401"/>
        <v>1283000</v>
      </c>
      <c r="J3299" s="461">
        <f t="shared" si="2401"/>
        <v>0</v>
      </c>
      <c r="K3299" s="461">
        <f t="shared" si="2401"/>
        <v>0</v>
      </c>
      <c r="L3299" s="317">
        <f t="shared" si="2383"/>
        <v>1283000</v>
      </c>
      <c r="M3299" s="317"/>
      <c r="N3299" s="372">
        <f t="shared" si="2386"/>
        <v>0</v>
      </c>
      <c r="O3299" s="461">
        <f t="shared" ref="O3299:P3299" si="2402">O3300+O3301+O3302</f>
        <v>1411300</v>
      </c>
      <c r="P3299" s="461">
        <f t="shared" si="2402"/>
        <v>1552430</v>
      </c>
      <c r="R3299" s="317"/>
      <c r="U3299" s="320"/>
    </row>
    <row r="3300" spans="1:21" s="344" customFormat="1" outlineLevel="2">
      <c r="A3300" s="345"/>
      <c r="B3300" s="345"/>
      <c r="C3300" s="405">
        <v>2211101</v>
      </c>
      <c r="D3300" s="345" t="s">
        <v>52</v>
      </c>
      <c r="E3300" s="406">
        <v>500000</v>
      </c>
      <c r="F3300" s="406"/>
      <c r="G3300" s="406"/>
      <c r="H3300" s="406"/>
      <c r="I3300" s="324">
        <f t="shared" si="2396"/>
        <v>500000</v>
      </c>
      <c r="J3300" s="406"/>
      <c r="K3300" s="406"/>
      <c r="L3300" s="317">
        <f t="shared" si="2383"/>
        <v>500000</v>
      </c>
      <c r="M3300" s="317"/>
      <c r="N3300" s="372">
        <f t="shared" si="2386"/>
        <v>0</v>
      </c>
      <c r="O3300" s="336">
        <f t="shared" si="2367"/>
        <v>550000</v>
      </c>
      <c r="P3300" s="319">
        <f t="shared" si="2391"/>
        <v>605000</v>
      </c>
      <c r="R3300" s="317"/>
      <c r="U3300" s="320"/>
    </row>
    <row r="3301" spans="1:21" s="344" customFormat="1" outlineLevel="2">
      <c r="A3301" s="345"/>
      <c r="B3301" s="345"/>
      <c r="C3301" s="405">
        <v>2211102</v>
      </c>
      <c r="D3301" s="345" t="s">
        <v>53</v>
      </c>
      <c r="E3301" s="406">
        <v>500000</v>
      </c>
      <c r="F3301" s="406"/>
      <c r="G3301" s="406"/>
      <c r="H3301" s="406"/>
      <c r="I3301" s="324">
        <f t="shared" si="2396"/>
        <v>500000</v>
      </c>
      <c r="J3301" s="406"/>
      <c r="K3301" s="406"/>
      <c r="L3301" s="317">
        <f t="shared" si="2383"/>
        <v>500000</v>
      </c>
      <c r="M3301" s="317"/>
      <c r="N3301" s="372">
        <f t="shared" si="2386"/>
        <v>0</v>
      </c>
      <c r="O3301" s="336">
        <f t="shared" si="2367"/>
        <v>550000</v>
      </c>
      <c r="P3301" s="319">
        <f t="shared" si="2391"/>
        <v>605000</v>
      </c>
      <c r="R3301" s="317"/>
      <c r="U3301" s="320"/>
    </row>
    <row r="3302" spans="1:21" s="344" customFormat="1" outlineLevel="2">
      <c r="A3302" s="345"/>
      <c r="B3302" s="345"/>
      <c r="C3302" s="405">
        <v>2211103</v>
      </c>
      <c r="D3302" s="345" t="s">
        <v>54</v>
      </c>
      <c r="E3302" s="406">
        <v>283000</v>
      </c>
      <c r="F3302" s="406"/>
      <c r="G3302" s="406"/>
      <c r="H3302" s="406"/>
      <c r="I3302" s="324">
        <f t="shared" si="2396"/>
        <v>283000</v>
      </c>
      <c r="J3302" s="406"/>
      <c r="K3302" s="406"/>
      <c r="L3302" s="317">
        <f t="shared" si="2383"/>
        <v>283000</v>
      </c>
      <c r="M3302" s="317"/>
      <c r="N3302" s="372">
        <f t="shared" si="2386"/>
        <v>0</v>
      </c>
      <c r="O3302" s="336">
        <f t="shared" si="2367"/>
        <v>311300</v>
      </c>
      <c r="P3302" s="319">
        <f t="shared" si="2391"/>
        <v>342430</v>
      </c>
      <c r="R3302" s="317"/>
      <c r="U3302" s="320"/>
    </row>
    <row r="3303" spans="1:21" s="344" customFormat="1" outlineLevel="2">
      <c r="A3303" s="345"/>
      <c r="B3303" s="345"/>
      <c r="C3303" s="328">
        <v>2211200</v>
      </c>
      <c r="D3303" s="326" t="s">
        <v>55</v>
      </c>
      <c r="E3303" s="461">
        <f>E3304</f>
        <v>535000</v>
      </c>
      <c r="F3303" s="461">
        <f t="shared" ref="F3303:K3303" si="2403">F3304</f>
        <v>0</v>
      </c>
      <c r="G3303" s="461">
        <f t="shared" si="2403"/>
        <v>0</v>
      </c>
      <c r="H3303" s="461">
        <f t="shared" si="2403"/>
        <v>0</v>
      </c>
      <c r="I3303" s="461">
        <f t="shared" si="2403"/>
        <v>535000</v>
      </c>
      <c r="J3303" s="461">
        <f t="shared" si="2403"/>
        <v>0</v>
      </c>
      <c r="K3303" s="461">
        <f t="shared" si="2403"/>
        <v>0</v>
      </c>
      <c r="L3303" s="317">
        <f t="shared" si="2383"/>
        <v>535000</v>
      </c>
      <c r="M3303" s="317"/>
      <c r="N3303" s="372">
        <f t="shared" si="2386"/>
        <v>0</v>
      </c>
      <c r="O3303" s="461">
        <f t="shared" ref="O3303:P3303" si="2404">O3304</f>
        <v>588500</v>
      </c>
      <c r="P3303" s="461">
        <f t="shared" si="2404"/>
        <v>647350</v>
      </c>
      <c r="R3303" s="317"/>
      <c r="U3303" s="320"/>
    </row>
    <row r="3304" spans="1:21" s="344" customFormat="1" outlineLevel="2">
      <c r="A3304" s="345"/>
      <c r="B3304" s="345"/>
      <c r="C3304" s="405">
        <v>2211201</v>
      </c>
      <c r="D3304" s="345" t="s">
        <v>56</v>
      </c>
      <c r="E3304" s="406">
        <v>535000</v>
      </c>
      <c r="F3304" s="406"/>
      <c r="G3304" s="406"/>
      <c r="H3304" s="406"/>
      <c r="I3304" s="324">
        <f t="shared" si="2396"/>
        <v>535000</v>
      </c>
      <c r="J3304" s="406"/>
      <c r="K3304" s="406"/>
      <c r="L3304" s="317">
        <f t="shared" si="2383"/>
        <v>535000</v>
      </c>
      <c r="M3304" s="317"/>
      <c r="N3304" s="372">
        <f t="shared" si="2386"/>
        <v>0</v>
      </c>
      <c r="O3304" s="336">
        <f t="shared" si="2367"/>
        <v>588500</v>
      </c>
      <c r="P3304" s="319">
        <f t="shared" ref="P3304:P3327" si="2405">O3304*1.1</f>
        <v>647350</v>
      </c>
      <c r="R3304" s="317"/>
      <c r="U3304" s="320"/>
    </row>
    <row r="3305" spans="1:21" s="344" customFormat="1" outlineLevel="2">
      <c r="A3305" s="345"/>
      <c r="B3305" s="345"/>
      <c r="C3305" s="328">
        <v>2211300</v>
      </c>
      <c r="D3305" s="326" t="s">
        <v>57</v>
      </c>
      <c r="E3305" s="461">
        <f>E3306</f>
        <v>1745000</v>
      </c>
      <c r="F3305" s="461">
        <f t="shared" ref="F3305:I3305" si="2406">F3306</f>
        <v>0</v>
      </c>
      <c r="G3305" s="461">
        <f t="shared" si="2406"/>
        <v>0</v>
      </c>
      <c r="H3305" s="461">
        <f t="shared" si="2406"/>
        <v>0</v>
      </c>
      <c r="I3305" s="461">
        <f t="shared" si="2406"/>
        <v>1745000</v>
      </c>
      <c r="J3305" s="461"/>
      <c r="K3305" s="461"/>
      <c r="L3305" s="317">
        <f t="shared" si="2383"/>
        <v>1745000</v>
      </c>
      <c r="M3305" s="317"/>
      <c r="N3305" s="372">
        <f t="shared" si="2386"/>
        <v>0</v>
      </c>
      <c r="O3305" s="461">
        <f t="shared" ref="O3305:P3305" si="2407">O3306</f>
        <v>1919500.0000000002</v>
      </c>
      <c r="P3305" s="461">
        <f t="shared" si="2407"/>
        <v>2111450.0000000005</v>
      </c>
      <c r="R3305" s="317"/>
      <c r="U3305" s="320"/>
    </row>
    <row r="3306" spans="1:21" s="344" customFormat="1" outlineLevel="2">
      <c r="A3306" s="345"/>
      <c r="B3306" s="345"/>
      <c r="C3306" s="405">
        <v>2211320</v>
      </c>
      <c r="D3306" s="345" t="s">
        <v>1511</v>
      </c>
      <c r="E3306" s="406">
        <v>1745000</v>
      </c>
      <c r="F3306" s="406"/>
      <c r="G3306" s="406"/>
      <c r="H3306" s="406"/>
      <c r="I3306" s="324">
        <f t="shared" si="2396"/>
        <v>1745000</v>
      </c>
      <c r="J3306" s="406"/>
      <c r="K3306" s="406"/>
      <c r="L3306" s="317">
        <f t="shared" si="2383"/>
        <v>1745000</v>
      </c>
      <c r="M3306" s="317"/>
      <c r="N3306" s="372">
        <f t="shared" si="2386"/>
        <v>0</v>
      </c>
      <c r="O3306" s="336">
        <f t="shared" si="2367"/>
        <v>1919500.0000000002</v>
      </c>
      <c r="P3306" s="319">
        <f t="shared" si="2405"/>
        <v>2111450.0000000005</v>
      </c>
      <c r="R3306" s="317"/>
      <c r="U3306" s="320"/>
    </row>
    <row r="3307" spans="1:21" s="344" customFormat="1" outlineLevel="2">
      <c r="A3307" s="345"/>
      <c r="B3307" s="345"/>
      <c r="C3307" s="328">
        <v>2220100</v>
      </c>
      <c r="D3307" s="326" t="s">
        <v>62</v>
      </c>
      <c r="E3307" s="461">
        <f>E3308+E3309</f>
        <v>875300</v>
      </c>
      <c r="F3307" s="461">
        <f t="shared" ref="F3307:K3307" si="2408">F3308+F3309</f>
        <v>0</v>
      </c>
      <c r="G3307" s="461">
        <f t="shared" si="2408"/>
        <v>0</v>
      </c>
      <c r="H3307" s="461">
        <f t="shared" si="2408"/>
        <v>0</v>
      </c>
      <c r="I3307" s="461">
        <f t="shared" si="2408"/>
        <v>875300</v>
      </c>
      <c r="J3307" s="461">
        <f t="shared" si="2408"/>
        <v>0</v>
      </c>
      <c r="K3307" s="461">
        <f t="shared" si="2408"/>
        <v>-875300</v>
      </c>
      <c r="L3307" s="317">
        <f t="shared" si="2383"/>
        <v>0</v>
      </c>
      <c r="M3307" s="317"/>
      <c r="N3307" s="372">
        <f t="shared" si="2386"/>
        <v>875300</v>
      </c>
      <c r="O3307" s="461">
        <f t="shared" ref="O3307:P3307" si="2409">O3308+O3309</f>
        <v>0</v>
      </c>
      <c r="P3307" s="461">
        <f t="shared" si="2409"/>
        <v>0</v>
      </c>
      <c r="R3307" s="317"/>
      <c r="U3307" s="320"/>
    </row>
    <row r="3308" spans="1:21" s="344" customFormat="1" outlineLevel="2">
      <c r="A3308" s="345"/>
      <c r="B3308" s="345"/>
      <c r="C3308" s="405">
        <v>2220101</v>
      </c>
      <c r="D3308" s="345" t="s">
        <v>250</v>
      </c>
      <c r="E3308" s="406">
        <v>375000</v>
      </c>
      <c r="F3308" s="406"/>
      <c r="G3308" s="406"/>
      <c r="H3308" s="406"/>
      <c r="I3308" s="324">
        <f t="shared" si="2396"/>
        <v>375000</v>
      </c>
      <c r="J3308" s="406"/>
      <c r="K3308" s="406">
        <v>-375000</v>
      </c>
      <c r="L3308" s="317">
        <f t="shared" si="2383"/>
        <v>0</v>
      </c>
      <c r="M3308" s="317"/>
      <c r="N3308" s="372">
        <f t="shared" si="2386"/>
        <v>375000</v>
      </c>
      <c r="O3308" s="336">
        <f t="shared" ref="O3308:O3369" si="2410">L3308*1.1</f>
        <v>0</v>
      </c>
      <c r="P3308" s="319">
        <f t="shared" si="2405"/>
        <v>0</v>
      </c>
      <c r="R3308" s="317"/>
      <c r="U3308" s="320"/>
    </row>
    <row r="3309" spans="1:21" s="344" customFormat="1" outlineLevel="2">
      <c r="A3309" s="345"/>
      <c r="B3309" s="345"/>
      <c r="C3309" s="405">
        <v>2220105</v>
      </c>
      <c r="D3309" s="345" t="s">
        <v>64</v>
      </c>
      <c r="E3309" s="406">
        <v>500300</v>
      </c>
      <c r="F3309" s="406"/>
      <c r="G3309" s="406"/>
      <c r="H3309" s="406"/>
      <c r="I3309" s="324">
        <f t="shared" si="2396"/>
        <v>500300</v>
      </c>
      <c r="J3309" s="406"/>
      <c r="K3309" s="406">
        <v>-500300</v>
      </c>
      <c r="L3309" s="317">
        <f t="shared" si="2383"/>
        <v>0</v>
      </c>
      <c r="M3309" s="317"/>
      <c r="N3309" s="372">
        <f t="shared" si="2386"/>
        <v>500300</v>
      </c>
      <c r="O3309" s="336">
        <f t="shared" si="2410"/>
        <v>0</v>
      </c>
      <c r="P3309" s="319">
        <f t="shared" si="2405"/>
        <v>0</v>
      </c>
      <c r="R3309" s="317"/>
      <c r="U3309" s="320"/>
    </row>
    <row r="3310" spans="1:21" s="344" customFormat="1" outlineLevel="2">
      <c r="A3310" s="345"/>
      <c r="B3310" s="345"/>
      <c r="C3310" s="328">
        <v>3110300</v>
      </c>
      <c r="D3310" s="326" t="s">
        <v>251</v>
      </c>
      <c r="E3310" s="461">
        <f>E3311</f>
        <v>100000</v>
      </c>
      <c r="F3310" s="461">
        <f t="shared" ref="F3310:K3310" si="2411">F3311</f>
        <v>0</v>
      </c>
      <c r="G3310" s="461">
        <f t="shared" si="2411"/>
        <v>0</v>
      </c>
      <c r="H3310" s="461">
        <f t="shared" si="2411"/>
        <v>0</v>
      </c>
      <c r="I3310" s="461">
        <f t="shared" si="2411"/>
        <v>100000</v>
      </c>
      <c r="J3310" s="461">
        <f t="shared" si="2411"/>
        <v>0</v>
      </c>
      <c r="K3310" s="461">
        <f t="shared" si="2411"/>
        <v>-100000</v>
      </c>
      <c r="L3310" s="317">
        <f t="shared" si="2383"/>
        <v>0</v>
      </c>
      <c r="M3310" s="317"/>
      <c r="N3310" s="372">
        <f t="shared" si="2386"/>
        <v>100000</v>
      </c>
      <c r="O3310" s="461">
        <f t="shared" ref="O3310:P3310" si="2412">O3311</f>
        <v>0</v>
      </c>
      <c r="P3310" s="461">
        <f t="shared" si="2412"/>
        <v>0</v>
      </c>
      <c r="R3310" s="317"/>
      <c r="U3310" s="320"/>
    </row>
    <row r="3311" spans="1:21" s="344" customFormat="1" outlineLevel="2">
      <c r="A3311" s="345"/>
      <c r="B3311" s="345"/>
      <c r="C3311" s="405">
        <v>3110302</v>
      </c>
      <c r="D3311" s="345" t="s">
        <v>252</v>
      </c>
      <c r="E3311" s="406">
        <v>100000</v>
      </c>
      <c r="F3311" s="406"/>
      <c r="G3311" s="406"/>
      <c r="H3311" s="406"/>
      <c r="I3311" s="324">
        <f t="shared" si="2396"/>
        <v>100000</v>
      </c>
      <c r="J3311" s="406"/>
      <c r="K3311" s="406">
        <v>-100000</v>
      </c>
      <c r="L3311" s="317">
        <f t="shared" si="2383"/>
        <v>0</v>
      </c>
      <c r="M3311" s="317"/>
      <c r="N3311" s="372">
        <f t="shared" si="2386"/>
        <v>100000</v>
      </c>
      <c r="O3311" s="336">
        <f t="shared" si="2410"/>
        <v>0</v>
      </c>
      <c r="P3311" s="319">
        <f t="shared" si="2405"/>
        <v>0</v>
      </c>
      <c r="R3311" s="317"/>
      <c r="U3311" s="320"/>
    </row>
    <row r="3312" spans="1:21" s="344" customFormat="1" outlineLevel="2">
      <c r="A3312" s="345"/>
      <c r="B3312" s="345"/>
      <c r="C3312" s="328">
        <v>3111000</v>
      </c>
      <c r="D3312" s="326" t="s">
        <v>69</v>
      </c>
      <c r="E3312" s="461">
        <f>E3313</f>
        <v>457000</v>
      </c>
      <c r="F3312" s="461">
        <f t="shared" ref="F3312:I3312" si="2413">F3313</f>
        <v>0</v>
      </c>
      <c r="G3312" s="461">
        <f t="shared" si="2413"/>
        <v>0</v>
      </c>
      <c r="H3312" s="461">
        <f t="shared" si="2413"/>
        <v>0</v>
      </c>
      <c r="I3312" s="461">
        <f t="shared" si="2413"/>
        <v>457000</v>
      </c>
      <c r="J3312" s="461"/>
      <c r="K3312" s="461"/>
      <c r="L3312" s="317">
        <f t="shared" si="2383"/>
        <v>457000</v>
      </c>
      <c r="M3312" s="317"/>
      <c r="N3312" s="372">
        <f t="shared" si="2386"/>
        <v>0</v>
      </c>
      <c r="O3312" s="461">
        <f t="shared" ref="O3312:P3312" si="2414">O3313</f>
        <v>502700.00000000006</v>
      </c>
      <c r="P3312" s="461">
        <f t="shared" si="2414"/>
        <v>552970.00000000012</v>
      </c>
      <c r="R3312" s="317"/>
      <c r="U3312" s="320"/>
    </row>
    <row r="3313" spans="1:21" s="344" customFormat="1" outlineLevel="2">
      <c r="A3313" s="345"/>
      <c r="B3313" s="345"/>
      <c r="C3313" s="405">
        <v>3111009</v>
      </c>
      <c r="D3313" s="345" t="s">
        <v>625</v>
      </c>
      <c r="E3313" s="406">
        <v>457000</v>
      </c>
      <c r="F3313" s="406"/>
      <c r="G3313" s="406"/>
      <c r="H3313" s="406"/>
      <c r="I3313" s="324">
        <f t="shared" si="2396"/>
        <v>457000</v>
      </c>
      <c r="J3313" s="406"/>
      <c r="K3313" s="406"/>
      <c r="L3313" s="317">
        <f t="shared" si="2383"/>
        <v>457000</v>
      </c>
      <c r="M3313" s="317"/>
      <c r="N3313" s="372">
        <f t="shared" si="2386"/>
        <v>0</v>
      </c>
      <c r="O3313" s="336">
        <f t="shared" si="2410"/>
        <v>502700.00000000006</v>
      </c>
      <c r="P3313" s="319">
        <f t="shared" si="2405"/>
        <v>552970.00000000012</v>
      </c>
      <c r="R3313" s="317"/>
      <c r="U3313" s="320"/>
    </row>
    <row r="3314" spans="1:21" s="344" customFormat="1" outlineLevel="2">
      <c r="A3314" s="345"/>
      <c r="B3314" s="345"/>
      <c r="C3314" s="328">
        <v>3111400</v>
      </c>
      <c r="D3314" s="326" t="s">
        <v>602</v>
      </c>
      <c r="E3314" s="461">
        <f>E3316+E3315</f>
        <v>670568.2596517799</v>
      </c>
      <c r="F3314" s="461">
        <f t="shared" ref="F3314:P3314" si="2415">F3316+F3315</f>
        <v>0</v>
      </c>
      <c r="G3314" s="461">
        <f t="shared" si="2415"/>
        <v>0</v>
      </c>
      <c r="H3314" s="461">
        <f t="shared" si="2415"/>
        <v>0</v>
      </c>
      <c r="I3314" s="461">
        <f t="shared" si="2415"/>
        <v>670568.2596517799</v>
      </c>
      <c r="J3314" s="461">
        <f t="shared" si="2415"/>
        <v>0</v>
      </c>
      <c r="K3314" s="461">
        <f t="shared" si="2415"/>
        <v>0</v>
      </c>
      <c r="L3314" s="317">
        <f t="shared" si="2383"/>
        <v>670568.2596517799</v>
      </c>
      <c r="M3314" s="317"/>
      <c r="N3314" s="372">
        <f t="shared" si="2386"/>
        <v>0</v>
      </c>
      <c r="O3314" s="461">
        <f t="shared" si="2415"/>
        <v>737625.08561695798</v>
      </c>
      <c r="P3314" s="461">
        <f t="shared" si="2415"/>
        <v>811387.59417865379</v>
      </c>
      <c r="R3314" s="317"/>
      <c r="U3314" s="320"/>
    </row>
    <row r="3315" spans="1:21" s="344" customFormat="1" outlineLevel="2">
      <c r="A3315" s="345"/>
      <c r="B3315" s="345"/>
      <c r="C3315" s="405">
        <v>3111401</v>
      </c>
      <c r="D3315" s="345" t="s">
        <v>1512</v>
      </c>
      <c r="E3315" s="406">
        <f>2069568.25965178-1399000</f>
        <v>670568.2596517799</v>
      </c>
      <c r="F3315" s="406"/>
      <c r="G3315" s="406"/>
      <c r="H3315" s="406"/>
      <c r="I3315" s="324">
        <f t="shared" si="2396"/>
        <v>670568.2596517799</v>
      </c>
      <c r="J3315" s="406"/>
      <c r="K3315" s="406"/>
      <c r="L3315" s="317">
        <f t="shared" si="2383"/>
        <v>670568.2596517799</v>
      </c>
      <c r="M3315" s="317"/>
      <c r="N3315" s="372">
        <f t="shared" si="2386"/>
        <v>0</v>
      </c>
      <c r="O3315" s="336">
        <f t="shared" si="2410"/>
        <v>737625.08561695798</v>
      </c>
      <c r="P3315" s="319">
        <f t="shared" si="2405"/>
        <v>811387.59417865379</v>
      </c>
      <c r="R3315" s="317"/>
      <c r="U3315" s="320"/>
    </row>
    <row r="3316" spans="1:21" s="344" customFormat="1" outlineLevel="2">
      <c r="A3316" s="345"/>
      <c r="B3316" s="345"/>
      <c r="C3316" s="405">
        <v>3111401</v>
      </c>
      <c r="D3316" s="345" t="s">
        <v>1513</v>
      </c>
      <c r="E3316" s="406">
        <v>0</v>
      </c>
      <c r="F3316" s="406"/>
      <c r="G3316" s="406"/>
      <c r="H3316" s="406"/>
      <c r="I3316" s="324">
        <f t="shared" si="2396"/>
        <v>0</v>
      </c>
      <c r="J3316" s="406"/>
      <c r="K3316" s="406"/>
      <c r="L3316" s="317">
        <f t="shared" si="2383"/>
        <v>0</v>
      </c>
      <c r="M3316" s="317"/>
      <c r="N3316" s="372">
        <f t="shared" si="2386"/>
        <v>0</v>
      </c>
      <c r="O3316" s="336">
        <f t="shared" si="2410"/>
        <v>0</v>
      </c>
      <c r="P3316" s="319">
        <f t="shared" si="2405"/>
        <v>0</v>
      </c>
      <c r="R3316" s="317"/>
      <c r="U3316" s="320"/>
    </row>
    <row r="3317" spans="1:21" s="344" customFormat="1" outlineLevel="2">
      <c r="A3317" s="345"/>
      <c r="B3317" s="345"/>
      <c r="C3317" s="405"/>
      <c r="D3317" s="345"/>
      <c r="E3317" s="406"/>
      <c r="F3317" s="406"/>
      <c r="G3317" s="406"/>
      <c r="H3317" s="406"/>
      <c r="I3317" s="324">
        <f t="shared" si="2396"/>
        <v>0</v>
      </c>
      <c r="J3317" s="406"/>
      <c r="K3317" s="406"/>
      <c r="L3317" s="317">
        <f t="shared" si="2383"/>
        <v>0</v>
      </c>
      <c r="M3317" s="317"/>
      <c r="N3317" s="372">
        <f t="shared" si="2386"/>
        <v>0</v>
      </c>
      <c r="O3317" s="336">
        <f t="shared" si="2410"/>
        <v>0</v>
      </c>
      <c r="P3317" s="319"/>
      <c r="R3317" s="317"/>
      <c r="U3317" s="320"/>
    </row>
    <row r="3318" spans="1:21" s="344" customFormat="1" outlineLevel="2">
      <c r="A3318" s="345"/>
      <c r="B3318" s="345"/>
      <c r="C3318" s="405"/>
      <c r="D3318" s="345"/>
      <c r="E3318" s="406"/>
      <c r="F3318" s="406"/>
      <c r="G3318" s="406"/>
      <c r="H3318" s="406"/>
      <c r="I3318" s="324">
        <f t="shared" si="2396"/>
        <v>0</v>
      </c>
      <c r="J3318" s="406"/>
      <c r="K3318" s="406"/>
      <c r="L3318" s="317">
        <f t="shared" si="2383"/>
        <v>0</v>
      </c>
      <c r="M3318" s="317"/>
      <c r="N3318" s="372">
        <f t="shared" si="2386"/>
        <v>0</v>
      </c>
      <c r="O3318" s="336">
        <f t="shared" si="2410"/>
        <v>0</v>
      </c>
      <c r="P3318" s="319"/>
      <c r="R3318" s="317"/>
      <c r="U3318" s="320"/>
    </row>
    <row r="3319" spans="1:21" s="344" customFormat="1" outlineLevel="2">
      <c r="A3319" s="345"/>
      <c r="B3319" s="345"/>
      <c r="C3319" s="405"/>
      <c r="D3319" s="345"/>
      <c r="E3319" s="406"/>
      <c r="F3319" s="406"/>
      <c r="G3319" s="406"/>
      <c r="H3319" s="406"/>
      <c r="I3319" s="324">
        <f t="shared" si="2396"/>
        <v>0</v>
      </c>
      <c r="J3319" s="406"/>
      <c r="K3319" s="406"/>
      <c r="L3319" s="317">
        <f t="shared" si="2383"/>
        <v>0</v>
      </c>
      <c r="M3319" s="317"/>
      <c r="N3319" s="372">
        <f t="shared" si="2386"/>
        <v>0</v>
      </c>
      <c r="O3319" s="336">
        <f t="shared" si="2410"/>
        <v>0</v>
      </c>
      <c r="P3319" s="319"/>
      <c r="R3319" s="317"/>
      <c r="U3319" s="320"/>
    </row>
    <row r="3320" spans="1:21" s="344" customFormat="1" outlineLevel="1">
      <c r="A3320" s="345"/>
      <c r="B3320" s="345"/>
      <c r="C3320" s="314"/>
      <c r="D3320" s="447" t="s">
        <v>128</v>
      </c>
      <c r="E3320" s="438">
        <f>E3279+E3282+E3284+E3289+E3293+E3299+E3303+E3305+E3307+E3310+E3312+E3314</f>
        <v>21304968.25965178</v>
      </c>
      <c r="F3320" s="438">
        <f t="shared" ref="F3320:K3320" si="2416">F3279+F3282+F3284+F3289+F3293+F3299+F3303+F3305+F3307+F3310+F3312+F3314</f>
        <v>0</v>
      </c>
      <c r="G3320" s="438">
        <f t="shared" si="2416"/>
        <v>0</v>
      </c>
      <c r="H3320" s="438">
        <f t="shared" si="2416"/>
        <v>0</v>
      </c>
      <c r="I3320" s="438">
        <f t="shared" si="2416"/>
        <v>21304968.25965178</v>
      </c>
      <c r="J3320" s="438">
        <f t="shared" si="2416"/>
        <v>0</v>
      </c>
      <c r="K3320" s="438">
        <f t="shared" si="2416"/>
        <v>0</v>
      </c>
      <c r="L3320" s="317">
        <f t="shared" si="2383"/>
        <v>21304968.25965178</v>
      </c>
      <c r="M3320" s="317"/>
      <c r="N3320" s="372">
        <f t="shared" si="2386"/>
        <v>0</v>
      </c>
      <c r="O3320" s="438">
        <f t="shared" ref="O3320:P3320" si="2417">O3279+O3282+O3284+O3289+O3293+O3299+O3303+O3305+O3307+O3310+O3312+O3314</f>
        <v>23435465.085616957</v>
      </c>
      <c r="P3320" s="438">
        <f t="shared" si="2417"/>
        <v>25779011.594178658</v>
      </c>
      <c r="R3320" s="317"/>
      <c r="U3320" s="320"/>
    </row>
    <row r="3321" spans="1:21" s="344" customFormat="1" outlineLevel="1">
      <c r="A3321" s="345"/>
      <c r="B3321" s="345"/>
      <c r="C3321" s="332"/>
      <c r="D3321" s="338"/>
      <c r="E3321" s="397"/>
      <c r="F3321" s="397"/>
      <c r="G3321" s="397"/>
      <c r="H3321" s="397"/>
      <c r="I3321" s="324">
        <f t="shared" si="2396"/>
        <v>0</v>
      </c>
      <c r="J3321" s="397"/>
      <c r="K3321" s="397"/>
      <c r="L3321" s="317">
        <f t="shared" si="2383"/>
        <v>0</v>
      </c>
      <c r="M3321" s="317"/>
      <c r="N3321" s="372">
        <f t="shared" si="2386"/>
        <v>0</v>
      </c>
      <c r="O3321" s="336">
        <f t="shared" si="2410"/>
        <v>0</v>
      </c>
      <c r="P3321" s="319">
        <f t="shared" si="2405"/>
        <v>0</v>
      </c>
      <c r="R3321" s="317"/>
      <c r="U3321" s="320"/>
    </row>
    <row r="3322" spans="1:21" s="344" customFormat="1" outlineLevel="1">
      <c r="A3322" s="483"/>
      <c r="B3322" s="483"/>
      <c r="C3322" s="578"/>
      <c r="D3322" s="923" t="s">
        <v>92</v>
      </c>
      <c r="E3322" s="1047"/>
      <c r="F3322" s="1047"/>
      <c r="G3322" s="1047"/>
      <c r="H3322" s="1047"/>
      <c r="I3322" s="324">
        <f t="shared" si="2396"/>
        <v>0</v>
      </c>
      <c r="J3322" s="1047"/>
      <c r="K3322" s="1047"/>
      <c r="L3322" s="317">
        <f t="shared" si="2383"/>
        <v>0</v>
      </c>
      <c r="M3322" s="317"/>
      <c r="N3322" s="372">
        <f t="shared" si="2386"/>
        <v>0</v>
      </c>
      <c r="O3322" s="336">
        <f t="shared" si="2410"/>
        <v>0</v>
      </c>
      <c r="P3322" s="797"/>
      <c r="R3322" s="317"/>
      <c r="U3322" s="320"/>
    </row>
    <row r="3323" spans="1:21" s="344" customFormat="1" outlineLevel="1">
      <c r="A3323" s="345"/>
      <c r="B3323" s="345"/>
      <c r="C3323" s="314"/>
      <c r="D3323" s="345" t="s">
        <v>1510</v>
      </c>
      <c r="E3323" s="406">
        <v>0</v>
      </c>
      <c r="F3323" s="406">
        <f>39666973.55-39666973.55</f>
        <v>0</v>
      </c>
      <c r="G3323" s="406"/>
      <c r="H3323" s="317">
        <f>37500000-37500000</f>
        <v>0</v>
      </c>
      <c r="I3323" s="324">
        <f t="shared" si="2396"/>
        <v>0</v>
      </c>
      <c r="J3323" s="317"/>
      <c r="K3323" s="317"/>
      <c r="L3323" s="317">
        <f t="shared" si="2383"/>
        <v>0</v>
      </c>
      <c r="M3323" s="317"/>
      <c r="N3323" s="372">
        <f t="shared" si="2386"/>
        <v>0</v>
      </c>
      <c r="O3323" s="336">
        <f t="shared" si="2410"/>
        <v>0</v>
      </c>
      <c r="P3323" s="319">
        <f t="shared" ref="P3323" si="2418">O3323*1.1</f>
        <v>0</v>
      </c>
      <c r="R3323" s="317"/>
      <c r="U3323" s="320"/>
    </row>
    <row r="3324" spans="1:21" s="344" customFormat="1" outlineLevel="1">
      <c r="A3324" s="345"/>
      <c r="B3324" s="345"/>
      <c r="C3324" s="314"/>
      <c r="D3324" s="345" t="s">
        <v>2029</v>
      </c>
      <c r="E3324" s="406">
        <v>0</v>
      </c>
      <c r="F3324" s="406"/>
      <c r="G3324" s="406"/>
      <c r="H3324" s="317">
        <f>5625000-5625000</f>
        <v>0</v>
      </c>
      <c r="I3324" s="324">
        <f t="shared" si="2396"/>
        <v>0</v>
      </c>
      <c r="J3324" s="317"/>
      <c r="K3324" s="317"/>
      <c r="L3324" s="317">
        <f t="shared" si="2383"/>
        <v>0</v>
      </c>
      <c r="M3324" s="317"/>
      <c r="N3324" s="372">
        <f t="shared" si="2386"/>
        <v>0</v>
      </c>
      <c r="O3324" s="336">
        <f t="shared" si="2410"/>
        <v>0</v>
      </c>
      <c r="P3324" s="319"/>
      <c r="R3324" s="317"/>
      <c r="U3324" s="320"/>
    </row>
    <row r="3325" spans="1:21" s="344" customFormat="1" outlineLevel="1">
      <c r="A3325" s="506"/>
      <c r="B3325" s="506"/>
      <c r="C3325" s="322"/>
      <c r="D3325" s="493" t="s">
        <v>261</v>
      </c>
      <c r="E3325" s="665">
        <f>E3324+E3323</f>
        <v>0</v>
      </c>
      <c r="F3325" s="665">
        <f t="shared" ref="F3325:P3325" si="2419">F3324+F3323</f>
        <v>0</v>
      </c>
      <c r="G3325" s="665">
        <f t="shared" si="2419"/>
        <v>0</v>
      </c>
      <c r="H3325" s="665">
        <f t="shared" si="2419"/>
        <v>0</v>
      </c>
      <c r="I3325" s="665">
        <f t="shared" si="2419"/>
        <v>0</v>
      </c>
      <c r="J3325" s="665">
        <f t="shared" si="2419"/>
        <v>0</v>
      </c>
      <c r="K3325" s="665">
        <f t="shared" si="2419"/>
        <v>0</v>
      </c>
      <c r="L3325" s="317">
        <f t="shared" si="2383"/>
        <v>0</v>
      </c>
      <c r="M3325" s="2211"/>
      <c r="N3325" s="372">
        <f t="shared" si="2386"/>
        <v>0</v>
      </c>
      <c r="O3325" s="665">
        <f t="shared" si="2419"/>
        <v>0</v>
      </c>
      <c r="P3325" s="665">
        <f t="shared" si="2419"/>
        <v>0</v>
      </c>
      <c r="R3325" s="317"/>
      <c r="U3325" s="320"/>
    </row>
    <row r="3326" spans="1:21" s="344" customFormat="1" outlineLevel="1">
      <c r="A3326" s="345"/>
      <c r="B3326" s="345"/>
      <c r="C3326" s="332"/>
      <c r="D3326" s="338"/>
      <c r="E3326" s="389"/>
      <c r="F3326" s="397"/>
      <c r="G3326" s="397"/>
      <c r="H3326" s="397"/>
      <c r="I3326" s="324">
        <f t="shared" si="2396"/>
        <v>0</v>
      </c>
      <c r="J3326" s="397"/>
      <c r="K3326" s="397"/>
      <c r="L3326" s="317">
        <f t="shared" si="2383"/>
        <v>0</v>
      </c>
      <c r="M3326" s="317"/>
      <c r="N3326" s="372">
        <f t="shared" si="2386"/>
        <v>0</v>
      </c>
      <c r="O3326" s="336">
        <f t="shared" si="2410"/>
        <v>0</v>
      </c>
      <c r="P3326" s="319">
        <f t="shared" si="2405"/>
        <v>0</v>
      </c>
      <c r="R3326" s="317"/>
      <c r="U3326" s="320"/>
    </row>
    <row r="3327" spans="1:21" s="344" customFormat="1" outlineLevel="1">
      <c r="A3327" s="345"/>
      <c r="B3327" s="345"/>
      <c r="C3327" s="314" t="s">
        <v>626</v>
      </c>
      <c r="D3327" s="447"/>
      <c r="E3327" s="438"/>
      <c r="F3327" s="438"/>
      <c r="G3327" s="438"/>
      <c r="H3327" s="438"/>
      <c r="I3327" s="324">
        <f t="shared" si="2396"/>
        <v>0</v>
      </c>
      <c r="J3327" s="438"/>
      <c r="K3327" s="438"/>
      <c r="L3327" s="317">
        <f t="shared" si="2383"/>
        <v>0</v>
      </c>
      <c r="M3327" s="317"/>
      <c r="N3327" s="372">
        <f t="shared" si="2386"/>
        <v>0</v>
      </c>
      <c r="O3327" s="336">
        <f t="shared" si="2410"/>
        <v>0</v>
      </c>
      <c r="P3327" s="319">
        <f t="shared" si="2405"/>
        <v>0</v>
      </c>
      <c r="R3327" s="317"/>
      <c r="U3327" s="320"/>
    </row>
    <row r="3328" spans="1:21" s="344" customFormat="1" outlineLevel="2">
      <c r="A3328" s="345"/>
      <c r="B3328" s="345"/>
      <c r="C3328" s="328">
        <v>2210200</v>
      </c>
      <c r="D3328" s="326" t="s">
        <v>20</v>
      </c>
      <c r="E3328" s="461">
        <f>E3329</f>
        <v>75600</v>
      </c>
      <c r="F3328" s="461">
        <f t="shared" ref="F3328:P3328" si="2420">F3329</f>
        <v>0</v>
      </c>
      <c r="G3328" s="461">
        <f t="shared" si="2420"/>
        <v>0</v>
      </c>
      <c r="H3328" s="461">
        <f t="shared" si="2420"/>
        <v>0</v>
      </c>
      <c r="I3328" s="461">
        <f t="shared" si="2420"/>
        <v>75600</v>
      </c>
      <c r="J3328" s="461">
        <f t="shared" si="2420"/>
        <v>0</v>
      </c>
      <c r="K3328" s="461">
        <f t="shared" si="2420"/>
        <v>-75600</v>
      </c>
      <c r="L3328" s="317">
        <f t="shared" si="2383"/>
        <v>0</v>
      </c>
      <c r="M3328" s="317"/>
      <c r="N3328" s="372">
        <f t="shared" si="2386"/>
        <v>75600</v>
      </c>
      <c r="O3328" s="461">
        <f t="shared" si="2420"/>
        <v>0</v>
      </c>
      <c r="P3328" s="461">
        <f t="shared" si="2420"/>
        <v>0</v>
      </c>
      <c r="R3328" s="317"/>
      <c r="U3328" s="320"/>
    </row>
    <row r="3329" spans="1:21" s="344" customFormat="1" outlineLevel="2">
      <c r="A3329" s="345"/>
      <c r="B3329" s="345"/>
      <c r="C3329" s="405">
        <v>2210201</v>
      </c>
      <c r="D3329" s="345" t="s">
        <v>21</v>
      </c>
      <c r="E3329" s="406">
        <v>75600</v>
      </c>
      <c r="F3329" s="406"/>
      <c r="G3329" s="406"/>
      <c r="H3329" s="406"/>
      <c r="I3329" s="324">
        <f t="shared" si="2396"/>
        <v>75600</v>
      </c>
      <c r="J3329" s="406"/>
      <c r="K3329" s="406">
        <v>-75600</v>
      </c>
      <c r="L3329" s="317">
        <f t="shared" si="2383"/>
        <v>0</v>
      </c>
      <c r="M3329" s="317"/>
      <c r="N3329" s="372">
        <f t="shared" si="2386"/>
        <v>75600</v>
      </c>
      <c r="O3329" s="336">
        <f t="shared" si="2410"/>
        <v>0</v>
      </c>
      <c r="P3329" s="319">
        <f t="shared" ref="P3329:P3347" si="2421">O3329*1.1</f>
        <v>0</v>
      </c>
      <c r="R3329" s="317"/>
      <c r="U3329" s="320"/>
    </row>
    <row r="3330" spans="1:21" s="344" customFormat="1" outlineLevel="2">
      <c r="A3330" s="345"/>
      <c r="B3330" s="345"/>
      <c r="C3330" s="328">
        <v>2210300</v>
      </c>
      <c r="D3330" s="326" t="s">
        <v>24</v>
      </c>
      <c r="E3330" s="461">
        <f>E3331+E3332+E3333+E3334</f>
        <v>2180161.0477988422</v>
      </c>
      <c r="F3330" s="461">
        <f t="shared" ref="F3330:P3330" si="2422">F3331+F3332+F3333+F3334</f>
        <v>0</v>
      </c>
      <c r="G3330" s="461">
        <f t="shared" si="2422"/>
        <v>0</v>
      </c>
      <c r="H3330" s="461">
        <f t="shared" si="2422"/>
        <v>1800000</v>
      </c>
      <c r="I3330" s="461">
        <f t="shared" si="2422"/>
        <v>3980161.0477988422</v>
      </c>
      <c r="J3330" s="461">
        <f t="shared" si="2422"/>
        <v>0</v>
      </c>
      <c r="K3330" s="461">
        <f t="shared" si="2422"/>
        <v>75600</v>
      </c>
      <c r="L3330" s="317">
        <f t="shared" si="2383"/>
        <v>4055761.0477988422</v>
      </c>
      <c r="M3330" s="317"/>
      <c r="N3330" s="372">
        <f t="shared" si="2386"/>
        <v>-75600</v>
      </c>
      <c r="O3330" s="461">
        <f t="shared" si="2422"/>
        <v>4461337.1525787264</v>
      </c>
      <c r="P3330" s="461">
        <f t="shared" si="2422"/>
        <v>4907470.8678365992</v>
      </c>
      <c r="R3330" s="317"/>
      <c r="U3330" s="320"/>
    </row>
    <row r="3331" spans="1:21" s="344" customFormat="1" outlineLevel="2">
      <c r="A3331" s="345"/>
      <c r="B3331" s="345"/>
      <c r="C3331" s="405">
        <v>2210301</v>
      </c>
      <c r="D3331" s="345" t="s">
        <v>25</v>
      </c>
      <c r="E3331" s="406">
        <v>493000</v>
      </c>
      <c r="F3331" s="406"/>
      <c r="G3331" s="406"/>
      <c r="H3331" s="406">
        <v>800000</v>
      </c>
      <c r="I3331" s="324">
        <f t="shared" si="2396"/>
        <v>1293000</v>
      </c>
      <c r="J3331" s="406"/>
      <c r="K3331" s="406"/>
      <c r="L3331" s="317">
        <f t="shared" si="2383"/>
        <v>1293000</v>
      </c>
      <c r="M3331" s="317"/>
      <c r="N3331" s="372">
        <f t="shared" si="2386"/>
        <v>0</v>
      </c>
      <c r="O3331" s="336">
        <f t="shared" si="2410"/>
        <v>1422300</v>
      </c>
      <c r="P3331" s="319">
        <f t="shared" si="2421"/>
        <v>1564530.0000000002</v>
      </c>
      <c r="R3331" s="317"/>
      <c r="U3331" s="320"/>
    </row>
    <row r="3332" spans="1:21" s="344" customFormat="1" outlineLevel="2">
      <c r="A3332" s="345"/>
      <c r="B3332" s="345"/>
      <c r="C3332" s="405">
        <v>2210302</v>
      </c>
      <c r="D3332" s="345" t="s">
        <v>26</v>
      </c>
      <c r="E3332" s="406">
        <v>520000</v>
      </c>
      <c r="F3332" s="406"/>
      <c r="G3332" s="406"/>
      <c r="H3332" s="406">
        <v>500000</v>
      </c>
      <c r="I3332" s="324">
        <f t="shared" si="2396"/>
        <v>1020000</v>
      </c>
      <c r="J3332" s="406"/>
      <c r="K3332" s="406">
        <v>75600</v>
      </c>
      <c r="L3332" s="317">
        <f t="shared" si="2383"/>
        <v>1095600</v>
      </c>
      <c r="M3332" s="317"/>
      <c r="N3332" s="372">
        <f t="shared" si="2386"/>
        <v>-75600</v>
      </c>
      <c r="O3332" s="336">
        <f t="shared" si="2410"/>
        <v>1205160</v>
      </c>
      <c r="P3332" s="319">
        <f t="shared" si="2421"/>
        <v>1325676</v>
      </c>
      <c r="R3332" s="317"/>
      <c r="U3332" s="320"/>
    </row>
    <row r="3333" spans="1:21" s="344" customFormat="1" outlineLevel="2">
      <c r="A3333" s="345"/>
      <c r="B3333" s="345"/>
      <c r="C3333" s="405">
        <v>2210303</v>
      </c>
      <c r="D3333" s="345" t="s">
        <v>27</v>
      </c>
      <c r="E3333" s="406">
        <v>1076161.0477988422</v>
      </c>
      <c r="F3333" s="406"/>
      <c r="G3333" s="406"/>
      <c r="H3333" s="406">
        <v>400000</v>
      </c>
      <c r="I3333" s="324">
        <f t="shared" si="2396"/>
        <v>1476161.0477988422</v>
      </c>
      <c r="J3333" s="406"/>
      <c r="K3333" s="406"/>
      <c r="L3333" s="317">
        <f t="shared" ref="L3333:L3396" si="2423">I3333+J3333+K3333</f>
        <v>1476161.0477988422</v>
      </c>
      <c r="M3333" s="317"/>
      <c r="N3333" s="372">
        <f t="shared" si="2386"/>
        <v>0</v>
      </c>
      <c r="O3333" s="336">
        <f t="shared" si="2410"/>
        <v>1623777.1525787266</v>
      </c>
      <c r="P3333" s="319">
        <f t="shared" si="2421"/>
        <v>1786154.8678365995</v>
      </c>
      <c r="R3333" s="317"/>
      <c r="U3333" s="320"/>
    </row>
    <row r="3334" spans="1:21" s="344" customFormat="1" outlineLevel="2">
      <c r="A3334" s="345"/>
      <c r="B3334" s="345"/>
      <c r="C3334" s="405">
        <v>2210304</v>
      </c>
      <c r="D3334" s="345" t="s">
        <v>28</v>
      </c>
      <c r="E3334" s="406">
        <v>91000</v>
      </c>
      <c r="F3334" s="406"/>
      <c r="G3334" s="406"/>
      <c r="H3334" s="406">
        <v>100000</v>
      </c>
      <c r="I3334" s="324">
        <f t="shared" si="2396"/>
        <v>191000</v>
      </c>
      <c r="J3334" s="406"/>
      <c r="K3334" s="406"/>
      <c r="L3334" s="317">
        <f t="shared" si="2423"/>
        <v>191000</v>
      </c>
      <c r="M3334" s="317"/>
      <c r="N3334" s="372">
        <f t="shared" si="2386"/>
        <v>0</v>
      </c>
      <c r="O3334" s="336">
        <f t="shared" si="2410"/>
        <v>210100.00000000003</v>
      </c>
      <c r="P3334" s="319">
        <f t="shared" si="2421"/>
        <v>231110.00000000006</v>
      </c>
      <c r="R3334" s="317"/>
      <c r="U3334" s="320"/>
    </row>
    <row r="3335" spans="1:21" s="344" customFormat="1" outlineLevel="2">
      <c r="A3335" s="345"/>
      <c r="B3335" s="345"/>
      <c r="C3335" s="328">
        <v>2210500</v>
      </c>
      <c r="D3335" s="326" t="s">
        <v>31</v>
      </c>
      <c r="E3335" s="461">
        <f>E3336+E3337</f>
        <v>3114360</v>
      </c>
      <c r="F3335" s="461">
        <f t="shared" ref="F3335:K3335" si="2424">F3336+F3337</f>
        <v>0</v>
      </c>
      <c r="G3335" s="461">
        <f t="shared" si="2424"/>
        <v>0</v>
      </c>
      <c r="H3335" s="461">
        <f t="shared" si="2424"/>
        <v>0</v>
      </c>
      <c r="I3335" s="461">
        <f t="shared" si="2424"/>
        <v>3114360</v>
      </c>
      <c r="J3335" s="461">
        <f t="shared" si="2424"/>
        <v>0</v>
      </c>
      <c r="K3335" s="461">
        <f t="shared" si="2424"/>
        <v>0</v>
      </c>
      <c r="L3335" s="317">
        <f t="shared" si="2423"/>
        <v>3114360</v>
      </c>
      <c r="M3335" s="317"/>
      <c r="N3335" s="372">
        <f t="shared" si="2386"/>
        <v>0</v>
      </c>
      <c r="O3335" s="461">
        <f t="shared" ref="O3335:P3335" si="2425">O3336+O3337</f>
        <v>3425796.0000000005</v>
      </c>
      <c r="P3335" s="461">
        <f t="shared" si="2425"/>
        <v>3768375.600000001</v>
      </c>
      <c r="R3335" s="317"/>
      <c r="U3335" s="320"/>
    </row>
    <row r="3336" spans="1:21" s="344" customFormat="1" outlineLevel="2">
      <c r="A3336" s="345"/>
      <c r="B3336" s="345"/>
      <c r="C3336" s="405">
        <v>2210502</v>
      </c>
      <c r="D3336" s="345" t="s">
        <v>105</v>
      </c>
      <c r="E3336" s="406">
        <v>153000</v>
      </c>
      <c r="F3336" s="406"/>
      <c r="G3336" s="406"/>
      <c r="H3336" s="406"/>
      <c r="I3336" s="324">
        <f t="shared" si="2396"/>
        <v>153000</v>
      </c>
      <c r="J3336" s="406"/>
      <c r="K3336" s="406"/>
      <c r="L3336" s="317">
        <f t="shared" si="2423"/>
        <v>153000</v>
      </c>
      <c r="M3336" s="317"/>
      <c r="N3336" s="372">
        <f t="shared" si="2386"/>
        <v>0</v>
      </c>
      <c r="O3336" s="336">
        <f t="shared" si="2410"/>
        <v>168300</v>
      </c>
      <c r="P3336" s="319">
        <f t="shared" si="2421"/>
        <v>185130.00000000003</v>
      </c>
      <c r="R3336" s="317"/>
      <c r="U3336" s="320"/>
    </row>
    <row r="3337" spans="1:21" s="344" customFormat="1" outlineLevel="2">
      <c r="A3337" s="345"/>
      <c r="B3337" s="345"/>
      <c r="C3337" s="405">
        <v>2210504</v>
      </c>
      <c r="D3337" s="345" t="s">
        <v>1794</v>
      </c>
      <c r="E3337" s="406">
        <v>2961360</v>
      </c>
      <c r="F3337" s="406"/>
      <c r="G3337" s="406"/>
      <c r="H3337" s="406"/>
      <c r="I3337" s="324">
        <f t="shared" si="2396"/>
        <v>2961360</v>
      </c>
      <c r="J3337" s="406"/>
      <c r="K3337" s="406"/>
      <c r="L3337" s="317">
        <f t="shared" si="2423"/>
        <v>2961360</v>
      </c>
      <c r="M3337" s="317"/>
      <c r="N3337" s="372">
        <f t="shared" ref="N3337:N3400" si="2426">M3337-K3337</f>
        <v>0</v>
      </c>
      <c r="O3337" s="336">
        <f t="shared" si="2410"/>
        <v>3257496.0000000005</v>
      </c>
      <c r="P3337" s="319">
        <f t="shared" si="2421"/>
        <v>3583245.600000001</v>
      </c>
      <c r="R3337" s="317"/>
      <c r="U3337" s="320"/>
    </row>
    <row r="3338" spans="1:21" s="344" customFormat="1" outlineLevel="2">
      <c r="A3338" s="345"/>
      <c r="B3338" s="345"/>
      <c r="C3338" s="328">
        <v>2210700</v>
      </c>
      <c r="D3338" s="326" t="s">
        <v>35</v>
      </c>
      <c r="E3338" s="461">
        <f>E3339+E3340+E3341+E3342</f>
        <v>1425000</v>
      </c>
      <c r="F3338" s="461">
        <f t="shared" ref="F3338:K3338" si="2427">F3339+F3340+F3341+F3342</f>
        <v>0</v>
      </c>
      <c r="G3338" s="461">
        <f t="shared" si="2427"/>
        <v>0</v>
      </c>
      <c r="H3338" s="461">
        <f t="shared" si="2427"/>
        <v>0</v>
      </c>
      <c r="I3338" s="461">
        <f t="shared" si="2427"/>
        <v>1425000</v>
      </c>
      <c r="J3338" s="461">
        <f t="shared" si="2427"/>
        <v>0</v>
      </c>
      <c r="K3338" s="461">
        <f t="shared" si="2427"/>
        <v>0</v>
      </c>
      <c r="L3338" s="317">
        <f t="shared" si="2423"/>
        <v>1425000</v>
      </c>
      <c r="M3338" s="317"/>
      <c r="N3338" s="372">
        <f t="shared" si="2426"/>
        <v>0</v>
      </c>
      <c r="O3338" s="461">
        <f t="shared" ref="O3338:P3338" si="2428">O3339+O3340+O3341+O3342</f>
        <v>1567500</v>
      </c>
      <c r="P3338" s="461">
        <f t="shared" si="2428"/>
        <v>1724250.0000000002</v>
      </c>
      <c r="R3338" s="317"/>
      <c r="U3338" s="320"/>
    </row>
    <row r="3339" spans="1:21" s="344" customFormat="1" outlineLevel="2">
      <c r="A3339" s="345"/>
      <c r="B3339" s="345"/>
      <c r="C3339" s="405">
        <v>2210701</v>
      </c>
      <c r="D3339" s="345" t="s">
        <v>36</v>
      </c>
      <c r="E3339" s="406">
        <v>350000</v>
      </c>
      <c r="F3339" s="406"/>
      <c r="G3339" s="406"/>
      <c r="H3339" s="406"/>
      <c r="I3339" s="324">
        <f t="shared" si="2396"/>
        <v>350000</v>
      </c>
      <c r="J3339" s="406"/>
      <c r="K3339" s="406"/>
      <c r="L3339" s="317">
        <f t="shared" si="2423"/>
        <v>350000</v>
      </c>
      <c r="M3339" s="317"/>
      <c r="N3339" s="372">
        <f t="shared" si="2426"/>
        <v>0</v>
      </c>
      <c r="O3339" s="336">
        <f t="shared" si="2410"/>
        <v>385000.00000000006</v>
      </c>
      <c r="P3339" s="319">
        <f t="shared" si="2421"/>
        <v>423500.00000000012</v>
      </c>
      <c r="R3339" s="317"/>
      <c r="U3339" s="320"/>
    </row>
    <row r="3340" spans="1:21" s="344" customFormat="1" outlineLevel="2">
      <c r="A3340" s="345"/>
      <c r="B3340" s="345"/>
      <c r="C3340" s="405">
        <v>2210703</v>
      </c>
      <c r="D3340" s="345" t="s">
        <v>107</v>
      </c>
      <c r="E3340" s="406">
        <v>350000</v>
      </c>
      <c r="F3340" s="406"/>
      <c r="G3340" s="406"/>
      <c r="H3340" s="406"/>
      <c r="I3340" s="324">
        <f t="shared" si="2396"/>
        <v>350000</v>
      </c>
      <c r="J3340" s="406"/>
      <c r="K3340" s="406"/>
      <c r="L3340" s="317">
        <f t="shared" si="2423"/>
        <v>350000</v>
      </c>
      <c r="M3340" s="317"/>
      <c r="N3340" s="372">
        <f t="shared" si="2426"/>
        <v>0</v>
      </c>
      <c r="O3340" s="336">
        <f t="shared" si="2410"/>
        <v>385000.00000000006</v>
      </c>
      <c r="P3340" s="319">
        <f t="shared" si="2421"/>
        <v>423500.00000000012</v>
      </c>
      <c r="R3340" s="317"/>
      <c r="U3340" s="320"/>
    </row>
    <row r="3341" spans="1:21" s="344" customFormat="1" outlineLevel="2">
      <c r="A3341" s="345"/>
      <c r="B3341" s="345"/>
      <c r="C3341" s="405">
        <v>2210704</v>
      </c>
      <c r="D3341" s="345" t="s">
        <v>38</v>
      </c>
      <c r="E3341" s="406">
        <v>232000</v>
      </c>
      <c r="F3341" s="406"/>
      <c r="G3341" s="406"/>
      <c r="H3341" s="406"/>
      <c r="I3341" s="324">
        <f t="shared" si="2396"/>
        <v>232000</v>
      </c>
      <c r="J3341" s="406"/>
      <c r="K3341" s="406"/>
      <c r="L3341" s="317">
        <f t="shared" si="2423"/>
        <v>232000</v>
      </c>
      <c r="M3341" s="317"/>
      <c r="N3341" s="372">
        <f t="shared" si="2426"/>
        <v>0</v>
      </c>
      <c r="O3341" s="336">
        <f t="shared" si="2410"/>
        <v>255200.00000000003</v>
      </c>
      <c r="P3341" s="319">
        <f t="shared" si="2421"/>
        <v>280720.00000000006</v>
      </c>
      <c r="R3341" s="317"/>
      <c r="U3341" s="320"/>
    </row>
    <row r="3342" spans="1:21" s="344" customFormat="1" outlineLevel="2">
      <c r="A3342" s="345"/>
      <c r="B3342" s="345"/>
      <c r="C3342" s="405">
        <v>2210710</v>
      </c>
      <c r="D3342" s="345" t="s">
        <v>39</v>
      </c>
      <c r="E3342" s="406">
        <v>493000</v>
      </c>
      <c r="F3342" s="406"/>
      <c r="G3342" s="406"/>
      <c r="H3342" s="406"/>
      <c r="I3342" s="324">
        <f t="shared" si="2396"/>
        <v>493000</v>
      </c>
      <c r="J3342" s="406"/>
      <c r="K3342" s="406"/>
      <c r="L3342" s="317">
        <f t="shared" si="2423"/>
        <v>493000</v>
      </c>
      <c r="M3342" s="317"/>
      <c r="N3342" s="372">
        <f t="shared" si="2426"/>
        <v>0</v>
      </c>
      <c r="O3342" s="336">
        <f t="shared" si="2410"/>
        <v>542300</v>
      </c>
      <c r="P3342" s="319">
        <f t="shared" si="2421"/>
        <v>596530</v>
      </c>
      <c r="R3342" s="317"/>
      <c r="U3342" s="320"/>
    </row>
    <row r="3343" spans="1:21" s="344" customFormat="1" outlineLevel="2">
      <c r="A3343" s="345"/>
      <c r="B3343" s="345"/>
      <c r="C3343" s="328">
        <v>2210800</v>
      </c>
      <c r="D3343" s="326" t="s">
        <v>42</v>
      </c>
      <c r="E3343" s="461">
        <f>E3344+E3345</f>
        <v>5167000</v>
      </c>
      <c r="F3343" s="461">
        <f t="shared" ref="F3343:P3343" si="2429">F3344+F3345</f>
        <v>0</v>
      </c>
      <c r="G3343" s="461">
        <f t="shared" si="2429"/>
        <v>0</v>
      </c>
      <c r="H3343" s="461">
        <f t="shared" si="2429"/>
        <v>0</v>
      </c>
      <c r="I3343" s="461">
        <f t="shared" si="2429"/>
        <v>5167000</v>
      </c>
      <c r="J3343" s="461">
        <f t="shared" si="2429"/>
        <v>0</v>
      </c>
      <c r="K3343" s="461">
        <f t="shared" si="2429"/>
        <v>0</v>
      </c>
      <c r="L3343" s="317">
        <f t="shared" si="2423"/>
        <v>5167000</v>
      </c>
      <c r="M3343" s="317"/>
      <c r="N3343" s="372">
        <f t="shared" si="2426"/>
        <v>0</v>
      </c>
      <c r="O3343" s="461">
        <f t="shared" si="2429"/>
        <v>5683700</v>
      </c>
      <c r="P3343" s="461">
        <f t="shared" si="2429"/>
        <v>6252070</v>
      </c>
      <c r="R3343" s="317"/>
      <c r="U3343" s="320"/>
    </row>
    <row r="3344" spans="1:21" s="344" customFormat="1" outlineLevel="2">
      <c r="A3344" s="345"/>
      <c r="B3344" s="345"/>
      <c r="C3344" s="405">
        <v>2210801</v>
      </c>
      <c r="D3344" s="345" t="s">
        <v>2421</v>
      </c>
      <c r="E3344" s="406">
        <v>1256000</v>
      </c>
      <c r="F3344" s="406"/>
      <c r="G3344" s="406"/>
      <c r="H3344" s="406"/>
      <c r="I3344" s="324">
        <f t="shared" si="2396"/>
        <v>1256000</v>
      </c>
      <c r="J3344" s="406"/>
      <c r="K3344" s="406"/>
      <c r="L3344" s="317">
        <f t="shared" si="2423"/>
        <v>1256000</v>
      </c>
      <c r="M3344" s="317"/>
      <c r="N3344" s="372">
        <f t="shared" si="2426"/>
        <v>0</v>
      </c>
      <c r="O3344" s="336">
        <f t="shared" si="2410"/>
        <v>1381600</v>
      </c>
      <c r="P3344" s="319">
        <f t="shared" si="2421"/>
        <v>1519760.0000000002</v>
      </c>
      <c r="R3344" s="317"/>
      <c r="U3344" s="320"/>
    </row>
    <row r="3345" spans="1:21" s="344" customFormat="1" outlineLevel="2">
      <c r="A3345" s="345"/>
      <c r="B3345" s="345"/>
      <c r="C3345" s="405">
        <v>2210802</v>
      </c>
      <c r="D3345" s="345" t="s">
        <v>1821</v>
      </c>
      <c r="E3345" s="406">
        <f>3911000</f>
        <v>3911000</v>
      </c>
      <c r="F3345" s="406"/>
      <c r="G3345" s="406"/>
      <c r="H3345" s="406"/>
      <c r="I3345" s="324">
        <f t="shared" si="2396"/>
        <v>3911000</v>
      </c>
      <c r="J3345" s="406"/>
      <c r="K3345" s="406"/>
      <c r="L3345" s="317">
        <f t="shared" si="2423"/>
        <v>3911000</v>
      </c>
      <c r="M3345" s="317"/>
      <c r="N3345" s="372">
        <f t="shared" si="2426"/>
        <v>0</v>
      </c>
      <c r="O3345" s="336">
        <f t="shared" si="2410"/>
        <v>4302100</v>
      </c>
      <c r="P3345" s="319">
        <f t="shared" si="2421"/>
        <v>4732310</v>
      </c>
      <c r="R3345" s="317"/>
      <c r="U3345" s="320"/>
    </row>
    <row r="3346" spans="1:21" s="344" customFormat="1" outlineLevel="2">
      <c r="A3346" s="345"/>
      <c r="B3346" s="345"/>
      <c r="C3346" s="328">
        <v>2211100</v>
      </c>
      <c r="D3346" s="326" t="s">
        <v>51</v>
      </c>
      <c r="E3346" s="461">
        <f>E3347+E3348</f>
        <v>692000</v>
      </c>
      <c r="F3346" s="461">
        <f t="shared" ref="F3346:P3346" si="2430">F3347+F3348</f>
        <v>0</v>
      </c>
      <c r="G3346" s="461">
        <f t="shared" si="2430"/>
        <v>0</v>
      </c>
      <c r="H3346" s="461">
        <f t="shared" si="2430"/>
        <v>0</v>
      </c>
      <c r="I3346" s="461">
        <f t="shared" si="2430"/>
        <v>692000</v>
      </c>
      <c r="J3346" s="461">
        <f t="shared" si="2430"/>
        <v>0</v>
      </c>
      <c r="K3346" s="461">
        <f t="shared" si="2430"/>
        <v>0</v>
      </c>
      <c r="L3346" s="317">
        <f t="shared" si="2423"/>
        <v>692000</v>
      </c>
      <c r="M3346" s="317"/>
      <c r="N3346" s="372">
        <f t="shared" si="2426"/>
        <v>0</v>
      </c>
      <c r="O3346" s="461">
        <f t="shared" si="2430"/>
        <v>761200.00000000012</v>
      </c>
      <c r="P3346" s="461">
        <f t="shared" si="2430"/>
        <v>837320.00000000023</v>
      </c>
      <c r="R3346" s="317"/>
      <c r="U3346" s="320"/>
    </row>
    <row r="3347" spans="1:21" s="344" customFormat="1" outlineLevel="2">
      <c r="A3347" s="345"/>
      <c r="B3347" s="345"/>
      <c r="C3347" s="405">
        <v>2211101</v>
      </c>
      <c r="D3347" s="345" t="s">
        <v>52</v>
      </c>
      <c r="E3347" s="406">
        <v>360000</v>
      </c>
      <c r="F3347" s="406"/>
      <c r="G3347" s="406"/>
      <c r="H3347" s="406"/>
      <c r="I3347" s="324">
        <f t="shared" si="2396"/>
        <v>360000</v>
      </c>
      <c r="J3347" s="406"/>
      <c r="K3347" s="406"/>
      <c r="L3347" s="317">
        <f t="shared" si="2423"/>
        <v>360000</v>
      </c>
      <c r="M3347" s="317"/>
      <c r="N3347" s="372">
        <f t="shared" si="2426"/>
        <v>0</v>
      </c>
      <c r="O3347" s="336">
        <f t="shared" si="2410"/>
        <v>396000.00000000006</v>
      </c>
      <c r="P3347" s="319">
        <f t="shared" si="2421"/>
        <v>435600.00000000012</v>
      </c>
      <c r="R3347" s="317"/>
      <c r="U3347" s="320"/>
    </row>
    <row r="3348" spans="1:21" s="344" customFormat="1" outlineLevel="2">
      <c r="A3348" s="345"/>
      <c r="B3348" s="345"/>
      <c r="C3348" s="405">
        <v>2211102</v>
      </c>
      <c r="D3348" s="345" t="s">
        <v>53</v>
      </c>
      <c r="E3348" s="406">
        <v>332000</v>
      </c>
      <c r="F3348" s="406"/>
      <c r="G3348" s="406"/>
      <c r="H3348" s="406"/>
      <c r="I3348" s="324">
        <f t="shared" si="2396"/>
        <v>332000</v>
      </c>
      <c r="J3348" s="406"/>
      <c r="K3348" s="406"/>
      <c r="L3348" s="317">
        <f t="shared" si="2423"/>
        <v>332000</v>
      </c>
      <c r="M3348" s="317"/>
      <c r="N3348" s="372">
        <f t="shared" si="2426"/>
        <v>0</v>
      </c>
      <c r="O3348" s="336">
        <f t="shared" si="2410"/>
        <v>365200.00000000006</v>
      </c>
      <c r="P3348" s="319">
        <f t="shared" ref="P3348:P3367" si="2431">O3348*1.1</f>
        <v>401720.00000000012</v>
      </c>
      <c r="R3348" s="317"/>
      <c r="U3348" s="320"/>
    </row>
    <row r="3349" spans="1:21" s="344" customFormat="1" outlineLevel="2">
      <c r="A3349" s="345"/>
      <c r="B3349" s="345"/>
      <c r="C3349" s="328">
        <v>2211200</v>
      </c>
      <c r="D3349" s="326" t="s">
        <v>55</v>
      </c>
      <c r="E3349" s="461">
        <f>E3350</f>
        <v>435000</v>
      </c>
      <c r="F3349" s="461">
        <f t="shared" ref="F3349:K3349" si="2432">F3350</f>
        <v>0</v>
      </c>
      <c r="G3349" s="461">
        <f t="shared" si="2432"/>
        <v>0</v>
      </c>
      <c r="H3349" s="461">
        <f t="shared" si="2432"/>
        <v>0</v>
      </c>
      <c r="I3349" s="461">
        <f t="shared" si="2432"/>
        <v>435000</v>
      </c>
      <c r="J3349" s="461">
        <f t="shared" si="2432"/>
        <v>0</v>
      </c>
      <c r="K3349" s="461">
        <f t="shared" si="2432"/>
        <v>0</v>
      </c>
      <c r="L3349" s="317">
        <f t="shared" si="2423"/>
        <v>435000</v>
      </c>
      <c r="M3349" s="317"/>
      <c r="N3349" s="372">
        <f t="shared" si="2426"/>
        <v>0</v>
      </c>
      <c r="O3349" s="461">
        <f t="shared" ref="O3349:P3349" si="2433">O3350</f>
        <v>478500.00000000006</v>
      </c>
      <c r="P3349" s="461">
        <f t="shared" si="2433"/>
        <v>526350.00000000012</v>
      </c>
      <c r="R3349" s="317"/>
      <c r="U3349" s="320"/>
    </row>
    <row r="3350" spans="1:21" s="344" customFormat="1" outlineLevel="2">
      <c r="A3350" s="345"/>
      <c r="B3350" s="345"/>
      <c r="C3350" s="405">
        <v>2211201</v>
      </c>
      <c r="D3350" s="345" t="s">
        <v>56</v>
      </c>
      <c r="E3350" s="406">
        <v>435000</v>
      </c>
      <c r="F3350" s="406"/>
      <c r="G3350" s="406"/>
      <c r="H3350" s="406"/>
      <c r="I3350" s="324">
        <f t="shared" si="2396"/>
        <v>435000</v>
      </c>
      <c r="J3350" s="406"/>
      <c r="K3350" s="406"/>
      <c r="L3350" s="317">
        <f t="shared" si="2423"/>
        <v>435000</v>
      </c>
      <c r="M3350" s="317"/>
      <c r="N3350" s="372">
        <f t="shared" si="2426"/>
        <v>0</v>
      </c>
      <c r="O3350" s="336">
        <f t="shared" si="2410"/>
        <v>478500.00000000006</v>
      </c>
      <c r="P3350" s="319">
        <f t="shared" si="2431"/>
        <v>526350.00000000012</v>
      </c>
      <c r="R3350" s="317"/>
      <c r="U3350" s="320"/>
    </row>
    <row r="3351" spans="1:21" s="344" customFormat="1" outlineLevel="2">
      <c r="A3351" s="345"/>
      <c r="B3351" s="345"/>
      <c r="C3351" s="328">
        <v>2220200</v>
      </c>
      <c r="D3351" s="326" t="s">
        <v>86</v>
      </c>
      <c r="E3351" s="461">
        <f>E3352</f>
        <v>240200</v>
      </c>
      <c r="F3351" s="461">
        <f t="shared" ref="F3351:K3351" si="2434">F3352</f>
        <v>0</v>
      </c>
      <c r="G3351" s="461">
        <f t="shared" si="2434"/>
        <v>0</v>
      </c>
      <c r="H3351" s="461">
        <f t="shared" si="2434"/>
        <v>0</v>
      </c>
      <c r="I3351" s="461">
        <f t="shared" si="2434"/>
        <v>240200</v>
      </c>
      <c r="J3351" s="461">
        <f t="shared" si="2434"/>
        <v>0</v>
      </c>
      <c r="K3351" s="461">
        <f t="shared" si="2434"/>
        <v>0</v>
      </c>
      <c r="L3351" s="317">
        <f t="shared" si="2423"/>
        <v>240200</v>
      </c>
      <c r="M3351" s="317"/>
      <c r="N3351" s="372">
        <f t="shared" si="2426"/>
        <v>0</v>
      </c>
      <c r="O3351" s="461">
        <f t="shared" ref="O3351:P3351" si="2435">O3352</f>
        <v>264220</v>
      </c>
      <c r="P3351" s="461">
        <f t="shared" si="2435"/>
        <v>290642</v>
      </c>
      <c r="R3351" s="317"/>
      <c r="U3351" s="320"/>
    </row>
    <row r="3352" spans="1:21" s="344" customFormat="1" outlineLevel="2">
      <c r="A3352" s="345"/>
      <c r="B3352" s="345"/>
      <c r="C3352" s="405">
        <v>2220202</v>
      </c>
      <c r="D3352" s="345" t="s">
        <v>87</v>
      </c>
      <c r="E3352" s="406">
        <v>240200</v>
      </c>
      <c r="F3352" s="406"/>
      <c r="G3352" s="406"/>
      <c r="H3352" s="406"/>
      <c r="I3352" s="324">
        <f t="shared" ref="I3352:I3415" si="2436">E3352+F3352+G3352+H3352</f>
        <v>240200</v>
      </c>
      <c r="J3352" s="406"/>
      <c r="K3352" s="406"/>
      <c r="L3352" s="317">
        <f t="shared" si="2423"/>
        <v>240200</v>
      </c>
      <c r="M3352" s="317"/>
      <c r="N3352" s="372">
        <f t="shared" si="2426"/>
        <v>0</v>
      </c>
      <c r="O3352" s="336">
        <f t="shared" si="2410"/>
        <v>264220</v>
      </c>
      <c r="P3352" s="319">
        <f t="shared" si="2431"/>
        <v>290642</v>
      </c>
      <c r="R3352" s="317"/>
      <c r="U3352" s="320"/>
    </row>
    <row r="3353" spans="1:21" s="344" customFormat="1" outlineLevel="2">
      <c r="A3353" s="345"/>
      <c r="B3353" s="345"/>
      <c r="C3353" s="328">
        <v>3111000</v>
      </c>
      <c r="D3353" s="326" t="s">
        <v>69</v>
      </c>
      <c r="E3353" s="461">
        <f>E3354</f>
        <v>0</v>
      </c>
      <c r="F3353" s="461">
        <f t="shared" ref="F3353:P3353" si="2437">F3354</f>
        <v>0</v>
      </c>
      <c r="G3353" s="461">
        <f t="shared" si="2437"/>
        <v>0</v>
      </c>
      <c r="H3353" s="461">
        <f t="shared" si="2437"/>
        <v>0</v>
      </c>
      <c r="I3353" s="461">
        <f t="shared" si="2437"/>
        <v>0</v>
      </c>
      <c r="J3353" s="461"/>
      <c r="K3353" s="461"/>
      <c r="L3353" s="317">
        <f t="shared" si="2423"/>
        <v>0</v>
      </c>
      <c r="M3353" s="317"/>
      <c r="N3353" s="372">
        <f t="shared" si="2426"/>
        <v>0</v>
      </c>
      <c r="O3353" s="461">
        <f t="shared" si="2437"/>
        <v>0</v>
      </c>
      <c r="P3353" s="461">
        <f t="shared" si="2437"/>
        <v>0</v>
      </c>
      <c r="R3353" s="317"/>
      <c r="U3353" s="320"/>
    </row>
    <row r="3354" spans="1:21" s="344" customFormat="1" outlineLevel="2">
      <c r="A3354" s="345"/>
      <c r="B3354" s="345"/>
      <c r="C3354" s="405">
        <v>3111002</v>
      </c>
      <c r="D3354" s="345" t="s">
        <v>71</v>
      </c>
      <c r="E3354" s="406">
        <f>500000-500000</f>
        <v>0</v>
      </c>
      <c r="F3354" s="406"/>
      <c r="G3354" s="406"/>
      <c r="H3354" s="406"/>
      <c r="I3354" s="324">
        <f t="shared" si="2436"/>
        <v>0</v>
      </c>
      <c r="J3354" s="406"/>
      <c r="K3354" s="406"/>
      <c r="L3354" s="317">
        <f t="shared" si="2423"/>
        <v>0</v>
      </c>
      <c r="M3354" s="317"/>
      <c r="N3354" s="372">
        <f t="shared" si="2426"/>
        <v>0</v>
      </c>
      <c r="O3354" s="336">
        <f t="shared" si="2410"/>
        <v>0</v>
      </c>
      <c r="P3354" s="319">
        <f t="shared" si="2431"/>
        <v>0</v>
      </c>
      <c r="R3354" s="317"/>
      <c r="U3354" s="320"/>
    </row>
    <row r="3355" spans="1:21" s="344" customFormat="1" outlineLevel="1">
      <c r="A3355" s="345"/>
      <c r="B3355" s="345"/>
      <c r="C3355" s="314"/>
      <c r="D3355" s="447" t="s">
        <v>99</v>
      </c>
      <c r="E3355" s="438">
        <f>E3353+E3351+E3349+E3346+E3343+E3338+E3335+E3330+E3328</f>
        <v>13329321.047798842</v>
      </c>
      <c r="F3355" s="438">
        <f t="shared" ref="F3355:K3355" si="2438">F3353+F3351+F3349+F3346+F3343+F3338+F3335+F3330+F3328</f>
        <v>0</v>
      </c>
      <c r="G3355" s="438">
        <f t="shared" si="2438"/>
        <v>0</v>
      </c>
      <c r="H3355" s="438">
        <f t="shared" si="2438"/>
        <v>1800000</v>
      </c>
      <c r="I3355" s="438">
        <f t="shared" si="2438"/>
        <v>15129321.047798842</v>
      </c>
      <c r="J3355" s="438">
        <f t="shared" si="2438"/>
        <v>0</v>
      </c>
      <c r="K3355" s="438">
        <f t="shared" si="2438"/>
        <v>0</v>
      </c>
      <c r="L3355" s="317">
        <f t="shared" si="2423"/>
        <v>15129321.047798842</v>
      </c>
      <c r="M3355" s="317"/>
      <c r="N3355" s="372">
        <f t="shared" si="2426"/>
        <v>0</v>
      </c>
      <c r="O3355" s="438">
        <f t="shared" ref="O3355:P3355" si="2439">O3353+O3351+O3349+O3346+O3343+O3338+O3335+O3330+O3328</f>
        <v>16642253.152578726</v>
      </c>
      <c r="P3355" s="438">
        <f t="shared" si="2439"/>
        <v>18306478.4678366</v>
      </c>
      <c r="R3355" s="317"/>
      <c r="U3355" s="320"/>
    </row>
    <row r="3356" spans="1:21" s="344" customFormat="1" outlineLevel="1">
      <c r="A3356" s="345"/>
      <c r="B3356" s="345"/>
      <c r="C3356" s="314"/>
      <c r="D3356" s="447" t="s">
        <v>627</v>
      </c>
      <c r="E3356" s="438">
        <f>E3355</f>
        <v>13329321.047798842</v>
      </c>
      <c r="F3356" s="438">
        <f t="shared" ref="F3356:P3356" si="2440">F3355</f>
        <v>0</v>
      </c>
      <c r="G3356" s="438">
        <f t="shared" si="2440"/>
        <v>0</v>
      </c>
      <c r="H3356" s="438">
        <f t="shared" si="2440"/>
        <v>1800000</v>
      </c>
      <c r="I3356" s="438">
        <f t="shared" si="2440"/>
        <v>15129321.047798842</v>
      </c>
      <c r="J3356" s="438">
        <f t="shared" si="2440"/>
        <v>0</v>
      </c>
      <c r="K3356" s="438">
        <f t="shared" si="2440"/>
        <v>0</v>
      </c>
      <c r="L3356" s="317">
        <f t="shared" si="2423"/>
        <v>15129321.047798842</v>
      </c>
      <c r="M3356" s="317"/>
      <c r="N3356" s="372">
        <f t="shared" si="2426"/>
        <v>0</v>
      </c>
      <c r="O3356" s="438">
        <f t="shared" si="2440"/>
        <v>16642253.152578726</v>
      </c>
      <c r="P3356" s="438">
        <f t="shared" si="2440"/>
        <v>18306478.4678366</v>
      </c>
      <c r="R3356" s="317"/>
      <c r="U3356" s="320"/>
    </row>
    <row r="3357" spans="1:21" s="344" customFormat="1" outlineLevel="1">
      <c r="A3357" s="345"/>
      <c r="B3357" s="345"/>
      <c r="C3357" s="332"/>
      <c r="D3357" s="338"/>
      <c r="E3357" s="389"/>
      <c r="F3357" s="397"/>
      <c r="G3357" s="397"/>
      <c r="H3357" s="397"/>
      <c r="I3357" s="324">
        <f t="shared" si="2436"/>
        <v>0</v>
      </c>
      <c r="J3357" s="397"/>
      <c r="K3357" s="397"/>
      <c r="L3357" s="317">
        <f t="shared" si="2423"/>
        <v>0</v>
      </c>
      <c r="M3357" s="317"/>
      <c r="N3357" s="372">
        <f t="shared" si="2426"/>
        <v>0</v>
      </c>
      <c r="O3357" s="336">
        <f t="shared" si="2410"/>
        <v>0</v>
      </c>
      <c r="P3357" s="319">
        <f t="shared" si="2431"/>
        <v>0</v>
      </c>
      <c r="R3357" s="317"/>
      <c r="U3357" s="320"/>
    </row>
    <row r="3358" spans="1:21" s="344" customFormat="1" outlineLevel="1">
      <c r="A3358" s="345"/>
      <c r="B3358" s="345"/>
      <c r="C3358" s="340" t="s">
        <v>628</v>
      </c>
      <c r="D3358" s="338"/>
      <c r="E3358" s="397"/>
      <c r="F3358" s="397"/>
      <c r="G3358" s="397"/>
      <c r="H3358" s="397"/>
      <c r="I3358" s="324">
        <f t="shared" si="2436"/>
        <v>0</v>
      </c>
      <c r="J3358" s="397"/>
      <c r="K3358" s="397"/>
      <c r="L3358" s="317">
        <f t="shared" si="2423"/>
        <v>0</v>
      </c>
      <c r="M3358" s="317"/>
      <c r="N3358" s="372">
        <f t="shared" si="2426"/>
        <v>0</v>
      </c>
      <c r="O3358" s="336">
        <f t="shared" si="2410"/>
        <v>0</v>
      </c>
      <c r="P3358" s="319">
        <f t="shared" si="2431"/>
        <v>0</v>
      </c>
      <c r="R3358" s="317"/>
      <c r="U3358" s="320"/>
    </row>
    <row r="3359" spans="1:21" s="344" customFormat="1" outlineLevel="2">
      <c r="A3359" s="345"/>
      <c r="B3359" s="345"/>
      <c r="C3359" s="328">
        <v>2210200</v>
      </c>
      <c r="D3359" s="326" t="s">
        <v>20</v>
      </c>
      <c r="E3359" s="461">
        <f>E3360</f>
        <v>242600</v>
      </c>
      <c r="F3359" s="461">
        <f t="shared" ref="F3359:P3359" si="2441">F3360</f>
        <v>0</v>
      </c>
      <c r="G3359" s="461">
        <f t="shared" si="2441"/>
        <v>0</v>
      </c>
      <c r="H3359" s="461">
        <f t="shared" si="2441"/>
        <v>0</v>
      </c>
      <c r="I3359" s="461">
        <f t="shared" si="2441"/>
        <v>242600</v>
      </c>
      <c r="J3359" s="461">
        <f t="shared" si="2441"/>
        <v>0</v>
      </c>
      <c r="K3359" s="461">
        <f t="shared" si="2441"/>
        <v>0</v>
      </c>
      <c r="L3359" s="317">
        <f t="shared" si="2423"/>
        <v>242600</v>
      </c>
      <c r="M3359" s="317"/>
      <c r="N3359" s="372">
        <f t="shared" si="2426"/>
        <v>0</v>
      </c>
      <c r="O3359" s="461">
        <f t="shared" si="2441"/>
        <v>266860</v>
      </c>
      <c r="P3359" s="461">
        <f t="shared" si="2441"/>
        <v>293546</v>
      </c>
      <c r="R3359" s="317"/>
      <c r="U3359" s="320"/>
    </row>
    <row r="3360" spans="1:21" s="344" customFormat="1" outlineLevel="2">
      <c r="A3360" s="345"/>
      <c r="B3360" s="345"/>
      <c r="C3360" s="405">
        <v>2210201</v>
      </c>
      <c r="D3360" s="345" t="s">
        <v>113</v>
      </c>
      <c r="E3360" s="406">
        <v>242600</v>
      </c>
      <c r="F3360" s="406"/>
      <c r="G3360" s="406"/>
      <c r="H3360" s="406"/>
      <c r="I3360" s="324">
        <f t="shared" si="2436"/>
        <v>242600</v>
      </c>
      <c r="J3360" s="406"/>
      <c r="K3360" s="406"/>
      <c r="L3360" s="317">
        <f t="shared" si="2423"/>
        <v>242600</v>
      </c>
      <c r="M3360" s="317"/>
      <c r="N3360" s="372">
        <f t="shared" si="2426"/>
        <v>0</v>
      </c>
      <c r="O3360" s="336">
        <f t="shared" si="2410"/>
        <v>266860</v>
      </c>
      <c r="P3360" s="319">
        <f t="shared" si="2431"/>
        <v>293546</v>
      </c>
      <c r="R3360" s="317"/>
      <c r="U3360" s="320"/>
    </row>
    <row r="3361" spans="1:21" s="344" customFormat="1" outlineLevel="2">
      <c r="A3361" s="345"/>
      <c r="B3361" s="345"/>
      <c r="C3361" s="328">
        <v>2210300</v>
      </c>
      <c r="D3361" s="326" t="s">
        <v>24</v>
      </c>
      <c r="E3361" s="461">
        <f>E3362+E3363+E3364+E3365</f>
        <v>1859800</v>
      </c>
      <c r="F3361" s="461">
        <f t="shared" ref="F3361:P3361" si="2442">F3362+F3363+F3364+F3365</f>
        <v>0</v>
      </c>
      <c r="G3361" s="461">
        <f t="shared" si="2442"/>
        <v>0</v>
      </c>
      <c r="H3361" s="461">
        <f t="shared" si="2442"/>
        <v>1650000</v>
      </c>
      <c r="I3361" s="461">
        <f t="shared" si="2442"/>
        <v>3509800</v>
      </c>
      <c r="J3361" s="461">
        <f t="shared" si="2442"/>
        <v>0</v>
      </c>
      <c r="K3361" s="461">
        <f t="shared" si="2442"/>
        <v>247900</v>
      </c>
      <c r="L3361" s="317">
        <f t="shared" si="2423"/>
        <v>3757700</v>
      </c>
      <c r="M3361" s="317"/>
      <c r="N3361" s="372">
        <f t="shared" si="2426"/>
        <v>-247900</v>
      </c>
      <c r="O3361" s="461">
        <f t="shared" si="2442"/>
        <v>4133470</v>
      </c>
      <c r="P3361" s="461">
        <f t="shared" si="2442"/>
        <v>4546817.0000000009</v>
      </c>
      <c r="R3361" s="317"/>
      <c r="U3361" s="320"/>
    </row>
    <row r="3362" spans="1:21" s="344" customFormat="1" outlineLevel="2">
      <c r="A3362" s="345"/>
      <c r="B3362" s="345"/>
      <c r="C3362" s="405">
        <v>2210301</v>
      </c>
      <c r="D3362" s="345" t="s">
        <v>25</v>
      </c>
      <c r="E3362" s="406">
        <v>290000</v>
      </c>
      <c r="F3362" s="406"/>
      <c r="G3362" s="406"/>
      <c r="H3362" s="406">
        <v>500000</v>
      </c>
      <c r="I3362" s="324">
        <f t="shared" si="2436"/>
        <v>790000</v>
      </c>
      <c r="J3362" s="406"/>
      <c r="K3362" s="406"/>
      <c r="L3362" s="317">
        <f t="shared" si="2423"/>
        <v>790000</v>
      </c>
      <c r="M3362" s="317"/>
      <c r="N3362" s="372">
        <f t="shared" si="2426"/>
        <v>0</v>
      </c>
      <c r="O3362" s="336">
        <f t="shared" si="2410"/>
        <v>869000.00000000012</v>
      </c>
      <c r="P3362" s="319">
        <f t="shared" si="2431"/>
        <v>955900.00000000023</v>
      </c>
      <c r="R3362" s="317"/>
      <c r="U3362" s="320"/>
    </row>
    <row r="3363" spans="1:21" s="344" customFormat="1" outlineLevel="2">
      <c r="A3363" s="345"/>
      <c r="B3363" s="345"/>
      <c r="C3363" s="405">
        <v>2210302</v>
      </c>
      <c r="D3363" s="345" t="s">
        <v>26</v>
      </c>
      <c r="E3363" s="406">
        <f>1100800-400000</f>
        <v>700800</v>
      </c>
      <c r="F3363" s="406"/>
      <c r="G3363" s="406"/>
      <c r="H3363" s="406">
        <v>600000</v>
      </c>
      <c r="I3363" s="324">
        <f t="shared" si="2436"/>
        <v>1300800</v>
      </c>
      <c r="J3363" s="406"/>
      <c r="K3363" s="406"/>
      <c r="L3363" s="317">
        <f t="shared" si="2423"/>
        <v>1300800</v>
      </c>
      <c r="M3363" s="317"/>
      <c r="N3363" s="372">
        <f t="shared" si="2426"/>
        <v>0</v>
      </c>
      <c r="O3363" s="336">
        <f t="shared" si="2410"/>
        <v>1430880</v>
      </c>
      <c r="P3363" s="319">
        <f t="shared" si="2431"/>
        <v>1573968.0000000002</v>
      </c>
      <c r="R3363" s="317"/>
      <c r="U3363" s="320"/>
    </row>
    <row r="3364" spans="1:21" s="344" customFormat="1" outlineLevel="2">
      <c r="A3364" s="345"/>
      <c r="B3364" s="345"/>
      <c r="C3364" s="405">
        <v>2210303</v>
      </c>
      <c r="D3364" s="345" t="s">
        <v>1790</v>
      </c>
      <c r="E3364" s="406">
        <v>830000</v>
      </c>
      <c r="F3364" s="406"/>
      <c r="G3364" s="406"/>
      <c r="H3364" s="406">
        <v>450000</v>
      </c>
      <c r="I3364" s="324">
        <f t="shared" si="2436"/>
        <v>1280000</v>
      </c>
      <c r="J3364" s="406"/>
      <c r="K3364" s="406">
        <v>247900</v>
      </c>
      <c r="L3364" s="317">
        <f t="shared" si="2423"/>
        <v>1527900</v>
      </c>
      <c r="M3364" s="317"/>
      <c r="N3364" s="372">
        <f t="shared" si="2426"/>
        <v>-247900</v>
      </c>
      <c r="O3364" s="336">
        <f t="shared" si="2410"/>
        <v>1680690.0000000002</v>
      </c>
      <c r="P3364" s="319">
        <f t="shared" si="2431"/>
        <v>1848759.0000000005</v>
      </c>
      <c r="R3364" s="317"/>
      <c r="U3364" s="320"/>
    </row>
    <row r="3365" spans="1:21" s="344" customFormat="1" outlineLevel="2">
      <c r="A3365" s="345"/>
      <c r="B3365" s="345"/>
      <c r="C3365" s="405">
        <v>2210304</v>
      </c>
      <c r="D3365" s="345" t="s">
        <v>629</v>
      </c>
      <c r="E3365" s="406">
        <v>39000</v>
      </c>
      <c r="F3365" s="406"/>
      <c r="G3365" s="406"/>
      <c r="H3365" s="406">
        <v>100000</v>
      </c>
      <c r="I3365" s="324">
        <f t="shared" si="2436"/>
        <v>139000</v>
      </c>
      <c r="J3365" s="406"/>
      <c r="K3365" s="406"/>
      <c r="L3365" s="317">
        <f t="shared" si="2423"/>
        <v>139000</v>
      </c>
      <c r="M3365" s="317"/>
      <c r="N3365" s="372">
        <f t="shared" si="2426"/>
        <v>0</v>
      </c>
      <c r="O3365" s="336">
        <f t="shared" si="2410"/>
        <v>152900</v>
      </c>
      <c r="P3365" s="319">
        <f t="shared" si="2431"/>
        <v>168190</v>
      </c>
      <c r="R3365" s="317"/>
      <c r="U3365" s="320"/>
    </row>
    <row r="3366" spans="1:21" s="344" customFormat="1" outlineLevel="2">
      <c r="A3366" s="345"/>
      <c r="B3366" s="345"/>
      <c r="C3366" s="328">
        <v>2210500</v>
      </c>
      <c r="D3366" s="326" t="s">
        <v>31</v>
      </c>
      <c r="E3366" s="461">
        <f>E3367+E3368+E3369</f>
        <v>679000</v>
      </c>
      <c r="F3366" s="461">
        <f t="shared" ref="F3366:I3366" si="2443">F3367+F3368+F3369</f>
        <v>0</v>
      </c>
      <c r="G3366" s="461">
        <f t="shared" si="2443"/>
        <v>0</v>
      </c>
      <c r="H3366" s="461">
        <f t="shared" si="2443"/>
        <v>0</v>
      </c>
      <c r="I3366" s="461">
        <f t="shared" si="2443"/>
        <v>679000</v>
      </c>
      <c r="J3366" s="461"/>
      <c r="K3366" s="461"/>
      <c r="L3366" s="317">
        <f t="shared" si="2423"/>
        <v>679000</v>
      </c>
      <c r="M3366" s="317"/>
      <c r="N3366" s="372">
        <f t="shared" si="2426"/>
        <v>0</v>
      </c>
      <c r="O3366" s="461">
        <f t="shared" ref="O3366:P3366" si="2444">O3367+O3368+O3369</f>
        <v>746900</v>
      </c>
      <c r="P3366" s="461">
        <f t="shared" si="2444"/>
        <v>821590</v>
      </c>
      <c r="R3366" s="317"/>
      <c r="U3366" s="320"/>
    </row>
    <row r="3367" spans="1:21" s="344" customFormat="1" outlineLevel="2">
      <c r="A3367" s="345"/>
      <c r="B3367" s="345"/>
      <c r="C3367" s="405">
        <v>2210502</v>
      </c>
      <c r="D3367" s="345" t="s">
        <v>245</v>
      </c>
      <c r="E3367" s="406">
        <v>250000</v>
      </c>
      <c r="F3367" s="406"/>
      <c r="G3367" s="406"/>
      <c r="H3367" s="406"/>
      <c r="I3367" s="324">
        <f t="shared" si="2436"/>
        <v>250000</v>
      </c>
      <c r="J3367" s="406"/>
      <c r="K3367" s="406"/>
      <c r="L3367" s="317">
        <f t="shared" si="2423"/>
        <v>250000</v>
      </c>
      <c r="M3367" s="317"/>
      <c r="N3367" s="372">
        <f t="shared" si="2426"/>
        <v>0</v>
      </c>
      <c r="O3367" s="336">
        <f t="shared" si="2410"/>
        <v>275000</v>
      </c>
      <c r="P3367" s="319">
        <f t="shared" si="2431"/>
        <v>302500</v>
      </c>
      <c r="R3367" s="317"/>
      <c r="U3367" s="320"/>
    </row>
    <row r="3368" spans="1:21" s="344" customFormat="1" outlineLevel="2">
      <c r="A3368" s="345"/>
      <c r="B3368" s="345"/>
      <c r="C3368" s="405">
        <v>2210503</v>
      </c>
      <c r="D3368" s="345" t="s">
        <v>32</v>
      </c>
      <c r="E3368" s="406">
        <v>110000</v>
      </c>
      <c r="F3368" s="406"/>
      <c r="G3368" s="406"/>
      <c r="H3368" s="406"/>
      <c r="I3368" s="324">
        <f t="shared" si="2436"/>
        <v>110000</v>
      </c>
      <c r="J3368" s="406"/>
      <c r="K3368" s="406"/>
      <c r="L3368" s="317">
        <f t="shared" si="2423"/>
        <v>110000</v>
      </c>
      <c r="M3368" s="317"/>
      <c r="N3368" s="372">
        <f t="shared" si="2426"/>
        <v>0</v>
      </c>
      <c r="O3368" s="336">
        <f t="shared" si="2410"/>
        <v>121000.00000000001</v>
      </c>
      <c r="P3368" s="319">
        <f t="shared" ref="P3368:P3388" si="2445">O3368*1.1</f>
        <v>133100.00000000003</v>
      </c>
      <c r="R3368" s="317"/>
      <c r="U3368" s="320"/>
    </row>
    <row r="3369" spans="1:21" s="344" customFormat="1" outlineLevel="2">
      <c r="A3369" s="345"/>
      <c r="B3369" s="345"/>
      <c r="C3369" s="405">
        <v>2210504</v>
      </c>
      <c r="D3369" s="345" t="s">
        <v>106</v>
      </c>
      <c r="E3369" s="406">
        <v>319000</v>
      </c>
      <c r="F3369" s="406"/>
      <c r="G3369" s="406"/>
      <c r="H3369" s="406"/>
      <c r="I3369" s="324">
        <f t="shared" si="2436"/>
        <v>319000</v>
      </c>
      <c r="J3369" s="406"/>
      <c r="K3369" s="406"/>
      <c r="L3369" s="317">
        <f t="shared" si="2423"/>
        <v>319000</v>
      </c>
      <c r="M3369" s="317"/>
      <c r="N3369" s="372">
        <f t="shared" si="2426"/>
        <v>0</v>
      </c>
      <c r="O3369" s="336">
        <f t="shared" si="2410"/>
        <v>350900</v>
      </c>
      <c r="P3369" s="319">
        <f t="shared" si="2445"/>
        <v>385990.00000000006</v>
      </c>
      <c r="R3369" s="317"/>
      <c r="U3369" s="320"/>
    </row>
    <row r="3370" spans="1:21" s="344" customFormat="1" outlineLevel="2">
      <c r="A3370" s="345"/>
      <c r="B3370" s="345"/>
      <c r="C3370" s="328">
        <v>2210700</v>
      </c>
      <c r="D3370" s="326" t="s">
        <v>35</v>
      </c>
      <c r="E3370" s="461">
        <f>E3371+E3372+E3373+E3374</f>
        <v>620300</v>
      </c>
      <c r="F3370" s="461">
        <f t="shared" ref="F3370:K3370" si="2446">F3371+F3372+F3373+F3374</f>
        <v>0</v>
      </c>
      <c r="G3370" s="461">
        <f t="shared" si="2446"/>
        <v>0</v>
      </c>
      <c r="H3370" s="461">
        <f t="shared" si="2446"/>
        <v>1550000</v>
      </c>
      <c r="I3370" s="461">
        <f t="shared" si="2446"/>
        <v>2170300</v>
      </c>
      <c r="J3370" s="461">
        <f t="shared" si="2446"/>
        <v>0</v>
      </c>
      <c r="K3370" s="461">
        <f t="shared" si="2446"/>
        <v>-247900</v>
      </c>
      <c r="L3370" s="317">
        <f t="shared" si="2423"/>
        <v>1922400</v>
      </c>
      <c r="M3370" s="317"/>
      <c r="N3370" s="372">
        <f t="shared" si="2426"/>
        <v>247900</v>
      </c>
      <c r="O3370" s="461">
        <f t="shared" ref="O3370:P3370" si="2447">O3371+O3372+O3373+O3374</f>
        <v>2114640</v>
      </c>
      <c r="P3370" s="461">
        <f t="shared" si="2447"/>
        <v>2326104</v>
      </c>
      <c r="R3370" s="317"/>
      <c r="U3370" s="320"/>
    </row>
    <row r="3371" spans="1:21" s="344" customFormat="1" outlineLevel="2">
      <c r="A3371" s="345"/>
      <c r="B3371" s="345"/>
      <c r="C3371" s="405">
        <v>2210701</v>
      </c>
      <c r="D3371" s="345" t="s">
        <v>36</v>
      </c>
      <c r="E3371" s="406">
        <v>232000</v>
      </c>
      <c r="F3371" s="406"/>
      <c r="G3371" s="406"/>
      <c r="H3371" s="406">
        <v>350000</v>
      </c>
      <c r="I3371" s="324">
        <f t="shared" si="2436"/>
        <v>582000</v>
      </c>
      <c r="J3371" s="406"/>
      <c r="K3371" s="406"/>
      <c r="L3371" s="317">
        <f t="shared" si="2423"/>
        <v>582000</v>
      </c>
      <c r="M3371" s="317"/>
      <c r="N3371" s="372">
        <f t="shared" si="2426"/>
        <v>0</v>
      </c>
      <c r="O3371" s="336">
        <f t="shared" ref="O3371:O3434" si="2448">L3371*1.1</f>
        <v>640200</v>
      </c>
      <c r="P3371" s="319">
        <f t="shared" si="2445"/>
        <v>704220</v>
      </c>
      <c r="R3371" s="317"/>
      <c r="U3371" s="320"/>
    </row>
    <row r="3372" spans="1:21" s="344" customFormat="1" outlineLevel="2">
      <c r="A3372" s="345"/>
      <c r="B3372" s="345"/>
      <c r="C3372" s="405">
        <v>2210703</v>
      </c>
      <c r="D3372" s="345" t="s">
        <v>107</v>
      </c>
      <c r="E3372" s="406">
        <v>91900</v>
      </c>
      <c r="F3372" s="406"/>
      <c r="G3372" s="406"/>
      <c r="H3372" s="406">
        <v>200000</v>
      </c>
      <c r="I3372" s="324">
        <f t="shared" si="2436"/>
        <v>291900</v>
      </c>
      <c r="J3372" s="406"/>
      <c r="K3372" s="406">
        <v>-247900</v>
      </c>
      <c r="L3372" s="317">
        <f t="shared" si="2423"/>
        <v>44000</v>
      </c>
      <c r="M3372" s="317"/>
      <c r="N3372" s="372">
        <f t="shared" si="2426"/>
        <v>247900</v>
      </c>
      <c r="O3372" s="336">
        <f t="shared" si="2448"/>
        <v>48400.000000000007</v>
      </c>
      <c r="P3372" s="319">
        <f t="shared" si="2445"/>
        <v>53240.000000000015</v>
      </c>
      <c r="R3372" s="317"/>
      <c r="U3372" s="320"/>
    </row>
    <row r="3373" spans="1:21" s="344" customFormat="1" outlineLevel="2">
      <c r="A3373" s="345"/>
      <c r="B3373" s="345"/>
      <c r="C3373" s="405">
        <v>2210704</v>
      </c>
      <c r="D3373" s="345" t="s">
        <v>38</v>
      </c>
      <c r="E3373" s="406">
        <v>58000</v>
      </c>
      <c r="F3373" s="406"/>
      <c r="G3373" s="406"/>
      <c r="H3373" s="406"/>
      <c r="I3373" s="324">
        <f t="shared" si="2436"/>
        <v>58000</v>
      </c>
      <c r="J3373" s="406"/>
      <c r="K3373" s="406"/>
      <c r="L3373" s="317">
        <f t="shared" si="2423"/>
        <v>58000</v>
      </c>
      <c r="M3373" s="317"/>
      <c r="N3373" s="372">
        <f t="shared" si="2426"/>
        <v>0</v>
      </c>
      <c r="O3373" s="336">
        <f t="shared" si="2448"/>
        <v>63800.000000000007</v>
      </c>
      <c r="P3373" s="319">
        <f t="shared" si="2445"/>
        <v>70180.000000000015</v>
      </c>
      <c r="R3373" s="317"/>
      <c r="U3373" s="320"/>
    </row>
    <row r="3374" spans="1:21" s="344" customFormat="1" outlineLevel="2">
      <c r="A3374" s="345"/>
      <c r="B3374" s="345"/>
      <c r="C3374" s="405">
        <v>2210710</v>
      </c>
      <c r="D3374" s="345" t="s">
        <v>39</v>
      </c>
      <c r="E3374" s="406">
        <v>238400</v>
      </c>
      <c r="F3374" s="406"/>
      <c r="G3374" s="406"/>
      <c r="H3374" s="406">
        <v>1000000</v>
      </c>
      <c r="I3374" s="324">
        <f t="shared" si="2436"/>
        <v>1238400</v>
      </c>
      <c r="J3374" s="406"/>
      <c r="K3374" s="406"/>
      <c r="L3374" s="317">
        <f t="shared" si="2423"/>
        <v>1238400</v>
      </c>
      <c r="M3374" s="317"/>
      <c r="N3374" s="372">
        <f t="shared" si="2426"/>
        <v>0</v>
      </c>
      <c r="O3374" s="336">
        <f t="shared" si="2448"/>
        <v>1362240</v>
      </c>
      <c r="P3374" s="319">
        <f t="shared" si="2445"/>
        <v>1498464.0000000002</v>
      </c>
      <c r="R3374" s="317"/>
      <c r="U3374" s="320"/>
    </row>
    <row r="3375" spans="1:21" s="344" customFormat="1" outlineLevel="2">
      <c r="A3375" s="345"/>
      <c r="B3375" s="345"/>
      <c r="C3375" s="328">
        <v>2211100</v>
      </c>
      <c r="D3375" s="326" t="s">
        <v>51</v>
      </c>
      <c r="E3375" s="461">
        <f>E3376+E3377</f>
        <v>659500</v>
      </c>
      <c r="F3375" s="461">
        <f t="shared" ref="F3375:K3375" si="2449">F3376+F3377</f>
        <v>0</v>
      </c>
      <c r="G3375" s="461">
        <f t="shared" si="2449"/>
        <v>0</v>
      </c>
      <c r="H3375" s="461">
        <f t="shared" si="2449"/>
        <v>0</v>
      </c>
      <c r="I3375" s="461">
        <f t="shared" si="2449"/>
        <v>659500</v>
      </c>
      <c r="J3375" s="461">
        <f t="shared" si="2449"/>
        <v>0</v>
      </c>
      <c r="K3375" s="461">
        <f t="shared" si="2449"/>
        <v>0</v>
      </c>
      <c r="L3375" s="317">
        <f t="shared" si="2423"/>
        <v>659500</v>
      </c>
      <c r="M3375" s="317"/>
      <c r="N3375" s="372">
        <f t="shared" si="2426"/>
        <v>0</v>
      </c>
      <c r="O3375" s="461">
        <f t="shared" ref="O3375:P3375" si="2450">O3376+O3377</f>
        <v>725450</v>
      </c>
      <c r="P3375" s="461">
        <f t="shared" si="2450"/>
        <v>797995.00000000023</v>
      </c>
      <c r="R3375" s="317"/>
      <c r="U3375" s="320"/>
    </row>
    <row r="3376" spans="1:21" s="344" customFormat="1" outlineLevel="2">
      <c r="A3376" s="345"/>
      <c r="B3376" s="345"/>
      <c r="C3376" s="405">
        <v>2211101</v>
      </c>
      <c r="D3376" s="345" t="s">
        <v>52</v>
      </c>
      <c r="E3376" s="406">
        <v>309500</v>
      </c>
      <c r="F3376" s="406"/>
      <c r="G3376" s="406"/>
      <c r="H3376" s="406"/>
      <c r="I3376" s="324">
        <f t="shared" si="2436"/>
        <v>309500</v>
      </c>
      <c r="J3376" s="406"/>
      <c r="K3376" s="406"/>
      <c r="L3376" s="317">
        <f t="shared" si="2423"/>
        <v>309500</v>
      </c>
      <c r="M3376" s="317"/>
      <c r="N3376" s="372">
        <f t="shared" si="2426"/>
        <v>0</v>
      </c>
      <c r="O3376" s="336">
        <f t="shared" si="2448"/>
        <v>340450</v>
      </c>
      <c r="P3376" s="319">
        <f t="shared" si="2445"/>
        <v>374495.00000000006</v>
      </c>
      <c r="R3376" s="317"/>
      <c r="U3376" s="320"/>
    </row>
    <row r="3377" spans="1:21" s="344" customFormat="1" outlineLevel="2">
      <c r="A3377" s="345"/>
      <c r="B3377" s="345"/>
      <c r="C3377" s="405">
        <v>2211102</v>
      </c>
      <c r="D3377" s="345" t="s">
        <v>53</v>
      </c>
      <c r="E3377" s="406">
        <v>350000</v>
      </c>
      <c r="F3377" s="406"/>
      <c r="G3377" s="406"/>
      <c r="H3377" s="406"/>
      <c r="I3377" s="324">
        <f t="shared" si="2436"/>
        <v>350000</v>
      </c>
      <c r="J3377" s="406"/>
      <c r="K3377" s="406"/>
      <c r="L3377" s="317">
        <f t="shared" si="2423"/>
        <v>350000</v>
      </c>
      <c r="M3377" s="317"/>
      <c r="N3377" s="372">
        <f t="shared" si="2426"/>
        <v>0</v>
      </c>
      <c r="O3377" s="336">
        <f t="shared" si="2448"/>
        <v>385000.00000000006</v>
      </c>
      <c r="P3377" s="319">
        <f t="shared" si="2445"/>
        <v>423500.00000000012</v>
      </c>
      <c r="R3377" s="317"/>
      <c r="U3377" s="320"/>
    </row>
    <row r="3378" spans="1:21" s="344" customFormat="1" outlineLevel="2">
      <c r="A3378" s="345"/>
      <c r="B3378" s="345"/>
      <c r="C3378" s="328">
        <v>2211200</v>
      </c>
      <c r="D3378" s="326" t="s">
        <v>55</v>
      </c>
      <c r="E3378" s="461">
        <f>E3379</f>
        <v>27023.508921727538</v>
      </c>
      <c r="F3378" s="461">
        <f t="shared" ref="F3378:K3378" si="2451">F3379</f>
        <v>0</v>
      </c>
      <c r="G3378" s="461">
        <f t="shared" si="2451"/>
        <v>0</v>
      </c>
      <c r="H3378" s="461">
        <f t="shared" si="2451"/>
        <v>0</v>
      </c>
      <c r="I3378" s="461">
        <f t="shared" si="2451"/>
        <v>27023.508921727538</v>
      </c>
      <c r="J3378" s="461">
        <f t="shared" si="2451"/>
        <v>0</v>
      </c>
      <c r="K3378" s="461">
        <f t="shared" si="2451"/>
        <v>0</v>
      </c>
      <c r="L3378" s="317">
        <f t="shared" si="2423"/>
        <v>27023.508921727538</v>
      </c>
      <c r="M3378" s="317"/>
      <c r="N3378" s="372">
        <f t="shared" si="2426"/>
        <v>0</v>
      </c>
      <c r="O3378" s="461">
        <f t="shared" ref="O3378:P3378" si="2452">O3379</f>
        <v>29725.859813900293</v>
      </c>
      <c r="P3378" s="461">
        <f t="shared" si="2452"/>
        <v>32698.445795290325</v>
      </c>
      <c r="R3378" s="317"/>
      <c r="U3378" s="320"/>
    </row>
    <row r="3379" spans="1:21" s="344" customFormat="1" outlineLevel="2">
      <c r="A3379" s="345"/>
      <c r="B3379" s="345"/>
      <c r="C3379" s="405">
        <v>2211201</v>
      </c>
      <c r="D3379" s="345" t="s">
        <v>56</v>
      </c>
      <c r="E3379" s="406">
        <v>27023.508921727538</v>
      </c>
      <c r="F3379" s="406"/>
      <c r="G3379" s="406"/>
      <c r="H3379" s="406"/>
      <c r="I3379" s="324">
        <f t="shared" si="2436"/>
        <v>27023.508921727538</v>
      </c>
      <c r="J3379" s="406"/>
      <c r="K3379" s="406"/>
      <c r="L3379" s="317">
        <f t="shared" si="2423"/>
        <v>27023.508921727538</v>
      </c>
      <c r="M3379" s="317"/>
      <c r="N3379" s="372">
        <f t="shared" si="2426"/>
        <v>0</v>
      </c>
      <c r="O3379" s="336">
        <f t="shared" si="2448"/>
        <v>29725.859813900293</v>
      </c>
      <c r="P3379" s="319">
        <f t="shared" si="2445"/>
        <v>32698.445795290325</v>
      </c>
      <c r="R3379" s="317"/>
      <c r="U3379" s="320"/>
    </row>
    <row r="3380" spans="1:21" s="344" customFormat="1" outlineLevel="2">
      <c r="A3380" s="345"/>
      <c r="B3380" s="345"/>
      <c r="C3380" s="328">
        <v>2211300</v>
      </c>
      <c r="D3380" s="326" t="s">
        <v>57</v>
      </c>
      <c r="E3380" s="461">
        <f>E3382+E3381</f>
        <v>0</v>
      </c>
      <c r="F3380" s="461">
        <f t="shared" ref="F3380:P3380" si="2453">F3382+F3381</f>
        <v>0</v>
      </c>
      <c r="G3380" s="461">
        <f t="shared" si="2453"/>
        <v>6386429</v>
      </c>
      <c r="H3380" s="461">
        <f t="shared" si="2453"/>
        <v>-5000000</v>
      </c>
      <c r="I3380" s="461">
        <f t="shared" si="2453"/>
        <v>1386429</v>
      </c>
      <c r="J3380" s="461">
        <f t="shared" si="2453"/>
        <v>0</v>
      </c>
      <c r="K3380" s="461">
        <f t="shared" si="2453"/>
        <v>0</v>
      </c>
      <c r="L3380" s="317">
        <f t="shared" si="2423"/>
        <v>1386429</v>
      </c>
      <c r="M3380" s="317"/>
      <c r="N3380" s="372">
        <f t="shared" si="2426"/>
        <v>0</v>
      </c>
      <c r="O3380" s="461">
        <f t="shared" si="2453"/>
        <v>1525071.9000000001</v>
      </c>
      <c r="P3380" s="461">
        <f t="shared" si="2453"/>
        <v>1677579.0900000003</v>
      </c>
      <c r="R3380" s="317"/>
      <c r="U3380" s="320"/>
    </row>
    <row r="3381" spans="1:21" s="344" customFormat="1" outlineLevel="2">
      <c r="A3381" s="345"/>
      <c r="B3381" s="345"/>
      <c r="C3381" s="405">
        <v>2211310</v>
      </c>
      <c r="D3381" s="345" t="s">
        <v>2081</v>
      </c>
      <c r="E3381" s="406"/>
      <c r="F3381" s="406"/>
      <c r="G3381" s="406">
        <v>6386429</v>
      </c>
      <c r="H3381" s="406">
        <v>-5000000</v>
      </c>
      <c r="I3381" s="324">
        <f t="shared" si="2436"/>
        <v>1386429</v>
      </c>
      <c r="J3381" s="406"/>
      <c r="K3381" s="406"/>
      <c r="L3381" s="317">
        <f t="shared" si="2423"/>
        <v>1386429</v>
      </c>
      <c r="M3381" s="317"/>
      <c r="N3381" s="372">
        <f t="shared" si="2426"/>
        <v>0</v>
      </c>
      <c r="O3381" s="336">
        <f t="shared" si="2448"/>
        <v>1525071.9000000001</v>
      </c>
      <c r="P3381" s="319">
        <f t="shared" si="2445"/>
        <v>1677579.0900000003</v>
      </c>
      <c r="R3381" s="317"/>
      <c r="U3381" s="320"/>
    </row>
    <row r="3382" spans="1:21" s="344" customFormat="1" outlineLevel="2">
      <c r="A3382" s="345"/>
      <c r="B3382" s="345"/>
      <c r="C3382" s="405">
        <v>2211320</v>
      </c>
      <c r="D3382" s="345" t="s">
        <v>630</v>
      </c>
      <c r="E3382" s="406">
        <v>0</v>
      </c>
      <c r="F3382" s="406"/>
      <c r="G3382" s="406"/>
      <c r="H3382" s="406"/>
      <c r="I3382" s="324">
        <f t="shared" si="2436"/>
        <v>0</v>
      </c>
      <c r="J3382" s="406"/>
      <c r="K3382" s="406"/>
      <c r="L3382" s="317">
        <f t="shared" si="2423"/>
        <v>0</v>
      </c>
      <c r="M3382" s="317"/>
      <c r="N3382" s="372">
        <f t="shared" si="2426"/>
        <v>0</v>
      </c>
      <c r="O3382" s="336">
        <f t="shared" si="2448"/>
        <v>0</v>
      </c>
      <c r="P3382" s="319">
        <f t="shared" si="2445"/>
        <v>0</v>
      </c>
      <c r="R3382" s="317"/>
      <c r="U3382" s="320"/>
    </row>
    <row r="3383" spans="1:21" s="344" customFormat="1" outlineLevel="2">
      <c r="A3383" s="345"/>
      <c r="B3383" s="345"/>
      <c r="C3383" s="328">
        <v>3111000</v>
      </c>
      <c r="D3383" s="326" t="s">
        <v>69</v>
      </c>
      <c r="E3383" s="461">
        <f>E3384</f>
        <v>385200</v>
      </c>
      <c r="F3383" s="461">
        <f t="shared" ref="F3383:K3383" si="2454">F3384</f>
        <v>0</v>
      </c>
      <c r="G3383" s="461">
        <f t="shared" si="2454"/>
        <v>0</v>
      </c>
      <c r="H3383" s="461">
        <f t="shared" si="2454"/>
        <v>0</v>
      </c>
      <c r="I3383" s="461">
        <f t="shared" si="2454"/>
        <v>385200</v>
      </c>
      <c r="J3383" s="461">
        <f t="shared" si="2454"/>
        <v>0</v>
      </c>
      <c r="K3383" s="461">
        <f t="shared" si="2454"/>
        <v>0</v>
      </c>
      <c r="L3383" s="317">
        <f t="shared" si="2423"/>
        <v>385200</v>
      </c>
      <c r="M3383" s="317"/>
      <c r="N3383" s="372">
        <f t="shared" si="2426"/>
        <v>0</v>
      </c>
      <c r="O3383" s="461">
        <f t="shared" ref="O3383:P3383" si="2455">O3384</f>
        <v>423720.00000000006</v>
      </c>
      <c r="P3383" s="461">
        <f t="shared" si="2455"/>
        <v>466092.00000000012</v>
      </c>
      <c r="R3383" s="317"/>
      <c r="U3383" s="320"/>
    </row>
    <row r="3384" spans="1:21" s="344" customFormat="1" outlineLevel="2">
      <c r="A3384" s="345"/>
      <c r="B3384" s="345"/>
      <c r="C3384" s="405">
        <v>3111002</v>
      </c>
      <c r="D3384" s="345" t="s">
        <v>71</v>
      </c>
      <c r="E3384" s="406">
        <v>385200</v>
      </c>
      <c r="F3384" s="406"/>
      <c r="G3384" s="406"/>
      <c r="H3384" s="406"/>
      <c r="I3384" s="324">
        <f t="shared" si="2436"/>
        <v>385200</v>
      </c>
      <c r="J3384" s="406"/>
      <c r="K3384" s="406"/>
      <c r="L3384" s="317">
        <f t="shared" si="2423"/>
        <v>385200</v>
      </c>
      <c r="M3384" s="317"/>
      <c r="N3384" s="372">
        <f t="shared" si="2426"/>
        <v>0</v>
      </c>
      <c r="O3384" s="336">
        <f t="shared" si="2448"/>
        <v>423720.00000000006</v>
      </c>
      <c r="P3384" s="319">
        <f t="shared" si="2445"/>
        <v>466092.00000000012</v>
      </c>
      <c r="R3384" s="317"/>
      <c r="U3384" s="320"/>
    </row>
    <row r="3385" spans="1:21" s="344" customFormat="1" outlineLevel="1">
      <c r="A3385" s="345"/>
      <c r="B3385" s="345"/>
      <c r="C3385" s="314"/>
      <c r="D3385" s="447" t="s">
        <v>99</v>
      </c>
      <c r="E3385" s="438">
        <f>E3383+E3380+E3378+E3375+E3370+E3366+E3361+E3359</f>
        <v>4473423.5089217275</v>
      </c>
      <c r="F3385" s="438">
        <f t="shared" ref="F3385:P3385" si="2456">F3383+F3380+F3378+F3375+F3370+F3366+F3361+F3359</f>
        <v>0</v>
      </c>
      <c r="G3385" s="438">
        <f t="shared" si="2456"/>
        <v>6386429</v>
      </c>
      <c r="H3385" s="438">
        <f t="shared" si="2456"/>
        <v>-1800000</v>
      </c>
      <c r="I3385" s="438">
        <f t="shared" si="2456"/>
        <v>9059852.5089217275</v>
      </c>
      <c r="J3385" s="438">
        <f t="shared" si="2456"/>
        <v>0</v>
      </c>
      <c r="K3385" s="438">
        <f t="shared" si="2456"/>
        <v>0</v>
      </c>
      <c r="L3385" s="317">
        <f t="shared" si="2423"/>
        <v>9059852.5089217275</v>
      </c>
      <c r="M3385" s="317"/>
      <c r="N3385" s="372">
        <f t="shared" si="2426"/>
        <v>0</v>
      </c>
      <c r="O3385" s="438">
        <f t="shared" si="2456"/>
        <v>9965837.759813901</v>
      </c>
      <c r="P3385" s="438">
        <f t="shared" si="2456"/>
        <v>10962421.535795292</v>
      </c>
      <c r="R3385" s="317"/>
      <c r="U3385" s="320"/>
    </row>
    <row r="3386" spans="1:21" s="344" customFormat="1" outlineLevel="1">
      <c r="A3386" s="345"/>
      <c r="B3386" s="345"/>
      <c r="C3386" s="314"/>
      <c r="D3386" s="447" t="s">
        <v>627</v>
      </c>
      <c r="E3386" s="438">
        <f>E3385</f>
        <v>4473423.5089217275</v>
      </c>
      <c r="F3386" s="438">
        <f t="shared" ref="F3386:P3386" si="2457">F3385</f>
        <v>0</v>
      </c>
      <c r="G3386" s="438">
        <f t="shared" si="2457"/>
        <v>6386429</v>
      </c>
      <c r="H3386" s="438">
        <f t="shared" si="2457"/>
        <v>-1800000</v>
      </c>
      <c r="I3386" s="438">
        <f t="shared" si="2457"/>
        <v>9059852.5089217275</v>
      </c>
      <c r="J3386" s="438">
        <f t="shared" si="2457"/>
        <v>0</v>
      </c>
      <c r="K3386" s="438">
        <f t="shared" si="2457"/>
        <v>0</v>
      </c>
      <c r="L3386" s="317">
        <f t="shared" si="2423"/>
        <v>9059852.5089217275</v>
      </c>
      <c r="M3386" s="317"/>
      <c r="N3386" s="372">
        <f t="shared" si="2426"/>
        <v>0</v>
      </c>
      <c r="O3386" s="438">
        <f t="shared" si="2457"/>
        <v>9965837.759813901</v>
      </c>
      <c r="P3386" s="438">
        <f t="shared" si="2457"/>
        <v>10962421.535795292</v>
      </c>
      <c r="R3386" s="317"/>
      <c r="U3386" s="320"/>
    </row>
    <row r="3387" spans="1:21" s="344" customFormat="1" outlineLevel="1">
      <c r="A3387" s="345"/>
      <c r="B3387" s="345"/>
      <c r="C3387" s="340"/>
      <c r="D3387" s="447" t="s">
        <v>631</v>
      </c>
      <c r="E3387" s="438">
        <f>E3386+E3356+E3320</f>
        <v>39107712.81637235</v>
      </c>
      <c r="F3387" s="438">
        <f t="shared" ref="F3387:P3387" si="2458">F3386+F3356+F3320</f>
        <v>0</v>
      </c>
      <c r="G3387" s="438">
        <f t="shared" si="2458"/>
        <v>6386429</v>
      </c>
      <c r="H3387" s="438">
        <f t="shared" si="2458"/>
        <v>0</v>
      </c>
      <c r="I3387" s="438">
        <f t="shared" si="2458"/>
        <v>45494141.81637235</v>
      </c>
      <c r="J3387" s="438">
        <f t="shared" si="2458"/>
        <v>0</v>
      </c>
      <c r="K3387" s="438">
        <f t="shared" si="2458"/>
        <v>0</v>
      </c>
      <c r="L3387" s="317">
        <f t="shared" si="2423"/>
        <v>45494141.81637235</v>
      </c>
      <c r="M3387" s="317"/>
      <c r="N3387" s="372">
        <f t="shared" si="2426"/>
        <v>0</v>
      </c>
      <c r="O3387" s="438">
        <f t="shared" si="2458"/>
        <v>50043555.998009585</v>
      </c>
      <c r="P3387" s="438">
        <f t="shared" si="2458"/>
        <v>55047911.597810552</v>
      </c>
      <c r="R3387" s="317"/>
      <c r="U3387" s="320"/>
    </row>
    <row r="3388" spans="1:21" s="344" customFormat="1" outlineLevel="1">
      <c r="A3388" s="345"/>
      <c r="B3388" s="345"/>
      <c r="C3388" s="340"/>
      <c r="D3388" s="338"/>
      <c r="E3388" s="397"/>
      <c r="F3388" s="397"/>
      <c r="G3388" s="397"/>
      <c r="H3388" s="397"/>
      <c r="I3388" s="324">
        <f t="shared" si="2436"/>
        <v>0</v>
      </c>
      <c r="J3388" s="397"/>
      <c r="K3388" s="397"/>
      <c r="L3388" s="317">
        <f t="shared" si="2423"/>
        <v>0</v>
      </c>
      <c r="M3388" s="317"/>
      <c r="N3388" s="372">
        <f t="shared" si="2426"/>
        <v>0</v>
      </c>
      <c r="O3388" s="336">
        <f t="shared" si="2448"/>
        <v>0</v>
      </c>
      <c r="P3388" s="319">
        <f t="shared" si="2445"/>
        <v>0</v>
      </c>
      <c r="R3388" s="317"/>
      <c r="U3388" s="320"/>
    </row>
    <row r="3389" spans="1:21" s="344" customFormat="1" outlineLevel="1">
      <c r="A3389" s="345"/>
      <c r="B3389" s="345"/>
      <c r="C3389" s="340"/>
      <c r="D3389" s="338"/>
      <c r="E3389" s="397"/>
      <c r="F3389" s="397"/>
      <c r="G3389" s="397"/>
      <c r="H3389" s="397"/>
      <c r="I3389" s="324">
        <f t="shared" si="2436"/>
        <v>0</v>
      </c>
      <c r="J3389" s="397"/>
      <c r="K3389" s="397"/>
      <c r="L3389" s="317">
        <f t="shared" si="2423"/>
        <v>0</v>
      </c>
      <c r="M3389" s="317"/>
      <c r="N3389" s="372">
        <f t="shared" si="2426"/>
        <v>0</v>
      </c>
      <c r="O3389" s="336">
        <f t="shared" si="2448"/>
        <v>0</v>
      </c>
      <c r="P3389" s="319">
        <f t="shared" ref="P3389:P3411" si="2459">O3389*1.1</f>
        <v>0</v>
      </c>
      <c r="R3389" s="317"/>
      <c r="U3389" s="320"/>
    </row>
    <row r="3390" spans="1:21" s="344" customFormat="1" outlineLevel="1">
      <c r="A3390" s="483"/>
      <c r="B3390" s="483"/>
      <c r="C3390" s="680"/>
      <c r="D3390" s="376"/>
      <c r="E3390" s="1048"/>
      <c r="F3390" s="1048"/>
      <c r="G3390" s="1048"/>
      <c r="H3390" s="1048"/>
      <c r="I3390" s="324">
        <f t="shared" si="2436"/>
        <v>0</v>
      </c>
      <c r="J3390" s="1048"/>
      <c r="K3390" s="1048"/>
      <c r="L3390" s="317">
        <f t="shared" si="2423"/>
        <v>0</v>
      </c>
      <c r="M3390" s="317"/>
      <c r="N3390" s="372">
        <f t="shared" si="2426"/>
        <v>0</v>
      </c>
      <c r="O3390" s="336">
        <f t="shared" si="2448"/>
        <v>0</v>
      </c>
      <c r="P3390" s="319">
        <f t="shared" si="2459"/>
        <v>0</v>
      </c>
      <c r="R3390" s="317"/>
      <c r="U3390" s="320"/>
    </row>
    <row r="3391" spans="1:21" s="344" customFormat="1" outlineLevel="1">
      <c r="A3391" s="345"/>
      <c r="B3391" s="345"/>
      <c r="C3391" s="314" t="s">
        <v>632</v>
      </c>
      <c r="D3391" s="447"/>
      <c r="E3391" s="438"/>
      <c r="F3391" s="438"/>
      <c r="G3391" s="438"/>
      <c r="H3391" s="438"/>
      <c r="I3391" s="324">
        <f t="shared" si="2436"/>
        <v>0</v>
      </c>
      <c r="J3391" s="438"/>
      <c r="K3391" s="438"/>
      <c r="L3391" s="317">
        <f t="shared" si="2423"/>
        <v>0</v>
      </c>
      <c r="M3391" s="317"/>
      <c r="N3391" s="372">
        <f t="shared" si="2426"/>
        <v>0</v>
      </c>
      <c r="O3391" s="336">
        <f t="shared" si="2448"/>
        <v>0</v>
      </c>
      <c r="P3391" s="319">
        <f t="shared" si="2459"/>
        <v>0</v>
      </c>
      <c r="R3391" s="317"/>
      <c r="U3391" s="320"/>
    </row>
    <row r="3392" spans="1:21" s="344" customFormat="1" outlineLevel="1">
      <c r="A3392" s="506"/>
      <c r="B3392" s="506"/>
      <c r="C3392" s="992" t="s">
        <v>633</v>
      </c>
      <c r="D3392" s="358"/>
      <c r="E3392" s="999"/>
      <c r="F3392" s="999"/>
      <c r="G3392" s="999"/>
      <c r="H3392" s="999"/>
      <c r="I3392" s="324">
        <f t="shared" si="2436"/>
        <v>0</v>
      </c>
      <c r="J3392" s="999"/>
      <c r="K3392" s="999"/>
      <c r="L3392" s="317">
        <f t="shared" si="2423"/>
        <v>0</v>
      </c>
      <c r="M3392" s="317"/>
      <c r="N3392" s="372">
        <f t="shared" si="2426"/>
        <v>0</v>
      </c>
      <c r="O3392" s="336">
        <f t="shared" si="2448"/>
        <v>0</v>
      </c>
      <c r="P3392" s="319">
        <f t="shared" si="2459"/>
        <v>0</v>
      </c>
      <c r="R3392" s="317"/>
      <c r="U3392" s="320"/>
    </row>
    <row r="3393" spans="1:21" s="344" customFormat="1" outlineLevel="1">
      <c r="A3393" s="345"/>
      <c r="B3393" s="345"/>
      <c r="C3393" s="340" t="s">
        <v>634</v>
      </c>
      <c r="D3393" s="338"/>
      <c r="E3393" s="397"/>
      <c r="F3393" s="397"/>
      <c r="G3393" s="397"/>
      <c r="H3393" s="397"/>
      <c r="I3393" s="324">
        <f t="shared" si="2436"/>
        <v>0</v>
      </c>
      <c r="J3393" s="397"/>
      <c r="K3393" s="397"/>
      <c r="L3393" s="317">
        <f t="shared" si="2423"/>
        <v>0</v>
      </c>
      <c r="M3393" s="317"/>
      <c r="N3393" s="372">
        <f t="shared" si="2426"/>
        <v>0</v>
      </c>
      <c r="O3393" s="336">
        <f t="shared" si="2448"/>
        <v>0</v>
      </c>
      <c r="P3393" s="319">
        <f t="shared" si="2459"/>
        <v>0</v>
      </c>
      <c r="R3393" s="317"/>
      <c r="U3393" s="320"/>
    </row>
    <row r="3394" spans="1:21" s="344" customFormat="1" outlineLevel="2">
      <c r="A3394" s="345"/>
      <c r="B3394" s="345"/>
      <c r="C3394" s="328">
        <v>2110200</v>
      </c>
      <c r="D3394" s="326" t="s">
        <v>480</v>
      </c>
      <c r="E3394" s="461">
        <f>E3395</f>
        <v>0</v>
      </c>
      <c r="F3394" s="461">
        <f t="shared" ref="F3394:P3394" si="2460">F3395</f>
        <v>0</v>
      </c>
      <c r="G3394" s="461">
        <f t="shared" si="2460"/>
        <v>0</v>
      </c>
      <c r="H3394" s="461">
        <f t="shared" si="2460"/>
        <v>0</v>
      </c>
      <c r="I3394" s="461">
        <f t="shared" si="2460"/>
        <v>0</v>
      </c>
      <c r="J3394" s="461"/>
      <c r="K3394" s="461"/>
      <c r="L3394" s="317">
        <f t="shared" si="2423"/>
        <v>0</v>
      </c>
      <c r="M3394" s="317"/>
      <c r="N3394" s="372">
        <f t="shared" si="2426"/>
        <v>0</v>
      </c>
      <c r="O3394" s="461">
        <f t="shared" si="2460"/>
        <v>0</v>
      </c>
      <c r="P3394" s="461">
        <f t="shared" si="2460"/>
        <v>0</v>
      </c>
      <c r="R3394" s="317"/>
      <c r="U3394" s="320"/>
    </row>
    <row r="3395" spans="1:21" s="344" customFormat="1" outlineLevel="2">
      <c r="A3395" s="345"/>
      <c r="B3395" s="345"/>
      <c r="C3395" s="405">
        <v>2110202</v>
      </c>
      <c r="D3395" s="345" t="s">
        <v>635</v>
      </c>
      <c r="E3395" s="406">
        <v>0</v>
      </c>
      <c r="F3395" s="406"/>
      <c r="G3395" s="406"/>
      <c r="H3395" s="406"/>
      <c r="I3395" s="324">
        <f t="shared" si="2436"/>
        <v>0</v>
      </c>
      <c r="J3395" s="406"/>
      <c r="K3395" s="406"/>
      <c r="L3395" s="317">
        <f t="shared" si="2423"/>
        <v>0</v>
      </c>
      <c r="M3395" s="317"/>
      <c r="N3395" s="372">
        <f t="shared" si="2426"/>
        <v>0</v>
      </c>
      <c r="O3395" s="336">
        <f t="shared" si="2448"/>
        <v>0</v>
      </c>
      <c r="P3395" s="319">
        <f t="shared" si="2459"/>
        <v>0</v>
      </c>
      <c r="R3395" s="317"/>
      <c r="U3395" s="320"/>
    </row>
    <row r="3396" spans="1:21" s="344" customFormat="1" outlineLevel="2">
      <c r="A3396" s="345"/>
      <c r="B3396" s="345"/>
      <c r="C3396" s="328">
        <v>2210200</v>
      </c>
      <c r="D3396" s="326" t="s">
        <v>20</v>
      </c>
      <c r="E3396" s="461">
        <f>E3397</f>
        <v>253000</v>
      </c>
      <c r="F3396" s="461">
        <f t="shared" ref="F3396:P3396" si="2461">F3397</f>
        <v>0</v>
      </c>
      <c r="G3396" s="461">
        <f t="shared" si="2461"/>
        <v>0</v>
      </c>
      <c r="H3396" s="461">
        <f t="shared" si="2461"/>
        <v>0</v>
      </c>
      <c r="I3396" s="461">
        <f t="shared" si="2461"/>
        <v>253000</v>
      </c>
      <c r="J3396" s="461">
        <f t="shared" si="2461"/>
        <v>0</v>
      </c>
      <c r="K3396" s="461">
        <f t="shared" si="2461"/>
        <v>0</v>
      </c>
      <c r="L3396" s="317">
        <f t="shared" si="2423"/>
        <v>253000</v>
      </c>
      <c r="M3396" s="317"/>
      <c r="N3396" s="372">
        <f t="shared" si="2426"/>
        <v>0</v>
      </c>
      <c r="O3396" s="461">
        <f t="shared" si="2461"/>
        <v>278300</v>
      </c>
      <c r="P3396" s="461">
        <f t="shared" si="2461"/>
        <v>306130</v>
      </c>
      <c r="R3396" s="317"/>
      <c r="U3396" s="320"/>
    </row>
    <row r="3397" spans="1:21" s="344" customFormat="1" outlineLevel="2">
      <c r="A3397" s="345"/>
      <c r="B3397" s="345"/>
      <c r="C3397" s="405">
        <v>2210201</v>
      </c>
      <c r="D3397" s="345" t="s">
        <v>113</v>
      </c>
      <c r="E3397" s="406">
        <v>253000</v>
      </c>
      <c r="F3397" s="406"/>
      <c r="G3397" s="406"/>
      <c r="H3397" s="406"/>
      <c r="I3397" s="324">
        <f t="shared" si="2436"/>
        <v>253000</v>
      </c>
      <c r="J3397" s="406"/>
      <c r="K3397" s="406"/>
      <c r="L3397" s="317">
        <f t="shared" ref="L3397:L3460" si="2462">I3397+J3397+K3397</f>
        <v>253000</v>
      </c>
      <c r="M3397" s="317"/>
      <c r="N3397" s="372">
        <f t="shared" si="2426"/>
        <v>0</v>
      </c>
      <c r="O3397" s="336">
        <f t="shared" si="2448"/>
        <v>278300</v>
      </c>
      <c r="P3397" s="319">
        <f t="shared" si="2459"/>
        <v>306130</v>
      </c>
      <c r="R3397" s="317"/>
      <c r="U3397" s="320"/>
    </row>
    <row r="3398" spans="1:21" s="344" customFormat="1" outlineLevel="2">
      <c r="A3398" s="345"/>
      <c r="B3398" s="345"/>
      <c r="C3398" s="328">
        <v>2210300</v>
      </c>
      <c r="D3398" s="326" t="s">
        <v>24</v>
      </c>
      <c r="E3398" s="461">
        <f>E3399+E3400+E3401+E3402+E3403</f>
        <v>4865000</v>
      </c>
      <c r="F3398" s="461">
        <f t="shared" ref="F3398:P3398" si="2463">F3399+F3400+F3401+F3402+F3403</f>
        <v>0</v>
      </c>
      <c r="G3398" s="461">
        <f t="shared" si="2463"/>
        <v>0</v>
      </c>
      <c r="H3398" s="461">
        <f t="shared" si="2463"/>
        <v>0</v>
      </c>
      <c r="I3398" s="461">
        <f t="shared" si="2463"/>
        <v>4865000</v>
      </c>
      <c r="J3398" s="461">
        <f t="shared" si="2463"/>
        <v>0</v>
      </c>
      <c r="K3398" s="461">
        <f t="shared" si="2463"/>
        <v>0</v>
      </c>
      <c r="L3398" s="317">
        <f t="shared" si="2462"/>
        <v>4865000</v>
      </c>
      <c r="M3398" s="317"/>
      <c r="N3398" s="372">
        <f t="shared" si="2426"/>
        <v>0</v>
      </c>
      <c r="O3398" s="461">
        <f t="shared" si="2463"/>
        <v>5351500.0000000009</v>
      </c>
      <c r="P3398" s="461">
        <f t="shared" si="2463"/>
        <v>5886650.0000000009</v>
      </c>
      <c r="R3398" s="317"/>
      <c r="U3398" s="320"/>
    </row>
    <row r="3399" spans="1:21" s="344" customFormat="1" outlineLevel="2">
      <c r="A3399" s="345"/>
      <c r="B3399" s="345"/>
      <c r="C3399" s="405">
        <v>2210301</v>
      </c>
      <c r="D3399" s="345" t="s">
        <v>25</v>
      </c>
      <c r="E3399" s="406">
        <f>1160000-264000</f>
        <v>896000</v>
      </c>
      <c r="F3399" s="406"/>
      <c r="G3399" s="406"/>
      <c r="H3399" s="406"/>
      <c r="I3399" s="324">
        <f t="shared" si="2436"/>
        <v>896000</v>
      </c>
      <c r="J3399" s="406"/>
      <c r="K3399" s="406"/>
      <c r="L3399" s="317">
        <f t="shared" si="2462"/>
        <v>896000</v>
      </c>
      <c r="M3399" s="317"/>
      <c r="N3399" s="372">
        <f t="shared" si="2426"/>
        <v>0</v>
      </c>
      <c r="O3399" s="336">
        <f t="shared" si="2448"/>
        <v>985600.00000000012</v>
      </c>
      <c r="P3399" s="319">
        <f t="shared" ref="P3399:P3400" si="2464">O3399*1.1</f>
        <v>1084160.0000000002</v>
      </c>
      <c r="R3399" s="317"/>
      <c r="U3399" s="320"/>
    </row>
    <row r="3400" spans="1:21" s="344" customFormat="1" outlineLevel="2">
      <c r="A3400" s="345"/>
      <c r="B3400" s="345"/>
      <c r="C3400" s="405">
        <v>2210302</v>
      </c>
      <c r="D3400" s="345" t="s">
        <v>26</v>
      </c>
      <c r="E3400" s="406">
        <f>3084000-500000-1000000-264000</f>
        <v>1320000</v>
      </c>
      <c r="F3400" s="406"/>
      <c r="G3400" s="406"/>
      <c r="H3400" s="406"/>
      <c r="I3400" s="324">
        <f t="shared" si="2436"/>
        <v>1320000</v>
      </c>
      <c r="J3400" s="406"/>
      <c r="K3400" s="406"/>
      <c r="L3400" s="317">
        <f t="shared" si="2462"/>
        <v>1320000</v>
      </c>
      <c r="M3400" s="317"/>
      <c r="N3400" s="372">
        <f t="shared" si="2426"/>
        <v>0</v>
      </c>
      <c r="O3400" s="336">
        <f t="shared" si="2448"/>
        <v>1452000.0000000002</v>
      </c>
      <c r="P3400" s="319">
        <f t="shared" si="2464"/>
        <v>1597200.0000000005</v>
      </c>
      <c r="R3400" s="317"/>
      <c r="U3400" s="320"/>
    </row>
    <row r="3401" spans="1:21" s="344" customFormat="1" outlineLevel="2">
      <c r="A3401" s="345"/>
      <c r="B3401" s="345"/>
      <c r="C3401" s="405">
        <v>2210303</v>
      </c>
      <c r="D3401" s="345" t="s">
        <v>636</v>
      </c>
      <c r="E3401" s="406">
        <f>3769000-1000000-500000-1000000</f>
        <v>1269000</v>
      </c>
      <c r="F3401" s="406"/>
      <c r="G3401" s="406"/>
      <c r="H3401" s="406"/>
      <c r="I3401" s="324">
        <f t="shared" si="2436"/>
        <v>1269000</v>
      </c>
      <c r="J3401" s="406"/>
      <c r="K3401" s="406"/>
      <c r="L3401" s="317">
        <f t="shared" si="2462"/>
        <v>1269000</v>
      </c>
      <c r="M3401" s="317"/>
      <c r="N3401" s="372">
        <f t="shared" ref="N3401:N3464" si="2465">M3401-K3401</f>
        <v>0</v>
      </c>
      <c r="O3401" s="336">
        <f t="shared" si="2448"/>
        <v>1395900</v>
      </c>
      <c r="P3401" s="319">
        <f t="shared" si="2459"/>
        <v>1535490.0000000002</v>
      </c>
      <c r="R3401" s="317"/>
      <c r="U3401" s="320"/>
    </row>
    <row r="3402" spans="1:21" s="344" customFormat="1" outlineLevel="2">
      <c r="A3402" s="345"/>
      <c r="B3402" s="345"/>
      <c r="C3402" s="405">
        <v>2210304</v>
      </c>
      <c r="D3402" s="345" t="s">
        <v>629</v>
      </c>
      <c r="E3402" s="406">
        <v>870000</v>
      </c>
      <c r="F3402" s="406"/>
      <c r="G3402" s="406"/>
      <c r="H3402" s="406"/>
      <c r="I3402" s="324">
        <f t="shared" si="2436"/>
        <v>870000</v>
      </c>
      <c r="J3402" s="406"/>
      <c r="K3402" s="406"/>
      <c r="L3402" s="317">
        <f t="shared" si="2462"/>
        <v>870000</v>
      </c>
      <c r="M3402" s="317"/>
      <c r="N3402" s="372">
        <f t="shared" si="2465"/>
        <v>0</v>
      </c>
      <c r="O3402" s="336">
        <f t="shared" si="2448"/>
        <v>957000.00000000012</v>
      </c>
      <c r="P3402" s="319">
        <f t="shared" si="2459"/>
        <v>1052700.0000000002</v>
      </c>
      <c r="R3402" s="317"/>
      <c r="U3402" s="320"/>
    </row>
    <row r="3403" spans="1:21" s="344" customFormat="1" outlineLevel="2">
      <c r="A3403" s="345"/>
      <c r="B3403" s="345"/>
      <c r="C3403" s="405">
        <v>2210309</v>
      </c>
      <c r="D3403" s="345" t="s">
        <v>637</v>
      </c>
      <c r="E3403" s="406">
        <f>5510000-1000000-1000000-2000000-1000000</f>
        <v>510000</v>
      </c>
      <c r="F3403" s="406"/>
      <c r="G3403" s="406"/>
      <c r="H3403" s="406"/>
      <c r="I3403" s="324">
        <f t="shared" si="2436"/>
        <v>510000</v>
      </c>
      <c r="J3403" s="406"/>
      <c r="K3403" s="406"/>
      <c r="L3403" s="317">
        <f t="shared" si="2462"/>
        <v>510000</v>
      </c>
      <c r="M3403" s="317"/>
      <c r="N3403" s="372">
        <f t="shared" si="2465"/>
        <v>0</v>
      </c>
      <c r="O3403" s="336">
        <f t="shared" si="2448"/>
        <v>561000</v>
      </c>
      <c r="P3403" s="319">
        <f t="shared" si="2459"/>
        <v>617100</v>
      </c>
      <c r="R3403" s="317"/>
      <c r="U3403" s="320"/>
    </row>
    <row r="3404" spans="1:21" s="344" customFormat="1" outlineLevel="2">
      <c r="A3404" s="345"/>
      <c r="B3404" s="345"/>
      <c r="C3404" s="328">
        <v>2210500</v>
      </c>
      <c r="D3404" s="326" t="s">
        <v>31</v>
      </c>
      <c r="E3404" s="461">
        <f>E3405+E3406+E3407</f>
        <v>1728400</v>
      </c>
      <c r="F3404" s="461">
        <f t="shared" ref="F3404:P3404" si="2466">F3405+F3406+F3407</f>
        <v>0</v>
      </c>
      <c r="G3404" s="461">
        <f t="shared" si="2466"/>
        <v>0</v>
      </c>
      <c r="H3404" s="461">
        <f t="shared" si="2466"/>
        <v>0</v>
      </c>
      <c r="I3404" s="461">
        <f t="shared" si="2466"/>
        <v>1728400</v>
      </c>
      <c r="J3404" s="461">
        <f t="shared" si="2466"/>
        <v>0</v>
      </c>
      <c r="K3404" s="461">
        <f t="shared" si="2466"/>
        <v>0</v>
      </c>
      <c r="L3404" s="317">
        <f t="shared" si="2462"/>
        <v>1728400</v>
      </c>
      <c r="M3404" s="317"/>
      <c r="N3404" s="372">
        <f t="shared" si="2465"/>
        <v>0</v>
      </c>
      <c r="O3404" s="461">
        <f t="shared" si="2466"/>
        <v>1901240.0000000002</v>
      </c>
      <c r="P3404" s="461">
        <f t="shared" si="2466"/>
        <v>2091364.0000000005</v>
      </c>
      <c r="R3404" s="317"/>
      <c r="U3404" s="320"/>
    </row>
    <row r="3405" spans="1:21" s="344" customFormat="1" outlineLevel="2">
      <c r="A3405" s="345"/>
      <c r="B3405" s="345"/>
      <c r="C3405" s="405">
        <v>2210502</v>
      </c>
      <c r="D3405" s="345" t="s">
        <v>638</v>
      </c>
      <c r="E3405" s="406">
        <f>1576000-800000</f>
        <v>776000</v>
      </c>
      <c r="F3405" s="406"/>
      <c r="G3405" s="406"/>
      <c r="H3405" s="406"/>
      <c r="I3405" s="324">
        <f t="shared" si="2436"/>
        <v>776000</v>
      </c>
      <c r="J3405" s="406"/>
      <c r="K3405" s="406"/>
      <c r="L3405" s="317">
        <f t="shared" si="2462"/>
        <v>776000</v>
      </c>
      <c r="M3405" s="317"/>
      <c r="N3405" s="372">
        <f t="shared" si="2465"/>
        <v>0</v>
      </c>
      <c r="O3405" s="336">
        <f t="shared" si="2448"/>
        <v>853600.00000000012</v>
      </c>
      <c r="P3405" s="319">
        <f t="shared" si="2459"/>
        <v>938960.00000000023</v>
      </c>
      <c r="R3405" s="317"/>
      <c r="U3405" s="320"/>
    </row>
    <row r="3406" spans="1:21" s="344" customFormat="1" outlineLevel="2">
      <c r="A3406" s="345"/>
      <c r="B3406" s="345"/>
      <c r="C3406" s="405">
        <v>2210503</v>
      </c>
      <c r="D3406" s="345" t="s">
        <v>32</v>
      </c>
      <c r="E3406" s="406">
        <v>96400</v>
      </c>
      <c r="F3406" s="406"/>
      <c r="G3406" s="406"/>
      <c r="H3406" s="406"/>
      <c r="I3406" s="324">
        <f t="shared" si="2436"/>
        <v>96400</v>
      </c>
      <c r="J3406" s="406"/>
      <c r="K3406" s="406"/>
      <c r="L3406" s="317">
        <f t="shared" si="2462"/>
        <v>96400</v>
      </c>
      <c r="M3406" s="317"/>
      <c r="N3406" s="372">
        <f t="shared" si="2465"/>
        <v>0</v>
      </c>
      <c r="O3406" s="336">
        <f t="shared" si="2448"/>
        <v>106040.00000000001</v>
      </c>
      <c r="P3406" s="319">
        <f t="shared" si="2459"/>
        <v>116644.00000000003</v>
      </c>
      <c r="R3406" s="317"/>
      <c r="U3406" s="320"/>
    </row>
    <row r="3407" spans="1:21" s="344" customFormat="1" outlineLevel="2">
      <c r="A3407" s="345"/>
      <c r="B3407" s="345"/>
      <c r="C3407" s="405">
        <v>2210504</v>
      </c>
      <c r="D3407" s="345" t="s">
        <v>639</v>
      </c>
      <c r="E3407" s="406">
        <v>856000</v>
      </c>
      <c r="F3407" s="406"/>
      <c r="G3407" s="406"/>
      <c r="H3407" s="406"/>
      <c r="I3407" s="324">
        <f t="shared" si="2436"/>
        <v>856000</v>
      </c>
      <c r="J3407" s="406"/>
      <c r="K3407" s="406"/>
      <c r="L3407" s="317">
        <f t="shared" si="2462"/>
        <v>856000</v>
      </c>
      <c r="M3407" s="317"/>
      <c r="N3407" s="372">
        <f t="shared" si="2465"/>
        <v>0</v>
      </c>
      <c r="O3407" s="336">
        <f t="shared" si="2448"/>
        <v>941600.00000000012</v>
      </c>
      <c r="P3407" s="319">
        <f t="shared" si="2459"/>
        <v>1035760.0000000002</v>
      </c>
      <c r="R3407" s="317"/>
      <c r="U3407" s="320"/>
    </row>
    <row r="3408" spans="1:21" s="344" customFormat="1" outlineLevel="2">
      <c r="A3408" s="345"/>
      <c r="B3408" s="345"/>
      <c r="C3408" s="328">
        <v>2210700</v>
      </c>
      <c r="D3408" s="326" t="s">
        <v>35</v>
      </c>
      <c r="E3408" s="461">
        <f>E3409+E3410+E3411</f>
        <v>997685.18460000004</v>
      </c>
      <c r="F3408" s="461">
        <f t="shared" ref="F3408:K3408" si="2467">F3409+F3410+F3411</f>
        <v>0</v>
      </c>
      <c r="G3408" s="461">
        <f t="shared" si="2467"/>
        <v>0</v>
      </c>
      <c r="H3408" s="461">
        <f t="shared" si="2467"/>
        <v>0</v>
      </c>
      <c r="I3408" s="461">
        <f t="shared" si="2467"/>
        <v>997685.18460000004</v>
      </c>
      <c r="J3408" s="461">
        <f t="shared" si="2467"/>
        <v>0</v>
      </c>
      <c r="K3408" s="461">
        <f t="shared" si="2467"/>
        <v>0</v>
      </c>
      <c r="L3408" s="317">
        <f t="shared" si="2462"/>
        <v>997685.18460000004</v>
      </c>
      <c r="M3408" s="317"/>
      <c r="N3408" s="372">
        <f t="shared" si="2465"/>
        <v>0</v>
      </c>
      <c r="O3408" s="461">
        <f t="shared" ref="O3408:P3408" si="2468">O3409+O3410+O3411</f>
        <v>1097453.7030600002</v>
      </c>
      <c r="P3408" s="461">
        <f t="shared" si="2468"/>
        <v>1207199.0733660003</v>
      </c>
      <c r="R3408" s="317"/>
      <c r="U3408" s="320"/>
    </row>
    <row r="3409" spans="1:21" s="344" customFormat="1" outlineLevel="2">
      <c r="A3409" s="345"/>
      <c r="B3409" s="345"/>
      <c r="C3409" s="405">
        <v>2210703</v>
      </c>
      <c r="D3409" s="345" t="s">
        <v>107</v>
      </c>
      <c r="E3409" s="406">
        <v>591685.18460000004</v>
      </c>
      <c r="F3409" s="406"/>
      <c r="G3409" s="406"/>
      <c r="H3409" s="406"/>
      <c r="I3409" s="324">
        <f t="shared" si="2436"/>
        <v>591685.18460000004</v>
      </c>
      <c r="J3409" s="406"/>
      <c r="K3409" s="406"/>
      <c r="L3409" s="317">
        <f t="shared" si="2462"/>
        <v>591685.18460000004</v>
      </c>
      <c r="M3409" s="317"/>
      <c r="N3409" s="372">
        <f t="shared" si="2465"/>
        <v>0</v>
      </c>
      <c r="O3409" s="336">
        <f t="shared" si="2448"/>
        <v>650853.70306000009</v>
      </c>
      <c r="P3409" s="319">
        <f t="shared" si="2459"/>
        <v>715939.0733660002</v>
      </c>
      <c r="R3409" s="317"/>
      <c r="U3409" s="320"/>
    </row>
    <row r="3410" spans="1:21" s="344" customFormat="1" outlineLevel="2">
      <c r="A3410" s="345"/>
      <c r="B3410" s="345"/>
      <c r="C3410" s="405">
        <v>2210704</v>
      </c>
      <c r="D3410" s="345" t="s">
        <v>38</v>
      </c>
      <c r="E3410" s="406">
        <v>290000</v>
      </c>
      <c r="F3410" s="406"/>
      <c r="G3410" s="406"/>
      <c r="H3410" s="406"/>
      <c r="I3410" s="324">
        <f t="shared" si="2436"/>
        <v>290000</v>
      </c>
      <c r="J3410" s="406"/>
      <c r="K3410" s="406"/>
      <c r="L3410" s="317">
        <f t="shared" si="2462"/>
        <v>290000</v>
      </c>
      <c r="M3410" s="317"/>
      <c r="N3410" s="372">
        <f t="shared" si="2465"/>
        <v>0</v>
      </c>
      <c r="O3410" s="336">
        <f t="shared" si="2448"/>
        <v>319000</v>
      </c>
      <c r="P3410" s="319">
        <f t="shared" si="2459"/>
        <v>350900</v>
      </c>
      <c r="R3410" s="317"/>
      <c r="U3410" s="320"/>
    </row>
    <row r="3411" spans="1:21" s="344" customFormat="1" outlineLevel="2">
      <c r="A3411" s="345"/>
      <c r="B3411" s="345"/>
      <c r="C3411" s="405">
        <v>2210710</v>
      </c>
      <c r="D3411" s="345" t="s">
        <v>39</v>
      </c>
      <c r="E3411" s="406">
        <v>116000</v>
      </c>
      <c r="F3411" s="406"/>
      <c r="G3411" s="406"/>
      <c r="H3411" s="406"/>
      <c r="I3411" s="324">
        <f t="shared" si="2436"/>
        <v>116000</v>
      </c>
      <c r="J3411" s="406"/>
      <c r="K3411" s="406"/>
      <c r="L3411" s="317">
        <f t="shared" si="2462"/>
        <v>116000</v>
      </c>
      <c r="M3411" s="317"/>
      <c r="N3411" s="372">
        <f t="shared" si="2465"/>
        <v>0</v>
      </c>
      <c r="O3411" s="336">
        <f t="shared" si="2448"/>
        <v>127600.00000000001</v>
      </c>
      <c r="P3411" s="319">
        <f t="shared" si="2459"/>
        <v>140360.00000000003</v>
      </c>
      <c r="R3411" s="317"/>
      <c r="U3411" s="320"/>
    </row>
    <row r="3412" spans="1:21" s="344" customFormat="1" outlineLevel="2">
      <c r="A3412" s="345"/>
      <c r="B3412" s="345"/>
      <c r="C3412" s="328">
        <v>2211000</v>
      </c>
      <c r="D3412" s="326" t="s">
        <v>118</v>
      </c>
      <c r="E3412" s="461">
        <f>E3413</f>
        <v>696000</v>
      </c>
      <c r="F3412" s="461">
        <f t="shared" ref="F3412:P3412" si="2469">F3413</f>
        <v>0</v>
      </c>
      <c r="G3412" s="461">
        <f t="shared" si="2469"/>
        <v>0</v>
      </c>
      <c r="H3412" s="461">
        <f t="shared" si="2469"/>
        <v>0</v>
      </c>
      <c r="I3412" s="461">
        <f t="shared" si="2469"/>
        <v>696000</v>
      </c>
      <c r="J3412" s="461">
        <f t="shared" si="2469"/>
        <v>0</v>
      </c>
      <c r="K3412" s="461">
        <f t="shared" si="2469"/>
        <v>0</v>
      </c>
      <c r="L3412" s="317">
        <f t="shared" si="2462"/>
        <v>696000</v>
      </c>
      <c r="M3412" s="317"/>
      <c r="N3412" s="372">
        <f t="shared" si="2465"/>
        <v>0</v>
      </c>
      <c r="O3412" s="461">
        <f t="shared" si="2469"/>
        <v>765600.00000000012</v>
      </c>
      <c r="P3412" s="461">
        <f t="shared" si="2469"/>
        <v>842160.00000000023</v>
      </c>
      <c r="R3412" s="317"/>
      <c r="U3412" s="320"/>
    </row>
    <row r="3413" spans="1:21" s="344" customFormat="1" outlineLevel="2">
      <c r="A3413" s="345"/>
      <c r="B3413" s="345"/>
      <c r="C3413" s="405">
        <v>2211016</v>
      </c>
      <c r="D3413" s="345" t="s">
        <v>196</v>
      </c>
      <c r="E3413" s="406">
        <v>696000</v>
      </c>
      <c r="F3413" s="406"/>
      <c r="G3413" s="406"/>
      <c r="H3413" s="406"/>
      <c r="I3413" s="324">
        <f t="shared" si="2436"/>
        <v>696000</v>
      </c>
      <c r="J3413" s="406"/>
      <c r="K3413" s="406"/>
      <c r="L3413" s="317">
        <f t="shared" si="2462"/>
        <v>696000</v>
      </c>
      <c r="M3413" s="317"/>
      <c r="N3413" s="372">
        <f t="shared" si="2465"/>
        <v>0</v>
      </c>
      <c r="O3413" s="336">
        <f t="shared" si="2448"/>
        <v>765600.00000000012</v>
      </c>
      <c r="P3413" s="319">
        <f t="shared" ref="P3413:P3432" si="2470">O3413*1.1</f>
        <v>842160.00000000023</v>
      </c>
      <c r="R3413" s="317"/>
      <c r="U3413" s="320"/>
    </row>
    <row r="3414" spans="1:21" s="344" customFormat="1" outlineLevel="2">
      <c r="A3414" s="345"/>
      <c r="B3414" s="345"/>
      <c r="C3414" s="328">
        <v>2211100</v>
      </c>
      <c r="D3414" s="326" t="s">
        <v>51</v>
      </c>
      <c r="E3414" s="461">
        <f>E3415+E3416+E3417</f>
        <v>878000</v>
      </c>
      <c r="F3414" s="461">
        <f t="shared" ref="F3414:K3414" si="2471">F3415+F3416+F3417</f>
        <v>0</v>
      </c>
      <c r="G3414" s="461">
        <f t="shared" si="2471"/>
        <v>0</v>
      </c>
      <c r="H3414" s="461">
        <f t="shared" si="2471"/>
        <v>0</v>
      </c>
      <c r="I3414" s="461">
        <f t="shared" si="2471"/>
        <v>878000</v>
      </c>
      <c r="J3414" s="461">
        <f t="shared" si="2471"/>
        <v>0</v>
      </c>
      <c r="K3414" s="461">
        <f t="shared" si="2471"/>
        <v>0</v>
      </c>
      <c r="L3414" s="317">
        <f t="shared" si="2462"/>
        <v>878000</v>
      </c>
      <c r="M3414" s="317"/>
      <c r="N3414" s="372">
        <f t="shared" si="2465"/>
        <v>0</v>
      </c>
      <c r="O3414" s="461">
        <f t="shared" ref="O3414:P3414" si="2472">O3415+O3416+O3417</f>
        <v>965800</v>
      </c>
      <c r="P3414" s="461">
        <f t="shared" si="2472"/>
        <v>1062380.0000000002</v>
      </c>
      <c r="R3414" s="317"/>
      <c r="U3414" s="320"/>
    </row>
    <row r="3415" spans="1:21" s="344" customFormat="1" outlineLevel="2">
      <c r="A3415" s="345"/>
      <c r="B3415" s="345"/>
      <c r="C3415" s="405">
        <v>2211101</v>
      </c>
      <c r="D3415" s="345" t="s">
        <v>52</v>
      </c>
      <c r="E3415" s="406">
        <v>261000</v>
      </c>
      <c r="F3415" s="406"/>
      <c r="G3415" s="406"/>
      <c r="H3415" s="406"/>
      <c r="I3415" s="324">
        <f t="shared" si="2436"/>
        <v>261000</v>
      </c>
      <c r="J3415" s="406"/>
      <c r="K3415" s="406"/>
      <c r="L3415" s="317">
        <f t="shared" si="2462"/>
        <v>261000</v>
      </c>
      <c r="M3415" s="317"/>
      <c r="N3415" s="372">
        <f t="shared" si="2465"/>
        <v>0</v>
      </c>
      <c r="O3415" s="336">
        <f t="shared" si="2448"/>
        <v>287100</v>
      </c>
      <c r="P3415" s="319">
        <f t="shared" si="2470"/>
        <v>315810</v>
      </c>
      <c r="R3415" s="317"/>
      <c r="U3415" s="320"/>
    </row>
    <row r="3416" spans="1:21" s="344" customFormat="1" outlineLevel="2">
      <c r="A3416" s="345"/>
      <c r="B3416" s="345"/>
      <c r="C3416" s="405">
        <v>2211102</v>
      </c>
      <c r="D3416" s="345" t="s">
        <v>53</v>
      </c>
      <c r="E3416" s="406">
        <v>467000</v>
      </c>
      <c r="F3416" s="406"/>
      <c r="G3416" s="406"/>
      <c r="H3416" s="406"/>
      <c r="I3416" s="324">
        <f t="shared" ref="I3416:I3478" si="2473">E3416+F3416+G3416+H3416</f>
        <v>467000</v>
      </c>
      <c r="J3416" s="406"/>
      <c r="K3416" s="406"/>
      <c r="L3416" s="317">
        <f t="shared" si="2462"/>
        <v>467000</v>
      </c>
      <c r="M3416" s="317"/>
      <c r="N3416" s="372">
        <f t="shared" si="2465"/>
        <v>0</v>
      </c>
      <c r="O3416" s="336">
        <f t="shared" si="2448"/>
        <v>513700.00000000006</v>
      </c>
      <c r="P3416" s="319">
        <f t="shared" si="2470"/>
        <v>565070.00000000012</v>
      </c>
      <c r="R3416" s="317"/>
      <c r="U3416" s="320"/>
    </row>
    <row r="3417" spans="1:21" s="344" customFormat="1" outlineLevel="2">
      <c r="A3417" s="345"/>
      <c r="B3417" s="345"/>
      <c r="C3417" s="405">
        <v>2211103</v>
      </c>
      <c r="D3417" s="345" t="s">
        <v>54</v>
      </c>
      <c r="E3417" s="406">
        <v>150000</v>
      </c>
      <c r="F3417" s="406"/>
      <c r="G3417" s="406"/>
      <c r="H3417" s="406"/>
      <c r="I3417" s="324">
        <f t="shared" si="2473"/>
        <v>150000</v>
      </c>
      <c r="J3417" s="406"/>
      <c r="K3417" s="406"/>
      <c r="L3417" s="317">
        <f t="shared" si="2462"/>
        <v>150000</v>
      </c>
      <c r="M3417" s="317"/>
      <c r="N3417" s="372">
        <f t="shared" si="2465"/>
        <v>0</v>
      </c>
      <c r="O3417" s="336">
        <f t="shared" si="2448"/>
        <v>165000</v>
      </c>
      <c r="P3417" s="319">
        <f t="shared" si="2470"/>
        <v>181500.00000000003</v>
      </c>
      <c r="R3417" s="317"/>
      <c r="U3417" s="320"/>
    </row>
    <row r="3418" spans="1:21" s="344" customFormat="1" outlineLevel="2">
      <c r="A3418" s="345"/>
      <c r="B3418" s="345"/>
      <c r="C3418" s="328">
        <v>2211200</v>
      </c>
      <c r="D3418" s="326" t="s">
        <v>55</v>
      </c>
      <c r="E3418" s="461">
        <f>E3419</f>
        <v>2399200</v>
      </c>
      <c r="F3418" s="461">
        <f t="shared" ref="F3418:P3418" si="2474">F3419</f>
        <v>0</v>
      </c>
      <c r="G3418" s="461">
        <f t="shared" si="2474"/>
        <v>0</v>
      </c>
      <c r="H3418" s="461">
        <f t="shared" si="2474"/>
        <v>0</v>
      </c>
      <c r="I3418" s="461">
        <f t="shared" si="2474"/>
        <v>2399200</v>
      </c>
      <c r="J3418" s="461">
        <f t="shared" si="2474"/>
        <v>0</v>
      </c>
      <c r="K3418" s="461">
        <f t="shared" si="2474"/>
        <v>0</v>
      </c>
      <c r="L3418" s="317">
        <f t="shared" si="2462"/>
        <v>2399200</v>
      </c>
      <c r="M3418" s="317"/>
      <c r="N3418" s="372">
        <f t="shared" si="2465"/>
        <v>0</v>
      </c>
      <c r="O3418" s="461">
        <f t="shared" si="2474"/>
        <v>2639120</v>
      </c>
      <c r="P3418" s="461">
        <f t="shared" si="2474"/>
        <v>2903032.0000000005</v>
      </c>
      <c r="R3418" s="317"/>
      <c r="U3418" s="320"/>
    </row>
    <row r="3419" spans="1:21" s="344" customFormat="1" outlineLevel="2">
      <c r="A3419" s="345"/>
      <c r="B3419" s="345"/>
      <c r="C3419" s="405">
        <v>2211201</v>
      </c>
      <c r="D3419" s="345" t="s">
        <v>56</v>
      </c>
      <c r="E3419" s="406">
        <f>8399200-1000000-4000000-1000000</f>
        <v>2399200</v>
      </c>
      <c r="F3419" s="406"/>
      <c r="G3419" s="406"/>
      <c r="H3419" s="406"/>
      <c r="I3419" s="324">
        <f t="shared" si="2473"/>
        <v>2399200</v>
      </c>
      <c r="J3419" s="406"/>
      <c r="K3419" s="406"/>
      <c r="L3419" s="317">
        <f t="shared" si="2462"/>
        <v>2399200</v>
      </c>
      <c r="M3419" s="317"/>
      <c r="N3419" s="372">
        <f t="shared" si="2465"/>
        <v>0</v>
      </c>
      <c r="O3419" s="336">
        <f t="shared" si="2448"/>
        <v>2639120</v>
      </c>
      <c r="P3419" s="319">
        <f t="shared" si="2470"/>
        <v>2903032.0000000005</v>
      </c>
      <c r="R3419" s="317"/>
      <c r="U3419" s="320"/>
    </row>
    <row r="3420" spans="1:21" s="344" customFormat="1" outlineLevel="2">
      <c r="A3420" s="345"/>
      <c r="B3420" s="345"/>
      <c r="C3420" s="328">
        <v>2211300</v>
      </c>
      <c r="D3420" s="326" t="s">
        <v>57</v>
      </c>
      <c r="E3420" s="461">
        <f>SUM(E3421:E3423)</f>
        <v>7575000</v>
      </c>
      <c r="F3420" s="461">
        <f t="shared" ref="F3420:P3420" si="2475">SUM(F3421:F3423)</f>
        <v>0</v>
      </c>
      <c r="G3420" s="461">
        <f t="shared" si="2475"/>
        <v>0</v>
      </c>
      <c r="H3420" s="461">
        <f t="shared" si="2475"/>
        <v>24600000</v>
      </c>
      <c r="I3420" s="461">
        <f t="shared" si="2475"/>
        <v>32175000</v>
      </c>
      <c r="J3420" s="461">
        <f t="shared" si="2475"/>
        <v>0</v>
      </c>
      <c r="K3420" s="461">
        <f t="shared" si="2475"/>
        <v>0</v>
      </c>
      <c r="L3420" s="317">
        <f t="shared" si="2462"/>
        <v>32175000</v>
      </c>
      <c r="M3420" s="317"/>
      <c r="N3420" s="372">
        <f t="shared" si="2465"/>
        <v>0</v>
      </c>
      <c r="O3420" s="461">
        <f t="shared" si="2475"/>
        <v>35392500.000000007</v>
      </c>
      <c r="P3420" s="461">
        <f t="shared" si="2475"/>
        <v>38931750.000000007</v>
      </c>
      <c r="R3420" s="317"/>
      <c r="U3420" s="320"/>
    </row>
    <row r="3421" spans="1:21" s="344" customFormat="1" outlineLevel="2">
      <c r="A3421" s="345"/>
      <c r="B3421" s="345"/>
      <c r="C3421" s="405">
        <v>2211305</v>
      </c>
      <c r="D3421" s="345" t="s">
        <v>365</v>
      </c>
      <c r="E3421" s="406">
        <v>5688000</v>
      </c>
      <c r="F3421" s="406"/>
      <c r="G3421" s="406"/>
      <c r="H3421" s="406"/>
      <c r="I3421" s="324">
        <f t="shared" si="2473"/>
        <v>5688000</v>
      </c>
      <c r="J3421" s="406"/>
      <c r="K3421" s="406"/>
      <c r="L3421" s="317">
        <f t="shared" si="2462"/>
        <v>5688000</v>
      </c>
      <c r="M3421" s="317"/>
      <c r="N3421" s="372">
        <f t="shared" si="2465"/>
        <v>0</v>
      </c>
      <c r="O3421" s="336">
        <f t="shared" si="2448"/>
        <v>6256800.0000000009</v>
      </c>
      <c r="P3421" s="319">
        <f t="shared" si="2470"/>
        <v>6882480.0000000019</v>
      </c>
      <c r="R3421" s="317"/>
      <c r="U3421" s="320"/>
    </row>
    <row r="3422" spans="1:21" s="344" customFormat="1" outlineLevel="2">
      <c r="A3422" s="483"/>
      <c r="B3422" s="483"/>
      <c r="C3422" s="1049">
        <v>2211306</v>
      </c>
      <c r="D3422" s="483" t="s">
        <v>58</v>
      </c>
      <c r="E3422" s="1046">
        <v>487000</v>
      </c>
      <c r="F3422" s="1046"/>
      <c r="G3422" s="1046"/>
      <c r="H3422" s="1046"/>
      <c r="I3422" s="324">
        <f t="shared" si="2473"/>
        <v>487000</v>
      </c>
      <c r="J3422" s="1046"/>
      <c r="K3422" s="1046"/>
      <c r="L3422" s="317">
        <f t="shared" si="2462"/>
        <v>487000</v>
      </c>
      <c r="M3422" s="317"/>
      <c r="N3422" s="372">
        <f t="shared" si="2465"/>
        <v>0</v>
      </c>
      <c r="O3422" s="336">
        <f t="shared" si="2448"/>
        <v>535700</v>
      </c>
      <c r="P3422" s="319">
        <f t="shared" si="2470"/>
        <v>589270</v>
      </c>
      <c r="R3422" s="317"/>
      <c r="U3422" s="320"/>
    </row>
    <row r="3423" spans="1:21" s="344" customFormat="1" outlineLevel="2">
      <c r="A3423" s="345"/>
      <c r="B3423" s="345"/>
      <c r="C3423" s="405">
        <v>2211399</v>
      </c>
      <c r="D3423" s="345" t="s">
        <v>2344</v>
      </c>
      <c r="E3423" s="406">
        <f>2900000-500000-1000000</f>
        <v>1400000</v>
      </c>
      <c r="F3423" s="406"/>
      <c r="G3423" s="406"/>
      <c r="H3423" s="406">
        <f>24000000+600000-10000000+10000000</f>
        <v>24600000</v>
      </c>
      <c r="I3423" s="324">
        <f t="shared" si="2473"/>
        <v>26000000</v>
      </c>
      <c r="J3423" s="406"/>
      <c r="K3423" s="406"/>
      <c r="L3423" s="317">
        <f t="shared" si="2462"/>
        <v>26000000</v>
      </c>
      <c r="M3423" s="317"/>
      <c r="N3423" s="372">
        <f t="shared" si="2465"/>
        <v>0</v>
      </c>
      <c r="O3423" s="336">
        <f t="shared" si="2448"/>
        <v>28600000.000000004</v>
      </c>
      <c r="P3423" s="319">
        <f t="shared" si="2470"/>
        <v>31460000.000000007</v>
      </c>
      <c r="R3423" s="317"/>
      <c r="U3423" s="320"/>
    </row>
    <row r="3424" spans="1:21" s="344" customFormat="1" outlineLevel="2">
      <c r="A3424" s="506"/>
      <c r="B3424" s="506"/>
      <c r="C3424" s="583">
        <v>2220100</v>
      </c>
      <c r="D3424" s="493" t="s">
        <v>62</v>
      </c>
      <c r="E3424" s="858">
        <f>E3425+E3426</f>
        <v>2494000</v>
      </c>
      <c r="F3424" s="858">
        <f t="shared" ref="F3424:K3424" si="2476">F3425+F3426</f>
        <v>0</v>
      </c>
      <c r="G3424" s="858">
        <f t="shared" si="2476"/>
        <v>0</v>
      </c>
      <c r="H3424" s="858">
        <f t="shared" si="2476"/>
        <v>0</v>
      </c>
      <c r="I3424" s="858">
        <f t="shared" si="2476"/>
        <v>2494000</v>
      </c>
      <c r="J3424" s="858">
        <f t="shared" si="2476"/>
        <v>0</v>
      </c>
      <c r="K3424" s="858">
        <f t="shared" si="2476"/>
        <v>0</v>
      </c>
      <c r="L3424" s="317">
        <f t="shared" si="2462"/>
        <v>2494000</v>
      </c>
      <c r="M3424" s="2211"/>
      <c r="N3424" s="372">
        <f t="shared" si="2465"/>
        <v>0</v>
      </c>
      <c r="O3424" s="858">
        <f t="shared" ref="O3424:P3424" si="2477">O3425+O3426</f>
        <v>2743400.0000000005</v>
      </c>
      <c r="P3424" s="858">
        <f t="shared" si="2477"/>
        <v>3017740.0000000009</v>
      </c>
      <c r="R3424" s="317"/>
      <c r="U3424" s="320"/>
    </row>
    <row r="3425" spans="1:21" s="344" customFormat="1" outlineLevel="2">
      <c r="A3425" s="345"/>
      <c r="B3425" s="345"/>
      <c r="C3425" s="405">
        <v>2220101</v>
      </c>
      <c r="D3425" s="345" t="s">
        <v>63</v>
      </c>
      <c r="E3425" s="406">
        <v>1700000</v>
      </c>
      <c r="F3425" s="406"/>
      <c r="G3425" s="406"/>
      <c r="H3425" s="406"/>
      <c r="I3425" s="324">
        <f t="shared" si="2473"/>
        <v>1700000</v>
      </c>
      <c r="J3425" s="406"/>
      <c r="K3425" s="406"/>
      <c r="L3425" s="317">
        <f t="shared" si="2462"/>
        <v>1700000</v>
      </c>
      <c r="M3425" s="317"/>
      <c r="N3425" s="372">
        <f t="shared" si="2465"/>
        <v>0</v>
      </c>
      <c r="O3425" s="336">
        <f t="shared" si="2448"/>
        <v>1870000.0000000002</v>
      </c>
      <c r="P3425" s="319">
        <f t="shared" si="2470"/>
        <v>2057000.0000000005</v>
      </c>
      <c r="R3425" s="317"/>
      <c r="U3425" s="320"/>
    </row>
    <row r="3426" spans="1:21" s="344" customFormat="1" outlineLevel="2">
      <c r="A3426" s="345"/>
      <c r="B3426" s="345"/>
      <c r="C3426" s="405">
        <v>2220105</v>
      </c>
      <c r="D3426" s="345" t="s">
        <v>64</v>
      </c>
      <c r="E3426" s="406">
        <v>794000</v>
      </c>
      <c r="F3426" s="406"/>
      <c r="G3426" s="406"/>
      <c r="H3426" s="406"/>
      <c r="I3426" s="324">
        <f t="shared" si="2473"/>
        <v>794000</v>
      </c>
      <c r="J3426" s="406"/>
      <c r="K3426" s="406"/>
      <c r="L3426" s="317">
        <f t="shared" si="2462"/>
        <v>794000</v>
      </c>
      <c r="M3426" s="317"/>
      <c r="N3426" s="372">
        <f t="shared" si="2465"/>
        <v>0</v>
      </c>
      <c r="O3426" s="336">
        <f t="shared" si="2448"/>
        <v>873400.00000000012</v>
      </c>
      <c r="P3426" s="319">
        <f t="shared" si="2470"/>
        <v>960740.00000000023</v>
      </c>
      <c r="R3426" s="317"/>
      <c r="U3426" s="320"/>
    </row>
    <row r="3427" spans="1:21" s="344" customFormat="1" outlineLevel="2">
      <c r="A3427" s="345"/>
      <c r="B3427" s="345"/>
      <c r="C3427" s="328">
        <v>2220200</v>
      </c>
      <c r="D3427" s="326" t="s">
        <v>86</v>
      </c>
      <c r="E3427" s="461">
        <f>E3428+E3429+E3430</f>
        <v>10697934</v>
      </c>
      <c r="F3427" s="461">
        <f t="shared" ref="F3427:P3427" si="2478">F3428+F3429+F3430</f>
        <v>3000000</v>
      </c>
      <c r="G3427" s="461">
        <f t="shared" si="2478"/>
        <v>34599664</v>
      </c>
      <c r="H3427" s="461">
        <f t="shared" si="2478"/>
        <v>-8000000</v>
      </c>
      <c r="I3427" s="461">
        <f t="shared" si="2478"/>
        <v>40297598</v>
      </c>
      <c r="J3427" s="461">
        <f t="shared" si="2478"/>
        <v>0</v>
      </c>
      <c r="K3427" s="461">
        <f t="shared" si="2478"/>
        <v>0</v>
      </c>
      <c r="L3427" s="317">
        <f t="shared" si="2462"/>
        <v>40297598</v>
      </c>
      <c r="M3427" s="317"/>
      <c r="N3427" s="372">
        <f t="shared" si="2465"/>
        <v>0</v>
      </c>
      <c r="O3427" s="461">
        <f t="shared" si="2478"/>
        <v>44327357.800000004</v>
      </c>
      <c r="P3427" s="461">
        <f t="shared" si="2478"/>
        <v>6894500.1400000006</v>
      </c>
      <c r="R3427" s="317"/>
      <c r="U3427" s="320"/>
    </row>
    <row r="3428" spans="1:21" s="344" customFormat="1" outlineLevel="2">
      <c r="A3428" s="345"/>
      <c r="B3428" s="345"/>
      <c r="C3428" s="405">
        <v>2220202</v>
      </c>
      <c r="D3428" s="345" t="s">
        <v>87</v>
      </c>
      <c r="E3428" s="406">
        <v>690000</v>
      </c>
      <c r="F3428" s="406"/>
      <c r="G3428" s="406"/>
      <c r="H3428" s="406"/>
      <c r="I3428" s="324">
        <f t="shared" si="2473"/>
        <v>690000</v>
      </c>
      <c r="J3428" s="406"/>
      <c r="K3428" s="406"/>
      <c r="L3428" s="317">
        <f t="shared" si="2462"/>
        <v>690000</v>
      </c>
      <c r="M3428" s="317"/>
      <c r="N3428" s="372">
        <f t="shared" si="2465"/>
        <v>0</v>
      </c>
      <c r="O3428" s="336">
        <f t="shared" si="2448"/>
        <v>759000.00000000012</v>
      </c>
      <c r="P3428" s="319">
        <f t="shared" si="2470"/>
        <v>834900.00000000023</v>
      </c>
      <c r="R3428" s="317"/>
      <c r="U3428" s="320"/>
    </row>
    <row r="3429" spans="1:21" s="344" customFormat="1" outlineLevel="2">
      <c r="A3429" s="483"/>
      <c r="B3429" s="483"/>
      <c r="C3429" s="1049">
        <v>2220210</v>
      </c>
      <c r="D3429" s="483" t="s">
        <v>163</v>
      </c>
      <c r="E3429" s="1046">
        <v>10007934</v>
      </c>
      <c r="F3429" s="1046">
        <v>3000000</v>
      </c>
      <c r="G3429" s="1046"/>
      <c r="H3429" s="1046">
        <v>-8000000</v>
      </c>
      <c r="I3429" s="324">
        <f t="shared" si="2473"/>
        <v>5007934</v>
      </c>
      <c r="J3429" s="1046"/>
      <c r="K3429" s="1046"/>
      <c r="L3429" s="317">
        <f t="shared" si="2462"/>
        <v>5007934</v>
      </c>
      <c r="M3429" s="317"/>
      <c r="N3429" s="372">
        <f t="shared" si="2465"/>
        <v>0</v>
      </c>
      <c r="O3429" s="336">
        <f t="shared" si="2448"/>
        <v>5508727.4000000004</v>
      </c>
      <c r="P3429" s="319">
        <f t="shared" si="2470"/>
        <v>6059600.1400000006</v>
      </c>
      <c r="R3429" s="317"/>
      <c r="U3429" s="320"/>
    </row>
    <row r="3430" spans="1:21" s="344" customFormat="1" outlineLevel="2">
      <c r="A3430" s="345"/>
      <c r="B3430" s="345"/>
      <c r="C3430" s="405">
        <v>2210299</v>
      </c>
      <c r="D3430" s="345" t="s">
        <v>2149</v>
      </c>
      <c r="E3430" s="406"/>
      <c r="F3430" s="406"/>
      <c r="G3430" s="317">
        <f>36200000-1600336</f>
        <v>34599664</v>
      </c>
      <c r="H3430" s="406"/>
      <c r="I3430" s="324">
        <f t="shared" si="2473"/>
        <v>34599664</v>
      </c>
      <c r="J3430" s="406"/>
      <c r="K3430" s="406"/>
      <c r="L3430" s="317">
        <f t="shared" si="2462"/>
        <v>34599664</v>
      </c>
      <c r="M3430" s="317"/>
      <c r="N3430" s="372">
        <f t="shared" si="2465"/>
        <v>0</v>
      </c>
      <c r="O3430" s="336">
        <f t="shared" si="2448"/>
        <v>38059630.400000006</v>
      </c>
      <c r="P3430" s="319"/>
      <c r="R3430" s="317"/>
      <c r="U3430" s="320"/>
    </row>
    <row r="3431" spans="1:21" s="344" customFormat="1" outlineLevel="2">
      <c r="A3431" s="506"/>
      <c r="B3431" s="506"/>
      <c r="C3431" s="1050">
        <v>3110700</v>
      </c>
      <c r="D3431" s="1051" t="s">
        <v>65</v>
      </c>
      <c r="E3431" s="1052">
        <f>SUM(E3432)</f>
        <v>0</v>
      </c>
      <c r="F3431" s="1053"/>
      <c r="G3431" s="1053"/>
      <c r="H3431" s="1053"/>
      <c r="I3431" s="324">
        <f t="shared" si="2473"/>
        <v>0</v>
      </c>
      <c r="J3431" s="1053"/>
      <c r="K3431" s="1053"/>
      <c r="L3431" s="317">
        <f t="shared" si="2462"/>
        <v>0</v>
      </c>
      <c r="M3431" s="317"/>
      <c r="N3431" s="372">
        <f t="shared" si="2465"/>
        <v>0</v>
      </c>
      <c r="O3431" s="336">
        <f t="shared" si="2448"/>
        <v>0</v>
      </c>
      <c r="P3431" s="319">
        <f t="shared" si="2470"/>
        <v>0</v>
      </c>
      <c r="R3431" s="317"/>
      <c r="U3431" s="320"/>
    </row>
    <row r="3432" spans="1:21" s="344" customFormat="1" outlineLevel="2">
      <c r="A3432" s="345"/>
      <c r="B3432" s="345"/>
      <c r="C3432" s="1054" t="s">
        <v>1514</v>
      </c>
      <c r="D3432" s="1055" t="s">
        <v>1515</v>
      </c>
      <c r="E3432" s="1056">
        <v>0</v>
      </c>
      <c r="F3432" s="1057"/>
      <c r="G3432" s="1057"/>
      <c r="H3432" s="1057"/>
      <c r="I3432" s="324">
        <f t="shared" si="2473"/>
        <v>0</v>
      </c>
      <c r="J3432" s="1057"/>
      <c r="K3432" s="1057"/>
      <c r="L3432" s="317">
        <f t="shared" si="2462"/>
        <v>0</v>
      </c>
      <c r="M3432" s="317"/>
      <c r="N3432" s="372">
        <f t="shared" si="2465"/>
        <v>0</v>
      </c>
      <c r="O3432" s="336">
        <f t="shared" si="2448"/>
        <v>0</v>
      </c>
      <c r="P3432" s="319">
        <f t="shared" si="2470"/>
        <v>0</v>
      </c>
      <c r="R3432" s="317"/>
      <c r="U3432" s="320"/>
    </row>
    <row r="3433" spans="1:21" s="344" customFormat="1" outlineLevel="2">
      <c r="A3433" s="345"/>
      <c r="B3433" s="345"/>
      <c r="C3433" s="328">
        <v>3111000</v>
      </c>
      <c r="D3433" s="326" t="s">
        <v>69</v>
      </c>
      <c r="E3433" s="461">
        <f>E3434+E3436+E3435</f>
        <v>1144000</v>
      </c>
      <c r="F3433" s="461">
        <f t="shared" ref="F3433:P3433" si="2479">F3434+F3436+F3435</f>
        <v>0</v>
      </c>
      <c r="G3433" s="461">
        <f t="shared" si="2479"/>
        <v>0</v>
      </c>
      <c r="H3433" s="461">
        <f t="shared" si="2479"/>
        <v>0</v>
      </c>
      <c r="I3433" s="461">
        <f t="shared" si="2479"/>
        <v>1144000</v>
      </c>
      <c r="J3433" s="461">
        <f t="shared" si="2479"/>
        <v>0</v>
      </c>
      <c r="K3433" s="461">
        <f t="shared" si="2479"/>
        <v>0</v>
      </c>
      <c r="L3433" s="317">
        <f t="shared" si="2462"/>
        <v>1144000</v>
      </c>
      <c r="M3433" s="317"/>
      <c r="N3433" s="372">
        <f t="shared" si="2465"/>
        <v>0</v>
      </c>
      <c r="O3433" s="461">
        <f t="shared" si="2479"/>
        <v>1258400</v>
      </c>
      <c r="P3433" s="461">
        <f t="shared" si="2479"/>
        <v>1384240</v>
      </c>
      <c r="R3433" s="317"/>
      <c r="U3433" s="320"/>
    </row>
    <row r="3434" spans="1:21" s="344" customFormat="1" outlineLevel="2">
      <c r="A3434" s="345"/>
      <c r="B3434" s="345"/>
      <c r="C3434" s="405">
        <v>3111001</v>
      </c>
      <c r="D3434" s="345" t="s">
        <v>70</v>
      </c>
      <c r="E3434" s="406">
        <v>0</v>
      </c>
      <c r="F3434" s="406"/>
      <c r="G3434" s="406"/>
      <c r="H3434" s="406"/>
      <c r="I3434" s="324">
        <f t="shared" si="2473"/>
        <v>0</v>
      </c>
      <c r="J3434" s="406"/>
      <c r="K3434" s="406"/>
      <c r="L3434" s="317">
        <f t="shared" si="2462"/>
        <v>0</v>
      </c>
      <c r="M3434" s="317"/>
      <c r="N3434" s="372">
        <f t="shared" si="2465"/>
        <v>0</v>
      </c>
      <c r="O3434" s="336">
        <f t="shared" si="2448"/>
        <v>0</v>
      </c>
      <c r="P3434" s="319">
        <f t="shared" ref="P3434:P3452" si="2480">O3434*1.1</f>
        <v>0</v>
      </c>
      <c r="R3434" s="317"/>
      <c r="U3434" s="320"/>
    </row>
    <row r="3435" spans="1:21" s="344" customFormat="1" outlineLevel="2">
      <c r="A3435" s="345"/>
      <c r="B3435" s="345"/>
      <c r="C3435" s="405">
        <v>3111002</v>
      </c>
      <c r="D3435" s="345" t="s">
        <v>71</v>
      </c>
      <c r="E3435" s="406">
        <v>1144000</v>
      </c>
      <c r="F3435" s="406"/>
      <c r="G3435" s="406"/>
      <c r="H3435" s="406"/>
      <c r="I3435" s="324">
        <f t="shared" si="2473"/>
        <v>1144000</v>
      </c>
      <c r="J3435" s="406"/>
      <c r="K3435" s="406"/>
      <c r="L3435" s="317">
        <f t="shared" si="2462"/>
        <v>1144000</v>
      </c>
      <c r="M3435" s="317"/>
      <c r="N3435" s="372">
        <f t="shared" si="2465"/>
        <v>0</v>
      </c>
      <c r="O3435" s="336">
        <f t="shared" ref="O3435:O3497" si="2481">L3435*1.1</f>
        <v>1258400</v>
      </c>
      <c r="P3435" s="319">
        <f t="shared" si="2480"/>
        <v>1384240</v>
      </c>
      <c r="R3435" s="317"/>
      <c r="U3435" s="320"/>
    </row>
    <row r="3436" spans="1:21" s="344" customFormat="1" outlineLevel="2">
      <c r="A3436" s="345"/>
      <c r="B3436" s="345"/>
      <c r="C3436" s="405">
        <v>3111010</v>
      </c>
      <c r="D3436" s="345" t="s">
        <v>641</v>
      </c>
      <c r="E3436" s="406">
        <v>0</v>
      </c>
      <c r="F3436" s="406"/>
      <c r="G3436" s="406"/>
      <c r="H3436" s="406"/>
      <c r="I3436" s="324">
        <f t="shared" si="2473"/>
        <v>0</v>
      </c>
      <c r="J3436" s="406"/>
      <c r="K3436" s="406"/>
      <c r="L3436" s="317">
        <f t="shared" si="2462"/>
        <v>0</v>
      </c>
      <c r="M3436" s="317"/>
      <c r="N3436" s="372">
        <f t="shared" si="2465"/>
        <v>0</v>
      </c>
      <c r="O3436" s="336">
        <f t="shared" si="2481"/>
        <v>0</v>
      </c>
      <c r="P3436" s="319">
        <f t="shared" si="2480"/>
        <v>0</v>
      </c>
      <c r="R3436" s="317"/>
      <c r="U3436" s="320"/>
    </row>
    <row r="3437" spans="1:21" s="344" customFormat="1" outlineLevel="2">
      <c r="A3437" s="345"/>
      <c r="B3437" s="345"/>
      <c r="C3437" s="332">
        <v>3111010</v>
      </c>
      <c r="D3437" s="330" t="s">
        <v>641</v>
      </c>
      <c r="E3437" s="389">
        <v>0</v>
      </c>
      <c r="F3437" s="389"/>
      <c r="G3437" s="389"/>
      <c r="H3437" s="389"/>
      <c r="I3437" s="324">
        <f t="shared" si="2473"/>
        <v>0</v>
      </c>
      <c r="J3437" s="389"/>
      <c r="K3437" s="389"/>
      <c r="L3437" s="317">
        <f t="shared" si="2462"/>
        <v>0</v>
      </c>
      <c r="M3437" s="317"/>
      <c r="N3437" s="372">
        <f t="shared" si="2465"/>
        <v>0</v>
      </c>
      <c r="O3437" s="336">
        <f t="shared" si="2481"/>
        <v>0</v>
      </c>
      <c r="P3437" s="319">
        <f t="shared" si="2480"/>
        <v>0</v>
      </c>
      <c r="R3437" s="317"/>
      <c r="U3437" s="320"/>
    </row>
    <row r="3438" spans="1:21" s="344" customFormat="1" outlineLevel="1">
      <c r="A3438" s="345"/>
      <c r="B3438" s="345"/>
      <c r="C3438" s="314" t="s">
        <v>128</v>
      </c>
      <c r="D3438" s="447"/>
      <c r="E3438" s="438">
        <f>E3396+E3394+E3398+E3404+E3408+E3412+E3414+E3418+E3420+E3424+E3433+E3427</f>
        <v>33728219.184599996</v>
      </c>
      <c r="F3438" s="438">
        <f t="shared" ref="F3438:K3438" si="2482">F3396+F3394+F3398+F3404+F3408+F3412+F3414+F3418+F3420+F3424+F3433+F3427</f>
        <v>3000000</v>
      </c>
      <c r="G3438" s="438">
        <f t="shared" si="2482"/>
        <v>34599664</v>
      </c>
      <c r="H3438" s="438">
        <f t="shared" si="2482"/>
        <v>16600000</v>
      </c>
      <c r="I3438" s="438">
        <f t="shared" si="2482"/>
        <v>87927883.184599996</v>
      </c>
      <c r="J3438" s="438">
        <f t="shared" si="2482"/>
        <v>0</v>
      </c>
      <c r="K3438" s="438">
        <f t="shared" si="2482"/>
        <v>0</v>
      </c>
      <c r="L3438" s="317">
        <f t="shared" si="2462"/>
        <v>87927883.184599996</v>
      </c>
      <c r="M3438" s="317"/>
      <c r="N3438" s="372">
        <f t="shared" si="2465"/>
        <v>0</v>
      </c>
      <c r="O3438" s="438">
        <f t="shared" ref="O3438:P3438" si="2483">O3396+O3394+O3398+O3404+O3408+O3412+O3414+O3418+O3420+O3424+O3433+O3427</f>
        <v>96720671.503060013</v>
      </c>
      <c r="P3438" s="438">
        <f t="shared" si="2483"/>
        <v>64527145.213366009</v>
      </c>
      <c r="R3438" s="317"/>
      <c r="U3438" s="320"/>
    </row>
    <row r="3439" spans="1:21" s="344" customFormat="1" outlineLevel="1">
      <c r="A3439" s="345"/>
      <c r="B3439" s="345"/>
      <c r="C3439" s="314"/>
      <c r="D3439" s="447" t="s">
        <v>580</v>
      </c>
      <c r="E3439" s="438">
        <f>E3438</f>
        <v>33728219.184599996</v>
      </c>
      <c r="F3439" s="438">
        <f t="shared" ref="F3439:P3439" si="2484">F3438</f>
        <v>3000000</v>
      </c>
      <c r="G3439" s="438">
        <f t="shared" si="2484"/>
        <v>34599664</v>
      </c>
      <c r="H3439" s="438">
        <f t="shared" si="2484"/>
        <v>16600000</v>
      </c>
      <c r="I3439" s="438">
        <f t="shared" si="2484"/>
        <v>87927883.184599996</v>
      </c>
      <c r="J3439" s="438">
        <f t="shared" si="2484"/>
        <v>0</v>
      </c>
      <c r="K3439" s="438">
        <f t="shared" si="2484"/>
        <v>0</v>
      </c>
      <c r="L3439" s="317">
        <f t="shared" si="2462"/>
        <v>87927883.184599996</v>
      </c>
      <c r="M3439" s="317"/>
      <c r="N3439" s="372">
        <f t="shared" si="2465"/>
        <v>0</v>
      </c>
      <c r="O3439" s="438">
        <f t="shared" si="2484"/>
        <v>96720671.503060013</v>
      </c>
      <c r="P3439" s="438">
        <f t="shared" si="2484"/>
        <v>64527145.213366009</v>
      </c>
      <c r="R3439" s="317"/>
      <c r="U3439" s="320"/>
    </row>
    <row r="3440" spans="1:21" s="344" customFormat="1" outlineLevel="1">
      <c r="A3440" s="345"/>
      <c r="B3440" s="345"/>
      <c r="C3440" s="332"/>
      <c r="D3440" s="338"/>
      <c r="E3440" s="397"/>
      <c r="F3440" s="397"/>
      <c r="G3440" s="397"/>
      <c r="H3440" s="397"/>
      <c r="I3440" s="324">
        <f t="shared" si="2473"/>
        <v>0</v>
      </c>
      <c r="J3440" s="397"/>
      <c r="K3440" s="397"/>
      <c r="L3440" s="317">
        <f t="shared" si="2462"/>
        <v>0</v>
      </c>
      <c r="M3440" s="317"/>
      <c r="N3440" s="372">
        <f t="shared" si="2465"/>
        <v>0</v>
      </c>
      <c r="O3440" s="336">
        <f t="shared" si="2481"/>
        <v>0</v>
      </c>
      <c r="P3440" s="319">
        <f t="shared" si="2480"/>
        <v>0</v>
      </c>
      <c r="R3440" s="317"/>
      <c r="U3440" s="320"/>
    </row>
    <row r="3441" spans="1:21" s="344" customFormat="1" outlineLevel="1">
      <c r="A3441" s="345"/>
      <c r="B3441" s="345"/>
      <c r="C3441" s="340" t="s">
        <v>642</v>
      </c>
      <c r="D3441" s="330"/>
      <c r="E3441" s="389" t="s">
        <v>620</v>
      </c>
      <c r="F3441" s="389" t="s">
        <v>620</v>
      </c>
      <c r="G3441" s="389" t="s">
        <v>620</v>
      </c>
      <c r="H3441" s="389" t="s">
        <v>620</v>
      </c>
      <c r="I3441" s="389" t="s">
        <v>620</v>
      </c>
      <c r="J3441" s="389"/>
      <c r="K3441" s="389"/>
      <c r="L3441" s="317" t="e">
        <f t="shared" si="2462"/>
        <v>#VALUE!</v>
      </c>
      <c r="M3441" s="317"/>
      <c r="N3441" s="372">
        <f t="shared" si="2465"/>
        <v>0</v>
      </c>
      <c r="O3441" s="389" t="s">
        <v>620</v>
      </c>
      <c r="P3441" s="389" t="s">
        <v>620</v>
      </c>
      <c r="R3441" s="317"/>
      <c r="U3441" s="320"/>
    </row>
    <row r="3442" spans="1:21" s="344" customFormat="1" outlineLevel="2">
      <c r="A3442" s="345"/>
      <c r="B3442" s="345"/>
      <c r="C3442" s="328">
        <v>2210200</v>
      </c>
      <c r="D3442" s="326" t="s">
        <v>20</v>
      </c>
      <c r="E3442" s="461">
        <f>E3443</f>
        <v>116000</v>
      </c>
      <c r="F3442" s="461">
        <f t="shared" ref="F3442:P3442" si="2485">F3443</f>
        <v>0</v>
      </c>
      <c r="G3442" s="461">
        <f t="shared" si="2485"/>
        <v>0</v>
      </c>
      <c r="H3442" s="461">
        <f t="shared" si="2485"/>
        <v>0</v>
      </c>
      <c r="I3442" s="461">
        <f t="shared" si="2485"/>
        <v>116000</v>
      </c>
      <c r="J3442" s="461">
        <f t="shared" si="2485"/>
        <v>0</v>
      </c>
      <c r="K3442" s="461">
        <f t="shared" si="2485"/>
        <v>0</v>
      </c>
      <c r="L3442" s="317">
        <f t="shared" si="2462"/>
        <v>116000</v>
      </c>
      <c r="M3442" s="317"/>
      <c r="N3442" s="372">
        <f t="shared" si="2465"/>
        <v>0</v>
      </c>
      <c r="O3442" s="461">
        <f t="shared" si="2485"/>
        <v>127600.00000000001</v>
      </c>
      <c r="P3442" s="461">
        <f t="shared" si="2485"/>
        <v>140360.00000000003</v>
      </c>
      <c r="R3442" s="317"/>
      <c r="U3442" s="320"/>
    </row>
    <row r="3443" spans="1:21" s="344" customFormat="1" outlineLevel="2">
      <c r="A3443" s="345"/>
      <c r="B3443" s="345"/>
      <c r="C3443" s="405">
        <v>2210201</v>
      </c>
      <c r="D3443" s="345" t="s">
        <v>187</v>
      </c>
      <c r="E3443" s="406">
        <v>116000</v>
      </c>
      <c r="F3443" s="406"/>
      <c r="G3443" s="406"/>
      <c r="H3443" s="406"/>
      <c r="I3443" s="324">
        <f t="shared" si="2473"/>
        <v>116000</v>
      </c>
      <c r="J3443" s="406"/>
      <c r="K3443" s="406"/>
      <c r="L3443" s="317">
        <f t="shared" si="2462"/>
        <v>116000</v>
      </c>
      <c r="M3443" s="317"/>
      <c r="N3443" s="372">
        <f t="shared" si="2465"/>
        <v>0</v>
      </c>
      <c r="O3443" s="336">
        <f t="shared" si="2481"/>
        <v>127600.00000000001</v>
      </c>
      <c r="P3443" s="319">
        <f t="shared" si="2480"/>
        <v>140360.00000000003</v>
      </c>
      <c r="R3443" s="317"/>
      <c r="U3443" s="320"/>
    </row>
    <row r="3444" spans="1:21" s="344" customFormat="1" outlineLevel="2">
      <c r="A3444" s="345"/>
      <c r="B3444" s="345"/>
      <c r="C3444" s="328">
        <v>2210300</v>
      </c>
      <c r="D3444" s="326" t="s">
        <v>24</v>
      </c>
      <c r="E3444" s="461">
        <f>E3445+E3446+E3447</f>
        <v>1845000</v>
      </c>
      <c r="F3444" s="461">
        <f t="shared" ref="F3444:P3444" si="2486">F3445+F3446+F3447</f>
        <v>0</v>
      </c>
      <c r="G3444" s="461">
        <f t="shared" si="2486"/>
        <v>0</v>
      </c>
      <c r="H3444" s="461">
        <f t="shared" si="2486"/>
        <v>0</v>
      </c>
      <c r="I3444" s="461">
        <f t="shared" si="2486"/>
        <v>1845000</v>
      </c>
      <c r="J3444" s="461">
        <f t="shared" si="2486"/>
        <v>0</v>
      </c>
      <c r="K3444" s="461">
        <f t="shared" si="2486"/>
        <v>0</v>
      </c>
      <c r="L3444" s="317">
        <f t="shared" si="2462"/>
        <v>1845000</v>
      </c>
      <c r="M3444" s="317"/>
      <c r="N3444" s="372">
        <f t="shared" si="2465"/>
        <v>0</v>
      </c>
      <c r="O3444" s="461">
        <f t="shared" si="2486"/>
        <v>2029500</v>
      </c>
      <c r="P3444" s="461">
        <f t="shared" si="2486"/>
        <v>2232450</v>
      </c>
      <c r="R3444" s="317"/>
      <c r="U3444" s="320"/>
    </row>
    <row r="3445" spans="1:21" s="344" customFormat="1" outlineLevel="2">
      <c r="A3445" s="345"/>
      <c r="B3445" s="345"/>
      <c r="C3445" s="405">
        <v>2210301</v>
      </c>
      <c r="D3445" s="345" t="s">
        <v>188</v>
      </c>
      <c r="E3445" s="406">
        <v>740000</v>
      </c>
      <c r="F3445" s="406"/>
      <c r="G3445" s="406"/>
      <c r="H3445" s="406"/>
      <c r="I3445" s="324">
        <f t="shared" si="2473"/>
        <v>740000</v>
      </c>
      <c r="J3445" s="406"/>
      <c r="K3445" s="406"/>
      <c r="L3445" s="317">
        <f t="shared" si="2462"/>
        <v>740000</v>
      </c>
      <c r="M3445" s="317"/>
      <c r="N3445" s="372">
        <f t="shared" si="2465"/>
        <v>0</v>
      </c>
      <c r="O3445" s="336">
        <f t="shared" si="2481"/>
        <v>814000.00000000012</v>
      </c>
      <c r="P3445" s="319">
        <f t="shared" si="2480"/>
        <v>895400.00000000023</v>
      </c>
      <c r="R3445" s="317"/>
      <c r="U3445" s="320"/>
    </row>
    <row r="3446" spans="1:21" s="344" customFormat="1" outlineLevel="2">
      <c r="A3446" s="345"/>
      <c r="B3446" s="345"/>
      <c r="C3446" s="405">
        <v>2210302</v>
      </c>
      <c r="D3446" s="345" t="s">
        <v>26</v>
      </c>
      <c r="E3446" s="406">
        <f>1798000-798000</f>
        <v>1000000</v>
      </c>
      <c r="F3446" s="406"/>
      <c r="G3446" s="406"/>
      <c r="H3446" s="406"/>
      <c r="I3446" s="324">
        <f t="shared" si="2473"/>
        <v>1000000</v>
      </c>
      <c r="J3446" s="406"/>
      <c r="K3446" s="406"/>
      <c r="L3446" s="317">
        <f t="shared" si="2462"/>
        <v>1000000</v>
      </c>
      <c r="M3446" s="317"/>
      <c r="N3446" s="372">
        <f t="shared" si="2465"/>
        <v>0</v>
      </c>
      <c r="O3446" s="336">
        <f t="shared" si="2481"/>
        <v>1100000</v>
      </c>
      <c r="P3446" s="319">
        <f t="shared" si="2480"/>
        <v>1210000</v>
      </c>
      <c r="R3446" s="317"/>
      <c r="U3446" s="320"/>
    </row>
    <row r="3447" spans="1:21" s="344" customFormat="1" outlineLevel="2">
      <c r="A3447" s="345"/>
      <c r="B3447" s="345"/>
      <c r="C3447" s="405">
        <v>2210304</v>
      </c>
      <c r="D3447" s="345" t="s">
        <v>643</v>
      </c>
      <c r="E3447" s="406">
        <v>105000</v>
      </c>
      <c r="F3447" s="406"/>
      <c r="G3447" s="406"/>
      <c r="H3447" s="406"/>
      <c r="I3447" s="324">
        <f t="shared" si="2473"/>
        <v>105000</v>
      </c>
      <c r="J3447" s="406"/>
      <c r="K3447" s="406"/>
      <c r="L3447" s="317">
        <f t="shared" si="2462"/>
        <v>105000</v>
      </c>
      <c r="M3447" s="317"/>
      <c r="N3447" s="372">
        <f t="shared" si="2465"/>
        <v>0</v>
      </c>
      <c r="O3447" s="336">
        <f t="shared" si="2481"/>
        <v>115500.00000000001</v>
      </c>
      <c r="P3447" s="319">
        <f t="shared" si="2480"/>
        <v>127050.00000000003</v>
      </c>
      <c r="R3447" s="317"/>
      <c r="U3447" s="320"/>
    </row>
    <row r="3448" spans="1:21" s="344" customFormat="1" outlineLevel="2">
      <c r="A3448" s="345"/>
      <c r="B3448" s="345"/>
      <c r="C3448" s="328">
        <v>2210500</v>
      </c>
      <c r="D3448" s="326" t="s">
        <v>31</v>
      </c>
      <c r="E3448" s="461">
        <f>E3449</f>
        <v>220400</v>
      </c>
      <c r="F3448" s="461">
        <f t="shared" ref="F3448:P3448" si="2487">F3449</f>
        <v>0</v>
      </c>
      <c r="G3448" s="461">
        <f t="shared" si="2487"/>
        <v>0</v>
      </c>
      <c r="H3448" s="461">
        <f t="shared" si="2487"/>
        <v>0</v>
      </c>
      <c r="I3448" s="461">
        <f t="shared" si="2487"/>
        <v>220400</v>
      </c>
      <c r="J3448" s="461">
        <f t="shared" si="2487"/>
        <v>0</v>
      </c>
      <c r="K3448" s="461">
        <f t="shared" si="2487"/>
        <v>0</v>
      </c>
      <c r="L3448" s="317">
        <f t="shared" si="2462"/>
        <v>220400</v>
      </c>
      <c r="M3448" s="317"/>
      <c r="N3448" s="372">
        <f t="shared" si="2465"/>
        <v>0</v>
      </c>
      <c r="O3448" s="461">
        <f t="shared" si="2487"/>
        <v>242440.00000000003</v>
      </c>
      <c r="P3448" s="461">
        <f t="shared" si="2487"/>
        <v>266684.00000000006</v>
      </c>
      <c r="R3448" s="317"/>
      <c r="U3448" s="320"/>
    </row>
    <row r="3449" spans="1:21" s="344" customFormat="1" outlineLevel="2">
      <c r="A3449" s="345"/>
      <c r="B3449" s="345"/>
      <c r="C3449" s="405">
        <v>2210502</v>
      </c>
      <c r="D3449" s="345" t="s">
        <v>644</v>
      </c>
      <c r="E3449" s="406">
        <v>220400</v>
      </c>
      <c r="F3449" s="406"/>
      <c r="G3449" s="406"/>
      <c r="H3449" s="406"/>
      <c r="I3449" s="324">
        <f t="shared" si="2473"/>
        <v>220400</v>
      </c>
      <c r="J3449" s="406"/>
      <c r="K3449" s="406"/>
      <c r="L3449" s="317">
        <f t="shared" si="2462"/>
        <v>220400</v>
      </c>
      <c r="M3449" s="317"/>
      <c r="N3449" s="372">
        <f t="shared" si="2465"/>
        <v>0</v>
      </c>
      <c r="O3449" s="336">
        <f t="shared" si="2481"/>
        <v>242440.00000000003</v>
      </c>
      <c r="P3449" s="319">
        <f t="shared" si="2480"/>
        <v>266684.00000000006</v>
      </c>
      <c r="R3449" s="317"/>
      <c r="U3449" s="320"/>
    </row>
    <row r="3450" spans="1:21" s="344" customFormat="1" outlineLevel="2">
      <c r="A3450" s="345"/>
      <c r="B3450" s="345"/>
      <c r="C3450" s="328">
        <v>2210700</v>
      </c>
      <c r="D3450" s="326" t="s">
        <v>35</v>
      </c>
      <c r="E3450" s="461">
        <f>E3451+E3452+E3453</f>
        <v>946200</v>
      </c>
      <c r="F3450" s="461">
        <f t="shared" ref="F3450:P3450" si="2488">F3451+F3452+F3453</f>
        <v>0</v>
      </c>
      <c r="G3450" s="461">
        <f t="shared" si="2488"/>
        <v>0</v>
      </c>
      <c r="H3450" s="461">
        <f t="shared" si="2488"/>
        <v>0</v>
      </c>
      <c r="I3450" s="461">
        <f t="shared" si="2488"/>
        <v>946200</v>
      </c>
      <c r="J3450" s="461">
        <f t="shared" si="2488"/>
        <v>0</v>
      </c>
      <c r="K3450" s="461">
        <f t="shared" si="2488"/>
        <v>0</v>
      </c>
      <c r="L3450" s="317">
        <f t="shared" si="2462"/>
        <v>946200</v>
      </c>
      <c r="M3450" s="317"/>
      <c r="N3450" s="372">
        <f t="shared" si="2465"/>
        <v>0</v>
      </c>
      <c r="O3450" s="461">
        <f t="shared" si="2488"/>
        <v>1040820.0000000001</v>
      </c>
      <c r="P3450" s="461">
        <f t="shared" si="2488"/>
        <v>1144902.0000000002</v>
      </c>
      <c r="R3450" s="317"/>
      <c r="U3450" s="320"/>
    </row>
    <row r="3451" spans="1:21" s="344" customFormat="1" outlineLevel="2">
      <c r="A3451" s="345"/>
      <c r="B3451" s="345"/>
      <c r="C3451" s="405">
        <v>2210701</v>
      </c>
      <c r="D3451" s="345" t="s">
        <v>36</v>
      </c>
      <c r="E3451" s="406">
        <v>656200</v>
      </c>
      <c r="F3451" s="406"/>
      <c r="G3451" s="406"/>
      <c r="H3451" s="406"/>
      <c r="I3451" s="324">
        <f t="shared" si="2473"/>
        <v>656200</v>
      </c>
      <c r="J3451" s="406"/>
      <c r="K3451" s="406"/>
      <c r="L3451" s="317">
        <f t="shared" si="2462"/>
        <v>656200</v>
      </c>
      <c r="M3451" s="317"/>
      <c r="N3451" s="372">
        <f t="shared" si="2465"/>
        <v>0</v>
      </c>
      <c r="O3451" s="336">
        <f t="shared" si="2481"/>
        <v>721820.00000000012</v>
      </c>
      <c r="P3451" s="319">
        <f t="shared" si="2480"/>
        <v>794002.00000000023</v>
      </c>
      <c r="R3451" s="317"/>
      <c r="U3451" s="320"/>
    </row>
    <row r="3452" spans="1:21" s="344" customFormat="1" outlineLevel="2">
      <c r="A3452" s="345"/>
      <c r="B3452" s="345"/>
      <c r="C3452" s="405">
        <v>2210710</v>
      </c>
      <c r="D3452" s="345" t="s">
        <v>39</v>
      </c>
      <c r="E3452" s="406">
        <v>290000</v>
      </c>
      <c r="F3452" s="406"/>
      <c r="G3452" s="406"/>
      <c r="H3452" s="406"/>
      <c r="I3452" s="324">
        <f t="shared" si="2473"/>
        <v>290000</v>
      </c>
      <c r="J3452" s="406"/>
      <c r="K3452" s="406"/>
      <c r="L3452" s="317">
        <f t="shared" si="2462"/>
        <v>290000</v>
      </c>
      <c r="M3452" s="317"/>
      <c r="N3452" s="372">
        <f t="shared" si="2465"/>
        <v>0</v>
      </c>
      <c r="O3452" s="336">
        <f t="shared" si="2481"/>
        <v>319000</v>
      </c>
      <c r="P3452" s="319">
        <f t="shared" si="2480"/>
        <v>350900</v>
      </c>
      <c r="R3452" s="317"/>
      <c r="U3452" s="320"/>
    </row>
    <row r="3453" spans="1:21" s="344" customFormat="1" outlineLevel="2">
      <c r="A3453" s="345"/>
      <c r="B3453" s="345"/>
      <c r="C3453" s="405">
        <v>2210711</v>
      </c>
      <c r="D3453" s="345" t="s">
        <v>281</v>
      </c>
      <c r="E3453" s="406">
        <v>0</v>
      </c>
      <c r="F3453" s="406"/>
      <c r="G3453" s="406"/>
      <c r="H3453" s="406"/>
      <c r="I3453" s="324">
        <f t="shared" si="2473"/>
        <v>0</v>
      </c>
      <c r="J3453" s="406"/>
      <c r="K3453" s="406"/>
      <c r="L3453" s="317">
        <f t="shared" si="2462"/>
        <v>0</v>
      </c>
      <c r="M3453" s="317"/>
      <c r="N3453" s="372">
        <f t="shared" si="2465"/>
        <v>0</v>
      </c>
      <c r="O3453" s="336">
        <f t="shared" si="2481"/>
        <v>0</v>
      </c>
      <c r="P3453" s="319">
        <f t="shared" ref="P3453:P3472" si="2489">O3453*1.1</f>
        <v>0</v>
      </c>
      <c r="R3453" s="317"/>
      <c r="U3453" s="320"/>
    </row>
    <row r="3454" spans="1:21" s="344" customFormat="1" outlineLevel="2">
      <c r="A3454" s="345"/>
      <c r="B3454" s="345"/>
      <c r="C3454" s="328">
        <v>2210800</v>
      </c>
      <c r="D3454" s="326" t="s">
        <v>42</v>
      </c>
      <c r="E3454" s="461">
        <f>E3455+E3456</f>
        <v>2636000</v>
      </c>
      <c r="F3454" s="461">
        <f t="shared" ref="F3454:K3454" si="2490">F3455+F3456</f>
        <v>0</v>
      </c>
      <c r="G3454" s="461">
        <f t="shared" si="2490"/>
        <v>0</v>
      </c>
      <c r="H3454" s="461">
        <f t="shared" si="2490"/>
        <v>0</v>
      </c>
      <c r="I3454" s="461">
        <f t="shared" si="2490"/>
        <v>2636000</v>
      </c>
      <c r="J3454" s="461">
        <f t="shared" si="2490"/>
        <v>0</v>
      </c>
      <c r="K3454" s="461">
        <f t="shared" si="2490"/>
        <v>0</v>
      </c>
      <c r="L3454" s="317">
        <f t="shared" si="2462"/>
        <v>2636000</v>
      </c>
      <c r="M3454" s="317"/>
      <c r="N3454" s="372">
        <f t="shared" si="2465"/>
        <v>0</v>
      </c>
      <c r="O3454" s="461">
        <f t="shared" ref="O3454:P3454" si="2491">O3455+O3456</f>
        <v>2899600</v>
      </c>
      <c r="P3454" s="461">
        <f t="shared" si="2491"/>
        <v>3189560</v>
      </c>
      <c r="R3454" s="317"/>
      <c r="U3454" s="320"/>
    </row>
    <row r="3455" spans="1:21" s="344" customFormat="1" outlineLevel="2">
      <c r="A3455" s="345"/>
      <c r="B3455" s="345"/>
      <c r="C3455" s="405">
        <v>2210801</v>
      </c>
      <c r="D3455" s="345" t="s">
        <v>2421</v>
      </c>
      <c r="E3455" s="406">
        <v>606000</v>
      </c>
      <c r="F3455" s="406"/>
      <c r="G3455" s="406"/>
      <c r="H3455" s="406"/>
      <c r="I3455" s="324">
        <f t="shared" si="2473"/>
        <v>606000</v>
      </c>
      <c r="J3455" s="406"/>
      <c r="K3455" s="406"/>
      <c r="L3455" s="317">
        <f t="shared" si="2462"/>
        <v>606000</v>
      </c>
      <c r="M3455" s="317"/>
      <c r="N3455" s="372">
        <f t="shared" si="2465"/>
        <v>0</v>
      </c>
      <c r="O3455" s="336">
        <f t="shared" si="2481"/>
        <v>666600</v>
      </c>
      <c r="P3455" s="319">
        <f t="shared" si="2489"/>
        <v>733260.00000000012</v>
      </c>
      <c r="R3455" s="317"/>
      <c r="U3455" s="320"/>
    </row>
    <row r="3456" spans="1:21" s="344" customFormat="1" outlineLevel="2">
      <c r="A3456" s="345"/>
      <c r="B3456" s="345"/>
      <c r="C3456" s="405">
        <v>2210802</v>
      </c>
      <c r="D3456" s="345" t="s">
        <v>646</v>
      </c>
      <c r="E3456" s="406">
        <v>2030000</v>
      </c>
      <c r="F3456" s="406"/>
      <c r="G3456" s="406"/>
      <c r="H3456" s="406"/>
      <c r="I3456" s="324">
        <f t="shared" si="2473"/>
        <v>2030000</v>
      </c>
      <c r="J3456" s="406"/>
      <c r="K3456" s="406"/>
      <c r="L3456" s="317">
        <f t="shared" si="2462"/>
        <v>2030000</v>
      </c>
      <c r="M3456" s="317"/>
      <c r="N3456" s="372">
        <f t="shared" si="2465"/>
        <v>0</v>
      </c>
      <c r="O3456" s="336">
        <f t="shared" si="2481"/>
        <v>2233000</v>
      </c>
      <c r="P3456" s="319">
        <f t="shared" si="2489"/>
        <v>2456300</v>
      </c>
      <c r="R3456" s="317"/>
      <c r="U3456" s="320"/>
    </row>
    <row r="3457" spans="1:21" s="344" customFormat="1" outlineLevel="2">
      <c r="A3457" s="345"/>
      <c r="B3457" s="345"/>
      <c r="C3457" s="328">
        <v>2211100</v>
      </c>
      <c r="D3457" s="326" t="s">
        <v>51</v>
      </c>
      <c r="E3457" s="461">
        <f>E3458+E3459</f>
        <v>261000</v>
      </c>
      <c r="F3457" s="461">
        <f t="shared" ref="F3457:P3457" si="2492">F3458+F3459</f>
        <v>0</v>
      </c>
      <c r="G3457" s="461">
        <f t="shared" si="2492"/>
        <v>0</v>
      </c>
      <c r="H3457" s="461">
        <f t="shared" si="2492"/>
        <v>0</v>
      </c>
      <c r="I3457" s="461">
        <f t="shared" si="2492"/>
        <v>261000</v>
      </c>
      <c r="J3457" s="461">
        <f t="shared" si="2492"/>
        <v>0</v>
      </c>
      <c r="K3457" s="461">
        <f t="shared" si="2492"/>
        <v>0</v>
      </c>
      <c r="L3457" s="317">
        <f t="shared" si="2462"/>
        <v>261000</v>
      </c>
      <c r="M3457" s="317"/>
      <c r="N3457" s="372">
        <f t="shared" si="2465"/>
        <v>0</v>
      </c>
      <c r="O3457" s="461">
        <f t="shared" si="2492"/>
        <v>287100</v>
      </c>
      <c r="P3457" s="461">
        <f t="shared" si="2492"/>
        <v>315810</v>
      </c>
      <c r="R3457" s="317"/>
      <c r="U3457" s="320"/>
    </row>
    <row r="3458" spans="1:21" s="344" customFormat="1" outlineLevel="2">
      <c r="A3458" s="345"/>
      <c r="B3458" s="345"/>
      <c r="C3458" s="405">
        <v>2211101</v>
      </c>
      <c r="D3458" s="345" t="s">
        <v>289</v>
      </c>
      <c r="E3458" s="406">
        <v>145000</v>
      </c>
      <c r="F3458" s="406"/>
      <c r="G3458" s="406"/>
      <c r="H3458" s="406"/>
      <c r="I3458" s="324">
        <f t="shared" si="2473"/>
        <v>145000</v>
      </c>
      <c r="J3458" s="406"/>
      <c r="K3458" s="406"/>
      <c r="L3458" s="317">
        <f t="shared" si="2462"/>
        <v>145000</v>
      </c>
      <c r="M3458" s="317"/>
      <c r="N3458" s="372">
        <f t="shared" si="2465"/>
        <v>0</v>
      </c>
      <c r="O3458" s="336">
        <f t="shared" si="2481"/>
        <v>159500</v>
      </c>
      <c r="P3458" s="319">
        <f t="shared" si="2489"/>
        <v>175450</v>
      </c>
      <c r="R3458" s="317"/>
      <c r="U3458" s="320"/>
    </row>
    <row r="3459" spans="1:21" s="344" customFormat="1" outlineLevel="2">
      <c r="A3459" s="345"/>
      <c r="B3459" s="345"/>
      <c r="C3459" s="405">
        <v>2211102</v>
      </c>
      <c r="D3459" s="345" t="s">
        <v>53</v>
      </c>
      <c r="E3459" s="406">
        <v>116000</v>
      </c>
      <c r="F3459" s="406"/>
      <c r="G3459" s="406"/>
      <c r="H3459" s="406"/>
      <c r="I3459" s="324">
        <f t="shared" si="2473"/>
        <v>116000</v>
      </c>
      <c r="J3459" s="406"/>
      <c r="K3459" s="406"/>
      <c r="L3459" s="317">
        <f t="shared" si="2462"/>
        <v>116000</v>
      </c>
      <c r="M3459" s="317"/>
      <c r="N3459" s="372">
        <f t="shared" si="2465"/>
        <v>0</v>
      </c>
      <c r="O3459" s="336">
        <f t="shared" si="2481"/>
        <v>127600.00000000001</v>
      </c>
      <c r="P3459" s="319">
        <f t="shared" si="2489"/>
        <v>140360.00000000003</v>
      </c>
      <c r="R3459" s="317"/>
      <c r="U3459" s="320"/>
    </row>
    <row r="3460" spans="1:21" s="344" customFormat="1" outlineLevel="2">
      <c r="A3460" s="345"/>
      <c r="B3460" s="345"/>
      <c r="C3460" s="328">
        <v>2211200</v>
      </c>
      <c r="D3460" s="326" t="s">
        <v>55</v>
      </c>
      <c r="E3460" s="461">
        <f>E3461</f>
        <v>435000</v>
      </c>
      <c r="F3460" s="461">
        <f t="shared" ref="F3460:P3460" si="2493">F3461</f>
        <v>0</v>
      </c>
      <c r="G3460" s="461">
        <f t="shared" si="2493"/>
        <v>0</v>
      </c>
      <c r="H3460" s="461">
        <f t="shared" si="2493"/>
        <v>0</v>
      </c>
      <c r="I3460" s="461">
        <f t="shared" si="2493"/>
        <v>435000</v>
      </c>
      <c r="J3460" s="461">
        <f t="shared" si="2493"/>
        <v>0</v>
      </c>
      <c r="K3460" s="461">
        <f t="shared" si="2493"/>
        <v>0</v>
      </c>
      <c r="L3460" s="317">
        <f t="shared" si="2462"/>
        <v>435000</v>
      </c>
      <c r="M3460" s="317"/>
      <c r="N3460" s="372">
        <f t="shared" si="2465"/>
        <v>0</v>
      </c>
      <c r="O3460" s="461">
        <f t="shared" si="2493"/>
        <v>478500.00000000006</v>
      </c>
      <c r="P3460" s="461">
        <f t="shared" si="2493"/>
        <v>526350.00000000012</v>
      </c>
      <c r="R3460" s="317"/>
      <c r="U3460" s="320"/>
    </row>
    <row r="3461" spans="1:21" s="344" customFormat="1" outlineLevel="2">
      <c r="A3461" s="345"/>
      <c r="B3461" s="345"/>
      <c r="C3461" s="405">
        <v>2211201</v>
      </c>
      <c r="D3461" s="345" t="s">
        <v>56</v>
      </c>
      <c r="E3461" s="406">
        <v>435000</v>
      </c>
      <c r="F3461" s="406"/>
      <c r="G3461" s="406"/>
      <c r="H3461" s="406"/>
      <c r="I3461" s="324">
        <f t="shared" si="2473"/>
        <v>435000</v>
      </c>
      <c r="J3461" s="406"/>
      <c r="K3461" s="406"/>
      <c r="L3461" s="317">
        <f t="shared" ref="L3461:L3524" si="2494">I3461+J3461+K3461</f>
        <v>435000</v>
      </c>
      <c r="M3461" s="317"/>
      <c r="N3461" s="372">
        <f t="shared" si="2465"/>
        <v>0</v>
      </c>
      <c r="O3461" s="336">
        <f t="shared" si="2481"/>
        <v>478500.00000000006</v>
      </c>
      <c r="P3461" s="319">
        <f t="shared" si="2489"/>
        <v>526350.00000000012</v>
      </c>
      <c r="R3461" s="317"/>
      <c r="U3461" s="320"/>
    </row>
    <row r="3462" spans="1:21" s="344" customFormat="1" outlineLevel="2">
      <c r="A3462" s="345"/>
      <c r="B3462" s="345"/>
      <c r="C3462" s="328">
        <v>2220200</v>
      </c>
      <c r="D3462" s="326" t="s">
        <v>124</v>
      </c>
      <c r="E3462" s="461">
        <f>E3463</f>
        <v>290000</v>
      </c>
      <c r="F3462" s="461">
        <f t="shared" ref="F3462:P3462" si="2495">F3463</f>
        <v>0</v>
      </c>
      <c r="G3462" s="461">
        <f t="shared" si="2495"/>
        <v>0</v>
      </c>
      <c r="H3462" s="461">
        <f t="shared" si="2495"/>
        <v>0</v>
      </c>
      <c r="I3462" s="461">
        <f t="shared" si="2495"/>
        <v>290000</v>
      </c>
      <c r="J3462" s="461">
        <f t="shared" si="2495"/>
        <v>0</v>
      </c>
      <c r="K3462" s="461">
        <f t="shared" si="2495"/>
        <v>0</v>
      </c>
      <c r="L3462" s="317">
        <f t="shared" si="2494"/>
        <v>290000</v>
      </c>
      <c r="M3462" s="317"/>
      <c r="N3462" s="372">
        <f t="shared" si="2465"/>
        <v>0</v>
      </c>
      <c r="O3462" s="461">
        <f t="shared" si="2495"/>
        <v>319000</v>
      </c>
      <c r="P3462" s="461">
        <f t="shared" si="2495"/>
        <v>350900</v>
      </c>
      <c r="R3462" s="317"/>
      <c r="U3462" s="320"/>
    </row>
    <row r="3463" spans="1:21" s="344" customFormat="1" outlineLevel="2">
      <c r="A3463" s="345"/>
      <c r="B3463" s="345"/>
      <c r="C3463" s="405">
        <v>2220202</v>
      </c>
      <c r="D3463" s="345" t="s">
        <v>647</v>
      </c>
      <c r="E3463" s="406">
        <v>290000</v>
      </c>
      <c r="F3463" s="406"/>
      <c r="G3463" s="406"/>
      <c r="H3463" s="406"/>
      <c r="I3463" s="324">
        <f t="shared" si="2473"/>
        <v>290000</v>
      </c>
      <c r="J3463" s="406"/>
      <c r="K3463" s="406"/>
      <c r="L3463" s="317">
        <f t="shared" si="2494"/>
        <v>290000</v>
      </c>
      <c r="M3463" s="317"/>
      <c r="N3463" s="372">
        <f t="shared" si="2465"/>
        <v>0</v>
      </c>
      <c r="O3463" s="336">
        <f t="shared" si="2481"/>
        <v>319000</v>
      </c>
      <c r="P3463" s="319">
        <f t="shared" si="2489"/>
        <v>350900</v>
      </c>
      <c r="R3463" s="317"/>
      <c r="U3463" s="320"/>
    </row>
    <row r="3464" spans="1:21" s="344" customFormat="1" outlineLevel="2">
      <c r="A3464" s="345"/>
      <c r="B3464" s="345"/>
      <c r="C3464" s="328">
        <v>3111000</v>
      </c>
      <c r="D3464" s="326" t="s">
        <v>69</v>
      </c>
      <c r="E3464" s="461">
        <f>SUM(E3465:E3466)</f>
        <v>208800</v>
      </c>
      <c r="F3464" s="461">
        <f t="shared" ref="F3464:P3464" si="2496">SUM(F3465:F3466)</f>
        <v>0</v>
      </c>
      <c r="G3464" s="461">
        <f t="shared" si="2496"/>
        <v>0</v>
      </c>
      <c r="H3464" s="461">
        <f t="shared" si="2496"/>
        <v>0</v>
      </c>
      <c r="I3464" s="461">
        <f t="shared" si="2496"/>
        <v>208800</v>
      </c>
      <c r="J3464" s="461">
        <f t="shared" si="2496"/>
        <v>0</v>
      </c>
      <c r="K3464" s="461">
        <f t="shared" si="2496"/>
        <v>0</v>
      </c>
      <c r="L3464" s="317">
        <f t="shared" si="2494"/>
        <v>208800</v>
      </c>
      <c r="M3464" s="317"/>
      <c r="N3464" s="372">
        <f t="shared" si="2465"/>
        <v>0</v>
      </c>
      <c r="O3464" s="461">
        <f t="shared" si="2496"/>
        <v>229680.00000000003</v>
      </c>
      <c r="P3464" s="461">
        <f t="shared" si="2496"/>
        <v>252648.00000000006</v>
      </c>
      <c r="R3464" s="317"/>
      <c r="U3464" s="320"/>
    </row>
    <row r="3465" spans="1:21" s="344" customFormat="1" outlineLevel="2">
      <c r="A3465" s="345"/>
      <c r="B3465" s="345"/>
      <c r="C3465" s="405">
        <v>3111001</v>
      </c>
      <c r="D3465" s="345" t="s">
        <v>70</v>
      </c>
      <c r="E3465" s="406">
        <v>208800</v>
      </c>
      <c r="F3465" s="406"/>
      <c r="G3465" s="406"/>
      <c r="H3465" s="406"/>
      <c r="I3465" s="324">
        <f t="shared" si="2473"/>
        <v>208800</v>
      </c>
      <c r="J3465" s="406"/>
      <c r="K3465" s="406"/>
      <c r="L3465" s="317">
        <f t="shared" si="2494"/>
        <v>208800</v>
      </c>
      <c r="M3465" s="317"/>
      <c r="N3465" s="372">
        <f t="shared" ref="N3465:N3528" si="2497">M3465-K3465</f>
        <v>0</v>
      </c>
      <c r="O3465" s="336">
        <f t="shared" si="2481"/>
        <v>229680.00000000003</v>
      </c>
      <c r="P3465" s="319">
        <f t="shared" si="2489"/>
        <v>252648.00000000006</v>
      </c>
      <c r="R3465" s="317"/>
      <c r="U3465" s="320"/>
    </row>
    <row r="3466" spans="1:21" s="344" customFormat="1" outlineLevel="2">
      <c r="A3466" s="345"/>
      <c r="B3466" s="345"/>
      <c r="C3466" s="405">
        <v>3111002</v>
      </c>
      <c r="D3466" s="345" t="s">
        <v>71</v>
      </c>
      <c r="E3466" s="406">
        <v>0</v>
      </c>
      <c r="F3466" s="406"/>
      <c r="G3466" s="406"/>
      <c r="H3466" s="406"/>
      <c r="I3466" s="324">
        <f t="shared" si="2473"/>
        <v>0</v>
      </c>
      <c r="J3466" s="406"/>
      <c r="K3466" s="406"/>
      <c r="L3466" s="317">
        <f t="shared" si="2494"/>
        <v>0</v>
      </c>
      <c r="M3466" s="317"/>
      <c r="N3466" s="372">
        <f t="shared" si="2497"/>
        <v>0</v>
      </c>
      <c r="O3466" s="336">
        <f t="shared" si="2481"/>
        <v>0</v>
      </c>
      <c r="P3466" s="319">
        <f t="shared" si="2489"/>
        <v>0</v>
      </c>
      <c r="R3466" s="317"/>
      <c r="U3466" s="320"/>
    </row>
    <row r="3467" spans="1:21" s="344" customFormat="1" outlineLevel="1">
      <c r="A3467" s="345"/>
      <c r="B3467" s="345"/>
      <c r="C3467" s="314"/>
      <c r="D3467" s="447" t="s">
        <v>99</v>
      </c>
      <c r="E3467" s="438">
        <f>E3464+E3462+E3460+E3457+E3454+E3450+E3448+E3444+E3442</f>
        <v>6958400</v>
      </c>
      <c r="F3467" s="438">
        <f t="shared" ref="F3467:P3467" si="2498">F3464+F3462+F3460+F3457+F3454+F3450+F3448+F3444+F3442</f>
        <v>0</v>
      </c>
      <c r="G3467" s="438">
        <f t="shared" si="2498"/>
        <v>0</v>
      </c>
      <c r="H3467" s="438">
        <f t="shared" si="2498"/>
        <v>0</v>
      </c>
      <c r="I3467" s="438">
        <f t="shared" si="2498"/>
        <v>6958400</v>
      </c>
      <c r="J3467" s="438">
        <f t="shared" si="2498"/>
        <v>0</v>
      </c>
      <c r="K3467" s="438">
        <f t="shared" si="2498"/>
        <v>0</v>
      </c>
      <c r="L3467" s="317">
        <f t="shared" si="2494"/>
        <v>6958400</v>
      </c>
      <c r="M3467" s="317"/>
      <c r="N3467" s="372">
        <f t="shared" si="2497"/>
        <v>0</v>
      </c>
      <c r="O3467" s="438">
        <f t="shared" si="2498"/>
        <v>7654240</v>
      </c>
      <c r="P3467" s="438">
        <f t="shared" si="2498"/>
        <v>8419664</v>
      </c>
      <c r="R3467" s="317"/>
      <c r="U3467" s="320"/>
    </row>
    <row r="3468" spans="1:21" s="344" customFormat="1" outlineLevel="1">
      <c r="A3468" s="345"/>
      <c r="B3468" s="345"/>
      <c r="C3468" s="314"/>
      <c r="D3468" s="447" t="s">
        <v>580</v>
      </c>
      <c r="E3468" s="438">
        <f>E3467</f>
        <v>6958400</v>
      </c>
      <c r="F3468" s="438">
        <f t="shared" ref="F3468:P3468" si="2499">F3467</f>
        <v>0</v>
      </c>
      <c r="G3468" s="438">
        <f t="shared" si="2499"/>
        <v>0</v>
      </c>
      <c r="H3468" s="438">
        <f t="shared" si="2499"/>
        <v>0</v>
      </c>
      <c r="I3468" s="438">
        <f t="shared" si="2499"/>
        <v>6958400</v>
      </c>
      <c r="J3468" s="438">
        <f t="shared" si="2499"/>
        <v>0</v>
      </c>
      <c r="K3468" s="438">
        <f t="shared" si="2499"/>
        <v>0</v>
      </c>
      <c r="L3468" s="317">
        <f t="shared" si="2494"/>
        <v>6958400</v>
      </c>
      <c r="M3468" s="317"/>
      <c r="N3468" s="372">
        <f t="shared" si="2497"/>
        <v>0</v>
      </c>
      <c r="O3468" s="438">
        <f t="shared" si="2499"/>
        <v>7654240</v>
      </c>
      <c r="P3468" s="438">
        <f t="shared" si="2499"/>
        <v>8419664</v>
      </c>
      <c r="R3468" s="317"/>
      <c r="U3468" s="320"/>
    </row>
    <row r="3469" spans="1:21" s="344" customFormat="1" outlineLevel="1">
      <c r="A3469" s="345"/>
      <c r="B3469" s="345"/>
      <c r="C3469" s="332"/>
      <c r="D3469" s="338"/>
      <c r="E3469" s="389"/>
      <c r="F3469" s="397"/>
      <c r="G3469" s="397"/>
      <c r="H3469" s="397"/>
      <c r="I3469" s="324">
        <f t="shared" si="2473"/>
        <v>0</v>
      </c>
      <c r="J3469" s="397"/>
      <c r="K3469" s="397"/>
      <c r="L3469" s="317">
        <f t="shared" si="2494"/>
        <v>0</v>
      </c>
      <c r="M3469" s="317"/>
      <c r="N3469" s="372">
        <f t="shared" si="2497"/>
        <v>0</v>
      </c>
      <c r="O3469" s="336">
        <f t="shared" si="2481"/>
        <v>0</v>
      </c>
      <c r="P3469" s="319">
        <f t="shared" si="2489"/>
        <v>0</v>
      </c>
      <c r="R3469" s="317"/>
      <c r="U3469" s="320"/>
    </row>
    <row r="3470" spans="1:21" s="344" customFormat="1" outlineLevel="1">
      <c r="A3470" s="345"/>
      <c r="B3470" s="345"/>
      <c r="C3470" s="340" t="s">
        <v>648</v>
      </c>
      <c r="D3470" s="338"/>
      <c r="E3470" s="397"/>
      <c r="F3470" s="397"/>
      <c r="G3470" s="397"/>
      <c r="H3470" s="397"/>
      <c r="I3470" s="324">
        <f t="shared" si="2473"/>
        <v>0</v>
      </c>
      <c r="J3470" s="397"/>
      <c r="K3470" s="397"/>
      <c r="L3470" s="317">
        <f t="shared" si="2494"/>
        <v>0</v>
      </c>
      <c r="M3470" s="317"/>
      <c r="N3470" s="372">
        <f t="shared" si="2497"/>
        <v>0</v>
      </c>
      <c r="O3470" s="336">
        <f t="shared" si="2481"/>
        <v>0</v>
      </c>
      <c r="P3470" s="319">
        <f t="shared" si="2489"/>
        <v>0</v>
      </c>
      <c r="R3470" s="317"/>
      <c r="U3470" s="320"/>
    </row>
    <row r="3471" spans="1:21" s="344" customFormat="1" outlineLevel="2">
      <c r="A3471" s="345"/>
      <c r="B3471" s="345"/>
      <c r="C3471" s="328">
        <v>2210200</v>
      </c>
      <c r="D3471" s="326" t="s">
        <v>20</v>
      </c>
      <c r="E3471" s="461">
        <f>E3472+E3473</f>
        <v>522000</v>
      </c>
      <c r="F3471" s="461">
        <f t="shared" ref="F3471:K3471" si="2500">F3472+F3473</f>
        <v>0</v>
      </c>
      <c r="G3471" s="461">
        <f t="shared" si="2500"/>
        <v>0</v>
      </c>
      <c r="H3471" s="461">
        <f t="shared" si="2500"/>
        <v>0</v>
      </c>
      <c r="I3471" s="461">
        <f t="shared" si="2500"/>
        <v>522000</v>
      </c>
      <c r="J3471" s="461">
        <f t="shared" si="2500"/>
        <v>0</v>
      </c>
      <c r="K3471" s="461">
        <f t="shared" si="2500"/>
        <v>0</v>
      </c>
      <c r="L3471" s="317">
        <f t="shared" si="2494"/>
        <v>522000</v>
      </c>
      <c r="M3471" s="317"/>
      <c r="N3471" s="372">
        <f t="shared" si="2497"/>
        <v>0</v>
      </c>
      <c r="O3471" s="461">
        <f t="shared" ref="O3471:P3471" si="2501">O3472+O3473</f>
        <v>574200</v>
      </c>
      <c r="P3471" s="461">
        <f t="shared" si="2501"/>
        <v>631620</v>
      </c>
      <c r="R3471" s="317"/>
      <c r="U3471" s="320"/>
    </row>
    <row r="3472" spans="1:21" s="344" customFormat="1" outlineLevel="2">
      <c r="A3472" s="345"/>
      <c r="B3472" s="345"/>
      <c r="C3472" s="405">
        <v>2210201</v>
      </c>
      <c r="D3472" s="345" t="s">
        <v>113</v>
      </c>
      <c r="E3472" s="406">
        <v>232000</v>
      </c>
      <c r="F3472" s="406"/>
      <c r="G3472" s="406"/>
      <c r="H3472" s="406"/>
      <c r="I3472" s="324">
        <f t="shared" si="2473"/>
        <v>232000</v>
      </c>
      <c r="J3472" s="406"/>
      <c r="K3472" s="406"/>
      <c r="L3472" s="317">
        <f t="shared" si="2494"/>
        <v>232000</v>
      </c>
      <c r="M3472" s="317"/>
      <c r="N3472" s="372">
        <f t="shared" si="2497"/>
        <v>0</v>
      </c>
      <c r="O3472" s="336">
        <f t="shared" si="2481"/>
        <v>255200.00000000003</v>
      </c>
      <c r="P3472" s="319">
        <f t="shared" si="2489"/>
        <v>280720.00000000006</v>
      </c>
      <c r="R3472" s="317"/>
      <c r="U3472" s="320"/>
    </row>
    <row r="3473" spans="1:21" s="344" customFormat="1" outlineLevel="2">
      <c r="A3473" s="345"/>
      <c r="B3473" s="345"/>
      <c r="C3473" s="405">
        <v>2210202</v>
      </c>
      <c r="D3473" s="345" t="s">
        <v>22</v>
      </c>
      <c r="E3473" s="406">
        <v>290000</v>
      </c>
      <c r="F3473" s="406"/>
      <c r="G3473" s="406"/>
      <c r="H3473" s="406"/>
      <c r="I3473" s="324">
        <f t="shared" si="2473"/>
        <v>290000</v>
      </c>
      <c r="J3473" s="406"/>
      <c r="K3473" s="406"/>
      <c r="L3473" s="317">
        <f t="shared" si="2494"/>
        <v>290000</v>
      </c>
      <c r="M3473" s="317"/>
      <c r="N3473" s="372">
        <f t="shared" si="2497"/>
        <v>0</v>
      </c>
      <c r="O3473" s="336">
        <f t="shared" si="2481"/>
        <v>319000</v>
      </c>
      <c r="P3473" s="319">
        <f t="shared" ref="P3473:P3492" si="2502">O3473*1.1</f>
        <v>350900</v>
      </c>
      <c r="R3473" s="317"/>
      <c r="U3473" s="320"/>
    </row>
    <row r="3474" spans="1:21" s="344" customFormat="1" outlineLevel="2">
      <c r="A3474" s="345"/>
      <c r="B3474" s="345"/>
      <c r="C3474" s="328">
        <v>2210300</v>
      </c>
      <c r="D3474" s="326" t="s">
        <v>24</v>
      </c>
      <c r="E3474" s="461">
        <f>E3475+E3476+E3477+E3478</f>
        <v>2102000</v>
      </c>
      <c r="F3474" s="461">
        <f t="shared" ref="F3474:P3474" si="2503">F3475+F3476+F3477+F3478</f>
        <v>0</v>
      </c>
      <c r="G3474" s="461">
        <f t="shared" si="2503"/>
        <v>0</v>
      </c>
      <c r="H3474" s="461">
        <f t="shared" si="2503"/>
        <v>0</v>
      </c>
      <c r="I3474" s="461">
        <f t="shared" si="2503"/>
        <v>2102000</v>
      </c>
      <c r="J3474" s="461">
        <f t="shared" si="2503"/>
        <v>0</v>
      </c>
      <c r="K3474" s="461">
        <f t="shared" si="2503"/>
        <v>0</v>
      </c>
      <c r="L3474" s="317">
        <f t="shared" si="2494"/>
        <v>2102000</v>
      </c>
      <c r="M3474" s="317"/>
      <c r="N3474" s="372">
        <f t="shared" si="2497"/>
        <v>0</v>
      </c>
      <c r="O3474" s="461">
        <f t="shared" si="2503"/>
        <v>2312200</v>
      </c>
      <c r="P3474" s="461">
        <f t="shared" si="2503"/>
        <v>2543420</v>
      </c>
      <c r="R3474" s="317"/>
      <c r="U3474" s="320"/>
    </row>
    <row r="3475" spans="1:21" s="344" customFormat="1" outlineLevel="2">
      <c r="A3475" s="345"/>
      <c r="B3475" s="345"/>
      <c r="C3475" s="405">
        <v>2210301</v>
      </c>
      <c r="D3475" s="345" t="s">
        <v>25</v>
      </c>
      <c r="E3475" s="406">
        <f>1038000-500000</f>
        <v>538000</v>
      </c>
      <c r="F3475" s="406"/>
      <c r="G3475" s="406"/>
      <c r="H3475" s="406"/>
      <c r="I3475" s="324">
        <f t="shared" si="2473"/>
        <v>538000</v>
      </c>
      <c r="J3475" s="406"/>
      <c r="K3475" s="406"/>
      <c r="L3475" s="317">
        <f t="shared" si="2494"/>
        <v>538000</v>
      </c>
      <c r="M3475" s="317"/>
      <c r="N3475" s="372">
        <f t="shared" si="2497"/>
        <v>0</v>
      </c>
      <c r="O3475" s="336">
        <f t="shared" si="2481"/>
        <v>591800</v>
      </c>
      <c r="P3475" s="319">
        <f t="shared" si="2502"/>
        <v>650980</v>
      </c>
      <c r="R3475" s="317"/>
      <c r="U3475" s="320"/>
    </row>
    <row r="3476" spans="1:21" s="344" customFormat="1" outlineLevel="2">
      <c r="A3476" s="345"/>
      <c r="B3476" s="345"/>
      <c r="C3476" s="405">
        <v>2210302</v>
      </c>
      <c r="D3476" s="345" t="s">
        <v>26</v>
      </c>
      <c r="E3476" s="406">
        <f>2262000-500000-500000-500000</f>
        <v>762000</v>
      </c>
      <c r="F3476" s="406"/>
      <c r="G3476" s="406"/>
      <c r="H3476" s="406"/>
      <c r="I3476" s="324">
        <f t="shared" si="2473"/>
        <v>762000</v>
      </c>
      <c r="J3476" s="406"/>
      <c r="K3476" s="406"/>
      <c r="L3476" s="317">
        <f t="shared" si="2494"/>
        <v>762000</v>
      </c>
      <c r="M3476" s="317"/>
      <c r="N3476" s="372">
        <f t="shared" si="2497"/>
        <v>0</v>
      </c>
      <c r="O3476" s="336">
        <f t="shared" si="2481"/>
        <v>838200.00000000012</v>
      </c>
      <c r="P3476" s="319">
        <f t="shared" si="2502"/>
        <v>922020.00000000023</v>
      </c>
      <c r="R3476" s="317"/>
      <c r="U3476" s="320"/>
    </row>
    <row r="3477" spans="1:21" s="344" customFormat="1" outlineLevel="2">
      <c r="A3477" s="345"/>
      <c r="B3477" s="345"/>
      <c r="C3477" s="405">
        <v>2210303</v>
      </c>
      <c r="D3477" s="345" t="s">
        <v>27</v>
      </c>
      <c r="E3477" s="406">
        <f>1541000-500000-500000</f>
        <v>541000</v>
      </c>
      <c r="F3477" s="406"/>
      <c r="G3477" s="406"/>
      <c r="H3477" s="406"/>
      <c r="I3477" s="324">
        <f t="shared" si="2473"/>
        <v>541000</v>
      </c>
      <c r="J3477" s="406"/>
      <c r="K3477" s="406"/>
      <c r="L3477" s="317">
        <f t="shared" si="2494"/>
        <v>541000</v>
      </c>
      <c r="M3477" s="317"/>
      <c r="N3477" s="372">
        <f t="shared" si="2497"/>
        <v>0</v>
      </c>
      <c r="O3477" s="336">
        <f t="shared" si="2481"/>
        <v>595100</v>
      </c>
      <c r="P3477" s="319">
        <f t="shared" si="2502"/>
        <v>654610</v>
      </c>
      <c r="R3477" s="317"/>
      <c r="U3477" s="320"/>
    </row>
    <row r="3478" spans="1:21" s="344" customFormat="1" outlineLevel="2">
      <c r="A3478" s="345"/>
      <c r="B3478" s="345"/>
      <c r="C3478" s="405">
        <v>2210304</v>
      </c>
      <c r="D3478" s="345" t="s">
        <v>28</v>
      </c>
      <c r="E3478" s="406">
        <v>261000</v>
      </c>
      <c r="F3478" s="406"/>
      <c r="G3478" s="406"/>
      <c r="H3478" s="406"/>
      <c r="I3478" s="324">
        <f t="shared" si="2473"/>
        <v>261000</v>
      </c>
      <c r="J3478" s="406"/>
      <c r="K3478" s="406"/>
      <c r="L3478" s="317">
        <f t="shared" si="2494"/>
        <v>261000</v>
      </c>
      <c r="M3478" s="317"/>
      <c r="N3478" s="372">
        <f t="shared" si="2497"/>
        <v>0</v>
      </c>
      <c r="O3478" s="336">
        <f t="shared" si="2481"/>
        <v>287100</v>
      </c>
      <c r="P3478" s="319">
        <f t="shared" si="2502"/>
        <v>315810</v>
      </c>
      <c r="R3478" s="317"/>
      <c r="U3478" s="320"/>
    </row>
    <row r="3479" spans="1:21" s="344" customFormat="1" outlineLevel="2">
      <c r="A3479" s="345"/>
      <c r="B3479" s="345"/>
      <c r="C3479" s="328">
        <v>2210500</v>
      </c>
      <c r="D3479" s="326" t="s">
        <v>31</v>
      </c>
      <c r="E3479" s="461">
        <f>E3480+E3481+E3482</f>
        <v>1377400</v>
      </c>
      <c r="F3479" s="461">
        <f t="shared" ref="F3479:K3479" si="2504">F3480+F3481+F3482</f>
        <v>0</v>
      </c>
      <c r="G3479" s="461">
        <f t="shared" si="2504"/>
        <v>0</v>
      </c>
      <c r="H3479" s="461">
        <f t="shared" si="2504"/>
        <v>0</v>
      </c>
      <c r="I3479" s="461">
        <f t="shared" si="2504"/>
        <v>1377400</v>
      </c>
      <c r="J3479" s="461">
        <f t="shared" si="2504"/>
        <v>0</v>
      </c>
      <c r="K3479" s="461">
        <f t="shared" si="2504"/>
        <v>0</v>
      </c>
      <c r="L3479" s="317">
        <f t="shared" si="2494"/>
        <v>1377400</v>
      </c>
      <c r="M3479" s="317"/>
      <c r="N3479" s="372">
        <f t="shared" si="2497"/>
        <v>0</v>
      </c>
      <c r="O3479" s="461">
        <f t="shared" ref="O3479:P3479" si="2505">O3480+O3481+O3482</f>
        <v>1515140</v>
      </c>
      <c r="P3479" s="461">
        <f t="shared" si="2505"/>
        <v>1666654.0000000002</v>
      </c>
      <c r="R3479" s="317"/>
      <c r="U3479" s="320"/>
    </row>
    <row r="3480" spans="1:21" s="344" customFormat="1" outlineLevel="2">
      <c r="A3480" s="345"/>
      <c r="B3480" s="345"/>
      <c r="C3480" s="405">
        <v>2210502</v>
      </c>
      <c r="D3480" s="345" t="s">
        <v>105</v>
      </c>
      <c r="E3480" s="406">
        <v>652400</v>
      </c>
      <c r="F3480" s="406"/>
      <c r="G3480" s="406"/>
      <c r="H3480" s="406"/>
      <c r="I3480" s="324">
        <f t="shared" ref="I3480:I3538" si="2506">E3480+F3480+G3480+H3480</f>
        <v>652400</v>
      </c>
      <c r="J3480" s="406"/>
      <c r="K3480" s="406"/>
      <c r="L3480" s="317">
        <f t="shared" si="2494"/>
        <v>652400</v>
      </c>
      <c r="M3480" s="317"/>
      <c r="N3480" s="372">
        <f t="shared" si="2497"/>
        <v>0</v>
      </c>
      <c r="O3480" s="336">
        <f t="shared" si="2481"/>
        <v>717640</v>
      </c>
      <c r="P3480" s="319">
        <f t="shared" si="2502"/>
        <v>789404.00000000012</v>
      </c>
      <c r="R3480" s="317"/>
      <c r="U3480" s="320"/>
    </row>
    <row r="3481" spans="1:21" s="344" customFormat="1" outlineLevel="2">
      <c r="A3481" s="345"/>
      <c r="B3481" s="345"/>
      <c r="C3481" s="405">
        <v>2210503</v>
      </c>
      <c r="D3481" s="345" t="s">
        <v>32</v>
      </c>
      <c r="E3481" s="406">
        <v>232000</v>
      </c>
      <c r="F3481" s="406"/>
      <c r="G3481" s="406"/>
      <c r="H3481" s="406"/>
      <c r="I3481" s="324">
        <f t="shared" si="2506"/>
        <v>232000</v>
      </c>
      <c r="J3481" s="406"/>
      <c r="K3481" s="406"/>
      <c r="L3481" s="317">
        <f t="shared" si="2494"/>
        <v>232000</v>
      </c>
      <c r="M3481" s="317"/>
      <c r="N3481" s="372">
        <f t="shared" si="2497"/>
        <v>0</v>
      </c>
      <c r="O3481" s="336">
        <f t="shared" si="2481"/>
        <v>255200.00000000003</v>
      </c>
      <c r="P3481" s="319">
        <f t="shared" si="2502"/>
        <v>280720.00000000006</v>
      </c>
      <c r="R3481" s="317"/>
      <c r="U3481" s="320"/>
    </row>
    <row r="3482" spans="1:21" s="344" customFormat="1" outlineLevel="2">
      <c r="A3482" s="345"/>
      <c r="B3482" s="345"/>
      <c r="C3482" s="405">
        <v>2210504</v>
      </c>
      <c r="D3482" s="345" t="s">
        <v>33</v>
      </c>
      <c r="E3482" s="406">
        <v>493000</v>
      </c>
      <c r="F3482" s="406"/>
      <c r="G3482" s="406"/>
      <c r="H3482" s="406"/>
      <c r="I3482" s="324">
        <f t="shared" si="2506"/>
        <v>493000</v>
      </c>
      <c r="J3482" s="406"/>
      <c r="K3482" s="406"/>
      <c r="L3482" s="317">
        <f t="shared" si="2494"/>
        <v>493000</v>
      </c>
      <c r="M3482" s="317"/>
      <c r="N3482" s="372">
        <f t="shared" si="2497"/>
        <v>0</v>
      </c>
      <c r="O3482" s="336">
        <f t="shared" si="2481"/>
        <v>542300</v>
      </c>
      <c r="P3482" s="319">
        <f t="shared" si="2502"/>
        <v>596530</v>
      </c>
      <c r="R3482" s="317"/>
      <c r="U3482" s="320"/>
    </row>
    <row r="3483" spans="1:21" s="344" customFormat="1" outlineLevel="2">
      <c r="A3483" s="345"/>
      <c r="B3483" s="345"/>
      <c r="C3483" s="328">
        <v>2210700</v>
      </c>
      <c r="D3483" s="326" t="s">
        <v>35</v>
      </c>
      <c r="E3483" s="461">
        <f>E3484+E3485+E3486+E3487</f>
        <v>1912000</v>
      </c>
      <c r="F3483" s="461">
        <f t="shared" ref="F3483:P3483" si="2507">F3484+F3485+F3486+F3487</f>
        <v>0</v>
      </c>
      <c r="G3483" s="461">
        <f t="shared" si="2507"/>
        <v>0</v>
      </c>
      <c r="H3483" s="461">
        <f t="shared" si="2507"/>
        <v>0</v>
      </c>
      <c r="I3483" s="461">
        <f t="shared" si="2507"/>
        <v>1912000</v>
      </c>
      <c r="J3483" s="461">
        <f t="shared" si="2507"/>
        <v>0</v>
      </c>
      <c r="K3483" s="461">
        <f t="shared" si="2507"/>
        <v>0</v>
      </c>
      <c r="L3483" s="317">
        <f t="shared" si="2494"/>
        <v>1912000</v>
      </c>
      <c r="M3483" s="317"/>
      <c r="N3483" s="372">
        <f t="shared" si="2497"/>
        <v>0</v>
      </c>
      <c r="O3483" s="461">
        <f t="shared" si="2507"/>
        <v>2103200</v>
      </c>
      <c r="P3483" s="461">
        <f t="shared" si="2507"/>
        <v>2313520.0000000005</v>
      </c>
      <c r="R3483" s="317"/>
      <c r="U3483" s="320"/>
    </row>
    <row r="3484" spans="1:21" s="344" customFormat="1" outlineLevel="2">
      <c r="A3484" s="345"/>
      <c r="B3484" s="345"/>
      <c r="C3484" s="405">
        <v>2210704</v>
      </c>
      <c r="D3484" s="345" t="s">
        <v>38</v>
      </c>
      <c r="E3484" s="406">
        <v>661000</v>
      </c>
      <c r="F3484" s="406"/>
      <c r="G3484" s="406"/>
      <c r="H3484" s="406"/>
      <c r="I3484" s="324">
        <f t="shared" si="2506"/>
        <v>661000</v>
      </c>
      <c r="J3484" s="406"/>
      <c r="K3484" s="406"/>
      <c r="L3484" s="317">
        <f t="shared" si="2494"/>
        <v>661000</v>
      </c>
      <c r="M3484" s="317"/>
      <c r="N3484" s="372">
        <f t="shared" si="2497"/>
        <v>0</v>
      </c>
      <c r="O3484" s="336">
        <f t="shared" si="2481"/>
        <v>727100.00000000012</v>
      </c>
      <c r="P3484" s="319">
        <f t="shared" si="2502"/>
        <v>799810.00000000023</v>
      </c>
      <c r="R3484" s="317"/>
      <c r="U3484" s="320"/>
    </row>
    <row r="3485" spans="1:21" s="344" customFormat="1" outlineLevel="2">
      <c r="A3485" s="345"/>
      <c r="B3485" s="345"/>
      <c r="C3485" s="405" t="s">
        <v>649</v>
      </c>
      <c r="D3485" s="345" t="s">
        <v>39</v>
      </c>
      <c r="E3485" s="406">
        <f>2011000-500000-1000000</f>
        <v>511000</v>
      </c>
      <c r="F3485" s="406"/>
      <c r="G3485" s="406"/>
      <c r="H3485" s="406"/>
      <c r="I3485" s="324">
        <f t="shared" si="2506"/>
        <v>511000</v>
      </c>
      <c r="J3485" s="406"/>
      <c r="K3485" s="406"/>
      <c r="L3485" s="317">
        <f t="shared" si="2494"/>
        <v>511000</v>
      </c>
      <c r="M3485" s="317"/>
      <c r="N3485" s="372">
        <f t="shared" si="2497"/>
        <v>0</v>
      </c>
      <c r="O3485" s="336">
        <f t="shared" si="2481"/>
        <v>562100</v>
      </c>
      <c r="P3485" s="319">
        <f t="shared" si="2502"/>
        <v>618310</v>
      </c>
      <c r="R3485" s="317"/>
      <c r="U3485" s="320"/>
    </row>
    <row r="3486" spans="1:21" s="344" customFormat="1" outlineLevel="2">
      <c r="A3486" s="345"/>
      <c r="B3486" s="345"/>
      <c r="C3486" s="405" t="s">
        <v>650</v>
      </c>
      <c r="D3486" s="345" t="s">
        <v>281</v>
      </c>
      <c r="E3486" s="406">
        <f>1740000-500000-500000</f>
        <v>740000</v>
      </c>
      <c r="F3486" s="406"/>
      <c r="G3486" s="406"/>
      <c r="H3486" s="406"/>
      <c r="I3486" s="324">
        <f t="shared" si="2506"/>
        <v>740000</v>
      </c>
      <c r="J3486" s="406"/>
      <c r="K3486" s="406"/>
      <c r="L3486" s="317">
        <f t="shared" si="2494"/>
        <v>740000</v>
      </c>
      <c r="M3486" s="317"/>
      <c r="N3486" s="372">
        <f t="shared" si="2497"/>
        <v>0</v>
      </c>
      <c r="O3486" s="336">
        <f t="shared" si="2481"/>
        <v>814000.00000000012</v>
      </c>
      <c r="P3486" s="319">
        <f t="shared" si="2502"/>
        <v>895400.00000000023</v>
      </c>
      <c r="R3486" s="317"/>
      <c r="U3486" s="320"/>
    </row>
    <row r="3487" spans="1:21" s="344" customFormat="1" outlineLevel="2">
      <c r="A3487" s="345"/>
      <c r="B3487" s="345"/>
      <c r="C3487" s="405" t="s">
        <v>651</v>
      </c>
      <c r="D3487" s="345" t="s">
        <v>41</v>
      </c>
      <c r="E3487" s="406">
        <v>0</v>
      </c>
      <c r="F3487" s="406"/>
      <c r="G3487" s="406"/>
      <c r="H3487" s="406"/>
      <c r="I3487" s="324">
        <f t="shared" si="2506"/>
        <v>0</v>
      </c>
      <c r="J3487" s="406"/>
      <c r="K3487" s="406"/>
      <c r="L3487" s="317">
        <f t="shared" si="2494"/>
        <v>0</v>
      </c>
      <c r="M3487" s="317"/>
      <c r="N3487" s="372">
        <f t="shared" si="2497"/>
        <v>0</v>
      </c>
      <c r="O3487" s="336">
        <f t="shared" si="2481"/>
        <v>0</v>
      </c>
      <c r="P3487" s="319">
        <f t="shared" si="2502"/>
        <v>0</v>
      </c>
      <c r="R3487" s="317"/>
      <c r="U3487" s="320"/>
    </row>
    <row r="3488" spans="1:21" s="344" customFormat="1" outlineLevel="2">
      <c r="A3488" s="345"/>
      <c r="B3488" s="345"/>
      <c r="C3488" s="328">
        <v>2210800</v>
      </c>
      <c r="D3488" s="326" t="s">
        <v>42</v>
      </c>
      <c r="E3488" s="461">
        <f>E3489+E3490</f>
        <v>1000910</v>
      </c>
      <c r="F3488" s="461">
        <f t="shared" ref="F3488:P3488" si="2508">F3489+F3490</f>
        <v>0</v>
      </c>
      <c r="G3488" s="461">
        <f t="shared" si="2508"/>
        <v>0</v>
      </c>
      <c r="H3488" s="461">
        <f t="shared" si="2508"/>
        <v>0</v>
      </c>
      <c r="I3488" s="461">
        <f t="shared" si="2508"/>
        <v>1000910</v>
      </c>
      <c r="J3488" s="461">
        <f t="shared" si="2508"/>
        <v>0</v>
      </c>
      <c r="K3488" s="461">
        <f t="shared" si="2508"/>
        <v>0</v>
      </c>
      <c r="L3488" s="317">
        <f t="shared" si="2494"/>
        <v>1000910</v>
      </c>
      <c r="M3488" s="317"/>
      <c r="N3488" s="372">
        <f t="shared" si="2497"/>
        <v>0</v>
      </c>
      <c r="O3488" s="461">
        <f t="shared" si="2508"/>
        <v>1101001</v>
      </c>
      <c r="P3488" s="461">
        <f t="shared" si="2508"/>
        <v>1211101.1000000001</v>
      </c>
      <c r="R3488" s="317"/>
      <c r="U3488" s="320"/>
    </row>
    <row r="3489" spans="1:21" s="344" customFormat="1" outlineLevel="2">
      <c r="A3489" s="345"/>
      <c r="B3489" s="345"/>
      <c r="C3489" s="405">
        <v>2210801</v>
      </c>
      <c r="D3489" s="345" t="s">
        <v>2421</v>
      </c>
      <c r="E3489" s="406">
        <v>459910</v>
      </c>
      <c r="F3489" s="406"/>
      <c r="G3489" s="406"/>
      <c r="H3489" s="406"/>
      <c r="I3489" s="324">
        <f t="shared" si="2506"/>
        <v>459910</v>
      </c>
      <c r="J3489" s="406"/>
      <c r="K3489" s="406"/>
      <c r="L3489" s="317">
        <f t="shared" si="2494"/>
        <v>459910</v>
      </c>
      <c r="M3489" s="317"/>
      <c r="N3489" s="372">
        <f t="shared" si="2497"/>
        <v>0</v>
      </c>
      <c r="O3489" s="336">
        <f t="shared" si="2481"/>
        <v>505901.00000000006</v>
      </c>
      <c r="P3489" s="319">
        <f t="shared" si="2502"/>
        <v>556491.10000000009</v>
      </c>
      <c r="R3489" s="317"/>
      <c r="U3489" s="320"/>
    </row>
    <row r="3490" spans="1:21" s="344" customFormat="1" outlineLevel="2">
      <c r="A3490" s="345"/>
      <c r="B3490" s="345"/>
      <c r="C3490" s="405">
        <v>2210802</v>
      </c>
      <c r="D3490" s="345" t="s">
        <v>97</v>
      </c>
      <c r="E3490" s="406">
        <f>1041000-500000</f>
        <v>541000</v>
      </c>
      <c r="F3490" s="406"/>
      <c r="G3490" s="406"/>
      <c r="H3490" s="406"/>
      <c r="I3490" s="324">
        <f t="shared" si="2506"/>
        <v>541000</v>
      </c>
      <c r="J3490" s="406"/>
      <c r="K3490" s="406"/>
      <c r="L3490" s="317">
        <f t="shared" si="2494"/>
        <v>541000</v>
      </c>
      <c r="M3490" s="317"/>
      <c r="N3490" s="372">
        <f t="shared" si="2497"/>
        <v>0</v>
      </c>
      <c r="O3490" s="336">
        <f t="shared" si="2481"/>
        <v>595100</v>
      </c>
      <c r="P3490" s="319">
        <f t="shared" si="2502"/>
        <v>654610</v>
      </c>
      <c r="R3490" s="317"/>
      <c r="U3490" s="320"/>
    </row>
    <row r="3491" spans="1:21" s="344" customFormat="1" outlineLevel="2">
      <c r="A3491" s="345"/>
      <c r="B3491" s="345"/>
      <c r="C3491" s="328">
        <v>2211100</v>
      </c>
      <c r="D3491" s="326" t="s">
        <v>51</v>
      </c>
      <c r="E3491" s="461">
        <f>E3492+E3493+E3494</f>
        <v>1164217</v>
      </c>
      <c r="F3491" s="461">
        <f t="shared" ref="F3491:K3491" si="2509">F3492+F3493+F3494</f>
        <v>0</v>
      </c>
      <c r="G3491" s="461">
        <f t="shared" si="2509"/>
        <v>0</v>
      </c>
      <c r="H3491" s="461">
        <f t="shared" si="2509"/>
        <v>0</v>
      </c>
      <c r="I3491" s="461">
        <f t="shared" si="2509"/>
        <v>1164217</v>
      </c>
      <c r="J3491" s="461">
        <f t="shared" si="2509"/>
        <v>0</v>
      </c>
      <c r="K3491" s="461">
        <f t="shared" si="2509"/>
        <v>0</v>
      </c>
      <c r="L3491" s="317">
        <f t="shared" si="2494"/>
        <v>1164217</v>
      </c>
      <c r="M3491" s="317"/>
      <c r="N3491" s="372">
        <f t="shared" si="2497"/>
        <v>0</v>
      </c>
      <c r="O3491" s="461">
        <f t="shared" ref="O3491:P3491" si="2510">O3492+O3493+O3494</f>
        <v>1280638.7</v>
      </c>
      <c r="P3491" s="461">
        <f t="shared" si="2510"/>
        <v>1408702.5700000003</v>
      </c>
      <c r="R3491" s="317"/>
      <c r="U3491" s="320"/>
    </row>
    <row r="3492" spans="1:21" s="344" customFormat="1" outlineLevel="2">
      <c r="A3492" s="345"/>
      <c r="B3492" s="345"/>
      <c r="C3492" s="405">
        <v>2211101</v>
      </c>
      <c r="D3492" s="345" t="s">
        <v>120</v>
      </c>
      <c r="E3492" s="406">
        <f>986000-500000</f>
        <v>486000</v>
      </c>
      <c r="F3492" s="406"/>
      <c r="G3492" s="406"/>
      <c r="H3492" s="406"/>
      <c r="I3492" s="324">
        <f t="shared" si="2506"/>
        <v>486000</v>
      </c>
      <c r="J3492" s="406"/>
      <c r="K3492" s="406"/>
      <c r="L3492" s="317">
        <f t="shared" si="2494"/>
        <v>486000</v>
      </c>
      <c r="M3492" s="317"/>
      <c r="N3492" s="372">
        <f t="shared" si="2497"/>
        <v>0</v>
      </c>
      <c r="O3492" s="336">
        <f t="shared" si="2481"/>
        <v>534600</v>
      </c>
      <c r="P3492" s="319">
        <f t="shared" si="2502"/>
        <v>588060</v>
      </c>
      <c r="R3492" s="317"/>
      <c r="U3492" s="320"/>
    </row>
    <row r="3493" spans="1:21" s="344" customFormat="1" outlineLevel="2">
      <c r="A3493" s="345"/>
      <c r="B3493" s="345"/>
      <c r="C3493" s="405">
        <v>2211102</v>
      </c>
      <c r="D3493" s="345" t="s">
        <v>53</v>
      </c>
      <c r="E3493" s="406">
        <f>851000-500000</f>
        <v>351000</v>
      </c>
      <c r="F3493" s="406"/>
      <c r="G3493" s="406"/>
      <c r="H3493" s="406"/>
      <c r="I3493" s="324">
        <f t="shared" si="2506"/>
        <v>351000</v>
      </c>
      <c r="J3493" s="406"/>
      <c r="K3493" s="406"/>
      <c r="L3493" s="317">
        <f t="shared" si="2494"/>
        <v>351000</v>
      </c>
      <c r="M3493" s="317"/>
      <c r="N3493" s="372">
        <f t="shared" si="2497"/>
        <v>0</v>
      </c>
      <c r="O3493" s="336">
        <f t="shared" si="2481"/>
        <v>386100.00000000006</v>
      </c>
      <c r="P3493" s="319">
        <f t="shared" ref="P3493:P3512" si="2511">O3493*1.1</f>
        <v>424710.00000000012</v>
      </c>
      <c r="R3493" s="317"/>
      <c r="U3493" s="320"/>
    </row>
    <row r="3494" spans="1:21" s="344" customFormat="1" outlineLevel="2">
      <c r="A3494" s="345"/>
      <c r="B3494" s="345"/>
      <c r="C3494" s="405">
        <v>2211103</v>
      </c>
      <c r="D3494" s="345" t="s">
        <v>54</v>
      </c>
      <c r="E3494" s="406">
        <v>327217</v>
      </c>
      <c r="F3494" s="406"/>
      <c r="G3494" s="406"/>
      <c r="H3494" s="406"/>
      <c r="I3494" s="324">
        <f t="shared" si="2506"/>
        <v>327217</v>
      </c>
      <c r="J3494" s="406"/>
      <c r="K3494" s="406"/>
      <c r="L3494" s="317">
        <f t="shared" si="2494"/>
        <v>327217</v>
      </c>
      <c r="M3494" s="317"/>
      <c r="N3494" s="372">
        <f t="shared" si="2497"/>
        <v>0</v>
      </c>
      <c r="O3494" s="336">
        <f t="shared" si="2481"/>
        <v>359938.7</v>
      </c>
      <c r="P3494" s="319">
        <f t="shared" si="2511"/>
        <v>395932.57000000007</v>
      </c>
      <c r="R3494" s="317"/>
      <c r="U3494" s="320"/>
    </row>
    <row r="3495" spans="1:21" s="344" customFormat="1" outlineLevel="2">
      <c r="A3495" s="345"/>
      <c r="B3495" s="345"/>
      <c r="C3495" s="328">
        <v>2211200</v>
      </c>
      <c r="D3495" s="326" t="s">
        <v>55</v>
      </c>
      <c r="E3495" s="461">
        <f>E3496+E3497</f>
        <v>1764000</v>
      </c>
      <c r="F3495" s="461">
        <f t="shared" ref="F3495:P3495" si="2512">F3496+F3497</f>
        <v>0</v>
      </c>
      <c r="G3495" s="461">
        <f t="shared" si="2512"/>
        <v>0</v>
      </c>
      <c r="H3495" s="461">
        <f t="shared" si="2512"/>
        <v>0</v>
      </c>
      <c r="I3495" s="461">
        <f t="shared" si="2512"/>
        <v>1764000</v>
      </c>
      <c r="J3495" s="461">
        <f t="shared" si="2512"/>
        <v>0</v>
      </c>
      <c r="K3495" s="461">
        <f t="shared" si="2512"/>
        <v>0</v>
      </c>
      <c r="L3495" s="317">
        <f t="shared" si="2494"/>
        <v>1764000</v>
      </c>
      <c r="M3495" s="317"/>
      <c r="N3495" s="372">
        <f t="shared" si="2497"/>
        <v>0</v>
      </c>
      <c r="O3495" s="461">
        <f t="shared" si="2512"/>
        <v>1940400</v>
      </c>
      <c r="P3495" s="461">
        <f t="shared" si="2512"/>
        <v>2134440</v>
      </c>
      <c r="R3495" s="317"/>
      <c r="U3495" s="320"/>
    </row>
    <row r="3496" spans="1:21" s="344" customFormat="1" outlineLevel="2">
      <c r="A3496" s="345"/>
      <c r="B3496" s="345"/>
      <c r="C3496" s="405">
        <v>2211201</v>
      </c>
      <c r="D3496" s="345" t="s">
        <v>56</v>
      </c>
      <c r="E3496" s="406">
        <v>964000</v>
      </c>
      <c r="F3496" s="406"/>
      <c r="G3496" s="406"/>
      <c r="H3496" s="406"/>
      <c r="I3496" s="324">
        <f t="shared" si="2506"/>
        <v>964000</v>
      </c>
      <c r="J3496" s="406"/>
      <c r="K3496" s="406"/>
      <c r="L3496" s="317">
        <f t="shared" si="2494"/>
        <v>964000</v>
      </c>
      <c r="M3496" s="317"/>
      <c r="N3496" s="372">
        <f t="shared" si="2497"/>
        <v>0</v>
      </c>
      <c r="O3496" s="336">
        <f t="shared" si="2481"/>
        <v>1060400</v>
      </c>
      <c r="P3496" s="319">
        <f t="shared" si="2511"/>
        <v>1166440</v>
      </c>
      <c r="R3496" s="317"/>
      <c r="U3496" s="320"/>
    </row>
    <row r="3497" spans="1:21" s="344" customFormat="1" outlineLevel="2">
      <c r="A3497" s="345"/>
      <c r="B3497" s="345"/>
      <c r="C3497" s="405">
        <v>2211203</v>
      </c>
      <c r="D3497" s="345" t="s">
        <v>652</v>
      </c>
      <c r="E3497" s="406">
        <v>800000</v>
      </c>
      <c r="F3497" s="406"/>
      <c r="G3497" s="406"/>
      <c r="H3497" s="406"/>
      <c r="I3497" s="324">
        <f t="shared" si="2506"/>
        <v>800000</v>
      </c>
      <c r="J3497" s="406"/>
      <c r="K3497" s="406"/>
      <c r="L3497" s="317">
        <f t="shared" si="2494"/>
        <v>800000</v>
      </c>
      <c r="M3497" s="317"/>
      <c r="N3497" s="372">
        <f t="shared" si="2497"/>
        <v>0</v>
      </c>
      <c r="O3497" s="336">
        <f t="shared" si="2481"/>
        <v>880000.00000000012</v>
      </c>
      <c r="P3497" s="319">
        <f t="shared" si="2511"/>
        <v>968000.00000000023</v>
      </c>
      <c r="R3497" s="317"/>
      <c r="U3497" s="320"/>
    </row>
    <row r="3498" spans="1:21" s="344" customFormat="1" outlineLevel="2">
      <c r="A3498" s="345"/>
      <c r="B3498" s="345"/>
      <c r="C3498" s="328">
        <v>2211300</v>
      </c>
      <c r="D3498" s="326" t="s">
        <v>57</v>
      </c>
      <c r="E3498" s="461">
        <f>E3499+E3500+E3501</f>
        <v>1184837.9973708102</v>
      </c>
      <c r="F3498" s="461">
        <f t="shared" ref="F3498:K3498" si="2513">F3499+F3500+F3501</f>
        <v>0</v>
      </c>
      <c r="G3498" s="461">
        <f t="shared" si="2513"/>
        <v>0</v>
      </c>
      <c r="H3498" s="461">
        <f t="shared" si="2513"/>
        <v>0</v>
      </c>
      <c r="I3498" s="461">
        <f t="shared" si="2513"/>
        <v>1184837.9973708102</v>
      </c>
      <c r="J3498" s="461">
        <f t="shared" si="2513"/>
        <v>0</v>
      </c>
      <c r="K3498" s="461">
        <f t="shared" si="2513"/>
        <v>0</v>
      </c>
      <c r="L3498" s="317">
        <f t="shared" si="2494"/>
        <v>1184837.9973708102</v>
      </c>
      <c r="M3498" s="317"/>
      <c r="N3498" s="372">
        <f t="shared" si="2497"/>
        <v>0</v>
      </c>
      <c r="O3498" s="461">
        <f t="shared" ref="O3498:P3498" si="2514">O3499+O3500+O3501</f>
        <v>1303321.7971078912</v>
      </c>
      <c r="P3498" s="461">
        <f t="shared" si="2514"/>
        <v>1433653.9768186805</v>
      </c>
      <c r="R3498" s="317"/>
      <c r="U3498" s="320"/>
    </row>
    <row r="3499" spans="1:21" s="344" customFormat="1" outlineLevel="2">
      <c r="A3499" s="345"/>
      <c r="B3499" s="345"/>
      <c r="C3499" s="405">
        <v>2211306</v>
      </c>
      <c r="D3499" s="345" t="s">
        <v>58</v>
      </c>
      <c r="E3499" s="406">
        <v>623100</v>
      </c>
      <c r="F3499" s="406"/>
      <c r="G3499" s="406"/>
      <c r="H3499" s="406"/>
      <c r="I3499" s="324">
        <f t="shared" si="2506"/>
        <v>623100</v>
      </c>
      <c r="J3499" s="406"/>
      <c r="K3499" s="406"/>
      <c r="L3499" s="317">
        <f t="shared" si="2494"/>
        <v>623100</v>
      </c>
      <c r="M3499" s="317"/>
      <c r="N3499" s="372">
        <f t="shared" si="2497"/>
        <v>0</v>
      </c>
      <c r="O3499" s="336">
        <f t="shared" ref="O3499:O3562" si="2515">L3499*1.1</f>
        <v>685410</v>
      </c>
      <c r="P3499" s="319">
        <f t="shared" si="2511"/>
        <v>753951.00000000012</v>
      </c>
      <c r="R3499" s="317"/>
      <c r="U3499" s="320"/>
    </row>
    <row r="3500" spans="1:21" s="344" customFormat="1" outlineLevel="2">
      <c r="A3500" s="345"/>
      <c r="B3500" s="345"/>
      <c r="C3500" s="405">
        <v>2211320</v>
      </c>
      <c r="D3500" s="345" t="s">
        <v>653</v>
      </c>
      <c r="E3500" s="406">
        <v>10737.997370810248</v>
      </c>
      <c r="F3500" s="406"/>
      <c r="G3500" s="406"/>
      <c r="H3500" s="406"/>
      <c r="I3500" s="324">
        <f t="shared" si="2506"/>
        <v>10737.997370810248</v>
      </c>
      <c r="J3500" s="406"/>
      <c r="K3500" s="406"/>
      <c r="L3500" s="317">
        <f t="shared" si="2494"/>
        <v>10737.997370810248</v>
      </c>
      <c r="M3500" s="317"/>
      <c r="N3500" s="372">
        <f t="shared" si="2497"/>
        <v>0</v>
      </c>
      <c r="O3500" s="336">
        <f t="shared" si="2515"/>
        <v>11811.797107891274</v>
      </c>
      <c r="P3500" s="319">
        <f t="shared" si="2511"/>
        <v>12992.976818680403</v>
      </c>
      <c r="R3500" s="317"/>
      <c r="U3500" s="320"/>
    </row>
    <row r="3501" spans="1:21" s="344" customFormat="1" outlineLevel="2">
      <c r="A3501" s="345"/>
      <c r="B3501" s="345"/>
      <c r="C3501" s="405">
        <v>2211399</v>
      </c>
      <c r="D3501" s="345" t="s">
        <v>654</v>
      </c>
      <c r="E3501" s="406">
        <v>551000</v>
      </c>
      <c r="F3501" s="406"/>
      <c r="G3501" s="406"/>
      <c r="H3501" s="406"/>
      <c r="I3501" s="324">
        <f t="shared" si="2506"/>
        <v>551000</v>
      </c>
      <c r="J3501" s="406"/>
      <c r="K3501" s="406"/>
      <c r="L3501" s="317">
        <f t="shared" si="2494"/>
        <v>551000</v>
      </c>
      <c r="M3501" s="317"/>
      <c r="N3501" s="372">
        <f t="shared" si="2497"/>
        <v>0</v>
      </c>
      <c r="O3501" s="336">
        <f t="shared" si="2515"/>
        <v>606100</v>
      </c>
      <c r="P3501" s="319">
        <f t="shared" si="2511"/>
        <v>666710</v>
      </c>
      <c r="R3501" s="317"/>
      <c r="U3501" s="320"/>
    </row>
    <row r="3502" spans="1:21" s="344" customFormat="1" outlineLevel="2">
      <c r="A3502" s="345"/>
      <c r="B3502" s="345"/>
      <c r="C3502" s="328">
        <v>2220100</v>
      </c>
      <c r="D3502" s="326" t="s">
        <v>62</v>
      </c>
      <c r="E3502" s="461">
        <f>E3503</f>
        <v>928000</v>
      </c>
      <c r="F3502" s="461">
        <f t="shared" ref="F3502:K3502" si="2516">F3503</f>
        <v>0</v>
      </c>
      <c r="G3502" s="461">
        <f t="shared" si="2516"/>
        <v>0</v>
      </c>
      <c r="H3502" s="461">
        <f t="shared" si="2516"/>
        <v>0</v>
      </c>
      <c r="I3502" s="461">
        <f t="shared" si="2516"/>
        <v>928000</v>
      </c>
      <c r="J3502" s="461">
        <f t="shared" si="2516"/>
        <v>0</v>
      </c>
      <c r="K3502" s="461">
        <f t="shared" si="2516"/>
        <v>0</v>
      </c>
      <c r="L3502" s="317">
        <f t="shared" si="2494"/>
        <v>928000</v>
      </c>
      <c r="M3502" s="317"/>
      <c r="N3502" s="372">
        <f t="shared" si="2497"/>
        <v>0</v>
      </c>
      <c r="O3502" s="461">
        <f t="shared" ref="O3502:P3502" si="2517">O3503</f>
        <v>1020800.0000000001</v>
      </c>
      <c r="P3502" s="461">
        <f t="shared" si="2517"/>
        <v>1122880.0000000002</v>
      </c>
      <c r="R3502" s="317"/>
      <c r="U3502" s="320"/>
    </row>
    <row r="3503" spans="1:21" s="344" customFormat="1" outlineLevel="2">
      <c r="A3503" s="345"/>
      <c r="B3503" s="345"/>
      <c r="C3503" s="405">
        <v>2220101</v>
      </c>
      <c r="D3503" s="345" t="s">
        <v>63</v>
      </c>
      <c r="E3503" s="406">
        <v>928000</v>
      </c>
      <c r="F3503" s="406"/>
      <c r="G3503" s="406"/>
      <c r="H3503" s="406"/>
      <c r="I3503" s="324">
        <f t="shared" si="2506"/>
        <v>928000</v>
      </c>
      <c r="J3503" s="406"/>
      <c r="K3503" s="406"/>
      <c r="L3503" s="317">
        <f t="shared" si="2494"/>
        <v>928000</v>
      </c>
      <c r="M3503" s="317"/>
      <c r="N3503" s="372">
        <f t="shared" si="2497"/>
        <v>0</v>
      </c>
      <c r="O3503" s="336">
        <f t="shared" si="2515"/>
        <v>1020800.0000000001</v>
      </c>
      <c r="P3503" s="319">
        <f t="shared" si="2511"/>
        <v>1122880.0000000002</v>
      </c>
      <c r="R3503" s="317"/>
      <c r="U3503" s="320"/>
    </row>
    <row r="3504" spans="1:21" s="344" customFormat="1" outlineLevel="2">
      <c r="A3504" s="345"/>
      <c r="B3504" s="345"/>
      <c r="C3504" s="328">
        <v>2220200</v>
      </c>
      <c r="D3504" s="326" t="s">
        <v>86</v>
      </c>
      <c r="E3504" s="461">
        <f>E3505+E3506+E3507</f>
        <v>996000</v>
      </c>
      <c r="F3504" s="461">
        <f t="shared" ref="F3504:K3504" si="2518">F3505+F3506+F3507</f>
        <v>0</v>
      </c>
      <c r="G3504" s="461">
        <f t="shared" si="2518"/>
        <v>0</v>
      </c>
      <c r="H3504" s="461">
        <f t="shared" si="2518"/>
        <v>0</v>
      </c>
      <c r="I3504" s="461">
        <f t="shared" si="2518"/>
        <v>996000</v>
      </c>
      <c r="J3504" s="461">
        <f t="shared" si="2518"/>
        <v>0</v>
      </c>
      <c r="K3504" s="461">
        <f t="shared" si="2518"/>
        <v>0</v>
      </c>
      <c r="L3504" s="317">
        <f t="shared" si="2494"/>
        <v>996000</v>
      </c>
      <c r="M3504" s="317"/>
      <c r="N3504" s="372">
        <f t="shared" si="2497"/>
        <v>0</v>
      </c>
      <c r="O3504" s="461">
        <f t="shared" ref="O3504:P3504" si="2519">O3505+O3506+O3507</f>
        <v>1095600</v>
      </c>
      <c r="P3504" s="461">
        <f t="shared" si="2519"/>
        <v>1205160.0000000002</v>
      </c>
      <c r="R3504" s="317"/>
      <c r="U3504" s="320"/>
    </row>
    <row r="3505" spans="1:21" s="344" customFormat="1" outlineLevel="2">
      <c r="A3505" s="345"/>
      <c r="B3505" s="345"/>
      <c r="C3505" s="405">
        <v>2220202</v>
      </c>
      <c r="D3505" s="345" t="s">
        <v>87</v>
      </c>
      <c r="E3505" s="406">
        <v>203000</v>
      </c>
      <c r="F3505" s="406"/>
      <c r="G3505" s="406"/>
      <c r="H3505" s="406"/>
      <c r="I3505" s="324">
        <f t="shared" si="2506"/>
        <v>203000</v>
      </c>
      <c r="J3505" s="406"/>
      <c r="K3505" s="406"/>
      <c r="L3505" s="317">
        <f t="shared" si="2494"/>
        <v>203000</v>
      </c>
      <c r="M3505" s="317"/>
      <c r="N3505" s="372">
        <f t="shared" si="2497"/>
        <v>0</v>
      </c>
      <c r="O3505" s="336">
        <f t="shared" si="2515"/>
        <v>223300.00000000003</v>
      </c>
      <c r="P3505" s="319">
        <f t="shared" si="2511"/>
        <v>245630.00000000006</v>
      </c>
      <c r="R3505" s="317"/>
      <c r="U3505" s="320"/>
    </row>
    <row r="3506" spans="1:21" s="344" customFormat="1" outlineLevel="2">
      <c r="A3506" s="345"/>
      <c r="B3506" s="345"/>
      <c r="C3506" s="405">
        <v>2220210</v>
      </c>
      <c r="D3506" s="345" t="s">
        <v>163</v>
      </c>
      <c r="E3506" s="406">
        <v>319000</v>
      </c>
      <c r="F3506" s="406"/>
      <c r="G3506" s="406"/>
      <c r="H3506" s="406"/>
      <c r="I3506" s="324">
        <f t="shared" si="2506"/>
        <v>319000</v>
      </c>
      <c r="J3506" s="406"/>
      <c r="K3506" s="406"/>
      <c r="L3506" s="317">
        <f t="shared" si="2494"/>
        <v>319000</v>
      </c>
      <c r="M3506" s="317"/>
      <c r="N3506" s="372">
        <f t="shared" si="2497"/>
        <v>0</v>
      </c>
      <c r="O3506" s="336">
        <f t="shared" si="2515"/>
        <v>350900</v>
      </c>
      <c r="P3506" s="319">
        <f t="shared" si="2511"/>
        <v>385990.00000000006</v>
      </c>
      <c r="R3506" s="317"/>
      <c r="U3506" s="320"/>
    </row>
    <row r="3507" spans="1:21" s="344" customFormat="1" outlineLevel="2">
      <c r="A3507" s="345"/>
      <c r="B3507" s="345"/>
      <c r="C3507" s="405">
        <v>2220299</v>
      </c>
      <c r="D3507" s="345" t="s">
        <v>124</v>
      </c>
      <c r="E3507" s="406">
        <v>474000</v>
      </c>
      <c r="F3507" s="406"/>
      <c r="G3507" s="406"/>
      <c r="H3507" s="406"/>
      <c r="I3507" s="324">
        <f t="shared" si="2506"/>
        <v>474000</v>
      </c>
      <c r="J3507" s="406"/>
      <c r="K3507" s="406"/>
      <c r="L3507" s="317">
        <f t="shared" si="2494"/>
        <v>474000</v>
      </c>
      <c r="M3507" s="317"/>
      <c r="N3507" s="372">
        <f t="shared" si="2497"/>
        <v>0</v>
      </c>
      <c r="O3507" s="336">
        <f t="shared" si="2515"/>
        <v>521400.00000000006</v>
      </c>
      <c r="P3507" s="319">
        <f t="shared" si="2511"/>
        <v>573540.00000000012</v>
      </c>
      <c r="R3507" s="317"/>
      <c r="U3507" s="320"/>
    </row>
    <row r="3508" spans="1:21" s="344" customFormat="1" outlineLevel="2">
      <c r="A3508" s="345"/>
      <c r="B3508" s="345"/>
      <c r="C3508" s="328">
        <v>3111000</v>
      </c>
      <c r="D3508" s="326" t="s">
        <v>69</v>
      </c>
      <c r="E3508" s="461">
        <f>E3509+E3510+E3511+E3512</f>
        <v>1033990</v>
      </c>
      <c r="F3508" s="461">
        <f t="shared" ref="F3508:P3508" si="2520">F3509+F3510+F3511+F3512</f>
        <v>0</v>
      </c>
      <c r="G3508" s="461">
        <f t="shared" si="2520"/>
        <v>0</v>
      </c>
      <c r="H3508" s="461">
        <f t="shared" si="2520"/>
        <v>0</v>
      </c>
      <c r="I3508" s="461">
        <f t="shared" si="2520"/>
        <v>1033990</v>
      </c>
      <c r="J3508" s="461">
        <f t="shared" si="2520"/>
        <v>0</v>
      </c>
      <c r="K3508" s="461">
        <f t="shared" si="2520"/>
        <v>0</v>
      </c>
      <c r="L3508" s="317">
        <f t="shared" si="2494"/>
        <v>1033990</v>
      </c>
      <c r="M3508" s="317"/>
      <c r="N3508" s="372">
        <f t="shared" si="2497"/>
        <v>0</v>
      </c>
      <c r="O3508" s="461">
        <f t="shared" si="2520"/>
        <v>1137389</v>
      </c>
      <c r="P3508" s="461">
        <f t="shared" si="2520"/>
        <v>1251127.9000000001</v>
      </c>
      <c r="R3508" s="317"/>
      <c r="U3508" s="320"/>
    </row>
    <row r="3509" spans="1:21" s="344" customFormat="1" outlineLevel="2">
      <c r="A3509" s="345"/>
      <c r="B3509" s="345"/>
      <c r="C3509" s="405">
        <v>3111001</v>
      </c>
      <c r="D3509" s="345" t="s">
        <v>70</v>
      </c>
      <c r="E3509" s="406">
        <f>687900-300000</f>
        <v>387900</v>
      </c>
      <c r="F3509" s="406"/>
      <c r="G3509" s="406"/>
      <c r="H3509" s="406"/>
      <c r="I3509" s="324">
        <f t="shared" si="2506"/>
        <v>387900</v>
      </c>
      <c r="J3509" s="406"/>
      <c r="K3509" s="406"/>
      <c r="L3509" s="317">
        <f t="shared" si="2494"/>
        <v>387900</v>
      </c>
      <c r="M3509" s="317"/>
      <c r="N3509" s="372">
        <f t="shared" si="2497"/>
        <v>0</v>
      </c>
      <c r="O3509" s="336">
        <f t="shared" si="2515"/>
        <v>426690.00000000006</v>
      </c>
      <c r="P3509" s="319">
        <f t="shared" si="2511"/>
        <v>469359.00000000012</v>
      </c>
      <c r="R3509" s="317"/>
      <c r="U3509" s="320"/>
    </row>
    <row r="3510" spans="1:21" s="344" customFormat="1" outlineLevel="2">
      <c r="A3510" s="345"/>
      <c r="B3510" s="345"/>
      <c r="C3510" s="405">
        <v>3111002</v>
      </c>
      <c r="D3510" s="345" t="s">
        <v>71</v>
      </c>
      <c r="E3510" s="406">
        <v>646090</v>
      </c>
      <c r="F3510" s="406"/>
      <c r="G3510" s="406"/>
      <c r="H3510" s="406"/>
      <c r="I3510" s="324">
        <f t="shared" si="2506"/>
        <v>646090</v>
      </c>
      <c r="J3510" s="406"/>
      <c r="K3510" s="406"/>
      <c r="L3510" s="317">
        <f t="shared" si="2494"/>
        <v>646090</v>
      </c>
      <c r="M3510" s="317"/>
      <c r="N3510" s="372">
        <f t="shared" si="2497"/>
        <v>0</v>
      </c>
      <c r="O3510" s="336">
        <f t="shared" si="2515"/>
        <v>710699</v>
      </c>
      <c r="P3510" s="319">
        <f t="shared" si="2511"/>
        <v>781768.9</v>
      </c>
      <c r="R3510" s="317"/>
      <c r="U3510" s="320"/>
    </row>
    <row r="3511" spans="1:21" s="344" customFormat="1" outlineLevel="2">
      <c r="A3511" s="345"/>
      <c r="B3511" s="345"/>
      <c r="C3511" s="405">
        <v>3111003</v>
      </c>
      <c r="D3511" s="345" t="s">
        <v>655</v>
      </c>
      <c r="E3511" s="406">
        <v>0</v>
      </c>
      <c r="F3511" s="406"/>
      <c r="G3511" s="406"/>
      <c r="H3511" s="406"/>
      <c r="I3511" s="324">
        <f t="shared" si="2506"/>
        <v>0</v>
      </c>
      <c r="J3511" s="406"/>
      <c r="K3511" s="406"/>
      <c r="L3511" s="317">
        <f t="shared" si="2494"/>
        <v>0</v>
      </c>
      <c r="M3511" s="317"/>
      <c r="N3511" s="372">
        <f t="shared" si="2497"/>
        <v>0</v>
      </c>
      <c r="O3511" s="336">
        <f t="shared" si="2515"/>
        <v>0</v>
      </c>
      <c r="P3511" s="319">
        <f t="shared" si="2511"/>
        <v>0</v>
      </c>
      <c r="R3511" s="317"/>
      <c r="U3511" s="320"/>
    </row>
    <row r="3512" spans="1:21" s="344" customFormat="1" outlineLevel="2">
      <c r="A3512" s="345"/>
      <c r="B3512" s="345"/>
      <c r="C3512" s="405">
        <v>3111005</v>
      </c>
      <c r="D3512" s="345" t="s">
        <v>68</v>
      </c>
      <c r="E3512" s="406">
        <v>0</v>
      </c>
      <c r="F3512" s="406"/>
      <c r="G3512" s="406"/>
      <c r="H3512" s="406"/>
      <c r="I3512" s="324">
        <f t="shared" si="2506"/>
        <v>0</v>
      </c>
      <c r="J3512" s="406"/>
      <c r="K3512" s="406"/>
      <c r="L3512" s="317">
        <f t="shared" si="2494"/>
        <v>0</v>
      </c>
      <c r="M3512" s="317"/>
      <c r="N3512" s="372">
        <f t="shared" si="2497"/>
        <v>0</v>
      </c>
      <c r="O3512" s="336">
        <f t="shared" si="2515"/>
        <v>0</v>
      </c>
      <c r="P3512" s="319">
        <f t="shared" si="2511"/>
        <v>0</v>
      </c>
      <c r="R3512" s="317"/>
      <c r="U3512" s="320"/>
    </row>
    <row r="3513" spans="1:21" s="344" customFormat="1" outlineLevel="1">
      <c r="A3513" s="345"/>
      <c r="B3513" s="345"/>
      <c r="C3513" s="314"/>
      <c r="D3513" s="447" t="s">
        <v>656</v>
      </c>
      <c r="E3513" s="438">
        <f>E3508+E3504+E3502+E3498+E3495+E3488+E3491+E3483+E3479+E3474+E3471</f>
        <v>13985354.997370809</v>
      </c>
      <c r="F3513" s="438">
        <f t="shared" ref="F3513:K3513" si="2521">F3508+F3504+F3502+F3498+F3495+F3488+F3491+F3483+F3479+F3474+F3471</f>
        <v>0</v>
      </c>
      <c r="G3513" s="438">
        <f t="shared" si="2521"/>
        <v>0</v>
      </c>
      <c r="H3513" s="438">
        <f t="shared" si="2521"/>
        <v>0</v>
      </c>
      <c r="I3513" s="438">
        <f t="shared" si="2521"/>
        <v>13985354.997370809</v>
      </c>
      <c r="J3513" s="438">
        <f t="shared" si="2521"/>
        <v>0</v>
      </c>
      <c r="K3513" s="438">
        <f t="shared" si="2521"/>
        <v>0</v>
      </c>
      <c r="L3513" s="317">
        <f t="shared" si="2494"/>
        <v>13985354.997370809</v>
      </c>
      <c r="M3513" s="317"/>
      <c r="N3513" s="372">
        <f t="shared" si="2497"/>
        <v>0</v>
      </c>
      <c r="O3513" s="438">
        <f t="shared" ref="O3513:P3513" si="2522">O3508+O3504+O3502+O3498+O3495+O3488+O3491+O3483+O3479+O3474+O3471</f>
        <v>15383890.497107891</v>
      </c>
      <c r="P3513" s="438">
        <f t="shared" si="2522"/>
        <v>16922279.546818681</v>
      </c>
      <c r="R3513" s="317"/>
      <c r="U3513" s="320"/>
    </row>
    <row r="3514" spans="1:21" s="344" customFormat="1" outlineLevel="1">
      <c r="A3514" s="345"/>
      <c r="B3514" s="345"/>
      <c r="C3514" s="332"/>
      <c r="D3514" s="338"/>
      <c r="E3514" s="389"/>
      <c r="F3514" s="397"/>
      <c r="G3514" s="397"/>
      <c r="H3514" s="397"/>
      <c r="I3514" s="324">
        <f t="shared" si="2506"/>
        <v>0</v>
      </c>
      <c r="J3514" s="397"/>
      <c r="K3514" s="397"/>
      <c r="L3514" s="317">
        <f t="shared" si="2494"/>
        <v>0</v>
      </c>
      <c r="M3514" s="317"/>
      <c r="N3514" s="372">
        <f t="shared" si="2497"/>
        <v>0</v>
      </c>
      <c r="O3514" s="336">
        <f t="shared" si="2515"/>
        <v>0</v>
      </c>
      <c r="P3514" s="319">
        <f t="shared" ref="P3514:P3532" si="2523">O3514*1.1</f>
        <v>0</v>
      </c>
      <c r="R3514" s="317"/>
      <c r="U3514" s="320"/>
    </row>
    <row r="3515" spans="1:21" s="344" customFormat="1" outlineLevel="1">
      <c r="A3515" s="345"/>
      <c r="B3515" s="345"/>
      <c r="C3515" s="340" t="s">
        <v>657</v>
      </c>
      <c r="D3515" s="338"/>
      <c r="E3515" s="397"/>
      <c r="F3515" s="397"/>
      <c r="G3515" s="397"/>
      <c r="H3515" s="397"/>
      <c r="I3515" s="324">
        <f t="shared" si="2506"/>
        <v>0</v>
      </c>
      <c r="J3515" s="397"/>
      <c r="K3515" s="397"/>
      <c r="L3515" s="317">
        <f t="shared" si="2494"/>
        <v>0</v>
      </c>
      <c r="M3515" s="317"/>
      <c r="N3515" s="372">
        <f t="shared" si="2497"/>
        <v>0</v>
      </c>
      <c r="O3515" s="336">
        <f t="shared" si="2515"/>
        <v>0</v>
      </c>
      <c r="P3515" s="319">
        <f t="shared" si="2523"/>
        <v>0</v>
      </c>
      <c r="R3515" s="317"/>
      <c r="U3515" s="320"/>
    </row>
    <row r="3516" spans="1:21" s="344" customFormat="1" outlineLevel="1">
      <c r="A3516" s="345"/>
      <c r="B3516" s="345"/>
      <c r="C3516" s="340" t="s">
        <v>658</v>
      </c>
      <c r="D3516" s="338"/>
      <c r="E3516" s="397"/>
      <c r="F3516" s="397"/>
      <c r="G3516" s="397"/>
      <c r="H3516" s="397"/>
      <c r="I3516" s="397"/>
      <c r="J3516" s="397"/>
      <c r="K3516" s="397"/>
      <c r="L3516" s="317">
        <f t="shared" si="2494"/>
        <v>0</v>
      </c>
      <c r="M3516" s="317"/>
      <c r="N3516" s="372">
        <f t="shared" si="2497"/>
        <v>0</v>
      </c>
      <c r="O3516" s="397"/>
      <c r="P3516" s="397"/>
      <c r="R3516" s="317"/>
      <c r="U3516" s="320"/>
    </row>
    <row r="3517" spans="1:21" s="344" customFormat="1" outlineLevel="2">
      <c r="A3517" s="345"/>
      <c r="B3517" s="345"/>
      <c r="C3517" s="328">
        <v>2210200</v>
      </c>
      <c r="D3517" s="326" t="s">
        <v>20</v>
      </c>
      <c r="E3517" s="461">
        <f>E3518</f>
        <v>332000</v>
      </c>
      <c r="F3517" s="461">
        <f t="shared" ref="F3517:P3517" si="2524">F3518</f>
        <v>0</v>
      </c>
      <c r="G3517" s="461">
        <f t="shared" si="2524"/>
        <v>0</v>
      </c>
      <c r="H3517" s="461">
        <f t="shared" si="2524"/>
        <v>0</v>
      </c>
      <c r="I3517" s="461">
        <f t="shared" si="2524"/>
        <v>332000</v>
      </c>
      <c r="J3517" s="461">
        <f t="shared" si="2524"/>
        <v>0</v>
      </c>
      <c r="K3517" s="461">
        <f t="shared" si="2524"/>
        <v>0</v>
      </c>
      <c r="L3517" s="317">
        <f t="shared" si="2494"/>
        <v>332000</v>
      </c>
      <c r="M3517" s="317"/>
      <c r="N3517" s="372">
        <f t="shared" si="2497"/>
        <v>0</v>
      </c>
      <c r="O3517" s="461">
        <f t="shared" si="2524"/>
        <v>365200.00000000006</v>
      </c>
      <c r="P3517" s="461">
        <f t="shared" si="2524"/>
        <v>401720.00000000012</v>
      </c>
      <c r="R3517" s="317"/>
      <c r="U3517" s="320"/>
    </row>
    <row r="3518" spans="1:21" s="344" customFormat="1" outlineLevel="2">
      <c r="A3518" s="345"/>
      <c r="B3518" s="345"/>
      <c r="C3518" s="405">
        <v>2210201</v>
      </c>
      <c r="D3518" s="345" t="s">
        <v>21</v>
      </c>
      <c r="E3518" s="406">
        <v>332000</v>
      </c>
      <c r="F3518" s="406"/>
      <c r="G3518" s="406"/>
      <c r="H3518" s="406"/>
      <c r="I3518" s="324">
        <f t="shared" si="2506"/>
        <v>332000</v>
      </c>
      <c r="J3518" s="406"/>
      <c r="K3518" s="406"/>
      <c r="L3518" s="317">
        <f t="shared" si="2494"/>
        <v>332000</v>
      </c>
      <c r="M3518" s="317"/>
      <c r="N3518" s="372">
        <f t="shared" si="2497"/>
        <v>0</v>
      </c>
      <c r="O3518" s="336">
        <f t="shared" si="2515"/>
        <v>365200.00000000006</v>
      </c>
      <c r="P3518" s="319">
        <f t="shared" si="2523"/>
        <v>401720.00000000012</v>
      </c>
      <c r="R3518" s="317"/>
      <c r="U3518" s="320"/>
    </row>
    <row r="3519" spans="1:21" s="344" customFormat="1" outlineLevel="2">
      <c r="A3519" s="345"/>
      <c r="B3519" s="345"/>
      <c r="C3519" s="328">
        <v>2210300</v>
      </c>
      <c r="D3519" s="326" t="s">
        <v>24</v>
      </c>
      <c r="E3519" s="461">
        <f>E3520+E3521+E3522</f>
        <v>1664000</v>
      </c>
      <c r="F3519" s="461">
        <f t="shared" ref="F3519:K3519" si="2525">F3520+F3521+F3522</f>
        <v>0</v>
      </c>
      <c r="G3519" s="461">
        <f t="shared" si="2525"/>
        <v>0</v>
      </c>
      <c r="H3519" s="461">
        <f t="shared" si="2525"/>
        <v>0</v>
      </c>
      <c r="I3519" s="461">
        <f t="shared" si="2525"/>
        <v>1664000</v>
      </c>
      <c r="J3519" s="461">
        <f t="shared" si="2525"/>
        <v>0</v>
      </c>
      <c r="K3519" s="461">
        <f t="shared" si="2525"/>
        <v>0</v>
      </c>
      <c r="L3519" s="317">
        <f t="shared" si="2494"/>
        <v>1664000</v>
      </c>
      <c r="M3519" s="317"/>
      <c r="N3519" s="372">
        <f t="shared" si="2497"/>
        <v>0</v>
      </c>
      <c r="O3519" s="461">
        <f t="shared" ref="O3519:P3519" si="2526">O3520+O3521+O3522</f>
        <v>1830400.0000000002</v>
      </c>
      <c r="P3519" s="461">
        <f t="shared" si="2526"/>
        <v>2013440.0000000005</v>
      </c>
      <c r="R3519" s="317"/>
      <c r="U3519" s="320"/>
    </row>
    <row r="3520" spans="1:21" s="344" customFormat="1" outlineLevel="2">
      <c r="A3520" s="345"/>
      <c r="B3520" s="345"/>
      <c r="C3520" s="405">
        <v>2210301</v>
      </c>
      <c r="D3520" s="345" t="s">
        <v>25</v>
      </c>
      <c r="E3520" s="406">
        <v>764000</v>
      </c>
      <c r="F3520" s="406"/>
      <c r="G3520" s="406"/>
      <c r="H3520" s="406"/>
      <c r="I3520" s="324">
        <f t="shared" si="2506"/>
        <v>764000</v>
      </c>
      <c r="J3520" s="406"/>
      <c r="K3520" s="406"/>
      <c r="L3520" s="317">
        <f t="shared" si="2494"/>
        <v>764000</v>
      </c>
      <c r="M3520" s="317"/>
      <c r="N3520" s="372">
        <f t="shared" si="2497"/>
        <v>0</v>
      </c>
      <c r="O3520" s="336">
        <f t="shared" si="2515"/>
        <v>840400.00000000012</v>
      </c>
      <c r="P3520" s="319">
        <f t="shared" si="2523"/>
        <v>924440.00000000023</v>
      </c>
      <c r="R3520" s="317"/>
      <c r="U3520" s="320"/>
    </row>
    <row r="3521" spans="1:21" s="344" customFormat="1" outlineLevel="2">
      <c r="A3521" s="345"/>
      <c r="B3521" s="345"/>
      <c r="C3521" s="405">
        <v>2210302</v>
      </c>
      <c r="D3521" s="345" t="s">
        <v>26</v>
      </c>
      <c r="E3521" s="406">
        <v>856000</v>
      </c>
      <c r="F3521" s="406"/>
      <c r="G3521" s="406"/>
      <c r="H3521" s="406"/>
      <c r="I3521" s="324">
        <f t="shared" si="2506"/>
        <v>856000</v>
      </c>
      <c r="J3521" s="406"/>
      <c r="K3521" s="406"/>
      <c r="L3521" s="317">
        <f t="shared" si="2494"/>
        <v>856000</v>
      </c>
      <c r="M3521" s="317"/>
      <c r="N3521" s="372">
        <f t="shared" si="2497"/>
        <v>0</v>
      </c>
      <c r="O3521" s="336">
        <f t="shared" si="2515"/>
        <v>941600.00000000012</v>
      </c>
      <c r="P3521" s="319">
        <f t="shared" si="2523"/>
        <v>1035760.0000000002</v>
      </c>
      <c r="R3521" s="317"/>
      <c r="U3521" s="320"/>
    </row>
    <row r="3522" spans="1:21" s="344" customFormat="1" outlineLevel="2">
      <c r="A3522" s="345"/>
      <c r="B3522" s="345"/>
      <c r="C3522" s="405">
        <v>2210303</v>
      </c>
      <c r="D3522" s="345" t="s">
        <v>27</v>
      </c>
      <c r="E3522" s="406">
        <f>1044000-1000000</f>
        <v>44000</v>
      </c>
      <c r="F3522" s="406"/>
      <c r="G3522" s="406"/>
      <c r="H3522" s="406"/>
      <c r="I3522" s="324">
        <f t="shared" si="2506"/>
        <v>44000</v>
      </c>
      <c r="J3522" s="406"/>
      <c r="K3522" s="406"/>
      <c r="L3522" s="317">
        <f t="shared" si="2494"/>
        <v>44000</v>
      </c>
      <c r="M3522" s="317"/>
      <c r="N3522" s="372">
        <f t="shared" si="2497"/>
        <v>0</v>
      </c>
      <c r="O3522" s="336">
        <f t="shared" si="2515"/>
        <v>48400.000000000007</v>
      </c>
      <c r="P3522" s="319">
        <f t="shared" si="2523"/>
        <v>53240.000000000015</v>
      </c>
      <c r="R3522" s="317"/>
      <c r="U3522" s="320"/>
    </row>
    <row r="3523" spans="1:21" s="344" customFormat="1" outlineLevel="2">
      <c r="A3523" s="345"/>
      <c r="B3523" s="345"/>
      <c r="C3523" s="328">
        <v>2210500</v>
      </c>
      <c r="D3523" s="326" t="s">
        <v>31</v>
      </c>
      <c r="E3523" s="461">
        <f>E3524</f>
        <v>667000</v>
      </c>
      <c r="F3523" s="461">
        <f t="shared" ref="F3523:P3523" si="2527">F3524</f>
        <v>0</v>
      </c>
      <c r="G3523" s="461">
        <f t="shared" si="2527"/>
        <v>0</v>
      </c>
      <c r="H3523" s="461">
        <f t="shared" si="2527"/>
        <v>0</v>
      </c>
      <c r="I3523" s="461">
        <f t="shared" si="2527"/>
        <v>667000</v>
      </c>
      <c r="J3523" s="461">
        <f t="shared" si="2527"/>
        <v>0</v>
      </c>
      <c r="K3523" s="461">
        <f t="shared" si="2527"/>
        <v>0</v>
      </c>
      <c r="L3523" s="317">
        <f t="shared" si="2494"/>
        <v>667000</v>
      </c>
      <c r="M3523" s="317"/>
      <c r="N3523" s="372">
        <f t="shared" si="2497"/>
        <v>0</v>
      </c>
      <c r="O3523" s="461">
        <f t="shared" si="2527"/>
        <v>733700.00000000012</v>
      </c>
      <c r="P3523" s="461">
        <f t="shared" si="2527"/>
        <v>807070.00000000023</v>
      </c>
      <c r="R3523" s="317"/>
      <c r="U3523" s="320"/>
    </row>
    <row r="3524" spans="1:21" s="344" customFormat="1" outlineLevel="2">
      <c r="A3524" s="345"/>
      <c r="B3524" s="345"/>
      <c r="C3524" s="405">
        <v>2210502</v>
      </c>
      <c r="D3524" s="345" t="s">
        <v>105</v>
      </c>
      <c r="E3524" s="406">
        <v>667000</v>
      </c>
      <c r="F3524" s="406"/>
      <c r="G3524" s="406"/>
      <c r="H3524" s="406"/>
      <c r="I3524" s="324">
        <f t="shared" si="2506"/>
        <v>667000</v>
      </c>
      <c r="J3524" s="406"/>
      <c r="K3524" s="406"/>
      <c r="L3524" s="317">
        <f t="shared" si="2494"/>
        <v>667000</v>
      </c>
      <c r="M3524" s="317"/>
      <c r="N3524" s="372">
        <f t="shared" si="2497"/>
        <v>0</v>
      </c>
      <c r="O3524" s="336">
        <f t="shared" si="2515"/>
        <v>733700.00000000012</v>
      </c>
      <c r="P3524" s="319">
        <f t="shared" si="2523"/>
        <v>807070.00000000023</v>
      </c>
      <c r="R3524" s="317"/>
      <c r="U3524" s="320"/>
    </row>
    <row r="3525" spans="1:21" s="344" customFormat="1" outlineLevel="2">
      <c r="A3525" s="345"/>
      <c r="B3525" s="345"/>
      <c r="C3525" s="328">
        <v>2210700</v>
      </c>
      <c r="D3525" s="326" t="s">
        <v>35</v>
      </c>
      <c r="E3525" s="461">
        <f>E3526+E3527+E3528</f>
        <v>1080000</v>
      </c>
      <c r="F3525" s="461">
        <f t="shared" ref="F3525:P3525" si="2528">F3526+F3527+F3528</f>
        <v>0</v>
      </c>
      <c r="G3525" s="461">
        <f t="shared" si="2528"/>
        <v>0</v>
      </c>
      <c r="H3525" s="461">
        <f t="shared" si="2528"/>
        <v>0</v>
      </c>
      <c r="I3525" s="461">
        <f t="shared" si="2528"/>
        <v>1080000</v>
      </c>
      <c r="J3525" s="461">
        <f t="shared" si="2528"/>
        <v>0</v>
      </c>
      <c r="K3525" s="461">
        <f t="shared" si="2528"/>
        <v>0</v>
      </c>
      <c r="L3525" s="317">
        <f t="shared" ref="L3525:L3588" si="2529">I3525+J3525+K3525</f>
        <v>1080000</v>
      </c>
      <c r="M3525" s="317"/>
      <c r="N3525" s="372">
        <f t="shared" si="2497"/>
        <v>0</v>
      </c>
      <c r="O3525" s="461">
        <f t="shared" si="2528"/>
        <v>1188000.0000000002</v>
      </c>
      <c r="P3525" s="461">
        <f t="shared" si="2528"/>
        <v>1306800.0000000005</v>
      </c>
      <c r="R3525" s="317"/>
      <c r="U3525" s="320"/>
    </row>
    <row r="3526" spans="1:21" s="344" customFormat="1" outlineLevel="2">
      <c r="A3526" s="345"/>
      <c r="B3526" s="345"/>
      <c r="C3526" s="405">
        <v>2210701</v>
      </c>
      <c r="D3526" s="345" t="s">
        <v>36</v>
      </c>
      <c r="E3526" s="406">
        <v>330000</v>
      </c>
      <c r="F3526" s="406"/>
      <c r="G3526" s="406"/>
      <c r="H3526" s="406"/>
      <c r="I3526" s="324">
        <f t="shared" si="2506"/>
        <v>330000</v>
      </c>
      <c r="J3526" s="406"/>
      <c r="K3526" s="406"/>
      <c r="L3526" s="317">
        <f t="shared" si="2529"/>
        <v>330000</v>
      </c>
      <c r="M3526" s="317"/>
      <c r="N3526" s="372">
        <f t="shared" si="2497"/>
        <v>0</v>
      </c>
      <c r="O3526" s="336">
        <f t="shared" si="2515"/>
        <v>363000.00000000006</v>
      </c>
      <c r="P3526" s="319">
        <f t="shared" si="2523"/>
        <v>399300.00000000012</v>
      </c>
      <c r="R3526" s="317"/>
      <c r="U3526" s="320"/>
    </row>
    <row r="3527" spans="1:21" s="344" customFormat="1" outlineLevel="2">
      <c r="A3527" s="345"/>
      <c r="B3527" s="345"/>
      <c r="C3527" s="405">
        <v>2210710</v>
      </c>
      <c r="D3527" s="345" t="s">
        <v>39</v>
      </c>
      <c r="E3527" s="406">
        <f>950000-200000</f>
        <v>750000</v>
      </c>
      <c r="F3527" s="406"/>
      <c r="G3527" s="406"/>
      <c r="H3527" s="406"/>
      <c r="I3527" s="324">
        <f t="shared" si="2506"/>
        <v>750000</v>
      </c>
      <c r="J3527" s="406"/>
      <c r="K3527" s="406"/>
      <c r="L3527" s="317">
        <f t="shared" si="2529"/>
        <v>750000</v>
      </c>
      <c r="M3527" s="317"/>
      <c r="N3527" s="372">
        <f t="shared" si="2497"/>
        <v>0</v>
      </c>
      <c r="O3527" s="336">
        <f t="shared" si="2515"/>
        <v>825000.00000000012</v>
      </c>
      <c r="P3527" s="319">
        <f t="shared" si="2523"/>
        <v>907500.00000000023</v>
      </c>
      <c r="R3527" s="317"/>
      <c r="U3527" s="320"/>
    </row>
    <row r="3528" spans="1:21" s="344" customFormat="1" outlineLevel="2">
      <c r="A3528" s="345"/>
      <c r="B3528" s="345"/>
      <c r="C3528" s="405">
        <v>2210711</v>
      </c>
      <c r="D3528" s="345" t="s">
        <v>281</v>
      </c>
      <c r="E3528" s="406">
        <v>0</v>
      </c>
      <c r="F3528" s="406"/>
      <c r="G3528" s="406"/>
      <c r="H3528" s="406"/>
      <c r="I3528" s="324">
        <f t="shared" si="2506"/>
        <v>0</v>
      </c>
      <c r="J3528" s="406"/>
      <c r="K3528" s="406"/>
      <c r="L3528" s="317">
        <f t="shared" si="2529"/>
        <v>0</v>
      </c>
      <c r="M3528" s="317"/>
      <c r="N3528" s="372">
        <f t="shared" si="2497"/>
        <v>0</v>
      </c>
      <c r="O3528" s="336">
        <f t="shared" si="2515"/>
        <v>0</v>
      </c>
      <c r="P3528" s="319">
        <f t="shared" si="2523"/>
        <v>0</v>
      </c>
      <c r="R3528" s="317"/>
      <c r="U3528" s="320"/>
    </row>
    <row r="3529" spans="1:21" s="344" customFormat="1" outlineLevel="2">
      <c r="A3529" s="345"/>
      <c r="B3529" s="345"/>
      <c r="C3529" s="328">
        <v>2211100</v>
      </c>
      <c r="D3529" s="326" t="s">
        <v>51</v>
      </c>
      <c r="E3529" s="461">
        <f>E3530+E3531+E3532</f>
        <v>1014908</v>
      </c>
      <c r="F3529" s="461">
        <f t="shared" ref="F3529:K3529" si="2530">F3530+F3531+F3532</f>
        <v>0</v>
      </c>
      <c r="G3529" s="461">
        <f t="shared" si="2530"/>
        <v>0</v>
      </c>
      <c r="H3529" s="461">
        <f t="shared" si="2530"/>
        <v>0</v>
      </c>
      <c r="I3529" s="461">
        <f t="shared" si="2530"/>
        <v>1014908</v>
      </c>
      <c r="J3529" s="461">
        <f t="shared" si="2530"/>
        <v>0</v>
      </c>
      <c r="K3529" s="461">
        <f t="shared" si="2530"/>
        <v>0</v>
      </c>
      <c r="L3529" s="317">
        <f t="shared" si="2529"/>
        <v>1014908</v>
      </c>
      <c r="M3529" s="317"/>
      <c r="N3529" s="372">
        <f t="shared" ref="N3529:N3592" si="2531">M3529-K3529</f>
        <v>0</v>
      </c>
      <c r="O3529" s="461">
        <f t="shared" ref="O3529:P3529" si="2532">O3530+O3531+O3532</f>
        <v>1116398.8</v>
      </c>
      <c r="P3529" s="461">
        <f t="shared" si="2532"/>
        <v>1228038.6800000002</v>
      </c>
      <c r="R3529" s="317"/>
      <c r="U3529" s="320"/>
    </row>
    <row r="3530" spans="1:21" s="344" customFormat="1" outlineLevel="2">
      <c r="A3530" s="345"/>
      <c r="B3530" s="345"/>
      <c r="C3530" s="405">
        <v>2211101</v>
      </c>
      <c r="D3530" s="345" t="s">
        <v>52</v>
      </c>
      <c r="E3530" s="406">
        <v>343308</v>
      </c>
      <c r="F3530" s="406"/>
      <c r="G3530" s="406"/>
      <c r="H3530" s="406"/>
      <c r="I3530" s="324">
        <f t="shared" si="2506"/>
        <v>343308</v>
      </c>
      <c r="J3530" s="406"/>
      <c r="K3530" s="406"/>
      <c r="L3530" s="317">
        <f t="shared" si="2529"/>
        <v>343308</v>
      </c>
      <c r="M3530" s="317"/>
      <c r="N3530" s="372">
        <f t="shared" si="2531"/>
        <v>0</v>
      </c>
      <c r="O3530" s="336">
        <f t="shared" si="2515"/>
        <v>377638.80000000005</v>
      </c>
      <c r="P3530" s="319">
        <f t="shared" si="2523"/>
        <v>415402.68000000011</v>
      </c>
      <c r="R3530" s="317"/>
      <c r="U3530" s="320"/>
    </row>
    <row r="3531" spans="1:21" s="344" customFormat="1" outlineLevel="2">
      <c r="A3531" s="345"/>
      <c r="B3531" s="345"/>
      <c r="C3531" s="405">
        <v>2211102</v>
      </c>
      <c r="D3531" s="345" t="s">
        <v>53</v>
      </c>
      <c r="E3531" s="406">
        <v>575000</v>
      </c>
      <c r="F3531" s="406"/>
      <c r="G3531" s="406"/>
      <c r="H3531" s="406"/>
      <c r="I3531" s="324">
        <f t="shared" si="2506"/>
        <v>575000</v>
      </c>
      <c r="J3531" s="406"/>
      <c r="K3531" s="406"/>
      <c r="L3531" s="317">
        <f t="shared" si="2529"/>
        <v>575000</v>
      </c>
      <c r="M3531" s="317"/>
      <c r="N3531" s="372">
        <f t="shared" si="2531"/>
        <v>0</v>
      </c>
      <c r="O3531" s="336">
        <f t="shared" si="2515"/>
        <v>632500</v>
      </c>
      <c r="P3531" s="319">
        <f t="shared" si="2523"/>
        <v>695750</v>
      </c>
      <c r="R3531" s="317"/>
      <c r="U3531" s="320"/>
    </row>
    <row r="3532" spans="1:21" s="344" customFormat="1" outlineLevel="2">
      <c r="A3532" s="345"/>
      <c r="B3532" s="345"/>
      <c r="C3532" s="405">
        <v>2211103</v>
      </c>
      <c r="D3532" s="345" t="s">
        <v>54</v>
      </c>
      <c r="E3532" s="406">
        <v>96600</v>
      </c>
      <c r="F3532" s="406"/>
      <c r="G3532" s="406"/>
      <c r="H3532" s="406"/>
      <c r="I3532" s="324">
        <f t="shared" si="2506"/>
        <v>96600</v>
      </c>
      <c r="J3532" s="406"/>
      <c r="K3532" s="406"/>
      <c r="L3532" s="317">
        <f t="shared" si="2529"/>
        <v>96600</v>
      </c>
      <c r="M3532" s="317"/>
      <c r="N3532" s="372">
        <f t="shared" si="2531"/>
        <v>0</v>
      </c>
      <c r="O3532" s="336">
        <f t="shared" si="2515"/>
        <v>106260.00000000001</v>
      </c>
      <c r="P3532" s="319">
        <f t="shared" si="2523"/>
        <v>116886.00000000003</v>
      </c>
      <c r="R3532" s="317"/>
      <c r="U3532" s="320"/>
    </row>
    <row r="3533" spans="1:21" s="344" customFormat="1" outlineLevel="2">
      <c r="A3533" s="345"/>
      <c r="B3533" s="345"/>
      <c r="C3533" s="328">
        <v>2211200</v>
      </c>
      <c r="D3533" s="326" t="s">
        <v>55</v>
      </c>
      <c r="E3533" s="461">
        <f>E3534</f>
        <v>966800</v>
      </c>
      <c r="F3533" s="461">
        <f t="shared" ref="F3533:K3533" si="2533">F3534</f>
        <v>0</v>
      </c>
      <c r="G3533" s="461">
        <f t="shared" si="2533"/>
        <v>0</v>
      </c>
      <c r="H3533" s="461">
        <f t="shared" si="2533"/>
        <v>0</v>
      </c>
      <c r="I3533" s="461">
        <f t="shared" si="2533"/>
        <v>966800</v>
      </c>
      <c r="J3533" s="461">
        <f t="shared" si="2533"/>
        <v>0</v>
      </c>
      <c r="K3533" s="461">
        <f t="shared" si="2533"/>
        <v>0</v>
      </c>
      <c r="L3533" s="317">
        <f t="shared" si="2529"/>
        <v>966800</v>
      </c>
      <c r="M3533" s="317"/>
      <c r="N3533" s="372">
        <f t="shared" si="2531"/>
        <v>0</v>
      </c>
      <c r="O3533" s="461">
        <f t="shared" ref="O3533:P3533" si="2534">O3534</f>
        <v>1063480</v>
      </c>
      <c r="P3533" s="461">
        <f t="shared" si="2534"/>
        <v>1169828</v>
      </c>
      <c r="R3533" s="317"/>
      <c r="U3533" s="320"/>
    </row>
    <row r="3534" spans="1:21" s="344" customFormat="1" outlineLevel="2">
      <c r="A3534" s="345"/>
      <c r="B3534" s="345"/>
      <c r="C3534" s="405">
        <v>2211201</v>
      </c>
      <c r="D3534" s="345" t="s">
        <v>56</v>
      </c>
      <c r="E3534" s="406">
        <v>966800</v>
      </c>
      <c r="F3534" s="406"/>
      <c r="G3534" s="406"/>
      <c r="H3534" s="406"/>
      <c r="I3534" s="324">
        <f t="shared" si="2506"/>
        <v>966800</v>
      </c>
      <c r="J3534" s="406"/>
      <c r="K3534" s="406"/>
      <c r="L3534" s="317">
        <f t="shared" si="2529"/>
        <v>966800</v>
      </c>
      <c r="M3534" s="317"/>
      <c r="N3534" s="372">
        <f t="shared" si="2531"/>
        <v>0</v>
      </c>
      <c r="O3534" s="336">
        <f t="shared" si="2515"/>
        <v>1063480</v>
      </c>
      <c r="P3534" s="319">
        <f t="shared" ref="P3534:P3538" si="2535">O3534*1.1</f>
        <v>1169828</v>
      </c>
      <c r="R3534" s="317"/>
      <c r="U3534" s="320"/>
    </row>
    <row r="3535" spans="1:21" s="344" customFormat="1" outlineLevel="2">
      <c r="A3535" s="345"/>
      <c r="B3535" s="345"/>
      <c r="C3535" s="328">
        <v>2211300</v>
      </c>
      <c r="D3535" s="326" t="s">
        <v>58</v>
      </c>
      <c r="E3535" s="461">
        <f>E3536</f>
        <v>556546</v>
      </c>
      <c r="F3535" s="461">
        <f t="shared" ref="F3535:I3535" si="2536">F3536</f>
        <v>0</v>
      </c>
      <c r="G3535" s="461">
        <f t="shared" si="2536"/>
        <v>0</v>
      </c>
      <c r="H3535" s="461">
        <f t="shared" si="2536"/>
        <v>0</v>
      </c>
      <c r="I3535" s="461">
        <f t="shared" si="2536"/>
        <v>556546</v>
      </c>
      <c r="J3535" s="461"/>
      <c r="K3535" s="461"/>
      <c r="L3535" s="317">
        <f t="shared" si="2529"/>
        <v>556546</v>
      </c>
      <c r="M3535" s="317"/>
      <c r="N3535" s="372">
        <f t="shared" si="2531"/>
        <v>0</v>
      </c>
      <c r="O3535" s="461">
        <f t="shared" ref="O3535:P3535" si="2537">O3536</f>
        <v>612200.60000000009</v>
      </c>
      <c r="P3535" s="461">
        <f t="shared" si="2537"/>
        <v>673420.66000000015</v>
      </c>
      <c r="R3535" s="317"/>
      <c r="U3535" s="320"/>
    </row>
    <row r="3536" spans="1:21" s="344" customFormat="1" outlineLevel="2">
      <c r="A3536" s="345"/>
      <c r="B3536" s="345"/>
      <c r="C3536" s="405">
        <v>2211306</v>
      </c>
      <c r="D3536" s="345" t="s">
        <v>58</v>
      </c>
      <c r="E3536" s="406">
        <v>556546</v>
      </c>
      <c r="F3536" s="406"/>
      <c r="G3536" s="406"/>
      <c r="H3536" s="406"/>
      <c r="I3536" s="324">
        <f t="shared" si="2506"/>
        <v>556546</v>
      </c>
      <c r="J3536" s="406"/>
      <c r="K3536" s="406"/>
      <c r="L3536" s="317">
        <f t="shared" si="2529"/>
        <v>556546</v>
      </c>
      <c r="M3536" s="317"/>
      <c r="N3536" s="372">
        <f t="shared" si="2531"/>
        <v>0</v>
      </c>
      <c r="O3536" s="336">
        <f t="shared" si="2515"/>
        <v>612200.60000000009</v>
      </c>
      <c r="P3536" s="319">
        <f t="shared" si="2535"/>
        <v>673420.66000000015</v>
      </c>
      <c r="R3536" s="317"/>
      <c r="U3536" s="320"/>
    </row>
    <row r="3537" spans="1:21" s="344" customFormat="1" outlineLevel="2">
      <c r="A3537" s="345"/>
      <c r="B3537" s="345"/>
      <c r="C3537" s="328">
        <v>3111000</v>
      </c>
      <c r="D3537" s="326" t="s">
        <v>69</v>
      </c>
      <c r="E3537" s="461">
        <f>E3538</f>
        <v>527674.19165683631</v>
      </c>
      <c r="F3537" s="461">
        <f t="shared" ref="F3537:K3537" si="2538">F3538</f>
        <v>0</v>
      </c>
      <c r="G3537" s="461">
        <f t="shared" si="2538"/>
        <v>0</v>
      </c>
      <c r="H3537" s="461">
        <f t="shared" si="2538"/>
        <v>0</v>
      </c>
      <c r="I3537" s="461">
        <f t="shared" si="2538"/>
        <v>527674.19165683631</v>
      </c>
      <c r="J3537" s="461">
        <f t="shared" si="2538"/>
        <v>0</v>
      </c>
      <c r="K3537" s="461">
        <f t="shared" si="2538"/>
        <v>0</v>
      </c>
      <c r="L3537" s="317">
        <f t="shared" si="2529"/>
        <v>527674.19165683631</v>
      </c>
      <c r="M3537" s="317"/>
      <c r="N3537" s="372">
        <f t="shared" si="2531"/>
        <v>0</v>
      </c>
      <c r="O3537" s="461">
        <f t="shared" ref="O3537:P3537" si="2539">O3538</f>
        <v>580441.61082251999</v>
      </c>
      <c r="P3537" s="461">
        <f t="shared" si="2539"/>
        <v>638485.77190477203</v>
      </c>
      <c r="R3537" s="317"/>
      <c r="U3537" s="320"/>
    </row>
    <row r="3538" spans="1:21" s="344" customFormat="1" outlineLevel="2">
      <c r="A3538" s="345"/>
      <c r="B3538" s="345"/>
      <c r="C3538" s="405">
        <v>3111001</v>
      </c>
      <c r="D3538" s="345" t="s">
        <v>70</v>
      </c>
      <c r="E3538" s="406">
        <v>527674.19165683631</v>
      </c>
      <c r="F3538" s="406"/>
      <c r="G3538" s="406"/>
      <c r="H3538" s="406"/>
      <c r="I3538" s="324">
        <f t="shared" si="2506"/>
        <v>527674.19165683631</v>
      </c>
      <c r="J3538" s="406"/>
      <c r="K3538" s="406"/>
      <c r="L3538" s="317">
        <f t="shared" si="2529"/>
        <v>527674.19165683631</v>
      </c>
      <c r="M3538" s="317"/>
      <c r="N3538" s="372">
        <f t="shared" si="2531"/>
        <v>0</v>
      </c>
      <c r="O3538" s="336">
        <f t="shared" si="2515"/>
        <v>580441.61082251999</v>
      </c>
      <c r="P3538" s="319">
        <f t="shared" si="2535"/>
        <v>638485.77190477203</v>
      </c>
      <c r="R3538" s="317"/>
      <c r="U3538" s="320"/>
    </row>
    <row r="3539" spans="1:21" s="344" customFormat="1" outlineLevel="1">
      <c r="A3539" s="345"/>
      <c r="B3539" s="345"/>
      <c r="C3539" s="332"/>
      <c r="D3539" s="447" t="s">
        <v>99</v>
      </c>
      <c r="E3539" s="438">
        <f>E3537+E3535+E3533+E3529+E3525+E3523+E3519+E3517</f>
        <v>6808928.1916568363</v>
      </c>
      <c r="F3539" s="438">
        <f t="shared" ref="F3539:P3539" si="2540">F3537+F3535+F3533+F3529+F3525+F3523+F3519+F3517</f>
        <v>0</v>
      </c>
      <c r="G3539" s="438">
        <f t="shared" si="2540"/>
        <v>0</v>
      </c>
      <c r="H3539" s="438">
        <f t="shared" si="2540"/>
        <v>0</v>
      </c>
      <c r="I3539" s="438">
        <f t="shared" si="2540"/>
        <v>6808928.1916568363</v>
      </c>
      <c r="J3539" s="438">
        <f t="shared" si="2540"/>
        <v>0</v>
      </c>
      <c r="K3539" s="438">
        <f t="shared" si="2540"/>
        <v>0</v>
      </c>
      <c r="L3539" s="317">
        <f t="shared" si="2529"/>
        <v>6808928.1916568363</v>
      </c>
      <c r="M3539" s="317"/>
      <c r="N3539" s="372">
        <f t="shared" si="2531"/>
        <v>0</v>
      </c>
      <c r="O3539" s="438">
        <f t="shared" si="2540"/>
        <v>7489821.0108225197</v>
      </c>
      <c r="P3539" s="438">
        <f t="shared" si="2540"/>
        <v>8238803.1119047739</v>
      </c>
      <c r="R3539" s="317"/>
      <c r="U3539" s="320"/>
    </row>
    <row r="3540" spans="1:21" s="344" customFormat="1" outlineLevel="1" collapsed="1">
      <c r="A3540" s="345"/>
      <c r="B3540" s="345"/>
      <c r="C3540" s="382"/>
      <c r="D3540" s="447" t="s">
        <v>84</v>
      </c>
      <c r="E3540" s="438">
        <f>E3539</f>
        <v>6808928.1916568363</v>
      </c>
      <c r="F3540" s="438">
        <f t="shared" ref="F3540:K3540" si="2541">F3539</f>
        <v>0</v>
      </c>
      <c r="G3540" s="438">
        <f t="shared" si="2541"/>
        <v>0</v>
      </c>
      <c r="H3540" s="438">
        <f t="shared" si="2541"/>
        <v>0</v>
      </c>
      <c r="I3540" s="438">
        <f t="shared" si="2541"/>
        <v>6808928.1916568363</v>
      </c>
      <c r="J3540" s="438">
        <f t="shared" si="2541"/>
        <v>0</v>
      </c>
      <c r="K3540" s="438">
        <f t="shared" si="2541"/>
        <v>0</v>
      </c>
      <c r="L3540" s="317">
        <f t="shared" si="2529"/>
        <v>6808928.1916568363</v>
      </c>
      <c r="M3540" s="317"/>
      <c r="N3540" s="372">
        <f t="shared" si="2531"/>
        <v>0</v>
      </c>
      <c r="O3540" s="438">
        <f t="shared" ref="O3540:P3540" si="2542">O3539</f>
        <v>7489821.0108225197</v>
      </c>
      <c r="P3540" s="438">
        <f t="shared" si="2542"/>
        <v>8238803.1119047739</v>
      </c>
      <c r="R3540" s="317"/>
      <c r="U3540" s="320"/>
    </row>
    <row r="3541" spans="1:21" s="344" customFormat="1" outlineLevel="1">
      <c r="A3541" s="345"/>
      <c r="B3541" s="345"/>
      <c r="C3541" s="405"/>
      <c r="D3541" s="447" t="s">
        <v>659</v>
      </c>
      <c r="E3541" s="438">
        <f>E3539+E3513+E3467+E3438</f>
        <v>61480902.37362764</v>
      </c>
      <c r="F3541" s="438">
        <f t="shared" ref="F3541:P3541" si="2543">F3539+F3513+F3467+F3438</f>
        <v>3000000</v>
      </c>
      <c r="G3541" s="438">
        <f t="shared" si="2543"/>
        <v>34599664</v>
      </c>
      <c r="H3541" s="438">
        <f t="shared" si="2543"/>
        <v>16600000</v>
      </c>
      <c r="I3541" s="438">
        <f t="shared" si="2543"/>
        <v>115680566.37362763</v>
      </c>
      <c r="J3541" s="438">
        <f t="shared" si="2543"/>
        <v>0</v>
      </c>
      <c r="K3541" s="438">
        <f t="shared" si="2543"/>
        <v>0</v>
      </c>
      <c r="L3541" s="317">
        <f t="shared" si="2529"/>
        <v>115680566.37362763</v>
      </c>
      <c r="M3541" s="317"/>
      <c r="N3541" s="372">
        <f t="shared" si="2531"/>
        <v>0</v>
      </c>
      <c r="O3541" s="438">
        <f t="shared" si="2543"/>
        <v>127248623.01099043</v>
      </c>
      <c r="P3541" s="438">
        <f t="shared" si="2543"/>
        <v>98107891.872089475</v>
      </c>
      <c r="R3541" s="317"/>
      <c r="U3541" s="320"/>
    </row>
    <row r="3542" spans="1:21" s="344" customFormat="1">
      <c r="A3542" s="345"/>
      <c r="B3542" s="345"/>
      <c r="C3542" s="382"/>
      <c r="D3542" s="447" t="s">
        <v>99</v>
      </c>
      <c r="E3542" s="438">
        <f t="shared" ref="E3542" si="2544">E3539+E3513+E3467+E3385+E3355+E3438+E3320+E3267</f>
        <v>373686139</v>
      </c>
      <c r="F3542" s="438">
        <f t="shared" ref="F3542:P3542" si="2545">F3539+F3513+F3467+F3385+F3355+F3438+F3320+F3267</f>
        <v>12381140.367190398</v>
      </c>
      <c r="G3542" s="438">
        <f t="shared" si="2545"/>
        <v>40986093</v>
      </c>
      <c r="H3542" s="438">
        <f t="shared" si="2545"/>
        <v>16600000</v>
      </c>
      <c r="I3542" s="438">
        <f t="shared" si="2545"/>
        <v>443653372.36719042</v>
      </c>
      <c r="J3542" s="438">
        <f t="shared" si="2545"/>
        <v>0</v>
      </c>
      <c r="K3542" s="438">
        <f t="shared" si="2545"/>
        <v>0</v>
      </c>
      <c r="L3542" s="438">
        <f t="shared" si="2545"/>
        <v>443653372.36719042</v>
      </c>
      <c r="M3542" s="438"/>
      <c r="N3542" s="372">
        <f t="shared" si="2531"/>
        <v>0</v>
      </c>
      <c r="O3542" s="438">
        <f t="shared" si="2545"/>
        <v>488018709.60390943</v>
      </c>
      <c r="P3542" s="438">
        <f t="shared" si="2545"/>
        <v>494954987.12430036</v>
      </c>
      <c r="R3542" s="438"/>
      <c r="U3542" s="1038"/>
    </row>
    <row r="3543" spans="1:21">
      <c r="A3543" s="345"/>
      <c r="B3543" s="345"/>
      <c r="C3543" s="382"/>
      <c r="D3543" s="447" t="s">
        <v>175</v>
      </c>
      <c r="E3543" s="438">
        <f>E3273+E3325</f>
        <v>63125000</v>
      </c>
      <c r="F3543" s="438">
        <f t="shared" ref="F3543:P3543" si="2546">F3273+F3325</f>
        <v>39666973.549999997</v>
      </c>
      <c r="G3543" s="438">
        <f t="shared" si="2546"/>
        <v>0</v>
      </c>
      <c r="H3543" s="438">
        <f t="shared" si="2546"/>
        <v>0</v>
      </c>
      <c r="I3543" s="438">
        <f t="shared" si="2546"/>
        <v>102791973.55</v>
      </c>
      <c r="J3543" s="438">
        <f t="shared" si="2546"/>
        <v>-8068675</v>
      </c>
      <c r="K3543" s="438">
        <f t="shared" si="2546"/>
        <v>0</v>
      </c>
      <c r="L3543" s="438">
        <f t="shared" si="2546"/>
        <v>94723298.549999997</v>
      </c>
      <c r="M3543" s="438"/>
      <c r="N3543" s="372">
        <f t="shared" si="2531"/>
        <v>0</v>
      </c>
      <c r="O3543" s="438">
        <f t="shared" si="2546"/>
        <v>104195628.405</v>
      </c>
      <c r="P3543" s="438">
        <f t="shared" si="2546"/>
        <v>114615191.24550001</v>
      </c>
      <c r="R3543" s="438"/>
      <c r="U3543" s="1038"/>
    </row>
    <row r="3544" spans="1:21">
      <c r="A3544" s="345"/>
      <c r="B3544" s="345"/>
      <c r="C3544" s="572" t="s">
        <v>1274</v>
      </c>
      <c r="D3544" s="573"/>
      <c r="E3544" s="438">
        <f>E3542+E3543</f>
        <v>436811139</v>
      </c>
      <c r="F3544" s="438">
        <f t="shared" ref="F3544:P3544" si="2547">F3542+F3543</f>
        <v>52048113.917190395</v>
      </c>
      <c r="G3544" s="438">
        <f t="shared" si="2547"/>
        <v>40986093</v>
      </c>
      <c r="H3544" s="438">
        <f t="shared" si="2547"/>
        <v>16600000</v>
      </c>
      <c r="I3544" s="438">
        <f t="shared" si="2547"/>
        <v>546445345.91719043</v>
      </c>
      <c r="J3544" s="438">
        <f t="shared" si="2547"/>
        <v>-8068675</v>
      </c>
      <c r="K3544" s="438">
        <f t="shared" si="2547"/>
        <v>0</v>
      </c>
      <c r="L3544" s="438">
        <f t="shared" si="2547"/>
        <v>538376670.91719043</v>
      </c>
      <c r="M3544" s="438"/>
      <c r="N3544" s="372">
        <f t="shared" si="2531"/>
        <v>0</v>
      </c>
      <c r="O3544" s="438">
        <f t="shared" si="2547"/>
        <v>592214338.00890946</v>
      </c>
      <c r="P3544" s="438">
        <f t="shared" si="2547"/>
        <v>609570178.36980033</v>
      </c>
      <c r="R3544" s="438"/>
      <c r="U3544" s="1038" t="s">
        <v>1803</v>
      </c>
    </row>
    <row r="3545" spans="1:21" s="344" customFormat="1">
      <c r="A3545" s="897"/>
      <c r="B3545" s="897"/>
      <c r="C3545" s="332"/>
      <c r="D3545" s="330"/>
      <c r="E3545" s="422"/>
      <c r="F3545" s="389"/>
      <c r="G3545" s="389"/>
      <c r="H3545" s="389"/>
      <c r="I3545" s="324">
        <f t="shared" ref="I3545:I3605" si="2548">E3545+F3545+G3545+H3545</f>
        <v>0</v>
      </c>
      <c r="J3545" s="389"/>
      <c r="K3545" s="389"/>
      <c r="L3545" s="317"/>
      <c r="M3545" s="317"/>
      <c r="N3545" s="372">
        <f t="shared" si="2531"/>
        <v>0</v>
      </c>
      <c r="O3545" s="336">
        <f t="shared" si="2515"/>
        <v>0</v>
      </c>
      <c r="P3545" s="319"/>
      <c r="R3545" s="317"/>
      <c r="U3545" s="320"/>
    </row>
    <row r="3546" spans="1:21" s="344" customFormat="1">
      <c r="A3546" s="897"/>
      <c r="B3546" s="897"/>
      <c r="C3546" s="332"/>
      <c r="D3546" s="330"/>
      <c r="E3546" s="422"/>
      <c r="F3546" s="389"/>
      <c r="G3546" s="389"/>
      <c r="H3546" s="389"/>
      <c r="I3546" s="324">
        <f t="shared" si="2548"/>
        <v>0</v>
      </c>
      <c r="J3546" s="389"/>
      <c r="K3546" s="389"/>
      <c r="L3546" s="317"/>
      <c r="M3546" s="317"/>
      <c r="N3546" s="372">
        <f t="shared" si="2531"/>
        <v>0</v>
      </c>
      <c r="O3546" s="336">
        <f t="shared" si="2515"/>
        <v>0</v>
      </c>
      <c r="P3546" s="319"/>
      <c r="R3546" s="317"/>
      <c r="U3546" s="320"/>
    </row>
    <row r="3547" spans="1:21" s="344" customFormat="1">
      <c r="A3547" s="345"/>
      <c r="B3547" s="345"/>
      <c r="C3547" s="314" t="s">
        <v>660</v>
      </c>
      <c r="D3547" s="447"/>
      <c r="E3547" s="782"/>
      <c r="F3547" s="438"/>
      <c r="G3547" s="438"/>
      <c r="H3547" s="438"/>
      <c r="I3547" s="324">
        <f t="shared" si="2548"/>
        <v>0</v>
      </c>
      <c r="J3547" s="438"/>
      <c r="K3547" s="438"/>
      <c r="L3547" s="317"/>
      <c r="M3547" s="317"/>
      <c r="N3547" s="372">
        <f t="shared" si="2531"/>
        <v>0</v>
      </c>
      <c r="O3547" s="336">
        <f t="shared" si="2515"/>
        <v>0</v>
      </c>
      <c r="P3547" s="319"/>
      <c r="R3547" s="317"/>
      <c r="U3547" s="320" t="s">
        <v>1803</v>
      </c>
    </row>
    <row r="3548" spans="1:21" s="344" customFormat="1" outlineLevel="1">
      <c r="A3548" s="345"/>
      <c r="B3548" s="345"/>
      <c r="C3548" s="328" t="s">
        <v>661</v>
      </c>
      <c r="D3548" s="1058"/>
      <c r="E3548" s="910"/>
      <c r="F3548" s="1059"/>
      <c r="G3548" s="1059"/>
      <c r="H3548" s="1059"/>
      <c r="I3548" s="324">
        <f t="shared" si="2548"/>
        <v>0</v>
      </c>
      <c r="J3548" s="1059"/>
      <c r="K3548" s="1059"/>
      <c r="L3548" s="317">
        <f t="shared" si="2529"/>
        <v>0</v>
      </c>
      <c r="M3548" s="317"/>
      <c r="N3548" s="372">
        <f t="shared" si="2531"/>
        <v>0</v>
      </c>
      <c r="O3548" s="336">
        <f t="shared" si="2515"/>
        <v>0</v>
      </c>
      <c r="P3548" s="319">
        <f t="shared" ref="P3548:P3569" si="2549">O3548*1.1</f>
        <v>0</v>
      </c>
      <c r="R3548" s="317"/>
      <c r="U3548" s="320"/>
    </row>
    <row r="3549" spans="1:21" s="344" customFormat="1" outlineLevel="1">
      <c r="A3549" s="345"/>
      <c r="B3549" s="345"/>
      <c r="C3549" s="328" t="s">
        <v>662</v>
      </c>
      <c r="D3549" s="1058"/>
      <c r="E3549" s="910"/>
      <c r="F3549" s="1059"/>
      <c r="G3549" s="1059"/>
      <c r="H3549" s="1059"/>
      <c r="I3549" s="324">
        <f t="shared" si="2548"/>
        <v>0</v>
      </c>
      <c r="J3549" s="1059"/>
      <c r="K3549" s="1059"/>
      <c r="L3549" s="317">
        <f t="shared" si="2529"/>
        <v>0</v>
      </c>
      <c r="M3549" s="317"/>
      <c r="N3549" s="372">
        <f t="shared" si="2531"/>
        <v>0</v>
      </c>
      <c r="O3549" s="336">
        <f t="shared" si="2515"/>
        <v>0</v>
      </c>
      <c r="P3549" s="319">
        <f t="shared" si="2549"/>
        <v>0</v>
      </c>
      <c r="R3549" s="317"/>
      <c r="U3549" s="320"/>
    </row>
    <row r="3550" spans="1:21" s="344" customFormat="1" outlineLevel="2">
      <c r="A3550" s="345"/>
      <c r="B3550" s="345"/>
      <c r="C3550" s="339">
        <v>2110100</v>
      </c>
      <c r="D3550" s="338" t="s">
        <v>13</v>
      </c>
      <c r="E3550" s="789">
        <f>E3551</f>
        <v>29665152.04831427</v>
      </c>
      <c r="F3550" s="789">
        <f t="shared" ref="F3550:P3550" si="2550">F3551</f>
        <v>0</v>
      </c>
      <c r="G3550" s="789">
        <f t="shared" si="2550"/>
        <v>0</v>
      </c>
      <c r="H3550" s="789">
        <f t="shared" si="2550"/>
        <v>0</v>
      </c>
      <c r="I3550" s="789">
        <f t="shared" si="2550"/>
        <v>29665152.04831427</v>
      </c>
      <c r="J3550" s="789">
        <f t="shared" si="2550"/>
        <v>0</v>
      </c>
      <c r="K3550" s="789">
        <f t="shared" si="2550"/>
        <v>0</v>
      </c>
      <c r="L3550" s="317">
        <f t="shared" si="2529"/>
        <v>29665152.04831427</v>
      </c>
      <c r="M3550" s="317"/>
      <c r="N3550" s="372">
        <f t="shared" si="2531"/>
        <v>0</v>
      </c>
      <c r="O3550" s="789">
        <f t="shared" si="2550"/>
        <v>32631667.253145698</v>
      </c>
      <c r="P3550" s="789">
        <f t="shared" si="2550"/>
        <v>35894833.978460275</v>
      </c>
      <c r="R3550" s="317"/>
      <c r="U3550" s="320"/>
    </row>
    <row r="3551" spans="1:21" s="344" customFormat="1" outlineLevel="2">
      <c r="A3551" s="345"/>
      <c r="B3551" s="345"/>
      <c r="C3551" s="331">
        <v>2110101</v>
      </c>
      <c r="D3551" s="330" t="s">
        <v>14</v>
      </c>
      <c r="E3551" s="1060">
        <v>29665152.04831427</v>
      </c>
      <c r="F3551" s="389"/>
      <c r="G3551" s="389"/>
      <c r="H3551" s="389"/>
      <c r="I3551" s="324">
        <f t="shared" si="2548"/>
        <v>29665152.04831427</v>
      </c>
      <c r="J3551" s="389"/>
      <c r="K3551" s="389"/>
      <c r="L3551" s="317">
        <f t="shared" si="2529"/>
        <v>29665152.04831427</v>
      </c>
      <c r="M3551" s="317"/>
      <c r="N3551" s="372">
        <f t="shared" si="2531"/>
        <v>0</v>
      </c>
      <c r="O3551" s="336">
        <f t="shared" si="2515"/>
        <v>32631667.253145698</v>
      </c>
      <c r="P3551" s="319">
        <f t="shared" si="2549"/>
        <v>35894833.978460275</v>
      </c>
      <c r="R3551" s="317"/>
      <c r="U3551" s="320"/>
    </row>
    <row r="3552" spans="1:21" s="344" customFormat="1" outlineLevel="2">
      <c r="A3552" s="345"/>
      <c r="B3552" s="345"/>
      <c r="C3552" s="339">
        <v>2210100</v>
      </c>
      <c r="D3552" s="340" t="s">
        <v>16</v>
      </c>
      <c r="E3552" s="789">
        <f>SUM(E3553:E3554)</f>
        <v>310000</v>
      </c>
      <c r="F3552" s="789">
        <f t="shared" ref="F3552:K3552" si="2551">SUM(F3553:F3554)</f>
        <v>0</v>
      </c>
      <c r="G3552" s="789">
        <f t="shared" si="2551"/>
        <v>0</v>
      </c>
      <c r="H3552" s="789">
        <f t="shared" si="2551"/>
        <v>0</v>
      </c>
      <c r="I3552" s="789">
        <f t="shared" si="2551"/>
        <v>310000</v>
      </c>
      <c r="J3552" s="789">
        <f t="shared" si="2551"/>
        <v>0</v>
      </c>
      <c r="K3552" s="789">
        <f t="shared" si="2551"/>
        <v>-100000</v>
      </c>
      <c r="L3552" s="317">
        <f t="shared" si="2529"/>
        <v>210000</v>
      </c>
      <c r="M3552" s="317"/>
      <c r="N3552" s="372">
        <f t="shared" si="2531"/>
        <v>100000</v>
      </c>
      <c r="O3552" s="789">
        <f t="shared" ref="O3552:P3552" si="2552">SUM(O3553:O3554)</f>
        <v>231000</v>
      </c>
      <c r="P3552" s="789">
        <f t="shared" si="2552"/>
        <v>254100</v>
      </c>
      <c r="R3552" s="317"/>
      <c r="U3552" s="320"/>
    </row>
    <row r="3553" spans="1:21" s="344" customFormat="1" outlineLevel="2">
      <c r="A3553" s="345"/>
      <c r="B3553" s="345"/>
      <c r="C3553" s="331">
        <v>2210101</v>
      </c>
      <c r="D3553" s="332" t="s">
        <v>17</v>
      </c>
      <c r="E3553" s="1060">
        <v>230000</v>
      </c>
      <c r="F3553" s="334"/>
      <c r="G3553" s="334"/>
      <c r="H3553" s="334"/>
      <c r="I3553" s="324">
        <f t="shared" si="2548"/>
        <v>230000</v>
      </c>
      <c r="J3553" s="334"/>
      <c r="K3553" s="334">
        <v>-100000</v>
      </c>
      <c r="L3553" s="317">
        <f t="shared" si="2529"/>
        <v>130000</v>
      </c>
      <c r="M3553" s="317"/>
      <c r="N3553" s="372">
        <f t="shared" si="2531"/>
        <v>100000</v>
      </c>
      <c r="O3553" s="336">
        <f t="shared" si="2515"/>
        <v>143000</v>
      </c>
      <c r="P3553" s="319">
        <f t="shared" si="2549"/>
        <v>157300</v>
      </c>
      <c r="R3553" s="317"/>
      <c r="U3553" s="320"/>
    </row>
    <row r="3554" spans="1:21" s="344" customFormat="1" outlineLevel="2">
      <c r="A3554" s="345"/>
      <c r="B3554" s="345"/>
      <c r="C3554" s="331">
        <v>2210102</v>
      </c>
      <c r="D3554" s="332" t="s">
        <v>18</v>
      </c>
      <c r="E3554" s="1060">
        <v>80000</v>
      </c>
      <c r="F3554" s="334"/>
      <c r="G3554" s="334"/>
      <c r="H3554" s="334"/>
      <c r="I3554" s="324">
        <f t="shared" si="2548"/>
        <v>80000</v>
      </c>
      <c r="J3554" s="334"/>
      <c r="K3554" s="334"/>
      <c r="L3554" s="317">
        <f t="shared" si="2529"/>
        <v>80000</v>
      </c>
      <c r="M3554" s="317"/>
      <c r="N3554" s="372">
        <f t="shared" si="2531"/>
        <v>0</v>
      </c>
      <c r="O3554" s="336">
        <f t="shared" si="2515"/>
        <v>88000</v>
      </c>
      <c r="P3554" s="319">
        <f t="shared" si="2549"/>
        <v>96800.000000000015</v>
      </c>
      <c r="R3554" s="317"/>
      <c r="U3554" s="320"/>
    </row>
    <row r="3555" spans="1:21" s="350" customFormat="1" outlineLevel="2">
      <c r="A3555" s="345"/>
      <c r="B3555" s="345"/>
      <c r="C3555" s="339">
        <v>2210200</v>
      </c>
      <c r="D3555" s="338" t="s">
        <v>20</v>
      </c>
      <c r="E3555" s="789">
        <f>SUM(E3556:E3558)</f>
        <v>650000</v>
      </c>
      <c r="F3555" s="789">
        <f t="shared" ref="F3555:P3555" si="2553">SUM(F3556:F3558)</f>
        <v>0</v>
      </c>
      <c r="G3555" s="789">
        <f t="shared" si="2553"/>
        <v>0</v>
      </c>
      <c r="H3555" s="789">
        <f t="shared" si="2553"/>
        <v>0</v>
      </c>
      <c r="I3555" s="789">
        <f t="shared" si="2553"/>
        <v>650000</v>
      </c>
      <c r="J3555" s="789">
        <f t="shared" si="2553"/>
        <v>0</v>
      </c>
      <c r="K3555" s="789">
        <f t="shared" si="2553"/>
        <v>-67400</v>
      </c>
      <c r="L3555" s="317">
        <f t="shared" si="2529"/>
        <v>582600</v>
      </c>
      <c r="M3555" s="317"/>
      <c r="N3555" s="372">
        <f t="shared" si="2531"/>
        <v>67400</v>
      </c>
      <c r="O3555" s="789">
        <f t="shared" si="2553"/>
        <v>640860</v>
      </c>
      <c r="P3555" s="789">
        <f t="shared" si="2553"/>
        <v>704946</v>
      </c>
      <c r="R3555" s="317"/>
      <c r="U3555" s="320"/>
    </row>
    <row r="3556" spans="1:21" s="344" customFormat="1" outlineLevel="2">
      <c r="A3556" s="345"/>
      <c r="B3556" s="345"/>
      <c r="C3556" s="331">
        <v>2210201</v>
      </c>
      <c r="D3556" s="330" t="s">
        <v>21</v>
      </c>
      <c r="E3556" s="1060">
        <v>550000</v>
      </c>
      <c r="F3556" s="389"/>
      <c r="G3556" s="389"/>
      <c r="H3556" s="389"/>
      <c r="I3556" s="324">
        <f t="shared" si="2548"/>
        <v>550000</v>
      </c>
      <c r="J3556" s="389"/>
      <c r="K3556" s="389">
        <v>-10000</v>
      </c>
      <c r="L3556" s="317">
        <f t="shared" si="2529"/>
        <v>540000</v>
      </c>
      <c r="M3556" s="317"/>
      <c r="N3556" s="372">
        <f t="shared" si="2531"/>
        <v>10000</v>
      </c>
      <c r="O3556" s="336">
        <f t="shared" si="2515"/>
        <v>594000</v>
      </c>
      <c r="P3556" s="319">
        <f t="shared" si="2549"/>
        <v>653400</v>
      </c>
      <c r="R3556" s="317"/>
      <c r="U3556" s="320"/>
    </row>
    <row r="3557" spans="1:21" s="344" customFormat="1" outlineLevel="2">
      <c r="A3557" s="356"/>
      <c r="B3557" s="356"/>
      <c r="C3557" s="1061">
        <v>2210202</v>
      </c>
      <c r="D3557" s="356" t="s">
        <v>22</v>
      </c>
      <c r="E3557" s="1060">
        <v>50000</v>
      </c>
      <c r="F3557" s="972"/>
      <c r="G3557" s="972"/>
      <c r="H3557" s="972"/>
      <c r="I3557" s="324">
        <f t="shared" si="2548"/>
        <v>50000</v>
      </c>
      <c r="J3557" s="972"/>
      <c r="K3557" s="389">
        <v>-7400</v>
      </c>
      <c r="L3557" s="317">
        <f t="shared" si="2529"/>
        <v>42600</v>
      </c>
      <c r="M3557" s="317"/>
      <c r="N3557" s="372">
        <f t="shared" si="2531"/>
        <v>7400</v>
      </c>
      <c r="O3557" s="336">
        <f t="shared" si="2515"/>
        <v>46860.000000000007</v>
      </c>
      <c r="P3557" s="319">
        <f t="shared" si="2549"/>
        <v>51546.000000000015</v>
      </c>
      <c r="R3557" s="317"/>
      <c r="U3557" s="320"/>
    </row>
    <row r="3558" spans="1:21" s="344" customFormat="1" outlineLevel="2">
      <c r="A3558" s="345"/>
      <c r="B3558" s="345"/>
      <c r="C3558" s="331">
        <v>2210203</v>
      </c>
      <c r="D3558" s="330" t="s">
        <v>23</v>
      </c>
      <c r="E3558" s="1060">
        <v>50000</v>
      </c>
      <c r="F3558" s="389"/>
      <c r="G3558" s="389"/>
      <c r="H3558" s="389"/>
      <c r="I3558" s="324">
        <f t="shared" si="2548"/>
        <v>50000</v>
      </c>
      <c r="J3558" s="389"/>
      <c r="K3558" s="389">
        <v>-50000</v>
      </c>
      <c r="L3558" s="317">
        <f t="shared" si="2529"/>
        <v>0</v>
      </c>
      <c r="M3558" s="317"/>
      <c r="N3558" s="372">
        <f t="shared" si="2531"/>
        <v>50000</v>
      </c>
      <c r="O3558" s="336">
        <f t="shared" si="2515"/>
        <v>0</v>
      </c>
      <c r="P3558" s="319">
        <f t="shared" si="2549"/>
        <v>0</v>
      </c>
      <c r="R3558" s="317"/>
      <c r="U3558" s="320"/>
    </row>
    <row r="3559" spans="1:21" s="350" customFormat="1" outlineLevel="2">
      <c r="A3559" s="345"/>
      <c r="B3559" s="345"/>
      <c r="C3559" s="339">
        <v>2210300</v>
      </c>
      <c r="D3559" s="338" t="s">
        <v>24</v>
      </c>
      <c r="E3559" s="789">
        <f>SUM(E3560:E3562)</f>
        <v>2750000</v>
      </c>
      <c r="F3559" s="789">
        <f t="shared" ref="F3559:K3559" si="2554">SUM(F3560:F3562)</f>
        <v>0</v>
      </c>
      <c r="G3559" s="789">
        <f t="shared" si="2554"/>
        <v>0</v>
      </c>
      <c r="H3559" s="789">
        <f t="shared" si="2554"/>
        <v>0</v>
      </c>
      <c r="I3559" s="789">
        <f t="shared" si="2554"/>
        <v>2750000</v>
      </c>
      <c r="J3559" s="789">
        <f t="shared" si="2554"/>
        <v>0</v>
      </c>
      <c r="K3559" s="789">
        <f t="shared" si="2554"/>
        <v>0</v>
      </c>
      <c r="L3559" s="317">
        <f t="shared" si="2529"/>
        <v>2750000</v>
      </c>
      <c r="M3559" s="317"/>
      <c r="N3559" s="372">
        <f t="shared" si="2531"/>
        <v>0</v>
      </c>
      <c r="O3559" s="789">
        <f t="shared" ref="O3559:P3559" si="2555">SUM(O3560:O3562)</f>
        <v>3025000</v>
      </c>
      <c r="P3559" s="789">
        <f t="shared" si="2555"/>
        <v>3327500.0000000005</v>
      </c>
      <c r="R3559" s="317"/>
      <c r="U3559" s="320"/>
    </row>
    <row r="3560" spans="1:21" s="344" customFormat="1" outlineLevel="2">
      <c r="A3560" s="345"/>
      <c r="B3560" s="345"/>
      <c r="C3560" s="331">
        <v>2210301</v>
      </c>
      <c r="D3560" s="330" t="s">
        <v>25</v>
      </c>
      <c r="E3560" s="1060">
        <v>900000</v>
      </c>
      <c r="F3560" s="389"/>
      <c r="G3560" s="389"/>
      <c r="H3560" s="389"/>
      <c r="I3560" s="324">
        <f t="shared" si="2548"/>
        <v>900000</v>
      </c>
      <c r="J3560" s="389"/>
      <c r="K3560" s="389">
        <v>0</v>
      </c>
      <c r="L3560" s="317">
        <f t="shared" si="2529"/>
        <v>900000</v>
      </c>
      <c r="M3560" s="317"/>
      <c r="N3560" s="372">
        <f t="shared" si="2531"/>
        <v>0</v>
      </c>
      <c r="O3560" s="336">
        <f t="shared" si="2515"/>
        <v>990000.00000000012</v>
      </c>
      <c r="P3560" s="319">
        <f t="shared" si="2549"/>
        <v>1089000.0000000002</v>
      </c>
      <c r="R3560" s="317"/>
      <c r="U3560" s="320"/>
    </row>
    <row r="3561" spans="1:21" s="344" customFormat="1" outlineLevel="2">
      <c r="A3561" s="356"/>
      <c r="B3561" s="356"/>
      <c r="C3561" s="1061">
        <v>2210302</v>
      </c>
      <c r="D3561" s="356" t="s">
        <v>26</v>
      </c>
      <c r="E3561" s="1060">
        <v>750000</v>
      </c>
      <c r="F3561" s="972"/>
      <c r="G3561" s="972"/>
      <c r="H3561" s="972"/>
      <c r="I3561" s="324">
        <f t="shared" si="2548"/>
        <v>750000</v>
      </c>
      <c r="J3561" s="972"/>
      <c r="K3561" s="389">
        <v>0</v>
      </c>
      <c r="L3561" s="317">
        <f t="shared" si="2529"/>
        <v>750000</v>
      </c>
      <c r="M3561" s="317"/>
      <c r="N3561" s="372">
        <f t="shared" si="2531"/>
        <v>0</v>
      </c>
      <c r="O3561" s="336">
        <f t="shared" si="2515"/>
        <v>825000.00000000012</v>
      </c>
      <c r="P3561" s="319">
        <f t="shared" si="2549"/>
        <v>907500.00000000023</v>
      </c>
      <c r="R3561" s="317"/>
      <c r="U3561" s="320"/>
    </row>
    <row r="3562" spans="1:21" s="350" customFormat="1" outlineLevel="2">
      <c r="A3562" s="345"/>
      <c r="B3562" s="345"/>
      <c r="C3562" s="331">
        <v>2210303</v>
      </c>
      <c r="D3562" s="330" t="s">
        <v>27</v>
      </c>
      <c r="E3562" s="1060">
        <v>1100000</v>
      </c>
      <c r="F3562" s="389"/>
      <c r="G3562" s="389"/>
      <c r="H3562" s="389"/>
      <c r="I3562" s="324">
        <f t="shared" si="2548"/>
        <v>1100000</v>
      </c>
      <c r="J3562" s="389"/>
      <c r="K3562" s="389"/>
      <c r="L3562" s="317">
        <f t="shared" si="2529"/>
        <v>1100000</v>
      </c>
      <c r="M3562" s="317"/>
      <c r="N3562" s="372">
        <f t="shared" si="2531"/>
        <v>0</v>
      </c>
      <c r="O3562" s="336">
        <f t="shared" si="2515"/>
        <v>1210000</v>
      </c>
      <c r="P3562" s="319">
        <f t="shared" si="2549"/>
        <v>1331000</v>
      </c>
      <c r="R3562" s="317"/>
      <c r="U3562" s="320"/>
    </row>
    <row r="3563" spans="1:21" s="344" customFormat="1" outlineLevel="2">
      <c r="A3563" s="345"/>
      <c r="B3563" s="345"/>
      <c r="C3563" s="339" t="s">
        <v>663</v>
      </c>
      <c r="D3563" s="338" t="s">
        <v>664</v>
      </c>
      <c r="E3563" s="1062">
        <f>E3566+E3565+E3564</f>
        <v>3900000</v>
      </c>
      <c r="F3563" s="1062">
        <f t="shared" ref="F3563:P3563" si="2556">F3566+F3565+F3564</f>
        <v>0</v>
      </c>
      <c r="G3563" s="1062">
        <f t="shared" si="2556"/>
        <v>0</v>
      </c>
      <c r="H3563" s="1062">
        <f t="shared" si="2556"/>
        <v>0</v>
      </c>
      <c r="I3563" s="1062">
        <f t="shared" si="2556"/>
        <v>3900000</v>
      </c>
      <c r="J3563" s="1062">
        <f t="shared" si="2556"/>
        <v>-2888594</v>
      </c>
      <c r="K3563" s="1062">
        <f t="shared" si="2556"/>
        <v>-1011406</v>
      </c>
      <c r="L3563" s="317">
        <f t="shared" si="2529"/>
        <v>0</v>
      </c>
      <c r="M3563" s="317"/>
      <c r="N3563" s="372">
        <f t="shared" si="2531"/>
        <v>1011406</v>
      </c>
      <c r="O3563" s="1062">
        <f t="shared" si="2556"/>
        <v>0</v>
      </c>
      <c r="P3563" s="1062">
        <f t="shared" si="2556"/>
        <v>0</v>
      </c>
      <c r="R3563" s="317"/>
      <c r="U3563" s="320"/>
    </row>
    <row r="3564" spans="1:21" s="344" customFormat="1" outlineLevel="2">
      <c r="A3564" s="345"/>
      <c r="B3564" s="345"/>
      <c r="C3564" s="667">
        <v>2210401</v>
      </c>
      <c r="D3564" s="668" t="s">
        <v>25</v>
      </c>
      <c r="E3564" s="673">
        <v>700000</v>
      </c>
      <c r="F3564" s="669"/>
      <c r="G3564" s="669"/>
      <c r="H3564" s="669"/>
      <c r="I3564" s="324">
        <f t="shared" si="2548"/>
        <v>700000</v>
      </c>
      <c r="J3564" s="669"/>
      <c r="K3564" s="1063">
        <v>-700000</v>
      </c>
      <c r="L3564" s="317">
        <f t="shared" si="2529"/>
        <v>0</v>
      </c>
      <c r="M3564" s="317"/>
      <c r="N3564" s="372">
        <f t="shared" si="2531"/>
        <v>700000</v>
      </c>
      <c r="O3564" s="336">
        <f t="shared" ref="O3564:O3626" si="2557">L3564*1.1</f>
        <v>0</v>
      </c>
      <c r="P3564" s="319">
        <f t="shared" si="2549"/>
        <v>0</v>
      </c>
      <c r="R3564" s="317"/>
      <c r="U3564" s="320"/>
    </row>
    <row r="3565" spans="1:21" s="684" customFormat="1" outlineLevel="2">
      <c r="A3565" s="685"/>
      <c r="B3565" s="685"/>
      <c r="C3565" s="1064">
        <v>2210402</v>
      </c>
      <c r="D3565" s="1065" t="s">
        <v>30</v>
      </c>
      <c r="E3565" s="1066">
        <v>2700000</v>
      </c>
      <c r="F3565" s="1067"/>
      <c r="G3565" s="1067"/>
      <c r="H3565" s="1067"/>
      <c r="I3565" s="690">
        <f t="shared" si="2548"/>
        <v>2700000</v>
      </c>
      <c r="J3565" s="1067">
        <v>-2700000</v>
      </c>
      <c r="K3565" s="1068"/>
      <c r="L3565" s="317">
        <f t="shared" si="2529"/>
        <v>0</v>
      </c>
      <c r="M3565" s="317"/>
      <c r="N3565" s="372">
        <f t="shared" si="2531"/>
        <v>0</v>
      </c>
      <c r="O3565" s="1069">
        <f t="shared" si="2557"/>
        <v>0</v>
      </c>
      <c r="P3565" s="692">
        <f t="shared" si="2549"/>
        <v>0</v>
      </c>
      <c r="R3565" s="317"/>
      <c r="U3565" s="320" t="s">
        <v>1803</v>
      </c>
    </row>
    <row r="3566" spans="1:21" s="684" customFormat="1" outlineLevel="2">
      <c r="A3566" s="1070"/>
      <c r="B3566" s="1070"/>
      <c r="C3566" s="1064">
        <v>2210404</v>
      </c>
      <c r="D3566" s="1065" t="s">
        <v>28</v>
      </c>
      <c r="E3566" s="688">
        <v>500000</v>
      </c>
      <c r="F3566" s="1071"/>
      <c r="G3566" s="1071"/>
      <c r="H3566" s="1071"/>
      <c r="I3566" s="690">
        <f t="shared" si="2548"/>
        <v>500000</v>
      </c>
      <c r="J3566" s="1071">
        <v>-188594</v>
      </c>
      <c r="K3566" s="1063">
        <v>-311406</v>
      </c>
      <c r="L3566" s="317">
        <f t="shared" si="2529"/>
        <v>0</v>
      </c>
      <c r="M3566" s="317"/>
      <c r="N3566" s="372">
        <f t="shared" si="2531"/>
        <v>311406</v>
      </c>
      <c r="O3566" s="1069">
        <f t="shared" si="2557"/>
        <v>0</v>
      </c>
      <c r="P3566" s="692">
        <f t="shared" si="2549"/>
        <v>0</v>
      </c>
      <c r="R3566" s="317"/>
      <c r="U3566" s="320" t="s">
        <v>1803</v>
      </c>
    </row>
    <row r="3567" spans="1:21" s="344" customFormat="1" outlineLevel="2">
      <c r="A3567" s="345"/>
      <c r="B3567" s="345"/>
      <c r="C3567" s="339">
        <v>2210500</v>
      </c>
      <c r="D3567" s="338" t="s">
        <v>31</v>
      </c>
      <c r="E3567" s="1062">
        <f>E3570+E3569+E3568</f>
        <v>550000</v>
      </c>
      <c r="F3567" s="1062">
        <f t="shared" ref="F3567:P3567" si="2558">F3570+F3569+F3568</f>
        <v>0</v>
      </c>
      <c r="G3567" s="1062">
        <f t="shared" si="2558"/>
        <v>0</v>
      </c>
      <c r="H3567" s="1062">
        <f t="shared" si="2558"/>
        <v>0</v>
      </c>
      <c r="I3567" s="1062">
        <f t="shared" si="2558"/>
        <v>550000</v>
      </c>
      <c r="J3567" s="1062">
        <f t="shared" si="2558"/>
        <v>0</v>
      </c>
      <c r="K3567" s="1062">
        <f t="shared" si="2558"/>
        <v>-36810</v>
      </c>
      <c r="L3567" s="317">
        <f t="shared" si="2529"/>
        <v>513190</v>
      </c>
      <c r="M3567" s="317"/>
      <c r="N3567" s="372">
        <f t="shared" si="2531"/>
        <v>36810</v>
      </c>
      <c r="O3567" s="1062">
        <f t="shared" si="2558"/>
        <v>564509.00000000012</v>
      </c>
      <c r="P3567" s="1062">
        <f t="shared" si="2558"/>
        <v>620959.90000000014</v>
      </c>
      <c r="R3567" s="317"/>
      <c r="U3567" s="320"/>
    </row>
    <row r="3568" spans="1:21" s="344" customFormat="1" outlineLevel="2">
      <c r="A3568" s="345"/>
      <c r="B3568" s="345"/>
      <c r="C3568" s="1072">
        <v>2210502</v>
      </c>
      <c r="D3568" s="668" t="s">
        <v>105</v>
      </c>
      <c r="E3568" s="1060">
        <v>150000</v>
      </c>
      <c r="F3568" s="669"/>
      <c r="G3568" s="669"/>
      <c r="H3568" s="669"/>
      <c r="I3568" s="324">
        <f t="shared" si="2548"/>
        <v>150000</v>
      </c>
      <c r="J3568" s="669"/>
      <c r="K3568" s="1063">
        <v>-36810</v>
      </c>
      <c r="L3568" s="317">
        <f t="shared" si="2529"/>
        <v>113190</v>
      </c>
      <c r="M3568" s="317"/>
      <c r="N3568" s="372">
        <f t="shared" si="2531"/>
        <v>36810</v>
      </c>
      <c r="O3568" s="336">
        <f t="shared" si="2557"/>
        <v>124509.00000000001</v>
      </c>
      <c r="P3568" s="319">
        <f t="shared" si="2549"/>
        <v>136959.90000000002</v>
      </c>
      <c r="R3568" s="317"/>
      <c r="U3568" s="320"/>
    </row>
    <row r="3569" spans="1:21" s="344" customFormat="1" outlineLevel="2">
      <c r="A3569" s="345"/>
      <c r="B3569" s="345"/>
      <c r="C3569" s="1072">
        <v>2210503</v>
      </c>
      <c r="D3569" s="668" t="s">
        <v>32</v>
      </c>
      <c r="E3569" s="1060">
        <v>200000</v>
      </c>
      <c r="F3569" s="669"/>
      <c r="G3569" s="669"/>
      <c r="H3569" s="669"/>
      <c r="I3569" s="324">
        <f t="shared" si="2548"/>
        <v>200000</v>
      </c>
      <c r="J3569" s="669"/>
      <c r="K3569" s="1063"/>
      <c r="L3569" s="317">
        <f t="shared" si="2529"/>
        <v>200000</v>
      </c>
      <c r="M3569" s="317"/>
      <c r="N3569" s="372">
        <f t="shared" si="2531"/>
        <v>0</v>
      </c>
      <c r="O3569" s="336">
        <f t="shared" si="2557"/>
        <v>220000.00000000003</v>
      </c>
      <c r="P3569" s="319">
        <f t="shared" si="2549"/>
        <v>242000.00000000006</v>
      </c>
      <c r="R3569" s="317"/>
      <c r="U3569" s="320"/>
    </row>
    <row r="3570" spans="1:21" s="344" customFormat="1" outlineLevel="2">
      <c r="A3570" s="345"/>
      <c r="B3570" s="345"/>
      <c r="C3570" s="1072">
        <v>2210504</v>
      </c>
      <c r="D3570" s="668" t="s">
        <v>33</v>
      </c>
      <c r="E3570" s="1060">
        <v>200000</v>
      </c>
      <c r="F3570" s="669"/>
      <c r="G3570" s="669"/>
      <c r="H3570" s="669"/>
      <c r="I3570" s="324">
        <f t="shared" si="2548"/>
        <v>200000</v>
      </c>
      <c r="J3570" s="669"/>
      <c r="K3570" s="1063"/>
      <c r="L3570" s="317">
        <f t="shared" si="2529"/>
        <v>200000</v>
      </c>
      <c r="M3570" s="317"/>
      <c r="N3570" s="372">
        <f t="shared" si="2531"/>
        <v>0</v>
      </c>
      <c r="O3570" s="336">
        <f t="shared" si="2557"/>
        <v>220000.00000000003</v>
      </c>
      <c r="P3570" s="319">
        <f t="shared" ref="P3570:P3590" si="2559">O3570*1.1</f>
        <v>242000.00000000006</v>
      </c>
      <c r="R3570" s="317"/>
      <c r="U3570" s="320"/>
    </row>
    <row r="3571" spans="1:21" s="344" customFormat="1" outlineLevel="2">
      <c r="A3571" s="345"/>
      <c r="B3571" s="345"/>
      <c r="C3571" s="339">
        <v>2210600</v>
      </c>
      <c r="D3571" s="338" t="s">
        <v>154</v>
      </c>
      <c r="E3571" s="1062">
        <f>E3572</f>
        <v>411000</v>
      </c>
      <c r="F3571" s="1062">
        <f t="shared" ref="F3571:P3571" si="2560">F3572</f>
        <v>0</v>
      </c>
      <c r="G3571" s="1062">
        <f t="shared" si="2560"/>
        <v>0</v>
      </c>
      <c r="H3571" s="1062">
        <f t="shared" si="2560"/>
        <v>324000</v>
      </c>
      <c r="I3571" s="1062">
        <f t="shared" si="2560"/>
        <v>735000</v>
      </c>
      <c r="J3571" s="1062">
        <f t="shared" si="2560"/>
        <v>0</v>
      </c>
      <c r="K3571" s="1062">
        <f t="shared" si="2560"/>
        <v>400000</v>
      </c>
      <c r="L3571" s="317">
        <f t="shared" si="2529"/>
        <v>1135000</v>
      </c>
      <c r="M3571" s="317"/>
      <c r="N3571" s="372">
        <f t="shared" si="2531"/>
        <v>-400000</v>
      </c>
      <c r="O3571" s="1062">
        <f t="shared" si="2560"/>
        <v>1248500</v>
      </c>
      <c r="P3571" s="1062">
        <f t="shared" si="2560"/>
        <v>1373350</v>
      </c>
      <c r="R3571" s="317"/>
      <c r="U3571" s="320"/>
    </row>
    <row r="3572" spans="1:21" s="344" customFormat="1" outlineLevel="2">
      <c r="A3572" s="345"/>
      <c r="B3572" s="345"/>
      <c r="C3572" s="1072">
        <v>2210603</v>
      </c>
      <c r="D3572" s="668" t="s">
        <v>489</v>
      </c>
      <c r="E3572" s="1060">
        <v>411000</v>
      </c>
      <c r="F3572" s="669"/>
      <c r="G3572" s="669"/>
      <c r="H3572" s="1073">
        <v>324000</v>
      </c>
      <c r="I3572" s="324">
        <f t="shared" si="2548"/>
        <v>735000</v>
      </c>
      <c r="J3572" s="1073"/>
      <c r="K3572" s="1074">
        <v>400000</v>
      </c>
      <c r="L3572" s="317">
        <f t="shared" si="2529"/>
        <v>1135000</v>
      </c>
      <c r="M3572" s="317"/>
      <c r="N3572" s="372">
        <f t="shared" si="2531"/>
        <v>-400000</v>
      </c>
      <c r="O3572" s="336">
        <f t="shared" si="2557"/>
        <v>1248500</v>
      </c>
      <c r="P3572" s="319">
        <f t="shared" si="2559"/>
        <v>1373350</v>
      </c>
      <c r="R3572" s="317"/>
      <c r="U3572" s="320"/>
    </row>
    <row r="3573" spans="1:21" s="344" customFormat="1" outlineLevel="2">
      <c r="A3573" s="345"/>
      <c r="B3573" s="345"/>
      <c r="C3573" s="339">
        <v>2210700</v>
      </c>
      <c r="D3573" s="338" t="s">
        <v>35</v>
      </c>
      <c r="E3573" s="1062">
        <f>E3579+E3578+E3577+E3576+E3575+E3574</f>
        <v>1290000</v>
      </c>
      <c r="F3573" s="1062">
        <f t="shared" ref="F3573:K3573" si="2561">F3579+F3578+F3577+F3576+F3575+F3574</f>
        <v>0</v>
      </c>
      <c r="G3573" s="1062">
        <f t="shared" si="2561"/>
        <v>0</v>
      </c>
      <c r="H3573" s="1062">
        <f t="shared" si="2561"/>
        <v>350000</v>
      </c>
      <c r="I3573" s="1062">
        <f t="shared" si="2561"/>
        <v>1640000</v>
      </c>
      <c r="J3573" s="1062">
        <f t="shared" si="2561"/>
        <v>0</v>
      </c>
      <c r="K3573" s="1062">
        <f t="shared" si="2561"/>
        <v>-236000</v>
      </c>
      <c r="L3573" s="317">
        <f t="shared" si="2529"/>
        <v>1404000</v>
      </c>
      <c r="M3573" s="317"/>
      <c r="N3573" s="372">
        <f t="shared" si="2531"/>
        <v>236000</v>
      </c>
      <c r="O3573" s="1062">
        <f t="shared" ref="O3573:P3573" si="2562">O3579+O3578+O3577+O3576+O3575+O3574</f>
        <v>1544400.0000000002</v>
      </c>
      <c r="P3573" s="1062">
        <f t="shared" si="2562"/>
        <v>1698840.0000000005</v>
      </c>
      <c r="R3573" s="317"/>
      <c r="U3573" s="320"/>
    </row>
    <row r="3574" spans="1:21" s="344" customFormat="1" outlineLevel="2">
      <c r="A3574" s="345"/>
      <c r="B3574" s="345"/>
      <c r="C3574" s="1072">
        <v>2210703</v>
      </c>
      <c r="D3574" s="668" t="s">
        <v>107</v>
      </c>
      <c r="E3574" s="1060">
        <v>100000</v>
      </c>
      <c r="F3574" s="669"/>
      <c r="G3574" s="669"/>
      <c r="H3574" s="669"/>
      <c r="I3574" s="324">
        <f t="shared" si="2548"/>
        <v>100000</v>
      </c>
      <c r="J3574" s="669"/>
      <c r="K3574" s="1063">
        <v>-51000</v>
      </c>
      <c r="L3574" s="317">
        <f t="shared" si="2529"/>
        <v>49000</v>
      </c>
      <c r="M3574" s="317"/>
      <c r="N3574" s="372">
        <f t="shared" si="2531"/>
        <v>51000</v>
      </c>
      <c r="O3574" s="336">
        <f t="shared" si="2557"/>
        <v>53900.000000000007</v>
      </c>
      <c r="P3574" s="319">
        <f t="shared" si="2559"/>
        <v>59290.000000000015</v>
      </c>
      <c r="R3574" s="317"/>
      <c r="U3574" s="320"/>
    </row>
    <row r="3575" spans="1:21" s="344" customFormat="1" outlineLevel="2">
      <c r="A3575" s="345"/>
      <c r="B3575" s="345"/>
      <c r="C3575" s="1072">
        <v>2210704</v>
      </c>
      <c r="D3575" s="668" t="s">
        <v>38</v>
      </c>
      <c r="E3575" s="1060">
        <v>40000</v>
      </c>
      <c r="F3575" s="669"/>
      <c r="G3575" s="669"/>
      <c r="H3575" s="669"/>
      <c r="I3575" s="324">
        <f t="shared" si="2548"/>
        <v>40000</v>
      </c>
      <c r="J3575" s="669"/>
      <c r="K3575" s="1063">
        <v>-40000</v>
      </c>
      <c r="L3575" s="317">
        <f t="shared" si="2529"/>
        <v>0</v>
      </c>
      <c r="M3575" s="317"/>
      <c r="N3575" s="372">
        <f t="shared" si="2531"/>
        <v>40000</v>
      </c>
      <c r="O3575" s="336">
        <f t="shared" si="2557"/>
        <v>0</v>
      </c>
      <c r="P3575" s="319">
        <f t="shared" si="2559"/>
        <v>0</v>
      </c>
      <c r="R3575" s="317"/>
      <c r="U3575" s="320"/>
    </row>
    <row r="3576" spans="1:21" s="344" customFormat="1" outlineLevel="2">
      <c r="A3576" s="345"/>
      <c r="B3576" s="345"/>
      <c r="C3576" s="1072">
        <v>2210710</v>
      </c>
      <c r="D3576" s="668" t="s">
        <v>39</v>
      </c>
      <c r="E3576" s="1060">
        <v>700000</v>
      </c>
      <c r="F3576" s="669"/>
      <c r="G3576" s="669"/>
      <c r="H3576" s="669"/>
      <c r="I3576" s="324">
        <f t="shared" si="2548"/>
        <v>700000</v>
      </c>
      <c r="J3576" s="669"/>
      <c r="K3576" s="1063"/>
      <c r="L3576" s="317">
        <f t="shared" si="2529"/>
        <v>700000</v>
      </c>
      <c r="M3576" s="317"/>
      <c r="N3576" s="372">
        <f t="shared" si="2531"/>
        <v>0</v>
      </c>
      <c r="O3576" s="336">
        <f t="shared" si="2557"/>
        <v>770000.00000000012</v>
      </c>
      <c r="P3576" s="319">
        <f t="shared" si="2559"/>
        <v>847000.00000000023</v>
      </c>
      <c r="R3576" s="317"/>
      <c r="U3576" s="320"/>
    </row>
    <row r="3577" spans="1:21" s="344" customFormat="1" outlineLevel="2">
      <c r="A3577" s="345"/>
      <c r="B3577" s="345"/>
      <c r="C3577" s="667">
        <v>2210711</v>
      </c>
      <c r="D3577" s="1075" t="s">
        <v>281</v>
      </c>
      <c r="E3577" s="1060">
        <v>200000</v>
      </c>
      <c r="F3577" s="672"/>
      <c r="G3577" s="672"/>
      <c r="H3577" s="672"/>
      <c r="I3577" s="324">
        <f t="shared" si="2548"/>
        <v>200000</v>
      </c>
      <c r="J3577" s="672"/>
      <c r="K3577" s="1076">
        <v>-45000</v>
      </c>
      <c r="L3577" s="317">
        <f t="shared" si="2529"/>
        <v>155000</v>
      </c>
      <c r="M3577" s="317"/>
      <c r="N3577" s="372">
        <f t="shared" si="2531"/>
        <v>45000</v>
      </c>
      <c r="O3577" s="336">
        <f t="shared" si="2557"/>
        <v>170500</v>
      </c>
      <c r="P3577" s="319">
        <f t="shared" si="2559"/>
        <v>187550.00000000003</v>
      </c>
      <c r="R3577" s="317"/>
      <c r="U3577" s="320"/>
    </row>
    <row r="3578" spans="1:21" s="344" customFormat="1" outlineLevel="2">
      <c r="A3578" s="345"/>
      <c r="B3578" s="345"/>
      <c r="C3578" s="1077">
        <v>2210715</v>
      </c>
      <c r="D3578" s="1078" t="s">
        <v>40</v>
      </c>
      <c r="E3578" s="1060">
        <v>50000</v>
      </c>
      <c r="F3578" s="669"/>
      <c r="G3578" s="669"/>
      <c r="H3578" s="1073">
        <v>350000</v>
      </c>
      <c r="I3578" s="324">
        <f t="shared" si="2548"/>
        <v>400000</v>
      </c>
      <c r="J3578" s="1073"/>
      <c r="K3578" s="1074"/>
      <c r="L3578" s="317">
        <f t="shared" si="2529"/>
        <v>400000</v>
      </c>
      <c r="M3578" s="317"/>
      <c r="N3578" s="372">
        <f t="shared" si="2531"/>
        <v>0</v>
      </c>
      <c r="O3578" s="336">
        <f t="shared" si="2557"/>
        <v>440000.00000000006</v>
      </c>
      <c r="P3578" s="319">
        <f t="shared" si="2559"/>
        <v>484000.00000000012</v>
      </c>
      <c r="R3578" s="317"/>
      <c r="U3578" s="320"/>
    </row>
    <row r="3579" spans="1:21" s="344" customFormat="1" outlineLevel="2">
      <c r="A3579" s="345"/>
      <c r="B3579" s="345"/>
      <c r="C3579" s="1072" t="s">
        <v>651</v>
      </c>
      <c r="D3579" s="668" t="s">
        <v>665</v>
      </c>
      <c r="E3579" s="1060">
        <v>200000</v>
      </c>
      <c r="F3579" s="669"/>
      <c r="G3579" s="669"/>
      <c r="H3579" s="669"/>
      <c r="I3579" s="324">
        <f t="shared" si="2548"/>
        <v>200000</v>
      </c>
      <c r="J3579" s="669"/>
      <c r="K3579" s="1063">
        <v>-100000</v>
      </c>
      <c r="L3579" s="317">
        <f t="shared" si="2529"/>
        <v>100000</v>
      </c>
      <c r="M3579" s="317"/>
      <c r="N3579" s="372">
        <f t="shared" si="2531"/>
        <v>100000</v>
      </c>
      <c r="O3579" s="336">
        <f t="shared" si="2557"/>
        <v>110000.00000000001</v>
      </c>
      <c r="P3579" s="319">
        <f t="shared" si="2559"/>
        <v>121000.00000000003</v>
      </c>
      <c r="R3579" s="317"/>
      <c r="U3579" s="320"/>
    </row>
    <row r="3580" spans="1:21" s="344" customFormat="1" outlineLevel="2">
      <c r="A3580" s="345"/>
      <c r="B3580" s="345"/>
      <c r="C3580" s="339">
        <v>2210800</v>
      </c>
      <c r="D3580" s="338" t="s">
        <v>42</v>
      </c>
      <c r="E3580" s="1062">
        <f>SUM(E3581:E3582)</f>
        <v>2025000</v>
      </c>
      <c r="F3580" s="1062">
        <f t="shared" ref="F3580:K3580" si="2563">SUM(F3581:F3582)</f>
        <v>0</v>
      </c>
      <c r="G3580" s="1062">
        <f t="shared" si="2563"/>
        <v>0</v>
      </c>
      <c r="H3580" s="1062">
        <f t="shared" si="2563"/>
        <v>0</v>
      </c>
      <c r="I3580" s="1062">
        <f t="shared" si="2563"/>
        <v>2025000</v>
      </c>
      <c r="J3580" s="1062">
        <f t="shared" si="2563"/>
        <v>0</v>
      </c>
      <c r="K3580" s="1062">
        <f t="shared" si="2563"/>
        <v>965216</v>
      </c>
      <c r="L3580" s="317">
        <f t="shared" si="2529"/>
        <v>2990216</v>
      </c>
      <c r="M3580" s="317"/>
      <c r="N3580" s="372">
        <f t="shared" si="2531"/>
        <v>-965216</v>
      </c>
      <c r="O3580" s="1062">
        <f t="shared" ref="O3580:P3580" si="2564">SUM(O3581:O3582)</f>
        <v>3289237.6000000006</v>
      </c>
      <c r="P3580" s="1062">
        <f t="shared" si="2564"/>
        <v>3618161.3600000008</v>
      </c>
      <c r="R3580" s="317"/>
      <c r="U3580" s="320"/>
    </row>
    <row r="3581" spans="1:21" s="344" customFormat="1" outlineLevel="2">
      <c r="A3581" s="345"/>
      <c r="B3581" s="345"/>
      <c r="C3581" s="1072">
        <v>2210801</v>
      </c>
      <c r="D3581" s="668" t="s">
        <v>2421</v>
      </c>
      <c r="E3581" s="1060">
        <v>1625000</v>
      </c>
      <c r="F3581" s="669"/>
      <c r="G3581" s="669"/>
      <c r="H3581" s="669"/>
      <c r="I3581" s="324">
        <f t="shared" si="2548"/>
        <v>1625000</v>
      </c>
      <c r="J3581" s="669"/>
      <c r="K3581" s="1063"/>
      <c r="L3581" s="317">
        <f t="shared" si="2529"/>
        <v>1625000</v>
      </c>
      <c r="M3581" s="317"/>
      <c r="N3581" s="372">
        <f t="shared" si="2531"/>
        <v>0</v>
      </c>
      <c r="O3581" s="336">
        <f t="shared" si="2557"/>
        <v>1787500.0000000002</v>
      </c>
      <c r="P3581" s="319">
        <f t="shared" si="2559"/>
        <v>1966250.0000000005</v>
      </c>
      <c r="R3581" s="317"/>
      <c r="U3581" s="320"/>
    </row>
    <row r="3582" spans="1:21" s="344" customFormat="1" outlineLevel="2">
      <c r="A3582" s="345"/>
      <c r="B3582" s="345"/>
      <c r="C3582" s="1072">
        <v>2210802</v>
      </c>
      <c r="D3582" s="668" t="s">
        <v>97</v>
      </c>
      <c r="E3582" s="1060">
        <v>400000</v>
      </c>
      <c r="F3582" s="669"/>
      <c r="G3582" s="669"/>
      <c r="H3582" s="669"/>
      <c r="I3582" s="324">
        <f t="shared" si="2548"/>
        <v>400000</v>
      </c>
      <c r="J3582" s="669"/>
      <c r="K3582" s="1063">
        <v>965216</v>
      </c>
      <c r="L3582" s="317">
        <f t="shared" si="2529"/>
        <v>1365216</v>
      </c>
      <c r="M3582" s="317"/>
      <c r="N3582" s="372">
        <f t="shared" si="2531"/>
        <v>-965216</v>
      </c>
      <c r="O3582" s="336">
        <f t="shared" si="2557"/>
        <v>1501737.6</v>
      </c>
      <c r="P3582" s="319">
        <f t="shared" si="2559"/>
        <v>1651911.3600000003</v>
      </c>
      <c r="R3582" s="317"/>
      <c r="U3582" s="320"/>
    </row>
    <row r="3583" spans="1:21" s="344" customFormat="1" outlineLevel="2">
      <c r="A3583" s="345"/>
      <c r="B3583" s="345"/>
      <c r="C3583" s="339" t="s">
        <v>666</v>
      </c>
      <c r="D3583" s="338" t="s">
        <v>46</v>
      </c>
      <c r="E3583" s="1062">
        <f>E3584</f>
        <v>60000</v>
      </c>
      <c r="F3583" s="1062">
        <f t="shared" ref="F3583:P3583" si="2565">F3584</f>
        <v>0</v>
      </c>
      <c r="G3583" s="1062">
        <f t="shared" si="2565"/>
        <v>0</v>
      </c>
      <c r="H3583" s="1062">
        <f t="shared" si="2565"/>
        <v>0</v>
      </c>
      <c r="I3583" s="1062">
        <f t="shared" si="2565"/>
        <v>60000</v>
      </c>
      <c r="J3583" s="1062">
        <f t="shared" si="2565"/>
        <v>0</v>
      </c>
      <c r="K3583" s="1062">
        <f t="shared" si="2565"/>
        <v>-60000</v>
      </c>
      <c r="L3583" s="317">
        <f t="shared" si="2529"/>
        <v>0</v>
      </c>
      <c r="M3583" s="317"/>
      <c r="N3583" s="372">
        <f t="shared" si="2531"/>
        <v>60000</v>
      </c>
      <c r="O3583" s="1062">
        <f t="shared" si="2565"/>
        <v>0</v>
      </c>
      <c r="P3583" s="1062">
        <f t="shared" si="2565"/>
        <v>0</v>
      </c>
      <c r="R3583" s="317"/>
      <c r="U3583" s="320"/>
    </row>
    <row r="3584" spans="1:21" s="344" customFormat="1" outlineLevel="2">
      <c r="A3584" s="345"/>
      <c r="B3584" s="345"/>
      <c r="C3584" s="1072" t="s">
        <v>667</v>
      </c>
      <c r="D3584" s="668" t="s">
        <v>668</v>
      </c>
      <c r="E3584" s="1060">
        <v>60000</v>
      </c>
      <c r="F3584" s="669"/>
      <c r="G3584" s="669"/>
      <c r="H3584" s="669"/>
      <c r="I3584" s="324">
        <f t="shared" si="2548"/>
        <v>60000</v>
      </c>
      <c r="J3584" s="669"/>
      <c r="K3584" s="1063">
        <v>-60000</v>
      </c>
      <c r="L3584" s="317">
        <f t="shared" si="2529"/>
        <v>0</v>
      </c>
      <c r="M3584" s="317"/>
      <c r="N3584" s="372">
        <f t="shared" si="2531"/>
        <v>60000</v>
      </c>
      <c r="O3584" s="336">
        <f t="shared" si="2557"/>
        <v>0</v>
      </c>
      <c r="P3584" s="319">
        <f t="shared" si="2559"/>
        <v>0</v>
      </c>
      <c r="R3584" s="317"/>
      <c r="U3584" s="320"/>
    </row>
    <row r="3585" spans="1:21" s="344" customFormat="1" outlineLevel="2">
      <c r="A3585" s="345"/>
      <c r="B3585" s="345"/>
      <c r="C3585" s="339">
        <v>2211100</v>
      </c>
      <c r="D3585" s="338" t="s">
        <v>51</v>
      </c>
      <c r="E3585" s="1062">
        <f>SUM(E3586:E3588)</f>
        <v>160000</v>
      </c>
      <c r="F3585" s="1062">
        <f t="shared" ref="F3585:K3585" si="2566">SUM(F3586:F3588)</f>
        <v>0</v>
      </c>
      <c r="G3585" s="1062">
        <f t="shared" si="2566"/>
        <v>0</v>
      </c>
      <c r="H3585" s="1062">
        <f t="shared" si="2566"/>
        <v>200000</v>
      </c>
      <c r="I3585" s="1062">
        <f t="shared" si="2566"/>
        <v>360000</v>
      </c>
      <c r="J3585" s="1062">
        <f t="shared" si="2566"/>
        <v>0</v>
      </c>
      <c r="K3585" s="1062">
        <f t="shared" si="2566"/>
        <v>-600</v>
      </c>
      <c r="L3585" s="317">
        <f t="shared" si="2529"/>
        <v>359400</v>
      </c>
      <c r="M3585" s="317"/>
      <c r="N3585" s="372">
        <f t="shared" si="2531"/>
        <v>600</v>
      </c>
      <c r="O3585" s="1062">
        <f t="shared" ref="O3585:P3585" si="2567">SUM(O3586:O3588)</f>
        <v>395340.00000000006</v>
      </c>
      <c r="P3585" s="1062">
        <f t="shared" si="2567"/>
        <v>434874.00000000012</v>
      </c>
      <c r="R3585" s="317"/>
      <c r="U3585" s="320"/>
    </row>
    <row r="3586" spans="1:21" s="344" customFormat="1" outlineLevel="2">
      <c r="A3586" s="345"/>
      <c r="B3586" s="345"/>
      <c r="C3586" s="1072">
        <v>2211101</v>
      </c>
      <c r="D3586" s="668" t="s">
        <v>52</v>
      </c>
      <c r="E3586" s="1060">
        <v>100000</v>
      </c>
      <c r="F3586" s="669"/>
      <c r="G3586" s="669"/>
      <c r="H3586" s="1073">
        <v>100000</v>
      </c>
      <c r="I3586" s="324">
        <f t="shared" si="2548"/>
        <v>200000</v>
      </c>
      <c r="J3586" s="1073"/>
      <c r="K3586" s="1074"/>
      <c r="L3586" s="317">
        <f t="shared" si="2529"/>
        <v>200000</v>
      </c>
      <c r="M3586" s="317"/>
      <c r="N3586" s="372">
        <f t="shared" si="2531"/>
        <v>0</v>
      </c>
      <c r="O3586" s="336">
        <f t="shared" si="2557"/>
        <v>220000.00000000003</v>
      </c>
      <c r="P3586" s="319">
        <f t="shared" si="2559"/>
        <v>242000.00000000006</v>
      </c>
      <c r="R3586" s="317"/>
      <c r="U3586" s="320"/>
    </row>
    <row r="3587" spans="1:21" s="344" customFormat="1" outlineLevel="2">
      <c r="A3587" s="345"/>
      <c r="B3587" s="345"/>
      <c r="C3587" s="1072">
        <v>2211102</v>
      </c>
      <c r="D3587" s="668" t="s">
        <v>53</v>
      </c>
      <c r="E3587" s="1060">
        <v>10000</v>
      </c>
      <c r="F3587" s="669"/>
      <c r="G3587" s="669"/>
      <c r="H3587" s="1073">
        <v>100000</v>
      </c>
      <c r="I3587" s="324">
        <f t="shared" si="2548"/>
        <v>110000</v>
      </c>
      <c r="J3587" s="1073"/>
      <c r="K3587" s="1074"/>
      <c r="L3587" s="317">
        <f t="shared" si="2529"/>
        <v>110000</v>
      </c>
      <c r="M3587" s="317"/>
      <c r="N3587" s="372">
        <f t="shared" si="2531"/>
        <v>0</v>
      </c>
      <c r="O3587" s="336">
        <f t="shared" si="2557"/>
        <v>121000.00000000001</v>
      </c>
      <c r="P3587" s="319">
        <f t="shared" si="2559"/>
        <v>133100.00000000003</v>
      </c>
      <c r="R3587" s="317"/>
      <c r="U3587" s="320"/>
    </row>
    <row r="3588" spans="1:21" s="344" customFormat="1" outlineLevel="2">
      <c r="A3588" s="345"/>
      <c r="B3588" s="345"/>
      <c r="C3588" s="1072">
        <v>2211103</v>
      </c>
      <c r="D3588" s="668" t="s">
        <v>54</v>
      </c>
      <c r="E3588" s="1060">
        <v>50000</v>
      </c>
      <c r="F3588" s="669"/>
      <c r="G3588" s="669"/>
      <c r="H3588" s="669"/>
      <c r="I3588" s="324">
        <f t="shared" si="2548"/>
        <v>50000</v>
      </c>
      <c r="J3588" s="669"/>
      <c r="K3588" s="1063">
        <v>-600</v>
      </c>
      <c r="L3588" s="317">
        <f t="shared" si="2529"/>
        <v>49400</v>
      </c>
      <c r="M3588" s="317"/>
      <c r="N3588" s="372">
        <f t="shared" si="2531"/>
        <v>600</v>
      </c>
      <c r="O3588" s="336">
        <f t="shared" si="2557"/>
        <v>54340.000000000007</v>
      </c>
      <c r="P3588" s="319">
        <f t="shared" si="2559"/>
        <v>59774.000000000015</v>
      </c>
      <c r="R3588" s="317"/>
      <c r="U3588" s="320"/>
    </row>
    <row r="3589" spans="1:21" s="344" customFormat="1" outlineLevel="2">
      <c r="A3589" s="345"/>
      <c r="B3589" s="345"/>
      <c r="C3589" s="339">
        <v>2211200</v>
      </c>
      <c r="D3589" s="338" t="s">
        <v>55</v>
      </c>
      <c r="E3589" s="1062">
        <f>E3590</f>
        <v>710000</v>
      </c>
      <c r="F3589" s="1062">
        <f t="shared" ref="F3589:K3589" si="2568">F3590</f>
        <v>0</v>
      </c>
      <c r="G3589" s="1062">
        <f t="shared" si="2568"/>
        <v>0</v>
      </c>
      <c r="H3589" s="1062">
        <f t="shared" si="2568"/>
        <v>0</v>
      </c>
      <c r="I3589" s="1062">
        <f t="shared" si="2568"/>
        <v>710000</v>
      </c>
      <c r="J3589" s="1062">
        <f t="shared" si="2568"/>
        <v>0</v>
      </c>
      <c r="K3589" s="1062">
        <f t="shared" si="2568"/>
        <v>0</v>
      </c>
      <c r="L3589" s="317">
        <f t="shared" ref="L3589:L3652" si="2569">I3589+J3589+K3589</f>
        <v>710000</v>
      </c>
      <c r="M3589" s="317"/>
      <c r="N3589" s="372">
        <f t="shared" si="2531"/>
        <v>0</v>
      </c>
      <c r="O3589" s="1062">
        <f t="shared" ref="O3589:P3589" si="2570">O3590</f>
        <v>781000.00000000012</v>
      </c>
      <c r="P3589" s="1062">
        <f t="shared" si="2570"/>
        <v>859100.00000000023</v>
      </c>
      <c r="R3589" s="317"/>
      <c r="U3589" s="320"/>
    </row>
    <row r="3590" spans="1:21" s="344" customFormat="1" outlineLevel="2">
      <c r="A3590" s="345"/>
      <c r="B3590" s="345"/>
      <c r="C3590" s="1072">
        <v>2211201</v>
      </c>
      <c r="D3590" s="668" t="s">
        <v>56</v>
      </c>
      <c r="E3590" s="1060">
        <v>710000</v>
      </c>
      <c r="F3590" s="669"/>
      <c r="G3590" s="669"/>
      <c r="H3590" s="669"/>
      <c r="I3590" s="324">
        <f t="shared" si="2548"/>
        <v>710000</v>
      </c>
      <c r="J3590" s="669"/>
      <c r="K3590" s="1063"/>
      <c r="L3590" s="317">
        <f t="shared" si="2569"/>
        <v>710000</v>
      </c>
      <c r="M3590" s="317"/>
      <c r="N3590" s="372">
        <f t="shared" si="2531"/>
        <v>0</v>
      </c>
      <c r="O3590" s="336">
        <f t="shared" si="2557"/>
        <v>781000.00000000012</v>
      </c>
      <c r="P3590" s="319">
        <f t="shared" si="2559"/>
        <v>859100.00000000023</v>
      </c>
      <c r="R3590" s="317"/>
      <c r="U3590" s="320"/>
    </row>
    <row r="3591" spans="1:21" s="344" customFormat="1" outlineLevel="2">
      <c r="A3591" s="345"/>
      <c r="B3591" s="345"/>
      <c r="C3591" s="339">
        <v>2211300</v>
      </c>
      <c r="D3591" s="338" t="s">
        <v>57</v>
      </c>
      <c r="E3591" s="1062">
        <f>SUM(E3592:E3594)</f>
        <v>512000</v>
      </c>
      <c r="F3591" s="1062">
        <f t="shared" ref="F3591:P3591" si="2571">SUM(F3592:F3594)</f>
        <v>0</v>
      </c>
      <c r="G3591" s="1062">
        <f t="shared" si="2571"/>
        <v>0</v>
      </c>
      <c r="H3591" s="1062">
        <f t="shared" si="2571"/>
        <v>-350000</v>
      </c>
      <c r="I3591" s="1062">
        <f t="shared" si="2571"/>
        <v>162000</v>
      </c>
      <c r="J3591" s="1062">
        <f t="shared" si="2571"/>
        <v>0</v>
      </c>
      <c r="K3591" s="1062">
        <f t="shared" si="2571"/>
        <v>0</v>
      </c>
      <c r="L3591" s="317">
        <f t="shared" si="2569"/>
        <v>162000</v>
      </c>
      <c r="M3591" s="317"/>
      <c r="N3591" s="372">
        <f t="shared" si="2531"/>
        <v>0</v>
      </c>
      <c r="O3591" s="1062">
        <f t="shared" si="2571"/>
        <v>178200</v>
      </c>
      <c r="P3591" s="1062">
        <f t="shared" si="2571"/>
        <v>196020.00000000006</v>
      </c>
      <c r="R3591" s="317"/>
      <c r="U3591" s="320"/>
    </row>
    <row r="3592" spans="1:21" s="344" customFormat="1" outlineLevel="2">
      <c r="A3592" s="345"/>
      <c r="B3592" s="345"/>
      <c r="C3592" s="667">
        <v>2211305</v>
      </c>
      <c r="D3592" s="668" t="s">
        <v>365</v>
      </c>
      <c r="E3592" s="1060">
        <v>75000</v>
      </c>
      <c r="F3592" s="669"/>
      <c r="G3592" s="669"/>
      <c r="H3592" s="669"/>
      <c r="I3592" s="324">
        <f t="shared" si="2548"/>
        <v>75000</v>
      </c>
      <c r="J3592" s="669"/>
      <c r="K3592" s="1063"/>
      <c r="L3592" s="317">
        <f t="shared" si="2569"/>
        <v>75000</v>
      </c>
      <c r="M3592" s="317"/>
      <c r="N3592" s="372">
        <f t="shared" si="2531"/>
        <v>0</v>
      </c>
      <c r="O3592" s="336">
        <f t="shared" si="2557"/>
        <v>82500</v>
      </c>
      <c r="P3592" s="319">
        <f t="shared" ref="P3592:P3610" si="2572">O3592*1.1</f>
        <v>90750.000000000015</v>
      </c>
      <c r="R3592" s="317"/>
      <c r="U3592" s="320"/>
    </row>
    <row r="3593" spans="1:21" s="344" customFormat="1" outlineLevel="2">
      <c r="A3593" s="345"/>
      <c r="B3593" s="345"/>
      <c r="C3593" s="1072">
        <v>2211306</v>
      </c>
      <c r="D3593" s="668" t="s">
        <v>58</v>
      </c>
      <c r="E3593" s="1060">
        <v>87000</v>
      </c>
      <c r="F3593" s="669"/>
      <c r="G3593" s="669"/>
      <c r="H3593" s="669"/>
      <c r="I3593" s="324">
        <f t="shared" si="2548"/>
        <v>87000</v>
      </c>
      <c r="J3593" s="669"/>
      <c r="K3593" s="1063">
        <v>0</v>
      </c>
      <c r="L3593" s="317">
        <f t="shared" si="2569"/>
        <v>87000</v>
      </c>
      <c r="M3593" s="317"/>
      <c r="N3593" s="372">
        <f t="shared" ref="N3593:N3656" si="2573">M3593-K3593</f>
        <v>0</v>
      </c>
      <c r="O3593" s="336">
        <f t="shared" si="2557"/>
        <v>95700.000000000015</v>
      </c>
      <c r="P3593" s="319">
        <f t="shared" si="2572"/>
        <v>105270.00000000003</v>
      </c>
      <c r="R3593" s="317"/>
      <c r="U3593" s="320"/>
    </row>
    <row r="3594" spans="1:21" s="344" customFormat="1" outlineLevel="2">
      <c r="A3594" s="345"/>
      <c r="B3594" s="345"/>
      <c r="C3594" s="667">
        <v>2211310</v>
      </c>
      <c r="D3594" s="668" t="s">
        <v>669</v>
      </c>
      <c r="E3594" s="1060">
        <v>350000</v>
      </c>
      <c r="F3594" s="669"/>
      <c r="G3594" s="669"/>
      <c r="H3594" s="1073">
        <v>-350000</v>
      </c>
      <c r="I3594" s="324">
        <f t="shared" si="2548"/>
        <v>0</v>
      </c>
      <c r="J3594" s="1073"/>
      <c r="K3594" s="1074"/>
      <c r="L3594" s="317">
        <f t="shared" si="2569"/>
        <v>0</v>
      </c>
      <c r="M3594" s="317"/>
      <c r="N3594" s="372">
        <f t="shared" si="2573"/>
        <v>0</v>
      </c>
      <c r="O3594" s="336">
        <f t="shared" si="2557"/>
        <v>0</v>
      </c>
      <c r="P3594" s="319">
        <f t="shared" si="2572"/>
        <v>0</v>
      </c>
      <c r="R3594" s="317"/>
      <c r="U3594" s="320"/>
    </row>
    <row r="3595" spans="1:21" s="344" customFormat="1" outlineLevel="2">
      <c r="A3595" s="345"/>
      <c r="B3595" s="345"/>
      <c r="C3595" s="339">
        <v>2220100</v>
      </c>
      <c r="D3595" s="338" t="s">
        <v>62</v>
      </c>
      <c r="E3595" s="1062">
        <f>E3596</f>
        <v>50000</v>
      </c>
      <c r="F3595" s="1062">
        <f t="shared" ref="F3595:P3595" si="2574">F3596</f>
        <v>0</v>
      </c>
      <c r="G3595" s="1062">
        <f t="shared" si="2574"/>
        <v>0</v>
      </c>
      <c r="H3595" s="1062">
        <f t="shared" si="2574"/>
        <v>0</v>
      </c>
      <c r="I3595" s="1062">
        <f t="shared" si="2574"/>
        <v>50000</v>
      </c>
      <c r="J3595" s="1062">
        <f t="shared" si="2574"/>
        <v>0</v>
      </c>
      <c r="K3595" s="1062">
        <f t="shared" si="2574"/>
        <v>0</v>
      </c>
      <c r="L3595" s="317">
        <f t="shared" si="2569"/>
        <v>50000</v>
      </c>
      <c r="M3595" s="317"/>
      <c r="N3595" s="372">
        <f t="shared" si="2573"/>
        <v>0</v>
      </c>
      <c r="O3595" s="1062">
        <f t="shared" si="2574"/>
        <v>55000.000000000007</v>
      </c>
      <c r="P3595" s="1062">
        <f t="shared" si="2574"/>
        <v>60500.000000000015</v>
      </c>
      <c r="R3595" s="317"/>
      <c r="U3595" s="320"/>
    </row>
    <row r="3596" spans="1:21" s="344" customFormat="1" outlineLevel="2">
      <c r="A3596" s="345"/>
      <c r="B3596" s="345"/>
      <c r="C3596" s="1072">
        <v>2220101</v>
      </c>
      <c r="D3596" s="668" t="s">
        <v>250</v>
      </c>
      <c r="E3596" s="1060">
        <v>50000</v>
      </c>
      <c r="F3596" s="669"/>
      <c r="G3596" s="669"/>
      <c r="H3596" s="669"/>
      <c r="I3596" s="324">
        <f t="shared" si="2548"/>
        <v>50000</v>
      </c>
      <c r="J3596" s="669"/>
      <c r="K3596" s="1063"/>
      <c r="L3596" s="317">
        <f t="shared" si="2569"/>
        <v>50000</v>
      </c>
      <c r="M3596" s="317"/>
      <c r="N3596" s="372">
        <f t="shared" si="2573"/>
        <v>0</v>
      </c>
      <c r="O3596" s="336">
        <f t="shared" si="2557"/>
        <v>55000.000000000007</v>
      </c>
      <c r="P3596" s="319">
        <f t="shared" si="2572"/>
        <v>60500.000000000015</v>
      </c>
      <c r="R3596" s="317"/>
      <c r="U3596" s="320"/>
    </row>
    <row r="3597" spans="1:21" s="344" customFormat="1" outlineLevel="2">
      <c r="A3597" s="345"/>
      <c r="B3597" s="345"/>
      <c r="C3597" s="339">
        <v>2220200</v>
      </c>
      <c r="D3597" s="338" t="s">
        <v>86</v>
      </c>
      <c r="E3597" s="1062">
        <f>SUM(E3598:E3599)</f>
        <v>130000</v>
      </c>
      <c r="F3597" s="1062">
        <f t="shared" ref="F3597:P3597" si="2575">SUM(F3598:F3599)</f>
        <v>0</v>
      </c>
      <c r="G3597" s="1062">
        <f t="shared" si="2575"/>
        <v>0</v>
      </c>
      <c r="H3597" s="1062">
        <f t="shared" si="2575"/>
        <v>0</v>
      </c>
      <c r="I3597" s="1062">
        <f t="shared" si="2575"/>
        <v>130000</v>
      </c>
      <c r="J3597" s="1062">
        <f t="shared" si="2575"/>
        <v>0</v>
      </c>
      <c r="K3597" s="1062">
        <f t="shared" si="2575"/>
        <v>0</v>
      </c>
      <c r="L3597" s="317">
        <f t="shared" si="2569"/>
        <v>130000</v>
      </c>
      <c r="M3597" s="317"/>
      <c r="N3597" s="372">
        <f t="shared" si="2573"/>
        <v>0</v>
      </c>
      <c r="O3597" s="1062">
        <f t="shared" si="2575"/>
        <v>143000</v>
      </c>
      <c r="P3597" s="1062">
        <f t="shared" si="2575"/>
        <v>157300.00000000003</v>
      </c>
      <c r="R3597" s="317"/>
      <c r="U3597" s="320"/>
    </row>
    <row r="3598" spans="1:21" s="344" customFormat="1" outlineLevel="2">
      <c r="A3598" s="345"/>
      <c r="B3598" s="345"/>
      <c r="C3598" s="1072">
        <v>2220202</v>
      </c>
      <c r="D3598" s="668" t="s">
        <v>87</v>
      </c>
      <c r="E3598" s="1060">
        <v>80000</v>
      </c>
      <c r="F3598" s="669"/>
      <c r="G3598" s="669"/>
      <c r="H3598" s="669"/>
      <c r="I3598" s="324">
        <f t="shared" si="2548"/>
        <v>80000</v>
      </c>
      <c r="J3598" s="669"/>
      <c r="K3598" s="1063"/>
      <c r="L3598" s="317">
        <f t="shared" si="2569"/>
        <v>80000</v>
      </c>
      <c r="M3598" s="317"/>
      <c r="N3598" s="372">
        <f t="shared" si="2573"/>
        <v>0</v>
      </c>
      <c r="O3598" s="336">
        <f t="shared" si="2557"/>
        <v>88000</v>
      </c>
      <c r="P3598" s="319">
        <f t="shared" si="2572"/>
        <v>96800.000000000015</v>
      </c>
      <c r="R3598" s="317"/>
      <c r="U3598" s="320"/>
    </row>
    <row r="3599" spans="1:21" s="344" customFormat="1" outlineLevel="2">
      <c r="A3599" s="345"/>
      <c r="B3599" s="345"/>
      <c r="C3599" s="1072">
        <v>2220205</v>
      </c>
      <c r="D3599" s="668" t="s">
        <v>670</v>
      </c>
      <c r="E3599" s="1060">
        <v>50000</v>
      </c>
      <c r="F3599" s="669"/>
      <c r="G3599" s="669"/>
      <c r="H3599" s="669"/>
      <c r="I3599" s="324">
        <f t="shared" si="2548"/>
        <v>50000</v>
      </c>
      <c r="J3599" s="669"/>
      <c r="K3599" s="1063"/>
      <c r="L3599" s="317">
        <f t="shared" si="2569"/>
        <v>50000</v>
      </c>
      <c r="M3599" s="317"/>
      <c r="N3599" s="372">
        <f t="shared" si="2573"/>
        <v>0</v>
      </c>
      <c r="O3599" s="336">
        <f t="shared" si="2557"/>
        <v>55000.000000000007</v>
      </c>
      <c r="P3599" s="319">
        <f t="shared" si="2572"/>
        <v>60500.000000000015</v>
      </c>
      <c r="R3599" s="317"/>
      <c r="U3599" s="320"/>
    </row>
    <row r="3600" spans="1:21" s="344" customFormat="1" outlineLevel="2">
      <c r="A3600" s="345"/>
      <c r="B3600" s="345"/>
      <c r="C3600" s="339">
        <v>3110300</v>
      </c>
      <c r="D3600" s="338" t="s">
        <v>251</v>
      </c>
      <c r="E3600" s="1062">
        <f>E3601</f>
        <v>50000</v>
      </c>
      <c r="F3600" s="1062">
        <f t="shared" ref="F3600:K3600" si="2576">F3601</f>
        <v>0</v>
      </c>
      <c r="G3600" s="1062">
        <f t="shared" si="2576"/>
        <v>0</v>
      </c>
      <c r="H3600" s="1062">
        <f t="shared" si="2576"/>
        <v>0</v>
      </c>
      <c r="I3600" s="1062">
        <f t="shared" si="2576"/>
        <v>50000</v>
      </c>
      <c r="J3600" s="1062">
        <f t="shared" si="2576"/>
        <v>0</v>
      </c>
      <c r="K3600" s="1062">
        <f t="shared" si="2576"/>
        <v>-50000</v>
      </c>
      <c r="L3600" s="317">
        <f t="shared" si="2569"/>
        <v>0</v>
      </c>
      <c r="M3600" s="317"/>
      <c r="N3600" s="372">
        <f t="shared" si="2573"/>
        <v>50000</v>
      </c>
      <c r="O3600" s="1062">
        <f t="shared" ref="O3600:P3600" si="2577">O3601</f>
        <v>0</v>
      </c>
      <c r="P3600" s="1062">
        <f t="shared" si="2577"/>
        <v>0</v>
      </c>
      <c r="R3600" s="317"/>
      <c r="U3600" s="320"/>
    </row>
    <row r="3601" spans="1:21" s="350" customFormat="1" outlineLevel="2">
      <c r="A3601" s="345"/>
      <c r="B3601" s="345"/>
      <c r="C3601" s="1072">
        <v>3110302</v>
      </c>
      <c r="D3601" s="668" t="s">
        <v>252</v>
      </c>
      <c r="E3601" s="1060">
        <v>50000</v>
      </c>
      <c r="F3601" s="669"/>
      <c r="G3601" s="669"/>
      <c r="H3601" s="669"/>
      <c r="I3601" s="324">
        <f t="shared" si="2548"/>
        <v>50000</v>
      </c>
      <c r="J3601" s="669"/>
      <c r="K3601" s="1063">
        <v>-50000</v>
      </c>
      <c r="L3601" s="317">
        <f t="shared" si="2569"/>
        <v>0</v>
      </c>
      <c r="M3601" s="317"/>
      <c r="N3601" s="372">
        <f t="shared" si="2573"/>
        <v>50000</v>
      </c>
      <c r="O3601" s="336">
        <f t="shared" si="2557"/>
        <v>0</v>
      </c>
      <c r="P3601" s="319">
        <f t="shared" si="2572"/>
        <v>0</v>
      </c>
      <c r="R3601" s="317"/>
      <c r="U3601" s="320"/>
    </row>
    <row r="3602" spans="1:21" s="350" customFormat="1" outlineLevel="2">
      <c r="A3602" s="345"/>
      <c r="B3602" s="345"/>
      <c r="C3602" s="339">
        <v>3111000</v>
      </c>
      <c r="D3602" s="338" t="s">
        <v>69</v>
      </c>
      <c r="E3602" s="1062">
        <f>SUM(E3603:E3605)</f>
        <v>200000</v>
      </c>
      <c r="F3602" s="1062">
        <f t="shared" ref="F3602:P3602" si="2578">SUM(F3603:F3605)</f>
        <v>0</v>
      </c>
      <c r="G3602" s="1062">
        <f t="shared" si="2578"/>
        <v>0</v>
      </c>
      <c r="H3602" s="1062">
        <f t="shared" si="2578"/>
        <v>-200000</v>
      </c>
      <c r="I3602" s="1062">
        <f t="shared" si="2578"/>
        <v>0</v>
      </c>
      <c r="J3602" s="1062">
        <f t="shared" si="2578"/>
        <v>0</v>
      </c>
      <c r="K3602" s="1062">
        <f t="shared" si="2578"/>
        <v>0</v>
      </c>
      <c r="L3602" s="317">
        <f t="shared" si="2569"/>
        <v>0</v>
      </c>
      <c r="M3602" s="317"/>
      <c r="N3602" s="372">
        <f t="shared" si="2573"/>
        <v>0</v>
      </c>
      <c r="O3602" s="1062">
        <f t="shared" si="2578"/>
        <v>0</v>
      </c>
      <c r="P3602" s="1062">
        <f t="shared" si="2578"/>
        <v>0</v>
      </c>
      <c r="R3602" s="317"/>
      <c r="U3602" s="320"/>
    </row>
    <row r="3603" spans="1:21" s="344" customFormat="1" outlineLevel="2">
      <c r="A3603" s="356"/>
      <c r="B3603" s="356"/>
      <c r="C3603" s="1072">
        <v>3111001</v>
      </c>
      <c r="D3603" s="668" t="s">
        <v>70</v>
      </c>
      <c r="E3603" s="1060">
        <v>50000</v>
      </c>
      <c r="F3603" s="669"/>
      <c r="G3603" s="669"/>
      <c r="H3603" s="1073">
        <v>-50000</v>
      </c>
      <c r="I3603" s="324">
        <f t="shared" si="2548"/>
        <v>0</v>
      </c>
      <c r="J3603" s="1073"/>
      <c r="K3603" s="1074"/>
      <c r="L3603" s="317">
        <f t="shared" si="2569"/>
        <v>0</v>
      </c>
      <c r="M3603" s="317"/>
      <c r="N3603" s="372">
        <f t="shared" si="2573"/>
        <v>0</v>
      </c>
      <c r="O3603" s="336">
        <f t="shared" si="2557"/>
        <v>0</v>
      </c>
      <c r="P3603" s="319">
        <f t="shared" si="2572"/>
        <v>0</v>
      </c>
      <c r="R3603" s="317"/>
      <c r="U3603" s="320"/>
    </row>
    <row r="3604" spans="1:21" s="344" customFormat="1" outlineLevel="2">
      <c r="A3604" s="356"/>
      <c r="B3604" s="356"/>
      <c r="C3604" s="1072">
        <v>3111002</v>
      </c>
      <c r="D3604" s="668" t="s">
        <v>71</v>
      </c>
      <c r="E3604" s="1060">
        <v>100000</v>
      </c>
      <c r="F3604" s="669"/>
      <c r="G3604" s="669"/>
      <c r="H3604" s="1073">
        <v>-100000</v>
      </c>
      <c r="I3604" s="324">
        <f t="shared" si="2548"/>
        <v>0</v>
      </c>
      <c r="J3604" s="1073"/>
      <c r="K3604" s="1074"/>
      <c r="L3604" s="317">
        <f t="shared" si="2569"/>
        <v>0</v>
      </c>
      <c r="M3604" s="317"/>
      <c r="N3604" s="372">
        <f t="shared" si="2573"/>
        <v>0</v>
      </c>
      <c r="O3604" s="336">
        <f t="shared" si="2557"/>
        <v>0</v>
      </c>
      <c r="P3604" s="319">
        <f t="shared" si="2572"/>
        <v>0</v>
      </c>
      <c r="R3604" s="317"/>
      <c r="U3604" s="320"/>
    </row>
    <row r="3605" spans="1:21" s="344" customFormat="1" outlineLevel="2">
      <c r="A3605" s="345"/>
      <c r="B3605" s="345"/>
      <c r="C3605" s="1072">
        <v>3111009</v>
      </c>
      <c r="D3605" s="668" t="s">
        <v>253</v>
      </c>
      <c r="E3605" s="1060">
        <v>50000</v>
      </c>
      <c r="F3605" s="669"/>
      <c r="G3605" s="669"/>
      <c r="H3605" s="1073">
        <v>-50000</v>
      </c>
      <c r="I3605" s="324">
        <f t="shared" si="2548"/>
        <v>0</v>
      </c>
      <c r="J3605" s="1073"/>
      <c r="K3605" s="1074"/>
      <c r="L3605" s="317">
        <f t="shared" si="2569"/>
        <v>0</v>
      </c>
      <c r="M3605" s="317"/>
      <c r="N3605" s="372">
        <f t="shared" si="2573"/>
        <v>0</v>
      </c>
      <c r="O3605" s="336">
        <f t="shared" si="2557"/>
        <v>0</v>
      </c>
      <c r="P3605" s="319">
        <f t="shared" si="2572"/>
        <v>0</v>
      </c>
      <c r="R3605" s="317"/>
      <c r="U3605" s="320"/>
    </row>
    <row r="3606" spans="1:21" s="344" customFormat="1" outlineLevel="1">
      <c r="A3606" s="345"/>
      <c r="B3606" s="345"/>
      <c r="C3606" s="331"/>
      <c r="D3606" s="338" t="s">
        <v>671</v>
      </c>
      <c r="E3606" s="789">
        <f>E3550+E3552+E3555+E3559+E3567+E3571+E3573+E3580+E3585+E3589+E3591+E3595+E3597+E3600+E3602+E3563+E3583</f>
        <v>43423152.048314273</v>
      </c>
      <c r="F3606" s="789">
        <f t="shared" ref="F3606:K3606" si="2579">F3550+F3552+F3555+F3559+F3567+F3571+F3573+F3580+F3585+F3589+F3591+F3595+F3597+F3600+F3602+F3563+F3583</f>
        <v>0</v>
      </c>
      <c r="G3606" s="789">
        <f t="shared" si="2579"/>
        <v>0</v>
      </c>
      <c r="H3606" s="789">
        <f t="shared" si="2579"/>
        <v>324000</v>
      </c>
      <c r="I3606" s="789">
        <f t="shared" si="2579"/>
        <v>43747152.048314273</v>
      </c>
      <c r="J3606" s="789">
        <f t="shared" si="2579"/>
        <v>-2888594</v>
      </c>
      <c r="K3606" s="789">
        <f t="shared" si="2579"/>
        <v>-197000</v>
      </c>
      <c r="L3606" s="317">
        <f t="shared" si="2569"/>
        <v>40661558.048314273</v>
      </c>
      <c r="M3606" s="317"/>
      <c r="N3606" s="372">
        <f t="shared" si="2573"/>
        <v>197000</v>
      </c>
      <c r="O3606" s="789">
        <f t="shared" ref="O3606:P3606" si="2580">O3550+O3552+O3555+O3559+O3567+O3571+O3573+O3580+O3585+O3589+O3591+O3595+O3597+O3600+O3602+O3563+O3583</f>
        <v>44727713.853145696</v>
      </c>
      <c r="P3606" s="789">
        <f t="shared" si="2580"/>
        <v>49200485.238460273</v>
      </c>
      <c r="R3606" s="317"/>
      <c r="U3606" s="320"/>
    </row>
    <row r="3607" spans="1:21" s="344" customFormat="1" outlineLevel="1">
      <c r="A3607" s="345"/>
      <c r="B3607" s="345"/>
      <c r="C3607" s="340"/>
      <c r="D3607" s="338" t="s">
        <v>672</v>
      </c>
      <c r="E3607" s="789">
        <f>E3606</f>
        <v>43423152.048314273</v>
      </c>
      <c r="F3607" s="789">
        <f t="shared" ref="F3607:P3607" si="2581">F3606</f>
        <v>0</v>
      </c>
      <c r="G3607" s="789">
        <f t="shared" si="2581"/>
        <v>0</v>
      </c>
      <c r="H3607" s="789">
        <f t="shared" si="2581"/>
        <v>324000</v>
      </c>
      <c r="I3607" s="789">
        <f t="shared" si="2581"/>
        <v>43747152.048314273</v>
      </c>
      <c r="J3607" s="789">
        <f t="shared" si="2581"/>
        <v>-2888594</v>
      </c>
      <c r="K3607" s="789">
        <f t="shared" si="2581"/>
        <v>-197000</v>
      </c>
      <c r="L3607" s="317">
        <f t="shared" si="2569"/>
        <v>40661558.048314273</v>
      </c>
      <c r="M3607" s="317"/>
      <c r="N3607" s="372">
        <f t="shared" si="2573"/>
        <v>197000</v>
      </c>
      <c r="O3607" s="789">
        <f t="shared" si="2581"/>
        <v>44727713.853145696</v>
      </c>
      <c r="P3607" s="789">
        <f t="shared" si="2581"/>
        <v>49200485.238460273</v>
      </c>
      <c r="R3607" s="317"/>
      <c r="U3607" s="320"/>
    </row>
    <row r="3608" spans="1:21" s="344" customFormat="1" outlineLevel="1">
      <c r="A3608" s="345"/>
      <c r="B3608" s="345"/>
      <c r="C3608" s="340"/>
      <c r="D3608" s="1079"/>
      <c r="E3608" s="789"/>
      <c r="F3608" s="1080"/>
      <c r="G3608" s="1080"/>
      <c r="H3608" s="1080"/>
      <c r="I3608" s="324">
        <f t="shared" ref="I3608:I3671" si="2582">E3608+F3608+G3608+H3608</f>
        <v>0</v>
      </c>
      <c r="J3608" s="1080"/>
      <c r="K3608" s="1080"/>
      <c r="L3608" s="317">
        <f t="shared" si="2569"/>
        <v>0</v>
      </c>
      <c r="M3608" s="317"/>
      <c r="N3608" s="372">
        <f t="shared" si="2573"/>
        <v>0</v>
      </c>
      <c r="O3608" s="336">
        <f t="shared" si="2557"/>
        <v>0</v>
      </c>
      <c r="P3608" s="319">
        <f t="shared" si="2572"/>
        <v>0</v>
      </c>
      <c r="R3608" s="317"/>
      <c r="U3608" s="320"/>
    </row>
    <row r="3609" spans="1:21" s="344" customFormat="1" outlineLevel="1">
      <c r="A3609" s="345"/>
      <c r="B3609" s="345"/>
      <c r="C3609" s="340" t="s">
        <v>2448</v>
      </c>
      <c r="D3609" s="1079"/>
      <c r="E3609" s="789"/>
      <c r="F3609" s="1080"/>
      <c r="G3609" s="1080"/>
      <c r="H3609" s="1080"/>
      <c r="I3609" s="324">
        <f t="shared" si="2582"/>
        <v>0</v>
      </c>
      <c r="J3609" s="1080"/>
      <c r="K3609" s="1080"/>
      <c r="L3609" s="317">
        <f t="shared" si="2569"/>
        <v>0</v>
      </c>
      <c r="M3609" s="317"/>
      <c r="N3609" s="372">
        <f t="shared" si="2573"/>
        <v>0</v>
      </c>
      <c r="O3609" s="336">
        <f t="shared" si="2557"/>
        <v>0</v>
      </c>
      <c r="P3609" s="319">
        <f t="shared" si="2572"/>
        <v>0</v>
      </c>
      <c r="R3609" s="317"/>
      <c r="U3609" s="320"/>
    </row>
    <row r="3610" spans="1:21" s="344" customFormat="1" outlineLevel="1">
      <c r="A3610" s="345"/>
      <c r="B3610" s="345"/>
      <c r="C3610" s="340" t="s">
        <v>2449</v>
      </c>
      <c r="D3610" s="1079"/>
      <c r="E3610" s="1073"/>
      <c r="F3610" s="1080"/>
      <c r="G3610" s="1080"/>
      <c r="H3610" s="1080"/>
      <c r="I3610" s="324">
        <f t="shared" si="2582"/>
        <v>0</v>
      </c>
      <c r="J3610" s="1080"/>
      <c r="K3610" s="1080"/>
      <c r="L3610" s="317">
        <f t="shared" si="2569"/>
        <v>0</v>
      </c>
      <c r="M3610" s="317"/>
      <c r="N3610" s="372">
        <f t="shared" si="2573"/>
        <v>0</v>
      </c>
      <c r="O3610" s="336">
        <f t="shared" si="2557"/>
        <v>0</v>
      </c>
      <c r="P3610" s="319">
        <f t="shared" si="2572"/>
        <v>0</v>
      </c>
      <c r="R3610" s="317"/>
      <c r="U3610" s="320"/>
    </row>
    <row r="3611" spans="1:21" s="344" customFormat="1" outlineLevel="2">
      <c r="A3611" s="345"/>
      <c r="B3611" s="345"/>
      <c r="C3611" s="339">
        <v>2210200</v>
      </c>
      <c r="D3611" s="338" t="s">
        <v>20</v>
      </c>
      <c r="E3611" s="1062">
        <f>E3613+E3612</f>
        <v>280000</v>
      </c>
      <c r="F3611" s="1062">
        <f t="shared" ref="F3611:P3611" si="2583">F3613+F3612</f>
        <v>0</v>
      </c>
      <c r="G3611" s="1062">
        <f t="shared" si="2583"/>
        <v>0</v>
      </c>
      <c r="H3611" s="1062">
        <f t="shared" si="2583"/>
        <v>0</v>
      </c>
      <c r="I3611" s="1062">
        <f t="shared" si="2583"/>
        <v>280000</v>
      </c>
      <c r="J3611" s="1062">
        <f t="shared" si="2583"/>
        <v>0</v>
      </c>
      <c r="K3611" s="1062">
        <f t="shared" si="2583"/>
        <v>-232400</v>
      </c>
      <c r="L3611" s="317">
        <f t="shared" si="2569"/>
        <v>47600</v>
      </c>
      <c r="M3611" s="317"/>
      <c r="N3611" s="372">
        <f t="shared" si="2573"/>
        <v>232400</v>
      </c>
      <c r="O3611" s="1062">
        <f t="shared" si="2583"/>
        <v>52360.000000000007</v>
      </c>
      <c r="P3611" s="1062">
        <f t="shared" si="2583"/>
        <v>57596.000000000015</v>
      </c>
      <c r="R3611" s="317"/>
      <c r="U3611" s="320"/>
    </row>
    <row r="3612" spans="1:21" s="344" customFormat="1" outlineLevel="2">
      <c r="A3612" s="345"/>
      <c r="B3612" s="345"/>
      <c r="C3612" s="1072">
        <v>2210201</v>
      </c>
      <c r="D3612" s="668" t="s">
        <v>21</v>
      </c>
      <c r="E3612" s="1060">
        <v>30000</v>
      </c>
      <c r="F3612" s="669"/>
      <c r="G3612" s="669"/>
      <c r="H3612" s="669"/>
      <c r="I3612" s="324">
        <f t="shared" si="2582"/>
        <v>30000</v>
      </c>
      <c r="J3612" s="669"/>
      <c r="K3612" s="1063">
        <v>-25000</v>
      </c>
      <c r="L3612" s="317">
        <f t="shared" si="2569"/>
        <v>5000</v>
      </c>
      <c r="M3612" s="317"/>
      <c r="N3612" s="372">
        <f t="shared" si="2573"/>
        <v>25000</v>
      </c>
      <c r="O3612" s="336">
        <f t="shared" si="2557"/>
        <v>5500</v>
      </c>
      <c r="P3612" s="319">
        <f t="shared" ref="P3612:P3636" si="2584">O3612*1.1</f>
        <v>6050.0000000000009</v>
      </c>
      <c r="R3612" s="317"/>
      <c r="U3612" s="320"/>
    </row>
    <row r="3613" spans="1:21" s="344" customFormat="1" outlineLevel="2">
      <c r="A3613" s="345"/>
      <c r="B3613" s="345"/>
      <c r="C3613" s="1072">
        <v>2210202</v>
      </c>
      <c r="D3613" s="668" t="s">
        <v>22</v>
      </c>
      <c r="E3613" s="1060">
        <v>250000</v>
      </c>
      <c r="F3613" s="669"/>
      <c r="G3613" s="669"/>
      <c r="H3613" s="669"/>
      <c r="I3613" s="324">
        <f t="shared" si="2582"/>
        <v>250000</v>
      </c>
      <c r="J3613" s="669"/>
      <c r="K3613" s="1063">
        <v>-207400</v>
      </c>
      <c r="L3613" s="317">
        <f t="shared" si="2569"/>
        <v>42600</v>
      </c>
      <c r="M3613" s="317"/>
      <c r="N3613" s="372">
        <f t="shared" si="2573"/>
        <v>207400</v>
      </c>
      <c r="O3613" s="336">
        <f t="shared" si="2557"/>
        <v>46860.000000000007</v>
      </c>
      <c r="P3613" s="319">
        <f t="shared" si="2584"/>
        <v>51546.000000000015</v>
      </c>
      <c r="R3613" s="317"/>
      <c r="U3613" s="320"/>
    </row>
    <row r="3614" spans="1:21" s="344" customFormat="1" outlineLevel="2">
      <c r="A3614" s="345"/>
      <c r="B3614" s="345"/>
      <c r="C3614" s="339">
        <v>2210300</v>
      </c>
      <c r="D3614" s="338" t="s">
        <v>24</v>
      </c>
      <c r="E3614" s="1062">
        <f>SUM(E3615:E3617)</f>
        <v>1550000</v>
      </c>
      <c r="F3614" s="1062">
        <f t="shared" ref="F3614:P3614" si="2585">SUM(F3615:F3617)</f>
        <v>0</v>
      </c>
      <c r="G3614" s="1062">
        <f t="shared" si="2585"/>
        <v>0</v>
      </c>
      <c r="H3614" s="1062">
        <f t="shared" si="2585"/>
        <v>0</v>
      </c>
      <c r="I3614" s="1062">
        <f t="shared" si="2585"/>
        <v>1550000</v>
      </c>
      <c r="J3614" s="1062">
        <f t="shared" si="2585"/>
        <v>0</v>
      </c>
      <c r="K3614" s="1062">
        <f t="shared" si="2585"/>
        <v>0</v>
      </c>
      <c r="L3614" s="317">
        <f t="shared" si="2569"/>
        <v>1550000</v>
      </c>
      <c r="M3614" s="317"/>
      <c r="N3614" s="372">
        <f t="shared" si="2573"/>
        <v>0</v>
      </c>
      <c r="O3614" s="1062">
        <f t="shared" si="2585"/>
        <v>1705000</v>
      </c>
      <c r="P3614" s="1062">
        <f t="shared" si="2585"/>
        <v>1875500</v>
      </c>
      <c r="R3614" s="317"/>
      <c r="U3614" s="320"/>
    </row>
    <row r="3615" spans="1:21" s="344" customFormat="1" outlineLevel="2">
      <c r="A3615" s="345"/>
      <c r="B3615" s="345"/>
      <c r="C3615" s="1072" t="s">
        <v>673</v>
      </c>
      <c r="D3615" s="668" t="s">
        <v>25</v>
      </c>
      <c r="E3615" s="1060">
        <v>500000</v>
      </c>
      <c r="F3615" s="669"/>
      <c r="G3615" s="669"/>
      <c r="H3615" s="669"/>
      <c r="I3615" s="324">
        <f t="shared" si="2582"/>
        <v>500000</v>
      </c>
      <c r="J3615" s="669"/>
      <c r="K3615" s="1063"/>
      <c r="L3615" s="317">
        <f t="shared" si="2569"/>
        <v>500000</v>
      </c>
      <c r="M3615" s="317"/>
      <c r="N3615" s="372">
        <f t="shared" si="2573"/>
        <v>0</v>
      </c>
      <c r="O3615" s="336">
        <f t="shared" si="2557"/>
        <v>550000</v>
      </c>
      <c r="P3615" s="319">
        <f t="shared" si="2584"/>
        <v>605000</v>
      </c>
      <c r="R3615" s="317"/>
      <c r="U3615" s="320"/>
    </row>
    <row r="3616" spans="1:21" s="344" customFormat="1" outlineLevel="2">
      <c r="A3616" s="345"/>
      <c r="B3616" s="345"/>
      <c r="C3616" s="1072">
        <v>2210302</v>
      </c>
      <c r="D3616" s="668" t="s">
        <v>26</v>
      </c>
      <c r="E3616" s="1060">
        <v>500000</v>
      </c>
      <c r="F3616" s="669"/>
      <c r="G3616" s="669"/>
      <c r="H3616" s="669"/>
      <c r="I3616" s="324">
        <f t="shared" si="2582"/>
        <v>500000</v>
      </c>
      <c r="J3616" s="669"/>
      <c r="K3616" s="1063"/>
      <c r="L3616" s="317">
        <f t="shared" si="2569"/>
        <v>500000</v>
      </c>
      <c r="M3616" s="317"/>
      <c r="N3616" s="372">
        <f t="shared" si="2573"/>
        <v>0</v>
      </c>
      <c r="O3616" s="336">
        <f t="shared" si="2557"/>
        <v>550000</v>
      </c>
      <c r="P3616" s="319">
        <f t="shared" si="2584"/>
        <v>605000</v>
      </c>
      <c r="R3616" s="317"/>
      <c r="U3616" s="320"/>
    </row>
    <row r="3617" spans="1:21" s="344" customFormat="1" outlineLevel="2">
      <c r="A3617" s="345"/>
      <c r="B3617" s="345"/>
      <c r="C3617" s="1072">
        <v>2210303</v>
      </c>
      <c r="D3617" s="668" t="s">
        <v>27</v>
      </c>
      <c r="E3617" s="1060">
        <v>550000</v>
      </c>
      <c r="F3617" s="669"/>
      <c r="G3617" s="669"/>
      <c r="H3617" s="669"/>
      <c r="I3617" s="324">
        <f t="shared" si="2582"/>
        <v>550000</v>
      </c>
      <c r="J3617" s="669"/>
      <c r="K3617" s="1063"/>
      <c r="L3617" s="317">
        <f t="shared" si="2569"/>
        <v>550000</v>
      </c>
      <c r="M3617" s="317"/>
      <c r="N3617" s="372">
        <f t="shared" si="2573"/>
        <v>0</v>
      </c>
      <c r="O3617" s="336">
        <f t="shared" si="2557"/>
        <v>605000</v>
      </c>
      <c r="P3617" s="319">
        <f t="shared" si="2584"/>
        <v>665500</v>
      </c>
      <c r="R3617" s="317"/>
      <c r="U3617" s="320"/>
    </row>
    <row r="3618" spans="1:21" s="344" customFormat="1" outlineLevel="2">
      <c r="A3618" s="345"/>
      <c r="B3618" s="345"/>
      <c r="C3618" s="339">
        <v>2210500</v>
      </c>
      <c r="D3618" s="338" t="s">
        <v>31</v>
      </c>
      <c r="E3618" s="1062">
        <f>SUM(E3619:E3621)</f>
        <v>650000</v>
      </c>
      <c r="F3618" s="1062">
        <f t="shared" ref="F3618:K3618" si="2586">SUM(F3619:F3621)</f>
        <v>0</v>
      </c>
      <c r="G3618" s="1062">
        <f t="shared" si="2586"/>
        <v>0</v>
      </c>
      <c r="H3618" s="1062">
        <f t="shared" si="2586"/>
        <v>0</v>
      </c>
      <c r="I3618" s="1062">
        <f t="shared" si="2586"/>
        <v>650000</v>
      </c>
      <c r="J3618" s="1062">
        <f t="shared" si="2586"/>
        <v>0</v>
      </c>
      <c r="K3618" s="1062">
        <f t="shared" si="2586"/>
        <v>-25960</v>
      </c>
      <c r="L3618" s="317">
        <f t="shared" si="2569"/>
        <v>624040</v>
      </c>
      <c r="M3618" s="317"/>
      <c r="N3618" s="372">
        <f t="shared" si="2573"/>
        <v>25960</v>
      </c>
      <c r="O3618" s="1062">
        <f t="shared" ref="O3618:P3618" si="2587">SUM(O3619:O3621)</f>
        <v>686444</v>
      </c>
      <c r="P3618" s="1062">
        <f t="shared" si="2587"/>
        <v>755088.40000000014</v>
      </c>
      <c r="R3618" s="317"/>
      <c r="U3618" s="320"/>
    </row>
    <row r="3619" spans="1:21" s="344" customFormat="1" outlineLevel="2">
      <c r="A3619" s="345"/>
      <c r="B3619" s="345"/>
      <c r="C3619" s="1072">
        <v>2210502</v>
      </c>
      <c r="D3619" s="668" t="s">
        <v>105</v>
      </c>
      <c r="E3619" s="1060">
        <v>300000</v>
      </c>
      <c r="F3619" s="669"/>
      <c r="G3619" s="669"/>
      <c r="H3619" s="669"/>
      <c r="I3619" s="324">
        <f t="shared" si="2582"/>
        <v>300000</v>
      </c>
      <c r="J3619" s="669"/>
      <c r="K3619" s="1063">
        <v>-25960</v>
      </c>
      <c r="L3619" s="317">
        <f t="shared" si="2569"/>
        <v>274040</v>
      </c>
      <c r="M3619" s="317"/>
      <c r="N3619" s="372">
        <f t="shared" si="2573"/>
        <v>25960</v>
      </c>
      <c r="O3619" s="336">
        <f t="shared" si="2557"/>
        <v>301444</v>
      </c>
      <c r="P3619" s="319">
        <f t="shared" si="2584"/>
        <v>331588.40000000002</v>
      </c>
      <c r="R3619" s="317"/>
      <c r="U3619" s="320"/>
    </row>
    <row r="3620" spans="1:21" s="344" customFormat="1" outlineLevel="2">
      <c r="A3620" s="345"/>
      <c r="B3620" s="345"/>
      <c r="C3620" s="1072">
        <v>2210503</v>
      </c>
      <c r="D3620" s="668" t="s">
        <v>32</v>
      </c>
      <c r="E3620" s="1060">
        <v>150000</v>
      </c>
      <c r="F3620" s="669"/>
      <c r="G3620" s="669"/>
      <c r="H3620" s="669"/>
      <c r="I3620" s="324">
        <f t="shared" si="2582"/>
        <v>150000</v>
      </c>
      <c r="J3620" s="669"/>
      <c r="K3620" s="1063"/>
      <c r="L3620" s="317">
        <f t="shared" si="2569"/>
        <v>150000</v>
      </c>
      <c r="M3620" s="317"/>
      <c r="N3620" s="372">
        <f t="shared" si="2573"/>
        <v>0</v>
      </c>
      <c r="O3620" s="336">
        <f t="shared" si="2557"/>
        <v>165000</v>
      </c>
      <c r="P3620" s="319">
        <f t="shared" si="2584"/>
        <v>181500.00000000003</v>
      </c>
      <c r="R3620" s="317"/>
      <c r="U3620" s="320"/>
    </row>
    <row r="3621" spans="1:21" s="344" customFormat="1" outlineLevel="2">
      <c r="A3621" s="345"/>
      <c r="B3621" s="345"/>
      <c r="C3621" s="1072">
        <v>2210504</v>
      </c>
      <c r="D3621" s="668" t="s">
        <v>33</v>
      </c>
      <c r="E3621" s="1060">
        <v>200000</v>
      </c>
      <c r="F3621" s="669"/>
      <c r="G3621" s="669"/>
      <c r="H3621" s="669"/>
      <c r="I3621" s="324">
        <f t="shared" si="2582"/>
        <v>200000</v>
      </c>
      <c r="J3621" s="669"/>
      <c r="K3621" s="1063"/>
      <c r="L3621" s="317">
        <f t="shared" si="2569"/>
        <v>200000</v>
      </c>
      <c r="M3621" s="317"/>
      <c r="N3621" s="372">
        <f t="shared" si="2573"/>
        <v>0</v>
      </c>
      <c r="O3621" s="336">
        <f t="shared" si="2557"/>
        <v>220000.00000000003</v>
      </c>
      <c r="P3621" s="319">
        <f t="shared" si="2584"/>
        <v>242000.00000000006</v>
      </c>
      <c r="R3621" s="317"/>
      <c r="U3621" s="320"/>
    </row>
    <row r="3622" spans="1:21" s="344" customFormat="1" outlineLevel="2">
      <c r="A3622" s="345"/>
      <c r="B3622" s="345"/>
      <c r="C3622" s="1081">
        <v>2210600</v>
      </c>
      <c r="D3622" s="1082" t="s">
        <v>154</v>
      </c>
      <c r="E3622" s="1083">
        <f>E3623</f>
        <v>0</v>
      </c>
      <c r="F3622" s="1084"/>
      <c r="G3622" s="1084"/>
      <c r="H3622" s="1084"/>
      <c r="I3622" s="324">
        <f t="shared" si="2582"/>
        <v>0</v>
      </c>
      <c r="J3622" s="1084"/>
      <c r="K3622" s="1085"/>
      <c r="L3622" s="317">
        <f t="shared" si="2569"/>
        <v>0</v>
      </c>
      <c r="M3622" s="317"/>
      <c r="N3622" s="372">
        <f t="shared" si="2573"/>
        <v>0</v>
      </c>
      <c r="O3622" s="336">
        <f t="shared" si="2557"/>
        <v>0</v>
      </c>
      <c r="P3622" s="1086">
        <f t="shared" ref="P3622" si="2588">P3623</f>
        <v>0</v>
      </c>
      <c r="R3622" s="317"/>
      <c r="U3622" s="320"/>
    </row>
    <row r="3623" spans="1:21" s="344" customFormat="1" outlineLevel="2">
      <c r="A3623" s="345"/>
      <c r="B3623" s="345"/>
      <c r="C3623" s="1072">
        <v>2210603</v>
      </c>
      <c r="D3623" s="668" t="s">
        <v>489</v>
      </c>
      <c r="E3623" s="1060">
        <f>411000-411000</f>
        <v>0</v>
      </c>
      <c r="F3623" s="669"/>
      <c r="G3623" s="669"/>
      <c r="H3623" s="669"/>
      <c r="I3623" s="324">
        <f t="shared" si="2582"/>
        <v>0</v>
      </c>
      <c r="J3623" s="669"/>
      <c r="K3623" s="1063"/>
      <c r="L3623" s="317">
        <f t="shared" si="2569"/>
        <v>0</v>
      </c>
      <c r="M3623" s="317"/>
      <c r="N3623" s="372">
        <f t="shared" si="2573"/>
        <v>0</v>
      </c>
      <c r="O3623" s="336">
        <f t="shared" si="2557"/>
        <v>0</v>
      </c>
      <c r="P3623" s="319">
        <f t="shared" si="2584"/>
        <v>0</v>
      </c>
      <c r="R3623" s="317"/>
      <c r="U3623" s="320"/>
    </row>
    <row r="3624" spans="1:21" s="344" customFormat="1" outlineLevel="2">
      <c r="A3624" s="345"/>
      <c r="B3624" s="345"/>
      <c r="C3624" s="339">
        <v>2210700</v>
      </c>
      <c r="D3624" s="338" t="s">
        <v>35</v>
      </c>
      <c r="E3624" s="1062">
        <f>E3631+E3630+E3629+E3628+E3627+E3626+E3625</f>
        <v>1900000</v>
      </c>
      <c r="F3624" s="1062">
        <f t="shared" ref="F3624:K3624" si="2589">F3631+F3630+F3629+F3628+F3627+F3626+F3625</f>
        <v>0</v>
      </c>
      <c r="G3624" s="1062">
        <f t="shared" si="2589"/>
        <v>0</v>
      </c>
      <c r="H3624" s="1062">
        <f t="shared" si="2589"/>
        <v>0</v>
      </c>
      <c r="I3624" s="1062">
        <f t="shared" si="2589"/>
        <v>1900000</v>
      </c>
      <c r="J3624" s="1062">
        <f t="shared" si="2589"/>
        <v>0</v>
      </c>
      <c r="K3624" s="1062">
        <f t="shared" si="2589"/>
        <v>-192098</v>
      </c>
      <c r="L3624" s="317">
        <f t="shared" si="2569"/>
        <v>1707902</v>
      </c>
      <c r="M3624" s="317"/>
      <c r="N3624" s="372">
        <f t="shared" si="2573"/>
        <v>192098</v>
      </c>
      <c r="O3624" s="1062">
        <f t="shared" ref="O3624:P3624" si="2590">O3631+O3630+O3629+O3628+O3627+O3626+O3625</f>
        <v>1878692.2000000002</v>
      </c>
      <c r="P3624" s="1062">
        <f t="shared" si="2590"/>
        <v>2066561.4200000004</v>
      </c>
      <c r="R3624" s="317"/>
      <c r="U3624" s="320"/>
    </row>
    <row r="3625" spans="1:21" s="344" customFormat="1" outlineLevel="2">
      <c r="A3625" s="345"/>
      <c r="B3625" s="345"/>
      <c r="C3625" s="1072">
        <v>2210701</v>
      </c>
      <c r="D3625" s="668" t="s">
        <v>36</v>
      </c>
      <c r="E3625" s="1060">
        <v>650000</v>
      </c>
      <c r="F3625" s="669"/>
      <c r="G3625" s="669"/>
      <c r="H3625" s="669"/>
      <c r="I3625" s="324">
        <f t="shared" si="2582"/>
        <v>650000</v>
      </c>
      <c r="J3625" s="669"/>
      <c r="K3625" s="1063"/>
      <c r="L3625" s="317">
        <f t="shared" si="2569"/>
        <v>650000</v>
      </c>
      <c r="M3625" s="317"/>
      <c r="N3625" s="372">
        <f t="shared" si="2573"/>
        <v>0</v>
      </c>
      <c r="O3625" s="336">
        <f t="shared" si="2557"/>
        <v>715000</v>
      </c>
      <c r="P3625" s="319">
        <f t="shared" si="2584"/>
        <v>786500.00000000012</v>
      </c>
      <c r="R3625" s="317"/>
      <c r="U3625" s="320"/>
    </row>
    <row r="3626" spans="1:21" s="344" customFormat="1" outlineLevel="2">
      <c r="A3626" s="345"/>
      <c r="B3626" s="345"/>
      <c r="C3626" s="1072">
        <v>2210703</v>
      </c>
      <c r="D3626" s="668" t="s">
        <v>107</v>
      </c>
      <c r="E3626" s="1060">
        <v>50000</v>
      </c>
      <c r="F3626" s="669"/>
      <c r="G3626" s="669"/>
      <c r="H3626" s="669"/>
      <c r="I3626" s="324">
        <f t="shared" si="2582"/>
        <v>50000</v>
      </c>
      <c r="J3626" s="669"/>
      <c r="K3626" s="1063">
        <v>-50000</v>
      </c>
      <c r="L3626" s="317">
        <f t="shared" si="2569"/>
        <v>0</v>
      </c>
      <c r="M3626" s="317"/>
      <c r="N3626" s="372">
        <f t="shared" si="2573"/>
        <v>50000</v>
      </c>
      <c r="O3626" s="336">
        <f t="shared" si="2557"/>
        <v>0</v>
      </c>
      <c r="P3626" s="319">
        <f t="shared" si="2584"/>
        <v>0</v>
      </c>
      <c r="R3626" s="317"/>
      <c r="U3626" s="320"/>
    </row>
    <row r="3627" spans="1:21" s="344" customFormat="1" outlineLevel="2">
      <c r="A3627" s="345"/>
      <c r="B3627" s="345"/>
      <c r="C3627" s="1072">
        <v>2210704</v>
      </c>
      <c r="D3627" s="668" t="s">
        <v>38</v>
      </c>
      <c r="E3627" s="1060">
        <v>100000</v>
      </c>
      <c r="F3627" s="669"/>
      <c r="G3627" s="669"/>
      <c r="H3627" s="669"/>
      <c r="I3627" s="324">
        <f t="shared" si="2582"/>
        <v>100000</v>
      </c>
      <c r="J3627" s="669"/>
      <c r="K3627" s="1063">
        <v>-100000</v>
      </c>
      <c r="L3627" s="317">
        <f t="shared" si="2569"/>
        <v>0</v>
      </c>
      <c r="M3627" s="317"/>
      <c r="N3627" s="372">
        <f t="shared" si="2573"/>
        <v>100000</v>
      </c>
      <c r="O3627" s="336">
        <f t="shared" ref="O3627:O3690" si="2591">L3627*1.1</f>
        <v>0</v>
      </c>
      <c r="P3627" s="319">
        <f t="shared" si="2584"/>
        <v>0</v>
      </c>
      <c r="R3627" s="317"/>
      <c r="U3627" s="320"/>
    </row>
    <row r="3628" spans="1:21" s="344" customFormat="1" outlineLevel="2">
      <c r="A3628" s="345"/>
      <c r="B3628" s="345"/>
      <c r="C3628" s="1072">
        <v>2210710</v>
      </c>
      <c r="D3628" s="668" t="s">
        <v>39</v>
      </c>
      <c r="E3628" s="1060">
        <v>400000</v>
      </c>
      <c r="F3628" s="669"/>
      <c r="G3628" s="669"/>
      <c r="H3628" s="669"/>
      <c r="I3628" s="324">
        <f t="shared" si="2582"/>
        <v>400000</v>
      </c>
      <c r="J3628" s="669"/>
      <c r="K3628" s="1063"/>
      <c r="L3628" s="317">
        <f t="shared" si="2569"/>
        <v>400000</v>
      </c>
      <c r="M3628" s="317"/>
      <c r="N3628" s="372">
        <f t="shared" si="2573"/>
        <v>0</v>
      </c>
      <c r="O3628" s="336">
        <f t="shared" si="2591"/>
        <v>440000.00000000006</v>
      </c>
      <c r="P3628" s="319">
        <f t="shared" si="2584"/>
        <v>484000.00000000012</v>
      </c>
      <c r="R3628" s="317"/>
      <c r="U3628" s="320"/>
    </row>
    <row r="3629" spans="1:21" s="344" customFormat="1" outlineLevel="2">
      <c r="A3629" s="345"/>
      <c r="B3629" s="345"/>
      <c r="C3629" s="667">
        <v>2210711</v>
      </c>
      <c r="D3629" s="1075" t="s">
        <v>281</v>
      </c>
      <c r="E3629" s="1060">
        <v>300000</v>
      </c>
      <c r="F3629" s="672"/>
      <c r="G3629" s="672"/>
      <c r="H3629" s="672"/>
      <c r="I3629" s="324">
        <f t="shared" si="2582"/>
        <v>300000</v>
      </c>
      <c r="J3629" s="672"/>
      <c r="K3629" s="1076">
        <v>-42098</v>
      </c>
      <c r="L3629" s="317">
        <f t="shared" si="2569"/>
        <v>257902</v>
      </c>
      <c r="M3629" s="317"/>
      <c r="N3629" s="372">
        <f t="shared" si="2573"/>
        <v>42098</v>
      </c>
      <c r="O3629" s="336">
        <f t="shared" si="2591"/>
        <v>283692.2</v>
      </c>
      <c r="P3629" s="319">
        <f t="shared" si="2584"/>
        <v>312061.42000000004</v>
      </c>
      <c r="R3629" s="317"/>
      <c r="U3629" s="320"/>
    </row>
    <row r="3630" spans="1:21" s="344" customFormat="1" outlineLevel="2">
      <c r="A3630" s="345"/>
      <c r="B3630" s="345"/>
      <c r="C3630" s="1077">
        <v>2210715</v>
      </c>
      <c r="D3630" s="1078" t="s">
        <v>40</v>
      </c>
      <c r="E3630" s="1060">
        <v>50000</v>
      </c>
      <c r="F3630" s="669"/>
      <c r="G3630" s="669"/>
      <c r="H3630" s="669"/>
      <c r="I3630" s="324">
        <f t="shared" si="2582"/>
        <v>50000</v>
      </c>
      <c r="J3630" s="669"/>
      <c r="K3630" s="1063"/>
      <c r="L3630" s="317">
        <f t="shared" si="2569"/>
        <v>50000</v>
      </c>
      <c r="M3630" s="317"/>
      <c r="N3630" s="372">
        <f t="shared" si="2573"/>
        <v>0</v>
      </c>
      <c r="O3630" s="336">
        <f t="shared" si="2591"/>
        <v>55000.000000000007</v>
      </c>
      <c r="P3630" s="319">
        <f t="shared" si="2584"/>
        <v>60500.000000000015</v>
      </c>
      <c r="R3630" s="317"/>
      <c r="U3630" s="320"/>
    </row>
    <row r="3631" spans="1:21" s="344" customFormat="1" outlineLevel="2">
      <c r="A3631" s="345"/>
      <c r="B3631" s="345"/>
      <c r="C3631" s="667">
        <v>2210799</v>
      </c>
      <c r="D3631" s="668" t="s">
        <v>665</v>
      </c>
      <c r="E3631" s="1060">
        <v>350000</v>
      </c>
      <c r="F3631" s="669"/>
      <c r="G3631" s="669"/>
      <c r="H3631" s="669"/>
      <c r="I3631" s="324">
        <f t="shared" si="2582"/>
        <v>350000</v>
      </c>
      <c r="J3631" s="669"/>
      <c r="K3631" s="1063"/>
      <c r="L3631" s="317">
        <f t="shared" si="2569"/>
        <v>350000</v>
      </c>
      <c r="M3631" s="317"/>
      <c r="N3631" s="372">
        <f t="shared" si="2573"/>
        <v>0</v>
      </c>
      <c r="O3631" s="336">
        <f t="shared" si="2591"/>
        <v>385000.00000000006</v>
      </c>
      <c r="P3631" s="319">
        <f t="shared" si="2584"/>
        <v>423500.00000000012</v>
      </c>
      <c r="R3631" s="317"/>
      <c r="U3631" s="320"/>
    </row>
    <row r="3632" spans="1:21" s="350" customFormat="1" outlineLevel="2">
      <c r="A3632" s="345"/>
      <c r="B3632" s="345"/>
      <c r="C3632" s="339">
        <v>2210800</v>
      </c>
      <c r="D3632" s="338" t="s">
        <v>42</v>
      </c>
      <c r="E3632" s="1062">
        <f>SUM(E3633:E3634)</f>
        <v>1825000</v>
      </c>
      <c r="F3632" s="1062">
        <f t="shared" ref="F3632:K3632" si="2592">SUM(F3633:F3634)</f>
        <v>0</v>
      </c>
      <c r="G3632" s="1062">
        <f t="shared" si="2592"/>
        <v>0</v>
      </c>
      <c r="H3632" s="1062">
        <f t="shared" si="2592"/>
        <v>0</v>
      </c>
      <c r="I3632" s="1062">
        <f t="shared" si="2592"/>
        <v>1825000</v>
      </c>
      <c r="J3632" s="1062">
        <f t="shared" si="2592"/>
        <v>0</v>
      </c>
      <c r="K3632" s="1062">
        <f t="shared" si="2592"/>
        <v>495458</v>
      </c>
      <c r="L3632" s="317">
        <f t="shared" si="2569"/>
        <v>2320458</v>
      </c>
      <c r="M3632" s="317"/>
      <c r="N3632" s="372">
        <f t="shared" si="2573"/>
        <v>-495458</v>
      </c>
      <c r="O3632" s="1062">
        <f t="shared" ref="O3632:P3632" si="2593">SUM(O3633:O3634)</f>
        <v>2552503.7999999998</v>
      </c>
      <c r="P3632" s="1062">
        <f t="shared" si="2593"/>
        <v>2807754.18</v>
      </c>
      <c r="R3632" s="317"/>
      <c r="U3632" s="320"/>
    </row>
    <row r="3633" spans="1:21" s="344" customFormat="1" outlineLevel="2">
      <c r="A3633" s="345"/>
      <c r="B3633" s="345"/>
      <c r="C3633" s="1072">
        <v>2210801</v>
      </c>
      <c r="D3633" s="668" t="s">
        <v>2421</v>
      </c>
      <c r="E3633" s="1060">
        <v>625000</v>
      </c>
      <c r="F3633" s="669"/>
      <c r="G3633" s="669"/>
      <c r="H3633" s="669"/>
      <c r="I3633" s="324">
        <f t="shared" si="2582"/>
        <v>625000</v>
      </c>
      <c r="J3633" s="669"/>
      <c r="K3633" s="1063"/>
      <c r="L3633" s="317">
        <f t="shared" si="2569"/>
        <v>625000</v>
      </c>
      <c r="M3633" s="317"/>
      <c r="N3633" s="372">
        <f t="shared" si="2573"/>
        <v>0</v>
      </c>
      <c r="O3633" s="336">
        <f t="shared" si="2591"/>
        <v>687500</v>
      </c>
      <c r="P3633" s="319">
        <f t="shared" si="2584"/>
        <v>756250.00000000012</v>
      </c>
      <c r="R3633" s="317"/>
      <c r="U3633" s="320"/>
    </row>
    <row r="3634" spans="1:21" s="344" customFormat="1" outlineLevel="2">
      <c r="A3634" s="356"/>
      <c r="B3634" s="356"/>
      <c r="C3634" s="1072">
        <v>2210802</v>
      </c>
      <c r="D3634" s="668" t="s">
        <v>97</v>
      </c>
      <c r="E3634" s="1060">
        <f>2000000-300000-500000</f>
        <v>1200000</v>
      </c>
      <c r="F3634" s="669"/>
      <c r="G3634" s="669"/>
      <c r="H3634" s="669"/>
      <c r="I3634" s="324">
        <f t="shared" si="2582"/>
        <v>1200000</v>
      </c>
      <c r="J3634" s="669"/>
      <c r="K3634" s="1063">
        <v>495458</v>
      </c>
      <c r="L3634" s="317">
        <f t="shared" si="2569"/>
        <v>1695458</v>
      </c>
      <c r="M3634" s="317"/>
      <c r="N3634" s="372">
        <f t="shared" si="2573"/>
        <v>-495458</v>
      </c>
      <c r="O3634" s="336">
        <f t="shared" si="2591"/>
        <v>1865003.8</v>
      </c>
      <c r="P3634" s="319">
        <f t="shared" si="2584"/>
        <v>2051504.1800000002</v>
      </c>
      <c r="R3634" s="317"/>
      <c r="U3634" s="320"/>
    </row>
    <row r="3635" spans="1:21" s="344" customFormat="1" outlineLevel="2">
      <c r="A3635" s="345"/>
      <c r="B3635" s="345"/>
      <c r="C3635" s="339">
        <v>2210900</v>
      </c>
      <c r="D3635" s="338" t="s">
        <v>46</v>
      </c>
      <c r="E3635" s="1062">
        <f>E3636</f>
        <v>45000</v>
      </c>
      <c r="F3635" s="1062">
        <f t="shared" ref="F3635:P3635" si="2594">F3636</f>
        <v>0</v>
      </c>
      <c r="G3635" s="1062">
        <f t="shared" si="2594"/>
        <v>0</v>
      </c>
      <c r="H3635" s="1062">
        <f t="shared" si="2594"/>
        <v>0</v>
      </c>
      <c r="I3635" s="1062">
        <f t="shared" si="2594"/>
        <v>45000</v>
      </c>
      <c r="J3635" s="1062">
        <f t="shared" si="2594"/>
        <v>0</v>
      </c>
      <c r="K3635" s="1062">
        <f t="shared" si="2594"/>
        <v>-45000</v>
      </c>
      <c r="L3635" s="317">
        <f t="shared" si="2569"/>
        <v>0</v>
      </c>
      <c r="M3635" s="317"/>
      <c r="N3635" s="372">
        <f t="shared" si="2573"/>
        <v>45000</v>
      </c>
      <c r="O3635" s="1062">
        <f t="shared" si="2594"/>
        <v>0</v>
      </c>
      <c r="P3635" s="1062">
        <f t="shared" si="2594"/>
        <v>0</v>
      </c>
      <c r="R3635" s="317"/>
      <c r="U3635" s="320"/>
    </row>
    <row r="3636" spans="1:21" s="344" customFormat="1" outlineLevel="2">
      <c r="A3636" s="345"/>
      <c r="B3636" s="345"/>
      <c r="C3636" s="1072">
        <v>2210901</v>
      </c>
      <c r="D3636" s="668" t="s">
        <v>668</v>
      </c>
      <c r="E3636" s="1060">
        <v>45000</v>
      </c>
      <c r="F3636" s="669"/>
      <c r="G3636" s="669"/>
      <c r="H3636" s="669"/>
      <c r="I3636" s="324">
        <f t="shared" si="2582"/>
        <v>45000</v>
      </c>
      <c r="J3636" s="669"/>
      <c r="K3636" s="1063">
        <v>-45000</v>
      </c>
      <c r="L3636" s="317">
        <f t="shared" si="2569"/>
        <v>0</v>
      </c>
      <c r="M3636" s="317"/>
      <c r="N3636" s="372">
        <f t="shared" si="2573"/>
        <v>45000</v>
      </c>
      <c r="O3636" s="336">
        <f t="shared" si="2591"/>
        <v>0</v>
      </c>
      <c r="P3636" s="319">
        <f t="shared" si="2584"/>
        <v>0</v>
      </c>
      <c r="R3636" s="317"/>
      <c r="U3636" s="320"/>
    </row>
    <row r="3637" spans="1:21" s="344" customFormat="1" outlineLevel="2">
      <c r="A3637" s="345"/>
      <c r="B3637" s="345"/>
      <c r="C3637" s="339">
        <v>2211100</v>
      </c>
      <c r="D3637" s="338" t="s">
        <v>51</v>
      </c>
      <c r="E3637" s="1062">
        <f>SUM(E3638:E3640)</f>
        <v>820000</v>
      </c>
      <c r="F3637" s="1062">
        <f t="shared" ref="F3637:K3637" si="2595">SUM(F3638:F3640)</f>
        <v>0</v>
      </c>
      <c r="G3637" s="1062">
        <f t="shared" si="2595"/>
        <v>0</v>
      </c>
      <c r="H3637" s="1062">
        <f t="shared" si="2595"/>
        <v>250000</v>
      </c>
      <c r="I3637" s="1062">
        <f t="shared" si="2595"/>
        <v>1070000</v>
      </c>
      <c r="J3637" s="1062">
        <f t="shared" si="2595"/>
        <v>0</v>
      </c>
      <c r="K3637" s="1062">
        <f t="shared" si="2595"/>
        <v>0</v>
      </c>
      <c r="L3637" s="317">
        <f t="shared" si="2569"/>
        <v>1070000</v>
      </c>
      <c r="M3637" s="317"/>
      <c r="N3637" s="372">
        <f t="shared" si="2573"/>
        <v>0</v>
      </c>
      <c r="O3637" s="1062">
        <f t="shared" ref="O3637:P3637" si="2596">SUM(O3638:O3640)</f>
        <v>1177000</v>
      </c>
      <c r="P3637" s="1062">
        <f t="shared" si="2596"/>
        <v>1294700.0000000002</v>
      </c>
      <c r="R3637" s="317"/>
      <c r="U3637" s="320"/>
    </row>
    <row r="3638" spans="1:21" s="344" customFormat="1" outlineLevel="2">
      <c r="A3638" s="345"/>
      <c r="B3638" s="345"/>
      <c r="C3638" s="1072">
        <v>2211101</v>
      </c>
      <c r="D3638" s="668" t="s">
        <v>52</v>
      </c>
      <c r="E3638" s="1060">
        <v>620000</v>
      </c>
      <c r="F3638" s="669"/>
      <c r="G3638" s="669"/>
      <c r="H3638" s="1073">
        <v>250000</v>
      </c>
      <c r="I3638" s="324">
        <f t="shared" si="2582"/>
        <v>870000</v>
      </c>
      <c r="J3638" s="1073"/>
      <c r="K3638" s="1074"/>
      <c r="L3638" s="317">
        <f t="shared" si="2569"/>
        <v>870000</v>
      </c>
      <c r="M3638" s="317"/>
      <c r="N3638" s="372">
        <f t="shared" si="2573"/>
        <v>0</v>
      </c>
      <c r="O3638" s="336">
        <f t="shared" si="2591"/>
        <v>957000.00000000012</v>
      </c>
      <c r="P3638" s="319">
        <f t="shared" ref="P3638:P3657" si="2597">O3638*1.1</f>
        <v>1052700.0000000002</v>
      </c>
      <c r="R3638" s="317"/>
      <c r="U3638" s="320"/>
    </row>
    <row r="3639" spans="1:21" s="344" customFormat="1" outlineLevel="2">
      <c r="A3639" s="345"/>
      <c r="B3639" s="345"/>
      <c r="C3639" s="1072">
        <v>2211102</v>
      </c>
      <c r="D3639" s="668" t="s">
        <v>53</v>
      </c>
      <c r="E3639" s="1060">
        <v>160000</v>
      </c>
      <c r="F3639" s="669"/>
      <c r="G3639" s="669"/>
      <c r="H3639" s="669"/>
      <c r="I3639" s="324">
        <f t="shared" si="2582"/>
        <v>160000</v>
      </c>
      <c r="J3639" s="669"/>
      <c r="K3639" s="1063"/>
      <c r="L3639" s="317">
        <f t="shared" si="2569"/>
        <v>160000</v>
      </c>
      <c r="M3639" s="317"/>
      <c r="N3639" s="372">
        <f t="shared" si="2573"/>
        <v>0</v>
      </c>
      <c r="O3639" s="336">
        <f t="shared" si="2591"/>
        <v>176000</v>
      </c>
      <c r="P3639" s="319">
        <f t="shared" si="2597"/>
        <v>193600.00000000003</v>
      </c>
      <c r="R3639" s="317"/>
      <c r="U3639" s="320"/>
    </row>
    <row r="3640" spans="1:21" s="344" customFormat="1" outlineLevel="2">
      <c r="A3640" s="345"/>
      <c r="B3640" s="345"/>
      <c r="C3640" s="1072">
        <v>2211103</v>
      </c>
      <c r="D3640" s="668" t="s">
        <v>54</v>
      </c>
      <c r="E3640" s="1060">
        <v>40000</v>
      </c>
      <c r="F3640" s="669"/>
      <c r="G3640" s="669"/>
      <c r="H3640" s="669"/>
      <c r="I3640" s="324">
        <f t="shared" si="2582"/>
        <v>40000</v>
      </c>
      <c r="J3640" s="669"/>
      <c r="K3640" s="1063"/>
      <c r="L3640" s="317">
        <f t="shared" si="2569"/>
        <v>40000</v>
      </c>
      <c r="M3640" s="317"/>
      <c r="N3640" s="372">
        <f t="shared" si="2573"/>
        <v>0</v>
      </c>
      <c r="O3640" s="336">
        <f t="shared" si="2591"/>
        <v>44000</v>
      </c>
      <c r="P3640" s="319">
        <f t="shared" si="2597"/>
        <v>48400.000000000007</v>
      </c>
      <c r="R3640" s="317"/>
      <c r="U3640" s="320"/>
    </row>
    <row r="3641" spans="1:21" s="344" customFormat="1" outlineLevel="2">
      <c r="A3641" s="345"/>
      <c r="B3641" s="345"/>
      <c r="C3641" s="339">
        <v>2211200</v>
      </c>
      <c r="D3641" s="338" t="s">
        <v>55</v>
      </c>
      <c r="E3641" s="1062">
        <f>E3642</f>
        <v>800000</v>
      </c>
      <c r="F3641" s="1062">
        <f t="shared" ref="F3641:K3641" si="2598">F3642</f>
        <v>0</v>
      </c>
      <c r="G3641" s="1062">
        <f t="shared" si="2598"/>
        <v>0</v>
      </c>
      <c r="H3641" s="1062">
        <f t="shared" si="2598"/>
        <v>0</v>
      </c>
      <c r="I3641" s="1062">
        <f t="shared" si="2598"/>
        <v>800000</v>
      </c>
      <c r="J3641" s="1062">
        <f t="shared" si="2598"/>
        <v>0</v>
      </c>
      <c r="K3641" s="1062">
        <f t="shared" si="2598"/>
        <v>0</v>
      </c>
      <c r="L3641" s="317">
        <f t="shared" si="2569"/>
        <v>800000</v>
      </c>
      <c r="M3641" s="317"/>
      <c r="N3641" s="372">
        <f t="shared" si="2573"/>
        <v>0</v>
      </c>
      <c r="O3641" s="1062">
        <f t="shared" ref="O3641:P3641" si="2599">O3642</f>
        <v>880000.00000000012</v>
      </c>
      <c r="P3641" s="1062">
        <f t="shared" si="2599"/>
        <v>968000.00000000023</v>
      </c>
      <c r="R3641" s="317"/>
      <c r="U3641" s="320"/>
    </row>
    <row r="3642" spans="1:21" s="344" customFormat="1" outlineLevel="2">
      <c r="A3642" s="345"/>
      <c r="B3642" s="345"/>
      <c r="C3642" s="1072">
        <v>2211201</v>
      </c>
      <c r="D3642" s="668" t="s">
        <v>56</v>
      </c>
      <c r="E3642" s="1060">
        <v>800000</v>
      </c>
      <c r="F3642" s="669"/>
      <c r="G3642" s="669"/>
      <c r="H3642" s="669"/>
      <c r="I3642" s="324">
        <f t="shared" si="2582"/>
        <v>800000</v>
      </c>
      <c r="J3642" s="669"/>
      <c r="K3642" s="1063"/>
      <c r="L3642" s="317">
        <f t="shared" si="2569"/>
        <v>800000</v>
      </c>
      <c r="M3642" s="317"/>
      <c r="N3642" s="372">
        <f t="shared" si="2573"/>
        <v>0</v>
      </c>
      <c r="O3642" s="336">
        <f t="shared" si="2591"/>
        <v>880000.00000000012</v>
      </c>
      <c r="P3642" s="319">
        <f t="shared" si="2597"/>
        <v>968000.00000000023</v>
      </c>
      <c r="R3642" s="317"/>
      <c r="U3642" s="320"/>
    </row>
    <row r="3643" spans="1:21" s="344" customFormat="1" outlineLevel="2">
      <c r="A3643" s="345"/>
      <c r="B3643" s="345"/>
      <c r="C3643" s="339">
        <v>2211300</v>
      </c>
      <c r="D3643" s="338" t="s">
        <v>57</v>
      </c>
      <c r="E3643" s="1062">
        <f>SUM(E3644:E3646)</f>
        <v>812000</v>
      </c>
      <c r="F3643" s="1062">
        <f t="shared" ref="F3643:K3643" si="2600">SUM(F3644:F3646)</f>
        <v>0</v>
      </c>
      <c r="G3643" s="1062">
        <f t="shared" si="2600"/>
        <v>0</v>
      </c>
      <c r="H3643" s="1062">
        <f t="shared" si="2600"/>
        <v>0</v>
      </c>
      <c r="I3643" s="1062">
        <f t="shared" si="2600"/>
        <v>812000</v>
      </c>
      <c r="J3643" s="1062">
        <f t="shared" si="2600"/>
        <v>0</v>
      </c>
      <c r="K3643" s="1062">
        <f t="shared" si="2600"/>
        <v>0</v>
      </c>
      <c r="L3643" s="317">
        <f t="shared" si="2569"/>
        <v>812000</v>
      </c>
      <c r="M3643" s="317"/>
      <c r="N3643" s="372">
        <f t="shared" si="2573"/>
        <v>0</v>
      </c>
      <c r="O3643" s="1062">
        <f t="shared" ref="O3643:P3643" si="2601">SUM(O3644:O3646)</f>
        <v>893200.00000000012</v>
      </c>
      <c r="P3643" s="1062">
        <f t="shared" si="2601"/>
        <v>982520.00000000023</v>
      </c>
      <c r="R3643" s="317"/>
      <c r="U3643" s="320"/>
    </row>
    <row r="3644" spans="1:21" s="344" customFormat="1" outlineLevel="2">
      <c r="A3644" s="345"/>
      <c r="B3644" s="345"/>
      <c r="C3644" s="667">
        <v>2211305</v>
      </c>
      <c r="D3644" s="668" t="s">
        <v>365</v>
      </c>
      <c r="E3644" s="1060">
        <v>375000</v>
      </c>
      <c r="F3644" s="669"/>
      <c r="G3644" s="669"/>
      <c r="H3644" s="669"/>
      <c r="I3644" s="324">
        <f t="shared" si="2582"/>
        <v>375000</v>
      </c>
      <c r="J3644" s="669"/>
      <c r="K3644" s="1063"/>
      <c r="L3644" s="317">
        <f t="shared" si="2569"/>
        <v>375000</v>
      </c>
      <c r="M3644" s="317"/>
      <c r="N3644" s="372">
        <f t="shared" si="2573"/>
        <v>0</v>
      </c>
      <c r="O3644" s="336">
        <f t="shared" si="2591"/>
        <v>412500.00000000006</v>
      </c>
      <c r="P3644" s="319">
        <f t="shared" si="2597"/>
        <v>453750.00000000012</v>
      </c>
      <c r="R3644" s="317"/>
      <c r="U3644" s="320"/>
    </row>
    <row r="3645" spans="1:21" s="344" customFormat="1" outlineLevel="2">
      <c r="A3645" s="345"/>
      <c r="B3645" s="345"/>
      <c r="C3645" s="1072">
        <v>2211306</v>
      </c>
      <c r="D3645" s="668" t="s">
        <v>58</v>
      </c>
      <c r="E3645" s="1060">
        <f>87000+300000</f>
        <v>387000</v>
      </c>
      <c r="F3645" s="669"/>
      <c r="G3645" s="669"/>
      <c r="H3645" s="1073">
        <v>50000</v>
      </c>
      <c r="I3645" s="324">
        <f t="shared" si="2582"/>
        <v>437000</v>
      </c>
      <c r="J3645" s="1062"/>
      <c r="K3645" s="1087">
        <v>0</v>
      </c>
      <c r="L3645" s="317">
        <f t="shared" si="2569"/>
        <v>437000</v>
      </c>
      <c r="M3645" s="317"/>
      <c r="N3645" s="372">
        <f t="shared" si="2573"/>
        <v>0</v>
      </c>
      <c r="O3645" s="336">
        <f t="shared" si="2591"/>
        <v>480700.00000000006</v>
      </c>
      <c r="P3645" s="319">
        <f t="shared" si="2597"/>
        <v>528770.00000000012</v>
      </c>
      <c r="R3645" s="317"/>
      <c r="U3645" s="320"/>
    </row>
    <row r="3646" spans="1:21" s="344" customFormat="1" outlineLevel="2">
      <c r="A3646" s="345"/>
      <c r="B3646" s="345"/>
      <c r="C3646" s="667">
        <v>2211310</v>
      </c>
      <c r="D3646" s="668" t="s">
        <v>669</v>
      </c>
      <c r="E3646" s="1060">
        <v>50000</v>
      </c>
      <c r="F3646" s="669"/>
      <c r="G3646" s="669"/>
      <c r="H3646" s="1073">
        <v>-50000</v>
      </c>
      <c r="I3646" s="324">
        <f t="shared" si="2582"/>
        <v>0</v>
      </c>
      <c r="J3646" s="1062"/>
      <c r="K3646" s="1087"/>
      <c r="L3646" s="317">
        <f t="shared" si="2569"/>
        <v>0</v>
      </c>
      <c r="M3646" s="317"/>
      <c r="N3646" s="372">
        <f t="shared" si="2573"/>
        <v>0</v>
      </c>
      <c r="O3646" s="336">
        <f t="shared" si="2591"/>
        <v>0</v>
      </c>
      <c r="P3646" s="319">
        <f t="shared" si="2597"/>
        <v>0</v>
      </c>
      <c r="R3646" s="317"/>
      <c r="U3646" s="320"/>
    </row>
    <row r="3647" spans="1:21" s="344" customFormat="1" outlineLevel="2">
      <c r="A3647" s="345"/>
      <c r="B3647" s="345"/>
      <c r="C3647" s="339">
        <v>2220100</v>
      </c>
      <c r="D3647" s="338" t="s">
        <v>62</v>
      </c>
      <c r="E3647" s="1062">
        <f>E3648</f>
        <v>430000</v>
      </c>
      <c r="F3647" s="1062">
        <f t="shared" ref="F3647:K3647" si="2602">F3648</f>
        <v>0</v>
      </c>
      <c r="G3647" s="1062">
        <f t="shared" si="2602"/>
        <v>0</v>
      </c>
      <c r="H3647" s="1062">
        <f t="shared" si="2602"/>
        <v>0</v>
      </c>
      <c r="I3647" s="1062">
        <f t="shared" si="2602"/>
        <v>430000</v>
      </c>
      <c r="J3647" s="1062">
        <f t="shared" si="2602"/>
        <v>0</v>
      </c>
      <c r="K3647" s="1062">
        <f t="shared" si="2602"/>
        <v>0</v>
      </c>
      <c r="L3647" s="317">
        <f t="shared" si="2569"/>
        <v>430000</v>
      </c>
      <c r="M3647" s="317"/>
      <c r="N3647" s="372">
        <f t="shared" si="2573"/>
        <v>0</v>
      </c>
      <c r="O3647" s="1062">
        <f t="shared" ref="O3647:P3647" si="2603">O3648</f>
        <v>473000.00000000006</v>
      </c>
      <c r="P3647" s="1062">
        <f t="shared" si="2603"/>
        <v>520300.00000000012</v>
      </c>
      <c r="R3647" s="317"/>
      <c r="U3647" s="320"/>
    </row>
    <row r="3648" spans="1:21" s="344" customFormat="1" outlineLevel="2">
      <c r="A3648" s="345"/>
      <c r="B3648" s="345"/>
      <c r="C3648" s="1072">
        <v>2220101</v>
      </c>
      <c r="D3648" s="668" t="s">
        <v>250</v>
      </c>
      <c r="E3648" s="1060">
        <v>430000</v>
      </c>
      <c r="F3648" s="669"/>
      <c r="G3648" s="669"/>
      <c r="H3648" s="669"/>
      <c r="I3648" s="324">
        <f t="shared" si="2582"/>
        <v>430000</v>
      </c>
      <c r="J3648" s="669"/>
      <c r="K3648" s="1063"/>
      <c r="L3648" s="317">
        <f t="shared" si="2569"/>
        <v>430000</v>
      </c>
      <c r="M3648" s="317"/>
      <c r="N3648" s="372">
        <f t="shared" si="2573"/>
        <v>0</v>
      </c>
      <c r="O3648" s="336">
        <f t="shared" si="2591"/>
        <v>473000.00000000006</v>
      </c>
      <c r="P3648" s="319">
        <f t="shared" si="2597"/>
        <v>520300.00000000012</v>
      </c>
      <c r="R3648" s="317"/>
      <c r="U3648" s="320"/>
    </row>
    <row r="3649" spans="1:21" s="344" customFormat="1" outlineLevel="2">
      <c r="A3649" s="345"/>
      <c r="B3649" s="345"/>
      <c r="C3649" s="339">
        <v>2220200</v>
      </c>
      <c r="D3649" s="338" t="s">
        <v>86</v>
      </c>
      <c r="E3649" s="1062">
        <f>SUM(E3650:E3651)</f>
        <v>65000</v>
      </c>
      <c r="F3649" s="1062">
        <f t="shared" ref="F3649:K3649" si="2604">SUM(F3650:F3651)</f>
        <v>0</v>
      </c>
      <c r="G3649" s="1062">
        <f t="shared" si="2604"/>
        <v>0</v>
      </c>
      <c r="H3649" s="1062">
        <f t="shared" si="2604"/>
        <v>0</v>
      </c>
      <c r="I3649" s="1062">
        <f t="shared" si="2604"/>
        <v>65000</v>
      </c>
      <c r="J3649" s="1062">
        <f t="shared" si="2604"/>
        <v>0</v>
      </c>
      <c r="K3649" s="1062">
        <f t="shared" si="2604"/>
        <v>0</v>
      </c>
      <c r="L3649" s="317">
        <f t="shared" si="2569"/>
        <v>65000</v>
      </c>
      <c r="M3649" s="317"/>
      <c r="N3649" s="372">
        <f t="shared" si="2573"/>
        <v>0</v>
      </c>
      <c r="O3649" s="1062">
        <f t="shared" ref="O3649:P3649" si="2605">SUM(O3650:O3651)</f>
        <v>71500</v>
      </c>
      <c r="P3649" s="1062">
        <f t="shared" si="2605"/>
        <v>78650</v>
      </c>
      <c r="R3649" s="317"/>
      <c r="U3649" s="320"/>
    </row>
    <row r="3650" spans="1:21" s="344" customFormat="1" outlineLevel="2">
      <c r="A3650" s="345"/>
      <c r="B3650" s="345"/>
      <c r="C3650" s="1072">
        <v>2220202</v>
      </c>
      <c r="D3650" s="668" t="s">
        <v>87</v>
      </c>
      <c r="E3650" s="1060">
        <v>65000</v>
      </c>
      <c r="F3650" s="669"/>
      <c r="G3650" s="669"/>
      <c r="H3650" s="669"/>
      <c r="I3650" s="324">
        <f t="shared" si="2582"/>
        <v>65000</v>
      </c>
      <c r="J3650" s="669"/>
      <c r="K3650" s="1063"/>
      <c r="L3650" s="317">
        <f t="shared" si="2569"/>
        <v>65000</v>
      </c>
      <c r="M3650" s="317"/>
      <c r="N3650" s="372">
        <f t="shared" si="2573"/>
        <v>0</v>
      </c>
      <c r="O3650" s="336">
        <f t="shared" si="2591"/>
        <v>71500</v>
      </c>
      <c r="P3650" s="319">
        <f t="shared" si="2597"/>
        <v>78650</v>
      </c>
      <c r="R3650" s="317"/>
      <c r="U3650" s="320"/>
    </row>
    <row r="3651" spans="1:21" s="344" customFormat="1" outlineLevel="2">
      <c r="A3651" s="345"/>
      <c r="B3651" s="345"/>
      <c r="C3651" s="1072">
        <v>2220205</v>
      </c>
      <c r="D3651" s="668" t="s">
        <v>670</v>
      </c>
      <c r="E3651" s="1073">
        <v>0</v>
      </c>
      <c r="F3651" s="669"/>
      <c r="G3651" s="669"/>
      <c r="H3651" s="669"/>
      <c r="I3651" s="324">
        <f t="shared" si="2582"/>
        <v>0</v>
      </c>
      <c r="J3651" s="669"/>
      <c r="K3651" s="1063"/>
      <c r="L3651" s="317">
        <f t="shared" si="2569"/>
        <v>0</v>
      </c>
      <c r="M3651" s="317"/>
      <c r="N3651" s="372">
        <f t="shared" si="2573"/>
        <v>0</v>
      </c>
      <c r="O3651" s="336">
        <f t="shared" si="2591"/>
        <v>0</v>
      </c>
      <c r="P3651" s="319">
        <f t="shared" si="2597"/>
        <v>0</v>
      </c>
      <c r="R3651" s="317"/>
      <c r="U3651" s="320"/>
    </row>
    <row r="3652" spans="1:21" s="344" customFormat="1" outlineLevel="2">
      <c r="A3652" s="345"/>
      <c r="B3652" s="345"/>
      <c r="C3652" s="339">
        <v>3110300</v>
      </c>
      <c r="D3652" s="338" t="s">
        <v>251</v>
      </c>
      <c r="E3652" s="1062">
        <f>E3653</f>
        <v>0</v>
      </c>
      <c r="F3652" s="397"/>
      <c r="G3652" s="397"/>
      <c r="H3652" s="397"/>
      <c r="I3652" s="324">
        <f t="shared" si="2582"/>
        <v>0</v>
      </c>
      <c r="J3652" s="397"/>
      <c r="K3652" s="397"/>
      <c r="L3652" s="317">
        <f t="shared" si="2569"/>
        <v>0</v>
      </c>
      <c r="M3652" s="317"/>
      <c r="N3652" s="372">
        <f t="shared" si="2573"/>
        <v>0</v>
      </c>
      <c r="O3652" s="336">
        <f t="shared" si="2591"/>
        <v>0</v>
      </c>
      <c r="P3652" s="319">
        <f t="shared" si="2597"/>
        <v>0</v>
      </c>
      <c r="R3652" s="317"/>
      <c r="U3652" s="320"/>
    </row>
    <row r="3653" spans="1:21" s="344" customFormat="1" outlineLevel="2">
      <c r="A3653" s="345"/>
      <c r="B3653" s="345"/>
      <c r="C3653" s="1072">
        <v>3110302</v>
      </c>
      <c r="D3653" s="668" t="s">
        <v>252</v>
      </c>
      <c r="E3653" s="1073">
        <v>0</v>
      </c>
      <c r="F3653" s="669"/>
      <c r="G3653" s="669"/>
      <c r="H3653" s="669"/>
      <c r="I3653" s="324">
        <f t="shared" si="2582"/>
        <v>0</v>
      </c>
      <c r="J3653" s="669"/>
      <c r="K3653" s="1063"/>
      <c r="L3653" s="317">
        <f t="shared" ref="L3653:L3716" si="2606">I3653+J3653+K3653</f>
        <v>0</v>
      </c>
      <c r="M3653" s="317"/>
      <c r="N3653" s="372">
        <f t="shared" si="2573"/>
        <v>0</v>
      </c>
      <c r="O3653" s="336">
        <f t="shared" si="2591"/>
        <v>0</v>
      </c>
      <c r="P3653" s="319">
        <f t="shared" si="2597"/>
        <v>0</v>
      </c>
      <c r="R3653" s="317"/>
      <c r="U3653" s="320"/>
    </row>
    <row r="3654" spans="1:21" s="344" customFormat="1" outlineLevel="2">
      <c r="A3654" s="345"/>
      <c r="B3654" s="345"/>
      <c r="C3654" s="339">
        <v>3111000</v>
      </c>
      <c r="D3654" s="338" t="s">
        <v>69</v>
      </c>
      <c r="E3654" s="1062">
        <f>SUM(E3655:E3657)</f>
        <v>250000</v>
      </c>
      <c r="F3654" s="1062">
        <f t="shared" ref="F3654:P3654" si="2607">SUM(F3655:F3657)</f>
        <v>0</v>
      </c>
      <c r="G3654" s="1062">
        <f t="shared" si="2607"/>
        <v>0</v>
      </c>
      <c r="H3654" s="1062">
        <f t="shared" si="2607"/>
        <v>-250000</v>
      </c>
      <c r="I3654" s="1062">
        <f t="shared" si="2607"/>
        <v>0</v>
      </c>
      <c r="J3654" s="1062">
        <f t="shared" si="2607"/>
        <v>0</v>
      </c>
      <c r="K3654" s="1062">
        <f t="shared" si="2607"/>
        <v>0</v>
      </c>
      <c r="L3654" s="317">
        <f t="shared" si="2606"/>
        <v>0</v>
      </c>
      <c r="M3654" s="317"/>
      <c r="N3654" s="372">
        <f t="shared" si="2573"/>
        <v>0</v>
      </c>
      <c r="O3654" s="1062">
        <f t="shared" si="2607"/>
        <v>0</v>
      </c>
      <c r="P3654" s="1062">
        <f t="shared" si="2607"/>
        <v>0</v>
      </c>
      <c r="R3654" s="317"/>
      <c r="U3654" s="320"/>
    </row>
    <row r="3655" spans="1:21" s="344" customFormat="1" outlineLevel="2">
      <c r="A3655" s="345"/>
      <c r="B3655" s="345"/>
      <c r="C3655" s="1072">
        <v>3111001</v>
      </c>
      <c r="D3655" s="668" t="s">
        <v>70</v>
      </c>
      <c r="E3655" s="1060">
        <v>50000</v>
      </c>
      <c r="F3655" s="669"/>
      <c r="G3655" s="669"/>
      <c r="H3655" s="1060">
        <v>-50000</v>
      </c>
      <c r="I3655" s="324">
        <f t="shared" si="2582"/>
        <v>0</v>
      </c>
      <c r="J3655" s="1060"/>
      <c r="K3655" s="1088"/>
      <c r="L3655" s="317">
        <f t="shared" si="2606"/>
        <v>0</v>
      </c>
      <c r="M3655" s="317"/>
      <c r="N3655" s="372">
        <f t="shared" si="2573"/>
        <v>0</v>
      </c>
      <c r="O3655" s="336">
        <f t="shared" si="2591"/>
        <v>0</v>
      </c>
      <c r="P3655" s="319">
        <f t="shared" si="2597"/>
        <v>0</v>
      </c>
      <c r="R3655" s="317"/>
      <c r="U3655" s="320"/>
    </row>
    <row r="3656" spans="1:21" s="344" customFormat="1" outlineLevel="2">
      <c r="A3656" s="345"/>
      <c r="B3656" s="345"/>
      <c r="C3656" s="1072">
        <v>3111002</v>
      </c>
      <c r="D3656" s="668" t="s">
        <v>71</v>
      </c>
      <c r="E3656" s="1060">
        <v>100000</v>
      </c>
      <c r="F3656" s="669"/>
      <c r="G3656" s="669"/>
      <c r="H3656" s="1060">
        <v>-100000</v>
      </c>
      <c r="I3656" s="324">
        <f t="shared" si="2582"/>
        <v>0</v>
      </c>
      <c r="J3656" s="1060"/>
      <c r="K3656" s="1088"/>
      <c r="L3656" s="317">
        <f t="shared" si="2606"/>
        <v>0</v>
      </c>
      <c r="M3656" s="317"/>
      <c r="N3656" s="372">
        <f t="shared" si="2573"/>
        <v>0</v>
      </c>
      <c r="O3656" s="336">
        <f t="shared" si="2591"/>
        <v>0</v>
      </c>
      <c r="P3656" s="319">
        <f t="shared" si="2597"/>
        <v>0</v>
      </c>
      <c r="R3656" s="317"/>
      <c r="U3656" s="320"/>
    </row>
    <row r="3657" spans="1:21" s="344" customFormat="1" outlineLevel="2">
      <c r="A3657" s="345"/>
      <c r="B3657" s="345"/>
      <c r="C3657" s="1072">
        <v>3111009</v>
      </c>
      <c r="D3657" s="668" t="s">
        <v>253</v>
      </c>
      <c r="E3657" s="1060">
        <v>100000</v>
      </c>
      <c r="F3657" s="669"/>
      <c r="G3657" s="669"/>
      <c r="H3657" s="1060">
        <v>-100000</v>
      </c>
      <c r="I3657" s="324">
        <f t="shared" si="2582"/>
        <v>0</v>
      </c>
      <c r="J3657" s="1060"/>
      <c r="K3657" s="1088"/>
      <c r="L3657" s="317">
        <f t="shared" si="2606"/>
        <v>0</v>
      </c>
      <c r="M3657" s="317"/>
      <c r="N3657" s="372">
        <f t="shared" ref="N3657:N3720" si="2608">M3657-K3657</f>
        <v>0</v>
      </c>
      <c r="O3657" s="336">
        <f t="shared" si="2591"/>
        <v>0</v>
      </c>
      <c r="P3657" s="319">
        <f t="shared" si="2597"/>
        <v>0</v>
      </c>
      <c r="R3657" s="317"/>
      <c r="U3657" s="320"/>
    </row>
    <row r="3658" spans="1:21" s="344" customFormat="1" outlineLevel="1">
      <c r="A3658" s="345"/>
      <c r="B3658" s="345"/>
      <c r="C3658" s="331"/>
      <c r="D3658" s="338" t="s">
        <v>674</v>
      </c>
      <c r="E3658" s="1062">
        <f>E3611+E3614+E3618+E3624+E3632+E3635+E3637+E3641+E3643+E3647+E3649+E3652+E3654+E3622</f>
        <v>9427000</v>
      </c>
      <c r="F3658" s="1062">
        <f t="shared" ref="F3658:K3658" si="2609">F3611+F3614+F3618+F3624+F3632+F3635+F3637+F3641+F3643+F3647+F3649+F3652+F3654+F3622</f>
        <v>0</v>
      </c>
      <c r="G3658" s="1062">
        <f t="shared" si="2609"/>
        <v>0</v>
      </c>
      <c r="H3658" s="1062">
        <f t="shared" si="2609"/>
        <v>0</v>
      </c>
      <c r="I3658" s="1062">
        <f t="shared" si="2609"/>
        <v>9427000</v>
      </c>
      <c r="J3658" s="1062">
        <f t="shared" si="2609"/>
        <v>0</v>
      </c>
      <c r="K3658" s="1062">
        <f t="shared" si="2609"/>
        <v>0</v>
      </c>
      <c r="L3658" s="317">
        <f t="shared" si="2606"/>
        <v>9427000</v>
      </c>
      <c r="M3658" s="317"/>
      <c r="N3658" s="372">
        <f t="shared" si="2608"/>
        <v>0</v>
      </c>
      <c r="O3658" s="1062">
        <f t="shared" ref="O3658:P3658" si="2610">O3611+O3614+O3618+O3624+O3632+O3635+O3637+O3641+O3643+O3647+O3649+O3652+O3654+O3622</f>
        <v>10369700</v>
      </c>
      <c r="P3658" s="1062">
        <f t="shared" si="2610"/>
        <v>11406670</v>
      </c>
      <c r="R3658" s="317"/>
      <c r="U3658" s="320"/>
    </row>
    <row r="3659" spans="1:21" s="344" customFormat="1" outlineLevel="1">
      <c r="A3659" s="345"/>
      <c r="B3659" s="345"/>
      <c r="C3659" s="340"/>
      <c r="D3659" s="1079"/>
      <c r="E3659" s="1073"/>
      <c r="F3659" s="1080"/>
      <c r="G3659" s="1080"/>
      <c r="H3659" s="1080"/>
      <c r="I3659" s="324">
        <f t="shared" si="2582"/>
        <v>0</v>
      </c>
      <c r="J3659" s="1080"/>
      <c r="K3659" s="1080"/>
      <c r="L3659" s="317">
        <f t="shared" si="2606"/>
        <v>0</v>
      </c>
      <c r="M3659" s="317"/>
      <c r="N3659" s="372">
        <f t="shared" si="2608"/>
        <v>0</v>
      </c>
      <c r="O3659" s="336">
        <f t="shared" si="2591"/>
        <v>0</v>
      </c>
      <c r="P3659" s="319">
        <f t="shared" ref="P3659:P3677" si="2611">O3659*1.1</f>
        <v>0</v>
      </c>
      <c r="R3659" s="317"/>
      <c r="U3659" s="320"/>
    </row>
    <row r="3660" spans="1:21" s="344" customFormat="1" outlineLevel="1">
      <c r="A3660" s="345"/>
      <c r="B3660" s="345"/>
      <c r="C3660" s="340" t="s">
        <v>2448</v>
      </c>
      <c r="D3660" s="1079"/>
      <c r="E3660" s="1073"/>
      <c r="F3660" s="1080"/>
      <c r="G3660" s="1080"/>
      <c r="H3660" s="1080"/>
      <c r="I3660" s="324">
        <f t="shared" si="2582"/>
        <v>0</v>
      </c>
      <c r="J3660" s="1080"/>
      <c r="K3660" s="1080"/>
      <c r="L3660" s="317">
        <f t="shared" si="2606"/>
        <v>0</v>
      </c>
      <c r="M3660" s="317"/>
      <c r="N3660" s="372">
        <f t="shared" si="2608"/>
        <v>0</v>
      </c>
      <c r="O3660" s="336">
        <f t="shared" si="2591"/>
        <v>0</v>
      </c>
      <c r="P3660" s="319">
        <f t="shared" si="2611"/>
        <v>0</v>
      </c>
      <c r="R3660" s="317"/>
      <c r="U3660" s="320"/>
    </row>
    <row r="3661" spans="1:21" s="344" customFormat="1" outlineLevel="1">
      <c r="A3661" s="345"/>
      <c r="B3661" s="345"/>
      <c r="C3661" s="340" t="s">
        <v>2450</v>
      </c>
      <c r="D3661" s="1079"/>
      <c r="E3661" s="1073"/>
      <c r="F3661" s="1080"/>
      <c r="G3661" s="1080"/>
      <c r="H3661" s="1080"/>
      <c r="I3661" s="324">
        <f t="shared" si="2582"/>
        <v>0</v>
      </c>
      <c r="J3661" s="1080"/>
      <c r="K3661" s="1080"/>
      <c r="L3661" s="317">
        <f t="shared" si="2606"/>
        <v>0</v>
      </c>
      <c r="M3661" s="317"/>
      <c r="N3661" s="372">
        <f t="shared" si="2608"/>
        <v>0</v>
      </c>
      <c r="O3661" s="336">
        <f t="shared" si="2591"/>
        <v>0</v>
      </c>
      <c r="P3661" s="319">
        <f t="shared" si="2611"/>
        <v>0</v>
      </c>
      <c r="R3661" s="317"/>
      <c r="U3661" s="320"/>
    </row>
    <row r="3662" spans="1:21" s="344" customFormat="1" outlineLevel="2">
      <c r="A3662" s="345"/>
      <c r="B3662" s="345"/>
      <c r="C3662" s="339">
        <v>2210100</v>
      </c>
      <c r="D3662" s="340" t="s">
        <v>16</v>
      </c>
      <c r="E3662" s="1062">
        <f>SUM(E3663:E3664)</f>
        <v>30500</v>
      </c>
      <c r="F3662" s="1062">
        <f t="shared" ref="F3662:P3662" si="2612">SUM(F3663:F3664)</f>
        <v>0</v>
      </c>
      <c r="G3662" s="1062">
        <f t="shared" si="2612"/>
        <v>0</v>
      </c>
      <c r="H3662" s="1062">
        <f t="shared" si="2612"/>
        <v>0</v>
      </c>
      <c r="I3662" s="1062">
        <f t="shared" si="2612"/>
        <v>30500</v>
      </c>
      <c r="J3662" s="1062">
        <f t="shared" si="2612"/>
        <v>0</v>
      </c>
      <c r="K3662" s="1062">
        <f t="shared" si="2612"/>
        <v>0</v>
      </c>
      <c r="L3662" s="317">
        <f t="shared" si="2606"/>
        <v>30500</v>
      </c>
      <c r="M3662" s="317"/>
      <c r="N3662" s="372">
        <f t="shared" si="2608"/>
        <v>0</v>
      </c>
      <c r="O3662" s="1062">
        <f t="shared" si="2612"/>
        <v>33550</v>
      </c>
      <c r="P3662" s="1062">
        <f t="shared" si="2612"/>
        <v>36905.000000000007</v>
      </c>
      <c r="R3662" s="317"/>
      <c r="U3662" s="320"/>
    </row>
    <row r="3663" spans="1:21" s="344" customFormat="1" outlineLevel="2">
      <c r="A3663" s="345"/>
      <c r="B3663" s="345"/>
      <c r="C3663" s="1072">
        <v>2210101</v>
      </c>
      <c r="D3663" s="667" t="s">
        <v>17</v>
      </c>
      <c r="E3663" s="1060">
        <v>10000</v>
      </c>
      <c r="F3663" s="1089"/>
      <c r="G3663" s="1089"/>
      <c r="H3663" s="1089"/>
      <c r="I3663" s="324">
        <f t="shared" si="2582"/>
        <v>10000</v>
      </c>
      <c r="J3663" s="1089"/>
      <c r="K3663" s="1090"/>
      <c r="L3663" s="317">
        <f t="shared" si="2606"/>
        <v>10000</v>
      </c>
      <c r="M3663" s="317"/>
      <c r="N3663" s="372">
        <f t="shared" si="2608"/>
        <v>0</v>
      </c>
      <c r="O3663" s="336">
        <f t="shared" si="2591"/>
        <v>11000</v>
      </c>
      <c r="P3663" s="319">
        <f t="shared" si="2611"/>
        <v>12100.000000000002</v>
      </c>
      <c r="R3663" s="317"/>
      <c r="U3663" s="320"/>
    </row>
    <row r="3664" spans="1:21" s="344" customFormat="1" outlineLevel="2">
      <c r="A3664" s="345"/>
      <c r="B3664" s="345"/>
      <c r="C3664" s="1072">
        <v>2210102</v>
      </c>
      <c r="D3664" s="667" t="s">
        <v>18</v>
      </c>
      <c r="E3664" s="1060">
        <v>20500</v>
      </c>
      <c r="F3664" s="1089"/>
      <c r="G3664" s="1089"/>
      <c r="H3664" s="1089"/>
      <c r="I3664" s="324">
        <f t="shared" si="2582"/>
        <v>20500</v>
      </c>
      <c r="J3664" s="1089"/>
      <c r="K3664" s="1090"/>
      <c r="L3664" s="317">
        <f t="shared" si="2606"/>
        <v>20500</v>
      </c>
      <c r="M3664" s="317"/>
      <c r="N3664" s="372">
        <f t="shared" si="2608"/>
        <v>0</v>
      </c>
      <c r="O3664" s="336">
        <f t="shared" si="2591"/>
        <v>22550.000000000004</v>
      </c>
      <c r="P3664" s="319">
        <f t="shared" si="2611"/>
        <v>24805.000000000007</v>
      </c>
      <c r="R3664" s="317"/>
      <c r="U3664" s="320"/>
    </row>
    <row r="3665" spans="1:21" s="344" customFormat="1" outlineLevel="2">
      <c r="A3665" s="345"/>
      <c r="B3665" s="345"/>
      <c r="C3665" s="339">
        <v>2210200</v>
      </c>
      <c r="D3665" s="338" t="s">
        <v>20</v>
      </c>
      <c r="E3665" s="1062">
        <f>SUM(E3666:E3667)</f>
        <v>55000</v>
      </c>
      <c r="F3665" s="1062">
        <f t="shared" ref="F3665:P3665" si="2613">SUM(F3666:F3667)</f>
        <v>0</v>
      </c>
      <c r="G3665" s="1062">
        <f t="shared" si="2613"/>
        <v>0</v>
      </c>
      <c r="H3665" s="1062">
        <f t="shared" si="2613"/>
        <v>0</v>
      </c>
      <c r="I3665" s="1062">
        <f t="shared" si="2613"/>
        <v>55000</v>
      </c>
      <c r="J3665" s="1062">
        <f t="shared" si="2613"/>
        <v>0</v>
      </c>
      <c r="K3665" s="1062">
        <f t="shared" si="2613"/>
        <v>-5000</v>
      </c>
      <c r="L3665" s="317">
        <f t="shared" si="2606"/>
        <v>50000</v>
      </c>
      <c r="M3665" s="317"/>
      <c r="N3665" s="372">
        <f t="shared" si="2608"/>
        <v>5000</v>
      </c>
      <c r="O3665" s="1062">
        <f t="shared" si="2613"/>
        <v>55000.000000000007</v>
      </c>
      <c r="P3665" s="1062">
        <f t="shared" si="2613"/>
        <v>60500.000000000015</v>
      </c>
      <c r="R3665" s="317"/>
      <c r="U3665" s="320"/>
    </row>
    <row r="3666" spans="1:21" s="344" customFormat="1" outlineLevel="2">
      <c r="A3666" s="345"/>
      <c r="B3666" s="345"/>
      <c r="C3666" s="1072">
        <v>2210201</v>
      </c>
      <c r="D3666" s="668" t="s">
        <v>21</v>
      </c>
      <c r="E3666" s="1060">
        <v>50000</v>
      </c>
      <c r="F3666" s="669"/>
      <c r="G3666" s="669"/>
      <c r="H3666" s="669"/>
      <c r="I3666" s="324">
        <f t="shared" si="2582"/>
        <v>50000</v>
      </c>
      <c r="J3666" s="669"/>
      <c r="K3666" s="1063"/>
      <c r="L3666" s="317">
        <f t="shared" si="2606"/>
        <v>50000</v>
      </c>
      <c r="M3666" s="317"/>
      <c r="N3666" s="372">
        <f t="shared" si="2608"/>
        <v>0</v>
      </c>
      <c r="O3666" s="336">
        <f t="shared" si="2591"/>
        <v>55000.000000000007</v>
      </c>
      <c r="P3666" s="319">
        <f t="shared" si="2611"/>
        <v>60500.000000000015</v>
      </c>
      <c r="R3666" s="317"/>
      <c r="U3666" s="320"/>
    </row>
    <row r="3667" spans="1:21" s="344" customFormat="1" outlineLevel="2">
      <c r="A3667" s="345"/>
      <c r="B3667" s="345"/>
      <c r="C3667" s="1072">
        <v>2210203</v>
      </c>
      <c r="D3667" s="668" t="s">
        <v>23</v>
      </c>
      <c r="E3667" s="1060">
        <v>5000</v>
      </c>
      <c r="F3667" s="669"/>
      <c r="G3667" s="669"/>
      <c r="H3667" s="669"/>
      <c r="I3667" s="324">
        <f t="shared" si="2582"/>
        <v>5000</v>
      </c>
      <c r="J3667" s="669"/>
      <c r="K3667" s="1063">
        <v>-5000</v>
      </c>
      <c r="L3667" s="317">
        <f t="shared" si="2606"/>
        <v>0</v>
      </c>
      <c r="M3667" s="317"/>
      <c r="N3667" s="372">
        <f t="shared" si="2608"/>
        <v>5000</v>
      </c>
      <c r="O3667" s="336">
        <f t="shared" si="2591"/>
        <v>0</v>
      </c>
      <c r="P3667" s="319">
        <f t="shared" si="2611"/>
        <v>0</v>
      </c>
      <c r="R3667" s="317"/>
      <c r="U3667" s="320"/>
    </row>
    <row r="3668" spans="1:21" s="344" customFormat="1" outlineLevel="2">
      <c r="A3668" s="345"/>
      <c r="B3668" s="345"/>
      <c r="C3668" s="339">
        <v>2210300</v>
      </c>
      <c r="D3668" s="338" t="s">
        <v>24</v>
      </c>
      <c r="E3668" s="1062">
        <f>SUM(E3669:E3671)</f>
        <v>1660000</v>
      </c>
      <c r="F3668" s="1062">
        <f t="shared" ref="F3668:K3668" si="2614">SUM(F3669:F3671)</f>
        <v>0</v>
      </c>
      <c r="G3668" s="1062">
        <f t="shared" si="2614"/>
        <v>0</v>
      </c>
      <c r="H3668" s="1062">
        <f t="shared" si="2614"/>
        <v>0</v>
      </c>
      <c r="I3668" s="1062">
        <f t="shared" si="2614"/>
        <v>1660000</v>
      </c>
      <c r="J3668" s="1062">
        <f t="shared" si="2614"/>
        <v>0</v>
      </c>
      <c r="K3668" s="1062">
        <f t="shared" si="2614"/>
        <v>0</v>
      </c>
      <c r="L3668" s="317">
        <f t="shared" si="2606"/>
        <v>1660000</v>
      </c>
      <c r="M3668" s="317"/>
      <c r="N3668" s="372">
        <f t="shared" si="2608"/>
        <v>0</v>
      </c>
      <c r="O3668" s="1062">
        <f t="shared" ref="O3668:P3668" si="2615">SUM(O3669:O3671)</f>
        <v>1826000</v>
      </c>
      <c r="P3668" s="1062">
        <f t="shared" si="2615"/>
        <v>2008600</v>
      </c>
      <c r="R3668" s="317"/>
      <c r="U3668" s="320"/>
    </row>
    <row r="3669" spans="1:21" s="344" customFormat="1" outlineLevel="2">
      <c r="A3669" s="345"/>
      <c r="B3669" s="345"/>
      <c r="C3669" s="1072">
        <v>2210301</v>
      </c>
      <c r="D3669" s="668" t="s">
        <v>25</v>
      </c>
      <c r="E3669" s="1060">
        <v>560000</v>
      </c>
      <c r="F3669" s="669"/>
      <c r="G3669" s="669"/>
      <c r="H3669" s="669"/>
      <c r="I3669" s="324">
        <f t="shared" si="2582"/>
        <v>560000</v>
      </c>
      <c r="J3669" s="669"/>
      <c r="K3669" s="1063"/>
      <c r="L3669" s="317">
        <f t="shared" si="2606"/>
        <v>560000</v>
      </c>
      <c r="M3669" s="317"/>
      <c r="N3669" s="372">
        <f t="shared" si="2608"/>
        <v>0</v>
      </c>
      <c r="O3669" s="336">
        <f t="shared" si="2591"/>
        <v>616000</v>
      </c>
      <c r="P3669" s="319">
        <f t="shared" si="2611"/>
        <v>677600</v>
      </c>
      <c r="R3669" s="317"/>
      <c r="U3669" s="320"/>
    </row>
    <row r="3670" spans="1:21" s="344" customFormat="1" outlineLevel="2">
      <c r="A3670" s="345"/>
      <c r="B3670" s="345"/>
      <c r="C3670" s="1072">
        <v>2210302</v>
      </c>
      <c r="D3670" s="668" t="s">
        <v>26</v>
      </c>
      <c r="E3670" s="1060">
        <f>1000000-500000</f>
        <v>500000</v>
      </c>
      <c r="F3670" s="669"/>
      <c r="G3670" s="669"/>
      <c r="H3670" s="669"/>
      <c r="I3670" s="324">
        <f t="shared" si="2582"/>
        <v>500000</v>
      </c>
      <c r="J3670" s="669"/>
      <c r="K3670" s="1063"/>
      <c r="L3670" s="317">
        <f t="shared" si="2606"/>
        <v>500000</v>
      </c>
      <c r="M3670" s="317"/>
      <c r="N3670" s="372">
        <f t="shared" si="2608"/>
        <v>0</v>
      </c>
      <c r="O3670" s="336">
        <f t="shared" si="2591"/>
        <v>550000</v>
      </c>
      <c r="P3670" s="319">
        <f t="shared" si="2611"/>
        <v>605000</v>
      </c>
      <c r="R3670" s="317"/>
      <c r="U3670" s="320"/>
    </row>
    <row r="3671" spans="1:21" s="344" customFormat="1" outlineLevel="2">
      <c r="A3671" s="345"/>
      <c r="B3671" s="345"/>
      <c r="C3671" s="1072">
        <v>2210303</v>
      </c>
      <c r="D3671" s="668" t="s">
        <v>27</v>
      </c>
      <c r="E3671" s="1060">
        <v>600000</v>
      </c>
      <c r="F3671" s="669"/>
      <c r="G3671" s="669"/>
      <c r="H3671" s="669"/>
      <c r="I3671" s="324">
        <f t="shared" si="2582"/>
        <v>600000</v>
      </c>
      <c r="J3671" s="669"/>
      <c r="K3671" s="1063"/>
      <c r="L3671" s="317">
        <f t="shared" si="2606"/>
        <v>600000</v>
      </c>
      <c r="M3671" s="317"/>
      <c r="N3671" s="372">
        <f t="shared" si="2608"/>
        <v>0</v>
      </c>
      <c r="O3671" s="336">
        <f t="shared" si="2591"/>
        <v>660000</v>
      </c>
      <c r="P3671" s="319">
        <f t="shared" si="2611"/>
        <v>726000.00000000012</v>
      </c>
      <c r="R3671" s="317"/>
      <c r="U3671" s="320"/>
    </row>
    <row r="3672" spans="1:21" s="344" customFormat="1" outlineLevel="2">
      <c r="A3672" s="345"/>
      <c r="B3672" s="345"/>
      <c r="C3672" s="339">
        <v>2210500</v>
      </c>
      <c r="D3672" s="338" t="s">
        <v>31</v>
      </c>
      <c r="E3672" s="1062">
        <f>E3675+E3674+E3673</f>
        <v>350000</v>
      </c>
      <c r="F3672" s="1062">
        <f t="shared" ref="F3672:P3672" si="2616">F3675+F3674+F3673</f>
        <v>0</v>
      </c>
      <c r="G3672" s="1062">
        <f t="shared" si="2616"/>
        <v>0</v>
      </c>
      <c r="H3672" s="1062">
        <f t="shared" si="2616"/>
        <v>0</v>
      </c>
      <c r="I3672" s="1062">
        <f t="shared" si="2616"/>
        <v>350000</v>
      </c>
      <c r="J3672" s="1062">
        <f t="shared" si="2616"/>
        <v>0</v>
      </c>
      <c r="K3672" s="1062">
        <f t="shared" si="2616"/>
        <v>-128500</v>
      </c>
      <c r="L3672" s="317">
        <f t="shared" si="2606"/>
        <v>221500</v>
      </c>
      <c r="M3672" s="317"/>
      <c r="N3672" s="372">
        <f t="shared" si="2608"/>
        <v>128500</v>
      </c>
      <c r="O3672" s="1062">
        <f t="shared" si="2616"/>
        <v>243650</v>
      </c>
      <c r="P3672" s="1062">
        <f t="shared" si="2616"/>
        <v>268015</v>
      </c>
      <c r="R3672" s="317"/>
      <c r="U3672" s="320"/>
    </row>
    <row r="3673" spans="1:21" s="344" customFormat="1" outlineLevel="2">
      <c r="A3673" s="345"/>
      <c r="B3673" s="345"/>
      <c r="C3673" s="1072">
        <v>2210502</v>
      </c>
      <c r="D3673" s="668" t="s">
        <v>105</v>
      </c>
      <c r="E3673" s="1091">
        <v>100000</v>
      </c>
      <c r="F3673" s="669"/>
      <c r="G3673" s="669"/>
      <c r="H3673" s="669"/>
      <c r="I3673" s="324">
        <f t="shared" ref="I3673:I3735" si="2617">E3673+F3673+G3673+H3673</f>
        <v>100000</v>
      </c>
      <c r="J3673" s="669"/>
      <c r="K3673" s="1063">
        <v>-100000</v>
      </c>
      <c r="L3673" s="317">
        <f t="shared" si="2606"/>
        <v>0</v>
      </c>
      <c r="M3673" s="317"/>
      <c r="N3673" s="372">
        <f t="shared" si="2608"/>
        <v>100000</v>
      </c>
      <c r="O3673" s="336">
        <f t="shared" si="2591"/>
        <v>0</v>
      </c>
      <c r="P3673" s="319">
        <f t="shared" si="2611"/>
        <v>0</v>
      </c>
      <c r="R3673" s="317"/>
      <c r="U3673" s="320"/>
    </row>
    <row r="3674" spans="1:21" s="344" customFormat="1" outlineLevel="2">
      <c r="A3674" s="345"/>
      <c r="B3674" s="345"/>
      <c r="C3674" s="1072">
        <v>2210503</v>
      </c>
      <c r="D3674" s="668" t="s">
        <v>32</v>
      </c>
      <c r="E3674" s="1060">
        <v>150000</v>
      </c>
      <c r="F3674" s="669"/>
      <c r="G3674" s="669"/>
      <c r="H3674" s="669"/>
      <c r="I3674" s="324">
        <f t="shared" si="2617"/>
        <v>150000</v>
      </c>
      <c r="J3674" s="669"/>
      <c r="K3674" s="1063"/>
      <c r="L3674" s="317">
        <f t="shared" si="2606"/>
        <v>150000</v>
      </c>
      <c r="M3674" s="317"/>
      <c r="N3674" s="372">
        <f t="shared" si="2608"/>
        <v>0</v>
      </c>
      <c r="O3674" s="336">
        <f t="shared" si="2591"/>
        <v>165000</v>
      </c>
      <c r="P3674" s="319">
        <f t="shared" si="2611"/>
        <v>181500.00000000003</v>
      </c>
      <c r="R3674" s="317"/>
      <c r="U3674" s="320"/>
    </row>
    <row r="3675" spans="1:21" s="344" customFormat="1" outlineLevel="2">
      <c r="A3675" s="345"/>
      <c r="B3675" s="345"/>
      <c r="C3675" s="1072">
        <v>2210504</v>
      </c>
      <c r="D3675" s="668" t="s">
        <v>33</v>
      </c>
      <c r="E3675" s="1060">
        <v>100000</v>
      </c>
      <c r="F3675" s="669"/>
      <c r="G3675" s="669"/>
      <c r="H3675" s="669"/>
      <c r="I3675" s="324">
        <f t="shared" si="2617"/>
        <v>100000</v>
      </c>
      <c r="J3675" s="669"/>
      <c r="K3675" s="1063">
        <v>-28500</v>
      </c>
      <c r="L3675" s="317">
        <f t="shared" si="2606"/>
        <v>71500</v>
      </c>
      <c r="M3675" s="317"/>
      <c r="N3675" s="372">
        <f t="shared" si="2608"/>
        <v>28500</v>
      </c>
      <c r="O3675" s="336">
        <f t="shared" si="2591"/>
        <v>78650</v>
      </c>
      <c r="P3675" s="319">
        <f t="shared" si="2611"/>
        <v>86515</v>
      </c>
      <c r="R3675" s="317"/>
      <c r="U3675" s="320"/>
    </row>
    <row r="3676" spans="1:21" s="344" customFormat="1" outlineLevel="2">
      <c r="A3676" s="345"/>
      <c r="B3676" s="345"/>
      <c r="C3676" s="339">
        <v>2210600</v>
      </c>
      <c r="D3676" s="338" t="s">
        <v>154</v>
      </c>
      <c r="E3676" s="1062">
        <f>E3677</f>
        <v>411000</v>
      </c>
      <c r="F3676" s="1062">
        <f t="shared" ref="F3676:P3676" si="2618">F3677</f>
        <v>0</v>
      </c>
      <c r="G3676" s="1062">
        <f t="shared" si="2618"/>
        <v>0</v>
      </c>
      <c r="H3676" s="1062">
        <f t="shared" si="2618"/>
        <v>0</v>
      </c>
      <c r="I3676" s="1062">
        <f t="shared" si="2618"/>
        <v>411000</v>
      </c>
      <c r="J3676" s="1062">
        <f t="shared" si="2618"/>
        <v>0</v>
      </c>
      <c r="K3676" s="1062">
        <f t="shared" si="2618"/>
        <v>0</v>
      </c>
      <c r="L3676" s="317">
        <f t="shared" si="2606"/>
        <v>411000</v>
      </c>
      <c r="M3676" s="317"/>
      <c r="N3676" s="372">
        <f t="shared" si="2608"/>
        <v>0</v>
      </c>
      <c r="O3676" s="1062">
        <f t="shared" si="2618"/>
        <v>452100.00000000006</v>
      </c>
      <c r="P3676" s="1062">
        <f t="shared" si="2618"/>
        <v>497310.00000000012</v>
      </c>
      <c r="R3676" s="317"/>
      <c r="U3676" s="320"/>
    </row>
    <row r="3677" spans="1:21" s="344" customFormat="1" outlineLevel="2">
      <c r="A3677" s="345"/>
      <c r="B3677" s="345"/>
      <c r="C3677" s="1072">
        <v>2210603</v>
      </c>
      <c r="D3677" s="668" t="s">
        <v>489</v>
      </c>
      <c r="E3677" s="1060">
        <v>411000</v>
      </c>
      <c r="F3677" s="669"/>
      <c r="G3677" s="669"/>
      <c r="H3677" s="669"/>
      <c r="I3677" s="324">
        <f t="shared" si="2617"/>
        <v>411000</v>
      </c>
      <c r="J3677" s="669"/>
      <c r="K3677" s="1063"/>
      <c r="L3677" s="317">
        <f t="shared" si="2606"/>
        <v>411000</v>
      </c>
      <c r="M3677" s="317"/>
      <c r="N3677" s="372">
        <f t="shared" si="2608"/>
        <v>0</v>
      </c>
      <c r="O3677" s="336">
        <f t="shared" si="2591"/>
        <v>452100.00000000006</v>
      </c>
      <c r="P3677" s="319">
        <f t="shared" si="2611"/>
        <v>497310.00000000012</v>
      </c>
      <c r="R3677" s="317"/>
      <c r="U3677" s="320"/>
    </row>
    <row r="3678" spans="1:21" s="344" customFormat="1" outlineLevel="2">
      <c r="A3678" s="345"/>
      <c r="B3678" s="345"/>
      <c r="C3678" s="339">
        <v>2210700</v>
      </c>
      <c r="D3678" s="338" t="s">
        <v>35</v>
      </c>
      <c r="E3678" s="1062">
        <f>SUM(E3679:E3685)</f>
        <v>1230700</v>
      </c>
      <c r="F3678" s="1062">
        <f t="shared" ref="F3678:P3678" si="2619">SUM(F3679:F3685)</f>
        <v>0</v>
      </c>
      <c r="G3678" s="1062">
        <f t="shared" si="2619"/>
        <v>0</v>
      </c>
      <c r="H3678" s="1062">
        <f t="shared" si="2619"/>
        <v>0</v>
      </c>
      <c r="I3678" s="1062">
        <f t="shared" si="2619"/>
        <v>1230700</v>
      </c>
      <c r="J3678" s="1062">
        <f t="shared" si="2619"/>
        <v>0</v>
      </c>
      <c r="K3678" s="1062">
        <f t="shared" si="2619"/>
        <v>-330000</v>
      </c>
      <c r="L3678" s="317">
        <f t="shared" si="2606"/>
        <v>900700</v>
      </c>
      <c r="M3678" s="317"/>
      <c r="N3678" s="372">
        <f t="shared" si="2608"/>
        <v>330000</v>
      </c>
      <c r="O3678" s="1062">
        <f t="shared" si="2619"/>
        <v>990770</v>
      </c>
      <c r="P3678" s="1062">
        <f t="shared" si="2619"/>
        <v>1089847</v>
      </c>
      <c r="R3678" s="317"/>
      <c r="U3678" s="320"/>
    </row>
    <row r="3679" spans="1:21" s="344" customFormat="1" outlineLevel="2">
      <c r="A3679" s="345"/>
      <c r="B3679" s="345"/>
      <c r="C3679" s="1072">
        <v>2210701</v>
      </c>
      <c r="D3679" s="668" t="s">
        <v>36</v>
      </c>
      <c r="E3679" s="1060">
        <v>500700</v>
      </c>
      <c r="F3679" s="669"/>
      <c r="G3679" s="669"/>
      <c r="H3679" s="669"/>
      <c r="I3679" s="324">
        <f t="shared" si="2617"/>
        <v>500700</v>
      </c>
      <c r="J3679" s="669"/>
      <c r="K3679" s="1063"/>
      <c r="L3679" s="317">
        <f t="shared" si="2606"/>
        <v>500700</v>
      </c>
      <c r="M3679" s="317"/>
      <c r="N3679" s="372">
        <f t="shared" si="2608"/>
        <v>0</v>
      </c>
      <c r="O3679" s="336">
        <f t="shared" si="2591"/>
        <v>550770</v>
      </c>
      <c r="P3679" s="319">
        <f t="shared" ref="P3679:P3703" si="2620">O3679*1.1</f>
        <v>605847</v>
      </c>
      <c r="R3679" s="317"/>
      <c r="U3679" s="320"/>
    </row>
    <row r="3680" spans="1:21" s="344" customFormat="1" outlineLevel="2">
      <c r="A3680" s="345"/>
      <c r="B3680" s="345"/>
      <c r="C3680" s="1072">
        <v>2210703</v>
      </c>
      <c r="D3680" s="668" t="s">
        <v>107</v>
      </c>
      <c r="E3680" s="1060">
        <v>30000</v>
      </c>
      <c r="F3680" s="669"/>
      <c r="G3680" s="669"/>
      <c r="H3680" s="669"/>
      <c r="I3680" s="324">
        <f t="shared" si="2617"/>
        <v>30000</v>
      </c>
      <c r="J3680" s="669"/>
      <c r="K3680" s="1063">
        <v>-30000</v>
      </c>
      <c r="L3680" s="317">
        <f t="shared" si="2606"/>
        <v>0</v>
      </c>
      <c r="M3680" s="317"/>
      <c r="N3680" s="372">
        <f t="shared" si="2608"/>
        <v>30000</v>
      </c>
      <c r="O3680" s="336">
        <f t="shared" si="2591"/>
        <v>0</v>
      </c>
      <c r="P3680" s="319">
        <f t="shared" si="2620"/>
        <v>0</v>
      </c>
      <c r="R3680" s="317"/>
      <c r="U3680" s="320"/>
    </row>
    <row r="3681" spans="1:21" s="344" customFormat="1" outlineLevel="2">
      <c r="A3681" s="345"/>
      <c r="B3681" s="345"/>
      <c r="C3681" s="1072">
        <v>2210704</v>
      </c>
      <c r="D3681" s="668" t="s">
        <v>38</v>
      </c>
      <c r="E3681" s="1060">
        <v>100000</v>
      </c>
      <c r="F3681" s="669"/>
      <c r="G3681" s="669"/>
      <c r="H3681" s="669"/>
      <c r="I3681" s="324">
        <f t="shared" si="2617"/>
        <v>100000</v>
      </c>
      <c r="J3681" s="669"/>
      <c r="K3681" s="1063">
        <v>-100000</v>
      </c>
      <c r="L3681" s="317">
        <f t="shared" si="2606"/>
        <v>0</v>
      </c>
      <c r="M3681" s="317"/>
      <c r="N3681" s="372">
        <f t="shared" si="2608"/>
        <v>100000</v>
      </c>
      <c r="O3681" s="336">
        <f t="shared" si="2591"/>
        <v>0</v>
      </c>
      <c r="P3681" s="319">
        <f t="shared" si="2620"/>
        <v>0</v>
      </c>
      <c r="R3681" s="317"/>
      <c r="U3681" s="320"/>
    </row>
    <row r="3682" spans="1:21" s="344" customFormat="1" outlineLevel="2">
      <c r="A3682" s="345"/>
      <c r="B3682" s="345"/>
      <c r="C3682" s="1072">
        <v>2210710</v>
      </c>
      <c r="D3682" s="668" t="s">
        <v>39</v>
      </c>
      <c r="E3682" s="1060">
        <v>150000</v>
      </c>
      <c r="F3682" s="669"/>
      <c r="G3682" s="669"/>
      <c r="H3682" s="669"/>
      <c r="I3682" s="324">
        <f t="shared" si="2617"/>
        <v>150000</v>
      </c>
      <c r="J3682" s="669"/>
      <c r="K3682" s="1063"/>
      <c r="L3682" s="317">
        <f t="shared" si="2606"/>
        <v>150000</v>
      </c>
      <c r="M3682" s="317"/>
      <c r="N3682" s="372">
        <f t="shared" si="2608"/>
        <v>0</v>
      </c>
      <c r="O3682" s="336">
        <f t="shared" si="2591"/>
        <v>165000</v>
      </c>
      <c r="P3682" s="319">
        <f t="shared" si="2620"/>
        <v>181500.00000000003</v>
      </c>
      <c r="R3682" s="317"/>
      <c r="U3682" s="320"/>
    </row>
    <row r="3683" spans="1:21" s="344" customFormat="1" outlineLevel="2">
      <c r="A3683" s="345"/>
      <c r="B3683" s="345"/>
      <c r="C3683" s="667">
        <v>2210711</v>
      </c>
      <c r="D3683" s="1075" t="s">
        <v>281</v>
      </c>
      <c r="E3683" s="1060">
        <v>100000</v>
      </c>
      <c r="F3683" s="672"/>
      <c r="G3683" s="672"/>
      <c r="H3683" s="672"/>
      <c r="I3683" s="324">
        <f t="shared" si="2617"/>
        <v>100000</v>
      </c>
      <c r="J3683" s="672"/>
      <c r="K3683" s="1076">
        <v>-50000</v>
      </c>
      <c r="L3683" s="317">
        <f t="shared" si="2606"/>
        <v>50000</v>
      </c>
      <c r="M3683" s="317"/>
      <c r="N3683" s="372">
        <f t="shared" si="2608"/>
        <v>50000</v>
      </c>
      <c r="O3683" s="336">
        <f t="shared" si="2591"/>
        <v>55000.000000000007</v>
      </c>
      <c r="P3683" s="319">
        <f t="shared" si="2620"/>
        <v>60500.000000000015</v>
      </c>
      <c r="R3683" s="317"/>
      <c r="U3683" s="320"/>
    </row>
    <row r="3684" spans="1:21" s="344" customFormat="1" outlineLevel="2">
      <c r="A3684" s="345"/>
      <c r="B3684" s="345"/>
      <c r="C3684" s="1077">
        <v>2210715</v>
      </c>
      <c r="D3684" s="1078" t="s">
        <v>40</v>
      </c>
      <c r="E3684" s="669">
        <v>50000</v>
      </c>
      <c r="F3684" s="669"/>
      <c r="G3684" s="669"/>
      <c r="H3684" s="669"/>
      <c r="I3684" s="324">
        <f t="shared" si="2617"/>
        <v>50000</v>
      </c>
      <c r="J3684" s="669"/>
      <c r="K3684" s="1063"/>
      <c r="L3684" s="317">
        <f t="shared" si="2606"/>
        <v>50000</v>
      </c>
      <c r="M3684" s="317"/>
      <c r="N3684" s="372">
        <f t="shared" si="2608"/>
        <v>0</v>
      </c>
      <c r="O3684" s="336">
        <f t="shared" si="2591"/>
        <v>55000.000000000007</v>
      </c>
      <c r="P3684" s="319">
        <f t="shared" si="2620"/>
        <v>60500.000000000015</v>
      </c>
      <c r="R3684" s="317"/>
      <c r="U3684" s="320"/>
    </row>
    <row r="3685" spans="1:21" s="344" customFormat="1" outlineLevel="2">
      <c r="A3685" s="345"/>
      <c r="B3685" s="345"/>
      <c r="C3685" s="667">
        <v>2210799</v>
      </c>
      <c r="D3685" s="668" t="s">
        <v>665</v>
      </c>
      <c r="E3685" s="1060">
        <v>300000</v>
      </c>
      <c r="F3685" s="669"/>
      <c r="G3685" s="669"/>
      <c r="H3685" s="669"/>
      <c r="I3685" s="324">
        <f t="shared" si="2617"/>
        <v>300000</v>
      </c>
      <c r="J3685" s="669"/>
      <c r="K3685" s="1063">
        <v>-150000</v>
      </c>
      <c r="L3685" s="317">
        <f t="shared" si="2606"/>
        <v>150000</v>
      </c>
      <c r="M3685" s="317"/>
      <c r="N3685" s="372">
        <f t="shared" si="2608"/>
        <v>150000</v>
      </c>
      <c r="O3685" s="336">
        <f t="shared" si="2591"/>
        <v>165000</v>
      </c>
      <c r="P3685" s="319">
        <f t="shared" si="2620"/>
        <v>181500.00000000003</v>
      </c>
      <c r="R3685" s="317"/>
      <c r="U3685" s="320"/>
    </row>
    <row r="3686" spans="1:21" s="344" customFormat="1" outlineLevel="2">
      <c r="A3686" s="345"/>
      <c r="B3686" s="345"/>
      <c r="C3686" s="339">
        <v>2210800</v>
      </c>
      <c r="D3686" s="338" t="s">
        <v>42</v>
      </c>
      <c r="E3686" s="1062">
        <f>SUM(E3687:E3688)</f>
        <v>1325000</v>
      </c>
      <c r="F3686" s="1062">
        <f t="shared" ref="F3686:K3686" si="2621">SUM(F3687:F3688)</f>
        <v>0</v>
      </c>
      <c r="G3686" s="1062">
        <f t="shared" si="2621"/>
        <v>0</v>
      </c>
      <c r="H3686" s="1062">
        <f t="shared" si="2621"/>
        <v>0</v>
      </c>
      <c r="I3686" s="1062">
        <f t="shared" si="2621"/>
        <v>1325000</v>
      </c>
      <c r="J3686" s="1062">
        <f t="shared" si="2621"/>
        <v>0</v>
      </c>
      <c r="K3686" s="1062">
        <f t="shared" si="2621"/>
        <v>463500</v>
      </c>
      <c r="L3686" s="317">
        <f t="shared" si="2606"/>
        <v>1788500</v>
      </c>
      <c r="M3686" s="317"/>
      <c r="N3686" s="372">
        <f t="shared" si="2608"/>
        <v>-463500</v>
      </c>
      <c r="O3686" s="1062">
        <f t="shared" ref="O3686:P3686" si="2622">SUM(O3687:O3688)</f>
        <v>1967350</v>
      </c>
      <c r="P3686" s="1062">
        <f t="shared" si="2622"/>
        <v>2164085</v>
      </c>
      <c r="R3686" s="317"/>
      <c r="U3686" s="320"/>
    </row>
    <row r="3687" spans="1:21" s="344" customFormat="1" outlineLevel="2">
      <c r="A3687" s="345"/>
      <c r="B3687" s="345"/>
      <c r="C3687" s="1072">
        <v>2210801</v>
      </c>
      <c r="D3687" s="668" t="s">
        <v>2421</v>
      </c>
      <c r="E3687" s="1060">
        <v>625000</v>
      </c>
      <c r="F3687" s="669"/>
      <c r="G3687" s="669"/>
      <c r="H3687" s="669"/>
      <c r="I3687" s="324">
        <f t="shared" si="2617"/>
        <v>625000</v>
      </c>
      <c r="J3687" s="669"/>
      <c r="K3687" s="1063"/>
      <c r="L3687" s="317">
        <f t="shared" si="2606"/>
        <v>625000</v>
      </c>
      <c r="M3687" s="317"/>
      <c r="N3687" s="372">
        <f t="shared" si="2608"/>
        <v>0</v>
      </c>
      <c r="O3687" s="336">
        <f t="shared" si="2591"/>
        <v>687500</v>
      </c>
      <c r="P3687" s="319">
        <f t="shared" si="2620"/>
        <v>756250.00000000012</v>
      </c>
      <c r="R3687" s="317"/>
      <c r="U3687" s="320"/>
    </row>
    <row r="3688" spans="1:21" s="344" customFormat="1" outlineLevel="2">
      <c r="A3688" s="345"/>
      <c r="B3688" s="345"/>
      <c r="C3688" s="1072">
        <v>2210802</v>
      </c>
      <c r="D3688" s="668" t="s">
        <v>97</v>
      </c>
      <c r="E3688" s="1060">
        <v>700000</v>
      </c>
      <c r="F3688" s="669"/>
      <c r="G3688" s="669"/>
      <c r="H3688" s="669"/>
      <c r="I3688" s="324">
        <f t="shared" si="2617"/>
        <v>700000</v>
      </c>
      <c r="J3688" s="669"/>
      <c r="K3688" s="1063">
        <v>463500</v>
      </c>
      <c r="L3688" s="317">
        <f t="shared" si="2606"/>
        <v>1163500</v>
      </c>
      <c r="M3688" s="317"/>
      <c r="N3688" s="372">
        <f t="shared" si="2608"/>
        <v>-463500</v>
      </c>
      <c r="O3688" s="336">
        <f t="shared" si="2591"/>
        <v>1279850</v>
      </c>
      <c r="P3688" s="319">
        <f t="shared" si="2620"/>
        <v>1407835</v>
      </c>
      <c r="R3688" s="317"/>
      <c r="U3688" s="320"/>
    </row>
    <row r="3689" spans="1:21" s="344" customFormat="1" outlineLevel="2">
      <c r="A3689" s="345"/>
      <c r="B3689" s="345"/>
      <c r="C3689" s="339">
        <v>2211100</v>
      </c>
      <c r="D3689" s="338" t="s">
        <v>51</v>
      </c>
      <c r="E3689" s="1062">
        <f>SUM(E3690:E3692)</f>
        <v>340000</v>
      </c>
      <c r="F3689" s="1062">
        <f t="shared" ref="F3689:P3689" si="2623">SUM(F3690:F3692)</f>
        <v>0</v>
      </c>
      <c r="G3689" s="1062">
        <f t="shared" si="2623"/>
        <v>0</v>
      </c>
      <c r="H3689" s="1062">
        <f t="shared" si="2623"/>
        <v>600000</v>
      </c>
      <c r="I3689" s="1062">
        <f t="shared" si="2623"/>
        <v>940000</v>
      </c>
      <c r="J3689" s="1062">
        <f t="shared" si="2623"/>
        <v>0</v>
      </c>
      <c r="K3689" s="1062">
        <f t="shared" si="2623"/>
        <v>0</v>
      </c>
      <c r="L3689" s="317">
        <f t="shared" si="2606"/>
        <v>940000</v>
      </c>
      <c r="M3689" s="317"/>
      <c r="N3689" s="372">
        <f t="shared" si="2608"/>
        <v>0</v>
      </c>
      <c r="O3689" s="1062">
        <f t="shared" si="2623"/>
        <v>1034000</v>
      </c>
      <c r="P3689" s="1062">
        <f t="shared" si="2623"/>
        <v>1137400</v>
      </c>
      <c r="R3689" s="317"/>
      <c r="U3689" s="320"/>
    </row>
    <row r="3690" spans="1:21" s="344" customFormat="1" outlineLevel="2">
      <c r="A3690" s="345"/>
      <c r="B3690" s="345"/>
      <c r="C3690" s="1072">
        <v>2211101</v>
      </c>
      <c r="D3690" s="668" t="s">
        <v>52</v>
      </c>
      <c r="E3690" s="1060">
        <v>220000</v>
      </c>
      <c r="F3690" s="669"/>
      <c r="G3690" s="669"/>
      <c r="H3690" s="1060">
        <v>300000</v>
      </c>
      <c r="I3690" s="324">
        <f t="shared" si="2617"/>
        <v>520000</v>
      </c>
      <c r="J3690" s="1060"/>
      <c r="K3690" s="1088"/>
      <c r="L3690" s="317">
        <f t="shared" si="2606"/>
        <v>520000</v>
      </c>
      <c r="M3690" s="317"/>
      <c r="N3690" s="372">
        <f t="shared" si="2608"/>
        <v>0</v>
      </c>
      <c r="O3690" s="336">
        <f t="shared" si="2591"/>
        <v>572000</v>
      </c>
      <c r="P3690" s="319">
        <f t="shared" si="2620"/>
        <v>629200</v>
      </c>
      <c r="R3690" s="317"/>
      <c r="U3690" s="320"/>
    </row>
    <row r="3691" spans="1:21" s="344" customFormat="1" outlineLevel="2">
      <c r="A3691" s="345"/>
      <c r="B3691" s="345"/>
      <c r="C3691" s="1072">
        <v>2211102</v>
      </c>
      <c r="D3691" s="668" t="s">
        <v>53</v>
      </c>
      <c r="E3691" s="1060">
        <v>60000</v>
      </c>
      <c r="F3691" s="669"/>
      <c r="G3691" s="669"/>
      <c r="H3691" s="1060">
        <v>300000</v>
      </c>
      <c r="I3691" s="324">
        <f t="shared" si="2617"/>
        <v>360000</v>
      </c>
      <c r="J3691" s="1060"/>
      <c r="K3691" s="1088"/>
      <c r="L3691" s="317">
        <f t="shared" si="2606"/>
        <v>360000</v>
      </c>
      <c r="M3691" s="317"/>
      <c r="N3691" s="372">
        <f t="shared" si="2608"/>
        <v>0</v>
      </c>
      <c r="O3691" s="336">
        <f t="shared" ref="O3691:O3754" si="2624">L3691*1.1</f>
        <v>396000.00000000006</v>
      </c>
      <c r="P3691" s="319">
        <f t="shared" si="2620"/>
        <v>435600.00000000012</v>
      </c>
      <c r="R3691" s="317"/>
      <c r="U3691" s="320"/>
    </row>
    <row r="3692" spans="1:21" s="344" customFormat="1" outlineLevel="2">
      <c r="A3692" s="345"/>
      <c r="B3692" s="345"/>
      <c r="C3692" s="1072">
        <v>2211103</v>
      </c>
      <c r="D3692" s="668" t="s">
        <v>54</v>
      </c>
      <c r="E3692" s="1060">
        <v>60000</v>
      </c>
      <c r="F3692" s="669"/>
      <c r="G3692" s="669"/>
      <c r="H3692" s="1060"/>
      <c r="I3692" s="324">
        <f t="shared" si="2617"/>
        <v>60000</v>
      </c>
      <c r="J3692" s="1060"/>
      <c r="K3692" s="1088"/>
      <c r="L3692" s="317">
        <f t="shared" si="2606"/>
        <v>60000</v>
      </c>
      <c r="M3692" s="317"/>
      <c r="N3692" s="372">
        <f t="shared" si="2608"/>
        <v>0</v>
      </c>
      <c r="O3692" s="336">
        <f t="shared" si="2624"/>
        <v>66000</v>
      </c>
      <c r="P3692" s="319">
        <f t="shared" si="2620"/>
        <v>72600</v>
      </c>
      <c r="R3692" s="317"/>
      <c r="U3692" s="320"/>
    </row>
    <row r="3693" spans="1:21" s="344" customFormat="1" outlineLevel="2">
      <c r="A3693" s="345"/>
      <c r="B3693" s="345"/>
      <c r="C3693" s="339">
        <v>2211200</v>
      </c>
      <c r="D3693" s="338" t="s">
        <v>55</v>
      </c>
      <c r="E3693" s="1062">
        <f>E3694</f>
        <v>700000</v>
      </c>
      <c r="F3693" s="1062">
        <f t="shared" ref="F3693:P3693" si="2625">F3694</f>
        <v>0</v>
      </c>
      <c r="G3693" s="1062">
        <f t="shared" si="2625"/>
        <v>0</v>
      </c>
      <c r="H3693" s="1062">
        <f t="shared" si="2625"/>
        <v>0</v>
      </c>
      <c r="I3693" s="1062">
        <f t="shared" si="2625"/>
        <v>700000</v>
      </c>
      <c r="J3693" s="1062">
        <f t="shared" si="2625"/>
        <v>0</v>
      </c>
      <c r="K3693" s="1062">
        <f t="shared" si="2625"/>
        <v>0</v>
      </c>
      <c r="L3693" s="317">
        <f t="shared" si="2606"/>
        <v>700000</v>
      </c>
      <c r="M3693" s="317"/>
      <c r="N3693" s="372">
        <f t="shared" si="2608"/>
        <v>0</v>
      </c>
      <c r="O3693" s="1062">
        <f t="shared" si="2625"/>
        <v>770000.00000000012</v>
      </c>
      <c r="P3693" s="1062">
        <f t="shared" si="2625"/>
        <v>847000.00000000023</v>
      </c>
      <c r="R3693" s="317"/>
      <c r="U3693" s="320"/>
    </row>
    <row r="3694" spans="1:21" s="344" customFormat="1" outlineLevel="2">
      <c r="A3694" s="345"/>
      <c r="B3694" s="345"/>
      <c r="C3694" s="1072">
        <v>2211201</v>
      </c>
      <c r="D3694" s="668" t="s">
        <v>56</v>
      </c>
      <c r="E3694" s="1060">
        <v>700000</v>
      </c>
      <c r="F3694" s="669"/>
      <c r="G3694" s="669"/>
      <c r="H3694" s="669"/>
      <c r="I3694" s="324">
        <f t="shared" si="2617"/>
        <v>700000</v>
      </c>
      <c r="J3694" s="669"/>
      <c r="K3694" s="1063"/>
      <c r="L3694" s="317">
        <f t="shared" si="2606"/>
        <v>700000</v>
      </c>
      <c r="M3694" s="317"/>
      <c r="N3694" s="372">
        <f t="shared" si="2608"/>
        <v>0</v>
      </c>
      <c r="O3694" s="336">
        <f t="shared" si="2624"/>
        <v>770000.00000000012</v>
      </c>
      <c r="P3694" s="319">
        <f t="shared" si="2620"/>
        <v>847000.00000000023</v>
      </c>
      <c r="R3694" s="317"/>
      <c r="U3694" s="320"/>
    </row>
    <row r="3695" spans="1:21" s="344" customFormat="1" outlineLevel="2">
      <c r="A3695" s="345"/>
      <c r="B3695" s="345"/>
      <c r="C3695" s="339">
        <v>2211300</v>
      </c>
      <c r="D3695" s="338" t="s">
        <v>57</v>
      </c>
      <c r="E3695" s="1062">
        <f>E3696+E3697+E3698</f>
        <v>712000</v>
      </c>
      <c r="F3695" s="1062">
        <f t="shared" ref="F3695:K3695" si="2626">F3696+F3697+F3698</f>
        <v>0</v>
      </c>
      <c r="G3695" s="1062">
        <f t="shared" si="2626"/>
        <v>0</v>
      </c>
      <c r="H3695" s="1062">
        <f t="shared" si="2626"/>
        <v>0</v>
      </c>
      <c r="I3695" s="1062">
        <f t="shared" si="2626"/>
        <v>712000</v>
      </c>
      <c r="J3695" s="1062">
        <f t="shared" si="2626"/>
        <v>0</v>
      </c>
      <c r="K3695" s="1062">
        <f t="shared" si="2626"/>
        <v>0</v>
      </c>
      <c r="L3695" s="317">
        <f t="shared" si="2606"/>
        <v>712000</v>
      </c>
      <c r="M3695" s="317"/>
      <c r="N3695" s="372">
        <f t="shared" si="2608"/>
        <v>0</v>
      </c>
      <c r="O3695" s="1062">
        <f t="shared" ref="O3695:P3695" si="2627">O3696+O3697+O3698</f>
        <v>783200.00000000012</v>
      </c>
      <c r="P3695" s="1062">
        <f t="shared" si="2627"/>
        <v>861520.00000000023</v>
      </c>
      <c r="R3695" s="317"/>
      <c r="U3695" s="320"/>
    </row>
    <row r="3696" spans="1:21" s="344" customFormat="1" outlineLevel="2">
      <c r="A3696" s="345"/>
      <c r="B3696" s="345"/>
      <c r="C3696" s="667">
        <v>2211305</v>
      </c>
      <c r="D3696" s="668" t="s">
        <v>365</v>
      </c>
      <c r="E3696" s="1091">
        <v>175000</v>
      </c>
      <c r="F3696" s="669"/>
      <c r="G3696" s="669"/>
      <c r="H3696" s="669"/>
      <c r="I3696" s="324">
        <f t="shared" si="2617"/>
        <v>175000</v>
      </c>
      <c r="J3696" s="669"/>
      <c r="K3696" s="1063"/>
      <c r="L3696" s="317">
        <f t="shared" si="2606"/>
        <v>175000</v>
      </c>
      <c r="M3696" s="317"/>
      <c r="N3696" s="372">
        <f t="shared" si="2608"/>
        <v>0</v>
      </c>
      <c r="O3696" s="336">
        <f t="shared" si="2624"/>
        <v>192500.00000000003</v>
      </c>
      <c r="P3696" s="319">
        <f t="shared" si="2620"/>
        <v>211750.00000000006</v>
      </c>
      <c r="R3696" s="317"/>
      <c r="U3696" s="320"/>
    </row>
    <row r="3697" spans="1:21" s="344" customFormat="1" outlineLevel="2">
      <c r="A3697" s="345"/>
      <c r="B3697" s="345"/>
      <c r="C3697" s="1072">
        <v>2211306</v>
      </c>
      <c r="D3697" s="668" t="s">
        <v>58</v>
      </c>
      <c r="E3697" s="1060">
        <v>87000</v>
      </c>
      <c r="F3697" s="669"/>
      <c r="G3697" s="669"/>
      <c r="H3697" s="669"/>
      <c r="I3697" s="324">
        <f t="shared" si="2617"/>
        <v>87000</v>
      </c>
      <c r="J3697" s="669"/>
      <c r="K3697" s="1063"/>
      <c r="L3697" s="317">
        <f t="shared" si="2606"/>
        <v>87000</v>
      </c>
      <c r="M3697" s="317"/>
      <c r="N3697" s="372">
        <f t="shared" si="2608"/>
        <v>0</v>
      </c>
      <c r="O3697" s="336">
        <f t="shared" si="2624"/>
        <v>95700.000000000015</v>
      </c>
      <c r="P3697" s="319">
        <f t="shared" si="2620"/>
        <v>105270.00000000003</v>
      </c>
      <c r="R3697" s="317"/>
      <c r="U3697" s="320"/>
    </row>
    <row r="3698" spans="1:21" s="344" customFormat="1" outlineLevel="2">
      <c r="A3698" s="345"/>
      <c r="B3698" s="345"/>
      <c r="C3698" s="667">
        <v>2211310</v>
      </c>
      <c r="D3698" s="668" t="s">
        <v>669</v>
      </c>
      <c r="E3698" s="1060">
        <v>450000</v>
      </c>
      <c r="F3698" s="669"/>
      <c r="G3698" s="669"/>
      <c r="H3698" s="669"/>
      <c r="I3698" s="324">
        <f t="shared" si="2617"/>
        <v>450000</v>
      </c>
      <c r="J3698" s="669"/>
      <c r="K3698" s="1063"/>
      <c r="L3698" s="317">
        <f t="shared" si="2606"/>
        <v>450000</v>
      </c>
      <c r="M3698" s="317"/>
      <c r="N3698" s="372">
        <f t="shared" si="2608"/>
        <v>0</v>
      </c>
      <c r="O3698" s="336">
        <f t="shared" si="2624"/>
        <v>495000.00000000006</v>
      </c>
      <c r="P3698" s="319">
        <f t="shared" si="2620"/>
        <v>544500.00000000012</v>
      </c>
      <c r="R3698" s="317"/>
      <c r="U3698" s="320"/>
    </row>
    <row r="3699" spans="1:21" s="344" customFormat="1" outlineLevel="2">
      <c r="A3699" s="345"/>
      <c r="B3699" s="345"/>
      <c r="C3699" s="339">
        <v>2220100</v>
      </c>
      <c r="D3699" s="338" t="s">
        <v>62</v>
      </c>
      <c r="E3699" s="1062">
        <f>E3700</f>
        <v>520000</v>
      </c>
      <c r="F3699" s="1062">
        <f t="shared" ref="F3699:P3699" si="2628">F3700</f>
        <v>0</v>
      </c>
      <c r="G3699" s="1062">
        <f t="shared" si="2628"/>
        <v>0</v>
      </c>
      <c r="H3699" s="1062">
        <f t="shared" si="2628"/>
        <v>0</v>
      </c>
      <c r="I3699" s="1062">
        <f t="shared" si="2628"/>
        <v>520000</v>
      </c>
      <c r="J3699" s="1062">
        <f t="shared" si="2628"/>
        <v>0</v>
      </c>
      <c r="K3699" s="1062">
        <f t="shared" si="2628"/>
        <v>0</v>
      </c>
      <c r="L3699" s="317">
        <f t="shared" si="2606"/>
        <v>520000</v>
      </c>
      <c r="M3699" s="317"/>
      <c r="N3699" s="372">
        <f t="shared" si="2608"/>
        <v>0</v>
      </c>
      <c r="O3699" s="1062">
        <f t="shared" si="2628"/>
        <v>572000</v>
      </c>
      <c r="P3699" s="1062">
        <f t="shared" si="2628"/>
        <v>629200</v>
      </c>
      <c r="R3699" s="317"/>
      <c r="U3699" s="320"/>
    </row>
    <row r="3700" spans="1:21" s="344" customFormat="1" outlineLevel="2">
      <c r="A3700" s="345"/>
      <c r="B3700" s="345"/>
      <c r="C3700" s="1072">
        <v>2220101</v>
      </c>
      <c r="D3700" s="668" t="s">
        <v>250</v>
      </c>
      <c r="E3700" s="1060">
        <v>520000</v>
      </c>
      <c r="F3700" s="669"/>
      <c r="G3700" s="669"/>
      <c r="H3700" s="669"/>
      <c r="I3700" s="324">
        <f t="shared" si="2617"/>
        <v>520000</v>
      </c>
      <c r="J3700" s="669"/>
      <c r="K3700" s="1092"/>
      <c r="L3700" s="317">
        <f t="shared" si="2606"/>
        <v>520000</v>
      </c>
      <c r="M3700" s="317"/>
      <c r="N3700" s="372">
        <f t="shared" si="2608"/>
        <v>0</v>
      </c>
      <c r="O3700" s="336">
        <f t="shared" si="2624"/>
        <v>572000</v>
      </c>
      <c r="P3700" s="319">
        <f t="shared" si="2620"/>
        <v>629200</v>
      </c>
      <c r="R3700" s="317"/>
      <c r="U3700" s="320"/>
    </row>
    <row r="3701" spans="1:21" s="344" customFormat="1" outlineLevel="2">
      <c r="A3701" s="345"/>
      <c r="B3701" s="345"/>
      <c r="C3701" s="339">
        <v>2220200</v>
      </c>
      <c r="D3701" s="338" t="s">
        <v>86</v>
      </c>
      <c r="E3701" s="1062">
        <f>SUM(E3702:E3704)</f>
        <v>90000</v>
      </c>
      <c r="F3701" s="1062">
        <f t="shared" ref="F3701:K3701" si="2629">SUM(F3702:F3704)</f>
        <v>0</v>
      </c>
      <c r="G3701" s="1062">
        <f t="shared" si="2629"/>
        <v>0</v>
      </c>
      <c r="H3701" s="1062">
        <f t="shared" si="2629"/>
        <v>0</v>
      </c>
      <c r="I3701" s="1062">
        <f t="shared" si="2629"/>
        <v>90000</v>
      </c>
      <c r="J3701" s="1062">
        <f t="shared" si="2629"/>
        <v>0</v>
      </c>
      <c r="K3701" s="1062">
        <f t="shared" si="2629"/>
        <v>0</v>
      </c>
      <c r="L3701" s="317">
        <f t="shared" si="2606"/>
        <v>90000</v>
      </c>
      <c r="M3701" s="317"/>
      <c r="N3701" s="372">
        <f t="shared" si="2608"/>
        <v>0</v>
      </c>
      <c r="O3701" s="1062">
        <f t="shared" ref="O3701:P3701" si="2630">SUM(O3702:O3704)</f>
        <v>99000</v>
      </c>
      <c r="P3701" s="1062">
        <f t="shared" si="2630"/>
        <v>108900.00000000001</v>
      </c>
      <c r="R3701" s="317"/>
      <c r="U3701" s="320"/>
    </row>
    <row r="3702" spans="1:21" s="344" customFormat="1" outlineLevel="2">
      <c r="A3702" s="345"/>
      <c r="B3702" s="345"/>
      <c r="C3702" s="1072">
        <v>2220202</v>
      </c>
      <c r="D3702" s="668" t="s">
        <v>87</v>
      </c>
      <c r="E3702" s="1060">
        <v>20000</v>
      </c>
      <c r="F3702" s="669"/>
      <c r="G3702" s="669"/>
      <c r="H3702" s="669"/>
      <c r="I3702" s="324">
        <f t="shared" si="2617"/>
        <v>20000</v>
      </c>
      <c r="J3702" s="669"/>
      <c r="K3702" s="1063"/>
      <c r="L3702" s="317">
        <f t="shared" si="2606"/>
        <v>20000</v>
      </c>
      <c r="M3702" s="317"/>
      <c r="N3702" s="372">
        <f t="shared" si="2608"/>
        <v>0</v>
      </c>
      <c r="O3702" s="336">
        <f t="shared" si="2624"/>
        <v>22000</v>
      </c>
      <c r="P3702" s="319">
        <f t="shared" si="2620"/>
        <v>24200.000000000004</v>
      </c>
      <c r="R3702" s="317"/>
      <c r="U3702" s="320"/>
    </row>
    <row r="3703" spans="1:21" s="344" customFormat="1" outlineLevel="2">
      <c r="A3703" s="345"/>
      <c r="B3703" s="345"/>
      <c r="C3703" s="1072">
        <v>2220205</v>
      </c>
      <c r="D3703" s="668" t="s">
        <v>670</v>
      </c>
      <c r="E3703" s="1060">
        <v>50000</v>
      </c>
      <c r="F3703" s="669"/>
      <c r="G3703" s="669"/>
      <c r="H3703" s="669"/>
      <c r="I3703" s="324">
        <f t="shared" si="2617"/>
        <v>50000</v>
      </c>
      <c r="J3703" s="669"/>
      <c r="K3703" s="1063"/>
      <c r="L3703" s="317">
        <f t="shared" si="2606"/>
        <v>50000</v>
      </c>
      <c r="M3703" s="317"/>
      <c r="N3703" s="372">
        <f t="shared" si="2608"/>
        <v>0</v>
      </c>
      <c r="O3703" s="336">
        <f t="shared" si="2624"/>
        <v>55000.000000000007</v>
      </c>
      <c r="P3703" s="319">
        <f t="shared" si="2620"/>
        <v>60500.000000000015</v>
      </c>
      <c r="R3703" s="317"/>
      <c r="U3703" s="320"/>
    </row>
    <row r="3704" spans="1:21" s="344" customFormat="1" outlineLevel="2">
      <c r="A3704" s="345"/>
      <c r="B3704" s="345"/>
      <c r="C3704" s="1072">
        <v>2220210</v>
      </c>
      <c r="D3704" s="668" t="s">
        <v>163</v>
      </c>
      <c r="E3704" s="1060">
        <v>20000</v>
      </c>
      <c r="F3704" s="669"/>
      <c r="G3704" s="669"/>
      <c r="H3704" s="669"/>
      <c r="I3704" s="324">
        <f t="shared" si="2617"/>
        <v>20000</v>
      </c>
      <c r="J3704" s="669"/>
      <c r="K3704" s="1063"/>
      <c r="L3704" s="317">
        <f t="shared" si="2606"/>
        <v>20000</v>
      </c>
      <c r="M3704" s="317"/>
      <c r="N3704" s="372">
        <f t="shared" si="2608"/>
        <v>0</v>
      </c>
      <c r="O3704" s="336">
        <f t="shared" si="2624"/>
        <v>22000</v>
      </c>
      <c r="P3704" s="319">
        <f t="shared" ref="P3704:P3723" si="2631">O3704*1.1</f>
        <v>24200.000000000004</v>
      </c>
      <c r="R3704" s="317"/>
      <c r="U3704" s="320"/>
    </row>
    <row r="3705" spans="1:21" s="344" customFormat="1" outlineLevel="2">
      <c r="A3705" s="345"/>
      <c r="B3705" s="345"/>
      <c r="C3705" s="339">
        <v>3110300</v>
      </c>
      <c r="D3705" s="338" t="s">
        <v>251</v>
      </c>
      <c r="E3705" s="1062">
        <f>E3706</f>
        <v>0</v>
      </c>
      <c r="F3705" s="397"/>
      <c r="G3705" s="397"/>
      <c r="H3705" s="397"/>
      <c r="I3705" s="324">
        <f t="shared" si="2617"/>
        <v>0</v>
      </c>
      <c r="J3705" s="397"/>
      <c r="K3705" s="397"/>
      <c r="L3705" s="317">
        <f t="shared" si="2606"/>
        <v>0</v>
      </c>
      <c r="M3705" s="317"/>
      <c r="N3705" s="372">
        <f t="shared" si="2608"/>
        <v>0</v>
      </c>
      <c r="O3705" s="336">
        <f t="shared" si="2624"/>
        <v>0</v>
      </c>
      <c r="P3705" s="319">
        <f t="shared" si="2631"/>
        <v>0</v>
      </c>
      <c r="R3705" s="317"/>
      <c r="U3705" s="320"/>
    </row>
    <row r="3706" spans="1:21" s="344" customFormat="1" outlineLevel="2">
      <c r="A3706" s="345"/>
      <c r="B3706" s="345"/>
      <c r="C3706" s="331">
        <v>3110302</v>
      </c>
      <c r="D3706" s="330" t="s">
        <v>252</v>
      </c>
      <c r="E3706" s="1073">
        <v>0</v>
      </c>
      <c r="F3706" s="389"/>
      <c r="G3706" s="389"/>
      <c r="H3706" s="389"/>
      <c r="I3706" s="324">
        <f t="shared" si="2617"/>
        <v>0</v>
      </c>
      <c r="J3706" s="389"/>
      <c r="K3706" s="389"/>
      <c r="L3706" s="317">
        <f t="shared" si="2606"/>
        <v>0</v>
      </c>
      <c r="M3706" s="317"/>
      <c r="N3706" s="372">
        <f t="shared" si="2608"/>
        <v>0</v>
      </c>
      <c r="O3706" s="336">
        <f t="shared" si="2624"/>
        <v>0</v>
      </c>
      <c r="P3706" s="319">
        <f t="shared" si="2631"/>
        <v>0</v>
      </c>
      <c r="R3706" s="317"/>
      <c r="U3706" s="320"/>
    </row>
    <row r="3707" spans="1:21" s="344" customFormat="1" outlineLevel="2">
      <c r="A3707" s="345"/>
      <c r="B3707" s="345"/>
      <c r="C3707" s="339">
        <v>3111000</v>
      </c>
      <c r="D3707" s="338" t="s">
        <v>69</v>
      </c>
      <c r="E3707" s="1062">
        <f>SUM(E3708:E3709)</f>
        <v>600000</v>
      </c>
      <c r="F3707" s="1062">
        <f t="shared" ref="F3707:P3707" si="2632">SUM(F3708:F3709)</f>
        <v>0</v>
      </c>
      <c r="G3707" s="1062">
        <f t="shared" si="2632"/>
        <v>0</v>
      </c>
      <c r="H3707" s="1062">
        <f t="shared" si="2632"/>
        <v>-600000</v>
      </c>
      <c r="I3707" s="1062">
        <f t="shared" si="2632"/>
        <v>0</v>
      </c>
      <c r="J3707" s="1062">
        <f t="shared" si="2632"/>
        <v>0</v>
      </c>
      <c r="K3707" s="1062">
        <f t="shared" si="2632"/>
        <v>0</v>
      </c>
      <c r="L3707" s="317">
        <f t="shared" si="2606"/>
        <v>0</v>
      </c>
      <c r="M3707" s="317"/>
      <c r="N3707" s="372">
        <f t="shared" si="2608"/>
        <v>0</v>
      </c>
      <c r="O3707" s="1062">
        <f t="shared" si="2632"/>
        <v>0</v>
      </c>
      <c r="P3707" s="1062">
        <f t="shared" si="2632"/>
        <v>0</v>
      </c>
      <c r="R3707" s="317"/>
      <c r="U3707" s="320"/>
    </row>
    <row r="3708" spans="1:21" s="344" customFormat="1" outlineLevel="2">
      <c r="A3708" s="345"/>
      <c r="B3708" s="345"/>
      <c r="C3708" s="1072">
        <v>3111002</v>
      </c>
      <c r="D3708" s="668" t="s">
        <v>71</v>
      </c>
      <c r="E3708" s="1060">
        <v>100000</v>
      </c>
      <c r="F3708" s="669"/>
      <c r="G3708" s="669"/>
      <c r="H3708" s="1060">
        <v>-100000</v>
      </c>
      <c r="I3708" s="324">
        <f t="shared" si="2617"/>
        <v>0</v>
      </c>
      <c r="J3708" s="1060"/>
      <c r="K3708" s="1088"/>
      <c r="L3708" s="317">
        <f t="shared" si="2606"/>
        <v>0</v>
      </c>
      <c r="M3708" s="317"/>
      <c r="N3708" s="372">
        <f t="shared" si="2608"/>
        <v>0</v>
      </c>
      <c r="O3708" s="336">
        <f t="shared" si="2624"/>
        <v>0</v>
      </c>
      <c r="P3708" s="319">
        <f t="shared" si="2631"/>
        <v>0</v>
      </c>
      <c r="R3708" s="317"/>
      <c r="U3708" s="320"/>
    </row>
    <row r="3709" spans="1:21" s="344" customFormat="1" outlineLevel="2">
      <c r="A3709" s="345"/>
      <c r="B3709" s="345"/>
      <c r="C3709" s="1072">
        <v>3111009</v>
      </c>
      <c r="D3709" s="668" t="s">
        <v>1832</v>
      </c>
      <c r="E3709" s="1060">
        <f>30000+9000000-30000-8500000</f>
        <v>500000</v>
      </c>
      <c r="F3709" s="669"/>
      <c r="G3709" s="669"/>
      <c r="H3709" s="1060">
        <v>-500000</v>
      </c>
      <c r="I3709" s="324">
        <f t="shared" si="2617"/>
        <v>0</v>
      </c>
      <c r="J3709" s="1060"/>
      <c r="K3709" s="1088"/>
      <c r="L3709" s="317">
        <f t="shared" si="2606"/>
        <v>0</v>
      </c>
      <c r="M3709" s="317"/>
      <c r="N3709" s="372">
        <f t="shared" si="2608"/>
        <v>0</v>
      </c>
      <c r="O3709" s="336">
        <f t="shared" si="2624"/>
        <v>0</v>
      </c>
      <c r="P3709" s="319">
        <f t="shared" si="2631"/>
        <v>0</v>
      </c>
      <c r="R3709" s="317"/>
      <c r="U3709" s="320"/>
    </row>
    <row r="3710" spans="1:21" s="344" customFormat="1" outlineLevel="1">
      <c r="A3710" s="345"/>
      <c r="B3710" s="345"/>
      <c r="C3710" s="331"/>
      <c r="D3710" s="338" t="s">
        <v>674</v>
      </c>
      <c r="E3710" s="1062">
        <f>E3662+E3665+E3668+E3672+E3676+E3678+E3686+E3689+E3693+E3699+E3701+E3707+E3695+E3705</f>
        <v>8024200</v>
      </c>
      <c r="F3710" s="1062">
        <f t="shared" ref="F3710:K3710" si="2633">F3662+F3665+F3668+F3672+F3676+F3678+F3686+F3689+F3693+F3699+F3701+F3707+F3695+F3705</f>
        <v>0</v>
      </c>
      <c r="G3710" s="1062">
        <f t="shared" si="2633"/>
        <v>0</v>
      </c>
      <c r="H3710" s="1062">
        <f t="shared" si="2633"/>
        <v>0</v>
      </c>
      <c r="I3710" s="1062">
        <f t="shared" si="2633"/>
        <v>8024200</v>
      </c>
      <c r="J3710" s="1062">
        <f t="shared" si="2633"/>
        <v>0</v>
      </c>
      <c r="K3710" s="1062">
        <f t="shared" si="2633"/>
        <v>0</v>
      </c>
      <c r="L3710" s="317">
        <f t="shared" si="2606"/>
        <v>8024200</v>
      </c>
      <c r="M3710" s="317"/>
      <c r="N3710" s="372">
        <f t="shared" si="2608"/>
        <v>0</v>
      </c>
      <c r="O3710" s="1062">
        <f t="shared" ref="O3710:P3710" si="2634">O3662+O3665+O3668+O3672+O3676+O3678+O3686+O3689+O3693+O3699+O3701+O3707+O3695+O3705</f>
        <v>8826620</v>
      </c>
      <c r="P3710" s="1062">
        <f t="shared" si="2634"/>
        <v>9709282</v>
      </c>
      <c r="R3710" s="317"/>
      <c r="U3710" s="320"/>
    </row>
    <row r="3711" spans="1:21" s="344" customFormat="1" outlineLevel="1">
      <c r="A3711" s="345"/>
      <c r="B3711" s="345"/>
      <c r="C3711" s="340"/>
      <c r="D3711" s="1079"/>
      <c r="E3711" s="1073"/>
      <c r="F3711" s="1080"/>
      <c r="G3711" s="1080"/>
      <c r="H3711" s="1080"/>
      <c r="I3711" s="324">
        <f t="shared" si="2617"/>
        <v>0</v>
      </c>
      <c r="J3711" s="1080"/>
      <c r="K3711" s="1080"/>
      <c r="L3711" s="317">
        <f t="shared" si="2606"/>
        <v>0</v>
      </c>
      <c r="M3711" s="317"/>
      <c r="N3711" s="372">
        <f t="shared" si="2608"/>
        <v>0</v>
      </c>
      <c r="O3711" s="336">
        <f t="shared" si="2624"/>
        <v>0</v>
      </c>
      <c r="P3711" s="319">
        <f t="shared" si="2631"/>
        <v>0</v>
      </c>
      <c r="R3711" s="317"/>
      <c r="U3711" s="320"/>
    </row>
    <row r="3712" spans="1:21" s="344" customFormat="1" outlineLevel="1">
      <c r="A3712" s="345"/>
      <c r="B3712" s="345"/>
      <c r="C3712" s="340" t="s">
        <v>2451</v>
      </c>
      <c r="D3712" s="1079"/>
      <c r="E3712" s="1073"/>
      <c r="F3712" s="1080"/>
      <c r="G3712" s="1080"/>
      <c r="H3712" s="1080"/>
      <c r="I3712" s="324">
        <f t="shared" si="2617"/>
        <v>0</v>
      </c>
      <c r="J3712" s="1080"/>
      <c r="K3712" s="1080"/>
      <c r="L3712" s="317">
        <f t="shared" si="2606"/>
        <v>0</v>
      </c>
      <c r="M3712" s="317"/>
      <c r="N3712" s="372">
        <f t="shared" si="2608"/>
        <v>0</v>
      </c>
      <c r="O3712" s="336">
        <f t="shared" si="2624"/>
        <v>0</v>
      </c>
      <c r="P3712" s="319">
        <f t="shared" si="2631"/>
        <v>0</v>
      </c>
      <c r="R3712" s="317"/>
      <c r="U3712" s="320"/>
    </row>
    <row r="3713" spans="1:21" s="344" customFormat="1" outlineLevel="1">
      <c r="A3713" s="345"/>
      <c r="B3713" s="345"/>
      <c r="C3713" s="340" t="s">
        <v>2452</v>
      </c>
      <c r="D3713" s="330"/>
      <c r="E3713" s="1073"/>
      <c r="F3713" s="389"/>
      <c r="G3713" s="389"/>
      <c r="H3713" s="389"/>
      <c r="I3713" s="324">
        <f t="shared" si="2617"/>
        <v>0</v>
      </c>
      <c r="J3713" s="389"/>
      <c r="K3713" s="389"/>
      <c r="L3713" s="317">
        <f t="shared" si="2606"/>
        <v>0</v>
      </c>
      <c r="M3713" s="317"/>
      <c r="N3713" s="372">
        <f t="shared" si="2608"/>
        <v>0</v>
      </c>
      <c r="O3713" s="336">
        <f t="shared" si="2624"/>
        <v>0</v>
      </c>
      <c r="P3713" s="319">
        <f t="shared" si="2631"/>
        <v>0</v>
      </c>
      <c r="R3713" s="317"/>
      <c r="U3713" s="320"/>
    </row>
    <row r="3714" spans="1:21" s="344" customFormat="1" outlineLevel="3">
      <c r="A3714" s="345"/>
      <c r="B3714" s="345"/>
      <c r="C3714" s="339">
        <v>2210200</v>
      </c>
      <c r="D3714" s="338" t="s">
        <v>20</v>
      </c>
      <c r="E3714" s="1062">
        <f>SUM(E3715:E3717)</f>
        <v>110000</v>
      </c>
      <c r="F3714" s="1062">
        <f t="shared" ref="F3714:K3714" si="2635">SUM(F3715:F3717)</f>
        <v>0</v>
      </c>
      <c r="G3714" s="1062">
        <f t="shared" si="2635"/>
        <v>0</v>
      </c>
      <c r="H3714" s="1062">
        <f t="shared" si="2635"/>
        <v>0</v>
      </c>
      <c r="I3714" s="1062">
        <f t="shared" si="2635"/>
        <v>110000</v>
      </c>
      <c r="J3714" s="1062">
        <f t="shared" si="2635"/>
        <v>0</v>
      </c>
      <c r="K3714" s="1062">
        <f t="shared" si="2635"/>
        <v>-75000</v>
      </c>
      <c r="L3714" s="317">
        <f t="shared" si="2606"/>
        <v>35000</v>
      </c>
      <c r="M3714" s="317"/>
      <c r="N3714" s="372">
        <f t="shared" si="2608"/>
        <v>75000</v>
      </c>
      <c r="O3714" s="1062">
        <f t="shared" ref="O3714:P3714" si="2636">SUM(O3715:O3717)</f>
        <v>38500</v>
      </c>
      <c r="P3714" s="1062">
        <f t="shared" si="2636"/>
        <v>42350</v>
      </c>
      <c r="R3714" s="317"/>
      <c r="U3714" s="320"/>
    </row>
    <row r="3715" spans="1:21" s="344" customFormat="1" outlineLevel="3">
      <c r="A3715" s="345"/>
      <c r="B3715" s="345"/>
      <c r="C3715" s="1072">
        <v>2210201</v>
      </c>
      <c r="D3715" s="668" t="s">
        <v>21</v>
      </c>
      <c r="E3715" s="1060">
        <v>70000</v>
      </c>
      <c r="F3715" s="669"/>
      <c r="G3715" s="669"/>
      <c r="H3715" s="669"/>
      <c r="I3715" s="324">
        <f t="shared" si="2617"/>
        <v>70000</v>
      </c>
      <c r="J3715" s="669"/>
      <c r="K3715" s="1063">
        <v>-35000</v>
      </c>
      <c r="L3715" s="317">
        <f t="shared" si="2606"/>
        <v>35000</v>
      </c>
      <c r="M3715" s="317"/>
      <c r="N3715" s="372">
        <f t="shared" si="2608"/>
        <v>35000</v>
      </c>
      <c r="O3715" s="336">
        <f t="shared" si="2624"/>
        <v>38500</v>
      </c>
      <c r="P3715" s="319">
        <f t="shared" si="2631"/>
        <v>42350</v>
      </c>
      <c r="R3715" s="317"/>
      <c r="U3715" s="320"/>
    </row>
    <row r="3716" spans="1:21" s="344" customFormat="1" outlineLevel="3">
      <c r="A3716" s="345"/>
      <c r="B3716" s="345"/>
      <c r="C3716" s="1072">
        <v>2210202</v>
      </c>
      <c r="D3716" s="668" t="s">
        <v>22</v>
      </c>
      <c r="E3716" s="1060">
        <v>35000</v>
      </c>
      <c r="F3716" s="669"/>
      <c r="G3716" s="669"/>
      <c r="H3716" s="669"/>
      <c r="I3716" s="324">
        <f t="shared" si="2617"/>
        <v>35000</v>
      </c>
      <c r="J3716" s="669"/>
      <c r="K3716" s="1063">
        <v>-35000</v>
      </c>
      <c r="L3716" s="317">
        <f t="shared" si="2606"/>
        <v>0</v>
      </c>
      <c r="M3716" s="317"/>
      <c r="N3716" s="372">
        <f t="shared" si="2608"/>
        <v>35000</v>
      </c>
      <c r="O3716" s="336">
        <f t="shared" si="2624"/>
        <v>0</v>
      </c>
      <c r="P3716" s="319">
        <f t="shared" si="2631"/>
        <v>0</v>
      </c>
      <c r="R3716" s="317"/>
      <c r="U3716" s="320"/>
    </row>
    <row r="3717" spans="1:21" s="344" customFormat="1" outlineLevel="3">
      <c r="A3717" s="345"/>
      <c r="B3717" s="345"/>
      <c r="C3717" s="1072">
        <v>2210203</v>
      </c>
      <c r="D3717" s="668" t="s">
        <v>23</v>
      </c>
      <c r="E3717" s="1060">
        <v>5000</v>
      </c>
      <c r="F3717" s="669"/>
      <c r="G3717" s="669"/>
      <c r="H3717" s="669"/>
      <c r="I3717" s="324">
        <f t="shared" si="2617"/>
        <v>5000</v>
      </c>
      <c r="J3717" s="669"/>
      <c r="K3717" s="1063">
        <v>-5000</v>
      </c>
      <c r="L3717" s="317">
        <f t="shared" ref="L3717:L3780" si="2637">I3717+J3717+K3717</f>
        <v>0</v>
      </c>
      <c r="M3717" s="317"/>
      <c r="N3717" s="372">
        <f t="shared" si="2608"/>
        <v>5000</v>
      </c>
      <c r="O3717" s="336">
        <f t="shared" si="2624"/>
        <v>0</v>
      </c>
      <c r="P3717" s="319">
        <f t="shared" si="2631"/>
        <v>0</v>
      </c>
      <c r="R3717" s="317"/>
      <c r="U3717" s="320"/>
    </row>
    <row r="3718" spans="1:21" s="344" customFormat="1" outlineLevel="3">
      <c r="A3718" s="345"/>
      <c r="B3718" s="345"/>
      <c r="C3718" s="339">
        <v>2210300</v>
      </c>
      <c r="D3718" s="338" t="s">
        <v>24</v>
      </c>
      <c r="E3718" s="1062">
        <f>SUM(E3719:E3721)</f>
        <v>835000</v>
      </c>
      <c r="F3718" s="1062">
        <f t="shared" ref="F3718:P3718" si="2638">SUM(F3719:F3721)</f>
        <v>0</v>
      </c>
      <c r="G3718" s="1062">
        <f t="shared" si="2638"/>
        <v>0</v>
      </c>
      <c r="H3718" s="1062">
        <f t="shared" si="2638"/>
        <v>0</v>
      </c>
      <c r="I3718" s="1062">
        <f t="shared" si="2638"/>
        <v>835000</v>
      </c>
      <c r="J3718" s="1062">
        <f t="shared" si="2638"/>
        <v>0</v>
      </c>
      <c r="K3718" s="1062">
        <f t="shared" si="2638"/>
        <v>0</v>
      </c>
      <c r="L3718" s="317">
        <f t="shared" si="2637"/>
        <v>835000</v>
      </c>
      <c r="M3718" s="317"/>
      <c r="N3718" s="372">
        <f t="shared" si="2608"/>
        <v>0</v>
      </c>
      <c r="O3718" s="1062">
        <f t="shared" si="2638"/>
        <v>918500</v>
      </c>
      <c r="P3718" s="1062">
        <f t="shared" si="2638"/>
        <v>1010350</v>
      </c>
      <c r="R3718" s="317"/>
      <c r="U3718" s="320"/>
    </row>
    <row r="3719" spans="1:21" s="344" customFormat="1" outlineLevel="3">
      <c r="A3719" s="345"/>
      <c r="B3719" s="345"/>
      <c r="C3719" s="1072" t="s">
        <v>673</v>
      </c>
      <c r="D3719" s="668" t="s">
        <v>25</v>
      </c>
      <c r="E3719" s="1060">
        <v>100000</v>
      </c>
      <c r="F3719" s="669"/>
      <c r="G3719" s="669"/>
      <c r="H3719" s="669"/>
      <c r="I3719" s="324">
        <f t="shared" si="2617"/>
        <v>100000</v>
      </c>
      <c r="J3719" s="669"/>
      <c r="K3719" s="1063"/>
      <c r="L3719" s="317">
        <f t="shared" si="2637"/>
        <v>100000</v>
      </c>
      <c r="M3719" s="317"/>
      <c r="N3719" s="372">
        <f t="shared" si="2608"/>
        <v>0</v>
      </c>
      <c r="O3719" s="336">
        <f t="shared" si="2624"/>
        <v>110000.00000000001</v>
      </c>
      <c r="P3719" s="319">
        <f t="shared" si="2631"/>
        <v>121000.00000000003</v>
      </c>
      <c r="R3719" s="317"/>
      <c r="U3719" s="320"/>
    </row>
    <row r="3720" spans="1:21" s="344" customFormat="1" outlineLevel="3">
      <c r="A3720" s="345"/>
      <c r="B3720" s="345"/>
      <c r="C3720" s="1072">
        <v>2210302</v>
      </c>
      <c r="D3720" s="668" t="s">
        <v>26</v>
      </c>
      <c r="E3720" s="1060">
        <v>500000</v>
      </c>
      <c r="F3720" s="669"/>
      <c r="G3720" s="669"/>
      <c r="H3720" s="669"/>
      <c r="I3720" s="324">
        <f t="shared" si="2617"/>
        <v>500000</v>
      </c>
      <c r="J3720" s="669"/>
      <c r="K3720" s="1063"/>
      <c r="L3720" s="317">
        <f t="shared" si="2637"/>
        <v>500000</v>
      </c>
      <c r="M3720" s="317"/>
      <c r="N3720" s="372">
        <f t="shared" si="2608"/>
        <v>0</v>
      </c>
      <c r="O3720" s="336">
        <f t="shared" si="2624"/>
        <v>550000</v>
      </c>
      <c r="P3720" s="319">
        <f t="shared" si="2631"/>
        <v>605000</v>
      </c>
      <c r="R3720" s="317"/>
      <c r="U3720" s="320"/>
    </row>
    <row r="3721" spans="1:21" s="344" customFormat="1" outlineLevel="3">
      <c r="A3721" s="345"/>
      <c r="B3721" s="345"/>
      <c r="C3721" s="1072">
        <v>2210303</v>
      </c>
      <c r="D3721" s="668" t="s">
        <v>27</v>
      </c>
      <c r="E3721" s="1060">
        <v>235000</v>
      </c>
      <c r="F3721" s="669"/>
      <c r="G3721" s="669"/>
      <c r="H3721" s="669"/>
      <c r="I3721" s="324">
        <f t="shared" si="2617"/>
        <v>235000</v>
      </c>
      <c r="J3721" s="669"/>
      <c r="K3721" s="1063"/>
      <c r="L3721" s="317">
        <f t="shared" si="2637"/>
        <v>235000</v>
      </c>
      <c r="M3721" s="317"/>
      <c r="N3721" s="372">
        <f t="shared" ref="N3721:N3784" si="2639">M3721-K3721</f>
        <v>0</v>
      </c>
      <c r="O3721" s="336">
        <f t="shared" si="2624"/>
        <v>258500.00000000003</v>
      </c>
      <c r="P3721" s="319">
        <f t="shared" si="2631"/>
        <v>284350.00000000006</v>
      </c>
      <c r="R3721" s="317"/>
      <c r="U3721" s="320"/>
    </row>
    <row r="3722" spans="1:21" s="344" customFormat="1" outlineLevel="3">
      <c r="A3722" s="345"/>
      <c r="B3722" s="345"/>
      <c r="C3722" s="339">
        <v>2210500</v>
      </c>
      <c r="D3722" s="338" t="s">
        <v>31</v>
      </c>
      <c r="E3722" s="1062">
        <f>SUM(E3723:E3725)</f>
        <v>400000</v>
      </c>
      <c r="F3722" s="1062">
        <f t="shared" ref="F3722:P3722" si="2640">SUM(F3723:F3725)</f>
        <v>0</v>
      </c>
      <c r="G3722" s="1062">
        <f t="shared" si="2640"/>
        <v>0</v>
      </c>
      <c r="H3722" s="1062">
        <f t="shared" si="2640"/>
        <v>0</v>
      </c>
      <c r="I3722" s="1062">
        <f t="shared" si="2640"/>
        <v>400000</v>
      </c>
      <c r="J3722" s="1062">
        <f t="shared" si="2640"/>
        <v>0</v>
      </c>
      <c r="K3722" s="1062">
        <f t="shared" si="2640"/>
        <v>-116720</v>
      </c>
      <c r="L3722" s="317">
        <f t="shared" si="2637"/>
        <v>283280</v>
      </c>
      <c r="M3722" s="317"/>
      <c r="N3722" s="372">
        <f t="shared" si="2639"/>
        <v>116720</v>
      </c>
      <c r="O3722" s="1062">
        <f t="shared" si="2640"/>
        <v>311608.00000000006</v>
      </c>
      <c r="P3722" s="1062">
        <f t="shared" si="2640"/>
        <v>342768.80000000005</v>
      </c>
      <c r="R3722" s="317"/>
      <c r="U3722" s="320"/>
    </row>
    <row r="3723" spans="1:21" s="344" customFormat="1" outlineLevel="3">
      <c r="A3723" s="345"/>
      <c r="B3723" s="345"/>
      <c r="C3723" s="1072">
        <v>2210502</v>
      </c>
      <c r="D3723" s="668" t="s">
        <v>105</v>
      </c>
      <c r="E3723" s="1060">
        <v>100000</v>
      </c>
      <c r="F3723" s="669"/>
      <c r="G3723" s="669"/>
      <c r="H3723" s="669"/>
      <c r="I3723" s="324">
        <f t="shared" si="2617"/>
        <v>100000</v>
      </c>
      <c r="J3723" s="669"/>
      <c r="K3723" s="1063">
        <v>-100000</v>
      </c>
      <c r="L3723" s="317">
        <f t="shared" si="2637"/>
        <v>0</v>
      </c>
      <c r="M3723" s="317"/>
      <c r="N3723" s="372">
        <f t="shared" si="2639"/>
        <v>100000</v>
      </c>
      <c r="O3723" s="336">
        <f t="shared" si="2624"/>
        <v>0</v>
      </c>
      <c r="P3723" s="319">
        <f t="shared" si="2631"/>
        <v>0</v>
      </c>
      <c r="R3723" s="317"/>
      <c r="U3723" s="320"/>
    </row>
    <row r="3724" spans="1:21" s="344" customFormat="1" outlineLevel="3">
      <c r="A3724" s="345"/>
      <c r="B3724" s="345"/>
      <c r="C3724" s="1072">
        <v>2210503</v>
      </c>
      <c r="D3724" s="668" t="s">
        <v>32</v>
      </c>
      <c r="E3724" s="1060">
        <v>100000</v>
      </c>
      <c r="F3724" s="669"/>
      <c r="G3724" s="669"/>
      <c r="H3724" s="669"/>
      <c r="I3724" s="324">
        <f t="shared" si="2617"/>
        <v>100000</v>
      </c>
      <c r="J3724" s="669"/>
      <c r="K3724" s="1063"/>
      <c r="L3724" s="317">
        <f t="shared" si="2637"/>
        <v>100000</v>
      </c>
      <c r="M3724" s="317"/>
      <c r="N3724" s="372">
        <f t="shared" si="2639"/>
        <v>0</v>
      </c>
      <c r="O3724" s="336">
        <f t="shared" si="2624"/>
        <v>110000.00000000001</v>
      </c>
      <c r="P3724" s="319">
        <f t="shared" ref="P3724:P3752" si="2641">O3724*1.1</f>
        <v>121000.00000000003</v>
      </c>
      <c r="R3724" s="317"/>
      <c r="U3724" s="320"/>
    </row>
    <row r="3725" spans="1:21" s="344" customFormat="1" outlineLevel="3">
      <c r="A3725" s="345"/>
      <c r="B3725" s="345"/>
      <c r="C3725" s="1072">
        <v>2210504</v>
      </c>
      <c r="D3725" s="668" t="s">
        <v>33</v>
      </c>
      <c r="E3725" s="1060">
        <v>200000</v>
      </c>
      <c r="F3725" s="669"/>
      <c r="G3725" s="669"/>
      <c r="H3725" s="669"/>
      <c r="I3725" s="324">
        <f t="shared" si="2617"/>
        <v>200000</v>
      </c>
      <c r="J3725" s="669"/>
      <c r="K3725" s="1063">
        <v>-16720</v>
      </c>
      <c r="L3725" s="317">
        <f t="shared" si="2637"/>
        <v>183280</v>
      </c>
      <c r="M3725" s="317"/>
      <c r="N3725" s="372">
        <f t="shared" si="2639"/>
        <v>16720</v>
      </c>
      <c r="O3725" s="336">
        <f t="shared" si="2624"/>
        <v>201608.00000000003</v>
      </c>
      <c r="P3725" s="319">
        <f t="shared" si="2641"/>
        <v>221768.80000000005</v>
      </c>
      <c r="R3725" s="317"/>
      <c r="U3725" s="320"/>
    </row>
    <row r="3726" spans="1:21" s="344" customFormat="1" outlineLevel="3">
      <c r="A3726" s="345"/>
      <c r="B3726" s="345"/>
      <c r="C3726" s="1081">
        <v>2210600</v>
      </c>
      <c r="D3726" s="1082" t="s">
        <v>154</v>
      </c>
      <c r="E3726" s="1083">
        <f>E3727</f>
        <v>411000</v>
      </c>
      <c r="F3726" s="1083">
        <f t="shared" ref="F3726:K3726" si="2642">F3727</f>
        <v>0</v>
      </c>
      <c r="G3726" s="1083">
        <f t="shared" si="2642"/>
        <v>0</v>
      </c>
      <c r="H3726" s="1083">
        <f t="shared" si="2642"/>
        <v>0</v>
      </c>
      <c r="I3726" s="1083">
        <f t="shared" si="2642"/>
        <v>411000</v>
      </c>
      <c r="J3726" s="1083">
        <f t="shared" si="2642"/>
        <v>0</v>
      </c>
      <c r="K3726" s="1083">
        <f t="shared" si="2642"/>
        <v>0</v>
      </c>
      <c r="L3726" s="317">
        <f t="shared" si="2637"/>
        <v>411000</v>
      </c>
      <c r="M3726" s="317"/>
      <c r="N3726" s="372">
        <f t="shared" si="2639"/>
        <v>0</v>
      </c>
      <c r="O3726" s="1083">
        <f t="shared" ref="O3726:P3726" si="2643">O3727</f>
        <v>452100.00000000006</v>
      </c>
      <c r="P3726" s="1083">
        <f t="shared" si="2643"/>
        <v>497310.00000000012</v>
      </c>
      <c r="R3726" s="317"/>
      <c r="U3726" s="320"/>
    </row>
    <row r="3727" spans="1:21" s="344" customFormat="1" outlineLevel="3">
      <c r="A3727" s="345"/>
      <c r="B3727" s="345"/>
      <c r="C3727" s="1072">
        <v>2210603</v>
      </c>
      <c r="D3727" s="668" t="s">
        <v>489</v>
      </c>
      <c r="E3727" s="1060">
        <v>411000</v>
      </c>
      <c r="F3727" s="669"/>
      <c r="G3727" s="669"/>
      <c r="H3727" s="669"/>
      <c r="I3727" s="324">
        <f t="shared" si="2617"/>
        <v>411000</v>
      </c>
      <c r="J3727" s="669"/>
      <c r="K3727" s="1063"/>
      <c r="L3727" s="317">
        <f t="shared" si="2637"/>
        <v>411000</v>
      </c>
      <c r="M3727" s="317"/>
      <c r="N3727" s="372">
        <f t="shared" si="2639"/>
        <v>0</v>
      </c>
      <c r="O3727" s="336">
        <f t="shared" si="2624"/>
        <v>452100.00000000006</v>
      </c>
      <c r="P3727" s="319">
        <f t="shared" ref="P3727:P3732" si="2644">O3727*1.1</f>
        <v>497310.00000000012</v>
      </c>
      <c r="R3727" s="317"/>
      <c r="U3727" s="320"/>
    </row>
    <row r="3728" spans="1:21" s="344" customFormat="1" outlineLevel="3">
      <c r="A3728" s="345"/>
      <c r="B3728" s="345"/>
      <c r="C3728" s="339">
        <v>2210700</v>
      </c>
      <c r="D3728" s="338" t="s">
        <v>35</v>
      </c>
      <c r="E3728" s="1062">
        <f>E3735+E3734+E3733+E3732+E3731+E3730+E3729</f>
        <v>920306</v>
      </c>
      <c r="F3728" s="1062">
        <f t="shared" ref="F3728:K3728" si="2645">F3735+F3734+F3733+F3732+F3731+F3730+F3729</f>
        <v>0</v>
      </c>
      <c r="G3728" s="1062">
        <f t="shared" si="2645"/>
        <v>0</v>
      </c>
      <c r="H3728" s="1062">
        <f t="shared" si="2645"/>
        <v>0</v>
      </c>
      <c r="I3728" s="1062">
        <f t="shared" si="2645"/>
        <v>920306</v>
      </c>
      <c r="J3728" s="1062">
        <f t="shared" si="2645"/>
        <v>0</v>
      </c>
      <c r="K3728" s="1062">
        <f t="shared" si="2645"/>
        <v>-130953</v>
      </c>
      <c r="L3728" s="317">
        <f t="shared" si="2637"/>
        <v>789353</v>
      </c>
      <c r="M3728" s="317"/>
      <c r="N3728" s="372">
        <f t="shared" si="2639"/>
        <v>130953</v>
      </c>
      <c r="O3728" s="1062">
        <f t="shared" ref="O3728:P3728" si="2646">O3735+O3734+O3733+O3732+O3731+O3730+O3729</f>
        <v>868288.3</v>
      </c>
      <c r="P3728" s="1062">
        <f t="shared" si="2646"/>
        <v>955117.13000000012</v>
      </c>
      <c r="R3728" s="317"/>
      <c r="U3728" s="320"/>
    </row>
    <row r="3729" spans="1:21" s="344" customFormat="1" outlineLevel="3">
      <c r="A3729" s="345"/>
      <c r="B3729" s="345"/>
      <c r="C3729" s="1072">
        <v>2210701</v>
      </c>
      <c r="D3729" s="668" t="s">
        <v>36</v>
      </c>
      <c r="E3729" s="1060">
        <v>300000</v>
      </c>
      <c r="F3729" s="669"/>
      <c r="G3729" s="669"/>
      <c r="H3729" s="669"/>
      <c r="I3729" s="324">
        <f t="shared" si="2617"/>
        <v>300000</v>
      </c>
      <c r="J3729" s="669"/>
      <c r="K3729" s="1063"/>
      <c r="L3729" s="317">
        <f t="shared" si="2637"/>
        <v>300000</v>
      </c>
      <c r="M3729" s="317"/>
      <c r="N3729" s="372">
        <f t="shared" si="2639"/>
        <v>0</v>
      </c>
      <c r="O3729" s="336">
        <f t="shared" si="2624"/>
        <v>330000</v>
      </c>
      <c r="P3729" s="319">
        <f t="shared" si="2644"/>
        <v>363000.00000000006</v>
      </c>
      <c r="R3729" s="317"/>
      <c r="U3729" s="320"/>
    </row>
    <row r="3730" spans="1:21" s="344" customFormat="1" outlineLevel="3">
      <c r="A3730" s="345"/>
      <c r="B3730" s="345"/>
      <c r="C3730" s="1072">
        <v>2210703</v>
      </c>
      <c r="D3730" s="668" t="s">
        <v>107</v>
      </c>
      <c r="E3730" s="1060">
        <v>30000</v>
      </c>
      <c r="F3730" s="669"/>
      <c r="G3730" s="669"/>
      <c r="H3730" s="669"/>
      <c r="I3730" s="324">
        <f t="shared" si="2617"/>
        <v>30000</v>
      </c>
      <c r="J3730" s="669"/>
      <c r="K3730" s="1063">
        <v>-30000</v>
      </c>
      <c r="L3730" s="317">
        <f t="shared" si="2637"/>
        <v>0</v>
      </c>
      <c r="M3730" s="317"/>
      <c r="N3730" s="372">
        <f t="shared" si="2639"/>
        <v>30000</v>
      </c>
      <c r="O3730" s="336">
        <f t="shared" si="2624"/>
        <v>0</v>
      </c>
      <c r="P3730" s="319">
        <f t="shared" si="2644"/>
        <v>0</v>
      </c>
      <c r="R3730" s="317"/>
      <c r="U3730" s="320"/>
    </row>
    <row r="3731" spans="1:21" s="344" customFormat="1" outlineLevel="3">
      <c r="A3731" s="345"/>
      <c r="B3731" s="345"/>
      <c r="C3731" s="1072">
        <v>2210704</v>
      </c>
      <c r="D3731" s="668" t="s">
        <v>38</v>
      </c>
      <c r="E3731" s="1060">
        <v>75000</v>
      </c>
      <c r="F3731" s="669"/>
      <c r="G3731" s="669"/>
      <c r="H3731" s="669"/>
      <c r="I3731" s="324">
        <f t="shared" si="2617"/>
        <v>75000</v>
      </c>
      <c r="J3731" s="669"/>
      <c r="K3731" s="1063">
        <v>-75000</v>
      </c>
      <c r="L3731" s="317">
        <f t="shared" si="2637"/>
        <v>0</v>
      </c>
      <c r="M3731" s="317"/>
      <c r="N3731" s="372">
        <f t="shared" si="2639"/>
        <v>75000</v>
      </c>
      <c r="O3731" s="336">
        <f t="shared" si="2624"/>
        <v>0</v>
      </c>
      <c r="P3731" s="319">
        <f t="shared" si="2644"/>
        <v>0</v>
      </c>
      <c r="R3731" s="317"/>
      <c r="U3731" s="320"/>
    </row>
    <row r="3732" spans="1:21" s="344" customFormat="1" outlineLevel="3">
      <c r="A3732" s="345"/>
      <c r="B3732" s="345"/>
      <c r="C3732" s="1072">
        <v>2210710</v>
      </c>
      <c r="D3732" s="668" t="s">
        <v>39</v>
      </c>
      <c r="E3732" s="1060">
        <v>100000</v>
      </c>
      <c r="F3732" s="669"/>
      <c r="G3732" s="669"/>
      <c r="H3732" s="669"/>
      <c r="I3732" s="324">
        <f t="shared" si="2617"/>
        <v>100000</v>
      </c>
      <c r="J3732" s="669"/>
      <c r="K3732" s="1063"/>
      <c r="L3732" s="317">
        <f t="shared" si="2637"/>
        <v>100000</v>
      </c>
      <c r="M3732" s="317"/>
      <c r="N3732" s="372">
        <f t="shared" si="2639"/>
        <v>0</v>
      </c>
      <c r="O3732" s="336">
        <f t="shared" si="2624"/>
        <v>110000.00000000001</v>
      </c>
      <c r="P3732" s="319">
        <f t="shared" si="2644"/>
        <v>121000.00000000003</v>
      </c>
      <c r="R3732" s="317"/>
      <c r="U3732" s="320"/>
    </row>
    <row r="3733" spans="1:21" s="344" customFormat="1" outlineLevel="3">
      <c r="A3733" s="345"/>
      <c r="B3733" s="345"/>
      <c r="C3733" s="667">
        <v>2210711</v>
      </c>
      <c r="D3733" s="1075" t="s">
        <v>281</v>
      </c>
      <c r="E3733" s="1060">
        <v>135306</v>
      </c>
      <c r="F3733" s="672"/>
      <c r="G3733" s="672"/>
      <c r="H3733" s="672"/>
      <c r="I3733" s="324">
        <f t="shared" si="2617"/>
        <v>135306</v>
      </c>
      <c r="J3733" s="672"/>
      <c r="K3733" s="1076">
        <v>-6503</v>
      </c>
      <c r="L3733" s="317">
        <f t="shared" si="2637"/>
        <v>128803</v>
      </c>
      <c r="M3733" s="317"/>
      <c r="N3733" s="372">
        <f t="shared" si="2639"/>
        <v>6503</v>
      </c>
      <c r="O3733" s="336">
        <f t="shared" si="2624"/>
        <v>141683.30000000002</v>
      </c>
      <c r="P3733" s="319">
        <f t="shared" si="2641"/>
        <v>155851.63000000003</v>
      </c>
      <c r="R3733" s="317"/>
      <c r="U3733" s="320"/>
    </row>
    <row r="3734" spans="1:21" s="344" customFormat="1" outlineLevel="3">
      <c r="A3734" s="345"/>
      <c r="B3734" s="345"/>
      <c r="C3734" s="1077">
        <v>2210715</v>
      </c>
      <c r="D3734" s="1078" t="s">
        <v>40</v>
      </c>
      <c r="E3734" s="673">
        <v>150000</v>
      </c>
      <c r="F3734" s="669"/>
      <c r="G3734" s="669"/>
      <c r="H3734" s="669"/>
      <c r="I3734" s="324">
        <f t="shared" si="2617"/>
        <v>150000</v>
      </c>
      <c r="J3734" s="669"/>
      <c r="K3734" s="1063"/>
      <c r="L3734" s="317">
        <f t="shared" si="2637"/>
        <v>150000</v>
      </c>
      <c r="M3734" s="317"/>
      <c r="N3734" s="372">
        <f t="shared" si="2639"/>
        <v>0</v>
      </c>
      <c r="O3734" s="336">
        <f t="shared" si="2624"/>
        <v>165000</v>
      </c>
      <c r="P3734" s="319">
        <f t="shared" si="2641"/>
        <v>181500.00000000003</v>
      </c>
      <c r="R3734" s="317"/>
      <c r="U3734" s="320"/>
    </row>
    <row r="3735" spans="1:21" s="344" customFormat="1" outlineLevel="3">
      <c r="A3735" s="345"/>
      <c r="B3735" s="345"/>
      <c r="C3735" s="667">
        <v>2210799</v>
      </c>
      <c r="D3735" s="668" t="s">
        <v>665</v>
      </c>
      <c r="E3735" s="673">
        <v>130000</v>
      </c>
      <c r="F3735" s="669"/>
      <c r="G3735" s="669"/>
      <c r="H3735" s="669"/>
      <c r="I3735" s="324">
        <f t="shared" si="2617"/>
        <v>130000</v>
      </c>
      <c r="J3735" s="669"/>
      <c r="K3735" s="1063">
        <v>-19450</v>
      </c>
      <c r="L3735" s="317">
        <f t="shared" si="2637"/>
        <v>110550</v>
      </c>
      <c r="M3735" s="317"/>
      <c r="N3735" s="372">
        <f t="shared" si="2639"/>
        <v>19450</v>
      </c>
      <c r="O3735" s="336">
        <f t="shared" si="2624"/>
        <v>121605.00000000001</v>
      </c>
      <c r="P3735" s="319">
        <f t="shared" si="2641"/>
        <v>133765.50000000003</v>
      </c>
      <c r="R3735" s="317"/>
      <c r="U3735" s="320"/>
    </row>
    <row r="3736" spans="1:21" s="344" customFormat="1" outlineLevel="3">
      <c r="A3736" s="345"/>
      <c r="B3736" s="345"/>
      <c r="C3736" s="339">
        <v>2210800</v>
      </c>
      <c r="D3736" s="338" t="s">
        <v>42</v>
      </c>
      <c r="E3736" s="1062">
        <f>SUM(E3737:E3738)</f>
        <v>2125000</v>
      </c>
      <c r="F3736" s="1062">
        <f t="shared" ref="F3736:P3736" si="2647">SUM(F3737:F3738)</f>
        <v>0</v>
      </c>
      <c r="G3736" s="1062">
        <f t="shared" si="2647"/>
        <v>0</v>
      </c>
      <c r="H3736" s="1062">
        <f t="shared" si="2647"/>
        <v>-324000</v>
      </c>
      <c r="I3736" s="1062">
        <f t="shared" si="2647"/>
        <v>1801000</v>
      </c>
      <c r="J3736" s="1062">
        <f t="shared" si="2647"/>
        <v>0</v>
      </c>
      <c r="K3736" s="1062">
        <f t="shared" si="2647"/>
        <v>569673</v>
      </c>
      <c r="L3736" s="317">
        <f t="shared" si="2637"/>
        <v>2370673</v>
      </c>
      <c r="M3736" s="317"/>
      <c r="N3736" s="372">
        <f t="shared" si="2639"/>
        <v>-569673</v>
      </c>
      <c r="O3736" s="1062">
        <f t="shared" si="2647"/>
        <v>2607740.3000000003</v>
      </c>
      <c r="P3736" s="1062">
        <f t="shared" si="2647"/>
        <v>2868514.3300000005</v>
      </c>
      <c r="R3736" s="317"/>
      <c r="U3736" s="320"/>
    </row>
    <row r="3737" spans="1:21" s="344" customFormat="1" outlineLevel="3">
      <c r="A3737" s="345"/>
      <c r="B3737" s="345"/>
      <c r="C3737" s="1072">
        <v>2210801</v>
      </c>
      <c r="D3737" s="668" t="s">
        <v>2421</v>
      </c>
      <c r="E3737" s="1060">
        <v>1625000</v>
      </c>
      <c r="F3737" s="669"/>
      <c r="G3737" s="669"/>
      <c r="H3737" s="669"/>
      <c r="I3737" s="324">
        <f t="shared" ref="I3737:I3799" si="2648">E3737+F3737+G3737+H3737</f>
        <v>1625000</v>
      </c>
      <c r="J3737" s="669"/>
      <c r="K3737" s="1063"/>
      <c r="L3737" s="317">
        <f t="shared" si="2637"/>
        <v>1625000</v>
      </c>
      <c r="M3737" s="317"/>
      <c r="N3737" s="372">
        <f t="shared" si="2639"/>
        <v>0</v>
      </c>
      <c r="O3737" s="336">
        <f t="shared" si="2624"/>
        <v>1787500.0000000002</v>
      </c>
      <c r="P3737" s="319">
        <f t="shared" si="2641"/>
        <v>1966250.0000000005</v>
      </c>
      <c r="R3737" s="317"/>
      <c r="U3737" s="320"/>
    </row>
    <row r="3738" spans="1:21" s="344" customFormat="1" outlineLevel="3">
      <c r="A3738" s="345"/>
      <c r="B3738" s="345"/>
      <c r="C3738" s="1072">
        <v>2210802</v>
      </c>
      <c r="D3738" s="668" t="s">
        <v>97</v>
      </c>
      <c r="E3738" s="1060">
        <v>500000</v>
      </c>
      <c r="F3738" s="669"/>
      <c r="G3738" s="669"/>
      <c r="H3738" s="1060">
        <v>-324000</v>
      </c>
      <c r="I3738" s="324">
        <f t="shared" si="2648"/>
        <v>176000</v>
      </c>
      <c r="J3738" s="1060"/>
      <c r="K3738" s="1093">
        <v>569673</v>
      </c>
      <c r="L3738" s="317">
        <f t="shared" si="2637"/>
        <v>745673</v>
      </c>
      <c r="M3738" s="317"/>
      <c r="N3738" s="372">
        <f t="shared" si="2639"/>
        <v>-569673</v>
      </c>
      <c r="O3738" s="336">
        <f t="shared" si="2624"/>
        <v>820240.3</v>
      </c>
      <c r="P3738" s="319">
        <f t="shared" si="2641"/>
        <v>902264.33000000007</v>
      </c>
      <c r="R3738" s="317"/>
      <c r="U3738" s="320"/>
    </row>
    <row r="3739" spans="1:21" s="344" customFormat="1" outlineLevel="3">
      <c r="A3739" s="345"/>
      <c r="B3739" s="345"/>
      <c r="C3739" s="339">
        <v>2211100</v>
      </c>
      <c r="D3739" s="338" t="s">
        <v>51</v>
      </c>
      <c r="E3739" s="1062">
        <f>E3740</f>
        <v>100000</v>
      </c>
      <c r="F3739" s="1062">
        <f t="shared" ref="F3739:P3739" si="2649">F3740</f>
        <v>0</v>
      </c>
      <c r="G3739" s="1062">
        <f t="shared" si="2649"/>
        <v>0</v>
      </c>
      <c r="H3739" s="1062">
        <f t="shared" si="2649"/>
        <v>100000</v>
      </c>
      <c r="I3739" s="1062">
        <f t="shared" si="2649"/>
        <v>200000</v>
      </c>
      <c r="J3739" s="1062">
        <f t="shared" si="2649"/>
        <v>0</v>
      </c>
      <c r="K3739" s="1062">
        <f t="shared" si="2649"/>
        <v>0</v>
      </c>
      <c r="L3739" s="317">
        <f t="shared" si="2637"/>
        <v>200000</v>
      </c>
      <c r="M3739" s="317"/>
      <c r="N3739" s="372">
        <f t="shared" si="2639"/>
        <v>0</v>
      </c>
      <c r="O3739" s="1062">
        <f t="shared" si="2649"/>
        <v>220000.00000000003</v>
      </c>
      <c r="P3739" s="1062">
        <f t="shared" si="2649"/>
        <v>242000.00000000006</v>
      </c>
      <c r="R3739" s="317"/>
      <c r="U3739" s="320"/>
    </row>
    <row r="3740" spans="1:21" s="344" customFormat="1" outlineLevel="3">
      <c r="A3740" s="345"/>
      <c r="B3740" s="345"/>
      <c r="C3740" s="1072">
        <v>2211102</v>
      </c>
      <c r="D3740" s="668" t="s">
        <v>53</v>
      </c>
      <c r="E3740" s="1060">
        <v>100000</v>
      </c>
      <c r="F3740" s="669"/>
      <c r="G3740" s="669"/>
      <c r="H3740" s="1060">
        <v>100000</v>
      </c>
      <c r="I3740" s="324">
        <f t="shared" si="2648"/>
        <v>200000</v>
      </c>
      <c r="J3740" s="1060"/>
      <c r="K3740" s="1088"/>
      <c r="L3740" s="317">
        <f t="shared" si="2637"/>
        <v>200000</v>
      </c>
      <c r="M3740" s="317"/>
      <c r="N3740" s="372">
        <f t="shared" si="2639"/>
        <v>0</v>
      </c>
      <c r="O3740" s="336">
        <f t="shared" si="2624"/>
        <v>220000.00000000003</v>
      </c>
      <c r="P3740" s="319">
        <f t="shared" si="2641"/>
        <v>242000.00000000006</v>
      </c>
      <c r="R3740" s="317"/>
      <c r="U3740" s="320"/>
    </row>
    <row r="3741" spans="1:21" s="344" customFormat="1" outlineLevel="3">
      <c r="A3741" s="345"/>
      <c r="B3741" s="345"/>
      <c r="C3741" s="339">
        <v>2211200</v>
      </c>
      <c r="D3741" s="338" t="s">
        <v>55</v>
      </c>
      <c r="E3741" s="1062">
        <f>E3742</f>
        <v>290000</v>
      </c>
      <c r="F3741" s="1062">
        <f t="shared" ref="F3741:K3741" si="2650">F3742</f>
        <v>0</v>
      </c>
      <c r="G3741" s="1062">
        <f t="shared" si="2650"/>
        <v>0</v>
      </c>
      <c r="H3741" s="1062">
        <f t="shared" si="2650"/>
        <v>0</v>
      </c>
      <c r="I3741" s="1062">
        <f t="shared" si="2650"/>
        <v>290000</v>
      </c>
      <c r="J3741" s="1062">
        <f t="shared" si="2650"/>
        <v>0</v>
      </c>
      <c r="K3741" s="1062">
        <f t="shared" si="2650"/>
        <v>0</v>
      </c>
      <c r="L3741" s="317">
        <f t="shared" si="2637"/>
        <v>290000</v>
      </c>
      <c r="M3741" s="317"/>
      <c r="N3741" s="372">
        <f t="shared" si="2639"/>
        <v>0</v>
      </c>
      <c r="O3741" s="1062">
        <f t="shared" ref="O3741:P3741" si="2651">O3742</f>
        <v>319000</v>
      </c>
      <c r="P3741" s="1062">
        <f t="shared" si="2651"/>
        <v>350900</v>
      </c>
      <c r="R3741" s="317"/>
      <c r="U3741" s="320"/>
    </row>
    <row r="3742" spans="1:21" s="344" customFormat="1" outlineLevel="3">
      <c r="A3742" s="345"/>
      <c r="B3742" s="345"/>
      <c r="C3742" s="1072">
        <v>2211201</v>
      </c>
      <c r="D3742" s="668" t="s">
        <v>56</v>
      </c>
      <c r="E3742" s="1060">
        <v>290000</v>
      </c>
      <c r="F3742" s="669"/>
      <c r="G3742" s="669"/>
      <c r="H3742" s="669"/>
      <c r="I3742" s="324">
        <f t="shared" si="2648"/>
        <v>290000</v>
      </c>
      <c r="J3742" s="669"/>
      <c r="K3742" s="1063"/>
      <c r="L3742" s="317">
        <f t="shared" si="2637"/>
        <v>290000</v>
      </c>
      <c r="M3742" s="317"/>
      <c r="N3742" s="372">
        <f t="shared" si="2639"/>
        <v>0</v>
      </c>
      <c r="O3742" s="336">
        <f t="shared" si="2624"/>
        <v>319000</v>
      </c>
      <c r="P3742" s="319">
        <f t="shared" si="2641"/>
        <v>350900</v>
      </c>
      <c r="R3742" s="317"/>
      <c r="U3742" s="320"/>
    </row>
    <row r="3743" spans="1:21" s="344" customFormat="1" outlineLevel="3">
      <c r="A3743" s="345"/>
      <c r="B3743" s="345"/>
      <c r="C3743" s="1081">
        <v>2211300</v>
      </c>
      <c r="D3743" s="1082" t="s">
        <v>57</v>
      </c>
      <c r="E3743" s="1083">
        <f>E3746+E3745+E3744</f>
        <v>501000</v>
      </c>
      <c r="F3743" s="1083">
        <f t="shared" ref="F3743:K3743" si="2652">F3746+F3745+F3744</f>
        <v>0</v>
      </c>
      <c r="G3743" s="1083">
        <f t="shared" si="2652"/>
        <v>0</v>
      </c>
      <c r="H3743" s="1083">
        <f t="shared" si="2652"/>
        <v>0</v>
      </c>
      <c r="I3743" s="1083">
        <f t="shared" si="2652"/>
        <v>501000</v>
      </c>
      <c r="J3743" s="1083">
        <f t="shared" si="2652"/>
        <v>0</v>
      </c>
      <c r="K3743" s="1083">
        <f t="shared" si="2652"/>
        <v>-50000</v>
      </c>
      <c r="L3743" s="317">
        <f t="shared" si="2637"/>
        <v>451000</v>
      </c>
      <c r="M3743" s="317"/>
      <c r="N3743" s="372">
        <f t="shared" si="2639"/>
        <v>50000</v>
      </c>
      <c r="O3743" s="1083">
        <f t="shared" ref="O3743:P3743" si="2653">O3746+O3745+O3744</f>
        <v>496100</v>
      </c>
      <c r="P3743" s="1083">
        <f t="shared" si="2653"/>
        <v>545710.00000000012</v>
      </c>
      <c r="R3743" s="317"/>
      <c r="U3743" s="320"/>
    </row>
    <row r="3744" spans="1:21" s="344" customFormat="1" outlineLevel="3">
      <c r="A3744" s="345"/>
      <c r="B3744" s="345"/>
      <c r="C3744" s="667">
        <v>2211305</v>
      </c>
      <c r="D3744" s="668" t="s">
        <v>365</v>
      </c>
      <c r="E3744" s="1060">
        <v>75000</v>
      </c>
      <c r="F3744" s="669"/>
      <c r="G3744" s="669"/>
      <c r="H3744" s="669"/>
      <c r="I3744" s="324">
        <f t="shared" si="2648"/>
        <v>75000</v>
      </c>
      <c r="J3744" s="669"/>
      <c r="K3744" s="1063"/>
      <c r="L3744" s="317">
        <f t="shared" si="2637"/>
        <v>75000</v>
      </c>
      <c r="M3744" s="317"/>
      <c r="N3744" s="372">
        <f t="shared" si="2639"/>
        <v>0</v>
      </c>
      <c r="O3744" s="336">
        <f t="shared" si="2624"/>
        <v>82500</v>
      </c>
      <c r="P3744" s="319">
        <f t="shared" si="2641"/>
        <v>90750.000000000015</v>
      </c>
      <c r="R3744" s="317"/>
      <c r="U3744" s="320"/>
    </row>
    <row r="3745" spans="1:21" s="344" customFormat="1" outlineLevel="3">
      <c r="A3745" s="345"/>
      <c r="B3745" s="345"/>
      <c r="C3745" s="1072">
        <v>2211306</v>
      </c>
      <c r="D3745" s="1094" t="s">
        <v>58</v>
      </c>
      <c r="E3745" s="1060">
        <v>76000</v>
      </c>
      <c r="F3745" s="669"/>
      <c r="G3745" s="669"/>
      <c r="H3745" s="669"/>
      <c r="I3745" s="324">
        <f t="shared" si="2648"/>
        <v>76000</v>
      </c>
      <c r="J3745" s="669"/>
      <c r="K3745" s="1063">
        <v>0</v>
      </c>
      <c r="L3745" s="317">
        <f t="shared" si="2637"/>
        <v>76000</v>
      </c>
      <c r="M3745" s="317"/>
      <c r="N3745" s="372">
        <f t="shared" si="2639"/>
        <v>0</v>
      </c>
      <c r="O3745" s="336">
        <f t="shared" si="2624"/>
        <v>83600</v>
      </c>
      <c r="P3745" s="319">
        <f t="shared" si="2641"/>
        <v>91960.000000000015</v>
      </c>
      <c r="R3745" s="317"/>
      <c r="U3745" s="320"/>
    </row>
    <row r="3746" spans="1:21" s="344" customFormat="1" outlineLevel="3">
      <c r="A3746" s="345"/>
      <c r="B3746" s="345"/>
      <c r="C3746" s="667">
        <v>2211310</v>
      </c>
      <c r="D3746" s="668" t="s">
        <v>669</v>
      </c>
      <c r="E3746" s="1060">
        <v>350000</v>
      </c>
      <c r="F3746" s="669"/>
      <c r="G3746" s="669"/>
      <c r="H3746" s="669"/>
      <c r="I3746" s="324">
        <f t="shared" si="2648"/>
        <v>350000</v>
      </c>
      <c r="J3746" s="669"/>
      <c r="K3746" s="1063">
        <v>-50000</v>
      </c>
      <c r="L3746" s="317">
        <f t="shared" si="2637"/>
        <v>300000</v>
      </c>
      <c r="M3746" s="317"/>
      <c r="N3746" s="372">
        <f t="shared" si="2639"/>
        <v>50000</v>
      </c>
      <c r="O3746" s="336">
        <f t="shared" si="2624"/>
        <v>330000</v>
      </c>
      <c r="P3746" s="319">
        <f t="shared" si="2641"/>
        <v>363000.00000000006</v>
      </c>
      <c r="R3746" s="317"/>
      <c r="U3746" s="320"/>
    </row>
    <row r="3747" spans="1:21" s="344" customFormat="1" outlineLevel="3">
      <c r="A3747" s="345"/>
      <c r="B3747" s="345"/>
      <c r="C3747" s="339">
        <v>2220100</v>
      </c>
      <c r="D3747" s="338" t="s">
        <v>62</v>
      </c>
      <c r="E3747" s="1062">
        <f>E3748</f>
        <v>200000</v>
      </c>
      <c r="F3747" s="1062">
        <f t="shared" ref="F3747:K3747" si="2654">F3748</f>
        <v>0</v>
      </c>
      <c r="G3747" s="1062">
        <f t="shared" si="2654"/>
        <v>0</v>
      </c>
      <c r="H3747" s="1062">
        <f t="shared" si="2654"/>
        <v>0</v>
      </c>
      <c r="I3747" s="1062">
        <f t="shared" si="2654"/>
        <v>200000</v>
      </c>
      <c r="J3747" s="1062">
        <f t="shared" si="2654"/>
        <v>0</v>
      </c>
      <c r="K3747" s="1062">
        <f t="shared" si="2654"/>
        <v>0</v>
      </c>
      <c r="L3747" s="317">
        <f t="shared" si="2637"/>
        <v>200000</v>
      </c>
      <c r="M3747" s="317"/>
      <c r="N3747" s="372">
        <f t="shared" si="2639"/>
        <v>0</v>
      </c>
      <c r="O3747" s="1062">
        <f t="shared" ref="O3747:P3747" si="2655">O3748</f>
        <v>220000.00000000003</v>
      </c>
      <c r="P3747" s="1062">
        <f t="shared" si="2655"/>
        <v>242000.00000000006</v>
      </c>
      <c r="R3747" s="317"/>
      <c r="U3747" s="320"/>
    </row>
    <row r="3748" spans="1:21" s="344" customFormat="1" outlineLevel="3">
      <c r="A3748" s="345"/>
      <c r="B3748" s="345"/>
      <c r="C3748" s="1072">
        <v>2220101</v>
      </c>
      <c r="D3748" s="668" t="s">
        <v>250</v>
      </c>
      <c r="E3748" s="1060">
        <v>200000</v>
      </c>
      <c r="F3748" s="669"/>
      <c r="G3748" s="669"/>
      <c r="H3748" s="669"/>
      <c r="I3748" s="324">
        <f t="shared" si="2648"/>
        <v>200000</v>
      </c>
      <c r="J3748" s="669"/>
      <c r="K3748" s="1063"/>
      <c r="L3748" s="317">
        <f t="shared" si="2637"/>
        <v>200000</v>
      </c>
      <c r="M3748" s="317"/>
      <c r="N3748" s="372">
        <f t="shared" si="2639"/>
        <v>0</v>
      </c>
      <c r="O3748" s="336">
        <f t="shared" si="2624"/>
        <v>220000.00000000003</v>
      </c>
      <c r="P3748" s="319">
        <f t="shared" si="2641"/>
        <v>242000.00000000006</v>
      </c>
      <c r="R3748" s="317"/>
      <c r="U3748" s="320"/>
    </row>
    <row r="3749" spans="1:21" s="344" customFormat="1" outlineLevel="3">
      <c r="A3749" s="345"/>
      <c r="B3749" s="345"/>
      <c r="C3749" s="339">
        <v>3111000</v>
      </c>
      <c r="D3749" s="338" t="s">
        <v>69</v>
      </c>
      <c r="E3749" s="1062">
        <f>E3750</f>
        <v>100000</v>
      </c>
      <c r="F3749" s="1062">
        <f t="shared" ref="F3749:P3749" si="2656">F3750</f>
        <v>0</v>
      </c>
      <c r="G3749" s="1062">
        <f t="shared" si="2656"/>
        <v>0</v>
      </c>
      <c r="H3749" s="1062">
        <f t="shared" si="2656"/>
        <v>-100000</v>
      </c>
      <c r="I3749" s="1062">
        <f t="shared" si="2656"/>
        <v>0</v>
      </c>
      <c r="J3749" s="1062">
        <f t="shared" si="2656"/>
        <v>0</v>
      </c>
      <c r="K3749" s="1062">
        <f t="shared" si="2656"/>
        <v>0</v>
      </c>
      <c r="L3749" s="317">
        <f t="shared" si="2637"/>
        <v>0</v>
      </c>
      <c r="M3749" s="317"/>
      <c r="N3749" s="372">
        <f t="shared" si="2639"/>
        <v>0</v>
      </c>
      <c r="O3749" s="1062">
        <f t="shared" si="2656"/>
        <v>0</v>
      </c>
      <c r="P3749" s="1062">
        <f t="shared" si="2656"/>
        <v>0</v>
      </c>
      <c r="R3749" s="317"/>
      <c r="U3749" s="320"/>
    </row>
    <row r="3750" spans="1:21" s="350" customFormat="1" outlineLevel="3">
      <c r="A3750" s="345"/>
      <c r="B3750" s="345"/>
      <c r="C3750" s="1072">
        <v>3111002</v>
      </c>
      <c r="D3750" s="668" t="s">
        <v>71</v>
      </c>
      <c r="E3750" s="1060">
        <v>100000</v>
      </c>
      <c r="F3750" s="669"/>
      <c r="G3750" s="669"/>
      <c r="H3750" s="1060">
        <v>-100000</v>
      </c>
      <c r="I3750" s="324">
        <f t="shared" si="2648"/>
        <v>0</v>
      </c>
      <c r="J3750" s="1060"/>
      <c r="K3750" s="1088"/>
      <c r="L3750" s="317">
        <f t="shared" si="2637"/>
        <v>0</v>
      </c>
      <c r="M3750" s="317"/>
      <c r="N3750" s="372">
        <f t="shared" si="2639"/>
        <v>0</v>
      </c>
      <c r="O3750" s="336">
        <f t="shared" si="2624"/>
        <v>0</v>
      </c>
      <c r="P3750" s="319">
        <f t="shared" si="2641"/>
        <v>0</v>
      </c>
      <c r="R3750" s="317"/>
      <c r="U3750" s="320"/>
    </row>
    <row r="3751" spans="1:21" s="344" customFormat="1" outlineLevel="2">
      <c r="A3751" s="345"/>
      <c r="B3751" s="345"/>
      <c r="C3751" s="331"/>
      <c r="D3751" s="338" t="s">
        <v>674</v>
      </c>
      <c r="E3751" s="1062">
        <f>E3749+E3747+E3743+E3741+E3739+E3736+E3728+E3726+E3722+E3718+E3714</f>
        <v>5992306</v>
      </c>
      <c r="F3751" s="1062">
        <f t="shared" ref="F3751:K3751" si="2657">F3749+F3747+F3743+F3741+F3739+F3736+F3728+F3726+F3722+F3718+F3714</f>
        <v>0</v>
      </c>
      <c r="G3751" s="1062">
        <f t="shared" si="2657"/>
        <v>0</v>
      </c>
      <c r="H3751" s="1062">
        <f t="shared" si="2657"/>
        <v>-324000</v>
      </c>
      <c r="I3751" s="1062">
        <f t="shared" si="2657"/>
        <v>5668306</v>
      </c>
      <c r="J3751" s="1062">
        <f t="shared" si="2657"/>
        <v>0</v>
      </c>
      <c r="K3751" s="1062">
        <f t="shared" si="2657"/>
        <v>197000</v>
      </c>
      <c r="L3751" s="317">
        <f t="shared" si="2637"/>
        <v>5865306</v>
      </c>
      <c r="M3751" s="317"/>
      <c r="N3751" s="372">
        <f t="shared" si="2639"/>
        <v>-197000</v>
      </c>
      <c r="O3751" s="1062">
        <f t="shared" ref="O3751:P3751" si="2658">O3749+O3747+O3743+O3741+O3739+O3736+O3728+O3726+O3722+O3718+O3714</f>
        <v>6451836.6000000006</v>
      </c>
      <c r="P3751" s="1062">
        <f t="shared" si="2658"/>
        <v>7097020.2600000007</v>
      </c>
      <c r="R3751" s="317"/>
      <c r="U3751" s="320"/>
    </row>
    <row r="3752" spans="1:21" s="344" customFormat="1" outlineLevel="2">
      <c r="A3752" s="356"/>
      <c r="B3752" s="356"/>
      <c r="C3752" s="1061"/>
      <c r="D3752" s="1095" t="s">
        <v>92</v>
      </c>
      <c r="E3752" s="1062"/>
      <c r="F3752" s="1096"/>
      <c r="G3752" s="1096"/>
      <c r="H3752" s="1096"/>
      <c r="I3752" s="324">
        <f t="shared" si="2648"/>
        <v>0</v>
      </c>
      <c r="J3752" s="1096"/>
      <c r="K3752" s="1096"/>
      <c r="L3752" s="317">
        <f t="shared" si="2637"/>
        <v>0</v>
      </c>
      <c r="M3752" s="317"/>
      <c r="N3752" s="372">
        <f t="shared" si="2639"/>
        <v>0</v>
      </c>
      <c r="O3752" s="336">
        <f t="shared" si="2624"/>
        <v>0</v>
      </c>
      <c r="P3752" s="319">
        <f t="shared" si="2641"/>
        <v>0</v>
      </c>
      <c r="R3752" s="317"/>
      <c r="U3752" s="320"/>
    </row>
    <row r="3753" spans="1:21" s="344" customFormat="1" outlineLevel="3">
      <c r="A3753" s="345"/>
      <c r="B3753" s="345"/>
      <c r="C3753" s="328">
        <v>3110200</v>
      </c>
      <c r="D3753" s="326" t="s">
        <v>164</v>
      </c>
      <c r="E3753" s="1062">
        <f>E3754</f>
        <v>10000000</v>
      </c>
      <c r="F3753" s="1062">
        <f t="shared" ref="F3753:P3753" si="2659">F3754</f>
        <v>14734068.422483111</v>
      </c>
      <c r="G3753" s="1062">
        <f t="shared" si="2659"/>
        <v>0</v>
      </c>
      <c r="H3753" s="1062">
        <f t="shared" si="2659"/>
        <v>0</v>
      </c>
      <c r="I3753" s="1062">
        <f t="shared" si="2659"/>
        <v>24734068.422483109</v>
      </c>
      <c r="J3753" s="1062">
        <f t="shared" si="2659"/>
        <v>0</v>
      </c>
      <c r="K3753" s="1062">
        <f t="shared" si="2659"/>
        <v>0</v>
      </c>
      <c r="L3753" s="317">
        <f t="shared" si="2637"/>
        <v>24734068.422483109</v>
      </c>
      <c r="M3753" s="317"/>
      <c r="N3753" s="372">
        <f t="shared" si="2639"/>
        <v>0</v>
      </c>
      <c r="O3753" s="1062">
        <f t="shared" si="2659"/>
        <v>27207475.264731422</v>
      </c>
      <c r="P3753" s="1062">
        <f t="shared" si="2659"/>
        <v>29928222.791204568</v>
      </c>
      <c r="R3753" s="317"/>
      <c r="U3753" s="320"/>
    </row>
    <row r="3754" spans="1:21" s="344" customFormat="1" outlineLevel="3">
      <c r="A3754" s="345"/>
      <c r="B3754" s="345"/>
      <c r="C3754" s="918">
        <v>3110202</v>
      </c>
      <c r="D3754" s="919" t="s">
        <v>1837</v>
      </c>
      <c r="E3754" s="1091">
        <f>5000000+5000000</f>
        <v>10000000</v>
      </c>
      <c r="F3754" s="1091">
        <v>14734068.422483111</v>
      </c>
      <c r="G3754" s="920"/>
      <c r="H3754" s="920"/>
      <c r="I3754" s="324">
        <f t="shared" si="2648"/>
        <v>24734068.422483109</v>
      </c>
      <c r="J3754" s="920"/>
      <c r="K3754" s="920"/>
      <c r="L3754" s="317">
        <f t="shared" si="2637"/>
        <v>24734068.422483109</v>
      </c>
      <c r="M3754" s="317"/>
      <c r="N3754" s="372">
        <f t="shared" si="2639"/>
        <v>0</v>
      </c>
      <c r="O3754" s="336">
        <f t="shared" si="2624"/>
        <v>27207475.264731422</v>
      </c>
      <c r="P3754" s="319">
        <f t="shared" ref="P3754" si="2660">O3754*1.1</f>
        <v>29928222.791204568</v>
      </c>
      <c r="R3754" s="317"/>
      <c r="U3754" s="320"/>
    </row>
    <row r="3755" spans="1:21" s="344" customFormat="1" outlineLevel="2">
      <c r="A3755" s="345"/>
      <c r="B3755" s="345"/>
      <c r="C3755" s="405"/>
      <c r="D3755" s="314" t="s">
        <v>175</v>
      </c>
      <c r="E3755" s="1062">
        <f>E3753</f>
        <v>10000000</v>
      </c>
      <c r="F3755" s="1062">
        <f t="shared" ref="F3755:K3755" si="2661">F3753</f>
        <v>14734068.422483111</v>
      </c>
      <c r="G3755" s="1062">
        <f t="shared" si="2661"/>
        <v>0</v>
      </c>
      <c r="H3755" s="1062">
        <f t="shared" si="2661"/>
        <v>0</v>
      </c>
      <c r="I3755" s="1062">
        <f t="shared" si="2661"/>
        <v>24734068.422483109</v>
      </c>
      <c r="J3755" s="1062">
        <f t="shared" si="2661"/>
        <v>0</v>
      </c>
      <c r="K3755" s="1062">
        <f t="shared" si="2661"/>
        <v>0</v>
      </c>
      <c r="L3755" s="317">
        <f t="shared" si="2637"/>
        <v>24734068.422483109</v>
      </c>
      <c r="M3755" s="317"/>
      <c r="N3755" s="372">
        <f t="shared" si="2639"/>
        <v>0</v>
      </c>
      <c r="O3755" s="1062">
        <f t="shared" ref="O3755:P3755" si="2662">O3753</f>
        <v>27207475.264731422</v>
      </c>
      <c r="P3755" s="1062">
        <f t="shared" si="2662"/>
        <v>29928222.791204568</v>
      </c>
      <c r="R3755" s="317"/>
      <c r="U3755" s="320"/>
    </row>
    <row r="3756" spans="1:21" s="344" customFormat="1" outlineLevel="1">
      <c r="A3756" s="345"/>
      <c r="B3756" s="345"/>
      <c r="C3756" s="405"/>
      <c r="D3756" s="314" t="s">
        <v>84</v>
      </c>
      <c r="E3756" s="1062">
        <f>E3755+E3751</f>
        <v>15992306</v>
      </c>
      <c r="F3756" s="1062">
        <f t="shared" ref="F3756:K3756" si="2663">F3755+F3751</f>
        <v>14734068.422483111</v>
      </c>
      <c r="G3756" s="1062">
        <f t="shared" si="2663"/>
        <v>0</v>
      </c>
      <c r="H3756" s="1062">
        <f t="shared" si="2663"/>
        <v>-324000</v>
      </c>
      <c r="I3756" s="1062">
        <f t="shared" si="2663"/>
        <v>30402374.422483109</v>
      </c>
      <c r="J3756" s="1062">
        <f t="shared" si="2663"/>
        <v>0</v>
      </c>
      <c r="K3756" s="1062">
        <f t="shared" si="2663"/>
        <v>197000</v>
      </c>
      <c r="L3756" s="317">
        <f t="shared" si="2637"/>
        <v>30599374.422483109</v>
      </c>
      <c r="M3756" s="317"/>
      <c r="N3756" s="372">
        <f t="shared" si="2639"/>
        <v>-197000</v>
      </c>
      <c r="O3756" s="1062">
        <f t="shared" ref="O3756:P3756" si="2664">O3755+O3751</f>
        <v>33659311.864731424</v>
      </c>
      <c r="P3756" s="1062">
        <f t="shared" si="2664"/>
        <v>37025243.05120457</v>
      </c>
      <c r="R3756" s="317"/>
      <c r="U3756" s="320"/>
    </row>
    <row r="3757" spans="1:21" s="344" customFormat="1">
      <c r="A3757" s="345"/>
      <c r="B3757" s="345"/>
      <c r="C3757" s="314"/>
      <c r="D3757" s="314" t="s">
        <v>99</v>
      </c>
      <c r="E3757" s="1097">
        <f>SUM(E3606,E3658,E3710,E3751)</f>
        <v>66866658.048314273</v>
      </c>
      <c r="F3757" s="1097">
        <f t="shared" ref="F3757:L3757" si="2665">SUM(F3606,F3658,F3710,F3751)</f>
        <v>0</v>
      </c>
      <c r="G3757" s="1097">
        <f t="shared" si="2665"/>
        <v>0</v>
      </c>
      <c r="H3757" s="1097">
        <f t="shared" si="2665"/>
        <v>0</v>
      </c>
      <c r="I3757" s="1097">
        <f t="shared" si="2665"/>
        <v>66866658.048314273</v>
      </c>
      <c r="J3757" s="1097">
        <f t="shared" si="2665"/>
        <v>-2888594</v>
      </c>
      <c r="K3757" s="1097">
        <f t="shared" si="2665"/>
        <v>0</v>
      </c>
      <c r="L3757" s="1097">
        <f t="shared" si="2665"/>
        <v>63978064.048314273</v>
      </c>
      <c r="M3757" s="1097"/>
      <c r="N3757" s="372">
        <f t="shared" si="2639"/>
        <v>0</v>
      </c>
      <c r="O3757" s="1097">
        <f t="shared" ref="O3757:P3757" si="2666">SUM(O3606,O3658,O3710,O3751)</f>
        <v>70375870.453145698</v>
      </c>
      <c r="P3757" s="1097">
        <f t="shared" si="2666"/>
        <v>77413457.498460278</v>
      </c>
      <c r="R3757" s="1097"/>
      <c r="U3757" s="1098"/>
    </row>
    <row r="3758" spans="1:21" s="344" customFormat="1">
      <c r="A3758" s="345"/>
      <c r="B3758" s="345"/>
      <c r="C3758" s="314"/>
      <c r="D3758" s="314" t="s">
        <v>175</v>
      </c>
      <c r="E3758" s="1097">
        <f>E3753</f>
        <v>10000000</v>
      </c>
      <c r="F3758" s="1097">
        <f t="shared" ref="F3758:L3758" si="2667">F3753</f>
        <v>14734068.422483111</v>
      </c>
      <c r="G3758" s="1097">
        <f t="shared" si="2667"/>
        <v>0</v>
      </c>
      <c r="H3758" s="1097">
        <f t="shared" si="2667"/>
        <v>0</v>
      </c>
      <c r="I3758" s="1097">
        <f t="shared" si="2667"/>
        <v>24734068.422483109</v>
      </c>
      <c r="J3758" s="1097">
        <f t="shared" si="2667"/>
        <v>0</v>
      </c>
      <c r="K3758" s="1097">
        <f t="shared" si="2667"/>
        <v>0</v>
      </c>
      <c r="L3758" s="1097">
        <f t="shared" si="2667"/>
        <v>24734068.422483109</v>
      </c>
      <c r="M3758" s="1097"/>
      <c r="N3758" s="372">
        <f t="shared" si="2639"/>
        <v>0</v>
      </c>
      <c r="O3758" s="1097">
        <f t="shared" ref="O3758:P3758" si="2668">O3753</f>
        <v>27207475.264731422</v>
      </c>
      <c r="P3758" s="1097">
        <f t="shared" si="2668"/>
        <v>29928222.791204568</v>
      </c>
      <c r="R3758" s="1097"/>
      <c r="U3758" s="1098"/>
    </row>
    <row r="3759" spans="1:21" s="344" customFormat="1">
      <c r="A3759" s="345"/>
      <c r="B3759" s="345"/>
      <c r="C3759" s="572" t="s">
        <v>675</v>
      </c>
      <c r="D3759" s="573"/>
      <c r="E3759" s="1099">
        <f>E3757+E3758</f>
        <v>76866658.048314273</v>
      </c>
      <c r="F3759" s="1099">
        <f t="shared" ref="F3759:L3759" si="2669">F3757+F3758</f>
        <v>14734068.422483111</v>
      </c>
      <c r="G3759" s="1099">
        <f t="shared" si="2669"/>
        <v>0</v>
      </c>
      <c r="H3759" s="1099">
        <f t="shared" si="2669"/>
        <v>0</v>
      </c>
      <c r="I3759" s="1099">
        <f t="shared" si="2669"/>
        <v>91600726.47079739</v>
      </c>
      <c r="J3759" s="1099">
        <f t="shared" si="2669"/>
        <v>-2888594</v>
      </c>
      <c r="K3759" s="1099">
        <f t="shared" si="2669"/>
        <v>0</v>
      </c>
      <c r="L3759" s="1099">
        <f t="shared" si="2669"/>
        <v>88712132.47079739</v>
      </c>
      <c r="M3759" s="1099"/>
      <c r="N3759" s="372">
        <f t="shared" si="2639"/>
        <v>0</v>
      </c>
      <c r="O3759" s="1099">
        <f t="shared" ref="O3759:P3759" si="2670">O3757+O3758</f>
        <v>97583345.71787712</v>
      </c>
      <c r="P3759" s="1099">
        <f t="shared" si="2670"/>
        <v>107341680.28966485</v>
      </c>
      <c r="Q3759" s="344">
        <v>266500</v>
      </c>
      <c r="R3759" s="1099"/>
      <c r="U3759" s="1100" t="s">
        <v>1803</v>
      </c>
    </row>
    <row r="3760" spans="1:21" s="344" customFormat="1">
      <c r="A3760" s="345"/>
      <c r="B3760" s="345"/>
      <c r="C3760" s="314"/>
      <c r="D3760" s="574"/>
      <c r="E3760" s="700"/>
      <c r="F3760" s="576"/>
      <c r="G3760" s="576"/>
      <c r="H3760" s="576"/>
      <c r="I3760" s="324">
        <f t="shared" si="2648"/>
        <v>0</v>
      </c>
      <c r="J3760" s="576"/>
      <c r="K3760" s="576"/>
      <c r="L3760" s="317"/>
      <c r="M3760" s="317"/>
      <c r="N3760" s="372">
        <f t="shared" si="2639"/>
        <v>0</v>
      </c>
      <c r="O3760" s="336">
        <f t="shared" ref="O3760:O3818" si="2671">L3760*1.1</f>
        <v>0</v>
      </c>
      <c r="P3760" s="319"/>
      <c r="R3760" s="317"/>
      <c r="U3760" s="320"/>
    </row>
    <row r="3761" spans="1:21" s="344" customFormat="1">
      <c r="A3761" s="483"/>
      <c r="B3761" s="483"/>
      <c r="C3761" s="578"/>
      <c r="D3761" s="579"/>
      <c r="E3761" s="701"/>
      <c r="F3761" s="581"/>
      <c r="G3761" s="581"/>
      <c r="H3761" s="581"/>
      <c r="I3761" s="324">
        <f t="shared" si="2648"/>
        <v>0</v>
      </c>
      <c r="J3761" s="581"/>
      <c r="K3761" s="581"/>
      <c r="L3761" s="317"/>
      <c r="M3761" s="317"/>
      <c r="N3761" s="372">
        <f t="shared" si="2639"/>
        <v>0</v>
      </c>
      <c r="O3761" s="336">
        <f t="shared" si="2671"/>
        <v>0</v>
      </c>
      <c r="P3761" s="319"/>
      <c r="R3761" s="317"/>
      <c r="U3761" s="320"/>
    </row>
    <row r="3762" spans="1:21">
      <c r="A3762" s="345"/>
      <c r="B3762" s="345"/>
      <c r="C3762" s="314" t="s">
        <v>676</v>
      </c>
      <c r="D3762" s="574"/>
      <c r="E3762" s="700"/>
      <c r="F3762" s="576"/>
      <c r="G3762" s="576"/>
      <c r="H3762" s="576"/>
      <c r="I3762" s="324">
        <f t="shared" si="2648"/>
        <v>0</v>
      </c>
      <c r="J3762" s="576"/>
      <c r="K3762" s="576"/>
      <c r="L3762" s="317"/>
      <c r="M3762" s="317"/>
      <c r="N3762" s="372">
        <f t="shared" si="2639"/>
        <v>0</v>
      </c>
      <c r="O3762" s="336">
        <f t="shared" si="2671"/>
        <v>0</v>
      </c>
      <c r="P3762" s="319"/>
      <c r="R3762" s="317"/>
      <c r="U3762" s="320" t="s">
        <v>1803</v>
      </c>
    </row>
    <row r="3763" spans="1:21" s="1101" customFormat="1" outlineLevel="1">
      <c r="A3763" s="1102"/>
      <c r="B3763" s="1102"/>
      <c r="C3763" s="1103"/>
      <c r="D3763" s="1104" t="s">
        <v>1282</v>
      </c>
      <c r="E3763" s="1105"/>
      <c r="F3763" s="1105"/>
      <c r="G3763" s="1105"/>
      <c r="H3763" s="1105"/>
      <c r="I3763" s="324">
        <f t="shared" si="2648"/>
        <v>0</v>
      </c>
      <c r="J3763" s="1105"/>
      <c r="K3763" s="1105"/>
      <c r="L3763" s="317">
        <f t="shared" si="2637"/>
        <v>0</v>
      </c>
      <c r="M3763" s="317"/>
      <c r="N3763" s="372">
        <f t="shared" si="2639"/>
        <v>0</v>
      </c>
      <c r="O3763" s="336">
        <f t="shared" si="2671"/>
        <v>0</v>
      </c>
      <c r="P3763" s="1106"/>
      <c r="R3763" s="317"/>
      <c r="U3763" s="320"/>
    </row>
    <row r="3764" spans="1:21" s="1107" customFormat="1" outlineLevel="2">
      <c r="A3764" s="1108"/>
      <c r="B3764" s="1108"/>
      <c r="C3764" s="1109">
        <v>2110100</v>
      </c>
      <c r="D3764" s="1110" t="s">
        <v>13</v>
      </c>
      <c r="E3764" s="1111">
        <f>E3765+E3766</f>
        <v>146396138</v>
      </c>
      <c r="F3764" s="1111">
        <f t="shared" ref="F3764:P3764" si="2672">F3765+F3766</f>
        <v>0</v>
      </c>
      <c r="G3764" s="1111">
        <f t="shared" si="2672"/>
        <v>0</v>
      </c>
      <c r="H3764" s="1111">
        <f t="shared" si="2672"/>
        <v>0</v>
      </c>
      <c r="I3764" s="1111">
        <f t="shared" si="2672"/>
        <v>146396138</v>
      </c>
      <c r="J3764" s="1111">
        <f t="shared" si="2672"/>
        <v>0</v>
      </c>
      <c r="K3764" s="1111">
        <f t="shared" si="2672"/>
        <v>0</v>
      </c>
      <c r="L3764" s="317">
        <f t="shared" si="2637"/>
        <v>146396138</v>
      </c>
      <c r="M3764" s="317"/>
      <c r="N3764" s="372">
        <f t="shared" si="2639"/>
        <v>0</v>
      </c>
      <c r="O3764" s="1111">
        <f t="shared" si="2672"/>
        <v>161035751.80000001</v>
      </c>
      <c r="P3764" s="1111">
        <f t="shared" si="2672"/>
        <v>177139326.98000002</v>
      </c>
      <c r="R3764" s="317"/>
      <c r="U3764" s="320"/>
    </row>
    <row r="3765" spans="1:21" s="1101" customFormat="1" outlineLevel="2">
      <c r="A3765" s="1106"/>
      <c r="B3765" s="1106"/>
      <c r="C3765" s="1112">
        <v>2110101</v>
      </c>
      <c r="D3765" s="1113" t="s">
        <v>1283</v>
      </c>
      <c r="E3765" s="1114">
        <v>146396138</v>
      </c>
      <c r="F3765" s="1115"/>
      <c r="G3765" s="1115"/>
      <c r="H3765" s="1115"/>
      <c r="I3765" s="324">
        <f t="shared" si="2648"/>
        <v>146396138</v>
      </c>
      <c r="J3765" s="1115"/>
      <c r="K3765" s="1115"/>
      <c r="L3765" s="317">
        <f t="shared" si="2637"/>
        <v>146396138</v>
      </c>
      <c r="M3765" s="317"/>
      <c r="N3765" s="372">
        <f t="shared" si="2639"/>
        <v>0</v>
      </c>
      <c r="O3765" s="336">
        <f t="shared" si="2671"/>
        <v>161035751.80000001</v>
      </c>
      <c r="P3765" s="1108">
        <f t="shared" ref="P3765:P3785" si="2673">O3765*1.1</f>
        <v>177139326.98000002</v>
      </c>
      <c r="R3765" s="317"/>
      <c r="U3765" s="320"/>
    </row>
    <row r="3766" spans="1:21" s="1101" customFormat="1" outlineLevel="2">
      <c r="A3766" s="1106"/>
      <c r="B3766" s="1106"/>
      <c r="C3766" s="1116">
        <v>2110116</v>
      </c>
      <c r="D3766" s="1117" t="s">
        <v>1284</v>
      </c>
      <c r="E3766" s="1114"/>
      <c r="F3766" s="1118"/>
      <c r="G3766" s="1118"/>
      <c r="H3766" s="1118"/>
      <c r="I3766" s="324">
        <f t="shared" si="2648"/>
        <v>0</v>
      </c>
      <c r="J3766" s="1118"/>
      <c r="K3766" s="1118"/>
      <c r="L3766" s="317">
        <f t="shared" si="2637"/>
        <v>0</v>
      </c>
      <c r="M3766" s="317"/>
      <c r="N3766" s="372">
        <f t="shared" si="2639"/>
        <v>0</v>
      </c>
      <c r="O3766" s="336">
        <f t="shared" si="2671"/>
        <v>0</v>
      </c>
      <c r="P3766" s="1108">
        <f t="shared" si="2673"/>
        <v>0</v>
      </c>
      <c r="R3766" s="317"/>
      <c r="U3766" s="320"/>
    </row>
    <row r="3767" spans="1:21" s="1107" customFormat="1" outlineLevel="2">
      <c r="A3767" s="1108"/>
      <c r="B3767" s="1108"/>
      <c r="C3767" s="1109">
        <v>2110200</v>
      </c>
      <c r="D3767" s="1119" t="s">
        <v>148</v>
      </c>
      <c r="E3767" s="1111">
        <f>E3768</f>
        <v>2884671</v>
      </c>
      <c r="F3767" s="1111">
        <f t="shared" ref="F3767:K3767" si="2674">F3768</f>
        <v>0</v>
      </c>
      <c r="G3767" s="1111">
        <f t="shared" si="2674"/>
        <v>0</v>
      </c>
      <c r="H3767" s="1111">
        <f t="shared" si="2674"/>
        <v>0</v>
      </c>
      <c r="I3767" s="1111">
        <f t="shared" si="2674"/>
        <v>2884671</v>
      </c>
      <c r="J3767" s="1111">
        <f t="shared" si="2674"/>
        <v>0</v>
      </c>
      <c r="K3767" s="1111">
        <f t="shared" si="2674"/>
        <v>0</v>
      </c>
      <c r="L3767" s="317">
        <f t="shared" si="2637"/>
        <v>2884671</v>
      </c>
      <c r="M3767" s="317"/>
      <c r="N3767" s="372">
        <f t="shared" si="2639"/>
        <v>0</v>
      </c>
      <c r="O3767" s="1111">
        <f t="shared" ref="O3767:P3767" si="2675">O3768</f>
        <v>3173138.1</v>
      </c>
      <c r="P3767" s="1111">
        <f t="shared" si="2675"/>
        <v>3490451.9100000006</v>
      </c>
      <c r="R3767" s="317"/>
      <c r="U3767" s="320"/>
    </row>
    <row r="3768" spans="1:21" s="1101" customFormat="1" outlineLevel="2">
      <c r="A3768" s="1106"/>
      <c r="B3768" s="1106"/>
      <c r="C3768" s="1120">
        <v>2110201</v>
      </c>
      <c r="D3768" s="1121" t="s">
        <v>1285</v>
      </c>
      <c r="E3768" s="1114">
        <v>2884671</v>
      </c>
      <c r="F3768" s="1122"/>
      <c r="G3768" s="1122"/>
      <c r="H3768" s="1122"/>
      <c r="I3768" s="324">
        <f t="shared" si="2648"/>
        <v>2884671</v>
      </c>
      <c r="J3768" s="1122"/>
      <c r="K3768" s="1122"/>
      <c r="L3768" s="317">
        <f t="shared" si="2637"/>
        <v>2884671</v>
      </c>
      <c r="M3768" s="317"/>
      <c r="N3768" s="372">
        <f t="shared" si="2639"/>
        <v>0</v>
      </c>
      <c r="O3768" s="336">
        <f t="shared" si="2671"/>
        <v>3173138.1</v>
      </c>
      <c r="P3768" s="1108">
        <f t="shared" si="2673"/>
        <v>3490451.9100000006</v>
      </c>
      <c r="R3768" s="317"/>
      <c r="U3768" s="320"/>
    </row>
    <row r="3769" spans="1:21" s="1123" customFormat="1" outlineLevel="2">
      <c r="A3769" s="1124"/>
      <c r="B3769" s="1124"/>
      <c r="C3769" s="1109" t="s">
        <v>2001</v>
      </c>
      <c r="D3769" s="1110" t="s">
        <v>1303</v>
      </c>
      <c r="E3769" s="1111">
        <f>E3770</f>
        <v>1200000</v>
      </c>
      <c r="F3769" s="1111">
        <f t="shared" ref="F3769:P3769" si="2676">F3770</f>
        <v>0</v>
      </c>
      <c r="G3769" s="1111">
        <f t="shared" si="2676"/>
        <v>0</v>
      </c>
      <c r="H3769" s="1111">
        <f t="shared" si="2676"/>
        <v>0</v>
      </c>
      <c r="I3769" s="1111">
        <f t="shared" si="2676"/>
        <v>1200000</v>
      </c>
      <c r="J3769" s="1111">
        <f t="shared" si="2676"/>
        <v>0</v>
      </c>
      <c r="K3769" s="1111">
        <f t="shared" si="2676"/>
        <v>0</v>
      </c>
      <c r="L3769" s="317">
        <f t="shared" si="2637"/>
        <v>1200000</v>
      </c>
      <c r="M3769" s="317"/>
      <c r="N3769" s="372">
        <f t="shared" si="2639"/>
        <v>0</v>
      </c>
      <c r="O3769" s="1111">
        <f t="shared" si="2676"/>
        <v>1320000</v>
      </c>
      <c r="P3769" s="1111">
        <f t="shared" si="2676"/>
        <v>0</v>
      </c>
      <c r="R3769" s="317"/>
      <c r="U3769" s="320"/>
    </row>
    <row r="3770" spans="1:21" s="1101" customFormat="1" outlineLevel="2">
      <c r="A3770" s="1106"/>
      <c r="B3770" s="1106"/>
      <c r="C3770" s="1120" t="s">
        <v>2002</v>
      </c>
      <c r="D3770" s="1125" t="s">
        <v>2003</v>
      </c>
      <c r="E3770" s="1114">
        <v>1200000</v>
      </c>
      <c r="F3770" s="1126"/>
      <c r="G3770" s="1126"/>
      <c r="H3770" s="1126"/>
      <c r="I3770" s="324">
        <f t="shared" si="2648"/>
        <v>1200000</v>
      </c>
      <c r="J3770" s="1126"/>
      <c r="K3770" s="1126"/>
      <c r="L3770" s="317">
        <f t="shared" si="2637"/>
        <v>1200000</v>
      </c>
      <c r="M3770" s="317"/>
      <c r="N3770" s="372">
        <f t="shared" si="2639"/>
        <v>0</v>
      </c>
      <c r="O3770" s="336">
        <f t="shared" si="2671"/>
        <v>1320000</v>
      </c>
      <c r="P3770" s="1108"/>
      <c r="R3770" s="317"/>
      <c r="U3770" s="320"/>
    </row>
    <row r="3771" spans="1:21" s="1107" customFormat="1" outlineLevel="2">
      <c r="A3771" s="1108"/>
      <c r="B3771" s="1108"/>
      <c r="C3771" s="1109">
        <v>2210100</v>
      </c>
      <c r="D3771" s="1110" t="s">
        <v>16</v>
      </c>
      <c r="E3771" s="1111">
        <f>SUM(E3772:E3773)</f>
        <v>1140000</v>
      </c>
      <c r="F3771" s="1111">
        <f t="shared" ref="F3771:P3771" si="2677">SUM(F3772:F3773)</f>
        <v>0</v>
      </c>
      <c r="G3771" s="1111">
        <f t="shared" si="2677"/>
        <v>0</v>
      </c>
      <c r="H3771" s="1111">
        <f t="shared" si="2677"/>
        <v>0</v>
      </c>
      <c r="I3771" s="1111">
        <f t="shared" si="2677"/>
        <v>1140000</v>
      </c>
      <c r="J3771" s="1111">
        <f t="shared" si="2677"/>
        <v>0</v>
      </c>
      <c r="K3771" s="1111">
        <f t="shared" si="2677"/>
        <v>0</v>
      </c>
      <c r="L3771" s="317">
        <f t="shared" si="2637"/>
        <v>1140000</v>
      </c>
      <c r="M3771" s="317"/>
      <c r="N3771" s="372">
        <f t="shared" si="2639"/>
        <v>0</v>
      </c>
      <c r="O3771" s="1111">
        <f t="shared" si="2677"/>
        <v>1254000</v>
      </c>
      <c r="P3771" s="1111">
        <f t="shared" si="2677"/>
        <v>1379400.0000000002</v>
      </c>
      <c r="R3771" s="317"/>
      <c r="U3771" s="320"/>
    </row>
    <row r="3772" spans="1:21" s="1101" customFormat="1" outlineLevel="2">
      <c r="A3772" s="1106"/>
      <c r="B3772" s="1106"/>
      <c r="C3772" s="1116">
        <v>2210101</v>
      </c>
      <c r="D3772" s="1117" t="s">
        <v>17</v>
      </c>
      <c r="E3772" s="1114">
        <v>840000</v>
      </c>
      <c r="F3772" s="1118"/>
      <c r="G3772" s="1118"/>
      <c r="H3772" s="1118"/>
      <c r="I3772" s="324">
        <f t="shared" si="2648"/>
        <v>840000</v>
      </c>
      <c r="J3772" s="1118"/>
      <c r="K3772" s="1118"/>
      <c r="L3772" s="317">
        <f t="shared" si="2637"/>
        <v>840000</v>
      </c>
      <c r="M3772" s="317"/>
      <c r="N3772" s="372">
        <f t="shared" si="2639"/>
        <v>0</v>
      </c>
      <c r="O3772" s="336">
        <f t="shared" si="2671"/>
        <v>924000.00000000012</v>
      </c>
      <c r="P3772" s="1108">
        <f t="shared" si="2673"/>
        <v>1016400.0000000002</v>
      </c>
      <c r="R3772" s="317"/>
      <c r="U3772" s="320"/>
    </row>
    <row r="3773" spans="1:21" s="1101" customFormat="1" outlineLevel="2">
      <c r="A3773" s="1106"/>
      <c r="B3773" s="1106"/>
      <c r="C3773" s="1116">
        <v>2210102</v>
      </c>
      <c r="D3773" s="1117" t="s">
        <v>18</v>
      </c>
      <c r="E3773" s="1114">
        <v>300000</v>
      </c>
      <c r="F3773" s="1118"/>
      <c r="G3773" s="1118"/>
      <c r="H3773" s="1118"/>
      <c r="I3773" s="324">
        <f t="shared" si="2648"/>
        <v>300000</v>
      </c>
      <c r="J3773" s="1118"/>
      <c r="K3773" s="1118"/>
      <c r="L3773" s="317">
        <f t="shared" si="2637"/>
        <v>300000</v>
      </c>
      <c r="M3773" s="317"/>
      <c r="N3773" s="372">
        <f t="shared" si="2639"/>
        <v>0</v>
      </c>
      <c r="O3773" s="336">
        <f t="shared" si="2671"/>
        <v>330000</v>
      </c>
      <c r="P3773" s="1108">
        <f t="shared" si="2673"/>
        <v>363000.00000000006</v>
      </c>
      <c r="R3773" s="317"/>
      <c r="U3773" s="320"/>
    </row>
    <row r="3774" spans="1:21" s="1107" customFormat="1" outlineLevel="2">
      <c r="A3774" s="1108"/>
      <c r="B3774" s="1108"/>
      <c r="C3774" s="1109">
        <v>2210200</v>
      </c>
      <c r="D3774" s="1110" t="s">
        <v>20</v>
      </c>
      <c r="E3774" s="1111">
        <f>SUM(E3775:E3776)</f>
        <v>4582780</v>
      </c>
      <c r="F3774" s="1111">
        <f t="shared" ref="F3774:P3774" si="2678">SUM(F3775:F3776)</f>
        <v>0</v>
      </c>
      <c r="G3774" s="1111">
        <f t="shared" si="2678"/>
        <v>0</v>
      </c>
      <c r="H3774" s="1111">
        <f t="shared" si="2678"/>
        <v>0</v>
      </c>
      <c r="I3774" s="1111">
        <f t="shared" si="2678"/>
        <v>4582780</v>
      </c>
      <c r="J3774" s="1111">
        <f t="shared" si="2678"/>
        <v>0</v>
      </c>
      <c r="K3774" s="1111">
        <f t="shared" si="2678"/>
        <v>0</v>
      </c>
      <c r="L3774" s="317">
        <f t="shared" si="2637"/>
        <v>4582780</v>
      </c>
      <c r="M3774" s="317"/>
      <c r="N3774" s="372">
        <f t="shared" si="2639"/>
        <v>0</v>
      </c>
      <c r="O3774" s="1111">
        <f t="shared" si="2678"/>
        <v>5041058</v>
      </c>
      <c r="P3774" s="1111">
        <f t="shared" si="2678"/>
        <v>5545163.8000000007</v>
      </c>
      <c r="R3774" s="317"/>
      <c r="U3774" s="320"/>
    </row>
    <row r="3775" spans="1:21" s="1101" customFormat="1" outlineLevel="2">
      <c r="A3775" s="1106"/>
      <c r="B3775" s="1106"/>
      <c r="C3775" s="1116">
        <v>2210201</v>
      </c>
      <c r="D3775" s="1117" t="s">
        <v>187</v>
      </c>
      <c r="E3775" s="1114">
        <v>4282780</v>
      </c>
      <c r="F3775" s="1118"/>
      <c r="G3775" s="1118"/>
      <c r="H3775" s="1118"/>
      <c r="I3775" s="324">
        <f t="shared" si="2648"/>
        <v>4282780</v>
      </c>
      <c r="J3775" s="1118"/>
      <c r="K3775" s="1118"/>
      <c r="L3775" s="317">
        <f t="shared" si="2637"/>
        <v>4282780</v>
      </c>
      <c r="M3775" s="317"/>
      <c r="N3775" s="372">
        <f t="shared" si="2639"/>
        <v>0</v>
      </c>
      <c r="O3775" s="336">
        <f t="shared" si="2671"/>
        <v>4711058</v>
      </c>
      <c r="P3775" s="1108">
        <f t="shared" si="2673"/>
        <v>5182163.8000000007</v>
      </c>
      <c r="R3775" s="317"/>
      <c r="U3775" s="320"/>
    </row>
    <row r="3776" spans="1:21" s="1101" customFormat="1" outlineLevel="2">
      <c r="A3776" s="1106"/>
      <c r="B3776" s="1106"/>
      <c r="C3776" s="1116">
        <v>2210203</v>
      </c>
      <c r="D3776" s="1117" t="s">
        <v>23</v>
      </c>
      <c r="E3776" s="1114">
        <v>300000</v>
      </c>
      <c r="F3776" s="1118"/>
      <c r="G3776" s="1118"/>
      <c r="H3776" s="1118"/>
      <c r="I3776" s="324">
        <f t="shared" si="2648"/>
        <v>300000</v>
      </c>
      <c r="J3776" s="1118"/>
      <c r="K3776" s="1118"/>
      <c r="L3776" s="317">
        <f t="shared" si="2637"/>
        <v>300000</v>
      </c>
      <c r="M3776" s="317"/>
      <c r="N3776" s="372">
        <f t="shared" si="2639"/>
        <v>0</v>
      </c>
      <c r="O3776" s="336">
        <f t="shared" si="2671"/>
        <v>330000</v>
      </c>
      <c r="P3776" s="1108">
        <f t="shared" si="2673"/>
        <v>363000.00000000006</v>
      </c>
      <c r="R3776" s="317"/>
      <c r="U3776" s="320"/>
    </row>
    <row r="3777" spans="1:21" s="1107" customFormat="1" outlineLevel="2">
      <c r="A3777" s="1108"/>
      <c r="B3777" s="1108"/>
      <c r="C3777" s="1109">
        <v>2210300</v>
      </c>
      <c r="D3777" s="1110" t="s">
        <v>24</v>
      </c>
      <c r="E3777" s="1111">
        <f>SUM(E3778:E3781)</f>
        <v>54040000</v>
      </c>
      <c r="F3777" s="1111">
        <f t="shared" ref="F3777:P3777" si="2679">SUM(F3778:F3781)</f>
        <v>43458334</v>
      </c>
      <c r="G3777" s="1111">
        <f t="shared" si="2679"/>
        <v>0</v>
      </c>
      <c r="H3777" s="1111">
        <f t="shared" si="2679"/>
        <v>0</v>
      </c>
      <c r="I3777" s="1111">
        <f t="shared" si="2679"/>
        <v>97498334</v>
      </c>
      <c r="J3777" s="1111">
        <f t="shared" si="2679"/>
        <v>0</v>
      </c>
      <c r="K3777" s="1111">
        <f t="shared" si="2679"/>
        <v>0</v>
      </c>
      <c r="L3777" s="317">
        <f t="shared" si="2637"/>
        <v>97498334</v>
      </c>
      <c r="M3777" s="317"/>
      <c r="N3777" s="372">
        <f t="shared" si="2639"/>
        <v>0</v>
      </c>
      <c r="O3777" s="1111">
        <f t="shared" si="2679"/>
        <v>107248167.40000001</v>
      </c>
      <c r="P3777" s="1111">
        <f t="shared" si="2679"/>
        <v>117972984.14000002</v>
      </c>
      <c r="R3777" s="317"/>
      <c r="U3777" s="320"/>
    </row>
    <row r="3778" spans="1:21" s="1101" customFormat="1" outlineLevel="2">
      <c r="A3778" s="1106"/>
      <c r="B3778" s="1106"/>
      <c r="C3778" s="1116">
        <v>2210301</v>
      </c>
      <c r="D3778" s="1117" t="s">
        <v>188</v>
      </c>
      <c r="E3778" s="1114">
        <v>9400000</v>
      </c>
      <c r="F3778" s="1118"/>
      <c r="G3778" s="1118"/>
      <c r="H3778" s="1118"/>
      <c r="I3778" s="324">
        <f t="shared" si="2648"/>
        <v>9400000</v>
      </c>
      <c r="J3778" s="1118"/>
      <c r="K3778" s="1118"/>
      <c r="L3778" s="317">
        <f t="shared" si="2637"/>
        <v>9400000</v>
      </c>
      <c r="M3778" s="317"/>
      <c r="N3778" s="372">
        <f t="shared" si="2639"/>
        <v>0</v>
      </c>
      <c r="O3778" s="336">
        <f t="shared" si="2671"/>
        <v>10340000</v>
      </c>
      <c r="P3778" s="1108">
        <f t="shared" si="2673"/>
        <v>11374000</v>
      </c>
      <c r="R3778" s="317"/>
      <c r="U3778" s="320"/>
    </row>
    <row r="3779" spans="1:21" s="1101" customFormat="1" outlineLevel="2">
      <c r="A3779" s="1106"/>
      <c r="B3779" s="1106"/>
      <c r="C3779" s="1116">
        <v>2210302</v>
      </c>
      <c r="D3779" s="1117" t="s">
        <v>26</v>
      </c>
      <c r="E3779" s="1114">
        <v>35000000</v>
      </c>
      <c r="F3779" s="1118">
        <v>43458334</v>
      </c>
      <c r="G3779" s="1118"/>
      <c r="H3779" s="1118"/>
      <c r="I3779" s="324">
        <f t="shared" si="2648"/>
        <v>78458334</v>
      </c>
      <c r="J3779" s="1118"/>
      <c r="K3779" s="1118"/>
      <c r="L3779" s="317">
        <f t="shared" si="2637"/>
        <v>78458334</v>
      </c>
      <c r="M3779" s="317"/>
      <c r="N3779" s="372">
        <f t="shared" si="2639"/>
        <v>0</v>
      </c>
      <c r="O3779" s="336">
        <f t="shared" si="2671"/>
        <v>86304167.400000006</v>
      </c>
      <c r="P3779" s="1108">
        <f t="shared" si="2673"/>
        <v>94934584.140000015</v>
      </c>
      <c r="R3779" s="317"/>
      <c r="U3779" s="320"/>
    </row>
    <row r="3780" spans="1:21" s="1101" customFormat="1" outlineLevel="2">
      <c r="A3780" s="1106"/>
      <c r="B3780" s="1106"/>
      <c r="C3780" s="1116">
        <v>2210303</v>
      </c>
      <c r="D3780" s="1117" t="s">
        <v>223</v>
      </c>
      <c r="E3780" s="1114">
        <v>5000000</v>
      </c>
      <c r="F3780" s="1118"/>
      <c r="G3780" s="1118"/>
      <c r="H3780" s="1118"/>
      <c r="I3780" s="324">
        <f t="shared" si="2648"/>
        <v>5000000</v>
      </c>
      <c r="J3780" s="1118"/>
      <c r="K3780" s="1118"/>
      <c r="L3780" s="317">
        <f t="shared" si="2637"/>
        <v>5000000</v>
      </c>
      <c r="M3780" s="317"/>
      <c r="N3780" s="372">
        <f t="shared" si="2639"/>
        <v>0</v>
      </c>
      <c r="O3780" s="336">
        <f t="shared" si="2671"/>
        <v>5500000</v>
      </c>
      <c r="P3780" s="1108">
        <f t="shared" si="2673"/>
        <v>6050000.0000000009</v>
      </c>
      <c r="R3780" s="317"/>
      <c r="U3780" s="320"/>
    </row>
    <row r="3781" spans="1:21" s="1101" customFormat="1" outlineLevel="2">
      <c r="A3781" s="1106"/>
      <c r="B3781" s="1106"/>
      <c r="C3781" s="1116" t="s">
        <v>2004</v>
      </c>
      <c r="D3781" s="470" t="s">
        <v>208</v>
      </c>
      <c r="E3781" s="1114">
        <v>4640000</v>
      </c>
      <c r="F3781" s="1127"/>
      <c r="G3781" s="1127"/>
      <c r="H3781" s="1127"/>
      <c r="I3781" s="324">
        <f t="shared" si="2648"/>
        <v>4640000</v>
      </c>
      <c r="J3781" s="1127"/>
      <c r="K3781" s="1127"/>
      <c r="L3781" s="317">
        <f t="shared" ref="L3781:L3844" si="2680">I3781+J3781+K3781</f>
        <v>4640000</v>
      </c>
      <c r="M3781" s="317"/>
      <c r="N3781" s="372">
        <f t="shared" si="2639"/>
        <v>0</v>
      </c>
      <c r="O3781" s="336">
        <f t="shared" si="2671"/>
        <v>5104000</v>
      </c>
      <c r="P3781" s="1108">
        <f t="shared" si="2673"/>
        <v>5614400</v>
      </c>
      <c r="R3781" s="317"/>
      <c r="U3781" s="320"/>
    </row>
    <row r="3782" spans="1:21" s="1107" customFormat="1" outlineLevel="2">
      <c r="A3782" s="1108"/>
      <c r="B3782" s="1108"/>
      <c r="C3782" s="1109">
        <v>2210400</v>
      </c>
      <c r="D3782" s="1110" t="s">
        <v>189</v>
      </c>
      <c r="E3782" s="1111">
        <f>SUM(E3783:E3785)</f>
        <v>9073260</v>
      </c>
      <c r="F3782" s="1111">
        <f t="shared" ref="F3782:K3782" si="2681">SUM(F3783:F3785)</f>
        <v>0</v>
      </c>
      <c r="G3782" s="1111">
        <f t="shared" si="2681"/>
        <v>0</v>
      </c>
      <c r="H3782" s="1111">
        <f t="shared" si="2681"/>
        <v>0</v>
      </c>
      <c r="I3782" s="1111">
        <f t="shared" si="2681"/>
        <v>9073260</v>
      </c>
      <c r="J3782" s="1111">
        <f t="shared" si="2681"/>
        <v>0</v>
      </c>
      <c r="K3782" s="1111">
        <f t="shared" si="2681"/>
        <v>0</v>
      </c>
      <c r="L3782" s="317">
        <f t="shared" si="2680"/>
        <v>9073260</v>
      </c>
      <c r="M3782" s="317"/>
      <c r="N3782" s="372">
        <f t="shared" si="2639"/>
        <v>0</v>
      </c>
      <c r="O3782" s="1111">
        <f t="shared" ref="O3782:P3782" si="2682">SUM(O3783:O3785)</f>
        <v>9980586.0000000019</v>
      </c>
      <c r="P3782" s="1111">
        <f t="shared" si="2682"/>
        <v>10978644.600000001</v>
      </c>
      <c r="R3782" s="317"/>
      <c r="U3782" s="320"/>
    </row>
    <row r="3783" spans="1:21" s="1101" customFormat="1" outlineLevel="2">
      <c r="A3783" s="1106"/>
      <c r="B3783" s="1106"/>
      <c r="C3783" s="1116" t="s">
        <v>2005</v>
      </c>
      <c r="D3783" s="1117" t="s">
        <v>190</v>
      </c>
      <c r="E3783" s="1114">
        <v>1800000</v>
      </c>
      <c r="F3783" s="1118"/>
      <c r="G3783" s="1118"/>
      <c r="H3783" s="1118"/>
      <c r="I3783" s="324">
        <f t="shared" si="2648"/>
        <v>1800000</v>
      </c>
      <c r="J3783" s="1118"/>
      <c r="K3783" s="1118"/>
      <c r="L3783" s="317">
        <f t="shared" si="2680"/>
        <v>1800000</v>
      </c>
      <c r="M3783" s="317"/>
      <c r="N3783" s="372">
        <f t="shared" si="2639"/>
        <v>0</v>
      </c>
      <c r="O3783" s="336">
        <f t="shared" si="2671"/>
        <v>1980000.0000000002</v>
      </c>
      <c r="P3783" s="1108">
        <f t="shared" si="2673"/>
        <v>2178000.0000000005</v>
      </c>
      <c r="R3783" s="317"/>
      <c r="U3783" s="320"/>
    </row>
    <row r="3784" spans="1:21" s="1101" customFormat="1" outlineLevel="2">
      <c r="A3784" s="1106"/>
      <c r="B3784" s="1106"/>
      <c r="C3784" s="1116">
        <v>2210402</v>
      </c>
      <c r="D3784" s="1117" t="s">
        <v>191</v>
      </c>
      <c r="E3784" s="1114">
        <v>6185760</v>
      </c>
      <c r="F3784" s="1118"/>
      <c r="G3784" s="1118"/>
      <c r="H3784" s="1118"/>
      <c r="I3784" s="324">
        <f t="shared" si="2648"/>
        <v>6185760</v>
      </c>
      <c r="J3784" s="1118"/>
      <c r="K3784" s="1118"/>
      <c r="L3784" s="317">
        <f t="shared" si="2680"/>
        <v>6185760</v>
      </c>
      <c r="M3784" s="317"/>
      <c r="N3784" s="372">
        <f t="shared" si="2639"/>
        <v>0</v>
      </c>
      <c r="O3784" s="336">
        <f t="shared" si="2671"/>
        <v>6804336.0000000009</v>
      </c>
      <c r="P3784" s="1108">
        <f t="shared" si="2673"/>
        <v>7484769.6000000015</v>
      </c>
      <c r="R3784" s="317"/>
      <c r="U3784" s="320"/>
    </row>
    <row r="3785" spans="1:21" s="1128" customFormat="1" outlineLevel="2">
      <c r="A3785" s="1129"/>
      <c r="B3785" s="1129"/>
      <c r="C3785" s="1116">
        <v>2210404</v>
      </c>
      <c r="D3785" s="1117" t="s">
        <v>28</v>
      </c>
      <c r="E3785" s="1114">
        <v>1087500</v>
      </c>
      <c r="F3785" s="1118"/>
      <c r="G3785" s="1118"/>
      <c r="H3785" s="1118"/>
      <c r="I3785" s="324">
        <f t="shared" si="2648"/>
        <v>1087500</v>
      </c>
      <c r="J3785" s="1118"/>
      <c r="K3785" s="1118"/>
      <c r="L3785" s="317">
        <f t="shared" si="2680"/>
        <v>1087500</v>
      </c>
      <c r="M3785" s="317"/>
      <c r="N3785" s="372">
        <f t="shared" ref="N3785:N3848" si="2683">M3785-K3785</f>
        <v>0</v>
      </c>
      <c r="O3785" s="336">
        <f t="shared" si="2671"/>
        <v>1196250</v>
      </c>
      <c r="P3785" s="1108">
        <f t="shared" si="2673"/>
        <v>1315875</v>
      </c>
      <c r="R3785" s="317"/>
      <c r="U3785" s="320"/>
    </row>
    <row r="3786" spans="1:21" s="1107" customFormat="1" outlineLevel="2">
      <c r="A3786" s="1108"/>
      <c r="B3786" s="1108"/>
      <c r="C3786" s="1109">
        <v>2210500</v>
      </c>
      <c r="D3786" s="1110" t="s">
        <v>31</v>
      </c>
      <c r="E3786" s="1111">
        <f>SUM(E3787:E3789)</f>
        <v>9300000</v>
      </c>
      <c r="F3786" s="1111">
        <f t="shared" ref="F3786:P3786" si="2684">SUM(F3787:F3789)</f>
        <v>0</v>
      </c>
      <c r="G3786" s="1111">
        <f t="shared" si="2684"/>
        <v>0</v>
      </c>
      <c r="H3786" s="1111">
        <f t="shared" si="2684"/>
        <v>0</v>
      </c>
      <c r="I3786" s="1111">
        <f t="shared" si="2684"/>
        <v>9300000</v>
      </c>
      <c r="J3786" s="1111">
        <f t="shared" si="2684"/>
        <v>0</v>
      </c>
      <c r="K3786" s="1111">
        <f t="shared" si="2684"/>
        <v>0</v>
      </c>
      <c r="L3786" s="317">
        <f t="shared" si="2680"/>
        <v>9300000</v>
      </c>
      <c r="M3786" s="317"/>
      <c r="N3786" s="372">
        <f t="shared" si="2683"/>
        <v>0</v>
      </c>
      <c r="O3786" s="1111">
        <f t="shared" si="2684"/>
        <v>10230000</v>
      </c>
      <c r="P3786" s="1111">
        <f t="shared" si="2684"/>
        <v>11253000</v>
      </c>
      <c r="R3786" s="317"/>
      <c r="U3786" s="320"/>
    </row>
    <row r="3787" spans="1:21" s="1101" customFormat="1" outlineLevel="2">
      <c r="A3787" s="1106"/>
      <c r="B3787" s="1106"/>
      <c r="C3787" s="1116">
        <v>2210502</v>
      </c>
      <c r="D3787" s="1117" t="s">
        <v>105</v>
      </c>
      <c r="E3787" s="1114">
        <v>1030000</v>
      </c>
      <c r="F3787" s="1118"/>
      <c r="G3787" s="1118"/>
      <c r="H3787" s="1118"/>
      <c r="I3787" s="324">
        <f t="shared" si="2648"/>
        <v>1030000</v>
      </c>
      <c r="J3787" s="1118"/>
      <c r="K3787" s="1118"/>
      <c r="L3787" s="317">
        <f t="shared" si="2680"/>
        <v>1030000</v>
      </c>
      <c r="M3787" s="317"/>
      <c r="N3787" s="372">
        <f t="shared" si="2683"/>
        <v>0</v>
      </c>
      <c r="O3787" s="336">
        <f t="shared" si="2671"/>
        <v>1133000</v>
      </c>
      <c r="P3787" s="1108">
        <f t="shared" ref="P3787:P3808" si="2685">O3787*1.1</f>
        <v>1246300</v>
      </c>
      <c r="R3787" s="317"/>
      <c r="U3787" s="320"/>
    </row>
    <row r="3788" spans="1:21" s="1101" customFormat="1" outlineLevel="2">
      <c r="A3788" s="1106"/>
      <c r="B3788" s="1106"/>
      <c r="C3788" s="1116">
        <v>2210503</v>
      </c>
      <c r="D3788" s="1117" t="s">
        <v>32</v>
      </c>
      <c r="E3788" s="1114">
        <v>470000</v>
      </c>
      <c r="F3788" s="1118"/>
      <c r="G3788" s="1118"/>
      <c r="H3788" s="1118"/>
      <c r="I3788" s="324">
        <f t="shared" si="2648"/>
        <v>470000</v>
      </c>
      <c r="J3788" s="1118"/>
      <c r="K3788" s="1118"/>
      <c r="L3788" s="317">
        <f t="shared" si="2680"/>
        <v>470000</v>
      </c>
      <c r="M3788" s="317"/>
      <c r="N3788" s="372">
        <f t="shared" si="2683"/>
        <v>0</v>
      </c>
      <c r="O3788" s="336">
        <f t="shared" si="2671"/>
        <v>517000.00000000006</v>
      </c>
      <c r="P3788" s="1108">
        <f t="shared" si="2685"/>
        <v>568700.00000000012</v>
      </c>
      <c r="R3788" s="317"/>
      <c r="U3788" s="320"/>
    </row>
    <row r="3789" spans="1:21" s="1101" customFormat="1" outlineLevel="2">
      <c r="A3789" s="1106"/>
      <c r="B3789" s="1106"/>
      <c r="C3789" s="1116">
        <v>2210504</v>
      </c>
      <c r="D3789" s="1117" t="s">
        <v>33</v>
      </c>
      <c r="E3789" s="1114">
        <v>7800000</v>
      </c>
      <c r="F3789" s="1118"/>
      <c r="G3789" s="1118"/>
      <c r="H3789" s="1118"/>
      <c r="I3789" s="324">
        <f t="shared" si="2648"/>
        <v>7800000</v>
      </c>
      <c r="J3789" s="1118"/>
      <c r="K3789" s="1118"/>
      <c r="L3789" s="317">
        <f t="shared" si="2680"/>
        <v>7800000</v>
      </c>
      <c r="M3789" s="317"/>
      <c r="N3789" s="372">
        <f t="shared" si="2683"/>
        <v>0</v>
      </c>
      <c r="O3789" s="336">
        <f t="shared" si="2671"/>
        <v>8580000</v>
      </c>
      <c r="P3789" s="1108">
        <f t="shared" si="2685"/>
        <v>9438000</v>
      </c>
      <c r="R3789" s="317"/>
      <c r="U3789" s="320"/>
    </row>
    <row r="3790" spans="1:21" s="1123" customFormat="1" outlineLevel="2">
      <c r="A3790" s="1124"/>
      <c r="B3790" s="1124"/>
      <c r="C3790" s="1130" t="s">
        <v>2006</v>
      </c>
      <c r="D3790" s="1119" t="s">
        <v>154</v>
      </c>
      <c r="E3790" s="1111">
        <f>E3791</f>
        <v>4600000</v>
      </c>
      <c r="F3790" s="1111">
        <f t="shared" ref="F3790:P3790" si="2686">F3791</f>
        <v>0</v>
      </c>
      <c r="G3790" s="1111">
        <f t="shared" si="2686"/>
        <v>0</v>
      </c>
      <c r="H3790" s="1111">
        <f t="shared" si="2686"/>
        <v>0</v>
      </c>
      <c r="I3790" s="1111">
        <f t="shared" si="2686"/>
        <v>4600000</v>
      </c>
      <c r="J3790" s="1111">
        <f t="shared" si="2686"/>
        <v>0</v>
      </c>
      <c r="K3790" s="1111">
        <f t="shared" si="2686"/>
        <v>0</v>
      </c>
      <c r="L3790" s="317">
        <f t="shared" si="2680"/>
        <v>4600000</v>
      </c>
      <c r="M3790" s="317"/>
      <c r="N3790" s="372">
        <f t="shared" si="2683"/>
        <v>0</v>
      </c>
      <c r="O3790" s="1111">
        <f t="shared" si="2686"/>
        <v>5060000</v>
      </c>
      <c r="P3790" s="1111">
        <f t="shared" si="2686"/>
        <v>5566000</v>
      </c>
      <c r="R3790" s="317"/>
      <c r="U3790" s="320"/>
    </row>
    <row r="3791" spans="1:21" s="1101" customFormat="1" outlineLevel="2">
      <c r="A3791" s="1106"/>
      <c r="B3791" s="1106"/>
      <c r="C3791" s="1116" t="s">
        <v>2007</v>
      </c>
      <c r="D3791" s="1121" t="s">
        <v>489</v>
      </c>
      <c r="E3791" s="1114">
        <v>4600000</v>
      </c>
      <c r="F3791" s="1122"/>
      <c r="G3791" s="1122"/>
      <c r="H3791" s="1122"/>
      <c r="I3791" s="324">
        <f t="shared" si="2648"/>
        <v>4600000</v>
      </c>
      <c r="J3791" s="1122"/>
      <c r="K3791" s="1122"/>
      <c r="L3791" s="317">
        <f t="shared" si="2680"/>
        <v>4600000</v>
      </c>
      <c r="M3791" s="317"/>
      <c r="N3791" s="372">
        <f t="shared" si="2683"/>
        <v>0</v>
      </c>
      <c r="O3791" s="336">
        <f t="shared" si="2671"/>
        <v>5060000</v>
      </c>
      <c r="P3791" s="1131">
        <f t="shared" si="2685"/>
        <v>5566000</v>
      </c>
      <c r="R3791" s="317"/>
      <c r="U3791" s="320"/>
    </row>
    <row r="3792" spans="1:21" s="1107" customFormat="1" outlineLevel="2">
      <c r="A3792" s="1108"/>
      <c r="B3792" s="1108"/>
      <c r="C3792" s="1109">
        <v>2210700</v>
      </c>
      <c r="D3792" s="1110" t="s">
        <v>35</v>
      </c>
      <c r="E3792" s="1111">
        <f>SUM(E3793:E3797)</f>
        <v>12634600</v>
      </c>
      <c r="F3792" s="1111">
        <f t="shared" ref="F3792:P3792" si="2687">SUM(F3793:F3797)</f>
        <v>0</v>
      </c>
      <c r="G3792" s="1111">
        <f t="shared" si="2687"/>
        <v>0</v>
      </c>
      <c r="H3792" s="1111">
        <f t="shared" si="2687"/>
        <v>0</v>
      </c>
      <c r="I3792" s="1111">
        <f t="shared" si="2687"/>
        <v>12634600</v>
      </c>
      <c r="J3792" s="1111">
        <f t="shared" si="2687"/>
        <v>0</v>
      </c>
      <c r="K3792" s="1111">
        <f t="shared" si="2687"/>
        <v>0</v>
      </c>
      <c r="L3792" s="317">
        <f t="shared" si="2680"/>
        <v>12634600</v>
      </c>
      <c r="M3792" s="317"/>
      <c r="N3792" s="372">
        <f t="shared" si="2683"/>
        <v>0</v>
      </c>
      <c r="O3792" s="1111">
        <f t="shared" si="2687"/>
        <v>13898060</v>
      </c>
      <c r="P3792" s="1111">
        <f t="shared" si="2687"/>
        <v>15287866.000000004</v>
      </c>
      <c r="R3792" s="317"/>
      <c r="U3792" s="320"/>
    </row>
    <row r="3793" spans="1:21" s="1101" customFormat="1" outlineLevel="2">
      <c r="A3793" s="1106"/>
      <c r="B3793" s="1106"/>
      <c r="C3793" s="1116">
        <v>2210701</v>
      </c>
      <c r="D3793" s="1117" t="s">
        <v>36</v>
      </c>
      <c r="E3793" s="1114">
        <v>755000</v>
      </c>
      <c r="F3793" s="1118"/>
      <c r="G3793" s="1118"/>
      <c r="H3793" s="1118"/>
      <c r="I3793" s="324">
        <f t="shared" si="2648"/>
        <v>755000</v>
      </c>
      <c r="J3793" s="1118"/>
      <c r="K3793" s="1118"/>
      <c r="L3793" s="317">
        <f t="shared" si="2680"/>
        <v>755000</v>
      </c>
      <c r="M3793" s="317"/>
      <c r="N3793" s="372">
        <f t="shared" si="2683"/>
        <v>0</v>
      </c>
      <c r="O3793" s="336">
        <f t="shared" si="2671"/>
        <v>830500.00000000012</v>
      </c>
      <c r="P3793" s="1108">
        <f t="shared" si="2685"/>
        <v>913550.00000000023</v>
      </c>
      <c r="R3793" s="317"/>
      <c r="U3793" s="320"/>
    </row>
    <row r="3794" spans="1:21" s="1101" customFormat="1" outlineLevel="2">
      <c r="A3794" s="1106"/>
      <c r="B3794" s="1106"/>
      <c r="C3794" s="1116">
        <v>2210704</v>
      </c>
      <c r="D3794" s="1117" t="s">
        <v>38</v>
      </c>
      <c r="E3794" s="1114">
        <v>1000000</v>
      </c>
      <c r="F3794" s="1118"/>
      <c r="G3794" s="1118"/>
      <c r="H3794" s="1118"/>
      <c r="I3794" s="324">
        <f t="shared" si="2648"/>
        <v>1000000</v>
      </c>
      <c r="J3794" s="1118"/>
      <c r="K3794" s="1118"/>
      <c r="L3794" s="317">
        <f t="shared" si="2680"/>
        <v>1000000</v>
      </c>
      <c r="M3794" s="317"/>
      <c r="N3794" s="372">
        <f t="shared" si="2683"/>
        <v>0</v>
      </c>
      <c r="O3794" s="336">
        <f t="shared" si="2671"/>
        <v>1100000</v>
      </c>
      <c r="P3794" s="1108">
        <f t="shared" si="2685"/>
        <v>1210000</v>
      </c>
      <c r="R3794" s="317"/>
      <c r="U3794" s="320"/>
    </row>
    <row r="3795" spans="1:21" s="1101" customFormat="1" outlineLevel="2">
      <c r="A3795" s="1106"/>
      <c r="B3795" s="1106"/>
      <c r="C3795" s="1116">
        <v>2210708</v>
      </c>
      <c r="D3795" s="1117" t="s">
        <v>115</v>
      </c>
      <c r="E3795" s="1114">
        <v>240000</v>
      </c>
      <c r="F3795" s="1118"/>
      <c r="G3795" s="1118"/>
      <c r="H3795" s="1118"/>
      <c r="I3795" s="324">
        <f t="shared" si="2648"/>
        <v>240000</v>
      </c>
      <c r="J3795" s="1118"/>
      <c r="K3795" s="1118"/>
      <c r="L3795" s="317">
        <f t="shared" si="2680"/>
        <v>240000</v>
      </c>
      <c r="M3795" s="317"/>
      <c r="N3795" s="372">
        <f t="shared" si="2683"/>
        <v>0</v>
      </c>
      <c r="O3795" s="336">
        <f t="shared" si="2671"/>
        <v>264000</v>
      </c>
      <c r="P3795" s="1108">
        <f t="shared" si="2685"/>
        <v>290400</v>
      </c>
      <c r="R3795" s="317"/>
      <c r="U3795" s="320"/>
    </row>
    <row r="3796" spans="1:21" s="1101" customFormat="1" outlineLevel="2">
      <c r="A3796" s="1106"/>
      <c r="B3796" s="1106"/>
      <c r="C3796" s="1116">
        <v>2210710</v>
      </c>
      <c r="D3796" s="1117" t="s">
        <v>39</v>
      </c>
      <c r="E3796" s="1114">
        <v>7146000</v>
      </c>
      <c r="F3796" s="1118"/>
      <c r="G3796" s="1118"/>
      <c r="H3796" s="1118"/>
      <c r="I3796" s="324">
        <f t="shared" si="2648"/>
        <v>7146000</v>
      </c>
      <c r="J3796" s="1118"/>
      <c r="K3796" s="1118"/>
      <c r="L3796" s="317">
        <f t="shared" si="2680"/>
        <v>7146000</v>
      </c>
      <c r="M3796" s="317"/>
      <c r="N3796" s="372">
        <f t="shared" si="2683"/>
        <v>0</v>
      </c>
      <c r="O3796" s="336">
        <f t="shared" si="2671"/>
        <v>7860600.0000000009</v>
      </c>
      <c r="P3796" s="1108">
        <f t="shared" si="2685"/>
        <v>8646660.0000000019</v>
      </c>
      <c r="R3796" s="317"/>
      <c r="U3796" s="320"/>
    </row>
    <row r="3797" spans="1:21" s="1101" customFormat="1" outlineLevel="2">
      <c r="A3797" s="1106"/>
      <c r="B3797" s="1106"/>
      <c r="C3797" s="1116">
        <v>2210711</v>
      </c>
      <c r="D3797" s="1117" t="s">
        <v>156</v>
      </c>
      <c r="E3797" s="1114">
        <v>3493600</v>
      </c>
      <c r="F3797" s="1118"/>
      <c r="G3797" s="1118"/>
      <c r="H3797" s="1118"/>
      <c r="I3797" s="324">
        <f t="shared" si="2648"/>
        <v>3493600</v>
      </c>
      <c r="J3797" s="1118"/>
      <c r="K3797" s="1118"/>
      <c r="L3797" s="317">
        <f t="shared" si="2680"/>
        <v>3493600</v>
      </c>
      <c r="M3797" s="317"/>
      <c r="N3797" s="372">
        <f t="shared" si="2683"/>
        <v>0</v>
      </c>
      <c r="O3797" s="336">
        <f t="shared" si="2671"/>
        <v>3842960.0000000005</v>
      </c>
      <c r="P3797" s="1108">
        <f t="shared" si="2685"/>
        <v>4227256.0000000009</v>
      </c>
      <c r="R3797" s="317"/>
      <c r="U3797" s="320"/>
    </row>
    <row r="3798" spans="1:21" s="1107" customFormat="1" outlineLevel="2">
      <c r="A3798" s="1108"/>
      <c r="B3798" s="1108"/>
      <c r="C3798" s="1109">
        <v>2210800</v>
      </c>
      <c r="D3798" s="1110" t="s">
        <v>42</v>
      </c>
      <c r="E3798" s="1111">
        <f>SUM(E3799:E3804)</f>
        <v>22600460</v>
      </c>
      <c r="F3798" s="1111">
        <f t="shared" ref="F3798:P3798" si="2688">SUM(F3799:F3804)</f>
        <v>0</v>
      </c>
      <c r="G3798" s="1111">
        <f t="shared" si="2688"/>
        <v>0</v>
      </c>
      <c r="H3798" s="1111">
        <f t="shared" si="2688"/>
        <v>0</v>
      </c>
      <c r="I3798" s="1111">
        <f t="shared" si="2688"/>
        <v>22600460</v>
      </c>
      <c r="J3798" s="1111">
        <f t="shared" si="2688"/>
        <v>0</v>
      </c>
      <c r="K3798" s="1111">
        <f t="shared" si="2688"/>
        <v>0</v>
      </c>
      <c r="L3798" s="317">
        <f t="shared" si="2680"/>
        <v>22600460</v>
      </c>
      <c r="M3798" s="317"/>
      <c r="N3798" s="372">
        <f t="shared" si="2683"/>
        <v>0</v>
      </c>
      <c r="O3798" s="1111">
        <f t="shared" si="2688"/>
        <v>24860506.000000004</v>
      </c>
      <c r="P3798" s="1111">
        <f t="shared" si="2688"/>
        <v>25652556.600000009</v>
      </c>
      <c r="R3798" s="317"/>
      <c r="U3798" s="320"/>
    </row>
    <row r="3799" spans="1:21" s="1101" customFormat="1" outlineLevel="2">
      <c r="A3799" s="1106"/>
      <c r="B3799" s="1106"/>
      <c r="C3799" s="1116">
        <v>2210801</v>
      </c>
      <c r="D3799" s="1117" t="s">
        <v>2421</v>
      </c>
      <c r="E3799" s="1114">
        <v>14500460</v>
      </c>
      <c r="F3799" s="1118"/>
      <c r="G3799" s="1118"/>
      <c r="H3799" s="1118"/>
      <c r="I3799" s="324">
        <f t="shared" si="2648"/>
        <v>14500460</v>
      </c>
      <c r="J3799" s="1118"/>
      <c r="K3799" s="1118"/>
      <c r="L3799" s="317">
        <f t="shared" si="2680"/>
        <v>14500460</v>
      </c>
      <c r="M3799" s="317"/>
      <c r="N3799" s="372">
        <f t="shared" si="2683"/>
        <v>0</v>
      </c>
      <c r="O3799" s="336">
        <f t="shared" si="2671"/>
        <v>15950506.000000002</v>
      </c>
      <c r="P3799" s="1108">
        <f t="shared" si="2685"/>
        <v>17545556.600000005</v>
      </c>
      <c r="R3799" s="317"/>
      <c r="U3799" s="320"/>
    </row>
    <row r="3800" spans="1:21" s="1101" customFormat="1" outlineLevel="2">
      <c r="A3800" s="1106"/>
      <c r="B3800" s="1106"/>
      <c r="C3800" s="1116">
        <v>2210802</v>
      </c>
      <c r="D3800" s="1117" t="s">
        <v>1286</v>
      </c>
      <c r="E3800" s="1114">
        <v>6500000</v>
      </c>
      <c r="F3800" s="1118"/>
      <c r="G3800" s="1118"/>
      <c r="H3800" s="1118"/>
      <c r="I3800" s="324">
        <f t="shared" ref="I3800:I3862" si="2689">E3800+F3800+G3800+H3800</f>
        <v>6500000</v>
      </c>
      <c r="J3800" s="1118"/>
      <c r="K3800" s="1118"/>
      <c r="L3800" s="317">
        <f t="shared" si="2680"/>
        <v>6500000</v>
      </c>
      <c r="M3800" s="317"/>
      <c r="N3800" s="372">
        <f t="shared" si="2683"/>
        <v>0</v>
      </c>
      <c r="O3800" s="336">
        <f t="shared" si="2671"/>
        <v>7150000.0000000009</v>
      </c>
      <c r="P3800" s="1108">
        <f t="shared" si="2685"/>
        <v>7865000.0000000019</v>
      </c>
      <c r="R3800" s="317"/>
      <c r="U3800" s="320"/>
    </row>
    <row r="3801" spans="1:21" s="1101" customFormat="1" outlineLevel="2">
      <c r="A3801" s="1106"/>
      <c r="B3801" s="1106"/>
      <c r="C3801" s="1116">
        <v>2210804</v>
      </c>
      <c r="D3801" s="1117" t="s">
        <v>1287</v>
      </c>
      <c r="E3801" s="1114"/>
      <c r="F3801" s="1118"/>
      <c r="G3801" s="1118"/>
      <c r="H3801" s="1118"/>
      <c r="I3801" s="324">
        <f t="shared" si="2689"/>
        <v>0</v>
      </c>
      <c r="J3801" s="1118"/>
      <c r="K3801" s="1118"/>
      <c r="L3801" s="317">
        <f t="shared" si="2680"/>
        <v>0</v>
      </c>
      <c r="M3801" s="317"/>
      <c r="N3801" s="372">
        <f t="shared" si="2683"/>
        <v>0</v>
      </c>
      <c r="O3801" s="336">
        <f t="shared" si="2671"/>
        <v>0</v>
      </c>
      <c r="P3801" s="1108">
        <f t="shared" si="2685"/>
        <v>0</v>
      </c>
      <c r="R3801" s="317"/>
      <c r="U3801" s="320"/>
    </row>
    <row r="3802" spans="1:21" s="1101" customFormat="1" outlineLevel="2">
      <c r="A3802" s="1106"/>
      <c r="B3802" s="1106"/>
      <c r="C3802" s="1116" t="s">
        <v>1520</v>
      </c>
      <c r="D3802" s="1125" t="s">
        <v>117</v>
      </c>
      <c r="E3802" s="1114">
        <v>1400000</v>
      </c>
      <c r="F3802" s="1126"/>
      <c r="G3802" s="1126"/>
      <c r="H3802" s="1126"/>
      <c r="I3802" s="324">
        <f t="shared" si="2689"/>
        <v>1400000</v>
      </c>
      <c r="J3802" s="1126"/>
      <c r="K3802" s="1126"/>
      <c r="L3802" s="317">
        <f t="shared" si="2680"/>
        <v>1400000</v>
      </c>
      <c r="M3802" s="317"/>
      <c r="N3802" s="372">
        <f t="shared" si="2683"/>
        <v>0</v>
      </c>
      <c r="O3802" s="336">
        <f t="shared" si="2671"/>
        <v>1540000.0000000002</v>
      </c>
      <c r="P3802" s="1108"/>
      <c r="R3802" s="317"/>
      <c r="U3802" s="320"/>
    </row>
    <row r="3803" spans="1:21" s="1101" customFormat="1" outlineLevel="2">
      <c r="A3803" s="1106"/>
      <c r="B3803" s="1106"/>
      <c r="C3803" s="1116">
        <v>2210808</v>
      </c>
      <c r="D3803" s="1117" t="s">
        <v>44</v>
      </c>
      <c r="E3803" s="1114">
        <v>200000</v>
      </c>
      <c r="F3803" s="1118"/>
      <c r="G3803" s="1118"/>
      <c r="H3803" s="1118"/>
      <c r="I3803" s="324">
        <f t="shared" si="2689"/>
        <v>200000</v>
      </c>
      <c r="J3803" s="1118"/>
      <c r="K3803" s="1118"/>
      <c r="L3803" s="317">
        <f t="shared" si="2680"/>
        <v>200000</v>
      </c>
      <c r="M3803" s="317"/>
      <c r="N3803" s="372">
        <f t="shared" si="2683"/>
        <v>0</v>
      </c>
      <c r="O3803" s="336">
        <f t="shared" si="2671"/>
        <v>220000.00000000003</v>
      </c>
      <c r="P3803" s="1108">
        <f t="shared" si="2685"/>
        <v>242000.00000000006</v>
      </c>
      <c r="R3803" s="317"/>
      <c r="U3803" s="320"/>
    </row>
    <row r="3804" spans="1:21" s="1101" customFormat="1" outlineLevel="2">
      <c r="A3804" s="1106"/>
      <c r="B3804" s="1106"/>
      <c r="C3804" s="1116">
        <v>2210809</v>
      </c>
      <c r="D3804" s="1129" t="s">
        <v>1288</v>
      </c>
      <c r="E3804" s="1114"/>
      <c r="F3804" s="1132"/>
      <c r="G3804" s="1132"/>
      <c r="H3804" s="1132"/>
      <c r="I3804" s="324">
        <f t="shared" si="2689"/>
        <v>0</v>
      </c>
      <c r="J3804" s="1132"/>
      <c r="K3804" s="1132"/>
      <c r="L3804" s="317">
        <f t="shared" si="2680"/>
        <v>0</v>
      </c>
      <c r="M3804" s="317"/>
      <c r="N3804" s="372">
        <f t="shared" si="2683"/>
        <v>0</v>
      </c>
      <c r="O3804" s="336">
        <f t="shared" si="2671"/>
        <v>0</v>
      </c>
      <c r="P3804" s="1108">
        <f t="shared" si="2685"/>
        <v>0</v>
      </c>
      <c r="R3804" s="317"/>
      <c r="U3804" s="320"/>
    </row>
    <row r="3805" spans="1:21" s="1107" customFormat="1" outlineLevel="2">
      <c r="A3805" s="1108"/>
      <c r="B3805" s="1108"/>
      <c r="C3805" s="1109">
        <v>2210900</v>
      </c>
      <c r="D3805" s="1110" t="s">
        <v>46</v>
      </c>
      <c r="E3805" s="1111">
        <f>SUM(E3806:E3810)</f>
        <v>26280440</v>
      </c>
      <c r="F3805" s="1111">
        <f t="shared" ref="F3805:P3805" si="2690">SUM(F3806:F3810)</f>
        <v>0</v>
      </c>
      <c r="G3805" s="1111">
        <f t="shared" si="2690"/>
        <v>0</v>
      </c>
      <c r="H3805" s="1111">
        <f t="shared" si="2690"/>
        <v>0</v>
      </c>
      <c r="I3805" s="1111">
        <f t="shared" si="2690"/>
        <v>26280440</v>
      </c>
      <c r="J3805" s="1111">
        <f t="shared" si="2690"/>
        <v>0</v>
      </c>
      <c r="K3805" s="1111">
        <f t="shared" si="2690"/>
        <v>0</v>
      </c>
      <c r="L3805" s="317">
        <f t="shared" si="2680"/>
        <v>26280440</v>
      </c>
      <c r="M3805" s="317"/>
      <c r="N3805" s="372">
        <f t="shared" si="2683"/>
        <v>0</v>
      </c>
      <c r="O3805" s="1111">
        <f t="shared" si="2690"/>
        <v>28908484</v>
      </c>
      <c r="P3805" s="1111">
        <f t="shared" si="2690"/>
        <v>31799332.400000006</v>
      </c>
      <c r="R3805" s="317"/>
      <c r="U3805" s="320"/>
    </row>
    <row r="3806" spans="1:21" s="1101" customFormat="1" outlineLevel="2">
      <c r="A3806" s="1106"/>
      <c r="B3806" s="1106"/>
      <c r="C3806" s="1120">
        <v>2210901</v>
      </c>
      <c r="D3806" s="1125" t="s">
        <v>668</v>
      </c>
      <c r="E3806" s="1114">
        <v>3000000</v>
      </c>
      <c r="F3806" s="1126"/>
      <c r="G3806" s="1126"/>
      <c r="H3806" s="1126"/>
      <c r="I3806" s="324">
        <f t="shared" si="2689"/>
        <v>3000000</v>
      </c>
      <c r="J3806" s="1126"/>
      <c r="K3806" s="1126"/>
      <c r="L3806" s="317">
        <f t="shared" si="2680"/>
        <v>3000000</v>
      </c>
      <c r="M3806" s="317"/>
      <c r="N3806" s="372">
        <f t="shared" si="2683"/>
        <v>0</v>
      </c>
      <c r="O3806" s="336">
        <f t="shared" si="2671"/>
        <v>3300000.0000000005</v>
      </c>
      <c r="P3806" s="1108">
        <f t="shared" si="2685"/>
        <v>3630000.0000000009</v>
      </c>
      <c r="R3806" s="317"/>
      <c r="U3806" s="320"/>
    </row>
    <row r="3807" spans="1:21" s="1101" customFormat="1" outlineLevel="2">
      <c r="A3807" s="1106"/>
      <c r="B3807" s="1106"/>
      <c r="C3807" s="1116">
        <v>2210902</v>
      </c>
      <c r="D3807" s="1117" t="s">
        <v>1289</v>
      </c>
      <c r="E3807" s="1114">
        <v>530440</v>
      </c>
      <c r="F3807" s="1118"/>
      <c r="G3807" s="1118"/>
      <c r="H3807" s="1118"/>
      <c r="I3807" s="324">
        <f t="shared" si="2689"/>
        <v>530440</v>
      </c>
      <c r="J3807" s="1118"/>
      <c r="K3807" s="1118"/>
      <c r="L3807" s="317">
        <f t="shared" si="2680"/>
        <v>530440</v>
      </c>
      <c r="M3807" s="317"/>
      <c r="N3807" s="372">
        <f t="shared" si="2683"/>
        <v>0</v>
      </c>
      <c r="O3807" s="336">
        <f t="shared" si="2671"/>
        <v>583484</v>
      </c>
      <c r="P3807" s="1108">
        <f t="shared" si="2685"/>
        <v>641832.4</v>
      </c>
      <c r="R3807" s="317"/>
      <c r="U3807" s="320"/>
    </row>
    <row r="3808" spans="1:21" s="1101" customFormat="1" outlineLevel="2">
      <c r="A3808" s="1106"/>
      <c r="B3808" s="1106"/>
      <c r="C3808" s="1116">
        <v>2210903</v>
      </c>
      <c r="D3808" s="1117" t="s">
        <v>491</v>
      </c>
      <c r="E3808" s="1114">
        <v>250000</v>
      </c>
      <c r="F3808" s="1118"/>
      <c r="G3808" s="1118"/>
      <c r="H3808" s="1118"/>
      <c r="I3808" s="324">
        <f t="shared" si="2689"/>
        <v>250000</v>
      </c>
      <c r="J3808" s="1118"/>
      <c r="K3808" s="1118"/>
      <c r="L3808" s="317">
        <f t="shared" si="2680"/>
        <v>250000</v>
      </c>
      <c r="M3808" s="317"/>
      <c r="N3808" s="372">
        <f t="shared" si="2683"/>
        <v>0</v>
      </c>
      <c r="O3808" s="336">
        <f t="shared" si="2671"/>
        <v>275000</v>
      </c>
      <c r="P3808" s="1108">
        <f t="shared" si="2685"/>
        <v>302500</v>
      </c>
      <c r="R3808" s="317"/>
      <c r="U3808" s="320"/>
    </row>
    <row r="3809" spans="1:21" s="1101" customFormat="1" outlineLevel="2">
      <c r="A3809" s="1106"/>
      <c r="B3809" s="1106"/>
      <c r="C3809" s="1116">
        <v>2210904</v>
      </c>
      <c r="D3809" s="1117" t="s">
        <v>158</v>
      </c>
      <c r="E3809" s="1114">
        <v>2500000</v>
      </c>
      <c r="F3809" s="1118"/>
      <c r="G3809" s="1118"/>
      <c r="H3809" s="1118"/>
      <c r="I3809" s="324">
        <f t="shared" si="2689"/>
        <v>2500000</v>
      </c>
      <c r="J3809" s="1118"/>
      <c r="K3809" s="1118"/>
      <c r="L3809" s="317">
        <f t="shared" si="2680"/>
        <v>2500000</v>
      </c>
      <c r="M3809" s="317"/>
      <c r="N3809" s="372">
        <f t="shared" si="2683"/>
        <v>0</v>
      </c>
      <c r="O3809" s="336">
        <f t="shared" si="2671"/>
        <v>2750000</v>
      </c>
      <c r="P3809" s="1108">
        <f t="shared" ref="P3809:P3828" si="2691">O3809*1.1</f>
        <v>3025000.0000000005</v>
      </c>
      <c r="R3809" s="317"/>
      <c r="U3809" s="320"/>
    </row>
    <row r="3810" spans="1:21" s="1101" customFormat="1" outlineLevel="2">
      <c r="A3810" s="1106"/>
      <c r="B3810" s="1106"/>
      <c r="C3810" s="1116">
        <v>2210910</v>
      </c>
      <c r="D3810" s="1117" t="s">
        <v>1290</v>
      </c>
      <c r="E3810" s="1114">
        <v>20000000</v>
      </c>
      <c r="F3810" s="1118"/>
      <c r="G3810" s="1118"/>
      <c r="H3810" s="1118"/>
      <c r="I3810" s="324">
        <f t="shared" si="2689"/>
        <v>20000000</v>
      </c>
      <c r="J3810" s="1118"/>
      <c r="K3810" s="1118"/>
      <c r="L3810" s="317">
        <f t="shared" si="2680"/>
        <v>20000000</v>
      </c>
      <c r="M3810" s="317"/>
      <c r="N3810" s="372">
        <f t="shared" si="2683"/>
        <v>0</v>
      </c>
      <c r="O3810" s="336">
        <f t="shared" si="2671"/>
        <v>22000000</v>
      </c>
      <c r="P3810" s="1108">
        <f t="shared" si="2691"/>
        <v>24200000.000000004</v>
      </c>
      <c r="R3810" s="317"/>
      <c r="U3810" s="320"/>
    </row>
    <row r="3811" spans="1:21" s="1107" customFormat="1" outlineLevel="2">
      <c r="A3811" s="1108"/>
      <c r="B3811" s="1108"/>
      <c r="C3811" s="1109">
        <v>2211000</v>
      </c>
      <c r="D3811" s="1110" t="s">
        <v>118</v>
      </c>
      <c r="E3811" s="1111">
        <f>SUM(E3812)</f>
        <v>6460000</v>
      </c>
      <c r="F3811" s="1111">
        <f t="shared" ref="F3811:K3811" si="2692">SUM(F3812)</f>
        <v>0</v>
      </c>
      <c r="G3811" s="1111">
        <f t="shared" si="2692"/>
        <v>0</v>
      </c>
      <c r="H3811" s="1111">
        <f t="shared" si="2692"/>
        <v>0</v>
      </c>
      <c r="I3811" s="1111">
        <f t="shared" si="2692"/>
        <v>6460000</v>
      </c>
      <c r="J3811" s="1111">
        <f t="shared" si="2692"/>
        <v>0</v>
      </c>
      <c r="K3811" s="1111">
        <f t="shared" si="2692"/>
        <v>0</v>
      </c>
      <c r="L3811" s="317">
        <f t="shared" si="2680"/>
        <v>6460000</v>
      </c>
      <c r="M3811" s="317"/>
      <c r="N3811" s="372">
        <f t="shared" si="2683"/>
        <v>0</v>
      </c>
      <c r="O3811" s="1111">
        <f t="shared" ref="O3811:P3811" si="2693">SUM(O3812)</f>
        <v>7106000.0000000009</v>
      </c>
      <c r="P3811" s="1111">
        <f t="shared" si="2693"/>
        <v>7816600.0000000019</v>
      </c>
      <c r="R3811" s="317"/>
      <c r="U3811" s="320"/>
    </row>
    <row r="3812" spans="1:21" s="1101" customFormat="1" outlineLevel="2">
      <c r="A3812" s="1106"/>
      <c r="B3812" s="1106"/>
      <c r="C3812" s="1116">
        <v>2211016</v>
      </c>
      <c r="D3812" s="1117" t="s">
        <v>196</v>
      </c>
      <c r="E3812" s="1114">
        <v>6460000</v>
      </c>
      <c r="F3812" s="1118"/>
      <c r="G3812" s="1118"/>
      <c r="H3812" s="1118"/>
      <c r="I3812" s="324">
        <f t="shared" si="2689"/>
        <v>6460000</v>
      </c>
      <c r="J3812" s="1118"/>
      <c r="K3812" s="1118"/>
      <c r="L3812" s="317">
        <f t="shared" si="2680"/>
        <v>6460000</v>
      </c>
      <c r="M3812" s="317"/>
      <c r="N3812" s="372">
        <f t="shared" si="2683"/>
        <v>0</v>
      </c>
      <c r="O3812" s="336">
        <f t="shared" si="2671"/>
        <v>7106000.0000000009</v>
      </c>
      <c r="P3812" s="1108">
        <f t="shared" si="2691"/>
        <v>7816600.0000000019</v>
      </c>
      <c r="R3812" s="317"/>
      <c r="U3812" s="320"/>
    </row>
    <row r="3813" spans="1:21" s="1107" customFormat="1" outlineLevel="2">
      <c r="A3813" s="1108"/>
      <c r="B3813" s="1108"/>
      <c r="C3813" s="1109">
        <v>2211100</v>
      </c>
      <c r="D3813" s="1110" t="s">
        <v>51</v>
      </c>
      <c r="E3813" s="1111">
        <f>SUM(E3814:E3816)</f>
        <v>12453150</v>
      </c>
      <c r="F3813" s="1111">
        <f t="shared" ref="F3813:P3813" si="2694">SUM(F3814:F3816)</f>
        <v>0</v>
      </c>
      <c r="G3813" s="1111">
        <f t="shared" si="2694"/>
        <v>0</v>
      </c>
      <c r="H3813" s="1111">
        <f t="shared" si="2694"/>
        <v>0</v>
      </c>
      <c r="I3813" s="1111">
        <f t="shared" si="2694"/>
        <v>12453150</v>
      </c>
      <c r="J3813" s="1111">
        <f t="shared" si="2694"/>
        <v>0</v>
      </c>
      <c r="K3813" s="1111">
        <f t="shared" si="2694"/>
        <v>0</v>
      </c>
      <c r="L3813" s="317">
        <f t="shared" si="2680"/>
        <v>12453150</v>
      </c>
      <c r="M3813" s="317"/>
      <c r="N3813" s="372">
        <f t="shared" si="2683"/>
        <v>0</v>
      </c>
      <c r="O3813" s="1111">
        <f t="shared" si="2694"/>
        <v>13698465</v>
      </c>
      <c r="P3813" s="1111">
        <f t="shared" si="2694"/>
        <v>15068311.5</v>
      </c>
      <c r="R3813" s="317"/>
      <c r="U3813" s="320"/>
    </row>
    <row r="3814" spans="1:21" s="1101" customFormat="1" outlineLevel="2">
      <c r="A3814" s="1106"/>
      <c r="B3814" s="1106"/>
      <c r="C3814" s="1116">
        <v>2211101</v>
      </c>
      <c r="D3814" s="1117" t="s">
        <v>289</v>
      </c>
      <c r="E3814" s="1114">
        <v>4522850</v>
      </c>
      <c r="F3814" s="1118"/>
      <c r="G3814" s="1118"/>
      <c r="H3814" s="1118"/>
      <c r="I3814" s="324">
        <f t="shared" si="2689"/>
        <v>4522850</v>
      </c>
      <c r="J3814" s="1118"/>
      <c r="K3814" s="1118"/>
      <c r="L3814" s="317">
        <f t="shared" si="2680"/>
        <v>4522850</v>
      </c>
      <c r="M3814" s="317"/>
      <c r="N3814" s="372">
        <f t="shared" si="2683"/>
        <v>0</v>
      </c>
      <c r="O3814" s="336">
        <f t="shared" si="2671"/>
        <v>4975135</v>
      </c>
      <c r="P3814" s="1108">
        <f t="shared" si="2691"/>
        <v>5472648.5</v>
      </c>
      <c r="R3814" s="317"/>
      <c r="U3814" s="320"/>
    </row>
    <row r="3815" spans="1:21" s="1101" customFormat="1" outlineLevel="2">
      <c r="A3815" s="1106"/>
      <c r="B3815" s="1106"/>
      <c r="C3815" s="1116">
        <v>2211102</v>
      </c>
      <c r="D3815" s="1117" t="s">
        <v>53</v>
      </c>
      <c r="E3815" s="1114">
        <v>4018300</v>
      </c>
      <c r="F3815" s="1118"/>
      <c r="G3815" s="1118"/>
      <c r="H3815" s="1118"/>
      <c r="I3815" s="324">
        <f t="shared" si="2689"/>
        <v>4018300</v>
      </c>
      <c r="J3815" s="1118"/>
      <c r="K3815" s="1118"/>
      <c r="L3815" s="317">
        <f t="shared" si="2680"/>
        <v>4018300</v>
      </c>
      <c r="M3815" s="317"/>
      <c r="N3815" s="372">
        <f t="shared" si="2683"/>
        <v>0</v>
      </c>
      <c r="O3815" s="336">
        <f t="shared" si="2671"/>
        <v>4420130</v>
      </c>
      <c r="P3815" s="1108">
        <f t="shared" si="2691"/>
        <v>4862143</v>
      </c>
      <c r="R3815" s="317"/>
      <c r="U3815" s="320"/>
    </row>
    <row r="3816" spans="1:21" s="1101" customFormat="1" outlineLevel="2">
      <c r="A3816" s="1106"/>
      <c r="B3816" s="1106"/>
      <c r="C3816" s="1116">
        <v>2211103</v>
      </c>
      <c r="D3816" s="1117" t="s">
        <v>54</v>
      </c>
      <c r="E3816" s="1114">
        <v>3912000</v>
      </c>
      <c r="F3816" s="1118"/>
      <c r="G3816" s="1118"/>
      <c r="H3816" s="1118"/>
      <c r="I3816" s="324">
        <f t="shared" si="2689"/>
        <v>3912000</v>
      </c>
      <c r="J3816" s="1118"/>
      <c r="K3816" s="1118"/>
      <c r="L3816" s="317">
        <f t="shared" si="2680"/>
        <v>3912000</v>
      </c>
      <c r="M3816" s="317"/>
      <c r="N3816" s="372">
        <f t="shared" si="2683"/>
        <v>0</v>
      </c>
      <c r="O3816" s="336">
        <f t="shared" si="2671"/>
        <v>4303200</v>
      </c>
      <c r="P3816" s="1108">
        <f t="shared" si="2691"/>
        <v>4733520</v>
      </c>
      <c r="R3816" s="317"/>
      <c r="U3816" s="320"/>
    </row>
    <row r="3817" spans="1:21" s="1107" customFormat="1" outlineLevel="2">
      <c r="A3817" s="1108"/>
      <c r="B3817" s="1108"/>
      <c r="C3817" s="1109">
        <v>2211200</v>
      </c>
      <c r="D3817" s="1110" t="s">
        <v>55</v>
      </c>
      <c r="E3817" s="1111">
        <f>SUM(E3818)</f>
        <v>9024000</v>
      </c>
      <c r="F3817" s="1111">
        <f t="shared" ref="F3817:K3817" si="2695">SUM(F3818)</f>
        <v>0</v>
      </c>
      <c r="G3817" s="1111">
        <f t="shared" si="2695"/>
        <v>0</v>
      </c>
      <c r="H3817" s="1111">
        <f t="shared" si="2695"/>
        <v>0</v>
      </c>
      <c r="I3817" s="1111">
        <f t="shared" si="2695"/>
        <v>9024000</v>
      </c>
      <c r="J3817" s="1111">
        <f t="shared" si="2695"/>
        <v>0</v>
      </c>
      <c r="K3817" s="1111">
        <f t="shared" si="2695"/>
        <v>0</v>
      </c>
      <c r="L3817" s="317">
        <f t="shared" si="2680"/>
        <v>9024000</v>
      </c>
      <c r="M3817" s="317"/>
      <c r="N3817" s="372">
        <f t="shared" si="2683"/>
        <v>0</v>
      </c>
      <c r="O3817" s="1111">
        <f t="shared" ref="O3817:P3817" si="2696">SUM(O3818)</f>
        <v>9926400</v>
      </c>
      <c r="P3817" s="1111">
        <f t="shared" si="2696"/>
        <v>10919040</v>
      </c>
      <c r="R3817" s="317"/>
      <c r="U3817" s="320"/>
    </row>
    <row r="3818" spans="1:21" s="1101" customFormat="1" outlineLevel="2">
      <c r="A3818" s="1106"/>
      <c r="B3818" s="1106"/>
      <c r="C3818" s="1116">
        <v>2211201</v>
      </c>
      <c r="D3818" s="1117" t="s">
        <v>56</v>
      </c>
      <c r="E3818" s="1114">
        <v>9024000</v>
      </c>
      <c r="F3818" s="1118"/>
      <c r="G3818" s="1118"/>
      <c r="H3818" s="1118"/>
      <c r="I3818" s="324">
        <f t="shared" si="2689"/>
        <v>9024000</v>
      </c>
      <c r="J3818" s="1118"/>
      <c r="K3818" s="1118"/>
      <c r="L3818" s="317">
        <f t="shared" si="2680"/>
        <v>9024000</v>
      </c>
      <c r="M3818" s="317"/>
      <c r="N3818" s="372">
        <f t="shared" si="2683"/>
        <v>0</v>
      </c>
      <c r="O3818" s="336">
        <f t="shared" si="2671"/>
        <v>9926400</v>
      </c>
      <c r="P3818" s="1108">
        <f t="shared" si="2691"/>
        <v>10919040</v>
      </c>
      <c r="R3818" s="317"/>
      <c r="U3818" s="320"/>
    </row>
    <row r="3819" spans="1:21" s="1107" customFormat="1" outlineLevel="2">
      <c r="A3819" s="1108"/>
      <c r="B3819" s="1108"/>
      <c r="C3819" s="1109">
        <v>2211300</v>
      </c>
      <c r="D3819" s="1110" t="s">
        <v>57</v>
      </c>
      <c r="E3819" s="1111">
        <f>SUM(E3820:E3826)</f>
        <v>16933400</v>
      </c>
      <c r="F3819" s="1111">
        <f t="shared" ref="F3819:K3819" si="2697">SUM(F3820:F3826)</f>
        <v>0</v>
      </c>
      <c r="G3819" s="1111">
        <f t="shared" si="2697"/>
        <v>0</v>
      </c>
      <c r="H3819" s="1111">
        <f t="shared" si="2697"/>
        <v>0</v>
      </c>
      <c r="I3819" s="1111">
        <f t="shared" si="2697"/>
        <v>16933400</v>
      </c>
      <c r="J3819" s="1111">
        <f t="shared" si="2697"/>
        <v>0</v>
      </c>
      <c r="K3819" s="1111">
        <f t="shared" si="2697"/>
        <v>0</v>
      </c>
      <c r="L3819" s="317">
        <f t="shared" si="2680"/>
        <v>16933400</v>
      </c>
      <c r="M3819" s="317"/>
      <c r="N3819" s="372">
        <f t="shared" si="2683"/>
        <v>0</v>
      </c>
      <c r="O3819" s="1111">
        <f t="shared" ref="O3819:P3819" si="2698">SUM(O3820:O3826)</f>
        <v>18626740</v>
      </c>
      <c r="P3819" s="1111">
        <f t="shared" si="2698"/>
        <v>20489414</v>
      </c>
      <c r="R3819" s="317"/>
      <c r="U3819" s="320"/>
    </row>
    <row r="3820" spans="1:21" s="1101" customFormat="1" outlineLevel="2">
      <c r="A3820" s="1106"/>
      <c r="B3820" s="1106"/>
      <c r="C3820" s="1116">
        <v>2211301</v>
      </c>
      <c r="D3820" s="1117" t="s">
        <v>198</v>
      </c>
      <c r="E3820" s="1114">
        <v>50000</v>
      </c>
      <c r="F3820" s="1118"/>
      <c r="G3820" s="1118"/>
      <c r="H3820" s="1118"/>
      <c r="I3820" s="324">
        <f t="shared" si="2689"/>
        <v>50000</v>
      </c>
      <c r="J3820" s="1118"/>
      <c r="K3820" s="1118"/>
      <c r="L3820" s="317">
        <f t="shared" si="2680"/>
        <v>50000</v>
      </c>
      <c r="M3820" s="317"/>
      <c r="N3820" s="372">
        <f t="shared" si="2683"/>
        <v>0</v>
      </c>
      <c r="O3820" s="336">
        <f t="shared" ref="O3820:O3881" si="2699">L3820*1.1</f>
        <v>55000.000000000007</v>
      </c>
      <c r="P3820" s="1108">
        <f t="shared" si="2691"/>
        <v>60500.000000000015</v>
      </c>
      <c r="R3820" s="317"/>
      <c r="U3820" s="320"/>
    </row>
    <row r="3821" spans="1:21" s="1101" customFormat="1" outlineLevel="2">
      <c r="A3821" s="1106"/>
      <c r="B3821" s="1106"/>
      <c r="C3821" s="1116">
        <v>2211306</v>
      </c>
      <c r="D3821" s="1117" t="s">
        <v>58</v>
      </c>
      <c r="E3821" s="1114">
        <v>1043400</v>
      </c>
      <c r="F3821" s="1118"/>
      <c r="G3821" s="1118"/>
      <c r="H3821" s="1118"/>
      <c r="I3821" s="324">
        <f t="shared" si="2689"/>
        <v>1043400</v>
      </c>
      <c r="J3821" s="1118"/>
      <c r="K3821" s="1118"/>
      <c r="L3821" s="317">
        <f t="shared" si="2680"/>
        <v>1043400</v>
      </c>
      <c r="M3821" s="317"/>
      <c r="N3821" s="372">
        <f t="shared" si="2683"/>
        <v>0</v>
      </c>
      <c r="O3821" s="336">
        <f t="shared" si="2699"/>
        <v>1147740</v>
      </c>
      <c r="P3821" s="1108">
        <f t="shared" si="2691"/>
        <v>1262514</v>
      </c>
      <c r="R3821" s="317"/>
      <c r="U3821" s="320"/>
    </row>
    <row r="3822" spans="1:21" s="1101" customFormat="1" outlineLevel="2">
      <c r="A3822" s="1106"/>
      <c r="B3822" s="1106"/>
      <c r="C3822" s="1116">
        <v>2211308</v>
      </c>
      <c r="D3822" s="1117" t="s">
        <v>1291</v>
      </c>
      <c r="E3822" s="1114">
        <v>10000000</v>
      </c>
      <c r="F3822" s="1118"/>
      <c r="G3822" s="1118"/>
      <c r="H3822" s="1118"/>
      <c r="I3822" s="324">
        <f t="shared" si="2689"/>
        <v>10000000</v>
      </c>
      <c r="J3822" s="1118"/>
      <c r="K3822" s="1118"/>
      <c r="L3822" s="317">
        <f t="shared" si="2680"/>
        <v>10000000</v>
      </c>
      <c r="M3822" s="317"/>
      <c r="N3822" s="372">
        <f t="shared" si="2683"/>
        <v>0</v>
      </c>
      <c r="O3822" s="336">
        <f t="shared" si="2699"/>
        <v>11000000</v>
      </c>
      <c r="P3822" s="1108">
        <f t="shared" si="2691"/>
        <v>12100000.000000002</v>
      </c>
      <c r="R3822" s="317"/>
      <c r="U3822" s="320"/>
    </row>
    <row r="3823" spans="1:21" s="1101" customFormat="1" outlineLevel="2">
      <c r="A3823" s="1106"/>
      <c r="B3823" s="1106"/>
      <c r="C3823" s="1116">
        <v>2211310</v>
      </c>
      <c r="D3823" s="1117" t="s">
        <v>669</v>
      </c>
      <c r="E3823" s="1114">
        <v>2000000</v>
      </c>
      <c r="F3823" s="1118"/>
      <c r="G3823" s="1118"/>
      <c r="H3823" s="1118"/>
      <c r="I3823" s="324">
        <f t="shared" si="2689"/>
        <v>2000000</v>
      </c>
      <c r="J3823" s="1118"/>
      <c r="K3823" s="1118"/>
      <c r="L3823" s="317">
        <f t="shared" si="2680"/>
        <v>2000000</v>
      </c>
      <c r="M3823" s="317"/>
      <c r="N3823" s="372">
        <f t="shared" si="2683"/>
        <v>0</v>
      </c>
      <c r="O3823" s="336">
        <f t="shared" si="2699"/>
        <v>2200000</v>
      </c>
      <c r="P3823" s="1108">
        <f t="shared" si="2691"/>
        <v>2420000</v>
      </c>
      <c r="R3823" s="317"/>
      <c r="U3823" s="320"/>
    </row>
    <row r="3824" spans="1:21" s="1101" customFormat="1" outlineLevel="2">
      <c r="A3824" s="1106"/>
      <c r="B3824" s="1106"/>
      <c r="C3824" s="1116">
        <v>2211313</v>
      </c>
      <c r="D3824" s="1117" t="s">
        <v>214</v>
      </c>
      <c r="E3824" s="1114">
        <v>3840000</v>
      </c>
      <c r="F3824" s="1118"/>
      <c r="G3824" s="1118"/>
      <c r="H3824" s="1118"/>
      <c r="I3824" s="324">
        <f t="shared" si="2689"/>
        <v>3840000</v>
      </c>
      <c r="J3824" s="1118"/>
      <c r="K3824" s="1118"/>
      <c r="L3824" s="317">
        <f t="shared" si="2680"/>
        <v>3840000</v>
      </c>
      <c r="M3824" s="317"/>
      <c r="N3824" s="372">
        <f t="shared" si="2683"/>
        <v>0</v>
      </c>
      <c r="O3824" s="336">
        <f t="shared" si="2699"/>
        <v>4224000</v>
      </c>
      <c r="P3824" s="1108">
        <f t="shared" si="2691"/>
        <v>4646400</v>
      </c>
      <c r="R3824" s="317"/>
      <c r="U3824" s="320"/>
    </row>
    <row r="3825" spans="1:21" s="1101" customFormat="1" outlineLevel="2">
      <c r="A3825" s="1106"/>
      <c r="B3825" s="1106"/>
      <c r="C3825" s="1116">
        <v>2211325</v>
      </c>
      <c r="D3825" s="1117" t="s">
        <v>1292</v>
      </c>
      <c r="E3825" s="1114"/>
      <c r="F3825" s="1118"/>
      <c r="G3825" s="1118"/>
      <c r="H3825" s="1118"/>
      <c r="I3825" s="324">
        <f t="shared" si="2689"/>
        <v>0</v>
      </c>
      <c r="J3825" s="1118"/>
      <c r="K3825" s="1118"/>
      <c r="L3825" s="317">
        <f t="shared" si="2680"/>
        <v>0</v>
      </c>
      <c r="M3825" s="317"/>
      <c r="N3825" s="372">
        <f t="shared" si="2683"/>
        <v>0</v>
      </c>
      <c r="O3825" s="336">
        <f t="shared" si="2699"/>
        <v>0</v>
      </c>
      <c r="P3825" s="1108">
        <f t="shared" si="2691"/>
        <v>0</v>
      </c>
      <c r="R3825" s="317"/>
      <c r="U3825" s="320"/>
    </row>
    <row r="3826" spans="1:21" s="1133" customFormat="1" outlineLevel="2">
      <c r="A3826" s="1131"/>
      <c r="B3826" s="1131"/>
      <c r="C3826" s="1116">
        <v>2211399</v>
      </c>
      <c r="D3826" s="1117" t="s">
        <v>1293</v>
      </c>
      <c r="E3826" s="587"/>
      <c r="F3826" s="1118"/>
      <c r="G3826" s="1118"/>
      <c r="H3826" s="1118"/>
      <c r="I3826" s="324">
        <f t="shared" si="2689"/>
        <v>0</v>
      </c>
      <c r="J3826" s="1118"/>
      <c r="K3826" s="1118"/>
      <c r="L3826" s="317">
        <f t="shared" si="2680"/>
        <v>0</v>
      </c>
      <c r="M3826" s="317"/>
      <c r="N3826" s="372">
        <f t="shared" si="2683"/>
        <v>0</v>
      </c>
      <c r="O3826" s="336">
        <f t="shared" si="2699"/>
        <v>0</v>
      </c>
      <c r="P3826" s="1108">
        <f t="shared" si="2691"/>
        <v>0</v>
      </c>
      <c r="R3826" s="317"/>
      <c r="U3826" s="320"/>
    </row>
    <row r="3827" spans="1:21" s="1107" customFormat="1" outlineLevel="2">
      <c r="A3827" s="1108"/>
      <c r="B3827" s="1108"/>
      <c r="C3827" s="1109">
        <v>2220100</v>
      </c>
      <c r="D3827" s="1110" t="s">
        <v>62</v>
      </c>
      <c r="E3827" s="1111">
        <f>SUM(E3828)</f>
        <v>6000000</v>
      </c>
      <c r="F3827" s="1111">
        <f t="shared" ref="F3827:P3827" si="2700">SUM(F3828)</f>
        <v>0</v>
      </c>
      <c r="G3827" s="1111">
        <f t="shared" si="2700"/>
        <v>0</v>
      </c>
      <c r="H3827" s="1111">
        <f t="shared" si="2700"/>
        <v>0</v>
      </c>
      <c r="I3827" s="1111">
        <f t="shared" si="2700"/>
        <v>6000000</v>
      </c>
      <c r="J3827" s="1111">
        <f t="shared" si="2700"/>
        <v>0</v>
      </c>
      <c r="K3827" s="1111">
        <f t="shared" si="2700"/>
        <v>0</v>
      </c>
      <c r="L3827" s="317">
        <f t="shared" si="2680"/>
        <v>6000000</v>
      </c>
      <c r="M3827" s="317"/>
      <c r="N3827" s="372">
        <f t="shared" si="2683"/>
        <v>0</v>
      </c>
      <c r="O3827" s="1111">
        <f t="shared" si="2700"/>
        <v>6600000.0000000009</v>
      </c>
      <c r="P3827" s="1111">
        <f t="shared" si="2700"/>
        <v>7260000.0000000019</v>
      </c>
      <c r="R3827" s="317"/>
      <c r="U3827" s="320"/>
    </row>
    <row r="3828" spans="1:21" s="1101" customFormat="1" outlineLevel="2">
      <c r="A3828" s="1106"/>
      <c r="B3828" s="1106"/>
      <c r="C3828" s="1116">
        <v>2220101</v>
      </c>
      <c r="D3828" s="1117" t="s">
        <v>200</v>
      </c>
      <c r="E3828" s="1114">
        <v>6000000</v>
      </c>
      <c r="F3828" s="1118"/>
      <c r="G3828" s="1118"/>
      <c r="H3828" s="1118"/>
      <c r="I3828" s="324">
        <f t="shared" si="2689"/>
        <v>6000000</v>
      </c>
      <c r="J3828" s="1118"/>
      <c r="K3828" s="1118"/>
      <c r="L3828" s="317">
        <f t="shared" si="2680"/>
        <v>6000000</v>
      </c>
      <c r="M3828" s="317"/>
      <c r="N3828" s="372">
        <f t="shared" si="2683"/>
        <v>0</v>
      </c>
      <c r="O3828" s="336">
        <f t="shared" si="2699"/>
        <v>6600000.0000000009</v>
      </c>
      <c r="P3828" s="1108">
        <f t="shared" si="2691"/>
        <v>7260000.0000000019</v>
      </c>
      <c r="R3828" s="317"/>
      <c r="U3828" s="320"/>
    </row>
    <row r="3829" spans="1:21" s="1107" customFormat="1" outlineLevel="2">
      <c r="A3829" s="1108"/>
      <c r="B3829" s="1108"/>
      <c r="C3829" s="1109">
        <v>2220200</v>
      </c>
      <c r="D3829" s="1110" t="s">
        <v>124</v>
      </c>
      <c r="E3829" s="1111">
        <f>SUM(E3830:E3832)</f>
        <v>5000000</v>
      </c>
      <c r="F3829" s="1111">
        <f t="shared" ref="F3829:P3829" si="2701">SUM(F3830:F3832)</f>
        <v>0</v>
      </c>
      <c r="G3829" s="1111">
        <f t="shared" si="2701"/>
        <v>0</v>
      </c>
      <c r="H3829" s="1111">
        <f t="shared" si="2701"/>
        <v>0</v>
      </c>
      <c r="I3829" s="1111">
        <f t="shared" si="2701"/>
        <v>5000000</v>
      </c>
      <c r="J3829" s="1111">
        <f t="shared" si="2701"/>
        <v>0</v>
      </c>
      <c r="K3829" s="1111">
        <f t="shared" si="2701"/>
        <v>0</v>
      </c>
      <c r="L3829" s="317">
        <f t="shared" si="2680"/>
        <v>5000000</v>
      </c>
      <c r="M3829" s="317"/>
      <c r="N3829" s="372">
        <f t="shared" si="2683"/>
        <v>0</v>
      </c>
      <c r="O3829" s="1111">
        <f t="shared" si="2701"/>
        <v>5500000.0000000009</v>
      </c>
      <c r="P3829" s="1111">
        <f t="shared" si="2701"/>
        <v>6050000.0000000019</v>
      </c>
      <c r="R3829" s="317"/>
      <c r="U3829" s="320"/>
    </row>
    <row r="3830" spans="1:21" s="1101" customFormat="1" outlineLevel="2">
      <c r="A3830" s="1106"/>
      <c r="B3830" s="1106"/>
      <c r="C3830" s="1116">
        <v>2220201</v>
      </c>
      <c r="D3830" s="1117" t="s">
        <v>259</v>
      </c>
      <c r="E3830" s="1114">
        <v>3000000</v>
      </c>
      <c r="F3830" s="1118"/>
      <c r="G3830" s="1118"/>
      <c r="H3830" s="1118"/>
      <c r="I3830" s="324">
        <f t="shared" si="2689"/>
        <v>3000000</v>
      </c>
      <c r="J3830" s="1118"/>
      <c r="K3830" s="1118"/>
      <c r="L3830" s="317">
        <f t="shared" si="2680"/>
        <v>3000000</v>
      </c>
      <c r="M3830" s="317"/>
      <c r="N3830" s="372">
        <f t="shared" si="2683"/>
        <v>0</v>
      </c>
      <c r="O3830" s="336">
        <f t="shared" si="2699"/>
        <v>3300000.0000000005</v>
      </c>
      <c r="P3830" s="1108">
        <f t="shared" ref="P3830:P3852" si="2702">O3830*1.1</f>
        <v>3630000.0000000009</v>
      </c>
      <c r="R3830" s="317"/>
      <c r="U3830" s="320"/>
    </row>
    <row r="3831" spans="1:21" s="1101" customFormat="1" outlineLevel="2">
      <c r="A3831" s="1106"/>
      <c r="B3831" s="1106"/>
      <c r="C3831" s="1116">
        <v>2220202</v>
      </c>
      <c r="D3831" s="1117" t="s">
        <v>87</v>
      </c>
      <c r="E3831" s="1114">
        <v>500000</v>
      </c>
      <c r="F3831" s="1118"/>
      <c r="G3831" s="1118"/>
      <c r="H3831" s="1118"/>
      <c r="I3831" s="324">
        <f t="shared" si="2689"/>
        <v>500000</v>
      </c>
      <c r="J3831" s="1118"/>
      <c r="K3831" s="1118"/>
      <c r="L3831" s="317">
        <f t="shared" si="2680"/>
        <v>500000</v>
      </c>
      <c r="M3831" s="317"/>
      <c r="N3831" s="372">
        <f t="shared" si="2683"/>
        <v>0</v>
      </c>
      <c r="O3831" s="336">
        <f t="shared" si="2699"/>
        <v>550000</v>
      </c>
      <c r="P3831" s="1108">
        <f t="shared" si="2702"/>
        <v>605000</v>
      </c>
      <c r="R3831" s="317"/>
      <c r="U3831" s="320"/>
    </row>
    <row r="3832" spans="1:21" s="1133" customFormat="1" outlineLevel="2">
      <c r="A3832" s="1131"/>
      <c r="B3832" s="1131"/>
      <c r="C3832" s="1134">
        <v>2220205</v>
      </c>
      <c r="D3832" s="1131" t="s">
        <v>125</v>
      </c>
      <c r="E3832" s="1114">
        <v>1500000</v>
      </c>
      <c r="F3832" s="587"/>
      <c r="G3832" s="587"/>
      <c r="H3832" s="587"/>
      <c r="I3832" s="324">
        <f t="shared" si="2689"/>
        <v>1500000</v>
      </c>
      <c r="J3832" s="587"/>
      <c r="K3832" s="587"/>
      <c r="L3832" s="317">
        <f t="shared" si="2680"/>
        <v>1500000</v>
      </c>
      <c r="M3832" s="317"/>
      <c r="N3832" s="372">
        <f t="shared" si="2683"/>
        <v>0</v>
      </c>
      <c r="O3832" s="336">
        <f t="shared" si="2699"/>
        <v>1650000.0000000002</v>
      </c>
      <c r="P3832" s="1108">
        <f t="shared" si="2702"/>
        <v>1815000.0000000005</v>
      </c>
      <c r="R3832" s="317"/>
      <c r="U3832" s="320"/>
    </row>
    <row r="3833" spans="1:21" s="1107" customFormat="1" outlineLevel="2">
      <c r="A3833" s="1108"/>
      <c r="B3833" s="1108"/>
      <c r="C3833" s="1109">
        <v>2710100</v>
      </c>
      <c r="D3833" s="1110" t="s">
        <v>1294</v>
      </c>
      <c r="E3833" s="1135">
        <f>E3835+E3834</f>
        <v>619103</v>
      </c>
      <c r="F3833" s="1135">
        <f t="shared" ref="F3833:K3833" si="2703">F3835+F3834</f>
        <v>0</v>
      </c>
      <c r="G3833" s="1135">
        <f t="shared" si="2703"/>
        <v>0</v>
      </c>
      <c r="H3833" s="1135">
        <f t="shared" si="2703"/>
        <v>0</v>
      </c>
      <c r="I3833" s="1135">
        <f t="shared" si="2703"/>
        <v>619103</v>
      </c>
      <c r="J3833" s="1135">
        <f t="shared" si="2703"/>
        <v>0</v>
      </c>
      <c r="K3833" s="1135">
        <f t="shared" si="2703"/>
        <v>0</v>
      </c>
      <c r="L3833" s="317">
        <f t="shared" si="2680"/>
        <v>619103</v>
      </c>
      <c r="M3833" s="317"/>
      <c r="N3833" s="372">
        <f t="shared" si="2683"/>
        <v>0</v>
      </c>
      <c r="O3833" s="1135">
        <f t="shared" ref="O3833:P3833" si="2704">O3835+O3834</f>
        <v>681013.3</v>
      </c>
      <c r="P3833" s="1135">
        <f t="shared" si="2704"/>
        <v>749114.63000000012</v>
      </c>
      <c r="R3833" s="317"/>
      <c r="U3833" s="320"/>
    </row>
    <row r="3834" spans="1:21" s="1133" customFormat="1" outlineLevel="2">
      <c r="A3834" s="1131"/>
      <c r="B3834" s="1131"/>
      <c r="C3834" s="774">
        <v>2710102</v>
      </c>
      <c r="D3834" s="1136" t="s">
        <v>1295</v>
      </c>
      <c r="E3834" s="1137">
        <v>619103</v>
      </c>
      <c r="F3834" s="647"/>
      <c r="G3834" s="647"/>
      <c r="H3834" s="647"/>
      <c r="I3834" s="324">
        <f t="shared" si="2689"/>
        <v>619103</v>
      </c>
      <c r="J3834" s="647"/>
      <c r="K3834" s="647"/>
      <c r="L3834" s="317">
        <f t="shared" si="2680"/>
        <v>619103</v>
      </c>
      <c r="M3834" s="317"/>
      <c r="N3834" s="372">
        <f t="shared" si="2683"/>
        <v>0</v>
      </c>
      <c r="O3834" s="336">
        <f t="shared" si="2699"/>
        <v>681013.3</v>
      </c>
      <c r="P3834" s="1108">
        <f t="shared" si="2702"/>
        <v>749114.63000000012</v>
      </c>
      <c r="R3834" s="317"/>
      <c r="U3834" s="320"/>
    </row>
    <row r="3835" spans="1:21" s="1133" customFormat="1" outlineLevel="2">
      <c r="A3835" s="1131"/>
      <c r="B3835" s="1131"/>
      <c r="C3835" s="774">
        <v>2710103</v>
      </c>
      <c r="D3835" s="1136" t="s">
        <v>1296</v>
      </c>
      <c r="E3835" s="1137"/>
      <c r="F3835" s="647"/>
      <c r="G3835" s="647"/>
      <c r="H3835" s="647"/>
      <c r="I3835" s="324">
        <f t="shared" si="2689"/>
        <v>0</v>
      </c>
      <c r="J3835" s="647"/>
      <c r="K3835" s="647"/>
      <c r="L3835" s="317">
        <f t="shared" si="2680"/>
        <v>0</v>
      </c>
      <c r="M3835" s="317"/>
      <c r="N3835" s="372">
        <f t="shared" si="2683"/>
        <v>0</v>
      </c>
      <c r="O3835" s="336">
        <f t="shared" si="2699"/>
        <v>0</v>
      </c>
      <c r="P3835" s="1108">
        <f t="shared" si="2702"/>
        <v>0</v>
      </c>
      <c r="R3835" s="317"/>
      <c r="U3835" s="320"/>
    </row>
    <row r="3836" spans="1:21" s="1107" customFormat="1" outlineLevel="2">
      <c r="A3836" s="1108"/>
      <c r="B3836" s="1108"/>
      <c r="C3836" s="771" t="s">
        <v>2008</v>
      </c>
      <c r="D3836" s="1110" t="s">
        <v>2010</v>
      </c>
      <c r="E3836" s="1138">
        <f>E3837</f>
        <v>12559902</v>
      </c>
      <c r="F3836" s="1138">
        <f t="shared" ref="F3836:K3836" si="2705">F3837</f>
        <v>0</v>
      </c>
      <c r="G3836" s="1138">
        <f t="shared" si="2705"/>
        <v>0</v>
      </c>
      <c r="H3836" s="1138">
        <f t="shared" si="2705"/>
        <v>0</v>
      </c>
      <c r="I3836" s="1138">
        <f t="shared" si="2705"/>
        <v>12559902</v>
      </c>
      <c r="J3836" s="1138">
        <f t="shared" si="2705"/>
        <v>0</v>
      </c>
      <c r="K3836" s="1138">
        <f t="shared" si="2705"/>
        <v>0</v>
      </c>
      <c r="L3836" s="317">
        <f t="shared" si="2680"/>
        <v>12559902</v>
      </c>
      <c r="M3836" s="317"/>
      <c r="N3836" s="372">
        <f t="shared" si="2683"/>
        <v>0</v>
      </c>
      <c r="O3836" s="1138">
        <f t="shared" ref="O3836:P3836" si="2706">O3837</f>
        <v>13815892.200000001</v>
      </c>
      <c r="P3836" s="1138">
        <f t="shared" si="2706"/>
        <v>15197481.420000002</v>
      </c>
      <c r="R3836" s="317"/>
      <c r="U3836" s="320"/>
    </row>
    <row r="3837" spans="1:21" s="1133" customFormat="1" outlineLevel="2">
      <c r="A3837" s="1131"/>
      <c r="B3837" s="1131"/>
      <c r="C3837" s="774" t="s">
        <v>2009</v>
      </c>
      <c r="D3837" s="1136" t="s">
        <v>2011</v>
      </c>
      <c r="E3837" s="1137">
        <v>12559902</v>
      </c>
      <c r="F3837" s="647"/>
      <c r="G3837" s="647"/>
      <c r="H3837" s="647"/>
      <c r="I3837" s="324">
        <f t="shared" si="2689"/>
        <v>12559902</v>
      </c>
      <c r="J3837" s="647"/>
      <c r="K3837" s="647"/>
      <c r="L3837" s="317">
        <f t="shared" si="2680"/>
        <v>12559902</v>
      </c>
      <c r="M3837" s="317"/>
      <c r="N3837" s="372">
        <f t="shared" si="2683"/>
        <v>0</v>
      </c>
      <c r="O3837" s="336">
        <f t="shared" si="2699"/>
        <v>13815892.200000001</v>
      </c>
      <c r="P3837" s="1108">
        <f t="shared" si="2702"/>
        <v>15197481.420000002</v>
      </c>
      <c r="R3837" s="317"/>
      <c r="U3837" s="320"/>
    </row>
    <row r="3838" spans="1:21" s="1107" customFormat="1" outlineLevel="2">
      <c r="A3838" s="1108"/>
      <c r="B3838" s="1108"/>
      <c r="C3838" s="771" t="s">
        <v>2012</v>
      </c>
      <c r="D3838" s="1110" t="s">
        <v>65</v>
      </c>
      <c r="E3838" s="1138">
        <f>E3839</f>
        <v>9000000</v>
      </c>
      <c r="F3838" s="1138">
        <f t="shared" ref="F3838:P3838" si="2707">F3839</f>
        <v>0</v>
      </c>
      <c r="G3838" s="1138">
        <f t="shared" si="2707"/>
        <v>0</v>
      </c>
      <c r="H3838" s="1138">
        <f t="shared" si="2707"/>
        <v>0</v>
      </c>
      <c r="I3838" s="1138">
        <f t="shared" si="2707"/>
        <v>9000000</v>
      </c>
      <c r="J3838" s="1138">
        <f t="shared" si="2707"/>
        <v>0</v>
      </c>
      <c r="K3838" s="1138">
        <f t="shared" si="2707"/>
        <v>0</v>
      </c>
      <c r="L3838" s="317">
        <f t="shared" si="2680"/>
        <v>9000000</v>
      </c>
      <c r="M3838" s="317"/>
      <c r="N3838" s="372">
        <f t="shared" si="2683"/>
        <v>0</v>
      </c>
      <c r="O3838" s="1138">
        <f t="shared" si="2707"/>
        <v>9900000</v>
      </c>
      <c r="P3838" s="1138">
        <f t="shared" si="2707"/>
        <v>10890000</v>
      </c>
      <c r="R3838" s="317"/>
      <c r="U3838" s="320"/>
    </row>
    <row r="3839" spans="1:21" s="1133" customFormat="1" outlineLevel="2">
      <c r="A3839" s="1131"/>
      <c r="B3839" s="1131"/>
      <c r="C3839" s="774" t="s">
        <v>2013</v>
      </c>
      <c r="D3839" s="1125" t="s">
        <v>140</v>
      </c>
      <c r="E3839" s="1137">
        <v>9000000</v>
      </c>
      <c r="F3839" s="1126"/>
      <c r="G3839" s="1126"/>
      <c r="H3839" s="1126"/>
      <c r="I3839" s="324">
        <f t="shared" si="2689"/>
        <v>9000000</v>
      </c>
      <c r="J3839" s="1126"/>
      <c r="K3839" s="1126"/>
      <c r="L3839" s="317">
        <f t="shared" si="2680"/>
        <v>9000000</v>
      </c>
      <c r="M3839" s="317"/>
      <c r="N3839" s="372">
        <f t="shared" si="2683"/>
        <v>0</v>
      </c>
      <c r="O3839" s="336">
        <f t="shared" si="2699"/>
        <v>9900000</v>
      </c>
      <c r="P3839" s="1108">
        <f t="shared" si="2702"/>
        <v>10890000</v>
      </c>
      <c r="R3839" s="317"/>
      <c r="U3839" s="320"/>
    </row>
    <row r="3840" spans="1:21" s="1107" customFormat="1" outlineLevel="2">
      <c r="A3840" s="1108"/>
      <c r="B3840" s="1108"/>
      <c r="C3840" s="1109">
        <v>3111000</v>
      </c>
      <c r="D3840" s="1110" t="s">
        <v>69</v>
      </c>
      <c r="E3840" s="1111">
        <f>SUM(E3841:E3843)</f>
        <v>5268390</v>
      </c>
      <c r="F3840" s="1111">
        <f t="shared" ref="F3840:P3840" si="2708">SUM(F3841:F3843)</f>
        <v>0</v>
      </c>
      <c r="G3840" s="1111">
        <f t="shared" si="2708"/>
        <v>0</v>
      </c>
      <c r="H3840" s="1111">
        <f t="shared" si="2708"/>
        <v>0</v>
      </c>
      <c r="I3840" s="1111">
        <f t="shared" si="2708"/>
        <v>5268390</v>
      </c>
      <c r="J3840" s="1111">
        <f t="shared" si="2708"/>
        <v>0</v>
      </c>
      <c r="K3840" s="1111">
        <f t="shared" si="2708"/>
        <v>0</v>
      </c>
      <c r="L3840" s="317">
        <f t="shared" si="2680"/>
        <v>5268390</v>
      </c>
      <c r="M3840" s="317"/>
      <c r="N3840" s="372">
        <f t="shared" si="2683"/>
        <v>0</v>
      </c>
      <c r="O3840" s="1111">
        <f t="shared" si="2708"/>
        <v>5795229</v>
      </c>
      <c r="P3840" s="1111">
        <f t="shared" si="2708"/>
        <v>6374751.9000000013</v>
      </c>
      <c r="R3840" s="317"/>
      <c r="U3840" s="320"/>
    </row>
    <row r="3841" spans="1:21" s="1101" customFormat="1" outlineLevel="2">
      <c r="A3841" s="1106"/>
      <c r="B3841" s="1106"/>
      <c r="C3841" s="1116">
        <v>3111001</v>
      </c>
      <c r="D3841" s="1117" t="s">
        <v>70</v>
      </c>
      <c r="E3841" s="1114">
        <v>591720</v>
      </c>
      <c r="F3841" s="1118"/>
      <c r="G3841" s="1118"/>
      <c r="H3841" s="1118"/>
      <c r="I3841" s="324">
        <f t="shared" si="2689"/>
        <v>591720</v>
      </c>
      <c r="J3841" s="1118"/>
      <c r="K3841" s="1118"/>
      <c r="L3841" s="317">
        <f t="shared" si="2680"/>
        <v>591720</v>
      </c>
      <c r="M3841" s="317"/>
      <c r="N3841" s="372">
        <f t="shared" si="2683"/>
        <v>0</v>
      </c>
      <c r="O3841" s="336">
        <f t="shared" si="2699"/>
        <v>650892</v>
      </c>
      <c r="P3841" s="1108">
        <f t="shared" si="2702"/>
        <v>715981.20000000007</v>
      </c>
      <c r="R3841" s="317"/>
      <c r="U3841" s="320"/>
    </row>
    <row r="3842" spans="1:21" s="1101" customFormat="1" outlineLevel="2">
      <c r="A3842" s="1106"/>
      <c r="B3842" s="1106"/>
      <c r="C3842" s="1116">
        <v>3111002</v>
      </c>
      <c r="D3842" s="1117" t="s">
        <v>71</v>
      </c>
      <c r="E3842" s="1114">
        <v>1631670</v>
      </c>
      <c r="F3842" s="1118"/>
      <c r="G3842" s="1118"/>
      <c r="H3842" s="1118"/>
      <c r="I3842" s="324">
        <f t="shared" si="2689"/>
        <v>1631670</v>
      </c>
      <c r="J3842" s="1118"/>
      <c r="K3842" s="1118"/>
      <c r="L3842" s="317">
        <f t="shared" si="2680"/>
        <v>1631670</v>
      </c>
      <c r="M3842" s="317"/>
      <c r="N3842" s="372">
        <f t="shared" si="2683"/>
        <v>0</v>
      </c>
      <c r="O3842" s="336">
        <f t="shared" si="2699"/>
        <v>1794837.0000000002</v>
      </c>
      <c r="P3842" s="1108">
        <f t="shared" si="2702"/>
        <v>1974320.7000000004</v>
      </c>
      <c r="R3842" s="317"/>
      <c r="U3842" s="320"/>
    </row>
    <row r="3843" spans="1:21" s="1101" customFormat="1" outlineLevel="2">
      <c r="A3843" s="1106"/>
      <c r="B3843" s="1106"/>
      <c r="C3843" s="1116">
        <v>3111009</v>
      </c>
      <c r="D3843" s="1117" t="s">
        <v>253</v>
      </c>
      <c r="E3843" s="1114">
        <v>3045000</v>
      </c>
      <c r="F3843" s="1118"/>
      <c r="G3843" s="1118"/>
      <c r="H3843" s="1118"/>
      <c r="I3843" s="324">
        <f t="shared" si="2689"/>
        <v>3045000</v>
      </c>
      <c r="J3843" s="1118"/>
      <c r="K3843" s="1118"/>
      <c r="L3843" s="317">
        <f t="shared" si="2680"/>
        <v>3045000</v>
      </c>
      <c r="M3843" s="317"/>
      <c r="N3843" s="372">
        <f t="shared" si="2683"/>
        <v>0</v>
      </c>
      <c r="O3843" s="336">
        <f t="shared" si="2699"/>
        <v>3349500.0000000005</v>
      </c>
      <c r="P3843" s="1108">
        <f t="shared" si="2702"/>
        <v>3684450.0000000009</v>
      </c>
      <c r="R3843" s="317"/>
      <c r="U3843" s="320"/>
    </row>
    <row r="3844" spans="1:21" s="1107" customFormat="1" outlineLevel="2">
      <c r="A3844" s="1108"/>
      <c r="B3844" s="1108"/>
      <c r="C3844" s="1109">
        <v>3111100</v>
      </c>
      <c r="D3844" s="1110" t="s">
        <v>73</v>
      </c>
      <c r="E3844" s="1111">
        <f>SUM(E3845:E3847)</f>
        <v>5500000</v>
      </c>
      <c r="F3844" s="1111">
        <f t="shared" ref="F3844:P3844" si="2709">SUM(F3845:F3847)</f>
        <v>0</v>
      </c>
      <c r="G3844" s="1111">
        <f t="shared" si="2709"/>
        <v>0</v>
      </c>
      <c r="H3844" s="1111">
        <f t="shared" si="2709"/>
        <v>0</v>
      </c>
      <c r="I3844" s="1111">
        <f t="shared" si="2709"/>
        <v>5500000</v>
      </c>
      <c r="J3844" s="1111">
        <f t="shared" si="2709"/>
        <v>0</v>
      </c>
      <c r="K3844" s="1111">
        <f t="shared" si="2709"/>
        <v>0</v>
      </c>
      <c r="L3844" s="317">
        <f t="shared" si="2680"/>
        <v>5500000</v>
      </c>
      <c r="M3844" s="317"/>
      <c r="N3844" s="372">
        <f t="shared" si="2683"/>
        <v>0</v>
      </c>
      <c r="O3844" s="1111">
        <f t="shared" si="2709"/>
        <v>6050000</v>
      </c>
      <c r="P3844" s="1111">
        <f t="shared" si="2709"/>
        <v>6655000.0000000009</v>
      </c>
      <c r="R3844" s="317"/>
      <c r="U3844" s="320"/>
    </row>
    <row r="3845" spans="1:21" s="1101" customFormat="1" outlineLevel="2">
      <c r="A3845" s="1106"/>
      <c r="B3845" s="1106"/>
      <c r="C3845" s="1116">
        <v>3111106</v>
      </c>
      <c r="D3845" s="1117" t="s">
        <v>1297</v>
      </c>
      <c r="E3845" s="1114">
        <v>500000</v>
      </c>
      <c r="F3845" s="1118"/>
      <c r="G3845" s="1118"/>
      <c r="H3845" s="1118"/>
      <c r="I3845" s="324">
        <f t="shared" si="2689"/>
        <v>500000</v>
      </c>
      <c r="J3845" s="1118"/>
      <c r="K3845" s="1118"/>
      <c r="L3845" s="317">
        <f t="shared" ref="L3845:L3908" si="2710">I3845+J3845+K3845</f>
        <v>500000</v>
      </c>
      <c r="M3845" s="317"/>
      <c r="N3845" s="372">
        <f t="shared" si="2683"/>
        <v>0</v>
      </c>
      <c r="O3845" s="336">
        <f t="shared" si="2699"/>
        <v>550000</v>
      </c>
      <c r="P3845" s="1108">
        <f t="shared" si="2702"/>
        <v>605000</v>
      </c>
      <c r="R3845" s="317"/>
      <c r="U3845" s="320"/>
    </row>
    <row r="3846" spans="1:21" s="1101" customFormat="1" outlineLevel="2">
      <c r="A3846" s="1106"/>
      <c r="B3846" s="1106"/>
      <c r="C3846" s="1116">
        <v>3111110</v>
      </c>
      <c r="D3846" s="1117" t="s">
        <v>1298</v>
      </c>
      <c r="E3846" s="1114">
        <v>5000000</v>
      </c>
      <c r="F3846" s="1118"/>
      <c r="G3846" s="1118"/>
      <c r="H3846" s="1118"/>
      <c r="I3846" s="324">
        <f t="shared" si="2689"/>
        <v>5000000</v>
      </c>
      <c r="J3846" s="1118"/>
      <c r="K3846" s="1118"/>
      <c r="L3846" s="317">
        <f t="shared" si="2710"/>
        <v>5000000</v>
      </c>
      <c r="M3846" s="317"/>
      <c r="N3846" s="372">
        <f t="shared" si="2683"/>
        <v>0</v>
      </c>
      <c r="O3846" s="336">
        <f t="shared" si="2699"/>
        <v>5500000</v>
      </c>
      <c r="P3846" s="1108">
        <f t="shared" si="2702"/>
        <v>6050000.0000000009</v>
      </c>
      <c r="R3846" s="317"/>
      <c r="U3846" s="320"/>
    </row>
    <row r="3847" spans="1:21" s="1101" customFormat="1" outlineLevel="2">
      <c r="A3847" s="1106"/>
      <c r="B3847" s="1106"/>
      <c r="C3847" s="1116">
        <v>3111111</v>
      </c>
      <c r="D3847" s="1117" t="s">
        <v>1299</v>
      </c>
      <c r="E3847" s="1114"/>
      <c r="F3847" s="1118"/>
      <c r="G3847" s="1118"/>
      <c r="H3847" s="1118"/>
      <c r="I3847" s="324">
        <f t="shared" si="2689"/>
        <v>0</v>
      </c>
      <c r="J3847" s="1118"/>
      <c r="K3847" s="1118"/>
      <c r="L3847" s="317">
        <f t="shared" si="2710"/>
        <v>0</v>
      </c>
      <c r="M3847" s="317"/>
      <c r="N3847" s="372">
        <f t="shared" si="2683"/>
        <v>0</v>
      </c>
      <c r="O3847" s="336">
        <f t="shared" si="2699"/>
        <v>0</v>
      </c>
      <c r="P3847" s="1108">
        <f t="shared" si="2702"/>
        <v>0</v>
      </c>
      <c r="R3847" s="317"/>
      <c r="U3847" s="320"/>
    </row>
    <row r="3848" spans="1:21" s="1139" customFormat="1" outlineLevel="2">
      <c r="A3848" s="1140"/>
      <c r="B3848" s="1140"/>
      <c r="C3848" s="1109">
        <v>7320400</v>
      </c>
      <c r="D3848" s="1141" t="s">
        <v>2073</v>
      </c>
      <c r="E3848" s="1111">
        <f>E3849</f>
        <v>0</v>
      </c>
      <c r="F3848" s="1111">
        <f t="shared" ref="F3848:P3848" si="2711">F3849</f>
        <v>140594663</v>
      </c>
      <c r="G3848" s="1111">
        <f t="shared" si="2711"/>
        <v>0</v>
      </c>
      <c r="H3848" s="1111">
        <f t="shared" si="2711"/>
        <v>0</v>
      </c>
      <c r="I3848" s="1111">
        <f t="shared" si="2711"/>
        <v>140594663</v>
      </c>
      <c r="J3848" s="1111">
        <f t="shared" si="2711"/>
        <v>-116510437</v>
      </c>
      <c r="K3848" s="1111">
        <f t="shared" si="2711"/>
        <v>0</v>
      </c>
      <c r="L3848" s="317">
        <f t="shared" si="2710"/>
        <v>24084226</v>
      </c>
      <c r="M3848" s="317"/>
      <c r="N3848" s="372">
        <f t="shared" si="2683"/>
        <v>0</v>
      </c>
      <c r="O3848" s="1111">
        <f t="shared" si="2711"/>
        <v>26492648.600000001</v>
      </c>
      <c r="P3848" s="1111">
        <f t="shared" si="2711"/>
        <v>29141913.460000005</v>
      </c>
      <c r="R3848" s="317"/>
      <c r="U3848" s="320"/>
    </row>
    <row r="3849" spans="1:21" s="1133" customFormat="1" outlineLevel="2">
      <c r="A3849" s="1131"/>
      <c r="B3849" s="1131"/>
      <c r="C3849" s="1116">
        <v>7320401</v>
      </c>
      <c r="D3849" s="1117" t="s">
        <v>2073</v>
      </c>
      <c r="E3849" s="1114">
        <v>0</v>
      </c>
      <c r="F3849" s="1137">
        <v>140594663</v>
      </c>
      <c r="G3849" s="1118"/>
      <c r="H3849" s="1118"/>
      <c r="I3849" s="324">
        <f t="shared" si="2689"/>
        <v>140594663</v>
      </c>
      <c r="J3849" s="1118">
        <v>-116510437</v>
      </c>
      <c r="K3849" s="1118"/>
      <c r="L3849" s="317">
        <f t="shared" si="2710"/>
        <v>24084226</v>
      </c>
      <c r="M3849" s="317"/>
      <c r="N3849" s="372">
        <f t="shared" ref="N3849:N3912" si="2712">M3849-K3849</f>
        <v>0</v>
      </c>
      <c r="O3849" s="336">
        <f t="shared" si="2699"/>
        <v>26492648.600000001</v>
      </c>
      <c r="P3849" s="1108">
        <f t="shared" si="2702"/>
        <v>29141913.460000005</v>
      </c>
      <c r="R3849" s="317"/>
      <c r="U3849" s="320" t="s">
        <v>1803</v>
      </c>
    </row>
    <row r="3850" spans="1:21" s="1101" customFormat="1" outlineLevel="1">
      <c r="A3850" s="1106"/>
      <c r="B3850" s="1106"/>
      <c r="C3850" s="1130" t="s">
        <v>1309</v>
      </c>
      <c r="D3850" s="1142"/>
      <c r="E3850" s="789">
        <f>SUM(E3764,E3771,E3774,E3777,E3782,E3786,E3792,E3798,E3805,E3811,E3813,E3817,E3819,E3827,E3829,E3833,E3840,E3844,E3767,E3848,E3838,E3790,E3769,E3836)</f>
        <v>383550294</v>
      </c>
      <c r="F3850" s="789">
        <f t="shared" ref="F3850:K3850" si="2713">SUM(F3764,F3771,F3774,F3777,F3782,F3786,F3792,F3798,F3805,F3811,F3813,F3817,F3819,F3827,F3829,F3833,F3840,F3844,F3767,F3848,F3838,F3790,F3769,F3836)</f>
        <v>184052997</v>
      </c>
      <c r="G3850" s="789">
        <f t="shared" si="2713"/>
        <v>0</v>
      </c>
      <c r="H3850" s="789">
        <f t="shared" si="2713"/>
        <v>0</v>
      </c>
      <c r="I3850" s="789">
        <f t="shared" si="2713"/>
        <v>567603291</v>
      </c>
      <c r="J3850" s="789">
        <f t="shared" si="2713"/>
        <v>-116510437</v>
      </c>
      <c r="K3850" s="789">
        <f t="shared" si="2713"/>
        <v>0</v>
      </c>
      <c r="L3850" s="317">
        <f t="shared" si="2710"/>
        <v>451092854</v>
      </c>
      <c r="M3850" s="317"/>
      <c r="N3850" s="372">
        <f t="shared" si="2712"/>
        <v>0</v>
      </c>
      <c r="O3850" s="789">
        <f t="shared" ref="O3850:P3850" si="2714">SUM(O3764,O3771,O3774,O3777,O3782,O3786,O3792,O3798,O3805,O3811,O3813,O3817,O3819,O3827,O3829,O3833,O3840,O3844,O3767,O3848,O3838,O3790,O3769,O3836)</f>
        <v>496202139.4000001</v>
      </c>
      <c r="P3850" s="789">
        <f t="shared" si="2714"/>
        <v>542676353.34000003</v>
      </c>
      <c r="R3850" s="317"/>
      <c r="U3850" s="320"/>
    </row>
    <row r="3851" spans="1:21" s="1101" customFormat="1" outlineLevel="1">
      <c r="A3851" s="1106"/>
      <c r="B3851" s="1106"/>
      <c r="C3851" s="1134"/>
      <c r="D3851" s="1142"/>
      <c r="E3851" s="789"/>
      <c r="F3851" s="1143"/>
      <c r="G3851" s="1143"/>
      <c r="H3851" s="1143"/>
      <c r="I3851" s="324">
        <f t="shared" si="2689"/>
        <v>0</v>
      </c>
      <c r="J3851" s="1143"/>
      <c r="K3851" s="1143"/>
      <c r="L3851" s="317">
        <f t="shared" si="2710"/>
        <v>0</v>
      </c>
      <c r="M3851" s="317"/>
      <c r="N3851" s="372">
        <f t="shared" si="2712"/>
        <v>0</v>
      </c>
      <c r="O3851" s="336">
        <f t="shared" si="2699"/>
        <v>0</v>
      </c>
      <c r="P3851" s="1108">
        <f t="shared" si="2702"/>
        <v>0</v>
      </c>
      <c r="R3851" s="317"/>
      <c r="U3851" s="320"/>
    </row>
    <row r="3852" spans="1:21" s="1101" customFormat="1" outlineLevel="1">
      <c r="A3852" s="1106"/>
      <c r="B3852" s="1106"/>
      <c r="C3852" s="1134"/>
      <c r="D3852" s="1131"/>
      <c r="E3852" s="587"/>
      <c r="F3852" s="587"/>
      <c r="G3852" s="587"/>
      <c r="H3852" s="587"/>
      <c r="I3852" s="324">
        <f t="shared" si="2689"/>
        <v>0</v>
      </c>
      <c r="J3852" s="587"/>
      <c r="K3852" s="587"/>
      <c r="L3852" s="317">
        <f t="shared" si="2710"/>
        <v>0</v>
      </c>
      <c r="M3852" s="317"/>
      <c r="N3852" s="372">
        <f t="shared" si="2712"/>
        <v>0</v>
      </c>
      <c r="O3852" s="336">
        <f t="shared" si="2699"/>
        <v>0</v>
      </c>
      <c r="P3852" s="1108">
        <f t="shared" si="2702"/>
        <v>0</v>
      </c>
      <c r="R3852" s="317"/>
      <c r="U3852" s="320"/>
    </row>
    <row r="3853" spans="1:21" s="1101" customFormat="1" outlineLevel="1">
      <c r="A3853" s="1106"/>
      <c r="B3853" s="1106"/>
      <c r="C3853" s="1130"/>
      <c r="D3853" s="1144" t="s">
        <v>1302</v>
      </c>
      <c r="E3853" s="1145"/>
      <c r="F3853" s="1145"/>
      <c r="G3853" s="1145"/>
      <c r="H3853" s="1145"/>
      <c r="I3853" s="324">
        <f t="shared" si="2689"/>
        <v>0</v>
      </c>
      <c r="J3853" s="1145"/>
      <c r="K3853" s="1145"/>
      <c r="L3853" s="317">
        <f t="shared" si="2710"/>
        <v>0</v>
      </c>
      <c r="M3853" s="317"/>
      <c r="N3853" s="372">
        <f t="shared" si="2712"/>
        <v>0</v>
      </c>
      <c r="O3853" s="336">
        <f t="shared" si="2699"/>
        <v>0</v>
      </c>
      <c r="P3853" s="1108">
        <f t="shared" ref="P3853:P3872" si="2715">O3853*1.1</f>
        <v>0</v>
      </c>
      <c r="R3853" s="317"/>
      <c r="U3853" s="320"/>
    </row>
    <row r="3854" spans="1:21" s="1101" customFormat="1" outlineLevel="2">
      <c r="A3854" s="1106"/>
      <c r="B3854" s="1106"/>
      <c r="C3854" s="1109">
        <v>2110100</v>
      </c>
      <c r="D3854" s="1110" t="s">
        <v>13</v>
      </c>
      <c r="E3854" s="1111">
        <f>E3855+E3856</f>
        <v>168317807</v>
      </c>
      <c r="F3854" s="1111">
        <f t="shared" ref="F3854:P3854" si="2716">F3855+F3856</f>
        <v>0</v>
      </c>
      <c r="G3854" s="1111">
        <f t="shared" si="2716"/>
        <v>0</v>
      </c>
      <c r="H3854" s="1111">
        <f t="shared" si="2716"/>
        <v>0</v>
      </c>
      <c r="I3854" s="1111">
        <f t="shared" si="2716"/>
        <v>168317807</v>
      </c>
      <c r="J3854" s="1111">
        <f t="shared" si="2716"/>
        <v>0</v>
      </c>
      <c r="K3854" s="1111">
        <f t="shared" si="2716"/>
        <v>0</v>
      </c>
      <c r="L3854" s="317">
        <f t="shared" si="2710"/>
        <v>168317807</v>
      </c>
      <c r="M3854" s="317"/>
      <c r="N3854" s="372">
        <f t="shared" si="2712"/>
        <v>0</v>
      </c>
      <c r="O3854" s="1111">
        <f t="shared" si="2716"/>
        <v>185149587.70000002</v>
      </c>
      <c r="P3854" s="1111">
        <f t="shared" si="2716"/>
        <v>203664546.47000003</v>
      </c>
      <c r="R3854" s="317"/>
      <c r="U3854" s="320"/>
    </row>
    <row r="3855" spans="1:21" s="1101" customFormat="1" outlineLevel="2">
      <c r="A3855" s="1106"/>
      <c r="B3855" s="1106"/>
      <c r="C3855" s="1112">
        <v>2110101</v>
      </c>
      <c r="D3855" s="1113" t="s">
        <v>1283</v>
      </c>
      <c r="E3855" s="1114"/>
      <c r="F3855" s="1115"/>
      <c r="G3855" s="1115"/>
      <c r="H3855" s="1115"/>
      <c r="I3855" s="324">
        <f t="shared" si="2689"/>
        <v>0</v>
      </c>
      <c r="J3855" s="1115"/>
      <c r="K3855" s="1115"/>
      <c r="L3855" s="317">
        <f t="shared" si="2710"/>
        <v>0</v>
      </c>
      <c r="M3855" s="317"/>
      <c r="N3855" s="372">
        <f t="shared" si="2712"/>
        <v>0</v>
      </c>
      <c r="O3855" s="336">
        <f t="shared" si="2699"/>
        <v>0</v>
      </c>
      <c r="P3855" s="1108">
        <f t="shared" si="2715"/>
        <v>0</v>
      </c>
      <c r="R3855" s="317"/>
      <c r="U3855" s="320"/>
    </row>
    <row r="3856" spans="1:21" s="1101" customFormat="1" outlineLevel="2">
      <c r="A3856" s="1106"/>
      <c r="B3856" s="1106"/>
      <c r="C3856" s="1116">
        <v>2110116</v>
      </c>
      <c r="D3856" s="1117" t="s">
        <v>1284</v>
      </c>
      <c r="E3856" s="587">
        <v>168317807</v>
      </c>
      <c r="F3856" s="1118"/>
      <c r="G3856" s="1118"/>
      <c r="H3856" s="1118"/>
      <c r="I3856" s="324">
        <f t="shared" si="2689"/>
        <v>168317807</v>
      </c>
      <c r="J3856" s="1118"/>
      <c r="K3856" s="1118"/>
      <c r="L3856" s="317">
        <f t="shared" si="2710"/>
        <v>168317807</v>
      </c>
      <c r="M3856" s="317"/>
      <c r="N3856" s="372">
        <f t="shared" si="2712"/>
        <v>0</v>
      </c>
      <c r="O3856" s="336">
        <f t="shared" si="2699"/>
        <v>185149587.70000002</v>
      </c>
      <c r="P3856" s="1108">
        <f t="shared" si="2715"/>
        <v>203664546.47000003</v>
      </c>
      <c r="R3856" s="317"/>
      <c r="U3856" s="320"/>
    </row>
    <row r="3857" spans="1:21" s="1101" customFormat="1" outlineLevel="2">
      <c r="A3857" s="1106"/>
      <c r="B3857" s="1106"/>
      <c r="C3857" s="1109">
        <v>2110300</v>
      </c>
      <c r="D3857" s="1110" t="s">
        <v>1303</v>
      </c>
      <c r="E3857" s="1111">
        <f>SUM(E3858:E3862)</f>
        <v>110648269</v>
      </c>
      <c r="F3857" s="1111">
        <f t="shared" ref="F3857:I3857" si="2717">SUM(F3858:F3862)</f>
        <v>0</v>
      </c>
      <c r="G3857" s="1111">
        <f t="shared" si="2717"/>
        <v>0</v>
      </c>
      <c r="H3857" s="1111">
        <f t="shared" si="2717"/>
        <v>0</v>
      </c>
      <c r="I3857" s="1111">
        <f t="shared" si="2717"/>
        <v>110648269</v>
      </c>
      <c r="J3857" s="1111"/>
      <c r="K3857" s="1111"/>
      <c r="L3857" s="317">
        <f t="shared" si="2710"/>
        <v>110648269</v>
      </c>
      <c r="M3857" s="317"/>
      <c r="N3857" s="372">
        <f t="shared" si="2712"/>
        <v>0</v>
      </c>
      <c r="O3857" s="1111">
        <f t="shared" ref="O3857:P3857" si="2718">SUM(O3858:O3862)</f>
        <v>121713095.90000001</v>
      </c>
      <c r="P3857" s="1111">
        <f t="shared" si="2718"/>
        <v>133884405.49000001</v>
      </c>
      <c r="R3857" s="317"/>
      <c r="U3857" s="320"/>
    </row>
    <row r="3858" spans="1:21" s="1101" customFormat="1" outlineLevel="2">
      <c r="A3858" s="1106"/>
      <c r="B3858" s="1106"/>
      <c r="C3858" s="1116">
        <v>2110310</v>
      </c>
      <c r="D3858" s="1117" t="s">
        <v>1304</v>
      </c>
      <c r="E3858" s="1137">
        <v>240000</v>
      </c>
      <c r="F3858" s="1118"/>
      <c r="G3858" s="1118"/>
      <c r="H3858" s="1118"/>
      <c r="I3858" s="324">
        <f t="shared" si="2689"/>
        <v>240000</v>
      </c>
      <c r="J3858" s="1118"/>
      <c r="K3858" s="1118"/>
      <c r="L3858" s="317">
        <f t="shared" si="2710"/>
        <v>240000</v>
      </c>
      <c r="M3858" s="317"/>
      <c r="N3858" s="372">
        <f t="shared" si="2712"/>
        <v>0</v>
      </c>
      <c r="O3858" s="336">
        <f t="shared" si="2699"/>
        <v>264000</v>
      </c>
      <c r="P3858" s="1108">
        <f t="shared" si="2715"/>
        <v>290400</v>
      </c>
      <c r="R3858" s="317"/>
      <c r="U3858" s="320"/>
    </row>
    <row r="3859" spans="1:21" s="1101" customFormat="1" outlineLevel="2">
      <c r="A3859" s="1106"/>
      <c r="B3859" s="1106"/>
      <c r="C3859" s="1116">
        <v>2110314</v>
      </c>
      <c r="D3859" s="1117" t="s">
        <v>183</v>
      </c>
      <c r="E3859" s="1137">
        <v>20964630</v>
      </c>
      <c r="F3859" s="1118"/>
      <c r="G3859" s="1118"/>
      <c r="H3859" s="1118"/>
      <c r="I3859" s="324">
        <f t="shared" si="2689"/>
        <v>20964630</v>
      </c>
      <c r="J3859" s="1118"/>
      <c r="K3859" s="1118"/>
      <c r="L3859" s="317">
        <f t="shared" si="2710"/>
        <v>20964630</v>
      </c>
      <c r="M3859" s="317"/>
      <c r="N3859" s="372">
        <f t="shared" si="2712"/>
        <v>0</v>
      </c>
      <c r="O3859" s="336">
        <f t="shared" si="2699"/>
        <v>23061093</v>
      </c>
      <c r="P3859" s="1108">
        <f t="shared" si="2715"/>
        <v>25367202.300000001</v>
      </c>
      <c r="R3859" s="317"/>
      <c r="U3859" s="320"/>
    </row>
    <row r="3860" spans="1:21" s="1101" customFormat="1" outlineLevel="2">
      <c r="A3860" s="1106"/>
      <c r="B3860" s="1106"/>
      <c r="C3860" s="1116">
        <v>2110317</v>
      </c>
      <c r="D3860" s="1117" t="s">
        <v>1305</v>
      </c>
      <c r="E3860" s="587">
        <v>3206379</v>
      </c>
      <c r="F3860" s="1118"/>
      <c r="G3860" s="1118"/>
      <c r="H3860" s="1118"/>
      <c r="I3860" s="324">
        <f t="shared" si="2689"/>
        <v>3206379</v>
      </c>
      <c r="J3860" s="1118"/>
      <c r="K3860" s="1118"/>
      <c r="L3860" s="317">
        <f t="shared" si="2710"/>
        <v>3206379</v>
      </c>
      <c r="M3860" s="317"/>
      <c r="N3860" s="372">
        <f t="shared" si="2712"/>
        <v>0</v>
      </c>
      <c r="O3860" s="336">
        <f t="shared" si="2699"/>
        <v>3527016.9000000004</v>
      </c>
      <c r="P3860" s="1108">
        <f t="shared" si="2715"/>
        <v>3879718.5900000008</v>
      </c>
      <c r="R3860" s="317"/>
      <c r="U3860" s="320"/>
    </row>
    <row r="3861" spans="1:21" s="1101" customFormat="1" outlineLevel="2">
      <c r="A3861" s="1106"/>
      <c r="B3861" s="1106"/>
      <c r="C3861" s="1116">
        <v>2110328</v>
      </c>
      <c r="D3861" s="1117" t="s">
        <v>1306</v>
      </c>
      <c r="E3861" s="1114">
        <v>30832900</v>
      </c>
      <c r="F3861" s="1118"/>
      <c r="G3861" s="1118"/>
      <c r="H3861" s="1118"/>
      <c r="I3861" s="324">
        <f t="shared" si="2689"/>
        <v>30832900</v>
      </c>
      <c r="J3861" s="1118"/>
      <c r="K3861" s="1118"/>
      <c r="L3861" s="317">
        <f t="shared" si="2710"/>
        <v>30832900</v>
      </c>
      <c r="M3861" s="317"/>
      <c r="N3861" s="372">
        <f t="shared" si="2712"/>
        <v>0</v>
      </c>
      <c r="O3861" s="336">
        <f t="shared" si="2699"/>
        <v>33916190</v>
      </c>
      <c r="P3861" s="1108">
        <f t="shared" si="2715"/>
        <v>37307809</v>
      </c>
      <c r="R3861" s="317"/>
      <c r="U3861" s="320"/>
    </row>
    <row r="3862" spans="1:21" s="1101" customFormat="1" outlineLevel="2">
      <c r="A3862" s="1106"/>
      <c r="B3862" s="1106"/>
      <c r="C3862" s="1116">
        <v>2110329</v>
      </c>
      <c r="D3862" s="1117" t="s">
        <v>1307</v>
      </c>
      <c r="E3862" s="1114">
        <v>55404360</v>
      </c>
      <c r="F3862" s="1118"/>
      <c r="G3862" s="1118"/>
      <c r="H3862" s="1118"/>
      <c r="I3862" s="324">
        <f t="shared" si="2689"/>
        <v>55404360</v>
      </c>
      <c r="J3862" s="1118"/>
      <c r="K3862" s="1118"/>
      <c r="L3862" s="317">
        <f t="shared" si="2710"/>
        <v>55404360</v>
      </c>
      <c r="M3862" s="317"/>
      <c r="N3862" s="372">
        <f t="shared" si="2712"/>
        <v>0</v>
      </c>
      <c r="O3862" s="336">
        <f t="shared" si="2699"/>
        <v>60944796.000000007</v>
      </c>
      <c r="P3862" s="1108">
        <f t="shared" si="2715"/>
        <v>67039275.600000016</v>
      </c>
      <c r="R3862" s="317"/>
      <c r="U3862" s="320"/>
    </row>
    <row r="3863" spans="1:21" s="1101" customFormat="1" outlineLevel="2">
      <c r="A3863" s="1106"/>
      <c r="B3863" s="1106"/>
      <c r="C3863" s="1109">
        <v>2210200</v>
      </c>
      <c r="D3863" s="1110" t="s">
        <v>20</v>
      </c>
      <c r="E3863" s="1111">
        <f>SUM(E3864:E3865)</f>
        <v>3817440</v>
      </c>
      <c r="F3863" s="1111">
        <f t="shared" ref="F3863:I3863" si="2719">SUM(F3864:F3865)</f>
        <v>0</v>
      </c>
      <c r="G3863" s="1111">
        <f t="shared" si="2719"/>
        <v>0</v>
      </c>
      <c r="H3863" s="1111">
        <f t="shared" si="2719"/>
        <v>0</v>
      </c>
      <c r="I3863" s="1111">
        <f t="shared" si="2719"/>
        <v>3817440</v>
      </c>
      <c r="J3863" s="1111"/>
      <c r="K3863" s="1111"/>
      <c r="L3863" s="317">
        <f t="shared" si="2710"/>
        <v>3817440</v>
      </c>
      <c r="M3863" s="317"/>
      <c r="N3863" s="372">
        <f t="shared" si="2712"/>
        <v>0</v>
      </c>
      <c r="O3863" s="1111">
        <f t="shared" ref="O3863:P3863" si="2720">SUM(O3864:O3865)</f>
        <v>4199184</v>
      </c>
      <c r="P3863" s="1111">
        <f t="shared" si="2720"/>
        <v>4619102.4000000004</v>
      </c>
      <c r="R3863" s="317"/>
      <c r="U3863" s="320"/>
    </row>
    <row r="3864" spans="1:21" s="1101" customFormat="1" outlineLevel="2">
      <c r="A3864" s="1106"/>
      <c r="B3864" s="1106"/>
      <c r="C3864" s="1116">
        <v>2210201</v>
      </c>
      <c r="D3864" s="1117" t="s">
        <v>187</v>
      </c>
      <c r="E3864" s="1114">
        <v>3817440</v>
      </c>
      <c r="F3864" s="1118"/>
      <c r="G3864" s="1118"/>
      <c r="H3864" s="1118"/>
      <c r="I3864" s="324">
        <f t="shared" ref="I3864:I3924" si="2721">E3864+F3864+G3864+H3864</f>
        <v>3817440</v>
      </c>
      <c r="J3864" s="1118"/>
      <c r="K3864" s="1118"/>
      <c r="L3864" s="317">
        <f t="shared" si="2710"/>
        <v>3817440</v>
      </c>
      <c r="M3864" s="317"/>
      <c r="N3864" s="372">
        <f t="shared" si="2712"/>
        <v>0</v>
      </c>
      <c r="O3864" s="336">
        <f t="shared" si="2699"/>
        <v>4199184</v>
      </c>
      <c r="P3864" s="1108">
        <f t="shared" si="2715"/>
        <v>4619102.4000000004</v>
      </c>
      <c r="R3864" s="317"/>
      <c r="U3864" s="320"/>
    </row>
    <row r="3865" spans="1:21" s="1101" customFormat="1" outlineLevel="2">
      <c r="A3865" s="1106"/>
      <c r="B3865" s="1106"/>
      <c r="C3865" s="1116">
        <v>2210203</v>
      </c>
      <c r="D3865" s="1117" t="s">
        <v>23</v>
      </c>
      <c r="E3865" s="1114"/>
      <c r="F3865" s="1118"/>
      <c r="G3865" s="1118"/>
      <c r="H3865" s="1118"/>
      <c r="I3865" s="324">
        <f t="shared" si="2721"/>
        <v>0</v>
      </c>
      <c r="J3865" s="1118"/>
      <c r="K3865" s="1118"/>
      <c r="L3865" s="317">
        <f t="shared" si="2710"/>
        <v>0</v>
      </c>
      <c r="M3865" s="317"/>
      <c r="N3865" s="372">
        <f t="shared" si="2712"/>
        <v>0</v>
      </c>
      <c r="O3865" s="336">
        <f t="shared" si="2699"/>
        <v>0</v>
      </c>
      <c r="P3865" s="1108">
        <f t="shared" si="2715"/>
        <v>0</v>
      </c>
      <c r="R3865" s="317"/>
      <c r="U3865" s="320"/>
    </row>
    <row r="3866" spans="1:21" s="1101" customFormat="1" outlineLevel="2">
      <c r="A3866" s="1106"/>
      <c r="B3866" s="1106"/>
      <c r="C3866" s="1109">
        <v>2210300</v>
      </c>
      <c r="D3866" s="1110" t="s">
        <v>24</v>
      </c>
      <c r="E3866" s="1111">
        <f>SUM(E3867:E3870)</f>
        <v>99229892</v>
      </c>
      <c r="F3866" s="1111">
        <f t="shared" ref="F3866:I3866" si="2722">SUM(F3867:F3870)</f>
        <v>0</v>
      </c>
      <c r="G3866" s="1111">
        <f t="shared" si="2722"/>
        <v>0</v>
      </c>
      <c r="H3866" s="1111">
        <f t="shared" si="2722"/>
        <v>0</v>
      </c>
      <c r="I3866" s="1111">
        <f t="shared" si="2722"/>
        <v>99229892</v>
      </c>
      <c r="J3866" s="1111"/>
      <c r="K3866" s="1111"/>
      <c r="L3866" s="317">
        <f t="shared" si="2710"/>
        <v>99229892</v>
      </c>
      <c r="M3866" s="317"/>
      <c r="N3866" s="372">
        <f t="shared" si="2712"/>
        <v>0</v>
      </c>
      <c r="O3866" s="1111">
        <f t="shared" ref="O3866:P3866" si="2723">SUM(O3867:O3870)</f>
        <v>109152881.2</v>
      </c>
      <c r="P3866" s="1111">
        <f t="shared" si="2723"/>
        <v>120068169.31999999</v>
      </c>
      <c r="R3866" s="317"/>
      <c r="U3866" s="320"/>
    </row>
    <row r="3867" spans="1:21" s="1101" customFormat="1" outlineLevel="2">
      <c r="A3867" s="1106"/>
      <c r="B3867" s="1106"/>
      <c r="C3867" s="1116">
        <v>2210301</v>
      </c>
      <c r="D3867" s="1117" t="s">
        <v>188</v>
      </c>
      <c r="E3867" s="587">
        <v>22700000</v>
      </c>
      <c r="F3867" s="1118"/>
      <c r="G3867" s="1118"/>
      <c r="H3867" s="1118"/>
      <c r="I3867" s="324">
        <f t="shared" si="2721"/>
        <v>22700000</v>
      </c>
      <c r="J3867" s="1118"/>
      <c r="K3867" s="1118"/>
      <c r="L3867" s="317">
        <f t="shared" si="2710"/>
        <v>22700000</v>
      </c>
      <c r="M3867" s="317"/>
      <c r="N3867" s="372">
        <f t="shared" si="2712"/>
        <v>0</v>
      </c>
      <c r="O3867" s="336">
        <f t="shared" si="2699"/>
        <v>24970000.000000004</v>
      </c>
      <c r="P3867" s="1108">
        <f t="shared" si="2715"/>
        <v>27467000.000000007</v>
      </c>
      <c r="R3867" s="317"/>
      <c r="U3867" s="320"/>
    </row>
    <row r="3868" spans="1:21" s="1101" customFormat="1" outlineLevel="2">
      <c r="A3868" s="1106"/>
      <c r="B3868" s="1106"/>
      <c r="C3868" s="1116">
        <v>2210302</v>
      </c>
      <c r="D3868" s="1117" t="s">
        <v>26</v>
      </c>
      <c r="E3868" s="587">
        <v>73283900</v>
      </c>
      <c r="F3868" s="1118"/>
      <c r="G3868" s="1118"/>
      <c r="H3868" s="1118"/>
      <c r="I3868" s="324">
        <f t="shared" si="2721"/>
        <v>73283900</v>
      </c>
      <c r="J3868" s="1118"/>
      <c r="K3868" s="1118"/>
      <c r="L3868" s="317">
        <f t="shared" si="2710"/>
        <v>73283900</v>
      </c>
      <c r="M3868" s="317"/>
      <c r="N3868" s="372">
        <f t="shared" si="2712"/>
        <v>0</v>
      </c>
      <c r="O3868" s="336">
        <f t="shared" si="2699"/>
        <v>80612290</v>
      </c>
      <c r="P3868" s="1108">
        <f t="shared" si="2715"/>
        <v>88673519</v>
      </c>
      <c r="R3868" s="317"/>
      <c r="U3868" s="320"/>
    </row>
    <row r="3869" spans="1:21" s="1101" customFormat="1" outlineLevel="2">
      <c r="A3869" s="1106"/>
      <c r="B3869" s="1106"/>
      <c r="C3869" s="1116">
        <v>2210303</v>
      </c>
      <c r="D3869" s="1117" t="s">
        <v>223</v>
      </c>
      <c r="E3869" s="1114">
        <v>0</v>
      </c>
      <c r="F3869" s="1118"/>
      <c r="G3869" s="1118"/>
      <c r="H3869" s="1118"/>
      <c r="I3869" s="324">
        <f t="shared" si="2721"/>
        <v>0</v>
      </c>
      <c r="J3869" s="1118"/>
      <c r="K3869" s="1118"/>
      <c r="L3869" s="317">
        <f t="shared" si="2710"/>
        <v>0</v>
      </c>
      <c r="M3869" s="317"/>
      <c r="N3869" s="372">
        <f t="shared" si="2712"/>
        <v>0</v>
      </c>
      <c r="O3869" s="336">
        <f t="shared" si="2699"/>
        <v>0</v>
      </c>
      <c r="P3869" s="1108">
        <f t="shared" si="2715"/>
        <v>0</v>
      </c>
      <c r="R3869" s="317"/>
      <c r="U3869" s="320"/>
    </row>
    <row r="3870" spans="1:21" s="1101" customFormat="1" outlineLevel="2">
      <c r="A3870" s="1106"/>
      <c r="B3870" s="1106"/>
      <c r="C3870" s="1116" t="s">
        <v>2004</v>
      </c>
      <c r="D3870" s="1125" t="s">
        <v>208</v>
      </c>
      <c r="E3870" s="1114">
        <v>3245992</v>
      </c>
      <c r="F3870" s="1126"/>
      <c r="G3870" s="1126"/>
      <c r="H3870" s="1126"/>
      <c r="I3870" s="324">
        <f t="shared" si="2721"/>
        <v>3245992</v>
      </c>
      <c r="J3870" s="1126"/>
      <c r="K3870" s="1126"/>
      <c r="L3870" s="317">
        <f t="shared" si="2710"/>
        <v>3245992</v>
      </c>
      <c r="M3870" s="317"/>
      <c r="N3870" s="372">
        <f t="shared" si="2712"/>
        <v>0</v>
      </c>
      <c r="O3870" s="336">
        <f t="shared" si="2699"/>
        <v>3570591.2</v>
      </c>
      <c r="P3870" s="1108">
        <f t="shared" si="2715"/>
        <v>3927650.3200000003</v>
      </c>
      <c r="R3870" s="317"/>
      <c r="U3870" s="320"/>
    </row>
    <row r="3871" spans="1:21" s="1101" customFormat="1" outlineLevel="2">
      <c r="A3871" s="1106"/>
      <c r="B3871" s="1106"/>
      <c r="C3871" s="1109">
        <v>2210400</v>
      </c>
      <c r="D3871" s="1110" t="s">
        <v>189</v>
      </c>
      <c r="E3871" s="1111">
        <f>SUM(E3872:E3874)</f>
        <v>64111360</v>
      </c>
      <c r="F3871" s="1111">
        <f t="shared" ref="F3871:I3871" si="2724">SUM(F3872:F3874)</f>
        <v>0</v>
      </c>
      <c r="G3871" s="1111">
        <f t="shared" si="2724"/>
        <v>0</v>
      </c>
      <c r="H3871" s="1111">
        <f t="shared" si="2724"/>
        <v>0</v>
      </c>
      <c r="I3871" s="1111">
        <f t="shared" si="2724"/>
        <v>64111360</v>
      </c>
      <c r="J3871" s="1111"/>
      <c r="K3871" s="1111"/>
      <c r="L3871" s="317">
        <f t="shared" si="2710"/>
        <v>64111360</v>
      </c>
      <c r="M3871" s="317"/>
      <c r="N3871" s="372">
        <f t="shared" si="2712"/>
        <v>0</v>
      </c>
      <c r="O3871" s="1111">
        <f t="shared" ref="O3871:P3871" si="2725">SUM(O3872:O3874)</f>
        <v>70522496</v>
      </c>
      <c r="P3871" s="1111">
        <f t="shared" si="2725"/>
        <v>77574745.600000009</v>
      </c>
      <c r="R3871" s="317"/>
      <c r="U3871" s="320"/>
    </row>
    <row r="3872" spans="1:21" s="1101" customFormat="1" outlineLevel="2">
      <c r="A3872" s="1106"/>
      <c r="B3872" s="1106"/>
      <c r="C3872" s="1116">
        <v>2210401</v>
      </c>
      <c r="D3872" s="1117" t="s">
        <v>190</v>
      </c>
      <c r="E3872" s="1114">
        <v>7750000</v>
      </c>
      <c r="F3872" s="1118"/>
      <c r="G3872" s="1118"/>
      <c r="H3872" s="1118"/>
      <c r="I3872" s="324">
        <f t="shared" si="2721"/>
        <v>7750000</v>
      </c>
      <c r="J3872" s="1118"/>
      <c r="K3872" s="1118"/>
      <c r="L3872" s="317">
        <f t="shared" si="2710"/>
        <v>7750000</v>
      </c>
      <c r="M3872" s="317"/>
      <c r="N3872" s="372">
        <f t="shared" si="2712"/>
        <v>0</v>
      </c>
      <c r="O3872" s="336">
        <f t="shared" si="2699"/>
        <v>8525000</v>
      </c>
      <c r="P3872" s="1108">
        <f t="shared" si="2715"/>
        <v>9377500</v>
      </c>
      <c r="R3872" s="317"/>
      <c r="U3872" s="320"/>
    </row>
    <row r="3873" spans="1:21" s="1101" customFormat="1" outlineLevel="2">
      <c r="A3873" s="1106"/>
      <c r="B3873" s="1106"/>
      <c r="C3873" s="1116">
        <v>2210402</v>
      </c>
      <c r="D3873" s="1117" t="s">
        <v>191</v>
      </c>
      <c r="E3873" s="1114">
        <v>24898860</v>
      </c>
      <c r="F3873" s="1118"/>
      <c r="G3873" s="1118"/>
      <c r="H3873" s="1118"/>
      <c r="I3873" s="324">
        <f t="shared" si="2721"/>
        <v>24898860</v>
      </c>
      <c r="J3873" s="1118"/>
      <c r="K3873" s="1118"/>
      <c r="L3873" s="317">
        <f t="shared" si="2710"/>
        <v>24898860</v>
      </c>
      <c r="M3873" s="317"/>
      <c r="N3873" s="372">
        <f t="shared" si="2712"/>
        <v>0</v>
      </c>
      <c r="O3873" s="336">
        <f t="shared" si="2699"/>
        <v>27388746.000000004</v>
      </c>
      <c r="P3873" s="1108">
        <f t="shared" ref="P3873:P3892" si="2726">O3873*1.1</f>
        <v>30127620.600000005</v>
      </c>
      <c r="R3873" s="317"/>
      <c r="U3873" s="320"/>
    </row>
    <row r="3874" spans="1:21" s="1101" customFormat="1" outlineLevel="2">
      <c r="A3874" s="1106"/>
      <c r="B3874" s="1106"/>
      <c r="C3874" s="1116">
        <v>2210404</v>
      </c>
      <c r="D3874" s="1117" t="s">
        <v>28</v>
      </c>
      <c r="E3874" s="1114">
        <v>31462500</v>
      </c>
      <c r="F3874" s="1118"/>
      <c r="G3874" s="1118"/>
      <c r="H3874" s="1118"/>
      <c r="I3874" s="324">
        <f t="shared" si="2721"/>
        <v>31462500</v>
      </c>
      <c r="J3874" s="1118"/>
      <c r="K3874" s="1118"/>
      <c r="L3874" s="317">
        <f t="shared" si="2710"/>
        <v>31462500</v>
      </c>
      <c r="M3874" s="317"/>
      <c r="N3874" s="372">
        <f t="shared" si="2712"/>
        <v>0</v>
      </c>
      <c r="O3874" s="336">
        <f t="shared" si="2699"/>
        <v>34608750</v>
      </c>
      <c r="P3874" s="1108">
        <f t="shared" si="2726"/>
        <v>38069625</v>
      </c>
      <c r="R3874" s="317"/>
      <c r="U3874" s="320"/>
    </row>
    <row r="3875" spans="1:21" s="1101" customFormat="1" outlineLevel="2">
      <c r="A3875" s="1106"/>
      <c r="B3875" s="1106"/>
      <c r="C3875" s="1109">
        <v>2210500</v>
      </c>
      <c r="D3875" s="1110" t="s">
        <v>31</v>
      </c>
      <c r="E3875" s="1111">
        <f>SUM(E3876:E3878)</f>
        <v>72000000</v>
      </c>
      <c r="F3875" s="1111">
        <f t="shared" ref="F3875:I3875" si="2727">SUM(F3876:F3878)</f>
        <v>0</v>
      </c>
      <c r="G3875" s="1111">
        <f t="shared" si="2727"/>
        <v>0</v>
      </c>
      <c r="H3875" s="1111">
        <f t="shared" si="2727"/>
        <v>0</v>
      </c>
      <c r="I3875" s="1111">
        <f t="shared" si="2727"/>
        <v>72000000</v>
      </c>
      <c r="J3875" s="1111"/>
      <c r="K3875" s="1111"/>
      <c r="L3875" s="317">
        <f t="shared" si="2710"/>
        <v>72000000</v>
      </c>
      <c r="M3875" s="317"/>
      <c r="N3875" s="372">
        <f t="shared" si="2712"/>
        <v>0</v>
      </c>
      <c r="O3875" s="1111">
        <f t="shared" ref="O3875:P3875" si="2728">SUM(O3876:O3878)</f>
        <v>79200000</v>
      </c>
      <c r="P3875" s="1111">
        <f t="shared" si="2728"/>
        <v>87120000</v>
      </c>
      <c r="R3875" s="317"/>
      <c r="U3875" s="320"/>
    </row>
    <row r="3876" spans="1:21" s="1101" customFormat="1" outlineLevel="2">
      <c r="A3876" s="1106"/>
      <c r="B3876" s="1106"/>
      <c r="C3876" s="1116">
        <v>2210502</v>
      </c>
      <c r="D3876" s="1117" t="s">
        <v>105</v>
      </c>
      <c r="E3876" s="1114"/>
      <c r="F3876" s="1118"/>
      <c r="G3876" s="1118"/>
      <c r="H3876" s="1118"/>
      <c r="I3876" s="324">
        <f t="shared" si="2721"/>
        <v>0</v>
      </c>
      <c r="J3876" s="1118"/>
      <c r="K3876" s="1118"/>
      <c r="L3876" s="317">
        <f t="shared" si="2710"/>
        <v>0</v>
      </c>
      <c r="M3876" s="317"/>
      <c r="N3876" s="372">
        <f t="shared" si="2712"/>
        <v>0</v>
      </c>
      <c r="O3876" s="336">
        <f t="shared" si="2699"/>
        <v>0</v>
      </c>
      <c r="P3876" s="1108">
        <f t="shared" si="2726"/>
        <v>0</v>
      </c>
      <c r="R3876" s="317"/>
      <c r="U3876" s="320"/>
    </row>
    <row r="3877" spans="1:21" s="1101" customFormat="1" outlineLevel="2">
      <c r="A3877" s="1106"/>
      <c r="B3877" s="1106"/>
      <c r="C3877" s="1116">
        <v>2210503</v>
      </c>
      <c r="D3877" s="1117" t="s">
        <v>32</v>
      </c>
      <c r="E3877" s="1114"/>
      <c r="F3877" s="1118"/>
      <c r="G3877" s="1118"/>
      <c r="H3877" s="1118"/>
      <c r="I3877" s="324">
        <f t="shared" si="2721"/>
        <v>0</v>
      </c>
      <c r="J3877" s="1118"/>
      <c r="K3877" s="1118"/>
      <c r="L3877" s="317">
        <f t="shared" si="2710"/>
        <v>0</v>
      </c>
      <c r="M3877" s="317"/>
      <c r="N3877" s="372">
        <f t="shared" si="2712"/>
        <v>0</v>
      </c>
      <c r="O3877" s="336">
        <f t="shared" si="2699"/>
        <v>0</v>
      </c>
      <c r="P3877" s="1108">
        <f t="shared" si="2726"/>
        <v>0</v>
      </c>
      <c r="R3877" s="317"/>
      <c r="U3877" s="320"/>
    </row>
    <row r="3878" spans="1:21" s="1101" customFormat="1" outlineLevel="2">
      <c r="A3878" s="1106"/>
      <c r="B3878" s="1106"/>
      <c r="C3878" s="1116">
        <v>2210504</v>
      </c>
      <c r="D3878" s="1117" t="s">
        <v>33</v>
      </c>
      <c r="E3878" s="1114">
        <v>72000000</v>
      </c>
      <c r="F3878" s="1118"/>
      <c r="G3878" s="1118"/>
      <c r="H3878" s="1118"/>
      <c r="I3878" s="324">
        <f t="shared" si="2721"/>
        <v>72000000</v>
      </c>
      <c r="J3878" s="1118"/>
      <c r="K3878" s="1118"/>
      <c r="L3878" s="317">
        <f t="shared" si="2710"/>
        <v>72000000</v>
      </c>
      <c r="M3878" s="317"/>
      <c r="N3878" s="372">
        <f t="shared" si="2712"/>
        <v>0</v>
      </c>
      <c r="O3878" s="336">
        <f t="shared" si="2699"/>
        <v>79200000</v>
      </c>
      <c r="P3878" s="1108">
        <f t="shared" si="2726"/>
        <v>87120000</v>
      </c>
      <c r="R3878" s="317"/>
      <c r="U3878" s="320"/>
    </row>
    <row r="3879" spans="1:21" s="1101" customFormat="1" outlineLevel="2">
      <c r="A3879" s="1106"/>
      <c r="B3879" s="1106"/>
      <c r="C3879" s="1109">
        <v>2210600</v>
      </c>
      <c r="D3879" s="1119" t="s">
        <v>154</v>
      </c>
      <c r="E3879" s="1111">
        <f>E3880+E3881</f>
        <v>1000000</v>
      </c>
      <c r="F3879" s="1111">
        <f t="shared" ref="F3879:P3879" si="2729">F3880+F3881</f>
        <v>0</v>
      </c>
      <c r="G3879" s="1111">
        <f t="shared" si="2729"/>
        <v>0</v>
      </c>
      <c r="H3879" s="1111">
        <f t="shared" si="2729"/>
        <v>0</v>
      </c>
      <c r="I3879" s="1111">
        <f t="shared" si="2729"/>
        <v>1000000</v>
      </c>
      <c r="J3879" s="1111"/>
      <c r="K3879" s="1111"/>
      <c r="L3879" s="317">
        <f t="shared" si="2710"/>
        <v>1000000</v>
      </c>
      <c r="M3879" s="317"/>
      <c r="N3879" s="372">
        <f t="shared" si="2712"/>
        <v>0</v>
      </c>
      <c r="O3879" s="1111">
        <f t="shared" si="2729"/>
        <v>1100000</v>
      </c>
      <c r="P3879" s="1111">
        <f t="shared" si="2729"/>
        <v>1210000</v>
      </c>
      <c r="R3879" s="317"/>
      <c r="U3879" s="320"/>
    </row>
    <row r="3880" spans="1:21" s="1101" customFormat="1" outlineLevel="2">
      <c r="A3880" s="1106"/>
      <c r="B3880" s="1106"/>
      <c r="C3880" s="1116">
        <v>2210603</v>
      </c>
      <c r="D3880" s="1146" t="s">
        <v>489</v>
      </c>
      <c r="E3880" s="1114">
        <v>1000000</v>
      </c>
      <c r="F3880" s="1147"/>
      <c r="G3880" s="1147"/>
      <c r="H3880" s="1147"/>
      <c r="I3880" s="324">
        <f t="shared" si="2721"/>
        <v>1000000</v>
      </c>
      <c r="J3880" s="1147"/>
      <c r="K3880" s="1147"/>
      <c r="L3880" s="317">
        <f t="shared" si="2710"/>
        <v>1000000</v>
      </c>
      <c r="M3880" s="317"/>
      <c r="N3880" s="372">
        <f t="shared" si="2712"/>
        <v>0</v>
      </c>
      <c r="O3880" s="336">
        <f t="shared" si="2699"/>
        <v>1100000</v>
      </c>
      <c r="P3880" s="1108">
        <f t="shared" si="2726"/>
        <v>1210000</v>
      </c>
      <c r="R3880" s="317"/>
      <c r="U3880" s="320"/>
    </row>
    <row r="3881" spans="1:21" s="1101" customFormat="1" outlineLevel="2">
      <c r="A3881" s="1106"/>
      <c r="B3881" s="1106"/>
      <c r="C3881" s="1116">
        <v>2210604</v>
      </c>
      <c r="D3881" s="470" t="s">
        <v>193</v>
      </c>
      <c r="E3881" s="1114">
        <v>0</v>
      </c>
      <c r="F3881" s="1127"/>
      <c r="G3881" s="1127"/>
      <c r="H3881" s="1127"/>
      <c r="I3881" s="324">
        <f t="shared" si="2721"/>
        <v>0</v>
      </c>
      <c r="J3881" s="1127"/>
      <c r="K3881" s="1127"/>
      <c r="L3881" s="317">
        <f t="shared" si="2710"/>
        <v>0</v>
      </c>
      <c r="M3881" s="317"/>
      <c r="N3881" s="372">
        <f t="shared" si="2712"/>
        <v>0</v>
      </c>
      <c r="O3881" s="336">
        <f t="shared" si="2699"/>
        <v>0</v>
      </c>
      <c r="P3881" s="1108">
        <f t="shared" si="2726"/>
        <v>0</v>
      </c>
      <c r="R3881" s="317"/>
      <c r="U3881" s="320"/>
    </row>
    <row r="3882" spans="1:21" s="1101" customFormat="1" outlineLevel="2">
      <c r="A3882" s="1106"/>
      <c r="B3882" s="1106"/>
      <c r="C3882" s="1109">
        <v>2210700</v>
      </c>
      <c r="D3882" s="1110" t="s">
        <v>35</v>
      </c>
      <c r="E3882" s="1111">
        <f>SUM(E3883:E3887)</f>
        <v>4731800</v>
      </c>
      <c r="F3882" s="1111">
        <f t="shared" ref="F3882:I3882" si="2730">SUM(F3883:F3887)</f>
        <v>0</v>
      </c>
      <c r="G3882" s="1111">
        <f t="shared" si="2730"/>
        <v>0</v>
      </c>
      <c r="H3882" s="1111">
        <f t="shared" si="2730"/>
        <v>0</v>
      </c>
      <c r="I3882" s="1111">
        <f t="shared" si="2730"/>
        <v>4731800</v>
      </c>
      <c r="J3882" s="1111"/>
      <c r="K3882" s="1111"/>
      <c r="L3882" s="317">
        <f t="shared" si="2710"/>
        <v>4731800</v>
      </c>
      <c r="M3882" s="317"/>
      <c r="N3882" s="372">
        <f t="shared" si="2712"/>
        <v>0</v>
      </c>
      <c r="O3882" s="1111">
        <f t="shared" ref="O3882:P3882" si="2731">SUM(O3883:O3887)</f>
        <v>5204980.0000000009</v>
      </c>
      <c r="P3882" s="1111">
        <f t="shared" si="2731"/>
        <v>5725478.0000000009</v>
      </c>
      <c r="R3882" s="317"/>
      <c r="U3882" s="320"/>
    </row>
    <row r="3883" spans="1:21" s="1101" customFormat="1" outlineLevel="2">
      <c r="A3883" s="1106"/>
      <c r="B3883" s="1106"/>
      <c r="C3883" s="1116">
        <v>2210701</v>
      </c>
      <c r="D3883" s="1117" t="s">
        <v>36</v>
      </c>
      <c r="E3883" s="587">
        <v>1750000</v>
      </c>
      <c r="F3883" s="1118"/>
      <c r="G3883" s="1118"/>
      <c r="H3883" s="1118"/>
      <c r="I3883" s="324">
        <f t="shared" si="2721"/>
        <v>1750000</v>
      </c>
      <c r="J3883" s="1118"/>
      <c r="K3883" s="1118"/>
      <c r="L3883" s="317">
        <f t="shared" si="2710"/>
        <v>1750000</v>
      </c>
      <c r="M3883" s="317"/>
      <c r="N3883" s="372">
        <f t="shared" si="2712"/>
        <v>0</v>
      </c>
      <c r="O3883" s="336">
        <f t="shared" ref="O3883:O3946" si="2732">L3883*1.1</f>
        <v>1925000.0000000002</v>
      </c>
      <c r="P3883" s="1108">
        <f t="shared" si="2726"/>
        <v>2117500.0000000005</v>
      </c>
      <c r="R3883" s="317"/>
      <c r="U3883" s="320"/>
    </row>
    <row r="3884" spans="1:21" s="1101" customFormat="1" outlineLevel="2">
      <c r="A3884" s="1106"/>
      <c r="B3884" s="1106"/>
      <c r="C3884" s="1116">
        <v>2210704</v>
      </c>
      <c r="D3884" s="1117" t="s">
        <v>38</v>
      </c>
      <c r="E3884" s="587">
        <v>400000</v>
      </c>
      <c r="F3884" s="1118"/>
      <c r="G3884" s="1118"/>
      <c r="H3884" s="1118"/>
      <c r="I3884" s="324">
        <f t="shared" si="2721"/>
        <v>400000</v>
      </c>
      <c r="J3884" s="1118"/>
      <c r="K3884" s="1118"/>
      <c r="L3884" s="317">
        <f t="shared" si="2710"/>
        <v>400000</v>
      </c>
      <c r="M3884" s="317"/>
      <c r="N3884" s="372">
        <f t="shared" si="2712"/>
        <v>0</v>
      </c>
      <c r="O3884" s="336">
        <f t="shared" si="2732"/>
        <v>440000.00000000006</v>
      </c>
      <c r="P3884" s="1108">
        <f t="shared" si="2726"/>
        <v>484000.00000000012</v>
      </c>
      <c r="R3884" s="317"/>
      <c r="U3884" s="320"/>
    </row>
    <row r="3885" spans="1:21" s="1101" customFormat="1" outlineLevel="2">
      <c r="A3885" s="1106"/>
      <c r="B3885" s="1106"/>
      <c r="C3885" s="1116">
        <v>2210708</v>
      </c>
      <c r="D3885" s="1117" t="s">
        <v>115</v>
      </c>
      <c r="E3885" s="587">
        <v>0</v>
      </c>
      <c r="F3885" s="1118"/>
      <c r="G3885" s="1118"/>
      <c r="H3885" s="1118"/>
      <c r="I3885" s="324">
        <f t="shared" si="2721"/>
        <v>0</v>
      </c>
      <c r="J3885" s="1118"/>
      <c r="K3885" s="1118"/>
      <c r="L3885" s="317">
        <f t="shared" si="2710"/>
        <v>0</v>
      </c>
      <c r="M3885" s="317"/>
      <c r="N3885" s="372">
        <f t="shared" si="2712"/>
        <v>0</v>
      </c>
      <c r="O3885" s="336">
        <f t="shared" si="2732"/>
        <v>0</v>
      </c>
      <c r="P3885" s="1108">
        <f t="shared" si="2726"/>
        <v>0</v>
      </c>
      <c r="R3885" s="317"/>
      <c r="U3885" s="320"/>
    </row>
    <row r="3886" spans="1:21" s="1101" customFormat="1" outlineLevel="2">
      <c r="A3886" s="1106"/>
      <c r="B3886" s="1106"/>
      <c r="C3886" s="1116">
        <v>2210710</v>
      </c>
      <c r="D3886" s="1117" t="s">
        <v>39</v>
      </c>
      <c r="E3886" s="587">
        <v>1581800</v>
      </c>
      <c r="F3886" s="1118"/>
      <c r="G3886" s="1118"/>
      <c r="H3886" s="1118"/>
      <c r="I3886" s="324">
        <f t="shared" si="2721"/>
        <v>1581800</v>
      </c>
      <c r="J3886" s="1118"/>
      <c r="K3886" s="1118"/>
      <c r="L3886" s="317">
        <f t="shared" si="2710"/>
        <v>1581800</v>
      </c>
      <c r="M3886" s="317"/>
      <c r="N3886" s="372">
        <f t="shared" si="2712"/>
        <v>0</v>
      </c>
      <c r="O3886" s="336">
        <f t="shared" si="2732"/>
        <v>1739980.0000000002</v>
      </c>
      <c r="P3886" s="1108">
        <f t="shared" si="2726"/>
        <v>1913978.0000000005</v>
      </c>
      <c r="R3886" s="317"/>
      <c r="U3886" s="320"/>
    </row>
    <row r="3887" spans="1:21" s="1101" customFormat="1" outlineLevel="2">
      <c r="A3887" s="1106"/>
      <c r="B3887" s="1106"/>
      <c r="C3887" s="1116" t="s">
        <v>2014</v>
      </c>
      <c r="D3887" s="1125" t="s">
        <v>2015</v>
      </c>
      <c r="E3887" s="587">
        <v>1000000</v>
      </c>
      <c r="F3887" s="1126"/>
      <c r="G3887" s="1126"/>
      <c r="H3887" s="1126"/>
      <c r="I3887" s="324">
        <f t="shared" si="2721"/>
        <v>1000000</v>
      </c>
      <c r="J3887" s="1126"/>
      <c r="K3887" s="1126"/>
      <c r="L3887" s="317">
        <f t="shared" si="2710"/>
        <v>1000000</v>
      </c>
      <c r="M3887" s="317"/>
      <c r="N3887" s="372">
        <f t="shared" si="2712"/>
        <v>0</v>
      </c>
      <c r="O3887" s="336">
        <f t="shared" si="2732"/>
        <v>1100000</v>
      </c>
      <c r="P3887" s="1108">
        <f t="shared" si="2726"/>
        <v>1210000</v>
      </c>
      <c r="R3887" s="317"/>
      <c r="U3887" s="320"/>
    </row>
    <row r="3888" spans="1:21" s="1101" customFormat="1" outlineLevel="2">
      <c r="A3888" s="1106"/>
      <c r="B3888" s="1106"/>
      <c r="C3888" s="1109">
        <v>2210800</v>
      </c>
      <c r="D3888" s="1110" t="s">
        <v>42</v>
      </c>
      <c r="E3888" s="1111">
        <f>SUM(E3889:E3893)</f>
        <v>60838190</v>
      </c>
      <c r="F3888" s="1111">
        <f t="shared" ref="F3888:I3888" si="2733">SUM(F3889:F3893)</f>
        <v>0</v>
      </c>
      <c r="G3888" s="1111">
        <f t="shared" si="2733"/>
        <v>0</v>
      </c>
      <c r="H3888" s="1111">
        <f t="shared" si="2733"/>
        <v>0</v>
      </c>
      <c r="I3888" s="1111">
        <f t="shared" si="2733"/>
        <v>60838190</v>
      </c>
      <c r="J3888" s="1111"/>
      <c r="K3888" s="1111"/>
      <c r="L3888" s="317">
        <f t="shared" si="2710"/>
        <v>60838190</v>
      </c>
      <c r="M3888" s="317"/>
      <c r="N3888" s="372">
        <f t="shared" si="2712"/>
        <v>0</v>
      </c>
      <c r="O3888" s="1111">
        <f t="shared" ref="O3888:P3888" si="2734">SUM(O3889:O3893)</f>
        <v>66922009</v>
      </c>
      <c r="P3888" s="1111">
        <f t="shared" si="2734"/>
        <v>73614209.900000006</v>
      </c>
      <c r="R3888" s="317"/>
      <c r="U3888" s="320"/>
    </row>
    <row r="3889" spans="1:21" s="1101" customFormat="1" outlineLevel="2">
      <c r="A3889" s="1106"/>
      <c r="B3889" s="1106"/>
      <c r="C3889" s="1116">
        <v>2210801</v>
      </c>
      <c r="D3889" s="1117" t="s">
        <v>2421</v>
      </c>
      <c r="E3889" s="587">
        <v>11564000</v>
      </c>
      <c r="F3889" s="1118"/>
      <c r="G3889" s="1118"/>
      <c r="H3889" s="1118"/>
      <c r="I3889" s="324">
        <f t="shared" si="2721"/>
        <v>11564000</v>
      </c>
      <c r="J3889" s="1118"/>
      <c r="K3889" s="1118"/>
      <c r="L3889" s="317">
        <f t="shared" si="2710"/>
        <v>11564000</v>
      </c>
      <c r="M3889" s="317"/>
      <c r="N3889" s="372">
        <f t="shared" si="2712"/>
        <v>0</v>
      </c>
      <c r="O3889" s="336">
        <f t="shared" si="2732"/>
        <v>12720400.000000002</v>
      </c>
      <c r="P3889" s="1108">
        <f t="shared" si="2726"/>
        <v>13992440.000000004</v>
      </c>
      <c r="R3889" s="317"/>
      <c r="U3889" s="320"/>
    </row>
    <row r="3890" spans="1:21" s="1101" customFormat="1" outlineLevel="2">
      <c r="A3890" s="1106"/>
      <c r="B3890" s="1106"/>
      <c r="C3890" s="1116">
        <v>2210802</v>
      </c>
      <c r="D3890" s="1117" t="s">
        <v>1286</v>
      </c>
      <c r="E3890" s="587">
        <v>34214500</v>
      </c>
      <c r="F3890" s="1118"/>
      <c r="G3890" s="1118"/>
      <c r="H3890" s="1118"/>
      <c r="I3890" s="324">
        <f t="shared" si="2721"/>
        <v>34214500</v>
      </c>
      <c r="J3890" s="1118"/>
      <c r="K3890" s="1118"/>
      <c r="L3890" s="317">
        <f t="shared" si="2710"/>
        <v>34214500</v>
      </c>
      <c r="M3890" s="317"/>
      <c r="N3890" s="372">
        <f t="shared" si="2712"/>
        <v>0</v>
      </c>
      <c r="O3890" s="336">
        <f t="shared" si="2732"/>
        <v>37635950</v>
      </c>
      <c r="P3890" s="1108">
        <f t="shared" si="2726"/>
        <v>41399545</v>
      </c>
      <c r="R3890" s="317"/>
      <c r="U3890" s="320"/>
    </row>
    <row r="3891" spans="1:21" s="1101" customFormat="1" outlineLevel="2">
      <c r="A3891" s="1106"/>
      <c r="B3891" s="1106"/>
      <c r="C3891" s="1116">
        <v>2210804</v>
      </c>
      <c r="D3891" s="1117" t="s">
        <v>1287</v>
      </c>
      <c r="E3891" s="587">
        <v>3910730</v>
      </c>
      <c r="F3891" s="1118"/>
      <c r="G3891" s="1118"/>
      <c r="H3891" s="1118"/>
      <c r="I3891" s="324">
        <f t="shared" si="2721"/>
        <v>3910730</v>
      </c>
      <c r="J3891" s="1118"/>
      <c r="K3891" s="1118"/>
      <c r="L3891" s="317">
        <f t="shared" si="2710"/>
        <v>3910730</v>
      </c>
      <c r="M3891" s="317"/>
      <c r="N3891" s="372">
        <f t="shared" si="2712"/>
        <v>0</v>
      </c>
      <c r="O3891" s="336">
        <f t="shared" si="2732"/>
        <v>4301803</v>
      </c>
      <c r="P3891" s="1108">
        <f t="shared" si="2726"/>
        <v>4731983.3000000007</v>
      </c>
      <c r="R3891" s="317"/>
      <c r="U3891" s="320"/>
    </row>
    <row r="3892" spans="1:21" s="1101" customFormat="1" outlineLevel="2">
      <c r="A3892" s="1106"/>
      <c r="B3892" s="1106"/>
      <c r="C3892" s="1116">
        <v>2210808</v>
      </c>
      <c r="D3892" s="1117" t="s">
        <v>44</v>
      </c>
      <c r="E3892" s="587">
        <v>200000</v>
      </c>
      <c r="F3892" s="1118"/>
      <c r="G3892" s="1118"/>
      <c r="H3892" s="1118"/>
      <c r="I3892" s="324">
        <f t="shared" si="2721"/>
        <v>200000</v>
      </c>
      <c r="J3892" s="1118"/>
      <c r="K3892" s="1118"/>
      <c r="L3892" s="317">
        <f t="shared" si="2710"/>
        <v>200000</v>
      </c>
      <c r="M3892" s="317"/>
      <c r="N3892" s="372">
        <f t="shared" si="2712"/>
        <v>0</v>
      </c>
      <c r="O3892" s="336">
        <f t="shared" si="2732"/>
        <v>220000.00000000003</v>
      </c>
      <c r="P3892" s="1108">
        <f t="shared" si="2726"/>
        <v>242000.00000000006</v>
      </c>
      <c r="R3892" s="317"/>
      <c r="U3892" s="320"/>
    </row>
    <row r="3893" spans="1:21" s="1101" customFormat="1" outlineLevel="2">
      <c r="A3893" s="1106"/>
      <c r="B3893" s="1106"/>
      <c r="C3893" s="1116">
        <v>2210809</v>
      </c>
      <c r="D3893" s="1129" t="s">
        <v>1288</v>
      </c>
      <c r="E3893" s="587">
        <v>10948960</v>
      </c>
      <c r="F3893" s="1132"/>
      <c r="G3893" s="1132"/>
      <c r="H3893" s="1132"/>
      <c r="I3893" s="324">
        <f t="shared" si="2721"/>
        <v>10948960</v>
      </c>
      <c r="J3893" s="1132"/>
      <c r="K3893" s="1132"/>
      <c r="L3893" s="317">
        <f t="shared" si="2710"/>
        <v>10948960</v>
      </c>
      <c r="M3893" s="317"/>
      <c r="N3893" s="372">
        <f t="shared" si="2712"/>
        <v>0</v>
      </c>
      <c r="O3893" s="336">
        <f t="shared" si="2732"/>
        <v>12043856.000000002</v>
      </c>
      <c r="P3893" s="1108">
        <f t="shared" ref="P3893:P3955" si="2735">O3893*1.1</f>
        <v>13248241.600000003</v>
      </c>
      <c r="R3893" s="317"/>
      <c r="U3893" s="320"/>
    </row>
    <row r="3894" spans="1:21" s="1101" customFormat="1" outlineLevel="2">
      <c r="A3894" s="1106"/>
      <c r="B3894" s="1106"/>
      <c r="C3894" s="1109">
        <v>2210900</v>
      </c>
      <c r="D3894" s="1110" t="s">
        <v>46</v>
      </c>
      <c r="E3894" s="1111">
        <f>SUM(E3895:E3899)</f>
        <v>23000000</v>
      </c>
      <c r="F3894" s="1111">
        <f t="shared" ref="F3894:I3894" si="2736">SUM(F3895:F3899)</f>
        <v>0</v>
      </c>
      <c r="G3894" s="1111">
        <f t="shared" si="2736"/>
        <v>0</v>
      </c>
      <c r="H3894" s="1111">
        <f t="shared" si="2736"/>
        <v>0</v>
      </c>
      <c r="I3894" s="1111">
        <f t="shared" si="2736"/>
        <v>23000000</v>
      </c>
      <c r="J3894" s="1111"/>
      <c r="K3894" s="1111"/>
      <c r="L3894" s="317">
        <f t="shared" si="2710"/>
        <v>23000000</v>
      </c>
      <c r="M3894" s="317"/>
      <c r="N3894" s="372">
        <f t="shared" si="2712"/>
        <v>0</v>
      </c>
      <c r="O3894" s="1111">
        <f t="shared" ref="O3894:P3894" si="2737">SUM(O3895:O3899)</f>
        <v>25300000</v>
      </c>
      <c r="P3894" s="1111">
        <f t="shared" si="2737"/>
        <v>27830000.000000004</v>
      </c>
      <c r="R3894" s="317"/>
      <c r="U3894" s="320"/>
    </row>
    <row r="3895" spans="1:21" s="1101" customFormat="1" outlineLevel="2">
      <c r="A3895" s="1106"/>
      <c r="B3895" s="1106"/>
      <c r="C3895" s="1120">
        <v>2210901</v>
      </c>
      <c r="D3895" s="1125" t="s">
        <v>668</v>
      </c>
      <c r="E3895" s="587">
        <v>3000000</v>
      </c>
      <c r="F3895" s="1126"/>
      <c r="G3895" s="1126"/>
      <c r="H3895" s="1126"/>
      <c r="I3895" s="324">
        <f t="shared" si="2721"/>
        <v>3000000</v>
      </c>
      <c r="J3895" s="1126"/>
      <c r="K3895" s="1126"/>
      <c r="L3895" s="317">
        <f t="shared" si="2710"/>
        <v>3000000</v>
      </c>
      <c r="M3895" s="317"/>
      <c r="N3895" s="372">
        <f t="shared" si="2712"/>
        <v>0</v>
      </c>
      <c r="O3895" s="336">
        <f t="shared" si="2732"/>
        <v>3300000.0000000005</v>
      </c>
      <c r="P3895" s="1108">
        <f t="shared" si="2735"/>
        <v>3630000.0000000009</v>
      </c>
      <c r="R3895" s="317"/>
      <c r="U3895" s="320"/>
    </row>
    <row r="3896" spans="1:21" s="1101" customFormat="1" outlineLevel="2">
      <c r="A3896" s="1106"/>
      <c r="B3896" s="1106"/>
      <c r="C3896" s="1116">
        <v>2210902</v>
      </c>
      <c r="D3896" s="1117" t="s">
        <v>1289</v>
      </c>
      <c r="E3896" s="587">
        <v>0</v>
      </c>
      <c r="F3896" s="1118"/>
      <c r="G3896" s="1118"/>
      <c r="H3896" s="1118"/>
      <c r="I3896" s="324">
        <f t="shared" si="2721"/>
        <v>0</v>
      </c>
      <c r="J3896" s="1118"/>
      <c r="K3896" s="1118"/>
      <c r="L3896" s="317">
        <f t="shared" si="2710"/>
        <v>0</v>
      </c>
      <c r="M3896" s="317"/>
      <c r="N3896" s="372">
        <f t="shared" si="2712"/>
        <v>0</v>
      </c>
      <c r="O3896" s="336">
        <f t="shared" si="2732"/>
        <v>0</v>
      </c>
      <c r="P3896" s="1108">
        <f t="shared" si="2735"/>
        <v>0</v>
      </c>
      <c r="R3896" s="317"/>
      <c r="U3896" s="320"/>
    </row>
    <row r="3897" spans="1:21" s="1101" customFormat="1" outlineLevel="2">
      <c r="A3897" s="1106"/>
      <c r="B3897" s="1106"/>
      <c r="C3897" s="1116">
        <v>2210903</v>
      </c>
      <c r="D3897" s="1117" t="s">
        <v>491</v>
      </c>
      <c r="E3897" s="587">
        <v>0</v>
      </c>
      <c r="F3897" s="1118"/>
      <c r="G3897" s="1118"/>
      <c r="H3897" s="1118"/>
      <c r="I3897" s="324">
        <f t="shared" si="2721"/>
        <v>0</v>
      </c>
      <c r="J3897" s="1118"/>
      <c r="K3897" s="1118"/>
      <c r="L3897" s="317">
        <f t="shared" si="2710"/>
        <v>0</v>
      </c>
      <c r="M3897" s="317"/>
      <c r="N3897" s="372">
        <f t="shared" si="2712"/>
        <v>0</v>
      </c>
      <c r="O3897" s="336">
        <f t="shared" si="2732"/>
        <v>0</v>
      </c>
      <c r="P3897" s="1108">
        <f t="shared" si="2735"/>
        <v>0</v>
      </c>
      <c r="R3897" s="317"/>
      <c r="U3897" s="320"/>
    </row>
    <row r="3898" spans="1:21" s="1101" customFormat="1" outlineLevel="2">
      <c r="A3898" s="1106"/>
      <c r="B3898" s="1106"/>
      <c r="C3898" s="1116">
        <v>2210904</v>
      </c>
      <c r="D3898" s="1117" t="s">
        <v>158</v>
      </c>
      <c r="E3898" s="587">
        <v>0</v>
      </c>
      <c r="F3898" s="1118"/>
      <c r="G3898" s="1118"/>
      <c r="H3898" s="1118"/>
      <c r="I3898" s="324">
        <f t="shared" si="2721"/>
        <v>0</v>
      </c>
      <c r="J3898" s="1118"/>
      <c r="K3898" s="1118"/>
      <c r="L3898" s="317">
        <f t="shared" si="2710"/>
        <v>0</v>
      </c>
      <c r="M3898" s="317"/>
      <c r="N3898" s="372">
        <f t="shared" si="2712"/>
        <v>0</v>
      </c>
      <c r="O3898" s="336">
        <f t="shared" si="2732"/>
        <v>0</v>
      </c>
      <c r="P3898" s="1108">
        <f t="shared" si="2735"/>
        <v>0</v>
      </c>
      <c r="R3898" s="317"/>
      <c r="U3898" s="320"/>
    </row>
    <row r="3899" spans="1:21" s="1101" customFormat="1" outlineLevel="2">
      <c r="A3899" s="1106"/>
      <c r="B3899" s="1106"/>
      <c r="C3899" s="1116">
        <v>2210910</v>
      </c>
      <c r="D3899" s="1117" t="s">
        <v>1290</v>
      </c>
      <c r="E3899" s="587">
        <v>20000000</v>
      </c>
      <c r="F3899" s="1118"/>
      <c r="G3899" s="1118"/>
      <c r="H3899" s="1118"/>
      <c r="I3899" s="324">
        <f t="shared" si="2721"/>
        <v>20000000</v>
      </c>
      <c r="J3899" s="1118"/>
      <c r="K3899" s="1118"/>
      <c r="L3899" s="317">
        <f t="shared" si="2710"/>
        <v>20000000</v>
      </c>
      <c r="M3899" s="317"/>
      <c r="N3899" s="372">
        <f t="shared" si="2712"/>
        <v>0</v>
      </c>
      <c r="O3899" s="336">
        <f t="shared" si="2732"/>
        <v>22000000</v>
      </c>
      <c r="P3899" s="1108">
        <f t="shared" si="2735"/>
        <v>24200000.000000004</v>
      </c>
      <c r="R3899" s="317"/>
      <c r="U3899" s="320"/>
    </row>
    <row r="3900" spans="1:21" s="1101" customFormat="1" outlineLevel="2">
      <c r="A3900" s="1106"/>
      <c r="B3900" s="1106"/>
      <c r="C3900" s="1109">
        <v>2211000</v>
      </c>
      <c r="D3900" s="1110" t="s">
        <v>118</v>
      </c>
      <c r="E3900" s="1111">
        <f>SUM(E3901)</f>
        <v>4460000</v>
      </c>
      <c r="F3900" s="1111">
        <f t="shared" ref="F3900:P3900" si="2738">SUM(F3901)</f>
        <v>0</v>
      </c>
      <c r="G3900" s="1111">
        <f t="shared" si="2738"/>
        <v>0</v>
      </c>
      <c r="H3900" s="1111">
        <f t="shared" si="2738"/>
        <v>0</v>
      </c>
      <c r="I3900" s="1111">
        <f t="shared" si="2738"/>
        <v>4460000</v>
      </c>
      <c r="J3900" s="1111"/>
      <c r="K3900" s="1111"/>
      <c r="L3900" s="317">
        <f t="shared" si="2710"/>
        <v>4460000</v>
      </c>
      <c r="M3900" s="317"/>
      <c r="N3900" s="372">
        <f t="shared" si="2712"/>
        <v>0</v>
      </c>
      <c r="O3900" s="1111">
        <f t="shared" si="2738"/>
        <v>4906000</v>
      </c>
      <c r="P3900" s="1111">
        <f t="shared" si="2738"/>
        <v>5396600</v>
      </c>
      <c r="R3900" s="317"/>
      <c r="U3900" s="320"/>
    </row>
    <row r="3901" spans="1:21" s="1101" customFormat="1" outlineLevel="2">
      <c r="A3901" s="1106"/>
      <c r="B3901" s="1106"/>
      <c r="C3901" s="1116">
        <v>2211016</v>
      </c>
      <c r="D3901" s="1117" t="s">
        <v>196</v>
      </c>
      <c r="E3901" s="1114">
        <v>4460000</v>
      </c>
      <c r="F3901" s="1118"/>
      <c r="G3901" s="1118"/>
      <c r="H3901" s="1118"/>
      <c r="I3901" s="324">
        <f t="shared" si="2721"/>
        <v>4460000</v>
      </c>
      <c r="J3901" s="1118"/>
      <c r="K3901" s="1118"/>
      <c r="L3901" s="317">
        <f t="shared" si="2710"/>
        <v>4460000</v>
      </c>
      <c r="M3901" s="317"/>
      <c r="N3901" s="372">
        <f t="shared" si="2712"/>
        <v>0</v>
      </c>
      <c r="O3901" s="336">
        <f t="shared" si="2732"/>
        <v>4906000</v>
      </c>
      <c r="P3901" s="1108">
        <f t="shared" si="2735"/>
        <v>5396600</v>
      </c>
      <c r="R3901" s="317"/>
      <c r="U3901" s="320"/>
    </row>
    <row r="3902" spans="1:21" s="1101" customFormat="1" outlineLevel="2">
      <c r="A3902" s="1106"/>
      <c r="B3902" s="1106"/>
      <c r="C3902" s="1109">
        <v>2211300</v>
      </c>
      <c r="D3902" s="1110" t="s">
        <v>57</v>
      </c>
      <c r="E3902" s="1111">
        <f>SUM(E3903:E3909)</f>
        <v>26661760</v>
      </c>
      <c r="F3902" s="1111">
        <f t="shared" ref="F3902:I3902" si="2739">SUM(F3903:F3909)</f>
        <v>0</v>
      </c>
      <c r="G3902" s="1111">
        <f t="shared" si="2739"/>
        <v>0</v>
      </c>
      <c r="H3902" s="1111">
        <f t="shared" si="2739"/>
        <v>0</v>
      </c>
      <c r="I3902" s="1111">
        <f t="shared" si="2739"/>
        <v>26661760</v>
      </c>
      <c r="J3902" s="1111"/>
      <c r="K3902" s="1111"/>
      <c r="L3902" s="317">
        <f t="shared" si="2710"/>
        <v>26661760</v>
      </c>
      <c r="M3902" s="317"/>
      <c r="N3902" s="372">
        <f t="shared" si="2712"/>
        <v>0</v>
      </c>
      <c r="O3902" s="1111">
        <f t="shared" ref="O3902:P3902" si="2740">SUM(O3903:O3909)</f>
        <v>29327936</v>
      </c>
      <c r="P3902" s="1111">
        <f t="shared" si="2740"/>
        <v>32260729.600000001</v>
      </c>
      <c r="R3902" s="317"/>
      <c r="U3902" s="320"/>
    </row>
    <row r="3903" spans="1:21" s="1101" customFormat="1" outlineLevel="2">
      <c r="A3903" s="1106"/>
      <c r="B3903" s="1106"/>
      <c r="C3903" s="1116">
        <v>2211301</v>
      </c>
      <c r="D3903" s="1117" t="s">
        <v>198</v>
      </c>
      <c r="E3903" s="1114">
        <v>0</v>
      </c>
      <c r="F3903" s="1118"/>
      <c r="G3903" s="1118"/>
      <c r="H3903" s="1118"/>
      <c r="I3903" s="324">
        <f t="shared" si="2721"/>
        <v>0</v>
      </c>
      <c r="J3903" s="1118"/>
      <c r="K3903" s="1118"/>
      <c r="L3903" s="317">
        <f t="shared" si="2710"/>
        <v>0</v>
      </c>
      <c r="M3903" s="317"/>
      <c r="N3903" s="372">
        <f t="shared" si="2712"/>
        <v>0</v>
      </c>
      <c r="O3903" s="336">
        <f t="shared" si="2732"/>
        <v>0</v>
      </c>
      <c r="P3903" s="1108">
        <f t="shared" si="2735"/>
        <v>0</v>
      </c>
      <c r="R3903" s="317"/>
      <c r="U3903" s="320"/>
    </row>
    <row r="3904" spans="1:21" s="1101" customFormat="1" outlineLevel="2">
      <c r="A3904" s="1106"/>
      <c r="B3904" s="1106"/>
      <c r="C3904" s="1116">
        <v>2211306</v>
      </c>
      <c r="D3904" s="1117" t="s">
        <v>58</v>
      </c>
      <c r="E3904" s="587">
        <v>5000000</v>
      </c>
      <c r="F3904" s="1118"/>
      <c r="G3904" s="1118"/>
      <c r="H3904" s="1118"/>
      <c r="I3904" s="324">
        <f t="shared" si="2721"/>
        <v>5000000</v>
      </c>
      <c r="J3904" s="1118"/>
      <c r="K3904" s="1118"/>
      <c r="L3904" s="317">
        <f t="shared" si="2710"/>
        <v>5000000</v>
      </c>
      <c r="M3904" s="317"/>
      <c r="N3904" s="372">
        <f t="shared" si="2712"/>
        <v>0</v>
      </c>
      <c r="O3904" s="336">
        <f t="shared" si="2732"/>
        <v>5500000</v>
      </c>
      <c r="P3904" s="1108">
        <f t="shared" si="2735"/>
        <v>6050000.0000000009</v>
      </c>
      <c r="R3904" s="317"/>
      <c r="U3904" s="320"/>
    </row>
    <row r="3905" spans="1:21" s="1101" customFormat="1" outlineLevel="2">
      <c r="A3905" s="1106"/>
      <c r="B3905" s="1106"/>
      <c r="C3905" s="1116">
        <v>2211308</v>
      </c>
      <c r="D3905" s="1117" t="s">
        <v>1291</v>
      </c>
      <c r="E3905" s="587">
        <v>0</v>
      </c>
      <c r="F3905" s="1118"/>
      <c r="G3905" s="1118"/>
      <c r="H3905" s="1118"/>
      <c r="I3905" s="324">
        <f t="shared" si="2721"/>
        <v>0</v>
      </c>
      <c r="J3905" s="1118"/>
      <c r="K3905" s="1118"/>
      <c r="L3905" s="317">
        <f t="shared" si="2710"/>
        <v>0</v>
      </c>
      <c r="M3905" s="317"/>
      <c r="N3905" s="372">
        <f t="shared" si="2712"/>
        <v>0</v>
      </c>
      <c r="O3905" s="336">
        <f t="shared" si="2732"/>
        <v>0</v>
      </c>
      <c r="P3905" s="1108">
        <f t="shared" si="2735"/>
        <v>0</v>
      </c>
      <c r="R3905" s="317"/>
      <c r="U3905" s="320"/>
    </row>
    <row r="3906" spans="1:21" s="1101" customFormat="1" outlineLevel="2">
      <c r="A3906" s="1106"/>
      <c r="B3906" s="1106"/>
      <c r="C3906" s="1116">
        <v>2211310</v>
      </c>
      <c r="D3906" s="1117" t="s">
        <v>669</v>
      </c>
      <c r="E3906" s="587">
        <v>2000000</v>
      </c>
      <c r="F3906" s="1118"/>
      <c r="G3906" s="1118"/>
      <c r="H3906" s="1118"/>
      <c r="I3906" s="324">
        <f t="shared" si="2721"/>
        <v>2000000</v>
      </c>
      <c r="J3906" s="1118"/>
      <c r="K3906" s="1118"/>
      <c r="L3906" s="317">
        <f t="shared" si="2710"/>
        <v>2000000</v>
      </c>
      <c r="M3906" s="317"/>
      <c r="N3906" s="372">
        <f t="shared" si="2712"/>
        <v>0</v>
      </c>
      <c r="O3906" s="336">
        <f t="shared" si="2732"/>
        <v>2200000</v>
      </c>
      <c r="P3906" s="1108">
        <f t="shared" si="2735"/>
        <v>2420000</v>
      </c>
      <c r="R3906" s="317"/>
      <c r="U3906" s="320"/>
    </row>
    <row r="3907" spans="1:21" s="1101" customFormat="1" outlineLevel="2">
      <c r="A3907" s="1106"/>
      <c r="B3907" s="1106"/>
      <c r="C3907" s="1116">
        <v>2211313</v>
      </c>
      <c r="D3907" s="1117" t="s">
        <v>214</v>
      </c>
      <c r="E3907" s="587">
        <v>0</v>
      </c>
      <c r="F3907" s="1118"/>
      <c r="G3907" s="1118"/>
      <c r="H3907" s="1118"/>
      <c r="I3907" s="324">
        <f t="shared" si="2721"/>
        <v>0</v>
      </c>
      <c r="J3907" s="1118"/>
      <c r="K3907" s="1118"/>
      <c r="L3907" s="317">
        <f t="shared" si="2710"/>
        <v>0</v>
      </c>
      <c r="M3907" s="317"/>
      <c r="N3907" s="372">
        <f t="shared" si="2712"/>
        <v>0</v>
      </c>
      <c r="O3907" s="336">
        <f t="shared" si="2732"/>
        <v>0</v>
      </c>
      <c r="P3907" s="1108">
        <f t="shared" si="2735"/>
        <v>0</v>
      </c>
      <c r="R3907" s="317"/>
      <c r="U3907" s="320"/>
    </row>
    <row r="3908" spans="1:21" s="1101" customFormat="1" outlineLevel="2">
      <c r="A3908" s="1106"/>
      <c r="B3908" s="1106"/>
      <c r="C3908" s="1116">
        <v>2211325</v>
      </c>
      <c r="D3908" s="1117" t="s">
        <v>1292</v>
      </c>
      <c r="E3908" s="587">
        <v>19661760</v>
      </c>
      <c r="F3908" s="1118"/>
      <c r="G3908" s="1118"/>
      <c r="H3908" s="1118"/>
      <c r="I3908" s="324">
        <f t="shared" si="2721"/>
        <v>19661760</v>
      </c>
      <c r="J3908" s="1118"/>
      <c r="K3908" s="1118"/>
      <c r="L3908" s="317">
        <f t="shared" si="2710"/>
        <v>19661760</v>
      </c>
      <c r="M3908" s="317"/>
      <c r="N3908" s="372">
        <f t="shared" si="2712"/>
        <v>0</v>
      </c>
      <c r="O3908" s="336">
        <f t="shared" si="2732"/>
        <v>21627936</v>
      </c>
      <c r="P3908" s="1108">
        <f t="shared" si="2735"/>
        <v>23790729.600000001</v>
      </c>
      <c r="R3908" s="317"/>
      <c r="U3908" s="320"/>
    </row>
    <row r="3909" spans="1:21" s="1101" customFormat="1" outlineLevel="2">
      <c r="A3909" s="1106"/>
      <c r="B3909" s="1106"/>
      <c r="C3909" s="1116">
        <v>2211399</v>
      </c>
      <c r="D3909" s="1117" t="s">
        <v>1293</v>
      </c>
      <c r="E3909" s="587">
        <v>0</v>
      </c>
      <c r="F3909" s="1118"/>
      <c r="G3909" s="1118"/>
      <c r="H3909" s="1118"/>
      <c r="I3909" s="324">
        <f t="shared" si="2721"/>
        <v>0</v>
      </c>
      <c r="J3909" s="1118"/>
      <c r="K3909" s="1118"/>
      <c r="L3909" s="317">
        <f t="shared" ref="L3909:L3972" si="2741">I3909+J3909+K3909</f>
        <v>0</v>
      </c>
      <c r="M3909" s="317"/>
      <c r="N3909" s="372">
        <f t="shared" si="2712"/>
        <v>0</v>
      </c>
      <c r="O3909" s="336">
        <f t="shared" si="2732"/>
        <v>0</v>
      </c>
      <c r="P3909" s="1108">
        <f t="shared" si="2735"/>
        <v>0</v>
      </c>
      <c r="R3909" s="317"/>
      <c r="U3909" s="320"/>
    </row>
    <row r="3910" spans="1:21" s="1123" customFormat="1" outlineLevel="2">
      <c r="A3910" s="1124"/>
      <c r="B3910" s="1124"/>
      <c r="C3910" s="1130" t="s">
        <v>249</v>
      </c>
      <c r="D3910" s="1110" t="s">
        <v>124</v>
      </c>
      <c r="E3910" s="605">
        <f>E3911</f>
        <v>2000000</v>
      </c>
      <c r="F3910" s="605">
        <f t="shared" ref="F3910:I3910" si="2742">F3911</f>
        <v>0</v>
      </c>
      <c r="G3910" s="605">
        <f t="shared" si="2742"/>
        <v>0</v>
      </c>
      <c r="H3910" s="605">
        <f t="shared" si="2742"/>
        <v>0</v>
      </c>
      <c r="I3910" s="605">
        <f t="shared" si="2742"/>
        <v>2000000</v>
      </c>
      <c r="J3910" s="605"/>
      <c r="K3910" s="605"/>
      <c r="L3910" s="317">
        <f t="shared" si="2741"/>
        <v>2000000</v>
      </c>
      <c r="M3910" s="317"/>
      <c r="N3910" s="372">
        <f t="shared" si="2712"/>
        <v>0</v>
      </c>
      <c r="O3910" s="605">
        <f t="shared" ref="O3910:P3910" si="2743">O3911</f>
        <v>2200000</v>
      </c>
      <c r="P3910" s="605">
        <f t="shared" si="2743"/>
        <v>2420000</v>
      </c>
      <c r="R3910" s="317"/>
      <c r="U3910" s="320"/>
    </row>
    <row r="3911" spans="1:21" s="1101" customFormat="1" outlineLevel="2">
      <c r="A3911" s="1106"/>
      <c r="B3911" s="1106"/>
      <c r="C3911" s="1116" t="s">
        <v>2016</v>
      </c>
      <c r="D3911" s="1125" t="s">
        <v>87</v>
      </c>
      <c r="E3911" s="587">
        <v>2000000</v>
      </c>
      <c r="F3911" s="1126"/>
      <c r="G3911" s="1126"/>
      <c r="H3911" s="1126"/>
      <c r="I3911" s="324">
        <f t="shared" si="2721"/>
        <v>2000000</v>
      </c>
      <c r="J3911" s="1126"/>
      <c r="K3911" s="1126"/>
      <c r="L3911" s="317">
        <f t="shared" si="2741"/>
        <v>2000000</v>
      </c>
      <c r="M3911" s="317"/>
      <c r="N3911" s="372">
        <f t="shared" si="2712"/>
        <v>0</v>
      </c>
      <c r="O3911" s="336">
        <f t="shared" si="2732"/>
        <v>2200000</v>
      </c>
      <c r="P3911" s="1108">
        <f t="shared" si="2735"/>
        <v>2420000</v>
      </c>
      <c r="R3911" s="317"/>
      <c r="U3911" s="320"/>
    </row>
    <row r="3912" spans="1:21" s="1101" customFormat="1" outlineLevel="2">
      <c r="A3912" s="1106"/>
      <c r="B3912" s="1106"/>
      <c r="C3912" s="1109">
        <v>2710100</v>
      </c>
      <c r="D3912" s="1110" t="s">
        <v>1294</v>
      </c>
      <c r="E3912" s="1111">
        <f>E3914+E3913+E3915</f>
        <v>38221180</v>
      </c>
      <c r="F3912" s="1111">
        <f t="shared" ref="F3912:I3912" si="2744">F3914+F3913+F3915</f>
        <v>0</v>
      </c>
      <c r="G3912" s="1111">
        <f t="shared" si="2744"/>
        <v>0</v>
      </c>
      <c r="H3912" s="1111">
        <f t="shared" si="2744"/>
        <v>0</v>
      </c>
      <c r="I3912" s="1111">
        <f t="shared" si="2744"/>
        <v>38221180</v>
      </c>
      <c r="J3912" s="1111"/>
      <c r="K3912" s="1111"/>
      <c r="L3912" s="317">
        <f t="shared" si="2741"/>
        <v>38221180</v>
      </c>
      <c r="M3912" s="317"/>
      <c r="N3912" s="372">
        <f t="shared" si="2712"/>
        <v>0</v>
      </c>
      <c r="O3912" s="1111">
        <f t="shared" ref="O3912:P3912" si="2745">O3914+O3913+O3915</f>
        <v>42043298</v>
      </c>
      <c r="P3912" s="1111">
        <f t="shared" si="2745"/>
        <v>46247627.800000004</v>
      </c>
      <c r="R3912" s="317"/>
      <c r="U3912" s="320"/>
    </row>
    <row r="3913" spans="1:21" s="1101" customFormat="1" outlineLevel="2">
      <c r="A3913" s="1106"/>
      <c r="B3913" s="1106"/>
      <c r="C3913" s="774">
        <v>2710102</v>
      </c>
      <c r="D3913" s="1136" t="s">
        <v>1295</v>
      </c>
      <c r="E3913" s="1137">
        <v>11509529</v>
      </c>
      <c r="F3913" s="647"/>
      <c r="G3913" s="647"/>
      <c r="H3913" s="647"/>
      <c r="I3913" s="324">
        <f t="shared" si="2721"/>
        <v>11509529</v>
      </c>
      <c r="J3913" s="647"/>
      <c r="K3913" s="647"/>
      <c r="L3913" s="317">
        <f t="shared" si="2741"/>
        <v>11509529</v>
      </c>
      <c r="M3913" s="317"/>
      <c r="N3913" s="372">
        <f t="shared" ref="N3913:N3976" si="2746">M3913-K3913</f>
        <v>0</v>
      </c>
      <c r="O3913" s="336">
        <f t="shared" si="2732"/>
        <v>12660481.9</v>
      </c>
      <c r="P3913" s="1108">
        <f t="shared" si="2735"/>
        <v>13926530.090000002</v>
      </c>
      <c r="R3913" s="317"/>
      <c r="U3913" s="320"/>
    </row>
    <row r="3914" spans="1:21" s="1101" customFormat="1" outlineLevel="2">
      <c r="A3914" s="1106"/>
      <c r="B3914" s="1106"/>
      <c r="C3914" s="774">
        <v>2710103</v>
      </c>
      <c r="D3914" s="1136" t="s">
        <v>1296</v>
      </c>
      <c r="E3914" s="1137">
        <v>24711651</v>
      </c>
      <c r="F3914" s="647"/>
      <c r="G3914" s="647"/>
      <c r="H3914" s="647"/>
      <c r="I3914" s="324">
        <f t="shared" si="2721"/>
        <v>24711651</v>
      </c>
      <c r="J3914" s="647"/>
      <c r="K3914" s="647"/>
      <c r="L3914" s="317">
        <f t="shared" si="2741"/>
        <v>24711651</v>
      </c>
      <c r="M3914" s="317"/>
      <c r="N3914" s="372">
        <f t="shared" si="2746"/>
        <v>0</v>
      </c>
      <c r="O3914" s="336">
        <f t="shared" si="2732"/>
        <v>27182816.100000001</v>
      </c>
      <c r="P3914" s="1108">
        <f t="shared" si="2735"/>
        <v>29901097.710000005</v>
      </c>
      <c r="R3914" s="317"/>
      <c r="U3914" s="320"/>
    </row>
    <row r="3915" spans="1:21" s="1101" customFormat="1" outlineLevel="2">
      <c r="A3915" s="1106"/>
      <c r="B3915" s="1106"/>
      <c r="C3915" s="774" t="s">
        <v>2017</v>
      </c>
      <c r="D3915" s="1136" t="s">
        <v>2018</v>
      </c>
      <c r="E3915" s="1137">
        <v>2000000</v>
      </c>
      <c r="F3915" s="647"/>
      <c r="G3915" s="647"/>
      <c r="H3915" s="647"/>
      <c r="I3915" s="324">
        <f t="shared" si="2721"/>
        <v>2000000</v>
      </c>
      <c r="J3915" s="647"/>
      <c r="K3915" s="647"/>
      <c r="L3915" s="317">
        <f t="shared" si="2741"/>
        <v>2000000</v>
      </c>
      <c r="M3915" s="317"/>
      <c r="N3915" s="372">
        <f t="shared" si="2746"/>
        <v>0</v>
      </c>
      <c r="O3915" s="336">
        <f t="shared" si="2732"/>
        <v>2200000</v>
      </c>
      <c r="P3915" s="1131">
        <f t="shared" si="2735"/>
        <v>2420000</v>
      </c>
      <c r="R3915" s="317"/>
      <c r="U3915" s="320"/>
    </row>
    <row r="3916" spans="1:21" s="1101" customFormat="1" outlineLevel="2">
      <c r="A3916" s="1106"/>
      <c r="B3916" s="1106"/>
      <c r="C3916" s="1109">
        <v>3110700</v>
      </c>
      <c r="D3916" s="1110" t="s">
        <v>65</v>
      </c>
      <c r="E3916" s="1111">
        <f>SUM(E3917)</f>
        <v>0</v>
      </c>
      <c r="F3916" s="1148"/>
      <c r="G3916" s="1148"/>
      <c r="H3916" s="1148"/>
      <c r="I3916" s="324">
        <f t="shared" si="2721"/>
        <v>0</v>
      </c>
      <c r="J3916" s="1148"/>
      <c r="K3916" s="1148"/>
      <c r="L3916" s="317">
        <f t="shared" si="2741"/>
        <v>0</v>
      </c>
      <c r="M3916" s="317"/>
      <c r="N3916" s="372">
        <f t="shared" si="2746"/>
        <v>0</v>
      </c>
      <c r="O3916" s="336">
        <f t="shared" si="2732"/>
        <v>0</v>
      </c>
      <c r="P3916" s="1131">
        <f t="shared" si="2735"/>
        <v>0</v>
      </c>
      <c r="R3916" s="317"/>
      <c r="U3916" s="320"/>
    </row>
    <row r="3917" spans="1:21" s="1101" customFormat="1" outlineLevel="2">
      <c r="A3917" s="1106"/>
      <c r="B3917" s="1106"/>
      <c r="C3917" s="1116">
        <v>3110701</v>
      </c>
      <c r="D3917" s="1117" t="s">
        <v>140</v>
      </c>
      <c r="E3917" s="1114">
        <v>0</v>
      </c>
      <c r="F3917" s="1118"/>
      <c r="G3917" s="1118"/>
      <c r="H3917" s="1118"/>
      <c r="I3917" s="324">
        <f t="shared" si="2721"/>
        <v>0</v>
      </c>
      <c r="J3917" s="1118"/>
      <c r="K3917" s="1118"/>
      <c r="L3917" s="317">
        <f t="shared" si="2741"/>
        <v>0</v>
      </c>
      <c r="M3917" s="317"/>
      <c r="N3917" s="372">
        <f t="shared" si="2746"/>
        <v>0</v>
      </c>
      <c r="O3917" s="336">
        <f t="shared" si="2732"/>
        <v>0</v>
      </c>
      <c r="P3917" s="1131">
        <f t="shared" si="2735"/>
        <v>0</v>
      </c>
      <c r="R3917" s="317"/>
      <c r="U3917" s="320"/>
    </row>
    <row r="3918" spans="1:21" s="1101" customFormat="1" outlineLevel="1">
      <c r="A3918" s="1106"/>
      <c r="B3918" s="1106"/>
      <c r="C3918" s="1149" t="s">
        <v>2019</v>
      </c>
      <c r="D3918" s="1142"/>
      <c r="E3918" s="789">
        <f>SUM(E3854,E3857,E3863,E3866,E3871,E3875,E3882,E3888,E3894,E3900,E3902,E3912,E3916,E3879,E3910)</f>
        <v>679037698</v>
      </c>
      <c r="F3918" s="789">
        <f t="shared" ref="F3918:P3918" si="2747">SUM(F3854,F3857,F3863,F3866,F3871,F3875,F3882,F3888,F3894,F3900,F3902,F3912,F3916,F3879,F3910)</f>
        <v>0</v>
      </c>
      <c r="G3918" s="789">
        <f t="shared" si="2747"/>
        <v>0</v>
      </c>
      <c r="H3918" s="789">
        <f t="shared" si="2747"/>
        <v>0</v>
      </c>
      <c r="I3918" s="789">
        <f t="shared" si="2747"/>
        <v>679037698</v>
      </c>
      <c r="J3918" s="789">
        <f t="shared" si="2747"/>
        <v>0</v>
      </c>
      <c r="K3918" s="789">
        <f t="shared" si="2747"/>
        <v>0</v>
      </c>
      <c r="L3918" s="317">
        <f t="shared" si="2741"/>
        <v>679037698</v>
      </c>
      <c r="M3918" s="317"/>
      <c r="N3918" s="372">
        <f t="shared" si="2746"/>
        <v>0</v>
      </c>
      <c r="O3918" s="789">
        <f t="shared" si="2747"/>
        <v>746941467.79999995</v>
      </c>
      <c r="P3918" s="789">
        <f t="shared" si="2747"/>
        <v>821635614.57999992</v>
      </c>
      <c r="R3918" s="317"/>
      <c r="U3918" s="320"/>
    </row>
    <row r="3919" spans="1:21" s="1101" customFormat="1" outlineLevel="1">
      <c r="A3919" s="1106"/>
      <c r="B3919" s="1106"/>
      <c r="C3919" s="1149"/>
      <c r="D3919" s="1142"/>
      <c r="E3919" s="789"/>
      <c r="F3919" s="1143"/>
      <c r="G3919" s="1143"/>
      <c r="H3919" s="1143"/>
      <c r="I3919" s="324">
        <f t="shared" si="2721"/>
        <v>0</v>
      </c>
      <c r="J3919" s="1143"/>
      <c r="K3919" s="1143"/>
      <c r="L3919" s="317">
        <f t="shared" si="2741"/>
        <v>0</v>
      </c>
      <c r="M3919" s="317"/>
      <c r="N3919" s="372">
        <f t="shared" si="2746"/>
        <v>0</v>
      </c>
      <c r="O3919" s="336">
        <f t="shared" si="2732"/>
        <v>0</v>
      </c>
      <c r="P3919" s="1131">
        <f t="shared" si="2735"/>
        <v>0</v>
      </c>
      <c r="R3919" s="317"/>
      <c r="U3919" s="320"/>
    </row>
    <row r="3920" spans="1:21" s="1101" customFormat="1" outlineLevel="1">
      <c r="A3920" s="1106"/>
      <c r="B3920" s="1106"/>
      <c r="C3920" s="1149"/>
      <c r="D3920" s="1142" t="s">
        <v>92</v>
      </c>
      <c r="E3920" s="789"/>
      <c r="F3920" s="1143"/>
      <c r="G3920" s="1143"/>
      <c r="H3920" s="1143"/>
      <c r="I3920" s="324">
        <f t="shared" si="2721"/>
        <v>0</v>
      </c>
      <c r="J3920" s="1143"/>
      <c r="K3920" s="1143"/>
      <c r="L3920" s="317">
        <f t="shared" si="2741"/>
        <v>0</v>
      </c>
      <c r="M3920" s="317"/>
      <c r="N3920" s="372">
        <f t="shared" si="2746"/>
        <v>0</v>
      </c>
      <c r="O3920" s="336">
        <f t="shared" si="2732"/>
        <v>0</v>
      </c>
      <c r="P3920" s="1131">
        <f t="shared" si="2735"/>
        <v>0</v>
      </c>
      <c r="R3920" s="317"/>
      <c r="U3920" s="320"/>
    </row>
    <row r="3921" spans="1:21" s="1101" customFormat="1" outlineLevel="1">
      <c r="A3921" s="1150"/>
      <c r="B3921" s="1150"/>
      <c r="C3921" s="1151" t="s">
        <v>2021</v>
      </c>
      <c r="D3921" s="1152" t="s">
        <v>79</v>
      </c>
      <c r="E3921" s="825">
        <f>E3922</f>
        <v>33042008</v>
      </c>
      <c r="F3921" s="825">
        <f t="shared" ref="F3921:K3921" si="2748">F3922</f>
        <v>202858553</v>
      </c>
      <c r="G3921" s="825">
        <f t="shared" si="2748"/>
        <v>-133042008</v>
      </c>
      <c r="H3921" s="825">
        <f t="shared" si="2748"/>
        <v>33042008</v>
      </c>
      <c r="I3921" s="825">
        <f t="shared" si="2748"/>
        <v>135900561</v>
      </c>
      <c r="J3921" s="825">
        <f t="shared" si="2748"/>
        <v>0</v>
      </c>
      <c r="K3921" s="825">
        <f t="shared" si="2748"/>
        <v>0</v>
      </c>
      <c r="L3921" s="317">
        <f t="shared" si="2741"/>
        <v>135900561</v>
      </c>
      <c r="M3921" s="2212"/>
      <c r="N3921" s="372">
        <f t="shared" si="2746"/>
        <v>0</v>
      </c>
      <c r="O3921" s="825">
        <f t="shared" ref="O3921:P3921" si="2749">O3922</f>
        <v>149490617.10000002</v>
      </c>
      <c r="P3921" s="825">
        <f t="shared" si="2749"/>
        <v>164439678.81000003</v>
      </c>
      <c r="R3921" s="317"/>
      <c r="U3921" s="320"/>
    </row>
    <row r="3922" spans="1:21" s="1101" customFormat="1" outlineLevel="1">
      <c r="A3922" s="1106"/>
      <c r="B3922" s="1106"/>
      <c r="C3922" s="1112" t="s">
        <v>2020</v>
      </c>
      <c r="D3922" s="1125" t="s">
        <v>413</v>
      </c>
      <c r="E3922" s="790">
        <v>33042008</v>
      </c>
      <c r="F3922" s="790">
        <v>202858553</v>
      </c>
      <c r="G3922" s="790">
        <v>-133042008</v>
      </c>
      <c r="H3922" s="790">
        <f>133042008-100000000</f>
        <v>33042008</v>
      </c>
      <c r="I3922" s="324">
        <f t="shared" si="2721"/>
        <v>135900561</v>
      </c>
      <c r="J3922" s="790"/>
      <c r="K3922" s="790"/>
      <c r="L3922" s="317">
        <f t="shared" si="2741"/>
        <v>135900561</v>
      </c>
      <c r="M3922" s="317"/>
      <c r="N3922" s="372">
        <f t="shared" si="2746"/>
        <v>0</v>
      </c>
      <c r="O3922" s="336">
        <f t="shared" si="2732"/>
        <v>149490617.10000002</v>
      </c>
      <c r="P3922" s="1131">
        <f t="shared" si="2735"/>
        <v>164439678.81000003</v>
      </c>
      <c r="R3922" s="317"/>
      <c r="U3922" s="320"/>
    </row>
    <row r="3923" spans="1:21" s="1123" customFormat="1" outlineLevel="1">
      <c r="A3923" s="1153"/>
      <c r="B3923" s="1153"/>
      <c r="C3923" s="1154">
        <v>3130100</v>
      </c>
      <c r="D3923" s="1155" t="s">
        <v>2022</v>
      </c>
      <c r="E3923" s="824">
        <f>E3924</f>
        <v>5000000</v>
      </c>
      <c r="F3923" s="824">
        <f t="shared" ref="F3923:I3923" si="2750">F3924</f>
        <v>0</v>
      </c>
      <c r="G3923" s="824">
        <f t="shared" si="2750"/>
        <v>0</v>
      </c>
      <c r="H3923" s="824">
        <f t="shared" si="2750"/>
        <v>0</v>
      </c>
      <c r="I3923" s="824">
        <f t="shared" si="2750"/>
        <v>5000000</v>
      </c>
      <c r="J3923" s="824"/>
      <c r="K3923" s="824"/>
      <c r="L3923" s="317">
        <f t="shared" si="2741"/>
        <v>5000000</v>
      </c>
      <c r="M3923" s="2211"/>
      <c r="N3923" s="372">
        <f t="shared" si="2746"/>
        <v>0</v>
      </c>
      <c r="O3923" s="824">
        <f t="shared" ref="O3923:P3923" si="2751">O3924</f>
        <v>5500000</v>
      </c>
      <c r="P3923" s="824">
        <f t="shared" si="2751"/>
        <v>6050000.0000000009</v>
      </c>
      <c r="R3923" s="317"/>
      <c r="U3923" s="320"/>
    </row>
    <row r="3924" spans="1:21" s="1101" customFormat="1" outlineLevel="1">
      <c r="A3924" s="1106"/>
      <c r="B3924" s="1106"/>
      <c r="C3924" s="1156">
        <v>3130101</v>
      </c>
      <c r="D3924" s="1113" t="s">
        <v>2023</v>
      </c>
      <c r="E3924" s="790">
        <v>5000000</v>
      </c>
      <c r="F3924" s="1115"/>
      <c r="G3924" s="1115"/>
      <c r="H3924" s="1115"/>
      <c r="I3924" s="324">
        <f t="shared" si="2721"/>
        <v>5000000</v>
      </c>
      <c r="J3924" s="1115"/>
      <c r="K3924" s="1115"/>
      <c r="L3924" s="317">
        <f t="shared" si="2741"/>
        <v>5000000</v>
      </c>
      <c r="M3924" s="317"/>
      <c r="N3924" s="372">
        <f t="shared" si="2746"/>
        <v>0</v>
      </c>
      <c r="O3924" s="336">
        <f t="shared" si="2732"/>
        <v>5500000</v>
      </c>
      <c r="P3924" s="1131">
        <f t="shared" si="2735"/>
        <v>6050000.0000000009</v>
      </c>
      <c r="R3924" s="317"/>
      <c r="U3924" s="320"/>
    </row>
    <row r="3925" spans="1:21" s="1123" customFormat="1" outlineLevel="1">
      <c r="A3925" s="1124"/>
      <c r="B3925" s="1124"/>
      <c r="C3925" s="1149" t="s">
        <v>2024</v>
      </c>
      <c r="D3925" s="1142"/>
      <c r="E3925" s="789">
        <f>E3921+E3923</f>
        <v>38042008</v>
      </c>
      <c r="F3925" s="789">
        <f t="shared" ref="F3925:K3925" si="2752">F3921+F3923</f>
        <v>202858553</v>
      </c>
      <c r="G3925" s="789">
        <f t="shared" si="2752"/>
        <v>-133042008</v>
      </c>
      <c r="H3925" s="789">
        <f t="shared" si="2752"/>
        <v>33042008</v>
      </c>
      <c r="I3925" s="789">
        <f t="shared" si="2752"/>
        <v>140900561</v>
      </c>
      <c r="J3925" s="789">
        <f t="shared" si="2752"/>
        <v>0</v>
      </c>
      <c r="K3925" s="789">
        <f t="shared" si="2752"/>
        <v>0</v>
      </c>
      <c r="L3925" s="317">
        <f t="shared" si="2741"/>
        <v>140900561</v>
      </c>
      <c r="M3925" s="317"/>
      <c r="N3925" s="372">
        <f t="shared" si="2746"/>
        <v>0</v>
      </c>
      <c r="O3925" s="789">
        <f t="shared" ref="O3925:P3925" si="2753">O3921+O3923</f>
        <v>154990617.10000002</v>
      </c>
      <c r="P3925" s="789">
        <f t="shared" si="2753"/>
        <v>170489678.81000003</v>
      </c>
      <c r="R3925" s="317"/>
      <c r="U3925" s="320"/>
    </row>
    <row r="3926" spans="1:21">
      <c r="A3926" s="345"/>
      <c r="B3926" s="345"/>
      <c r="C3926" s="314"/>
      <c r="D3926" s="314" t="s">
        <v>99</v>
      </c>
      <c r="E3926" s="700">
        <f>E3850+E3918</f>
        <v>1062587992</v>
      </c>
      <c r="F3926" s="700">
        <f t="shared" ref="F3926:L3926" si="2754">F3850+F3918</f>
        <v>184052997</v>
      </c>
      <c r="G3926" s="700">
        <f t="shared" si="2754"/>
        <v>0</v>
      </c>
      <c r="H3926" s="700">
        <f t="shared" si="2754"/>
        <v>0</v>
      </c>
      <c r="I3926" s="700">
        <f t="shared" si="2754"/>
        <v>1246640989</v>
      </c>
      <c r="J3926" s="700">
        <f t="shared" si="2754"/>
        <v>-116510437</v>
      </c>
      <c r="K3926" s="700">
        <f t="shared" si="2754"/>
        <v>0</v>
      </c>
      <c r="L3926" s="700">
        <f t="shared" si="2754"/>
        <v>1130130552</v>
      </c>
      <c r="M3926" s="700"/>
      <c r="N3926" s="372">
        <f t="shared" si="2746"/>
        <v>0</v>
      </c>
      <c r="O3926" s="700">
        <f t="shared" ref="O3926:P3926" si="2755">O3850+O3918</f>
        <v>1243143607.2</v>
      </c>
      <c r="P3926" s="700">
        <f t="shared" si="2755"/>
        <v>1364311967.9200001</v>
      </c>
      <c r="R3926" s="700"/>
      <c r="U3926" s="827"/>
    </row>
    <row r="3927" spans="1:21">
      <c r="A3927" s="897"/>
      <c r="B3927" s="897"/>
      <c r="C3927" s="314"/>
      <c r="D3927" s="314" t="s">
        <v>175</v>
      </c>
      <c r="E3927" s="700">
        <f>E3925</f>
        <v>38042008</v>
      </c>
      <c r="F3927" s="700">
        <f t="shared" ref="F3927:L3927" si="2756">F3925</f>
        <v>202858553</v>
      </c>
      <c r="G3927" s="700">
        <f t="shared" si="2756"/>
        <v>-133042008</v>
      </c>
      <c r="H3927" s="700">
        <f t="shared" si="2756"/>
        <v>33042008</v>
      </c>
      <c r="I3927" s="700">
        <f t="shared" si="2756"/>
        <v>140900561</v>
      </c>
      <c r="J3927" s="700">
        <f t="shared" si="2756"/>
        <v>0</v>
      </c>
      <c r="K3927" s="700">
        <f t="shared" si="2756"/>
        <v>0</v>
      </c>
      <c r="L3927" s="700">
        <f t="shared" si="2756"/>
        <v>140900561</v>
      </c>
      <c r="M3927" s="700"/>
      <c r="N3927" s="372">
        <f t="shared" si="2746"/>
        <v>0</v>
      </c>
      <c r="O3927" s="700">
        <f t="shared" ref="O3927:P3927" si="2757">O3925</f>
        <v>154990617.10000002</v>
      </c>
      <c r="P3927" s="700">
        <f t="shared" si="2757"/>
        <v>170489678.81000003</v>
      </c>
      <c r="R3927" s="700"/>
      <c r="U3927" s="827"/>
    </row>
    <row r="3928" spans="1:21">
      <c r="A3928" s="897"/>
      <c r="B3928" s="897"/>
      <c r="C3928" s="572" t="s">
        <v>677</v>
      </c>
      <c r="D3928" s="573"/>
      <c r="E3928" s="700">
        <f>E3926+E3927</f>
        <v>1100630000</v>
      </c>
      <c r="F3928" s="700">
        <f t="shared" ref="F3928:L3928" si="2758">F3926+F3927</f>
        <v>386911550</v>
      </c>
      <c r="G3928" s="700">
        <f t="shared" si="2758"/>
        <v>-133042008</v>
      </c>
      <c r="H3928" s="700">
        <f t="shared" si="2758"/>
        <v>33042008</v>
      </c>
      <c r="I3928" s="700">
        <f t="shared" si="2758"/>
        <v>1387541550</v>
      </c>
      <c r="J3928" s="700">
        <f t="shared" si="2758"/>
        <v>-116510437</v>
      </c>
      <c r="K3928" s="700">
        <f t="shared" si="2758"/>
        <v>0</v>
      </c>
      <c r="L3928" s="700">
        <f t="shared" si="2758"/>
        <v>1271031113</v>
      </c>
      <c r="M3928" s="700"/>
      <c r="N3928" s="372">
        <f t="shared" si="2746"/>
        <v>0</v>
      </c>
      <c r="O3928" s="700">
        <f t="shared" ref="O3928:P3928" si="2759">O3926+O3927</f>
        <v>1398134224.3000002</v>
      </c>
      <c r="P3928" s="700">
        <f t="shared" si="2759"/>
        <v>1534801646.73</v>
      </c>
      <c r="R3928" s="700"/>
      <c r="U3928" s="827" t="s">
        <v>1803</v>
      </c>
    </row>
    <row r="3929" spans="1:21" s="344" customFormat="1">
      <c r="A3929" s="897"/>
      <c r="B3929" s="897"/>
      <c r="C3929" s="314"/>
      <c r="D3929" s="574"/>
      <c r="E3929" s="422"/>
      <c r="F3929" s="576"/>
      <c r="G3929" s="576"/>
      <c r="H3929" s="576"/>
      <c r="I3929" s="324">
        <f t="shared" ref="I3929:I3991" si="2760">E3929+F3929+G3929+H3929</f>
        <v>0</v>
      </c>
      <c r="J3929" s="576"/>
      <c r="K3929" s="576"/>
      <c r="L3929" s="317"/>
      <c r="M3929" s="317"/>
      <c r="N3929" s="372">
        <f t="shared" si="2746"/>
        <v>0</v>
      </c>
      <c r="O3929" s="336">
        <f t="shared" si="2732"/>
        <v>0</v>
      </c>
      <c r="P3929" s="1131">
        <f t="shared" si="2735"/>
        <v>0</v>
      </c>
      <c r="R3929" s="317"/>
      <c r="U3929" s="320"/>
    </row>
    <row r="3930" spans="1:21" s="344" customFormat="1">
      <c r="A3930" s="1039"/>
      <c r="B3930" s="1039"/>
      <c r="C3930" s="578"/>
      <c r="D3930" s="579"/>
      <c r="E3930" s="1040"/>
      <c r="F3930" s="581"/>
      <c r="G3930" s="581"/>
      <c r="H3930" s="581"/>
      <c r="I3930" s="324">
        <f t="shared" si="2760"/>
        <v>0</v>
      </c>
      <c r="J3930" s="581"/>
      <c r="K3930" s="581"/>
      <c r="L3930" s="317"/>
      <c r="M3930" s="317"/>
      <c r="N3930" s="372">
        <f t="shared" si="2746"/>
        <v>0</v>
      </c>
      <c r="O3930" s="336">
        <f t="shared" si="2732"/>
        <v>0</v>
      </c>
      <c r="P3930" s="1131">
        <f t="shared" si="2735"/>
        <v>0</v>
      </c>
      <c r="R3930" s="317"/>
      <c r="U3930" s="320"/>
    </row>
    <row r="3931" spans="1:21" s="344" customFormat="1">
      <c r="A3931" s="345"/>
      <c r="B3931" s="345"/>
      <c r="C3931" s="447" t="s">
        <v>678</v>
      </c>
      <c r="D3931" s="447"/>
      <c r="E3931" s="1157"/>
      <c r="F3931" s="438"/>
      <c r="G3931" s="438"/>
      <c r="H3931" s="438"/>
      <c r="I3931" s="324">
        <f t="shared" si="2760"/>
        <v>0</v>
      </c>
      <c r="J3931" s="438"/>
      <c r="K3931" s="438"/>
      <c r="L3931" s="317"/>
      <c r="M3931" s="317"/>
      <c r="N3931" s="372">
        <f t="shared" si="2746"/>
        <v>0</v>
      </c>
      <c r="O3931" s="336">
        <f t="shared" si="2732"/>
        <v>0</v>
      </c>
      <c r="P3931" s="1131">
        <f t="shared" si="2735"/>
        <v>0</v>
      </c>
      <c r="R3931" s="317"/>
      <c r="U3931" s="320" t="s">
        <v>1803</v>
      </c>
    </row>
    <row r="3932" spans="1:21" s="344" customFormat="1" outlineLevel="1">
      <c r="A3932" s="1158" t="s">
        <v>679</v>
      </c>
      <c r="B3932" s="1159" t="s">
        <v>146</v>
      </c>
      <c r="C3932" s="583"/>
      <c r="D3932" s="663" t="s">
        <v>680</v>
      </c>
      <c r="E3932" s="993"/>
      <c r="F3932" s="665"/>
      <c r="G3932" s="665"/>
      <c r="H3932" s="665"/>
      <c r="I3932" s="324">
        <f t="shared" si="2760"/>
        <v>0</v>
      </c>
      <c r="J3932" s="665"/>
      <c r="K3932" s="665"/>
      <c r="L3932" s="317">
        <f t="shared" si="2741"/>
        <v>0</v>
      </c>
      <c r="M3932" s="317"/>
      <c r="N3932" s="372">
        <f t="shared" si="2746"/>
        <v>0</v>
      </c>
      <c r="O3932" s="336">
        <f t="shared" si="2732"/>
        <v>0</v>
      </c>
      <c r="P3932" s="1131">
        <f t="shared" si="2735"/>
        <v>0</v>
      </c>
      <c r="R3932" s="317"/>
      <c r="U3932" s="320"/>
    </row>
    <row r="3933" spans="1:21" s="344" customFormat="1" outlineLevel="1">
      <c r="A3933" s="345"/>
      <c r="B3933" s="345"/>
      <c r="C3933" s="328"/>
      <c r="D3933" s="447" t="s">
        <v>681</v>
      </c>
      <c r="E3933" s="587"/>
      <c r="F3933" s="438"/>
      <c r="G3933" s="438"/>
      <c r="H3933" s="438"/>
      <c r="I3933" s="324">
        <f t="shared" si="2760"/>
        <v>0</v>
      </c>
      <c r="J3933" s="438"/>
      <c r="K3933" s="438"/>
      <c r="L3933" s="317">
        <f t="shared" si="2741"/>
        <v>0</v>
      </c>
      <c r="M3933" s="317"/>
      <c r="N3933" s="372">
        <f t="shared" si="2746"/>
        <v>0</v>
      </c>
      <c r="O3933" s="336">
        <f t="shared" si="2732"/>
        <v>0</v>
      </c>
      <c r="P3933" s="1131">
        <f t="shared" si="2735"/>
        <v>0</v>
      </c>
      <c r="R3933" s="317"/>
      <c r="U3933" s="320"/>
    </row>
    <row r="3934" spans="1:21" s="344" customFormat="1" outlineLevel="3">
      <c r="A3934" s="345"/>
      <c r="B3934" s="345"/>
      <c r="C3934" s="770">
        <v>2110100</v>
      </c>
      <c r="D3934" s="636" t="s">
        <v>13</v>
      </c>
      <c r="E3934" s="605">
        <f>E3935</f>
        <v>33636755</v>
      </c>
      <c r="F3934" s="605">
        <f t="shared" ref="F3934:P3934" si="2761">F3935</f>
        <v>0</v>
      </c>
      <c r="G3934" s="605">
        <f t="shared" si="2761"/>
        <v>0</v>
      </c>
      <c r="H3934" s="605">
        <f t="shared" si="2761"/>
        <v>0</v>
      </c>
      <c r="I3934" s="605">
        <f t="shared" si="2761"/>
        <v>33636755</v>
      </c>
      <c r="J3934" s="605">
        <f t="shared" si="2761"/>
        <v>0</v>
      </c>
      <c r="K3934" s="605">
        <f t="shared" si="2761"/>
        <v>0</v>
      </c>
      <c r="L3934" s="317">
        <f t="shared" si="2741"/>
        <v>33636755</v>
      </c>
      <c r="M3934" s="317"/>
      <c r="N3934" s="372">
        <f t="shared" si="2746"/>
        <v>0</v>
      </c>
      <c r="O3934" s="605">
        <f t="shared" si="2761"/>
        <v>37000430.5</v>
      </c>
      <c r="P3934" s="605">
        <f t="shared" si="2761"/>
        <v>40700473.550000004</v>
      </c>
      <c r="R3934" s="317"/>
      <c r="U3934" s="320"/>
    </row>
    <row r="3935" spans="1:21" outlineLevel="3">
      <c r="A3935" s="345"/>
      <c r="B3935" s="345"/>
      <c r="C3935" s="405">
        <v>2110101</v>
      </c>
      <c r="D3935" s="345" t="s">
        <v>14</v>
      </c>
      <c r="E3935" s="1160">
        <v>33636755</v>
      </c>
      <c r="F3935" s="406"/>
      <c r="G3935" s="406"/>
      <c r="H3935" s="406"/>
      <c r="I3935" s="324">
        <f t="shared" si="2760"/>
        <v>33636755</v>
      </c>
      <c r="J3935" s="406"/>
      <c r="K3935" s="406"/>
      <c r="L3935" s="317">
        <f t="shared" si="2741"/>
        <v>33636755</v>
      </c>
      <c r="M3935" s="317"/>
      <c r="N3935" s="372">
        <f t="shared" si="2746"/>
        <v>0</v>
      </c>
      <c r="O3935" s="336">
        <f t="shared" si="2732"/>
        <v>37000430.5</v>
      </c>
      <c r="P3935" s="1131">
        <f t="shared" si="2735"/>
        <v>40700473.550000004</v>
      </c>
      <c r="R3935" s="317"/>
      <c r="U3935" s="320"/>
    </row>
    <row r="3936" spans="1:21" s="344" customFormat="1" outlineLevel="3">
      <c r="A3936" s="345"/>
      <c r="B3936" s="345"/>
      <c r="C3936" s="770">
        <v>2110200</v>
      </c>
      <c r="D3936" s="636" t="s">
        <v>148</v>
      </c>
      <c r="E3936" s="605">
        <f>E3937</f>
        <v>10000000</v>
      </c>
      <c r="F3936" s="605">
        <f t="shared" ref="F3936:K3936" si="2762">F3937</f>
        <v>0</v>
      </c>
      <c r="G3936" s="605">
        <f t="shared" si="2762"/>
        <v>0</v>
      </c>
      <c r="H3936" s="605">
        <f t="shared" si="2762"/>
        <v>0</v>
      </c>
      <c r="I3936" s="605">
        <f t="shared" si="2762"/>
        <v>10000000</v>
      </c>
      <c r="J3936" s="605">
        <f t="shared" si="2762"/>
        <v>0</v>
      </c>
      <c r="K3936" s="605">
        <f t="shared" si="2762"/>
        <v>2212888</v>
      </c>
      <c r="L3936" s="317">
        <f t="shared" si="2741"/>
        <v>12212888</v>
      </c>
      <c r="M3936" s="317"/>
      <c r="N3936" s="372">
        <f t="shared" si="2746"/>
        <v>-2212888</v>
      </c>
      <c r="O3936" s="605">
        <f t="shared" ref="O3936:P3936" si="2763">O3937</f>
        <v>13434176.800000001</v>
      </c>
      <c r="P3936" s="605">
        <f t="shared" si="2763"/>
        <v>14777594.480000002</v>
      </c>
      <c r="R3936" s="317"/>
      <c r="U3936" s="320"/>
    </row>
    <row r="3937" spans="1:21" s="344" customFormat="1" outlineLevel="3">
      <c r="A3937" s="330"/>
      <c r="B3937" s="330"/>
      <c r="C3937" s="332">
        <v>2110202</v>
      </c>
      <c r="D3937" s="330" t="s">
        <v>1349</v>
      </c>
      <c r="E3937" s="673">
        <v>10000000</v>
      </c>
      <c r="F3937" s="389"/>
      <c r="G3937" s="389"/>
      <c r="H3937" s="389"/>
      <c r="I3937" s="324">
        <f t="shared" si="2760"/>
        <v>10000000</v>
      </c>
      <c r="J3937" s="389"/>
      <c r="K3937" s="389">
        <v>2212888</v>
      </c>
      <c r="L3937" s="317">
        <f t="shared" si="2741"/>
        <v>12212888</v>
      </c>
      <c r="M3937" s="317"/>
      <c r="N3937" s="372">
        <f t="shared" si="2746"/>
        <v>-2212888</v>
      </c>
      <c r="O3937" s="336">
        <f t="shared" si="2732"/>
        <v>13434176.800000001</v>
      </c>
      <c r="P3937" s="1131">
        <f t="shared" si="2735"/>
        <v>14777594.480000002</v>
      </c>
      <c r="R3937" s="317"/>
      <c r="U3937" s="320"/>
    </row>
    <row r="3938" spans="1:21" s="344" customFormat="1" outlineLevel="3">
      <c r="A3938" s="345"/>
      <c r="B3938" s="345"/>
      <c r="C3938" s="770">
        <v>2210100</v>
      </c>
      <c r="D3938" s="635" t="s">
        <v>16</v>
      </c>
      <c r="E3938" s="605">
        <f>E3940+E3939</f>
        <v>1050000</v>
      </c>
      <c r="F3938" s="605">
        <f t="shared" ref="F3938:P3938" si="2764">F3940+F3939</f>
        <v>0</v>
      </c>
      <c r="G3938" s="605">
        <f t="shared" si="2764"/>
        <v>0</v>
      </c>
      <c r="H3938" s="605">
        <f t="shared" si="2764"/>
        <v>0</v>
      </c>
      <c r="I3938" s="605">
        <f t="shared" si="2764"/>
        <v>1050000</v>
      </c>
      <c r="J3938" s="605">
        <f t="shared" si="2764"/>
        <v>0</v>
      </c>
      <c r="K3938" s="605">
        <f t="shared" si="2764"/>
        <v>0</v>
      </c>
      <c r="L3938" s="317">
        <f t="shared" si="2741"/>
        <v>1050000</v>
      </c>
      <c r="M3938" s="317"/>
      <c r="N3938" s="372">
        <f t="shared" si="2746"/>
        <v>0</v>
      </c>
      <c r="O3938" s="605">
        <f t="shared" si="2764"/>
        <v>1155000</v>
      </c>
      <c r="P3938" s="605">
        <f t="shared" si="2764"/>
        <v>1270500.0000000002</v>
      </c>
      <c r="R3938" s="317"/>
      <c r="U3938" s="320"/>
    </row>
    <row r="3939" spans="1:21" s="344" customFormat="1" outlineLevel="3">
      <c r="A3939" s="345"/>
      <c r="B3939" s="345"/>
      <c r="C3939" s="405">
        <v>2210101</v>
      </c>
      <c r="D3939" s="345" t="s">
        <v>17</v>
      </c>
      <c r="E3939" s="1160">
        <v>400000</v>
      </c>
      <c r="F3939" s="406"/>
      <c r="G3939" s="406"/>
      <c r="H3939" s="406"/>
      <c r="I3939" s="324">
        <f t="shared" si="2760"/>
        <v>400000</v>
      </c>
      <c r="J3939" s="406"/>
      <c r="K3939" s="406"/>
      <c r="L3939" s="317">
        <f t="shared" si="2741"/>
        <v>400000</v>
      </c>
      <c r="M3939" s="317"/>
      <c r="N3939" s="372">
        <f t="shared" si="2746"/>
        <v>0</v>
      </c>
      <c r="O3939" s="336">
        <f t="shared" si="2732"/>
        <v>440000.00000000006</v>
      </c>
      <c r="P3939" s="1131">
        <f t="shared" si="2735"/>
        <v>484000.00000000012</v>
      </c>
      <c r="R3939" s="317"/>
      <c r="U3939" s="320"/>
    </row>
    <row r="3940" spans="1:21" s="344" customFormat="1" outlineLevel="3">
      <c r="A3940" s="345"/>
      <c r="B3940" s="345"/>
      <c r="C3940" s="405">
        <v>2210102</v>
      </c>
      <c r="D3940" s="345" t="s">
        <v>1350</v>
      </c>
      <c r="E3940" s="1160">
        <v>650000</v>
      </c>
      <c r="F3940" s="406"/>
      <c r="G3940" s="406"/>
      <c r="H3940" s="406"/>
      <c r="I3940" s="324">
        <f t="shared" si="2760"/>
        <v>650000</v>
      </c>
      <c r="J3940" s="406"/>
      <c r="K3940" s="406"/>
      <c r="L3940" s="317">
        <f t="shared" si="2741"/>
        <v>650000</v>
      </c>
      <c r="M3940" s="317"/>
      <c r="N3940" s="372">
        <f t="shared" si="2746"/>
        <v>0</v>
      </c>
      <c r="O3940" s="336">
        <f t="shared" si="2732"/>
        <v>715000</v>
      </c>
      <c r="P3940" s="1131">
        <f t="shared" si="2735"/>
        <v>786500.00000000012</v>
      </c>
      <c r="R3940" s="317"/>
      <c r="U3940" s="320"/>
    </row>
    <row r="3941" spans="1:21" s="344" customFormat="1" outlineLevel="3">
      <c r="A3941" s="345"/>
      <c r="B3941" s="345"/>
      <c r="C3941" s="770">
        <v>2210200</v>
      </c>
      <c r="D3941" s="636" t="s">
        <v>20</v>
      </c>
      <c r="E3941" s="605">
        <f>E3944+E3943+E3942</f>
        <v>84000</v>
      </c>
      <c r="F3941" s="605">
        <f t="shared" ref="F3941:P3941" si="2765">F3944+F3943+F3942</f>
        <v>0</v>
      </c>
      <c r="G3941" s="605">
        <f t="shared" si="2765"/>
        <v>0</v>
      </c>
      <c r="H3941" s="605">
        <f t="shared" si="2765"/>
        <v>0</v>
      </c>
      <c r="I3941" s="605">
        <f t="shared" si="2765"/>
        <v>84000</v>
      </c>
      <c r="J3941" s="605">
        <f t="shared" si="2765"/>
        <v>0</v>
      </c>
      <c r="K3941" s="605">
        <f t="shared" si="2765"/>
        <v>-6000</v>
      </c>
      <c r="L3941" s="317">
        <f t="shared" si="2741"/>
        <v>78000</v>
      </c>
      <c r="M3941" s="317"/>
      <c r="N3941" s="372">
        <f t="shared" si="2746"/>
        <v>6000</v>
      </c>
      <c r="O3941" s="605">
        <f t="shared" si="2765"/>
        <v>85800</v>
      </c>
      <c r="P3941" s="605">
        <f t="shared" si="2765"/>
        <v>94380.000000000015</v>
      </c>
      <c r="R3941" s="317"/>
      <c r="U3941" s="320"/>
    </row>
    <row r="3942" spans="1:21" s="344" customFormat="1" outlineLevel="3">
      <c r="A3942" s="345"/>
      <c r="B3942" s="345"/>
      <c r="C3942" s="405">
        <v>2210201</v>
      </c>
      <c r="D3942" s="345" t="s">
        <v>113</v>
      </c>
      <c r="E3942" s="1160">
        <v>58000</v>
      </c>
      <c r="F3942" s="406"/>
      <c r="G3942" s="406"/>
      <c r="H3942" s="406"/>
      <c r="I3942" s="324">
        <f t="shared" si="2760"/>
        <v>58000</v>
      </c>
      <c r="J3942" s="406"/>
      <c r="K3942" s="406"/>
      <c r="L3942" s="317">
        <f t="shared" si="2741"/>
        <v>58000</v>
      </c>
      <c r="M3942" s="317"/>
      <c r="N3942" s="372">
        <f t="shared" si="2746"/>
        <v>0</v>
      </c>
      <c r="O3942" s="336">
        <f t="shared" si="2732"/>
        <v>63800.000000000007</v>
      </c>
      <c r="P3942" s="1131">
        <f t="shared" si="2735"/>
        <v>70180.000000000015</v>
      </c>
      <c r="R3942" s="317"/>
      <c r="U3942" s="320"/>
    </row>
    <row r="3943" spans="1:21" s="344" customFormat="1" outlineLevel="3">
      <c r="A3943" s="345"/>
      <c r="B3943" s="345"/>
      <c r="C3943" s="405">
        <v>2210202</v>
      </c>
      <c r="D3943" s="345" t="s">
        <v>22</v>
      </c>
      <c r="E3943" s="1160">
        <v>20000</v>
      </c>
      <c r="F3943" s="406"/>
      <c r="G3943" s="406"/>
      <c r="H3943" s="406"/>
      <c r="I3943" s="324">
        <f t="shared" si="2760"/>
        <v>20000</v>
      </c>
      <c r="J3943" s="406"/>
      <c r="K3943" s="406"/>
      <c r="L3943" s="317">
        <f t="shared" si="2741"/>
        <v>20000</v>
      </c>
      <c r="M3943" s="317"/>
      <c r="N3943" s="372">
        <f t="shared" si="2746"/>
        <v>0</v>
      </c>
      <c r="O3943" s="336">
        <f t="shared" si="2732"/>
        <v>22000</v>
      </c>
      <c r="P3943" s="1131">
        <f t="shared" si="2735"/>
        <v>24200.000000000004</v>
      </c>
      <c r="R3943" s="317"/>
      <c r="U3943" s="320"/>
    </row>
    <row r="3944" spans="1:21" s="344" customFormat="1" outlineLevel="3">
      <c r="A3944" s="345"/>
      <c r="B3944" s="345"/>
      <c r="C3944" s="401">
        <v>2210203</v>
      </c>
      <c r="D3944" s="464" t="s">
        <v>23</v>
      </c>
      <c r="E3944" s="1160">
        <v>6000</v>
      </c>
      <c r="F3944" s="333"/>
      <c r="G3944" s="333"/>
      <c r="H3944" s="333"/>
      <c r="I3944" s="324">
        <f t="shared" si="2760"/>
        <v>6000</v>
      </c>
      <c r="J3944" s="333"/>
      <c r="K3944" s="333">
        <v>-6000</v>
      </c>
      <c r="L3944" s="317">
        <f t="shared" si="2741"/>
        <v>0</v>
      </c>
      <c r="M3944" s="317"/>
      <c r="N3944" s="372">
        <f t="shared" si="2746"/>
        <v>6000</v>
      </c>
      <c r="O3944" s="336">
        <f t="shared" si="2732"/>
        <v>0</v>
      </c>
      <c r="P3944" s="1131">
        <f t="shared" si="2735"/>
        <v>0</v>
      </c>
      <c r="R3944" s="317"/>
      <c r="U3944" s="320"/>
    </row>
    <row r="3945" spans="1:21" s="345" customFormat="1" outlineLevel="3">
      <c r="C3945" s="770">
        <v>2210300</v>
      </c>
      <c r="D3945" s="636" t="s">
        <v>24</v>
      </c>
      <c r="E3945" s="605">
        <f>E3946+E3947</f>
        <v>783000</v>
      </c>
      <c r="F3945" s="605">
        <f t="shared" ref="F3945:P3945" si="2766">F3946+F3947</f>
        <v>0</v>
      </c>
      <c r="G3945" s="605">
        <f t="shared" si="2766"/>
        <v>0</v>
      </c>
      <c r="H3945" s="605">
        <f t="shared" si="2766"/>
        <v>0</v>
      </c>
      <c r="I3945" s="605">
        <f t="shared" si="2766"/>
        <v>783000</v>
      </c>
      <c r="J3945" s="605">
        <f t="shared" si="2766"/>
        <v>0</v>
      </c>
      <c r="K3945" s="605">
        <f t="shared" si="2766"/>
        <v>400000</v>
      </c>
      <c r="L3945" s="317">
        <f t="shared" si="2741"/>
        <v>1183000</v>
      </c>
      <c r="M3945" s="317"/>
      <c r="N3945" s="372">
        <f t="shared" si="2746"/>
        <v>-400000</v>
      </c>
      <c r="O3945" s="605">
        <f t="shared" si="2766"/>
        <v>1301300</v>
      </c>
      <c r="P3945" s="605">
        <f t="shared" si="2766"/>
        <v>1431430.0000000002</v>
      </c>
      <c r="R3945" s="317"/>
      <c r="U3945" s="320"/>
    </row>
    <row r="3946" spans="1:21" s="345" customFormat="1" outlineLevel="3">
      <c r="C3946" s="401">
        <v>2210301</v>
      </c>
      <c r="D3946" s="464" t="s">
        <v>188</v>
      </c>
      <c r="E3946" s="1160">
        <v>319000</v>
      </c>
      <c r="F3946" s="333"/>
      <c r="G3946" s="333"/>
      <c r="H3946" s="333"/>
      <c r="I3946" s="324">
        <f t="shared" si="2760"/>
        <v>319000</v>
      </c>
      <c r="J3946" s="333"/>
      <c r="K3946" s="333"/>
      <c r="L3946" s="317">
        <f t="shared" si="2741"/>
        <v>319000</v>
      </c>
      <c r="M3946" s="317"/>
      <c r="N3946" s="372">
        <f t="shared" si="2746"/>
        <v>0</v>
      </c>
      <c r="O3946" s="336">
        <f t="shared" si="2732"/>
        <v>350900</v>
      </c>
      <c r="P3946" s="1131">
        <f t="shared" si="2735"/>
        <v>385990.00000000006</v>
      </c>
      <c r="R3946" s="317"/>
      <c r="U3946" s="320"/>
    </row>
    <row r="3947" spans="1:21" s="345" customFormat="1" outlineLevel="3">
      <c r="C3947" s="405">
        <v>2210302</v>
      </c>
      <c r="D3947" s="345" t="s">
        <v>26</v>
      </c>
      <c r="E3947" s="1160">
        <v>464000</v>
      </c>
      <c r="F3947" s="406"/>
      <c r="G3947" s="406"/>
      <c r="H3947" s="406"/>
      <c r="I3947" s="324">
        <f t="shared" si="2760"/>
        <v>464000</v>
      </c>
      <c r="J3947" s="406"/>
      <c r="K3947" s="406">
        <v>400000</v>
      </c>
      <c r="L3947" s="317">
        <f t="shared" si="2741"/>
        <v>864000</v>
      </c>
      <c r="M3947" s="317"/>
      <c r="N3947" s="372">
        <f t="shared" si="2746"/>
        <v>-400000</v>
      </c>
      <c r="O3947" s="336">
        <f>L3947*1.1</f>
        <v>950400.00000000012</v>
      </c>
      <c r="P3947" s="1131">
        <f t="shared" si="2735"/>
        <v>1045440.0000000002</v>
      </c>
      <c r="R3947" s="317"/>
      <c r="U3947" s="320"/>
    </row>
    <row r="3948" spans="1:21" s="344" customFormat="1" outlineLevel="3">
      <c r="A3948" s="345"/>
      <c r="B3948" s="345"/>
      <c r="C3948" s="770">
        <v>2210500</v>
      </c>
      <c r="D3948" s="636" t="s">
        <v>31</v>
      </c>
      <c r="E3948" s="605">
        <f>E3949</f>
        <v>10000</v>
      </c>
      <c r="F3948" s="605">
        <f t="shared" ref="F3948:K3948" si="2767">F3949</f>
        <v>0</v>
      </c>
      <c r="G3948" s="605">
        <f t="shared" si="2767"/>
        <v>0</v>
      </c>
      <c r="H3948" s="605">
        <f t="shared" si="2767"/>
        <v>0</v>
      </c>
      <c r="I3948" s="605">
        <f t="shared" si="2767"/>
        <v>10000</v>
      </c>
      <c r="J3948" s="605">
        <f t="shared" si="2767"/>
        <v>0</v>
      </c>
      <c r="K3948" s="605">
        <f t="shared" si="2767"/>
        <v>-10000</v>
      </c>
      <c r="L3948" s="317">
        <f t="shared" si="2741"/>
        <v>0</v>
      </c>
      <c r="M3948" s="317"/>
      <c r="N3948" s="372">
        <f t="shared" si="2746"/>
        <v>10000</v>
      </c>
      <c r="O3948" s="605">
        <f t="shared" ref="O3948:P3948" si="2768">O3949</f>
        <v>0</v>
      </c>
      <c r="P3948" s="605">
        <f t="shared" si="2768"/>
        <v>0</v>
      </c>
      <c r="R3948" s="317"/>
      <c r="U3948" s="320"/>
    </row>
    <row r="3949" spans="1:21" s="344" customFormat="1" outlineLevel="3">
      <c r="A3949" s="345"/>
      <c r="B3949" s="345"/>
      <c r="C3949" s="405">
        <v>2210503</v>
      </c>
      <c r="D3949" s="345" t="s">
        <v>32</v>
      </c>
      <c r="E3949" s="1160">
        <v>10000</v>
      </c>
      <c r="F3949" s="406"/>
      <c r="G3949" s="406"/>
      <c r="H3949" s="406"/>
      <c r="I3949" s="324">
        <f t="shared" si="2760"/>
        <v>10000</v>
      </c>
      <c r="J3949" s="406"/>
      <c r="K3949" s="389">
        <v>-10000</v>
      </c>
      <c r="L3949" s="317">
        <f t="shared" si="2741"/>
        <v>0</v>
      </c>
      <c r="M3949" s="317"/>
      <c r="N3949" s="372">
        <f t="shared" si="2746"/>
        <v>10000</v>
      </c>
      <c r="O3949" s="336">
        <f>L3949*1.1</f>
        <v>0</v>
      </c>
      <c r="P3949" s="1131">
        <f t="shared" si="2735"/>
        <v>0</v>
      </c>
      <c r="R3949" s="317"/>
      <c r="U3949" s="320"/>
    </row>
    <row r="3950" spans="1:21" s="344" customFormat="1" outlineLevel="3">
      <c r="A3950" s="345"/>
      <c r="B3950" s="345"/>
      <c r="C3950" s="770">
        <v>2210700</v>
      </c>
      <c r="D3950" s="636" t="s">
        <v>35</v>
      </c>
      <c r="E3950" s="605">
        <f>E3952+E3951</f>
        <v>274000</v>
      </c>
      <c r="F3950" s="605">
        <f t="shared" ref="F3950:K3950" si="2769">F3952+F3951</f>
        <v>0</v>
      </c>
      <c r="G3950" s="605">
        <f t="shared" si="2769"/>
        <v>0</v>
      </c>
      <c r="H3950" s="605">
        <f t="shared" si="2769"/>
        <v>0</v>
      </c>
      <c r="I3950" s="605">
        <f t="shared" si="2769"/>
        <v>274000</v>
      </c>
      <c r="J3950" s="605">
        <f t="shared" si="2769"/>
        <v>0</v>
      </c>
      <c r="K3950" s="605">
        <f t="shared" si="2769"/>
        <v>0</v>
      </c>
      <c r="L3950" s="317">
        <f t="shared" si="2741"/>
        <v>274000</v>
      </c>
      <c r="M3950" s="317"/>
      <c r="N3950" s="372">
        <f t="shared" si="2746"/>
        <v>0</v>
      </c>
      <c r="O3950" s="605">
        <f t="shared" ref="O3950:P3950" si="2770">O3952+O3951</f>
        <v>301400.00000000006</v>
      </c>
      <c r="P3950" s="605">
        <f t="shared" si="2770"/>
        <v>331540.00000000012</v>
      </c>
      <c r="R3950" s="317"/>
      <c r="U3950" s="320"/>
    </row>
    <row r="3951" spans="1:21" s="344" customFormat="1" outlineLevel="3">
      <c r="A3951" s="345"/>
      <c r="B3951" s="345"/>
      <c r="C3951" s="401">
        <v>2210701</v>
      </c>
      <c r="D3951" s="464" t="s">
        <v>36</v>
      </c>
      <c r="E3951" s="1160">
        <v>174000</v>
      </c>
      <c r="F3951" s="333"/>
      <c r="G3951" s="333"/>
      <c r="H3951" s="333"/>
      <c r="I3951" s="324">
        <f t="shared" si="2760"/>
        <v>174000</v>
      </c>
      <c r="J3951" s="333"/>
      <c r="K3951" s="333"/>
      <c r="L3951" s="317">
        <f t="shared" si="2741"/>
        <v>174000</v>
      </c>
      <c r="M3951" s="317"/>
      <c r="N3951" s="372">
        <f t="shared" si="2746"/>
        <v>0</v>
      </c>
      <c r="O3951" s="336">
        <f>L3951*1.1</f>
        <v>191400.00000000003</v>
      </c>
      <c r="P3951" s="1131">
        <f t="shared" si="2735"/>
        <v>210540.00000000006</v>
      </c>
      <c r="R3951" s="317"/>
      <c r="U3951" s="320"/>
    </row>
    <row r="3952" spans="1:21" s="345" customFormat="1" outlineLevel="3">
      <c r="C3952" s="405">
        <v>2210799</v>
      </c>
      <c r="D3952" s="345" t="s">
        <v>683</v>
      </c>
      <c r="E3952" s="1160">
        <v>100000</v>
      </c>
      <c r="F3952" s="406"/>
      <c r="G3952" s="406"/>
      <c r="H3952" s="406"/>
      <c r="I3952" s="324">
        <f t="shared" si="2760"/>
        <v>100000</v>
      </c>
      <c r="J3952" s="406"/>
      <c r="K3952" s="406"/>
      <c r="L3952" s="317">
        <f t="shared" si="2741"/>
        <v>100000</v>
      </c>
      <c r="M3952" s="317"/>
      <c r="N3952" s="372">
        <f t="shared" si="2746"/>
        <v>0</v>
      </c>
      <c r="O3952" s="336">
        <f>L3952*1.1</f>
        <v>110000.00000000001</v>
      </c>
      <c r="P3952" s="1131">
        <f t="shared" si="2735"/>
        <v>121000.00000000003</v>
      </c>
      <c r="R3952" s="317"/>
      <c r="U3952" s="320"/>
    </row>
    <row r="3953" spans="1:21" s="345" customFormat="1" outlineLevel="3">
      <c r="C3953" s="770">
        <v>2210800</v>
      </c>
      <c r="D3953" s="636" t="s">
        <v>42</v>
      </c>
      <c r="E3953" s="605">
        <f>E3955+E3954</f>
        <v>1816814</v>
      </c>
      <c r="F3953" s="605">
        <f t="shared" ref="F3953:K3953" si="2771">F3955+F3954</f>
        <v>0</v>
      </c>
      <c r="G3953" s="605">
        <f t="shared" si="2771"/>
        <v>0</v>
      </c>
      <c r="H3953" s="605">
        <f t="shared" si="2771"/>
        <v>0</v>
      </c>
      <c r="I3953" s="605">
        <f t="shared" si="2771"/>
        <v>1816814</v>
      </c>
      <c r="J3953" s="605">
        <f t="shared" si="2771"/>
        <v>0</v>
      </c>
      <c r="K3953" s="605">
        <f t="shared" si="2771"/>
        <v>926000</v>
      </c>
      <c r="L3953" s="317">
        <f t="shared" si="2741"/>
        <v>2742814</v>
      </c>
      <c r="M3953" s="317"/>
      <c r="N3953" s="372">
        <f t="shared" si="2746"/>
        <v>-926000</v>
      </c>
      <c r="O3953" s="605">
        <f t="shared" ref="O3953:P3953" si="2772">O3955+O3954</f>
        <v>3017095.4</v>
      </c>
      <c r="P3953" s="605">
        <f t="shared" si="2772"/>
        <v>3318804.94</v>
      </c>
      <c r="R3953" s="317"/>
      <c r="U3953" s="320"/>
    </row>
    <row r="3954" spans="1:21" s="345" customFormat="1" outlineLevel="3">
      <c r="C3954" s="405">
        <v>2210801</v>
      </c>
      <c r="D3954" s="345" t="s">
        <v>1351</v>
      </c>
      <c r="E3954" s="1160">
        <v>316814</v>
      </c>
      <c r="F3954" s="406"/>
      <c r="G3954" s="406"/>
      <c r="H3954" s="406"/>
      <c r="I3954" s="324">
        <f t="shared" si="2760"/>
        <v>316814</v>
      </c>
      <c r="J3954" s="406"/>
      <c r="K3954" s="389">
        <v>426000</v>
      </c>
      <c r="L3954" s="317">
        <f t="shared" si="2741"/>
        <v>742814</v>
      </c>
      <c r="M3954" s="317"/>
      <c r="N3954" s="372">
        <f t="shared" si="2746"/>
        <v>-426000</v>
      </c>
      <c r="O3954" s="336">
        <f>L3954*1.1</f>
        <v>817095.4</v>
      </c>
      <c r="P3954" s="1131">
        <f t="shared" si="2735"/>
        <v>898804.94000000006</v>
      </c>
      <c r="R3954" s="317"/>
      <c r="U3954" s="320"/>
    </row>
    <row r="3955" spans="1:21" s="345" customFormat="1" outlineLevel="3">
      <c r="C3955" s="405">
        <v>2210802</v>
      </c>
      <c r="D3955" s="345" t="s">
        <v>1352</v>
      </c>
      <c r="E3955" s="1160">
        <v>1500000</v>
      </c>
      <c r="F3955" s="406"/>
      <c r="G3955" s="406"/>
      <c r="H3955" s="406"/>
      <c r="I3955" s="324">
        <f t="shared" si="2760"/>
        <v>1500000</v>
      </c>
      <c r="J3955" s="406"/>
      <c r="K3955" s="389">
        <v>500000</v>
      </c>
      <c r="L3955" s="317">
        <f t="shared" si="2741"/>
        <v>2000000</v>
      </c>
      <c r="M3955" s="317"/>
      <c r="N3955" s="372">
        <f t="shared" si="2746"/>
        <v>-500000</v>
      </c>
      <c r="O3955" s="336">
        <f>L3955*1.1</f>
        <v>2200000</v>
      </c>
      <c r="P3955" s="1131">
        <f t="shared" si="2735"/>
        <v>2420000</v>
      </c>
      <c r="R3955" s="317"/>
      <c r="U3955" s="320"/>
    </row>
    <row r="3956" spans="1:21" s="344" customFormat="1" outlineLevel="3">
      <c r="A3956" s="345"/>
      <c r="B3956" s="345"/>
      <c r="C3956" s="770">
        <v>2211100</v>
      </c>
      <c r="D3956" s="636" t="s">
        <v>51</v>
      </c>
      <c r="E3956" s="605">
        <f>E3959+E3958+E3957</f>
        <v>950000</v>
      </c>
      <c r="F3956" s="605">
        <f t="shared" ref="F3956:P3956" si="2773">F3959+F3958+F3957</f>
        <v>0</v>
      </c>
      <c r="G3956" s="605">
        <f t="shared" si="2773"/>
        <v>0</v>
      </c>
      <c r="H3956" s="605">
        <f t="shared" si="2773"/>
        <v>0</v>
      </c>
      <c r="I3956" s="605">
        <f t="shared" si="2773"/>
        <v>950000</v>
      </c>
      <c r="J3956" s="605">
        <f t="shared" si="2773"/>
        <v>0</v>
      </c>
      <c r="K3956" s="605">
        <f t="shared" si="2773"/>
        <v>0</v>
      </c>
      <c r="L3956" s="317">
        <f t="shared" si="2741"/>
        <v>950000</v>
      </c>
      <c r="M3956" s="317"/>
      <c r="N3956" s="372">
        <f t="shared" si="2746"/>
        <v>0</v>
      </c>
      <c r="O3956" s="605">
        <f t="shared" si="2773"/>
        <v>1045000</v>
      </c>
      <c r="P3956" s="605">
        <f t="shared" si="2773"/>
        <v>1149500</v>
      </c>
      <c r="R3956" s="317"/>
      <c r="U3956" s="320"/>
    </row>
    <row r="3957" spans="1:21" s="345" customFormat="1" outlineLevel="3">
      <c r="C3957" s="405">
        <v>2211101</v>
      </c>
      <c r="D3957" s="345" t="s">
        <v>52</v>
      </c>
      <c r="E3957" s="1160">
        <v>400000</v>
      </c>
      <c r="F3957" s="406"/>
      <c r="G3957" s="406"/>
      <c r="H3957" s="406"/>
      <c r="I3957" s="324">
        <f t="shared" si="2760"/>
        <v>400000</v>
      </c>
      <c r="J3957" s="406"/>
      <c r="K3957" s="406"/>
      <c r="L3957" s="317">
        <f t="shared" si="2741"/>
        <v>400000</v>
      </c>
      <c r="M3957" s="317"/>
      <c r="N3957" s="372">
        <f t="shared" si="2746"/>
        <v>0</v>
      </c>
      <c r="O3957" s="336">
        <f>L3957*1.1</f>
        <v>440000.00000000006</v>
      </c>
      <c r="P3957" s="1131">
        <f t="shared" ref="P3957:P4009" si="2774">O3957*1.1</f>
        <v>484000.00000000012</v>
      </c>
      <c r="R3957" s="317"/>
      <c r="U3957" s="320"/>
    </row>
    <row r="3958" spans="1:21" s="345" customFormat="1" outlineLevel="3">
      <c r="C3958" s="405">
        <v>2211102</v>
      </c>
      <c r="D3958" s="345" t="s">
        <v>53</v>
      </c>
      <c r="E3958" s="1160">
        <v>300000</v>
      </c>
      <c r="F3958" s="406"/>
      <c r="G3958" s="406"/>
      <c r="H3958" s="406"/>
      <c r="I3958" s="324">
        <f t="shared" si="2760"/>
        <v>300000</v>
      </c>
      <c r="J3958" s="406"/>
      <c r="K3958" s="406"/>
      <c r="L3958" s="317">
        <f t="shared" si="2741"/>
        <v>300000</v>
      </c>
      <c r="M3958" s="317"/>
      <c r="N3958" s="372">
        <f t="shared" si="2746"/>
        <v>0</v>
      </c>
      <c r="O3958" s="336">
        <f>L3958*1.1</f>
        <v>330000</v>
      </c>
      <c r="P3958" s="1131">
        <f t="shared" si="2774"/>
        <v>363000.00000000006</v>
      </c>
      <c r="R3958" s="317"/>
      <c r="U3958" s="320"/>
    </row>
    <row r="3959" spans="1:21" s="345" customFormat="1" outlineLevel="3">
      <c r="C3959" s="405">
        <v>2211103</v>
      </c>
      <c r="D3959" s="345" t="s">
        <v>686</v>
      </c>
      <c r="E3959" s="1160">
        <v>250000</v>
      </c>
      <c r="F3959" s="406"/>
      <c r="G3959" s="406"/>
      <c r="H3959" s="406"/>
      <c r="I3959" s="324">
        <f t="shared" si="2760"/>
        <v>250000</v>
      </c>
      <c r="J3959" s="406"/>
      <c r="K3959" s="406"/>
      <c r="L3959" s="317">
        <f t="shared" si="2741"/>
        <v>250000</v>
      </c>
      <c r="M3959" s="317"/>
      <c r="N3959" s="372">
        <f t="shared" si="2746"/>
        <v>0</v>
      </c>
      <c r="O3959" s="336">
        <f>L3959*1.1</f>
        <v>275000</v>
      </c>
      <c r="P3959" s="1131">
        <f t="shared" si="2774"/>
        <v>302500</v>
      </c>
      <c r="R3959" s="317"/>
      <c r="U3959" s="320"/>
    </row>
    <row r="3960" spans="1:21" s="344" customFormat="1" outlineLevel="3">
      <c r="A3960" s="345"/>
      <c r="B3960" s="345"/>
      <c r="C3960" s="770">
        <v>2211200</v>
      </c>
      <c r="D3960" s="636" t="s">
        <v>55</v>
      </c>
      <c r="E3960" s="605">
        <f>E3961</f>
        <v>1000000</v>
      </c>
      <c r="F3960" s="605">
        <f t="shared" ref="F3960:P3960" si="2775">F3961</f>
        <v>0</v>
      </c>
      <c r="G3960" s="605">
        <f t="shared" si="2775"/>
        <v>0</v>
      </c>
      <c r="H3960" s="605">
        <f t="shared" si="2775"/>
        <v>0</v>
      </c>
      <c r="I3960" s="605">
        <f t="shared" si="2775"/>
        <v>1000000</v>
      </c>
      <c r="J3960" s="605">
        <f t="shared" si="2775"/>
        <v>0</v>
      </c>
      <c r="K3960" s="605">
        <f t="shared" si="2775"/>
        <v>0</v>
      </c>
      <c r="L3960" s="317">
        <f t="shared" si="2741"/>
        <v>1000000</v>
      </c>
      <c r="M3960" s="317"/>
      <c r="N3960" s="372">
        <f t="shared" si="2746"/>
        <v>0</v>
      </c>
      <c r="O3960" s="605">
        <f t="shared" si="2775"/>
        <v>1100000</v>
      </c>
      <c r="P3960" s="605">
        <f t="shared" si="2775"/>
        <v>1210000</v>
      </c>
      <c r="R3960" s="317"/>
      <c r="U3960" s="320"/>
    </row>
    <row r="3961" spans="1:21" s="344" customFormat="1" outlineLevel="3">
      <c r="A3961" s="345"/>
      <c r="B3961" s="345"/>
      <c r="C3961" s="405">
        <v>2211201</v>
      </c>
      <c r="D3961" s="345" t="s">
        <v>1353</v>
      </c>
      <c r="E3961" s="1160">
        <v>1000000</v>
      </c>
      <c r="F3961" s="406"/>
      <c r="G3961" s="406"/>
      <c r="H3961" s="406"/>
      <c r="I3961" s="324">
        <f t="shared" si="2760"/>
        <v>1000000</v>
      </c>
      <c r="J3961" s="406"/>
      <c r="K3961" s="406"/>
      <c r="L3961" s="317">
        <f t="shared" si="2741"/>
        <v>1000000</v>
      </c>
      <c r="M3961" s="317"/>
      <c r="N3961" s="372">
        <f t="shared" si="2746"/>
        <v>0</v>
      </c>
      <c r="O3961" s="336">
        <f>L3961*1.1</f>
        <v>1100000</v>
      </c>
      <c r="P3961" s="1131">
        <f t="shared" si="2774"/>
        <v>1210000</v>
      </c>
      <c r="R3961" s="317"/>
      <c r="U3961" s="320"/>
    </row>
    <row r="3962" spans="1:21" s="344" customFormat="1" outlineLevel="3">
      <c r="A3962" s="345"/>
      <c r="B3962" s="345"/>
      <c r="C3962" s="339" t="s">
        <v>249</v>
      </c>
      <c r="D3962" s="1006" t="s">
        <v>62</v>
      </c>
      <c r="E3962" s="605">
        <f>E3963</f>
        <v>400000</v>
      </c>
      <c r="F3962" s="605">
        <f t="shared" ref="F3962:K3962" si="2776">F3963</f>
        <v>0</v>
      </c>
      <c r="G3962" s="605">
        <f t="shared" si="2776"/>
        <v>0</v>
      </c>
      <c r="H3962" s="605">
        <f t="shared" si="2776"/>
        <v>0</v>
      </c>
      <c r="I3962" s="605">
        <f t="shared" si="2776"/>
        <v>400000</v>
      </c>
      <c r="J3962" s="605">
        <f t="shared" si="2776"/>
        <v>0</v>
      </c>
      <c r="K3962" s="605">
        <f t="shared" si="2776"/>
        <v>0</v>
      </c>
      <c r="L3962" s="317">
        <f t="shared" si="2741"/>
        <v>400000</v>
      </c>
      <c r="M3962" s="317"/>
      <c r="N3962" s="372">
        <f t="shared" si="2746"/>
        <v>0</v>
      </c>
      <c r="O3962" s="605">
        <f t="shared" ref="O3962:P3962" si="2777">O3963</f>
        <v>440000.00000000006</v>
      </c>
      <c r="P3962" s="605">
        <f t="shared" si="2777"/>
        <v>484000.00000000012</v>
      </c>
      <c r="R3962" s="317"/>
      <c r="U3962" s="320"/>
    </row>
    <row r="3963" spans="1:21" s="344" customFormat="1" outlineLevel="3">
      <c r="A3963" s="345"/>
      <c r="B3963" s="345"/>
      <c r="C3963" s="401">
        <v>2220101</v>
      </c>
      <c r="D3963" s="464" t="s">
        <v>366</v>
      </c>
      <c r="E3963" s="1160">
        <v>400000</v>
      </c>
      <c r="F3963" s="333"/>
      <c r="G3963" s="333"/>
      <c r="H3963" s="333"/>
      <c r="I3963" s="324">
        <f t="shared" si="2760"/>
        <v>400000</v>
      </c>
      <c r="J3963" s="333"/>
      <c r="K3963" s="333"/>
      <c r="L3963" s="317">
        <f t="shared" si="2741"/>
        <v>400000</v>
      </c>
      <c r="M3963" s="317"/>
      <c r="N3963" s="372">
        <f t="shared" si="2746"/>
        <v>0</v>
      </c>
      <c r="O3963" s="336">
        <f>L3963*1.1</f>
        <v>440000.00000000006</v>
      </c>
      <c r="P3963" s="1131">
        <f t="shared" si="2774"/>
        <v>484000.00000000012</v>
      </c>
      <c r="R3963" s="317"/>
      <c r="U3963" s="320"/>
    </row>
    <row r="3964" spans="1:21" s="344" customFormat="1" outlineLevel="3">
      <c r="A3964" s="345"/>
      <c r="B3964" s="345"/>
      <c r="C3964" s="339">
        <v>2220200</v>
      </c>
      <c r="D3964" s="1006" t="s">
        <v>86</v>
      </c>
      <c r="E3964" s="605">
        <f>E3966+E3965+E3967</f>
        <v>950000</v>
      </c>
      <c r="F3964" s="605">
        <f t="shared" ref="F3964:P3964" si="2778">F3966+F3965+F3967</f>
        <v>0</v>
      </c>
      <c r="G3964" s="605">
        <f t="shared" si="2778"/>
        <v>0</v>
      </c>
      <c r="H3964" s="605">
        <f t="shared" si="2778"/>
        <v>0</v>
      </c>
      <c r="I3964" s="605">
        <f t="shared" si="2778"/>
        <v>950000</v>
      </c>
      <c r="J3964" s="605">
        <f t="shared" si="2778"/>
        <v>0</v>
      </c>
      <c r="K3964" s="605">
        <f t="shared" si="2778"/>
        <v>300000</v>
      </c>
      <c r="L3964" s="317">
        <f t="shared" si="2741"/>
        <v>1250000</v>
      </c>
      <c r="M3964" s="317"/>
      <c r="N3964" s="372">
        <f t="shared" si="2746"/>
        <v>-300000</v>
      </c>
      <c r="O3964" s="605">
        <f t="shared" si="2778"/>
        <v>1375000</v>
      </c>
      <c r="P3964" s="605">
        <f t="shared" si="2778"/>
        <v>1512500</v>
      </c>
      <c r="R3964" s="317"/>
      <c r="U3964" s="320"/>
    </row>
    <row r="3965" spans="1:21" s="344" customFormat="1" outlineLevel="3">
      <c r="A3965" s="345"/>
      <c r="B3965" s="345"/>
      <c r="C3965" s="405">
        <v>2220210</v>
      </c>
      <c r="D3965" s="345" t="s">
        <v>687</v>
      </c>
      <c r="E3965" s="1160">
        <v>150000</v>
      </c>
      <c r="F3965" s="406"/>
      <c r="G3965" s="406"/>
      <c r="H3965" s="406"/>
      <c r="I3965" s="324">
        <f t="shared" si="2760"/>
        <v>150000</v>
      </c>
      <c r="J3965" s="406"/>
      <c r="K3965" s="406"/>
      <c r="L3965" s="317">
        <f t="shared" si="2741"/>
        <v>150000</v>
      </c>
      <c r="M3965" s="317"/>
      <c r="N3965" s="372">
        <f t="shared" si="2746"/>
        <v>0</v>
      </c>
      <c r="O3965" s="336">
        <f>L3965*1.1</f>
        <v>165000</v>
      </c>
      <c r="P3965" s="1131">
        <f t="shared" si="2774"/>
        <v>181500.00000000003</v>
      </c>
      <c r="R3965" s="317"/>
      <c r="U3965" s="320"/>
    </row>
    <row r="3966" spans="1:21" s="344" customFormat="1" outlineLevel="3">
      <c r="A3966" s="345"/>
      <c r="B3966" s="345"/>
      <c r="C3966" s="405">
        <v>2220212</v>
      </c>
      <c r="D3966" s="345" t="s">
        <v>2487</v>
      </c>
      <c r="E3966" s="1160">
        <v>300000</v>
      </c>
      <c r="F3966" s="406"/>
      <c r="G3966" s="406"/>
      <c r="H3966" s="406"/>
      <c r="I3966" s="324">
        <f t="shared" si="2760"/>
        <v>300000</v>
      </c>
      <c r="J3966" s="406"/>
      <c r="K3966" s="389">
        <v>300000</v>
      </c>
      <c r="L3966" s="317">
        <f t="shared" si="2741"/>
        <v>600000</v>
      </c>
      <c r="M3966" s="317"/>
      <c r="N3966" s="372">
        <f t="shared" si="2746"/>
        <v>-300000</v>
      </c>
      <c r="O3966" s="336">
        <f>L3966*1.1</f>
        <v>660000</v>
      </c>
      <c r="P3966" s="1131">
        <f t="shared" si="2774"/>
        <v>726000.00000000012</v>
      </c>
      <c r="Q3966" s="344" t="s">
        <v>2488</v>
      </c>
      <c r="R3966" s="317"/>
      <c r="U3966" s="320"/>
    </row>
    <row r="3967" spans="1:21" s="344" customFormat="1" outlineLevel="3">
      <c r="A3967" s="345"/>
      <c r="B3967" s="345"/>
      <c r="C3967" s="405">
        <v>2220299</v>
      </c>
      <c r="D3967" s="345" t="s">
        <v>1354</v>
      </c>
      <c r="E3967" s="1160">
        <v>500000</v>
      </c>
      <c r="F3967" s="406"/>
      <c r="G3967" s="406"/>
      <c r="H3967" s="406"/>
      <c r="I3967" s="324">
        <f t="shared" si="2760"/>
        <v>500000</v>
      </c>
      <c r="J3967" s="406"/>
      <c r="K3967" s="406"/>
      <c r="L3967" s="317">
        <f t="shared" si="2741"/>
        <v>500000</v>
      </c>
      <c r="M3967" s="317"/>
      <c r="N3967" s="372">
        <f t="shared" si="2746"/>
        <v>0</v>
      </c>
      <c r="O3967" s="336">
        <f>L3967*1.1</f>
        <v>550000</v>
      </c>
      <c r="P3967" s="1131">
        <f t="shared" si="2774"/>
        <v>605000</v>
      </c>
      <c r="R3967" s="317"/>
      <c r="U3967" s="320"/>
    </row>
    <row r="3968" spans="1:21" s="344" customFormat="1" outlineLevel="3">
      <c r="A3968" s="345"/>
      <c r="B3968" s="345"/>
      <c r="C3968" s="339">
        <v>3111000</v>
      </c>
      <c r="D3968" s="343" t="s">
        <v>69</v>
      </c>
      <c r="E3968" s="605">
        <f>E3969</f>
        <v>500000</v>
      </c>
      <c r="F3968" s="605">
        <f t="shared" ref="F3968:P3968" si="2779">F3969</f>
        <v>0</v>
      </c>
      <c r="G3968" s="605">
        <f t="shared" si="2779"/>
        <v>0</v>
      </c>
      <c r="H3968" s="605">
        <f t="shared" si="2779"/>
        <v>0</v>
      </c>
      <c r="I3968" s="605">
        <f t="shared" si="2779"/>
        <v>500000</v>
      </c>
      <c r="J3968" s="605">
        <f t="shared" si="2779"/>
        <v>0</v>
      </c>
      <c r="K3968" s="605">
        <f t="shared" si="2779"/>
        <v>0</v>
      </c>
      <c r="L3968" s="317">
        <f t="shared" si="2741"/>
        <v>500000</v>
      </c>
      <c r="M3968" s="317"/>
      <c r="N3968" s="372">
        <f t="shared" si="2746"/>
        <v>0</v>
      </c>
      <c r="O3968" s="605">
        <f t="shared" si="2779"/>
        <v>550000</v>
      </c>
      <c r="P3968" s="605">
        <f t="shared" si="2779"/>
        <v>605000</v>
      </c>
      <c r="R3968" s="317"/>
      <c r="U3968" s="320"/>
    </row>
    <row r="3969" spans="1:21" s="344" customFormat="1" outlineLevel="3">
      <c r="A3969" s="345"/>
      <c r="B3969" s="345"/>
      <c r="C3969" s="405">
        <v>3111002</v>
      </c>
      <c r="D3969" s="345" t="s">
        <v>71</v>
      </c>
      <c r="E3969" s="1160">
        <v>500000</v>
      </c>
      <c r="F3969" s="406"/>
      <c r="G3969" s="406"/>
      <c r="H3969" s="406"/>
      <c r="I3969" s="324">
        <f t="shared" si="2760"/>
        <v>500000</v>
      </c>
      <c r="J3969" s="406"/>
      <c r="K3969" s="406"/>
      <c r="L3969" s="317">
        <f t="shared" si="2741"/>
        <v>500000</v>
      </c>
      <c r="M3969" s="317"/>
      <c r="N3969" s="372">
        <f t="shared" si="2746"/>
        <v>0</v>
      </c>
      <c r="O3969" s="336">
        <f>L3969*1.1</f>
        <v>550000</v>
      </c>
      <c r="P3969" s="1131">
        <f t="shared" si="2774"/>
        <v>605000</v>
      </c>
      <c r="R3969" s="317"/>
      <c r="U3969" s="320"/>
    </row>
    <row r="3970" spans="1:21" s="344" customFormat="1" outlineLevel="2">
      <c r="A3970" s="345"/>
      <c r="B3970" s="345"/>
      <c r="C3970" s="405"/>
      <c r="D3970" s="1161" t="s">
        <v>128</v>
      </c>
      <c r="E3970" s="619">
        <f>E3934+E3936+E3938+E3941+E3945+E3948+E3950+E3953+E3956+E3960+E3962+E3964+E3968</f>
        <v>51454569</v>
      </c>
      <c r="F3970" s="619">
        <f t="shared" ref="F3970:K3970" si="2780">F3934+F3936+F3938+F3941+F3945+F3948+F3950+F3953+F3956+F3960+F3962+F3964+F3968</f>
        <v>0</v>
      </c>
      <c r="G3970" s="619">
        <f t="shared" si="2780"/>
        <v>0</v>
      </c>
      <c r="H3970" s="619">
        <f t="shared" si="2780"/>
        <v>0</v>
      </c>
      <c r="I3970" s="619">
        <f t="shared" si="2780"/>
        <v>51454569</v>
      </c>
      <c r="J3970" s="619">
        <f t="shared" si="2780"/>
        <v>0</v>
      </c>
      <c r="K3970" s="619">
        <f t="shared" si="2780"/>
        <v>3822888</v>
      </c>
      <c r="L3970" s="317">
        <f t="shared" si="2741"/>
        <v>55277457</v>
      </c>
      <c r="M3970" s="317"/>
      <c r="N3970" s="372">
        <f t="shared" si="2746"/>
        <v>-3822888</v>
      </c>
      <c r="O3970" s="619">
        <f t="shared" ref="O3970:P3970" si="2781">O3934+O3936+O3938+O3941+O3945+O3948+O3950+O3953+O3956+O3960+O3962+O3964+O3968</f>
        <v>60805202.699999996</v>
      </c>
      <c r="P3970" s="619">
        <f t="shared" si="2781"/>
        <v>66885722.970000006</v>
      </c>
      <c r="R3970" s="317"/>
      <c r="U3970" s="320"/>
    </row>
    <row r="3971" spans="1:21" s="344" customFormat="1" outlineLevel="2">
      <c r="A3971" s="345"/>
      <c r="B3971" s="345"/>
      <c r="C3971" s="405"/>
      <c r="D3971" s="636"/>
      <c r="E3971" s="605"/>
      <c r="F3971" s="397"/>
      <c r="G3971" s="397"/>
      <c r="H3971" s="397"/>
      <c r="I3971" s="324">
        <f t="shared" si="2760"/>
        <v>0</v>
      </c>
      <c r="J3971" s="397"/>
      <c r="K3971" s="397"/>
      <c r="L3971" s="317">
        <f t="shared" si="2741"/>
        <v>0</v>
      </c>
      <c r="M3971" s="317"/>
      <c r="N3971" s="372">
        <f t="shared" si="2746"/>
        <v>0</v>
      </c>
      <c r="O3971" s="336">
        <f>L3971*1.1</f>
        <v>0</v>
      </c>
      <c r="P3971" s="1131">
        <f t="shared" si="2774"/>
        <v>0</v>
      </c>
      <c r="R3971" s="317"/>
      <c r="U3971" s="320"/>
    </row>
    <row r="3972" spans="1:21" outlineLevel="2">
      <c r="A3972" s="345"/>
      <c r="B3972" s="345"/>
      <c r="C3972" s="405"/>
      <c r="D3972" s="447" t="s">
        <v>92</v>
      </c>
      <c r="E3972" s="605"/>
      <c r="F3972" s="438"/>
      <c r="G3972" s="438"/>
      <c r="H3972" s="438"/>
      <c r="I3972" s="324">
        <f t="shared" si="2760"/>
        <v>0</v>
      </c>
      <c r="J3972" s="438"/>
      <c r="K3972" s="438"/>
      <c r="L3972" s="317">
        <f t="shared" si="2741"/>
        <v>0</v>
      </c>
      <c r="M3972" s="317"/>
      <c r="N3972" s="372">
        <f t="shared" si="2746"/>
        <v>0</v>
      </c>
      <c r="O3972" s="336">
        <f>L3972*1.1</f>
        <v>0</v>
      </c>
      <c r="P3972" s="1131">
        <f t="shared" si="2774"/>
        <v>0</v>
      </c>
      <c r="R3972" s="317"/>
      <c r="U3972" s="320"/>
    </row>
    <row r="3973" spans="1:21" s="344" customFormat="1" outlineLevel="3">
      <c r="A3973" s="352"/>
      <c r="B3973" s="352"/>
      <c r="C3973" s="680">
        <v>3110500</v>
      </c>
      <c r="D3973" s="376" t="s">
        <v>689</v>
      </c>
      <c r="E3973" s="681">
        <f>E3974+E3975</f>
        <v>26100000</v>
      </c>
      <c r="F3973" s="681">
        <f t="shared" ref="F3973:P3973" si="2782">F3974+F3975</f>
        <v>0</v>
      </c>
      <c r="G3973" s="681">
        <f t="shared" si="2782"/>
        <v>-5000000</v>
      </c>
      <c r="H3973" s="681">
        <f t="shared" si="2782"/>
        <v>0</v>
      </c>
      <c r="I3973" s="681">
        <f t="shared" si="2782"/>
        <v>21100000</v>
      </c>
      <c r="J3973" s="681">
        <f t="shared" si="2782"/>
        <v>0</v>
      </c>
      <c r="K3973" s="681">
        <f t="shared" si="2782"/>
        <v>-341410</v>
      </c>
      <c r="L3973" s="317">
        <f t="shared" ref="L3973:L4036" si="2783">I3973+J3973+K3973</f>
        <v>20758590</v>
      </c>
      <c r="M3973" s="2212"/>
      <c r="N3973" s="372">
        <f t="shared" si="2746"/>
        <v>341410</v>
      </c>
      <c r="O3973" s="681">
        <f t="shared" si="2782"/>
        <v>22834449.000000004</v>
      </c>
      <c r="P3973" s="681">
        <f t="shared" si="2782"/>
        <v>25117893.900000006</v>
      </c>
      <c r="R3973" s="317"/>
      <c r="U3973" s="320"/>
    </row>
    <row r="3974" spans="1:21" s="344" customFormat="1" outlineLevel="3">
      <c r="A3974" s="330"/>
      <c r="B3974" s="330"/>
      <c r="C3974" s="332">
        <v>3110504</v>
      </c>
      <c r="D3974" s="330" t="s">
        <v>1355</v>
      </c>
      <c r="E3974" s="406">
        <f>21100000-4000000+3000000</f>
        <v>20100000</v>
      </c>
      <c r="F3974" s="389"/>
      <c r="G3974" s="406">
        <v>-5000000</v>
      </c>
      <c r="H3974" s="389"/>
      <c r="I3974" s="324">
        <f t="shared" si="2760"/>
        <v>15100000</v>
      </c>
      <c r="J3974" s="389"/>
      <c r="K3974" s="389">
        <v>-341410</v>
      </c>
      <c r="L3974" s="317">
        <f t="shared" si="2783"/>
        <v>14758590</v>
      </c>
      <c r="M3974" s="317"/>
      <c r="N3974" s="372">
        <f t="shared" si="2746"/>
        <v>341410</v>
      </c>
      <c r="O3974" s="336">
        <f>L3974*1.1</f>
        <v>16234449.000000002</v>
      </c>
      <c r="P3974" s="1131">
        <f t="shared" si="2774"/>
        <v>17857893.900000002</v>
      </c>
      <c r="R3974" s="317"/>
      <c r="U3974" s="320"/>
    </row>
    <row r="3975" spans="1:21" s="344" customFormat="1" outlineLevel="3">
      <c r="A3975" s="390"/>
      <c r="B3975" s="390"/>
      <c r="C3975" s="764">
        <v>3110599</v>
      </c>
      <c r="D3975" s="390" t="s">
        <v>1356</v>
      </c>
      <c r="E3975" s="496">
        <v>6000000</v>
      </c>
      <c r="F3975" s="767"/>
      <c r="G3975" s="767"/>
      <c r="H3975" s="767"/>
      <c r="I3975" s="324">
        <f t="shared" si="2760"/>
        <v>6000000</v>
      </c>
      <c r="J3975" s="767"/>
      <c r="K3975" s="767"/>
      <c r="L3975" s="317">
        <f t="shared" si="2783"/>
        <v>6000000</v>
      </c>
      <c r="M3975" s="317"/>
      <c r="N3975" s="372">
        <f t="shared" si="2746"/>
        <v>0</v>
      </c>
      <c r="O3975" s="336">
        <f>L3975*1.1</f>
        <v>6600000.0000000009</v>
      </c>
      <c r="P3975" s="1131">
        <f t="shared" si="2774"/>
        <v>7260000.0000000019</v>
      </c>
      <c r="R3975" s="317"/>
      <c r="U3975" s="320"/>
    </row>
    <row r="3976" spans="1:21" s="344" customFormat="1" outlineLevel="3">
      <c r="A3976" s="330"/>
      <c r="B3976" s="330"/>
      <c r="C3976" s="340">
        <v>3110600</v>
      </c>
      <c r="D3976" s="449" t="s">
        <v>702</v>
      </c>
      <c r="E3976" s="461">
        <f>E3977</f>
        <v>1500000</v>
      </c>
      <c r="F3976" s="461">
        <f t="shared" ref="F3976:K3976" si="2784">F3977</f>
        <v>0</v>
      </c>
      <c r="G3976" s="461">
        <f t="shared" si="2784"/>
        <v>0</v>
      </c>
      <c r="H3976" s="461">
        <f t="shared" si="2784"/>
        <v>0</v>
      </c>
      <c r="I3976" s="461">
        <f t="shared" si="2784"/>
        <v>1500000</v>
      </c>
      <c r="J3976" s="461">
        <f t="shared" si="2784"/>
        <v>0</v>
      </c>
      <c r="K3976" s="461">
        <f t="shared" si="2784"/>
        <v>0</v>
      </c>
      <c r="L3976" s="317">
        <f t="shared" si="2783"/>
        <v>1500000</v>
      </c>
      <c r="M3976" s="317"/>
      <c r="N3976" s="372">
        <f t="shared" si="2746"/>
        <v>0</v>
      </c>
      <c r="O3976" s="461">
        <f t="shared" ref="O3976:P3976" si="2785">O3977</f>
        <v>1650000.0000000002</v>
      </c>
      <c r="P3976" s="461">
        <f t="shared" si="2785"/>
        <v>1815000.0000000005</v>
      </c>
      <c r="R3976" s="317"/>
      <c r="U3976" s="320"/>
    </row>
    <row r="3977" spans="1:21" s="344" customFormat="1" outlineLevel="3">
      <c r="A3977" s="330"/>
      <c r="B3977" s="330"/>
      <c r="C3977" s="332">
        <v>3110699</v>
      </c>
      <c r="D3977" s="345" t="s">
        <v>1357</v>
      </c>
      <c r="E3977" s="406">
        <v>1500000</v>
      </c>
      <c r="F3977" s="406"/>
      <c r="G3977" s="406"/>
      <c r="H3977" s="406"/>
      <c r="I3977" s="324">
        <f t="shared" si="2760"/>
        <v>1500000</v>
      </c>
      <c r="J3977" s="406"/>
      <c r="K3977" s="406"/>
      <c r="L3977" s="317">
        <f t="shared" si="2783"/>
        <v>1500000</v>
      </c>
      <c r="M3977" s="317"/>
      <c r="N3977" s="372">
        <f t="shared" ref="N3977:N4040" si="2786">M3977-K3977</f>
        <v>0</v>
      </c>
      <c r="O3977" s="336">
        <f>L3977*1.1</f>
        <v>1650000.0000000002</v>
      </c>
      <c r="P3977" s="1131">
        <f t="shared" si="2774"/>
        <v>1815000.0000000005</v>
      </c>
      <c r="R3977" s="317"/>
      <c r="U3977" s="320"/>
    </row>
    <row r="3978" spans="1:21" s="344" customFormat="1" outlineLevel="2">
      <c r="A3978" s="345"/>
      <c r="B3978" s="345"/>
      <c r="C3978" s="405"/>
      <c r="D3978" s="1161" t="s">
        <v>261</v>
      </c>
      <c r="E3978" s="619">
        <f>E3973+E3976</f>
        <v>27600000</v>
      </c>
      <c r="F3978" s="619">
        <f t="shared" ref="F3978:K3978" si="2787">F3973+F3976</f>
        <v>0</v>
      </c>
      <c r="G3978" s="619">
        <f t="shared" si="2787"/>
        <v>-5000000</v>
      </c>
      <c r="H3978" s="619">
        <f t="shared" si="2787"/>
        <v>0</v>
      </c>
      <c r="I3978" s="619">
        <f t="shared" si="2787"/>
        <v>22600000</v>
      </c>
      <c r="J3978" s="619">
        <f t="shared" si="2787"/>
        <v>0</v>
      </c>
      <c r="K3978" s="619">
        <f t="shared" si="2787"/>
        <v>-341410</v>
      </c>
      <c r="L3978" s="317">
        <f t="shared" si="2783"/>
        <v>22258590</v>
      </c>
      <c r="M3978" s="317"/>
      <c r="N3978" s="372">
        <f t="shared" si="2786"/>
        <v>341410</v>
      </c>
      <c r="O3978" s="619">
        <f t="shared" ref="O3978:P3978" si="2788">O3973+O3976</f>
        <v>24484449.000000004</v>
      </c>
      <c r="P3978" s="619">
        <f t="shared" si="2788"/>
        <v>26932893.900000006</v>
      </c>
      <c r="R3978" s="317"/>
      <c r="U3978" s="320"/>
    </row>
    <row r="3979" spans="1:21" s="344" customFormat="1" outlineLevel="1">
      <c r="A3979" s="345"/>
      <c r="B3979" s="345"/>
      <c r="C3979" s="405"/>
      <c r="D3979" s="447" t="s">
        <v>690</v>
      </c>
      <c r="E3979" s="619">
        <f>E3970+E3978</f>
        <v>79054569</v>
      </c>
      <c r="F3979" s="619">
        <f t="shared" ref="F3979:P3979" si="2789">F3970+F3978</f>
        <v>0</v>
      </c>
      <c r="G3979" s="619">
        <f t="shared" si="2789"/>
        <v>-5000000</v>
      </c>
      <c r="H3979" s="619">
        <f t="shared" si="2789"/>
        <v>0</v>
      </c>
      <c r="I3979" s="619">
        <f t="shared" si="2789"/>
        <v>74054569</v>
      </c>
      <c r="J3979" s="619">
        <f t="shared" si="2789"/>
        <v>0</v>
      </c>
      <c r="K3979" s="619">
        <f t="shared" si="2789"/>
        <v>3481478</v>
      </c>
      <c r="L3979" s="317">
        <f t="shared" si="2783"/>
        <v>77536047</v>
      </c>
      <c r="M3979" s="317"/>
      <c r="N3979" s="372">
        <f t="shared" si="2786"/>
        <v>-3481478</v>
      </c>
      <c r="O3979" s="619">
        <f t="shared" si="2789"/>
        <v>85289651.700000003</v>
      </c>
      <c r="P3979" s="619">
        <f t="shared" si="2789"/>
        <v>93818616.870000005</v>
      </c>
      <c r="R3979" s="317"/>
      <c r="U3979" s="320"/>
    </row>
    <row r="3980" spans="1:21" s="344" customFormat="1" outlineLevel="1">
      <c r="A3980" s="345"/>
      <c r="B3980" s="345"/>
      <c r="C3980" s="405"/>
      <c r="D3980" s="345"/>
      <c r="E3980" s="587"/>
      <c r="F3980" s="406"/>
      <c r="G3980" s="406"/>
      <c r="H3980" s="406"/>
      <c r="I3980" s="324">
        <f t="shared" si="2760"/>
        <v>0</v>
      </c>
      <c r="J3980" s="406"/>
      <c r="K3980" s="406"/>
      <c r="L3980" s="317">
        <f t="shared" si="2783"/>
        <v>0</v>
      </c>
      <c r="M3980" s="317"/>
      <c r="N3980" s="372">
        <f t="shared" si="2786"/>
        <v>0</v>
      </c>
      <c r="O3980" s="336">
        <f>L3980*1.1</f>
        <v>0</v>
      </c>
      <c r="P3980" s="1131">
        <f t="shared" si="2774"/>
        <v>0</v>
      </c>
      <c r="R3980" s="317"/>
      <c r="U3980" s="320"/>
    </row>
    <row r="3981" spans="1:21" s="344" customFormat="1" outlineLevel="1">
      <c r="A3981" s="473" t="s">
        <v>144</v>
      </c>
      <c r="B3981" s="473" t="s">
        <v>146</v>
      </c>
      <c r="C3981" s="405"/>
      <c r="D3981" s="447" t="s">
        <v>691</v>
      </c>
      <c r="E3981" s="587"/>
      <c r="F3981" s="438"/>
      <c r="G3981" s="438"/>
      <c r="H3981" s="438"/>
      <c r="I3981" s="324">
        <f t="shared" si="2760"/>
        <v>0</v>
      </c>
      <c r="J3981" s="438"/>
      <c r="K3981" s="438"/>
      <c r="L3981" s="317">
        <f t="shared" si="2783"/>
        <v>0</v>
      </c>
      <c r="M3981" s="317"/>
      <c r="N3981" s="372">
        <f t="shared" si="2786"/>
        <v>0</v>
      </c>
      <c r="O3981" s="336">
        <f>L3981*1.1</f>
        <v>0</v>
      </c>
      <c r="P3981" s="1131">
        <f t="shared" si="2774"/>
        <v>0</v>
      </c>
      <c r="R3981" s="317"/>
      <c r="U3981" s="320"/>
    </row>
    <row r="3982" spans="1:21" s="344" customFormat="1" outlineLevel="2">
      <c r="A3982" s="345"/>
      <c r="B3982" s="345"/>
      <c r="C3982" s="770">
        <v>2210100</v>
      </c>
      <c r="D3982" s="635" t="s">
        <v>16</v>
      </c>
      <c r="E3982" s="461">
        <f>E3983</f>
        <v>880000</v>
      </c>
      <c r="F3982" s="461">
        <f t="shared" ref="F3982:P3982" si="2790">F3983</f>
        <v>0</v>
      </c>
      <c r="G3982" s="461">
        <f t="shared" si="2790"/>
        <v>0</v>
      </c>
      <c r="H3982" s="461">
        <f t="shared" si="2790"/>
        <v>0</v>
      </c>
      <c r="I3982" s="461">
        <f t="shared" si="2790"/>
        <v>880000</v>
      </c>
      <c r="J3982" s="461">
        <f t="shared" si="2790"/>
        <v>0</v>
      </c>
      <c r="K3982" s="461">
        <f t="shared" si="2790"/>
        <v>0</v>
      </c>
      <c r="L3982" s="317">
        <f t="shared" si="2783"/>
        <v>880000</v>
      </c>
      <c r="M3982" s="317"/>
      <c r="N3982" s="372">
        <f t="shared" si="2786"/>
        <v>0</v>
      </c>
      <c r="O3982" s="461">
        <f t="shared" si="2790"/>
        <v>968000.00000000012</v>
      </c>
      <c r="P3982" s="461">
        <f t="shared" si="2790"/>
        <v>1064800.0000000002</v>
      </c>
      <c r="R3982" s="317"/>
      <c r="U3982" s="320"/>
    </row>
    <row r="3983" spans="1:21" s="344" customFormat="1" outlineLevel="2">
      <c r="A3983" s="345"/>
      <c r="B3983" s="345"/>
      <c r="C3983" s="405">
        <v>2210102</v>
      </c>
      <c r="D3983" s="345" t="s">
        <v>1358</v>
      </c>
      <c r="E3983" s="1160">
        <v>880000</v>
      </c>
      <c r="F3983" s="406"/>
      <c r="G3983" s="406"/>
      <c r="H3983" s="406"/>
      <c r="I3983" s="324">
        <f t="shared" si="2760"/>
        <v>880000</v>
      </c>
      <c r="J3983" s="406"/>
      <c r="K3983" s="406"/>
      <c r="L3983" s="317">
        <f t="shared" si="2783"/>
        <v>880000</v>
      </c>
      <c r="M3983" s="317"/>
      <c r="N3983" s="372">
        <f t="shared" si="2786"/>
        <v>0</v>
      </c>
      <c r="O3983" s="336">
        <f>L3983*1.1</f>
        <v>968000.00000000012</v>
      </c>
      <c r="P3983" s="1131">
        <f t="shared" si="2774"/>
        <v>1064800.0000000002</v>
      </c>
      <c r="R3983" s="317"/>
      <c r="U3983" s="320"/>
    </row>
    <row r="3984" spans="1:21" s="344" customFormat="1" outlineLevel="2">
      <c r="A3984" s="345"/>
      <c r="B3984" s="345"/>
      <c r="C3984" s="770">
        <v>2210200</v>
      </c>
      <c r="D3984" s="636" t="s">
        <v>20</v>
      </c>
      <c r="E3984" s="605">
        <f>E3985</f>
        <v>58000</v>
      </c>
      <c r="F3984" s="605">
        <f t="shared" ref="F3984:K3984" si="2791">F3985</f>
        <v>0</v>
      </c>
      <c r="G3984" s="605">
        <f t="shared" si="2791"/>
        <v>0</v>
      </c>
      <c r="H3984" s="605">
        <f t="shared" si="2791"/>
        <v>0</v>
      </c>
      <c r="I3984" s="605">
        <f t="shared" si="2791"/>
        <v>58000</v>
      </c>
      <c r="J3984" s="605">
        <f t="shared" si="2791"/>
        <v>0</v>
      </c>
      <c r="K3984" s="605">
        <f t="shared" si="2791"/>
        <v>0</v>
      </c>
      <c r="L3984" s="317">
        <f t="shared" si="2783"/>
        <v>58000</v>
      </c>
      <c r="M3984" s="317"/>
      <c r="N3984" s="372">
        <f t="shared" si="2786"/>
        <v>0</v>
      </c>
      <c r="O3984" s="605">
        <f t="shared" ref="O3984:P3984" si="2792">O3985</f>
        <v>63800.000000000007</v>
      </c>
      <c r="P3984" s="605">
        <f t="shared" si="2792"/>
        <v>70180.000000000015</v>
      </c>
      <c r="R3984" s="317"/>
      <c r="U3984" s="320"/>
    </row>
    <row r="3985" spans="1:21" s="344" customFormat="1" outlineLevel="2">
      <c r="A3985" s="345"/>
      <c r="B3985" s="345"/>
      <c r="C3985" s="405">
        <v>2210201</v>
      </c>
      <c r="D3985" s="345" t="s">
        <v>113</v>
      </c>
      <c r="E3985" s="1160">
        <v>58000</v>
      </c>
      <c r="F3985" s="406"/>
      <c r="G3985" s="406"/>
      <c r="H3985" s="406"/>
      <c r="I3985" s="324">
        <f t="shared" si="2760"/>
        <v>58000</v>
      </c>
      <c r="J3985" s="406"/>
      <c r="K3985" s="406"/>
      <c r="L3985" s="317">
        <f t="shared" si="2783"/>
        <v>58000</v>
      </c>
      <c r="M3985" s="317"/>
      <c r="N3985" s="372">
        <f t="shared" si="2786"/>
        <v>0</v>
      </c>
      <c r="O3985" s="336">
        <f>L3985*1.1</f>
        <v>63800.000000000007</v>
      </c>
      <c r="P3985" s="1131">
        <f t="shared" si="2774"/>
        <v>70180.000000000015</v>
      </c>
      <c r="R3985" s="317"/>
      <c r="U3985" s="320"/>
    </row>
    <row r="3986" spans="1:21" s="344" customFormat="1" outlineLevel="2">
      <c r="A3986" s="345"/>
      <c r="B3986" s="345"/>
      <c r="C3986" s="770">
        <v>2210300</v>
      </c>
      <c r="D3986" s="636" t="s">
        <v>24</v>
      </c>
      <c r="E3986" s="605">
        <f>E3987+E3988+E3989</f>
        <v>1493000</v>
      </c>
      <c r="F3986" s="605">
        <f t="shared" ref="F3986:K3986" si="2793">F3987+F3988+F3989</f>
        <v>0</v>
      </c>
      <c r="G3986" s="605">
        <f t="shared" si="2793"/>
        <v>0</v>
      </c>
      <c r="H3986" s="605">
        <f t="shared" si="2793"/>
        <v>0</v>
      </c>
      <c r="I3986" s="605">
        <f t="shared" si="2793"/>
        <v>1493000</v>
      </c>
      <c r="J3986" s="605">
        <f t="shared" si="2793"/>
        <v>0</v>
      </c>
      <c r="K3986" s="605">
        <f t="shared" si="2793"/>
        <v>500000</v>
      </c>
      <c r="L3986" s="317">
        <f t="shared" si="2783"/>
        <v>1993000</v>
      </c>
      <c r="M3986" s="317"/>
      <c r="N3986" s="372">
        <f t="shared" si="2786"/>
        <v>-500000</v>
      </c>
      <c r="O3986" s="605">
        <f t="shared" ref="O3986:P3986" si="2794">O3987+O3988+O3989</f>
        <v>2192300</v>
      </c>
      <c r="P3986" s="605">
        <f t="shared" si="2794"/>
        <v>2411530.0000000005</v>
      </c>
      <c r="R3986" s="317"/>
      <c r="U3986" s="320"/>
    </row>
    <row r="3987" spans="1:21" outlineLevel="2">
      <c r="A3987" s="345"/>
      <c r="B3987" s="345"/>
      <c r="C3987" s="401">
        <v>2210301</v>
      </c>
      <c r="D3987" s="464" t="s">
        <v>188</v>
      </c>
      <c r="E3987" s="1160">
        <v>232000</v>
      </c>
      <c r="F3987" s="333"/>
      <c r="G3987" s="333"/>
      <c r="H3987" s="333"/>
      <c r="I3987" s="324">
        <f t="shared" si="2760"/>
        <v>232000</v>
      </c>
      <c r="J3987" s="333"/>
      <c r="K3987" s="333"/>
      <c r="L3987" s="317">
        <f t="shared" si="2783"/>
        <v>232000</v>
      </c>
      <c r="M3987" s="317"/>
      <c r="N3987" s="372">
        <f t="shared" si="2786"/>
        <v>0</v>
      </c>
      <c r="O3987" s="336">
        <f>L3987*1.1</f>
        <v>255200.00000000003</v>
      </c>
      <c r="P3987" s="1131">
        <f t="shared" si="2774"/>
        <v>280720.00000000006</v>
      </c>
      <c r="R3987" s="317"/>
      <c r="U3987" s="320"/>
    </row>
    <row r="3988" spans="1:21" s="344" customFormat="1" outlineLevel="2">
      <c r="A3988" s="345"/>
      <c r="B3988" s="345"/>
      <c r="C3988" s="405">
        <v>2210302</v>
      </c>
      <c r="D3988" s="345" t="s">
        <v>26</v>
      </c>
      <c r="E3988" s="1160">
        <v>261000</v>
      </c>
      <c r="F3988" s="406"/>
      <c r="G3988" s="406"/>
      <c r="H3988" s="406"/>
      <c r="I3988" s="324">
        <f t="shared" si="2760"/>
        <v>261000</v>
      </c>
      <c r="J3988" s="406"/>
      <c r="K3988" s="406"/>
      <c r="L3988" s="317">
        <f t="shared" si="2783"/>
        <v>261000</v>
      </c>
      <c r="M3988" s="317"/>
      <c r="N3988" s="372">
        <f t="shared" si="2786"/>
        <v>0</v>
      </c>
      <c r="O3988" s="336">
        <f>L3988*1.1</f>
        <v>287100</v>
      </c>
      <c r="P3988" s="1131">
        <f t="shared" si="2774"/>
        <v>315810</v>
      </c>
      <c r="R3988" s="317"/>
      <c r="U3988" s="320"/>
    </row>
    <row r="3989" spans="1:21" s="344" customFormat="1" outlineLevel="2">
      <c r="A3989" s="330"/>
      <c r="B3989" s="330"/>
      <c r="C3989" s="332">
        <v>2210303</v>
      </c>
      <c r="D3989" s="330" t="s">
        <v>1359</v>
      </c>
      <c r="E3989" s="673">
        <v>1000000</v>
      </c>
      <c r="F3989" s="389"/>
      <c r="G3989" s="389"/>
      <c r="H3989" s="389"/>
      <c r="I3989" s="324">
        <f t="shared" si="2760"/>
        <v>1000000</v>
      </c>
      <c r="J3989" s="389"/>
      <c r="K3989" s="389">
        <v>500000</v>
      </c>
      <c r="L3989" s="317">
        <f t="shared" si="2783"/>
        <v>1500000</v>
      </c>
      <c r="M3989" s="317"/>
      <c r="N3989" s="372">
        <f t="shared" si="2786"/>
        <v>-500000</v>
      </c>
      <c r="O3989" s="336">
        <f>L3989*1.1</f>
        <v>1650000.0000000002</v>
      </c>
      <c r="P3989" s="1131">
        <f t="shared" si="2774"/>
        <v>1815000.0000000005</v>
      </c>
      <c r="Q3989" s="344" t="s">
        <v>2489</v>
      </c>
      <c r="R3989" s="317"/>
      <c r="U3989" s="320"/>
    </row>
    <row r="3990" spans="1:21" s="344" customFormat="1" outlineLevel="2">
      <c r="A3990" s="345"/>
      <c r="B3990" s="345"/>
      <c r="C3990" s="770">
        <v>2210500</v>
      </c>
      <c r="D3990" s="636" t="s">
        <v>31</v>
      </c>
      <c r="E3990" s="605">
        <f>E3992+E3991</f>
        <v>60000</v>
      </c>
      <c r="F3990" s="605">
        <f t="shared" ref="F3990:K3990" si="2795">F3992+F3991</f>
        <v>0</v>
      </c>
      <c r="G3990" s="605">
        <f t="shared" si="2795"/>
        <v>0</v>
      </c>
      <c r="H3990" s="605">
        <f t="shared" si="2795"/>
        <v>0</v>
      </c>
      <c r="I3990" s="605">
        <f t="shared" si="2795"/>
        <v>60000</v>
      </c>
      <c r="J3990" s="605">
        <f t="shared" si="2795"/>
        <v>0</v>
      </c>
      <c r="K3990" s="605">
        <f t="shared" si="2795"/>
        <v>401600</v>
      </c>
      <c r="L3990" s="317">
        <f t="shared" si="2783"/>
        <v>461600</v>
      </c>
      <c r="M3990" s="317"/>
      <c r="N3990" s="372">
        <f t="shared" si="2786"/>
        <v>-401600</v>
      </c>
      <c r="O3990" s="605">
        <f t="shared" ref="O3990:P3990" si="2796">O3992+O3991</f>
        <v>507760.00000000006</v>
      </c>
      <c r="P3990" s="605">
        <f t="shared" si="2796"/>
        <v>558536.00000000012</v>
      </c>
      <c r="R3990" s="317"/>
      <c r="U3990" s="320"/>
    </row>
    <row r="3991" spans="1:21" s="344" customFormat="1" outlineLevel="2">
      <c r="A3991" s="345"/>
      <c r="B3991" s="345"/>
      <c r="C3991" s="405">
        <v>2210503</v>
      </c>
      <c r="D3991" s="345" t="s">
        <v>692</v>
      </c>
      <c r="E3991" s="1160">
        <v>10000</v>
      </c>
      <c r="F3991" s="406"/>
      <c r="G3991" s="406"/>
      <c r="H3991" s="406"/>
      <c r="I3991" s="324">
        <f t="shared" si="2760"/>
        <v>10000</v>
      </c>
      <c r="J3991" s="406"/>
      <c r="K3991" s="389">
        <v>-10000</v>
      </c>
      <c r="L3991" s="317">
        <f t="shared" si="2783"/>
        <v>0</v>
      </c>
      <c r="M3991" s="317"/>
      <c r="N3991" s="372">
        <f t="shared" si="2786"/>
        <v>10000</v>
      </c>
      <c r="O3991" s="336">
        <f>L3991*1.1</f>
        <v>0</v>
      </c>
      <c r="P3991" s="1131">
        <f t="shared" si="2774"/>
        <v>0</v>
      </c>
      <c r="R3991" s="317"/>
      <c r="U3991" s="320"/>
    </row>
    <row r="3992" spans="1:21" s="344" customFormat="1" outlineLevel="2">
      <c r="A3992" s="345"/>
      <c r="B3992" s="345"/>
      <c r="C3992" s="405">
        <v>2210504</v>
      </c>
      <c r="D3992" s="345" t="s">
        <v>171</v>
      </c>
      <c r="E3992" s="1160">
        <v>50000</v>
      </c>
      <c r="F3992" s="406"/>
      <c r="G3992" s="406"/>
      <c r="H3992" s="406"/>
      <c r="I3992" s="324">
        <f t="shared" ref="I3992:I4056" si="2797">E3992+F3992+G3992+H3992</f>
        <v>50000</v>
      </c>
      <c r="J3992" s="406"/>
      <c r="K3992" s="389">
        <v>411600</v>
      </c>
      <c r="L3992" s="317">
        <f t="shared" si="2783"/>
        <v>461600</v>
      </c>
      <c r="M3992" s="317"/>
      <c r="N3992" s="372">
        <f t="shared" si="2786"/>
        <v>-411600</v>
      </c>
      <c r="O3992" s="336">
        <f>L3992*1.1</f>
        <v>507760.00000000006</v>
      </c>
      <c r="P3992" s="1131">
        <f t="shared" si="2774"/>
        <v>558536.00000000012</v>
      </c>
      <c r="R3992" s="317"/>
      <c r="U3992" s="320"/>
    </row>
    <row r="3993" spans="1:21" s="344" customFormat="1" outlineLevel="2">
      <c r="A3993" s="345"/>
      <c r="B3993" s="345"/>
      <c r="C3993" s="770">
        <v>2210700</v>
      </c>
      <c r="D3993" s="636" t="s">
        <v>35</v>
      </c>
      <c r="E3993" s="605">
        <f>E3994+E3995+E3996</f>
        <v>450000</v>
      </c>
      <c r="F3993" s="605">
        <f t="shared" ref="F3993:K3993" si="2798">F3994+F3995+F3996</f>
        <v>0</v>
      </c>
      <c r="G3993" s="605">
        <f t="shared" si="2798"/>
        <v>0</v>
      </c>
      <c r="H3993" s="605">
        <f t="shared" si="2798"/>
        <v>0</v>
      </c>
      <c r="I3993" s="605">
        <f t="shared" si="2798"/>
        <v>450000</v>
      </c>
      <c r="J3993" s="605">
        <f t="shared" si="2798"/>
        <v>0</v>
      </c>
      <c r="K3993" s="605">
        <f t="shared" si="2798"/>
        <v>0</v>
      </c>
      <c r="L3993" s="317">
        <f t="shared" si="2783"/>
        <v>450000</v>
      </c>
      <c r="M3993" s="317"/>
      <c r="N3993" s="372">
        <f t="shared" si="2786"/>
        <v>0</v>
      </c>
      <c r="O3993" s="605">
        <f t="shared" ref="O3993:P3993" si="2799">O3994+O3995+O3996</f>
        <v>495000</v>
      </c>
      <c r="P3993" s="605">
        <f t="shared" si="2799"/>
        <v>544500</v>
      </c>
      <c r="R3993" s="317"/>
      <c r="U3993" s="320"/>
    </row>
    <row r="3994" spans="1:21" s="344" customFormat="1" outlineLevel="2">
      <c r="A3994" s="345"/>
      <c r="B3994" s="345"/>
      <c r="C3994" s="401">
        <v>2210701</v>
      </c>
      <c r="D3994" s="1162" t="s">
        <v>287</v>
      </c>
      <c r="E3994" s="1160">
        <v>100000</v>
      </c>
      <c r="F3994" s="389"/>
      <c r="G3994" s="389"/>
      <c r="H3994" s="389"/>
      <c r="I3994" s="324">
        <f t="shared" si="2797"/>
        <v>100000</v>
      </c>
      <c r="J3994" s="389"/>
      <c r="K3994" s="389"/>
      <c r="L3994" s="317">
        <f t="shared" si="2783"/>
        <v>100000</v>
      </c>
      <c r="M3994" s="317"/>
      <c r="N3994" s="372">
        <f t="shared" si="2786"/>
        <v>0</v>
      </c>
      <c r="O3994" s="336">
        <f>L3994*1.1</f>
        <v>110000.00000000001</v>
      </c>
      <c r="P3994" s="1131">
        <f t="shared" si="2774"/>
        <v>121000.00000000003</v>
      </c>
      <c r="R3994" s="317"/>
      <c r="U3994" s="320"/>
    </row>
    <row r="3995" spans="1:21" s="344" customFormat="1" outlineLevel="2">
      <c r="A3995" s="345"/>
      <c r="B3995" s="345"/>
      <c r="C3995" s="401">
        <v>2210710</v>
      </c>
      <c r="D3995" s="1162" t="s">
        <v>288</v>
      </c>
      <c r="E3995" s="1160">
        <v>250000</v>
      </c>
      <c r="F3995" s="389"/>
      <c r="G3995" s="389"/>
      <c r="H3995" s="389"/>
      <c r="I3995" s="324">
        <f t="shared" si="2797"/>
        <v>250000</v>
      </c>
      <c r="J3995" s="389"/>
      <c r="K3995" s="389"/>
      <c r="L3995" s="317">
        <f t="shared" si="2783"/>
        <v>250000</v>
      </c>
      <c r="M3995" s="317"/>
      <c r="N3995" s="372">
        <f t="shared" si="2786"/>
        <v>0</v>
      </c>
      <c r="O3995" s="336">
        <f>L3995*1.1</f>
        <v>275000</v>
      </c>
      <c r="P3995" s="1131">
        <f t="shared" si="2774"/>
        <v>302500</v>
      </c>
      <c r="R3995" s="317"/>
      <c r="U3995" s="320"/>
    </row>
    <row r="3996" spans="1:21" s="344" customFormat="1" outlineLevel="2">
      <c r="A3996" s="345"/>
      <c r="B3996" s="345"/>
      <c r="C3996" s="405">
        <v>2210799</v>
      </c>
      <c r="D3996" s="345" t="s">
        <v>693</v>
      </c>
      <c r="E3996" s="1160">
        <v>100000</v>
      </c>
      <c r="F3996" s="406"/>
      <c r="G3996" s="406"/>
      <c r="H3996" s="406"/>
      <c r="I3996" s="324">
        <f t="shared" si="2797"/>
        <v>100000</v>
      </c>
      <c r="J3996" s="406"/>
      <c r="K3996" s="406"/>
      <c r="L3996" s="317">
        <f t="shared" si="2783"/>
        <v>100000</v>
      </c>
      <c r="M3996" s="317"/>
      <c r="N3996" s="372">
        <f t="shared" si="2786"/>
        <v>0</v>
      </c>
      <c r="O3996" s="336">
        <f>L3996*1.1</f>
        <v>110000.00000000001</v>
      </c>
      <c r="P3996" s="1131">
        <f t="shared" si="2774"/>
        <v>121000.00000000003</v>
      </c>
      <c r="R3996" s="317"/>
      <c r="U3996" s="320"/>
    </row>
    <row r="3997" spans="1:21" s="344" customFormat="1" outlineLevel="2">
      <c r="A3997" s="345"/>
      <c r="B3997" s="345"/>
      <c r="C3997" s="770">
        <v>2210800</v>
      </c>
      <c r="D3997" s="636" t="s">
        <v>42</v>
      </c>
      <c r="E3997" s="605">
        <f>E3998</f>
        <v>300000</v>
      </c>
      <c r="F3997" s="605">
        <f t="shared" ref="F3997:P3997" si="2800">F3998</f>
        <v>0</v>
      </c>
      <c r="G3997" s="605">
        <f t="shared" si="2800"/>
        <v>0</v>
      </c>
      <c r="H3997" s="605">
        <f t="shared" si="2800"/>
        <v>0</v>
      </c>
      <c r="I3997" s="605">
        <f t="shared" si="2800"/>
        <v>300000</v>
      </c>
      <c r="J3997" s="605">
        <f t="shared" si="2800"/>
        <v>0</v>
      </c>
      <c r="K3997" s="605">
        <f t="shared" si="2800"/>
        <v>0</v>
      </c>
      <c r="L3997" s="317">
        <f t="shared" si="2783"/>
        <v>300000</v>
      </c>
      <c r="M3997" s="317"/>
      <c r="N3997" s="372">
        <f t="shared" si="2786"/>
        <v>0</v>
      </c>
      <c r="O3997" s="605">
        <f t="shared" si="2800"/>
        <v>330000</v>
      </c>
      <c r="P3997" s="605">
        <f t="shared" si="2800"/>
        <v>363000.00000000006</v>
      </c>
      <c r="R3997" s="317"/>
      <c r="U3997" s="320"/>
    </row>
    <row r="3998" spans="1:21" s="344" customFormat="1" outlineLevel="2">
      <c r="A3998" s="345"/>
      <c r="B3998" s="345"/>
      <c r="C3998" s="405">
        <v>2210801</v>
      </c>
      <c r="D3998" s="345" t="s">
        <v>684</v>
      </c>
      <c r="E3998" s="1160">
        <v>300000</v>
      </c>
      <c r="F3998" s="406"/>
      <c r="G3998" s="406"/>
      <c r="H3998" s="406"/>
      <c r="I3998" s="324">
        <f t="shared" si="2797"/>
        <v>300000</v>
      </c>
      <c r="J3998" s="406"/>
      <c r="K3998" s="406"/>
      <c r="L3998" s="317">
        <f t="shared" si="2783"/>
        <v>300000</v>
      </c>
      <c r="M3998" s="317"/>
      <c r="N3998" s="372">
        <f t="shared" si="2786"/>
        <v>0</v>
      </c>
      <c r="O3998" s="336">
        <f>L3998*1.1</f>
        <v>330000</v>
      </c>
      <c r="P3998" s="1131">
        <f t="shared" si="2774"/>
        <v>363000.00000000006</v>
      </c>
      <c r="R3998" s="317"/>
      <c r="U3998" s="320"/>
    </row>
    <row r="3999" spans="1:21" s="344" customFormat="1" outlineLevel="2">
      <c r="A3999" s="345"/>
      <c r="B3999" s="345"/>
      <c r="C3999" s="328">
        <v>2211000</v>
      </c>
      <c r="D3999" s="362" t="s">
        <v>118</v>
      </c>
      <c r="E3999" s="605">
        <f>E4000</f>
        <v>300000</v>
      </c>
      <c r="F3999" s="605">
        <f t="shared" ref="F3999:P3999" si="2801">F4000</f>
        <v>0</v>
      </c>
      <c r="G3999" s="605">
        <f t="shared" si="2801"/>
        <v>0</v>
      </c>
      <c r="H3999" s="605">
        <f t="shared" si="2801"/>
        <v>0</v>
      </c>
      <c r="I3999" s="605">
        <f t="shared" si="2801"/>
        <v>300000</v>
      </c>
      <c r="J3999" s="605">
        <f t="shared" si="2801"/>
        <v>0</v>
      </c>
      <c r="K3999" s="605">
        <f t="shared" si="2801"/>
        <v>0</v>
      </c>
      <c r="L3999" s="317">
        <f t="shared" si="2783"/>
        <v>300000</v>
      </c>
      <c r="M3999" s="317"/>
      <c r="N3999" s="372">
        <f t="shared" si="2786"/>
        <v>0</v>
      </c>
      <c r="O3999" s="605">
        <f t="shared" si="2801"/>
        <v>330000</v>
      </c>
      <c r="P3999" s="605">
        <f t="shared" si="2801"/>
        <v>363000.00000000006</v>
      </c>
      <c r="R3999" s="317"/>
      <c r="U3999" s="320"/>
    </row>
    <row r="4000" spans="1:21" s="344" customFormat="1" outlineLevel="2">
      <c r="A4000" s="345"/>
      <c r="B4000" s="345"/>
      <c r="C4000" s="405">
        <v>2211016</v>
      </c>
      <c r="D4000" s="345" t="s">
        <v>694</v>
      </c>
      <c r="E4000" s="1160">
        <v>300000</v>
      </c>
      <c r="F4000" s="406"/>
      <c r="G4000" s="406"/>
      <c r="H4000" s="406"/>
      <c r="I4000" s="324">
        <f t="shared" si="2797"/>
        <v>300000</v>
      </c>
      <c r="J4000" s="406"/>
      <c r="K4000" s="406"/>
      <c r="L4000" s="317">
        <f t="shared" si="2783"/>
        <v>300000</v>
      </c>
      <c r="M4000" s="317"/>
      <c r="N4000" s="372">
        <f t="shared" si="2786"/>
        <v>0</v>
      </c>
      <c r="O4000" s="336">
        <f>L4000*1.1</f>
        <v>330000</v>
      </c>
      <c r="P4000" s="1131">
        <f t="shared" si="2774"/>
        <v>363000.00000000006</v>
      </c>
      <c r="R4000" s="317"/>
      <c r="U4000" s="320"/>
    </row>
    <row r="4001" spans="1:21" s="344" customFormat="1" outlineLevel="2">
      <c r="A4001" s="345"/>
      <c r="B4001" s="345"/>
      <c r="C4001" s="770">
        <v>2211100</v>
      </c>
      <c r="D4001" s="636" t="s">
        <v>51</v>
      </c>
      <c r="E4001" s="605">
        <f>E4002+E4003</f>
        <v>640000</v>
      </c>
      <c r="F4001" s="605">
        <f t="shared" ref="F4001:K4001" si="2802">F4002+F4003</f>
        <v>0</v>
      </c>
      <c r="G4001" s="605">
        <f t="shared" si="2802"/>
        <v>0</v>
      </c>
      <c r="H4001" s="605">
        <f t="shared" si="2802"/>
        <v>0</v>
      </c>
      <c r="I4001" s="605">
        <f t="shared" si="2802"/>
        <v>640000</v>
      </c>
      <c r="J4001" s="605">
        <f t="shared" si="2802"/>
        <v>0</v>
      </c>
      <c r="K4001" s="605">
        <f t="shared" si="2802"/>
        <v>0</v>
      </c>
      <c r="L4001" s="317">
        <f t="shared" si="2783"/>
        <v>640000</v>
      </c>
      <c r="M4001" s="317"/>
      <c r="N4001" s="372">
        <f t="shared" si="2786"/>
        <v>0</v>
      </c>
      <c r="O4001" s="605">
        <f t="shared" ref="O4001:P4001" si="2803">O4002+O4003</f>
        <v>704000</v>
      </c>
      <c r="P4001" s="605">
        <f t="shared" si="2803"/>
        <v>774400.00000000012</v>
      </c>
      <c r="R4001" s="317"/>
      <c r="U4001" s="320"/>
    </row>
    <row r="4002" spans="1:21" s="344" customFormat="1" outlineLevel="2">
      <c r="A4002" s="345"/>
      <c r="B4002" s="345"/>
      <c r="C4002" s="405">
        <v>2211101</v>
      </c>
      <c r="D4002" s="345" t="s">
        <v>52</v>
      </c>
      <c r="E4002" s="1160">
        <v>400000</v>
      </c>
      <c r="F4002" s="406"/>
      <c r="G4002" s="406"/>
      <c r="H4002" s="406"/>
      <c r="I4002" s="324">
        <f t="shared" si="2797"/>
        <v>400000</v>
      </c>
      <c r="J4002" s="406"/>
      <c r="K4002" s="406"/>
      <c r="L4002" s="317">
        <f t="shared" si="2783"/>
        <v>400000</v>
      </c>
      <c r="M4002" s="317"/>
      <c r="N4002" s="372">
        <f t="shared" si="2786"/>
        <v>0</v>
      </c>
      <c r="O4002" s="336">
        <f>L4002*1.1</f>
        <v>440000.00000000006</v>
      </c>
      <c r="P4002" s="1131">
        <f t="shared" si="2774"/>
        <v>484000.00000000012</v>
      </c>
      <c r="R4002" s="317"/>
      <c r="U4002" s="320"/>
    </row>
    <row r="4003" spans="1:21" s="344" customFormat="1" outlineLevel="2">
      <c r="A4003" s="345"/>
      <c r="B4003" s="345"/>
      <c r="C4003" s="405">
        <v>2211103</v>
      </c>
      <c r="D4003" s="345" t="s">
        <v>686</v>
      </c>
      <c r="E4003" s="1160">
        <v>240000</v>
      </c>
      <c r="F4003" s="406"/>
      <c r="G4003" s="406"/>
      <c r="H4003" s="406"/>
      <c r="I4003" s="324">
        <f t="shared" si="2797"/>
        <v>240000</v>
      </c>
      <c r="J4003" s="406"/>
      <c r="K4003" s="406"/>
      <c r="L4003" s="317">
        <f t="shared" si="2783"/>
        <v>240000</v>
      </c>
      <c r="M4003" s="317"/>
      <c r="N4003" s="372">
        <f t="shared" si="2786"/>
        <v>0</v>
      </c>
      <c r="O4003" s="336">
        <f>L4003*1.1</f>
        <v>264000</v>
      </c>
      <c r="P4003" s="1131">
        <f t="shared" si="2774"/>
        <v>290400</v>
      </c>
      <c r="R4003" s="317"/>
      <c r="U4003" s="320"/>
    </row>
    <row r="4004" spans="1:21" s="344" customFormat="1" outlineLevel="2">
      <c r="A4004" s="345"/>
      <c r="B4004" s="345"/>
      <c r="C4004" s="770">
        <v>2211200</v>
      </c>
      <c r="D4004" s="636" t="s">
        <v>55</v>
      </c>
      <c r="E4004" s="605">
        <f>E4005</f>
        <v>850000</v>
      </c>
      <c r="F4004" s="605">
        <f t="shared" ref="F4004:K4004" si="2804">F4005</f>
        <v>0</v>
      </c>
      <c r="G4004" s="605">
        <f t="shared" si="2804"/>
        <v>0</v>
      </c>
      <c r="H4004" s="605">
        <f t="shared" si="2804"/>
        <v>0</v>
      </c>
      <c r="I4004" s="605">
        <f t="shared" si="2804"/>
        <v>850000</v>
      </c>
      <c r="J4004" s="605">
        <f t="shared" si="2804"/>
        <v>0</v>
      </c>
      <c r="K4004" s="605">
        <f t="shared" si="2804"/>
        <v>0</v>
      </c>
      <c r="L4004" s="317">
        <f t="shared" si="2783"/>
        <v>850000</v>
      </c>
      <c r="M4004" s="317"/>
      <c r="N4004" s="372">
        <f t="shared" si="2786"/>
        <v>0</v>
      </c>
      <c r="O4004" s="605">
        <f t="shared" ref="O4004:P4004" si="2805">O4005</f>
        <v>935000.00000000012</v>
      </c>
      <c r="P4004" s="605">
        <f t="shared" si="2805"/>
        <v>1028500.0000000002</v>
      </c>
      <c r="R4004" s="317"/>
      <c r="U4004" s="320"/>
    </row>
    <row r="4005" spans="1:21" s="344" customFormat="1" outlineLevel="2">
      <c r="A4005" s="345"/>
      <c r="B4005" s="345"/>
      <c r="C4005" s="405">
        <v>2211201</v>
      </c>
      <c r="D4005" s="345" t="s">
        <v>1353</v>
      </c>
      <c r="E4005" s="1160">
        <v>850000</v>
      </c>
      <c r="F4005" s="406"/>
      <c r="G4005" s="406"/>
      <c r="H4005" s="406"/>
      <c r="I4005" s="324">
        <f t="shared" si="2797"/>
        <v>850000</v>
      </c>
      <c r="J4005" s="406"/>
      <c r="K4005" s="1163"/>
      <c r="L4005" s="317">
        <f t="shared" si="2783"/>
        <v>850000</v>
      </c>
      <c r="M4005" s="317"/>
      <c r="N4005" s="372">
        <f t="shared" si="2786"/>
        <v>0</v>
      </c>
      <c r="O4005" s="336">
        <f>L4005*1.1</f>
        <v>935000.00000000012</v>
      </c>
      <c r="P4005" s="1131">
        <f t="shared" si="2774"/>
        <v>1028500.0000000002</v>
      </c>
      <c r="Q4005" s="344" t="s">
        <v>2490</v>
      </c>
      <c r="R4005" s="317"/>
      <c r="U4005" s="320"/>
    </row>
    <row r="4006" spans="1:21" s="344" customFormat="1" outlineLevel="2">
      <c r="A4006" s="345"/>
      <c r="B4006" s="345"/>
      <c r="C4006" s="340">
        <v>2211300</v>
      </c>
      <c r="D4006" s="338" t="s">
        <v>57</v>
      </c>
      <c r="E4006" s="605">
        <f>E4007</f>
        <v>15000</v>
      </c>
      <c r="F4006" s="605">
        <f t="shared" ref="F4006:K4006" si="2806">F4007</f>
        <v>0</v>
      </c>
      <c r="G4006" s="605">
        <f t="shared" si="2806"/>
        <v>0</v>
      </c>
      <c r="H4006" s="605">
        <f t="shared" si="2806"/>
        <v>0</v>
      </c>
      <c r="I4006" s="605">
        <f t="shared" si="2806"/>
        <v>15000</v>
      </c>
      <c r="J4006" s="605">
        <f t="shared" si="2806"/>
        <v>0</v>
      </c>
      <c r="K4006" s="605">
        <f t="shared" si="2806"/>
        <v>0</v>
      </c>
      <c r="L4006" s="317">
        <f t="shared" si="2783"/>
        <v>15000</v>
      </c>
      <c r="M4006" s="317"/>
      <c r="N4006" s="372">
        <f t="shared" si="2786"/>
        <v>0</v>
      </c>
      <c r="O4006" s="605">
        <f t="shared" ref="O4006:P4006" si="2807">O4007</f>
        <v>16500</v>
      </c>
      <c r="P4006" s="605">
        <f t="shared" si="2807"/>
        <v>18150</v>
      </c>
      <c r="R4006" s="317"/>
      <c r="U4006" s="320"/>
    </row>
    <row r="4007" spans="1:21" s="344" customFormat="1" outlineLevel="2">
      <c r="A4007" s="345"/>
      <c r="B4007" s="345"/>
      <c r="C4007" s="405">
        <v>2211306</v>
      </c>
      <c r="D4007" s="345" t="s">
        <v>58</v>
      </c>
      <c r="E4007" s="1160">
        <v>15000</v>
      </c>
      <c r="F4007" s="406"/>
      <c r="G4007" s="406"/>
      <c r="H4007" s="406"/>
      <c r="I4007" s="324">
        <f t="shared" si="2797"/>
        <v>15000</v>
      </c>
      <c r="J4007" s="406"/>
      <c r="K4007" s="406"/>
      <c r="L4007" s="317">
        <f t="shared" si="2783"/>
        <v>15000</v>
      </c>
      <c r="M4007" s="317"/>
      <c r="N4007" s="372">
        <f t="shared" si="2786"/>
        <v>0</v>
      </c>
      <c r="O4007" s="336">
        <f>L4007*1.1</f>
        <v>16500</v>
      </c>
      <c r="P4007" s="1131">
        <f t="shared" si="2774"/>
        <v>18150</v>
      </c>
      <c r="R4007" s="317"/>
      <c r="U4007" s="320"/>
    </row>
    <row r="4008" spans="1:21" s="344" customFormat="1" outlineLevel="2">
      <c r="A4008" s="345"/>
      <c r="B4008" s="345"/>
      <c r="C4008" s="770">
        <v>2220200</v>
      </c>
      <c r="D4008" s="362" t="s">
        <v>124</v>
      </c>
      <c r="E4008" s="605">
        <f>E4009</f>
        <v>400000</v>
      </c>
      <c r="F4008" s="605">
        <f t="shared" ref="F4008:K4008" si="2808">F4009</f>
        <v>0</v>
      </c>
      <c r="G4008" s="605">
        <f t="shared" si="2808"/>
        <v>0</v>
      </c>
      <c r="H4008" s="605">
        <f t="shared" si="2808"/>
        <v>0</v>
      </c>
      <c r="I4008" s="605">
        <f t="shared" si="2808"/>
        <v>400000</v>
      </c>
      <c r="J4008" s="605">
        <f t="shared" si="2808"/>
        <v>0</v>
      </c>
      <c r="K4008" s="605">
        <f t="shared" si="2808"/>
        <v>0</v>
      </c>
      <c r="L4008" s="317">
        <f t="shared" si="2783"/>
        <v>400000</v>
      </c>
      <c r="M4008" s="317"/>
      <c r="N4008" s="372">
        <f t="shared" si="2786"/>
        <v>0</v>
      </c>
      <c r="O4008" s="605">
        <f t="shared" ref="O4008:P4008" si="2809">O4009</f>
        <v>440000.00000000006</v>
      </c>
      <c r="P4008" s="605">
        <f t="shared" si="2809"/>
        <v>484000.00000000012</v>
      </c>
      <c r="R4008" s="317"/>
      <c r="U4008" s="320"/>
    </row>
    <row r="4009" spans="1:21" s="344" customFormat="1" outlineLevel="2">
      <c r="A4009" s="345"/>
      <c r="B4009" s="345"/>
      <c r="C4009" s="405">
        <v>2220201</v>
      </c>
      <c r="D4009" s="345" t="s">
        <v>695</v>
      </c>
      <c r="E4009" s="1160">
        <v>400000</v>
      </c>
      <c r="F4009" s="406"/>
      <c r="G4009" s="406"/>
      <c r="H4009" s="406"/>
      <c r="I4009" s="324">
        <f t="shared" si="2797"/>
        <v>400000</v>
      </c>
      <c r="J4009" s="406"/>
      <c r="K4009" s="406"/>
      <c r="L4009" s="317">
        <f t="shared" si="2783"/>
        <v>400000</v>
      </c>
      <c r="M4009" s="317"/>
      <c r="N4009" s="372">
        <f t="shared" si="2786"/>
        <v>0</v>
      </c>
      <c r="O4009" s="336">
        <f>L4009*1.1</f>
        <v>440000.00000000006</v>
      </c>
      <c r="P4009" s="1131">
        <f t="shared" si="2774"/>
        <v>484000.00000000012</v>
      </c>
      <c r="R4009" s="317"/>
      <c r="U4009" s="320"/>
    </row>
    <row r="4010" spans="1:21" s="344" customFormat="1" outlineLevel="2">
      <c r="A4010" s="345"/>
      <c r="B4010" s="345"/>
      <c r="C4010" s="328">
        <v>3111400</v>
      </c>
      <c r="D4010" s="326" t="s">
        <v>75</v>
      </c>
      <c r="E4010" s="605">
        <f>E4011</f>
        <v>350000</v>
      </c>
      <c r="F4010" s="605">
        <f t="shared" ref="F4010:P4010" si="2810">F4011</f>
        <v>0</v>
      </c>
      <c r="G4010" s="605">
        <f t="shared" si="2810"/>
        <v>0</v>
      </c>
      <c r="H4010" s="605">
        <f t="shared" si="2810"/>
        <v>0</v>
      </c>
      <c r="I4010" s="605">
        <f t="shared" si="2810"/>
        <v>350000</v>
      </c>
      <c r="J4010" s="605">
        <f t="shared" si="2810"/>
        <v>0</v>
      </c>
      <c r="K4010" s="605">
        <f t="shared" si="2810"/>
        <v>350000</v>
      </c>
      <c r="L4010" s="317">
        <f t="shared" si="2783"/>
        <v>700000</v>
      </c>
      <c r="M4010" s="317"/>
      <c r="N4010" s="372">
        <f t="shared" si="2786"/>
        <v>-350000</v>
      </c>
      <c r="O4010" s="605">
        <f t="shared" si="2810"/>
        <v>770000.00000000012</v>
      </c>
      <c r="P4010" s="605">
        <f t="shared" si="2810"/>
        <v>847000.00000000023</v>
      </c>
      <c r="R4010" s="317"/>
      <c r="U4010" s="320"/>
    </row>
    <row r="4011" spans="1:21" s="344" customFormat="1" outlineLevel="2">
      <c r="A4011" s="345"/>
      <c r="B4011" s="345"/>
      <c r="C4011" s="405">
        <v>3111499</v>
      </c>
      <c r="D4011" s="345" t="s">
        <v>1360</v>
      </c>
      <c r="E4011" s="1160">
        <v>350000</v>
      </c>
      <c r="F4011" s="406"/>
      <c r="G4011" s="406"/>
      <c r="H4011" s="406"/>
      <c r="I4011" s="324">
        <f t="shared" si="2797"/>
        <v>350000</v>
      </c>
      <c r="J4011" s="406"/>
      <c r="K4011" s="389">
        <v>350000</v>
      </c>
      <c r="L4011" s="317">
        <f t="shared" si="2783"/>
        <v>700000</v>
      </c>
      <c r="M4011" s="317"/>
      <c r="N4011" s="372">
        <f t="shared" si="2786"/>
        <v>-350000</v>
      </c>
      <c r="O4011" s="336">
        <f>L4011*1.1</f>
        <v>770000.00000000012</v>
      </c>
      <c r="P4011" s="1131">
        <f t="shared" ref="P4011:P4074" si="2811">O4011*1.1</f>
        <v>847000.00000000023</v>
      </c>
      <c r="Q4011" s="345" t="s">
        <v>2491</v>
      </c>
      <c r="R4011" s="317"/>
      <c r="U4011" s="320"/>
    </row>
    <row r="4012" spans="1:21" s="344" customFormat="1" outlineLevel="1">
      <c r="A4012" s="345"/>
      <c r="B4012" s="345"/>
      <c r="C4012" s="405"/>
      <c r="D4012" s="1161" t="s">
        <v>128</v>
      </c>
      <c r="E4012" s="619">
        <f>E3982+E3984+E3986+E3999+E3990+E3993+E3997+E4001+E4004+E4006+E4008+E4010</f>
        <v>5796000</v>
      </c>
      <c r="F4012" s="619">
        <f t="shared" ref="F4012:K4012" si="2812">F3982+F3984+F3986+F3999+F3990+F3993+F3997+F4001+F4004+F4006+F4008+F4010</f>
        <v>0</v>
      </c>
      <c r="G4012" s="619">
        <f t="shared" si="2812"/>
        <v>0</v>
      </c>
      <c r="H4012" s="619">
        <f t="shared" si="2812"/>
        <v>0</v>
      </c>
      <c r="I4012" s="619">
        <f t="shared" si="2812"/>
        <v>5796000</v>
      </c>
      <c r="J4012" s="619">
        <f t="shared" si="2812"/>
        <v>0</v>
      </c>
      <c r="K4012" s="619">
        <f t="shared" si="2812"/>
        <v>1251600</v>
      </c>
      <c r="L4012" s="317">
        <f t="shared" si="2783"/>
        <v>7047600</v>
      </c>
      <c r="M4012" s="317"/>
      <c r="N4012" s="372">
        <f t="shared" si="2786"/>
        <v>-1251600</v>
      </c>
      <c r="O4012" s="619">
        <f t="shared" ref="O4012:P4012" si="2813">O3982+O3984+O3986+O3999+O3990+O3993+O3997+O4001+O4004+O4006+O4008+O4010</f>
        <v>7752360</v>
      </c>
      <c r="P4012" s="619">
        <f t="shared" si="2813"/>
        <v>8527596.0000000019</v>
      </c>
      <c r="R4012" s="317"/>
      <c r="U4012" s="320"/>
    </row>
    <row r="4013" spans="1:21" s="344" customFormat="1" outlineLevel="1">
      <c r="A4013" s="345"/>
      <c r="B4013" s="345"/>
      <c r="C4013" s="405"/>
      <c r="D4013" s="1161"/>
      <c r="E4013" s="619"/>
      <c r="F4013" s="438"/>
      <c r="G4013" s="438"/>
      <c r="H4013" s="438"/>
      <c r="I4013" s="324">
        <f t="shared" si="2797"/>
        <v>0</v>
      </c>
      <c r="J4013" s="438"/>
      <c r="K4013" s="438"/>
      <c r="L4013" s="317">
        <f t="shared" si="2783"/>
        <v>0</v>
      </c>
      <c r="M4013" s="317"/>
      <c r="N4013" s="372">
        <f t="shared" si="2786"/>
        <v>0</v>
      </c>
      <c r="O4013" s="336">
        <f>L4013*1.1</f>
        <v>0</v>
      </c>
      <c r="P4013" s="1131">
        <f t="shared" si="2811"/>
        <v>0</v>
      </c>
      <c r="R4013" s="317"/>
      <c r="U4013" s="320"/>
    </row>
    <row r="4014" spans="1:21" s="344" customFormat="1" outlineLevel="1">
      <c r="A4014" s="345"/>
      <c r="B4014" s="345"/>
      <c r="C4014" s="332"/>
      <c r="D4014" s="338" t="s">
        <v>92</v>
      </c>
      <c r="E4014" s="1164"/>
      <c r="F4014" s="397"/>
      <c r="G4014" s="397"/>
      <c r="H4014" s="397"/>
      <c r="I4014" s="324">
        <f t="shared" si="2797"/>
        <v>0</v>
      </c>
      <c r="J4014" s="397"/>
      <c r="K4014" s="397"/>
      <c r="L4014" s="317">
        <f t="shared" si="2783"/>
        <v>0</v>
      </c>
      <c r="M4014" s="317"/>
      <c r="N4014" s="372">
        <f t="shared" si="2786"/>
        <v>0</v>
      </c>
      <c r="O4014" s="336">
        <f>L4014*1.1</f>
        <v>0</v>
      </c>
      <c r="P4014" s="1131">
        <f t="shared" si="2811"/>
        <v>0</v>
      </c>
      <c r="R4014" s="317"/>
      <c r="U4014" s="320"/>
    </row>
    <row r="4015" spans="1:21" s="344" customFormat="1" outlineLevel="1">
      <c r="A4015" s="345"/>
      <c r="B4015" s="345"/>
      <c r="C4015" s="328">
        <v>3110200</v>
      </c>
      <c r="D4015" s="338" t="s">
        <v>282</v>
      </c>
      <c r="E4015" s="1164">
        <f>E4016+E4017</f>
        <v>4300000</v>
      </c>
      <c r="F4015" s="1164">
        <f t="shared" ref="F4015:P4015" si="2814">F4016+F4017</f>
        <v>0</v>
      </c>
      <c r="G4015" s="1164">
        <f t="shared" si="2814"/>
        <v>0</v>
      </c>
      <c r="H4015" s="1164">
        <f t="shared" si="2814"/>
        <v>0</v>
      </c>
      <c r="I4015" s="1164">
        <f t="shared" si="2814"/>
        <v>4300000</v>
      </c>
      <c r="J4015" s="1164">
        <f t="shared" si="2814"/>
        <v>0</v>
      </c>
      <c r="K4015" s="1164">
        <f t="shared" si="2814"/>
        <v>0</v>
      </c>
      <c r="L4015" s="317">
        <f t="shared" si="2783"/>
        <v>4300000</v>
      </c>
      <c r="M4015" s="317"/>
      <c r="N4015" s="372">
        <f t="shared" si="2786"/>
        <v>0</v>
      </c>
      <c r="O4015" s="1164">
        <f t="shared" si="2814"/>
        <v>4730000.0000000009</v>
      </c>
      <c r="P4015" s="1164">
        <f t="shared" si="2814"/>
        <v>5203000.0000000019</v>
      </c>
      <c r="R4015" s="317"/>
      <c r="U4015" s="320"/>
    </row>
    <row r="4016" spans="1:21" s="344" customFormat="1" outlineLevel="1">
      <c r="A4016" s="345"/>
      <c r="B4016" s="345"/>
      <c r="C4016" s="332">
        <v>3110202</v>
      </c>
      <c r="D4016" s="330" t="s">
        <v>1361</v>
      </c>
      <c r="E4016" s="406">
        <v>1500000</v>
      </c>
      <c r="F4016" s="389"/>
      <c r="G4016" s="389"/>
      <c r="H4016" s="389"/>
      <c r="I4016" s="324">
        <f t="shared" si="2797"/>
        <v>1500000</v>
      </c>
      <c r="J4016" s="389"/>
      <c r="K4016" s="389"/>
      <c r="L4016" s="317">
        <f t="shared" si="2783"/>
        <v>1500000</v>
      </c>
      <c r="M4016" s="317"/>
      <c r="N4016" s="372">
        <f t="shared" si="2786"/>
        <v>0</v>
      </c>
      <c r="O4016" s="336">
        <f>L4016*1.1</f>
        <v>1650000.0000000002</v>
      </c>
      <c r="P4016" s="1131">
        <f t="shared" si="2811"/>
        <v>1815000.0000000005</v>
      </c>
      <c r="R4016" s="317"/>
      <c r="U4016" s="320"/>
    </row>
    <row r="4017" spans="1:21" s="344" customFormat="1" outlineLevel="1">
      <c r="A4017" s="345"/>
      <c r="B4017" s="345"/>
      <c r="C4017" s="332">
        <v>3110299</v>
      </c>
      <c r="D4017" s="345" t="s">
        <v>1362</v>
      </c>
      <c r="E4017" s="406">
        <v>2800000</v>
      </c>
      <c r="F4017" s="406"/>
      <c r="G4017" s="406"/>
      <c r="H4017" s="406"/>
      <c r="I4017" s="324">
        <f t="shared" si="2797"/>
        <v>2800000</v>
      </c>
      <c r="J4017" s="406"/>
      <c r="K4017" s="406"/>
      <c r="L4017" s="317">
        <f t="shared" si="2783"/>
        <v>2800000</v>
      </c>
      <c r="M4017" s="317"/>
      <c r="N4017" s="372">
        <f t="shared" si="2786"/>
        <v>0</v>
      </c>
      <c r="O4017" s="336">
        <f>L4017*1.1</f>
        <v>3080000.0000000005</v>
      </c>
      <c r="P4017" s="1131">
        <f t="shared" si="2811"/>
        <v>3388000.0000000009</v>
      </c>
      <c r="R4017" s="317"/>
      <c r="U4017" s="320"/>
    </row>
    <row r="4018" spans="1:21" s="344" customFormat="1" outlineLevel="1">
      <c r="A4018" s="345"/>
      <c r="B4018" s="345"/>
      <c r="C4018" s="332"/>
      <c r="D4018" s="636" t="s">
        <v>261</v>
      </c>
      <c r="E4018" s="1164">
        <f>E4015</f>
        <v>4300000</v>
      </c>
      <c r="F4018" s="1164">
        <f t="shared" ref="F4018:P4018" si="2815">F4015</f>
        <v>0</v>
      </c>
      <c r="G4018" s="1164">
        <f t="shared" si="2815"/>
        <v>0</v>
      </c>
      <c r="H4018" s="1164">
        <f t="shared" si="2815"/>
        <v>0</v>
      </c>
      <c r="I4018" s="1164">
        <f t="shared" si="2815"/>
        <v>4300000</v>
      </c>
      <c r="J4018" s="1164">
        <f t="shared" si="2815"/>
        <v>0</v>
      </c>
      <c r="K4018" s="1164">
        <f t="shared" si="2815"/>
        <v>0</v>
      </c>
      <c r="L4018" s="317">
        <f t="shared" si="2783"/>
        <v>4300000</v>
      </c>
      <c r="M4018" s="317"/>
      <c r="N4018" s="372">
        <f t="shared" si="2786"/>
        <v>0</v>
      </c>
      <c r="O4018" s="1164">
        <f t="shared" si="2815"/>
        <v>4730000.0000000009</v>
      </c>
      <c r="P4018" s="1164">
        <f t="shared" si="2815"/>
        <v>5203000.0000000019</v>
      </c>
      <c r="R4018" s="317"/>
      <c r="U4018" s="320"/>
    </row>
    <row r="4019" spans="1:21" s="344" customFormat="1" outlineLevel="1">
      <c r="A4019" s="345"/>
      <c r="B4019" s="345"/>
      <c r="C4019" s="332"/>
      <c r="D4019" s="636" t="s">
        <v>690</v>
      </c>
      <c r="E4019" s="1164">
        <f>E4012+E4018</f>
        <v>10096000</v>
      </c>
      <c r="F4019" s="1164">
        <f t="shared" ref="F4019:K4019" si="2816">F4012+F4018</f>
        <v>0</v>
      </c>
      <c r="G4019" s="1164">
        <f t="shared" si="2816"/>
        <v>0</v>
      </c>
      <c r="H4019" s="1164">
        <f t="shared" si="2816"/>
        <v>0</v>
      </c>
      <c r="I4019" s="1164">
        <f t="shared" si="2816"/>
        <v>10096000</v>
      </c>
      <c r="J4019" s="1164">
        <f t="shared" si="2816"/>
        <v>0</v>
      </c>
      <c r="K4019" s="1164">
        <f t="shared" si="2816"/>
        <v>1251600</v>
      </c>
      <c r="L4019" s="317">
        <f t="shared" si="2783"/>
        <v>11347600</v>
      </c>
      <c r="M4019" s="317"/>
      <c r="N4019" s="372">
        <f t="shared" si="2786"/>
        <v>-1251600</v>
      </c>
      <c r="O4019" s="1164">
        <f t="shared" ref="O4019:P4019" si="2817">O4012+O4018</f>
        <v>12482360</v>
      </c>
      <c r="P4019" s="1164">
        <f t="shared" si="2817"/>
        <v>13730596.000000004</v>
      </c>
      <c r="R4019" s="317"/>
      <c r="U4019" s="320"/>
    </row>
    <row r="4020" spans="1:21" s="344" customFormat="1" outlineLevel="1">
      <c r="A4020" s="345"/>
      <c r="B4020" s="345"/>
      <c r="C4020" s="405"/>
      <c r="D4020" s="313"/>
      <c r="E4020" s="619"/>
      <c r="F4020" s="514"/>
      <c r="G4020" s="514"/>
      <c r="H4020" s="514"/>
      <c r="I4020" s="324">
        <f t="shared" si="2797"/>
        <v>0</v>
      </c>
      <c r="J4020" s="514"/>
      <c r="K4020" s="514"/>
      <c r="L4020" s="317">
        <f t="shared" si="2783"/>
        <v>0</v>
      </c>
      <c r="M4020" s="317"/>
      <c r="N4020" s="372">
        <f t="shared" si="2786"/>
        <v>0</v>
      </c>
      <c r="O4020" s="336">
        <f>L4020*1.1</f>
        <v>0</v>
      </c>
      <c r="P4020" s="1131">
        <f t="shared" si="2811"/>
        <v>0</v>
      </c>
      <c r="R4020" s="317"/>
      <c r="U4020" s="320"/>
    </row>
    <row r="4021" spans="1:21" s="344" customFormat="1" outlineLevel="1">
      <c r="A4021" s="473" t="s">
        <v>168</v>
      </c>
      <c r="B4021" s="473" t="s">
        <v>146</v>
      </c>
      <c r="C4021" s="405"/>
      <c r="D4021" s="447" t="s">
        <v>696</v>
      </c>
      <c r="E4021" s="662"/>
      <c r="F4021" s="438"/>
      <c r="G4021" s="438"/>
      <c r="H4021" s="438"/>
      <c r="I4021" s="324">
        <f t="shared" si="2797"/>
        <v>0</v>
      </c>
      <c r="J4021" s="438"/>
      <c r="K4021" s="438"/>
      <c r="L4021" s="317">
        <f t="shared" si="2783"/>
        <v>0</v>
      </c>
      <c r="M4021" s="317"/>
      <c r="N4021" s="372">
        <f t="shared" si="2786"/>
        <v>0</v>
      </c>
      <c r="O4021" s="336">
        <f>L4021*1.1</f>
        <v>0</v>
      </c>
      <c r="P4021" s="1131">
        <f t="shared" si="2811"/>
        <v>0</v>
      </c>
      <c r="R4021" s="317"/>
      <c r="U4021" s="320"/>
    </row>
    <row r="4022" spans="1:21" s="344" customFormat="1" outlineLevel="1">
      <c r="A4022" s="345"/>
      <c r="B4022" s="345"/>
      <c r="C4022" s="405"/>
      <c r="D4022" s="447" t="s">
        <v>697</v>
      </c>
      <c r="E4022" s="662"/>
      <c r="F4022" s="438"/>
      <c r="G4022" s="438"/>
      <c r="H4022" s="438"/>
      <c r="I4022" s="324">
        <f t="shared" si="2797"/>
        <v>0</v>
      </c>
      <c r="J4022" s="438"/>
      <c r="K4022" s="438"/>
      <c r="L4022" s="317">
        <f t="shared" si="2783"/>
        <v>0</v>
      </c>
      <c r="M4022" s="317"/>
      <c r="N4022" s="372">
        <f t="shared" si="2786"/>
        <v>0</v>
      </c>
      <c r="O4022" s="336">
        <f>L4022*1.1</f>
        <v>0</v>
      </c>
      <c r="P4022" s="1131">
        <f t="shared" si="2811"/>
        <v>0</v>
      </c>
      <c r="R4022" s="317"/>
      <c r="U4022" s="320"/>
    </row>
    <row r="4023" spans="1:21" outlineLevel="3">
      <c r="A4023" s="345"/>
      <c r="B4023" s="345"/>
      <c r="C4023" s="770">
        <v>2210100</v>
      </c>
      <c r="D4023" s="635" t="s">
        <v>16</v>
      </c>
      <c r="E4023" s="605">
        <f>E4024+E4025</f>
        <v>1000000</v>
      </c>
      <c r="F4023" s="605">
        <f t="shared" ref="F4023:P4023" si="2818">F4024+F4025</f>
        <v>0</v>
      </c>
      <c r="G4023" s="605">
        <f t="shared" si="2818"/>
        <v>0</v>
      </c>
      <c r="H4023" s="605">
        <f t="shared" si="2818"/>
        <v>0</v>
      </c>
      <c r="I4023" s="605">
        <f t="shared" si="2818"/>
        <v>1000000</v>
      </c>
      <c r="J4023" s="605">
        <f t="shared" si="2818"/>
        <v>0</v>
      </c>
      <c r="K4023" s="605">
        <f t="shared" si="2818"/>
        <v>0</v>
      </c>
      <c r="L4023" s="317">
        <f t="shared" si="2783"/>
        <v>1000000</v>
      </c>
      <c r="M4023" s="317"/>
      <c r="N4023" s="372">
        <f t="shared" si="2786"/>
        <v>0</v>
      </c>
      <c r="O4023" s="605">
        <f t="shared" si="2818"/>
        <v>1100000</v>
      </c>
      <c r="P4023" s="605">
        <f t="shared" si="2818"/>
        <v>1210000</v>
      </c>
      <c r="R4023" s="317"/>
      <c r="U4023" s="320"/>
    </row>
    <row r="4024" spans="1:21" s="344" customFormat="1" outlineLevel="3">
      <c r="A4024" s="345"/>
      <c r="B4024" s="345"/>
      <c r="C4024" s="405">
        <v>2210101</v>
      </c>
      <c r="D4024" s="345" t="s">
        <v>17</v>
      </c>
      <c r="E4024" s="1160">
        <v>500000</v>
      </c>
      <c r="F4024" s="406"/>
      <c r="G4024" s="406"/>
      <c r="H4024" s="406"/>
      <c r="I4024" s="324">
        <f t="shared" si="2797"/>
        <v>500000</v>
      </c>
      <c r="J4024" s="406"/>
      <c r="K4024" s="406"/>
      <c r="L4024" s="317">
        <f t="shared" si="2783"/>
        <v>500000</v>
      </c>
      <c r="M4024" s="317"/>
      <c r="N4024" s="372">
        <f t="shared" si="2786"/>
        <v>0</v>
      </c>
      <c r="O4024" s="336">
        <f>L4024*1.1</f>
        <v>550000</v>
      </c>
      <c r="P4024" s="1131">
        <f t="shared" si="2811"/>
        <v>605000</v>
      </c>
      <c r="R4024" s="317"/>
      <c r="U4024" s="320"/>
    </row>
    <row r="4025" spans="1:21" s="344" customFormat="1" outlineLevel="3">
      <c r="A4025" s="330"/>
      <c r="B4025" s="330"/>
      <c r="C4025" s="332">
        <v>2210102</v>
      </c>
      <c r="D4025" s="330" t="s">
        <v>1363</v>
      </c>
      <c r="E4025" s="673">
        <v>500000</v>
      </c>
      <c r="F4025" s="389"/>
      <c r="G4025" s="389"/>
      <c r="H4025" s="389"/>
      <c r="I4025" s="324">
        <f t="shared" si="2797"/>
        <v>500000</v>
      </c>
      <c r="J4025" s="389"/>
      <c r="K4025" s="389"/>
      <c r="L4025" s="317">
        <f t="shared" si="2783"/>
        <v>500000</v>
      </c>
      <c r="M4025" s="317"/>
      <c r="N4025" s="372">
        <f t="shared" si="2786"/>
        <v>0</v>
      </c>
      <c r="O4025" s="336">
        <f>L4025*1.1</f>
        <v>550000</v>
      </c>
      <c r="P4025" s="1131">
        <f t="shared" si="2811"/>
        <v>605000</v>
      </c>
      <c r="R4025" s="317"/>
      <c r="U4025" s="320"/>
    </row>
    <row r="4026" spans="1:21" s="344" customFormat="1" outlineLevel="3">
      <c r="A4026" s="345"/>
      <c r="B4026" s="345"/>
      <c r="C4026" s="770">
        <v>2210300</v>
      </c>
      <c r="D4026" s="636" t="s">
        <v>24</v>
      </c>
      <c r="E4026" s="605">
        <f>E4027+E4028+E4029</f>
        <v>1089000</v>
      </c>
      <c r="F4026" s="605">
        <f t="shared" ref="F4026:K4026" si="2819">F4027+F4028+F4029</f>
        <v>0</v>
      </c>
      <c r="G4026" s="605">
        <f t="shared" si="2819"/>
        <v>0</v>
      </c>
      <c r="H4026" s="605">
        <f t="shared" si="2819"/>
        <v>0</v>
      </c>
      <c r="I4026" s="605">
        <f t="shared" si="2819"/>
        <v>1089000</v>
      </c>
      <c r="J4026" s="605">
        <f t="shared" si="2819"/>
        <v>0</v>
      </c>
      <c r="K4026" s="605">
        <f t="shared" si="2819"/>
        <v>500000</v>
      </c>
      <c r="L4026" s="317">
        <f t="shared" si="2783"/>
        <v>1589000</v>
      </c>
      <c r="M4026" s="317"/>
      <c r="N4026" s="372">
        <f t="shared" si="2786"/>
        <v>-500000</v>
      </c>
      <c r="O4026" s="605">
        <f t="shared" ref="O4026:P4026" si="2820">O4027+O4028+O4029</f>
        <v>1747900</v>
      </c>
      <c r="P4026" s="605">
        <f t="shared" si="2820"/>
        <v>1922690.0000000002</v>
      </c>
      <c r="R4026" s="317"/>
      <c r="U4026" s="320"/>
    </row>
    <row r="4027" spans="1:21" s="344" customFormat="1" outlineLevel="3">
      <c r="A4027" s="345"/>
      <c r="B4027" s="345"/>
      <c r="C4027" s="405">
        <v>2210301</v>
      </c>
      <c r="D4027" s="345" t="s">
        <v>25</v>
      </c>
      <c r="E4027" s="1160">
        <v>174000</v>
      </c>
      <c r="F4027" s="406"/>
      <c r="G4027" s="406"/>
      <c r="H4027" s="406"/>
      <c r="I4027" s="324">
        <f t="shared" si="2797"/>
        <v>174000</v>
      </c>
      <c r="J4027" s="406"/>
      <c r="K4027" s="406"/>
      <c r="L4027" s="317">
        <f t="shared" si="2783"/>
        <v>174000</v>
      </c>
      <c r="M4027" s="317"/>
      <c r="N4027" s="372">
        <f t="shared" si="2786"/>
        <v>0</v>
      </c>
      <c r="O4027" s="336">
        <f>L4027*1.1</f>
        <v>191400.00000000003</v>
      </c>
      <c r="P4027" s="1131">
        <f t="shared" si="2811"/>
        <v>210540.00000000006</v>
      </c>
      <c r="R4027" s="317"/>
      <c r="U4027" s="320"/>
    </row>
    <row r="4028" spans="1:21" s="344" customFormat="1" outlineLevel="3">
      <c r="A4028" s="345"/>
      <c r="B4028" s="345"/>
      <c r="C4028" s="405">
        <v>2210302</v>
      </c>
      <c r="D4028" s="345" t="s">
        <v>26</v>
      </c>
      <c r="E4028" s="1160">
        <v>435000</v>
      </c>
      <c r="F4028" s="406"/>
      <c r="G4028" s="406"/>
      <c r="H4028" s="406"/>
      <c r="I4028" s="324">
        <f t="shared" si="2797"/>
        <v>435000</v>
      </c>
      <c r="J4028" s="406"/>
      <c r="K4028" s="406"/>
      <c r="L4028" s="317">
        <f t="shared" si="2783"/>
        <v>435000</v>
      </c>
      <c r="M4028" s="317"/>
      <c r="N4028" s="372">
        <f t="shared" si="2786"/>
        <v>0</v>
      </c>
      <c r="O4028" s="336">
        <f>L4028*1.1</f>
        <v>478500.00000000006</v>
      </c>
      <c r="P4028" s="1131">
        <f t="shared" si="2811"/>
        <v>526350.00000000012</v>
      </c>
      <c r="R4028" s="317"/>
      <c r="U4028" s="320"/>
    </row>
    <row r="4029" spans="1:21" s="344" customFormat="1" outlineLevel="3">
      <c r="A4029" s="345"/>
      <c r="B4029" s="345"/>
      <c r="C4029" s="405">
        <v>2210310</v>
      </c>
      <c r="D4029" s="345" t="s">
        <v>698</v>
      </c>
      <c r="E4029" s="1160">
        <v>480000</v>
      </c>
      <c r="F4029" s="406"/>
      <c r="G4029" s="406"/>
      <c r="H4029" s="406"/>
      <c r="I4029" s="324">
        <f t="shared" si="2797"/>
        <v>480000</v>
      </c>
      <c r="J4029" s="406"/>
      <c r="K4029" s="389">
        <v>500000</v>
      </c>
      <c r="L4029" s="317">
        <f t="shared" si="2783"/>
        <v>980000</v>
      </c>
      <c r="M4029" s="317"/>
      <c r="N4029" s="372">
        <f t="shared" si="2786"/>
        <v>-500000</v>
      </c>
      <c r="O4029" s="336">
        <f>L4029*1.1</f>
        <v>1078000</v>
      </c>
      <c r="P4029" s="1131">
        <f t="shared" si="2811"/>
        <v>1185800</v>
      </c>
      <c r="Q4029" s="344" t="s">
        <v>2492</v>
      </c>
      <c r="R4029" s="317"/>
      <c r="U4029" s="320"/>
    </row>
    <row r="4030" spans="1:21" s="344" customFormat="1" outlineLevel="3">
      <c r="A4030" s="345"/>
      <c r="B4030" s="345"/>
      <c r="C4030" s="770">
        <v>2210700</v>
      </c>
      <c r="D4030" s="636" t="s">
        <v>35</v>
      </c>
      <c r="E4030" s="605">
        <f>E4031</f>
        <v>100000</v>
      </c>
      <c r="F4030" s="605">
        <f t="shared" ref="F4030:K4030" si="2821">F4031</f>
        <v>0</v>
      </c>
      <c r="G4030" s="605">
        <f t="shared" si="2821"/>
        <v>0</v>
      </c>
      <c r="H4030" s="605">
        <f t="shared" si="2821"/>
        <v>0</v>
      </c>
      <c r="I4030" s="605">
        <f t="shared" si="2821"/>
        <v>100000</v>
      </c>
      <c r="J4030" s="605">
        <f t="shared" si="2821"/>
        <v>0</v>
      </c>
      <c r="K4030" s="605">
        <f t="shared" si="2821"/>
        <v>0</v>
      </c>
      <c r="L4030" s="317">
        <f t="shared" si="2783"/>
        <v>100000</v>
      </c>
      <c r="M4030" s="317"/>
      <c r="N4030" s="372">
        <f t="shared" si="2786"/>
        <v>0</v>
      </c>
      <c r="O4030" s="605">
        <f t="shared" ref="O4030:P4030" si="2822">O4031</f>
        <v>110000.00000000001</v>
      </c>
      <c r="P4030" s="605">
        <f t="shared" si="2822"/>
        <v>121000.00000000003</v>
      </c>
      <c r="R4030" s="317"/>
      <c r="U4030" s="320"/>
    </row>
    <row r="4031" spans="1:21" s="344" customFormat="1" outlineLevel="3">
      <c r="A4031" s="345"/>
      <c r="B4031" s="345"/>
      <c r="C4031" s="405">
        <v>2210799</v>
      </c>
      <c r="D4031" s="345" t="s">
        <v>699</v>
      </c>
      <c r="E4031" s="1160">
        <v>100000</v>
      </c>
      <c r="F4031" s="406"/>
      <c r="G4031" s="406"/>
      <c r="H4031" s="406"/>
      <c r="I4031" s="324">
        <f t="shared" si="2797"/>
        <v>100000</v>
      </c>
      <c r="J4031" s="406"/>
      <c r="K4031" s="406"/>
      <c r="L4031" s="317">
        <f t="shared" si="2783"/>
        <v>100000</v>
      </c>
      <c r="M4031" s="317"/>
      <c r="N4031" s="372">
        <f t="shared" si="2786"/>
        <v>0</v>
      </c>
      <c r="O4031" s="336">
        <f>L4031*1.1</f>
        <v>110000.00000000001</v>
      </c>
      <c r="P4031" s="1131">
        <f t="shared" si="2811"/>
        <v>121000.00000000003</v>
      </c>
      <c r="R4031" s="317"/>
      <c r="U4031" s="320"/>
    </row>
    <row r="4032" spans="1:21" s="344" customFormat="1" outlineLevel="3">
      <c r="A4032" s="345"/>
      <c r="B4032" s="345"/>
      <c r="C4032" s="770">
        <v>2211000</v>
      </c>
      <c r="D4032" s="362" t="s">
        <v>118</v>
      </c>
      <c r="E4032" s="605">
        <f>E4033+E4034</f>
        <v>1250000</v>
      </c>
      <c r="F4032" s="605">
        <f t="shared" ref="F4032:K4032" si="2823">F4033+F4034</f>
        <v>0</v>
      </c>
      <c r="G4032" s="605">
        <f t="shared" si="2823"/>
        <v>0</v>
      </c>
      <c r="H4032" s="605">
        <f t="shared" si="2823"/>
        <v>0</v>
      </c>
      <c r="I4032" s="605">
        <f t="shared" si="2823"/>
        <v>1250000</v>
      </c>
      <c r="J4032" s="605">
        <f t="shared" si="2823"/>
        <v>0</v>
      </c>
      <c r="K4032" s="605">
        <f t="shared" si="2823"/>
        <v>-1250000</v>
      </c>
      <c r="L4032" s="317">
        <f t="shared" si="2783"/>
        <v>0</v>
      </c>
      <c r="M4032" s="317"/>
      <c r="N4032" s="372">
        <f t="shared" si="2786"/>
        <v>1250000</v>
      </c>
      <c r="O4032" s="605">
        <f t="shared" ref="O4032:P4032" si="2824">O4033+O4034</f>
        <v>0</v>
      </c>
      <c r="P4032" s="605">
        <f t="shared" si="2824"/>
        <v>0</v>
      </c>
      <c r="R4032" s="317"/>
      <c r="U4032" s="320"/>
    </row>
    <row r="4033" spans="1:21" s="344" customFormat="1" outlineLevel="3">
      <c r="A4033" s="345"/>
      <c r="B4033" s="345"/>
      <c r="C4033" s="405">
        <v>2211016</v>
      </c>
      <c r="D4033" s="356" t="s">
        <v>1364</v>
      </c>
      <c r="E4033" s="1160">
        <v>1000000</v>
      </c>
      <c r="F4033" s="406"/>
      <c r="G4033" s="406"/>
      <c r="H4033" s="406"/>
      <c r="I4033" s="324">
        <f>E4033+F4033+G4033+H4033</f>
        <v>1000000</v>
      </c>
      <c r="J4033" s="389"/>
      <c r="K4033" s="389">
        <v>-1000000</v>
      </c>
      <c r="L4033" s="317">
        <f t="shared" si="2783"/>
        <v>0</v>
      </c>
      <c r="M4033" s="317"/>
      <c r="N4033" s="372">
        <f t="shared" si="2786"/>
        <v>1000000</v>
      </c>
      <c r="O4033" s="336">
        <f>L4033*1.1</f>
        <v>0</v>
      </c>
      <c r="P4033" s="1131">
        <f t="shared" si="2811"/>
        <v>0</v>
      </c>
      <c r="R4033" s="317"/>
      <c r="U4033" s="320"/>
    </row>
    <row r="4034" spans="1:21" s="344" customFormat="1" outlineLevel="3">
      <c r="A4034" s="345"/>
      <c r="B4034" s="345"/>
      <c r="C4034" s="405">
        <v>2211006</v>
      </c>
      <c r="D4034" s="356" t="s">
        <v>2493</v>
      </c>
      <c r="E4034" s="1165">
        <v>250000</v>
      </c>
      <c r="F4034" s="406"/>
      <c r="G4034" s="406"/>
      <c r="H4034" s="406"/>
      <c r="I4034" s="324">
        <f>E4034+F4034+G4034+H4034</f>
        <v>250000</v>
      </c>
      <c r="J4034" s="673"/>
      <c r="K4034" s="673">
        <v>-250000</v>
      </c>
      <c r="L4034" s="317">
        <f t="shared" si="2783"/>
        <v>0</v>
      </c>
      <c r="M4034" s="317"/>
      <c r="N4034" s="372">
        <f t="shared" si="2786"/>
        <v>250000</v>
      </c>
      <c r="O4034" s="336"/>
      <c r="P4034" s="1131"/>
      <c r="Q4034" s="350" t="s">
        <v>2494</v>
      </c>
      <c r="R4034" s="317"/>
      <c r="U4034" s="320"/>
    </row>
    <row r="4035" spans="1:21" s="344" customFormat="1" outlineLevel="3">
      <c r="A4035" s="345"/>
      <c r="B4035" s="345"/>
      <c r="C4035" s="770">
        <v>2211200</v>
      </c>
      <c r="D4035" s="636" t="s">
        <v>55</v>
      </c>
      <c r="E4035" s="605">
        <f>E4036</f>
        <v>0</v>
      </c>
      <c r="F4035" s="605">
        <f t="shared" ref="F4035:P4035" si="2825">F4036</f>
        <v>0</v>
      </c>
      <c r="G4035" s="605">
        <f t="shared" si="2825"/>
        <v>0</v>
      </c>
      <c r="H4035" s="605">
        <f t="shared" si="2825"/>
        <v>0</v>
      </c>
      <c r="I4035" s="605">
        <f t="shared" si="2825"/>
        <v>0</v>
      </c>
      <c r="J4035" s="605">
        <f t="shared" si="2825"/>
        <v>0</v>
      </c>
      <c r="K4035" s="605">
        <f t="shared" si="2825"/>
        <v>1000000</v>
      </c>
      <c r="L4035" s="317">
        <f t="shared" si="2783"/>
        <v>1000000</v>
      </c>
      <c r="M4035" s="317"/>
      <c r="N4035" s="372">
        <f t="shared" si="2786"/>
        <v>-1000000</v>
      </c>
      <c r="O4035" s="605">
        <f t="shared" si="2825"/>
        <v>1100000</v>
      </c>
      <c r="P4035" s="605">
        <f t="shared" si="2825"/>
        <v>1210000</v>
      </c>
      <c r="R4035" s="317"/>
      <c r="U4035" s="320"/>
    </row>
    <row r="4036" spans="1:21" s="344" customFormat="1" outlineLevel="3">
      <c r="A4036" s="345"/>
      <c r="B4036" s="345"/>
      <c r="C4036" s="405">
        <v>2211201</v>
      </c>
      <c r="D4036" s="345" t="s">
        <v>1353</v>
      </c>
      <c r="E4036" s="1160">
        <v>0</v>
      </c>
      <c r="F4036" s="406"/>
      <c r="G4036" s="406"/>
      <c r="H4036" s="406"/>
      <c r="I4036" s="324">
        <f t="shared" si="2797"/>
        <v>0</v>
      </c>
      <c r="J4036" s="389"/>
      <c r="K4036" s="389">
        <v>1000000</v>
      </c>
      <c r="L4036" s="317">
        <f t="shared" si="2783"/>
        <v>1000000</v>
      </c>
      <c r="M4036" s="317"/>
      <c r="N4036" s="372">
        <f t="shared" si="2786"/>
        <v>-1000000</v>
      </c>
      <c r="O4036" s="336">
        <f>L4036*1.1</f>
        <v>1100000</v>
      </c>
      <c r="P4036" s="1131">
        <f t="shared" si="2811"/>
        <v>1210000</v>
      </c>
      <c r="R4036" s="317"/>
      <c r="U4036" s="320"/>
    </row>
    <row r="4037" spans="1:21" s="344" customFormat="1" outlineLevel="3">
      <c r="A4037" s="345"/>
      <c r="B4037" s="345"/>
      <c r="C4037" s="770">
        <v>2220200</v>
      </c>
      <c r="D4037" s="362" t="s">
        <v>124</v>
      </c>
      <c r="E4037" s="605">
        <f>E4038</f>
        <v>400000</v>
      </c>
      <c r="F4037" s="605">
        <f t="shared" ref="F4037:K4037" si="2826">F4038</f>
        <v>0</v>
      </c>
      <c r="G4037" s="605">
        <f t="shared" si="2826"/>
        <v>0</v>
      </c>
      <c r="H4037" s="605">
        <f t="shared" si="2826"/>
        <v>0</v>
      </c>
      <c r="I4037" s="605">
        <f t="shared" si="2826"/>
        <v>400000</v>
      </c>
      <c r="J4037" s="605">
        <f t="shared" si="2826"/>
        <v>0</v>
      </c>
      <c r="K4037" s="605">
        <f t="shared" si="2826"/>
        <v>0</v>
      </c>
      <c r="L4037" s="317">
        <f t="shared" ref="L4037:L4100" si="2827">I4037+J4037+K4037</f>
        <v>400000</v>
      </c>
      <c r="M4037" s="317"/>
      <c r="N4037" s="372">
        <f t="shared" si="2786"/>
        <v>0</v>
      </c>
      <c r="O4037" s="605">
        <f t="shared" ref="O4037:P4037" si="2828">O4038</f>
        <v>440000.00000000006</v>
      </c>
      <c r="P4037" s="605">
        <f t="shared" si="2828"/>
        <v>484000.00000000012</v>
      </c>
      <c r="R4037" s="317"/>
      <c r="U4037" s="320"/>
    </row>
    <row r="4038" spans="1:21" s="344" customFormat="1" outlineLevel="3">
      <c r="A4038" s="345"/>
      <c r="B4038" s="345"/>
      <c r="C4038" s="405">
        <v>2220201</v>
      </c>
      <c r="D4038" s="345" t="s">
        <v>700</v>
      </c>
      <c r="E4038" s="1160">
        <v>400000</v>
      </c>
      <c r="F4038" s="406"/>
      <c r="G4038" s="406"/>
      <c r="H4038" s="406"/>
      <c r="I4038" s="324">
        <f t="shared" si="2797"/>
        <v>400000</v>
      </c>
      <c r="J4038" s="406"/>
      <c r="K4038" s="406"/>
      <c r="L4038" s="317">
        <f t="shared" si="2827"/>
        <v>400000</v>
      </c>
      <c r="M4038" s="317"/>
      <c r="N4038" s="372">
        <f t="shared" si="2786"/>
        <v>0</v>
      </c>
      <c r="O4038" s="336">
        <f>L4038*1.1</f>
        <v>440000.00000000006</v>
      </c>
      <c r="P4038" s="1131">
        <f t="shared" si="2811"/>
        <v>484000.00000000012</v>
      </c>
      <c r="R4038" s="317"/>
      <c r="U4038" s="320"/>
    </row>
    <row r="4039" spans="1:21" s="344" customFormat="1" outlineLevel="3">
      <c r="A4039" s="345"/>
      <c r="B4039" s="345"/>
      <c r="C4039" s="339">
        <v>3111000</v>
      </c>
      <c r="D4039" s="343" t="s">
        <v>69</v>
      </c>
      <c r="E4039" s="605">
        <f>E4040</f>
        <v>600000</v>
      </c>
      <c r="F4039" s="605">
        <f t="shared" ref="F4039:K4039" si="2829">F4040</f>
        <v>0</v>
      </c>
      <c r="G4039" s="605">
        <f t="shared" si="2829"/>
        <v>0</v>
      </c>
      <c r="H4039" s="605">
        <f t="shared" si="2829"/>
        <v>0</v>
      </c>
      <c r="I4039" s="605">
        <f t="shared" si="2829"/>
        <v>600000</v>
      </c>
      <c r="J4039" s="605">
        <f t="shared" si="2829"/>
        <v>0</v>
      </c>
      <c r="K4039" s="605">
        <f t="shared" si="2829"/>
        <v>0</v>
      </c>
      <c r="L4039" s="317">
        <f t="shared" si="2827"/>
        <v>600000</v>
      </c>
      <c r="M4039" s="317"/>
      <c r="N4039" s="372">
        <f t="shared" si="2786"/>
        <v>0</v>
      </c>
      <c r="O4039" s="605">
        <f t="shared" ref="O4039:P4039" si="2830">O4040</f>
        <v>660000</v>
      </c>
      <c r="P4039" s="605">
        <f t="shared" si="2830"/>
        <v>726000.00000000012</v>
      </c>
      <c r="R4039" s="317"/>
      <c r="U4039" s="320"/>
    </row>
    <row r="4040" spans="1:21" s="344" customFormat="1" outlineLevel="3">
      <c r="A4040" s="345"/>
      <c r="B4040" s="345"/>
      <c r="C4040" s="405">
        <v>3111002</v>
      </c>
      <c r="D4040" s="345" t="s">
        <v>71</v>
      </c>
      <c r="E4040" s="1160">
        <v>600000</v>
      </c>
      <c r="F4040" s="406"/>
      <c r="G4040" s="406"/>
      <c r="H4040" s="406"/>
      <c r="I4040" s="324">
        <f t="shared" si="2797"/>
        <v>600000</v>
      </c>
      <c r="J4040" s="406"/>
      <c r="K4040" s="406"/>
      <c r="L4040" s="317">
        <f t="shared" si="2827"/>
        <v>600000</v>
      </c>
      <c r="M4040" s="317"/>
      <c r="N4040" s="372">
        <f t="shared" si="2786"/>
        <v>0</v>
      </c>
      <c r="O4040" s="336">
        <f>L4040*1.1</f>
        <v>660000</v>
      </c>
      <c r="P4040" s="1131">
        <f t="shared" si="2811"/>
        <v>726000.00000000012</v>
      </c>
      <c r="R4040" s="317"/>
      <c r="U4040" s="320"/>
    </row>
    <row r="4041" spans="1:21" s="344" customFormat="1" outlineLevel="2">
      <c r="A4041" s="345"/>
      <c r="B4041" s="345"/>
      <c r="C4041" s="405"/>
      <c r="D4041" s="1161" t="s">
        <v>128</v>
      </c>
      <c r="E4041" s="619">
        <f>E4023+E4026+E4032+E4030+E4035+E4037+E4039</f>
        <v>4439000</v>
      </c>
      <c r="F4041" s="619">
        <f t="shared" ref="F4041:K4041" si="2831">F4023+F4026+F4032+F4030+F4035+F4037+F4039</f>
        <v>0</v>
      </c>
      <c r="G4041" s="619">
        <f t="shared" si="2831"/>
        <v>0</v>
      </c>
      <c r="H4041" s="619">
        <f t="shared" si="2831"/>
        <v>0</v>
      </c>
      <c r="I4041" s="619">
        <f t="shared" si="2831"/>
        <v>4439000</v>
      </c>
      <c r="J4041" s="619">
        <f t="shared" si="2831"/>
        <v>0</v>
      </c>
      <c r="K4041" s="619">
        <f t="shared" si="2831"/>
        <v>250000</v>
      </c>
      <c r="L4041" s="317">
        <f t="shared" si="2827"/>
        <v>4689000</v>
      </c>
      <c r="M4041" s="317"/>
      <c r="N4041" s="372">
        <f t="shared" ref="N4041:N4104" si="2832">M4041-K4041</f>
        <v>-250000</v>
      </c>
      <c r="O4041" s="619">
        <f t="shared" ref="O4041:P4041" si="2833">O4023+O4026+O4032+O4030+O4035+O4037+O4039</f>
        <v>5157900</v>
      </c>
      <c r="P4041" s="619">
        <f t="shared" si="2833"/>
        <v>5673690</v>
      </c>
      <c r="R4041" s="317"/>
      <c r="U4041" s="320"/>
    </row>
    <row r="4042" spans="1:21" s="344" customFormat="1" outlineLevel="2">
      <c r="A4042" s="345"/>
      <c r="B4042" s="345"/>
      <c r="C4042" s="405"/>
      <c r="D4042" s="313"/>
      <c r="E4042" s="619"/>
      <c r="F4042" s="514"/>
      <c r="G4042" s="514"/>
      <c r="H4042" s="514"/>
      <c r="I4042" s="324">
        <f t="shared" si="2797"/>
        <v>0</v>
      </c>
      <c r="J4042" s="514"/>
      <c r="K4042" s="514"/>
      <c r="L4042" s="317">
        <f t="shared" si="2827"/>
        <v>0</v>
      </c>
      <c r="M4042" s="317"/>
      <c r="N4042" s="372">
        <f t="shared" si="2832"/>
        <v>0</v>
      </c>
      <c r="O4042" s="336">
        <f>L4042*1.1</f>
        <v>0</v>
      </c>
      <c r="P4042" s="1131">
        <f t="shared" si="2811"/>
        <v>0</v>
      </c>
      <c r="R4042" s="317"/>
      <c r="U4042" s="320"/>
    </row>
    <row r="4043" spans="1:21" s="344" customFormat="1" outlineLevel="2">
      <c r="A4043" s="345"/>
      <c r="B4043" s="345"/>
      <c r="C4043" s="405"/>
      <c r="D4043" s="447" t="s">
        <v>92</v>
      </c>
      <c r="E4043" s="619"/>
      <c r="F4043" s="438"/>
      <c r="G4043" s="438"/>
      <c r="H4043" s="438"/>
      <c r="I4043" s="324">
        <f t="shared" si="2797"/>
        <v>0</v>
      </c>
      <c r="J4043" s="438"/>
      <c r="K4043" s="438"/>
      <c r="L4043" s="317">
        <f t="shared" si="2827"/>
        <v>0</v>
      </c>
      <c r="M4043" s="317"/>
      <c r="N4043" s="372">
        <f t="shared" si="2832"/>
        <v>0</v>
      </c>
      <c r="O4043" s="336">
        <f>L4043*1.1</f>
        <v>0</v>
      </c>
      <c r="P4043" s="1131">
        <f t="shared" si="2811"/>
        <v>0</v>
      </c>
      <c r="R4043" s="317"/>
      <c r="U4043" s="320"/>
    </row>
    <row r="4044" spans="1:21" s="325" customFormat="1" outlineLevel="3">
      <c r="A4044" s="345"/>
      <c r="B4044" s="345"/>
      <c r="C4044" s="328">
        <v>3110400</v>
      </c>
      <c r="D4044" s="326" t="s">
        <v>701</v>
      </c>
      <c r="E4044" s="605">
        <f>E4045+E4046</f>
        <v>22500000</v>
      </c>
      <c r="F4044" s="605">
        <f t="shared" ref="F4044:P4044" si="2834">F4045+F4046</f>
        <v>0</v>
      </c>
      <c r="G4044" s="605">
        <f t="shared" si="2834"/>
        <v>0</v>
      </c>
      <c r="H4044" s="605">
        <f t="shared" si="2834"/>
        <v>0</v>
      </c>
      <c r="I4044" s="605">
        <f t="shared" si="2834"/>
        <v>22500000</v>
      </c>
      <c r="J4044" s="605">
        <f t="shared" si="2834"/>
        <v>0</v>
      </c>
      <c r="K4044" s="605">
        <f t="shared" si="2834"/>
        <v>-20000000</v>
      </c>
      <c r="L4044" s="317">
        <f t="shared" si="2827"/>
        <v>2500000</v>
      </c>
      <c r="M4044" s="317"/>
      <c r="N4044" s="372">
        <f t="shared" si="2832"/>
        <v>20000000</v>
      </c>
      <c r="O4044" s="605">
        <f t="shared" si="2834"/>
        <v>2750000</v>
      </c>
      <c r="P4044" s="605">
        <f t="shared" si="2834"/>
        <v>3025000.0000000005</v>
      </c>
      <c r="R4044" s="317"/>
      <c r="U4044" s="320"/>
    </row>
    <row r="4045" spans="1:21" s="325" customFormat="1" outlineLevel="3">
      <c r="A4045" s="345"/>
      <c r="B4045" s="345"/>
      <c r="C4045" s="405">
        <v>3110402</v>
      </c>
      <c r="D4045" s="345" t="s">
        <v>1365</v>
      </c>
      <c r="E4045" s="406">
        <v>2500000</v>
      </c>
      <c r="F4045" s="406"/>
      <c r="G4045" s="406"/>
      <c r="H4045" s="406"/>
      <c r="I4045" s="324">
        <f t="shared" si="2797"/>
        <v>2500000</v>
      </c>
      <c r="J4045" s="406"/>
      <c r="K4045" s="406"/>
      <c r="L4045" s="317">
        <f t="shared" si="2827"/>
        <v>2500000</v>
      </c>
      <c r="M4045" s="317"/>
      <c r="N4045" s="372">
        <f t="shared" si="2832"/>
        <v>0</v>
      </c>
      <c r="O4045" s="336">
        <f>L4045*1.1</f>
        <v>2750000</v>
      </c>
      <c r="P4045" s="1131">
        <f t="shared" si="2811"/>
        <v>3025000.0000000005</v>
      </c>
      <c r="R4045" s="317"/>
      <c r="U4045" s="320"/>
    </row>
    <row r="4046" spans="1:21" outlineLevel="3">
      <c r="A4046" s="345"/>
      <c r="B4046" s="345"/>
      <c r="C4046" s="405">
        <v>3110499</v>
      </c>
      <c r="D4046" s="345" t="s">
        <v>1366</v>
      </c>
      <c r="E4046" s="1160">
        <v>20000000</v>
      </c>
      <c r="F4046" s="406"/>
      <c r="G4046" s="406"/>
      <c r="H4046" s="406"/>
      <c r="I4046" s="324">
        <f t="shared" si="2797"/>
        <v>20000000</v>
      </c>
      <c r="J4046" s="406"/>
      <c r="K4046" s="389">
        <v>-20000000</v>
      </c>
      <c r="L4046" s="317">
        <f t="shared" si="2827"/>
        <v>0</v>
      </c>
      <c r="M4046" s="317"/>
      <c r="N4046" s="372">
        <f t="shared" si="2832"/>
        <v>20000000</v>
      </c>
      <c r="O4046" s="336">
        <f>L4046*1.1</f>
        <v>0</v>
      </c>
      <c r="P4046" s="1131">
        <f t="shared" si="2811"/>
        <v>0</v>
      </c>
      <c r="Q4046" s="303" t="s">
        <v>2495</v>
      </c>
      <c r="R4046" s="317"/>
      <c r="U4046" s="320"/>
    </row>
    <row r="4047" spans="1:21" outlineLevel="3">
      <c r="A4047" s="326"/>
      <c r="B4047" s="326"/>
      <c r="C4047" s="328">
        <v>3110500</v>
      </c>
      <c r="D4047" s="326" t="s">
        <v>689</v>
      </c>
      <c r="E4047" s="605">
        <f>E4048+E4049</f>
        <v>13500000</v>
      </c>
      <c r="F4047" s="605">
        <f t="shared" ref="F4047:K4047" si="2835">F4048+F4049</f>
        <v>0</v>
      </c>
      <c r="G4047" s="605">
        <f t="shared" si="2835"/>
        <v>0</v>
      </c>
      <c r="H4047" s="605">
        <f t="shared" si="2835"/>
        <v>0</v>
      </c>
      <c r="I4047" s="605">
        <f t="shared" si="2835"/>
        <v>13500000</v>
      </c>
      <c r="J4047" s="605">
        <f t="shared" si="2835"/>
        <v>0</v>
      </c>
      <c r="K4047" s="605">
        <f t="shared" si="2835"/>
        <v>0</v>
      </c>
      <c r="L4047" s="317">
        <f t="shared" si="2827"/>
        <v>13500000</v>
      </c>
      <c r="M4047" s="317"/>
      <c r="N4047" s="372">
        <f t="shared" si="2832"/>
        <v>0</v>
      </c>
      <c r="O4047" s="605">
        <f t="shared" ref="O4047:P4047" si="2836">O4048+O4049</f>
        <v>14850000</v>
      </c>
      <c r="P4047" s="605">
        <f t="shared" si="2836"/>
        <v>16335000</v>
      </c>
      <c r="R4047" s="317"/>
      <c r="U4047" s="320"/>
    </row>
    <row r="4048" spans="1:21" ht="47.1" customHeight="1" outlineLevel="3">
      <c r="A4048" s="330"/>
      <c r="B4048" s="330"/>
      <c r="C4048" s="332">
        <v>3110504</v>
      </c>
      <c r="D4048" s="330" t="s">
        <v>1367</v>
      </c>
      <c r="E4048" s="673">
        <v>4500000</v>
      </c>
      <c r="F4048" s="389"/>
      <c r="G4048" s="389"/>
      <c r="H4048" s="389"/>
      <c r="I4048" s="324">
        <f t="shared" si="2797"/>
        <v>4500000</v>
      </c>
      <c r="J4048" s="389"/>
      <c r="K4048" s="1163"/>
      <c r="L4048" s="317">
        <f t="shared" si="2827"/>
        <v>4500000</v>
      </c>
      <c r="M4048" s="317"/>
      <c r="N4048" s="372">
        <f t="shared" si="2832"/>
        <v>0</v>
      </c>
      <c r="O4048" s="336">
        <f>L4048*1.1</f>
        <v>4950000</v>
      </c>
      <c r="P4048" s="1131">
        <f t="shared" si="2811"/>
        <v>5445000</v>
      </c>
      <c r="R4048" s="317"/>
      <c r="U4048" s="320"/>
    </row>
    <row r="4049" spans="1:21" outlineLevel="3">
      <c r="A4049" s="330"/>
      <c r="B4049" s="330"/>
      <c r="C4049" s="332">
        <v>3110599</v>
      </c>
      <c r="D4049" s="330" t="s">
        <v>1368</v>
      </c>
      <c r="E4049" s="406">
        <f>12000000-3000000</f>
        <v>9000000</v>
      </c>
      <c r="F4049" s="389"/>
      <c r="G4049" s="389"/>
      <c r="H4049" s="389"/>
      <c r="I4049" s="324">
        <f t="shared" si="2797"/>
        <v>9000000</v>
      </c>
      <c r="J4049" s="389"/>
      <c r="K4049" s="389"/>
      <c r="L4049" s="317">
        <f t="shared" si="2827"/>
        <v>9000000</v>
      </c>
      <c r="M4049" s="317"/>
      <c r="N4049" s="372">
        <f t="shared" si="2832"/>
        <v>0</v>
      </c>
      <c r="O4049" s="336">
        <f>L4049*1.1</f>
        <v>9900000</v>
      </c>
      <c r="P4049" s="1131">
        <f t="shared" si="2811"/>
        <v>10890000</v>
      </c>
      <c r="R4049" s="317"/>
      <c r="U4049" s="320"/>
    </row>
    <row r="4050" spans="1:21" outlineLevel="3">
      <c r="A4050" s="330"/>
      <c r="B4050" s="330"/>
      <c r="C4050" s="340">
        <v>3110600</v>
      </c>
      <c r="D4050" s="449" t="s">
        <v>702</v>
      </c>
      <c r="E4050" s="622">
        <f>E4051</f>
        <v>6500000</v>
      </c>
      <c r="F4050" s="622">
        <f t="shared" ref="F4050:P4050" si="2837">F4051</f>
        <v>0</v>
      </c>
      <c r="G4050" s="622">
        <f t="shared" si="2837"/>
        <v>0</v>
      </c>
      <c r="H4050" s="622">
        <f t="shared" si="2837"/>
        <v>0</v>
      </c>
      <c r="I4050" s="622">
        <f t="shared" si="2837"/>
        <v>6500000</v>
      </c>
      <c r="J4050" s="622">
        <f t="shared" si="2837"/>
        <v>-6177486</v>
      </c>
      <c r="K4050" s="622">
        <f t="shared" si="2837"/>
        <v>-231357.63</v>
      </c>
      <c r="L4050" s="317">
        <f t="shared" si="2827"/>
        <v>91156.37</v>
      </c>
      <c r="M4050" s="317"/>
      <c r="N4050" s="372">
        <f t="shared" si="2832"/>
        <v>231357.63</v>
      </c>
      <c r="O4050" s="622">
        <f t="shared" si="2837"/>
        <v>100272.007</v>
      </c>
      <c r="P4050" s="622">
        <f t="shared" si="2837"/>
        <v>110299.20770000001</v>
      </c>
      <c r="R4050" s="317"/>
      <c r="U4050" s="320"/>
    </row>
    <row r="4051" spans="1:21" outlineLevel="3">
      <c r="A4051" s="330"/>
      <c r="B4051" s="330"/>
      <c r="C4051" s="332">
        <v>3110601</v>
      </c>
      <c r="D4051" s="330" t="s">
        <v>1369</v>
      </c>
      <c r="E4051" s="673">
        <v>6500000</v>
      </c>
      <c r="F4051" s="389"/>
      <c r="G4051" s="389"/>
      <c r="H4051" s="389"/>
      <c r="I4051" s="324">
        <f t="shared" si="2797"/>
        <v>6500000</v>
      </c>
      <c r="J4051" s="389">
        <v>-6177486</v>
      </c>
      <c r="K4051" s="389">
        <v>-231357.63</v>
      </c>
      <c r="L4051" s="317">
        <f t="shared" si="2827"/>
        <v>91156.37</v>
      </c>
      <c r="M4051" s="317"/>
      <c r="N4051" s="372">
        <f t="shared" si="2832"/>
        <v>231357.63</v>
      </c>
      <c r="O4051" s="336">
        <f>L4051*1.1</f>
        <v>100272.007</v>
      </c>
      <c r="P4051" s="1131">
        <f t="shared" si="2811"/>
        <v>110299.20770000001</v>
      </c>
      <c r="Q4051" s="303" t="s">
        <v>2496</v>
      </c>
      <c r="R4051" s="317"/>
      <c r="U4051" s="320" t="s">
        <v>1803</v>
      </c>
    </row>
    <row r="4052" spans="1:21" s="344" customFormat="1" outlineLevel="3">
      <c r="A4052" s="330"/>
      <c r="B4052" s="330"/>
      <c r="C4052" s="340">
        <v>3111400</v>
      </c>
      <c r="D4052" s="338" t="s">
        <v>75</v>
      </c>
      <c r="E4052" s="622">
        <f>E4053</f>
        <v>1000000</v>
      </c>
      <c r="F4052" s="622">
        <f t="shared" ref="F4052:P4052" si="2838">F4053</f>
        <v>0</v>
      </c>
      <c r="G4052" s="622">
        <f t="shared" si="2838"/>
        <v>0</v>
      </c>
      <c r="H4052" s="622">
        <f t="shared" si="2838"/>
        <v>0</v>
      </c>
      <c r="I4052" s="622">
        <f t="shared" si="2838"/>
        <v>1000000</v>
      </c>
      <c r="J4052" s="622">
        <f t="shared" si="2838"/>
        <v>0</v>
      </c>
      <c r="K4052" s="622">
        <f t="shared" si="2838"/>
        <v>3500000</v>
      </c>
      <c r="L4052" s="317">
        <f t="shared" si="2827"/>
        <v>4500000</v>
      </c>
      <c r="M4052" s="317"/>
      <c r="N4052" s="372">
        <f t="shared" si="2832"/>
        <v>-3500000</v>
      </c>
      <c r="O4052" s="622">
        <f t="shared" si="2838"/>
        <v>4950000</v>
      </c>
      <c r="P4052" s="622">
        <f t="shared" si="2838"/>
        <v>5445000</v>
      </c>
      <c r="R4052" s="317"/>
      <c r="U4052" s="320"/>
    </row>
    <row r="4053" spans="1:21" s="344" customFormat="1" outlineLevel="3">
      <c r="A4053" s="330"/>
      <c r="B4053" s="330"/>
      <c r="C4053" s="332">
        <v>3111499</v>
      </c>
      <c r="D4053" s="330" t="s">
        <v>1370</v>
      </c>
      <c r="E4053" s="406">
        <f>3000000-2000000</f>
        <v>1000000</v>
      </c>
      <c r="F4053" s="389"/>
      <c r="G4053" s="389"/>
      <c r="H4053" s="389"/>
      <c r="I4053" s="324">
        <f t="shared" si="2797"/>
        <v>1000000</v>
      </c>
      <c r="J4053" s="389"/>
      <c r="K4053" s="972">
        <v>3500000</v>
      </c>
      <c r="L4053" s="317">
        <f t="shared" si="2827"/>
        <v>4500000</v>
      </c>
      <c r="M4053" s="317"/>
      <c r="N4053" s="372">
        <f t="shared" si="2832"/>
        <v>-3500000</v>
      </c>
      <c r="O4053" s="336">
        <f>L4053*1.1</f>
        <v>4950000</v>
      </c>
      <c r="P4053" s="1131">
        <f t="shared" si="2811"/>
        <v>5445000</v>
      </c>
      <c r="Q4053" s="1166" t="s">
        <v>2497</v>
      </c>
      <c r="R4053" s="317"/>
      <c r="U4053" s="320"/>
    </row>
    <row r="4054" spans="1:21" s="344" customFormat="1" outlineLevel="2">
      <c r="A4054" s="345"/>
      <c r="B4054" s="345"/>
      <c r="C4054" s="405"/>
      <c r="D4054" s="1161" t="s">
        <v>261</v>
      </c>
      <c r="E4054" s="619">
        <f>E4044+E4050+E4047+E4052</f>
        <v>43500000</v>
      </c>
      <c r="F4054" s="619">
        <f t="shared" ref="F4054:P4054" si="2839">F4044+F4050+F4047+F4052</f>
        <v>0</v>
      </c>
      <c r="G4054" s="619">
        <f t="shared" si="2839"/>
        <v>0</v>
      </c>
      <c r="H4054" s="619">
        <f t="shared" si="2839"/>
        <v>0</v>
      </c>
      <c r="I4054" s="619">
        <f t="shared" si="2839"/>
        <v>43500000</v>
      </c>
      <c r="J4054" s="619">
        <f t="shared" si="2839"/>
        <v>-6177486</v>
      </c>
      <c r="K4054" s="619">
        <f t="shared" si="2839"/>
        <v>-16731357.629999999</v>
      </c>
      <c r="L4054" s="317">
        <f t="shared" si="2827"/>
        <v>20591156.370000001</v>
      </c>
      <c r="M4054" s="317"/>
      <c r="N4054" s="372">
        <f t="shared" si="2832"/>
        <v>16731357.629999999</v>
      </c>
      <c r="O4054" s="619">
        <f t="shared" si="2839"/>
        <v>22650272.006999999</v>
      </c>
      <c r="P4054" s="619">
        <f t="shared" si="2839"/>
        <v>24915299.207699999</v>
      </c>
      <c r="R4054" s="317"/>
      <c r="U4054" s="320"/>
    </row>
    <row r="4055" spans="1:21" s="344" customFormat="1" outlineLevel="1">
      <c r="A4055" s="345"/>
      <c r="B4055" s="345"/>
      <c r="C4055" s="405"/>
      <c r="D4055" s="447" t="s">
        <v>690</v>
      </c>
      <c r="E4055" s="619">
        <f>E4041+E4054</f>
        <v>47939000</v>
      </c>
      <c r="F4055" s="619">
        <f t="shared" ref="F4055:P4055" si="2840">F4041+F4054</f>
        <v>0</v>
      </c>
      <c r="G4055" s="619">
        <f t="shared" si="2840"/>
        <v>0</v>
      </c>
      <c r="H4055" s="619">
        <f t="shared" si="2840"/>
        <v>0</v>
      </c>
      <c r="I4055" s="619">
        <f t="shared" si="2840"/>
        <v>47939000</v>
      </c>
      <c r="J4055" s="619">
        <f t="shared" si="2840"/>
        <v>-6177486</v>
      </c>
      <c r="K4055" s="619">
        <f t="shared" si="2840"/>
        <v>-16481357.629999999</v>
      </c>
      <c r="L4055" s="317">
        <f t="shared" si="2827"/>
        <v>25280156.370000001</v>
      </c>
      <c r="M4055" s="317"/>
      <c r="N4055" s="372">
        <f t="shared" si="2832"/>
        <v>16481357.629999999</v>
      </c>
      <c r="O4055" s="619">
        <f t="shared" si="2840"/>
        <v>27808172.006999999</v>
      </c>
      <c r="P4055" s="619">
        <f t="shared" si="2840"/>
        <v>30588989.207699999</v>
      </c>
      <c r="R4055" s="317"/>
      <c r="U4055" s="320"/>
    </row>
    <row r="4056" spans="1:21" s="344" customFormat="1" outlineLevel="1">
      <c r="A4056" s="345"/>
      <c r="B4056" s="345"/>
      <c r="C4056" s="405"/>
      <c r="D4056" s="345"/>
      <c r="E4056" s="605"/>
      <c r="F4056" s="406"/>
      <c r="G4056" s="406"/>
      <c r="H4056" s="406"/>
      <c r="I4056" s="324">
        <f t="shared" si="2797"/>
        <v>0</v>
      </c>
      <c r="J4056" s="406"/>
      <c r="K4056" s="406"/>
      <c r="L4056" s="317">
        <f t="shared" si="2827"/>
        <v>0</v>
      </c>
      <c r="M4056" s="317"/>
      <c r="N4056" s="372">
        <f t="shared" si="2832"/>
        <v>0</v>
      </c>
      <c r="O4056" s="336">
        <f>L4056*1.1</f>
        <v>0</v>
      </c>
      <c r="P4056" s="1131">
        <f t="shared" si="2811"/>
        <v>0</v>
      </c>
      <c r="R4056" s="317"/>
      <c r="U4056" s="320"/>
    </row>
    <row r="4057" spans="1:21" s="344" customFormat="1" outlineLevel="1">
      <c r="A4057" s="345"/>
      <c r="B4057" s="345"/>
      <c r="C4057" s="405"/>
      <c r="D4057" s="345"/>
      <c r="E4057" s="605"/>
      <c r="F4057" s="406"/>
      <c r="G4057" s="406"/>
      <c r="H4057" s="406"/>
      <c r="I4057" s="324">
        <f t="shared" ref="I4057:I4119" si="2841">E4057+F4057+G4057+H4057</f>
        <v>0</v>
      </c>
      <c r="J4057" s="406"/>
      <c r="K4057" s="406"/>
      <c r="L4057" s="317">
        <f t="shared" si="2827"/>
        <v>0</v>
      </c>
      <c r="M4057" s="317"/>
      <c r="N4057" s="372">
        <f t="shared" si="2832"/>
        <v>0</v>
      </c>
      <c r="O4057" s="336">
        <f>L4057*1.1</f>
        <v>0</v>
      </c>
      <c r="P4057" s="1131">
        <f t="shared" si="2811"/>
        <v>0</v>
      </c>
      <c r="R4057" s="317"/>
      <c r="U4057" s="320"/>
    </row>
    <row r="4058" spans="1:21" s="344" customFormat="1" outlineLevel="1">
      <c r="A4058" s="473" t="s">
        <v>447</v>
      </c>
      <c r="B4058" s="473" t="s">
        <v>146</v>
      </c>
      <c r="C4058" s="405"/>
      <c r="D4058" s="447" t="s">
        <v>703</v>
      </c>
      <c r="E4058" s="587"/>
      <c r="F4058" s="438"/>
      <c r="G4058" s="438"/>
      <c r="H4058" s="438"/>
      <c r="I4058" s="324">
        <f t="shared" si="2841"/>
        <v>0</v>
      </c>
      <c r="J4058" s="438"/>
      <c r="K4058" s="438"/>
      <c r="L4058" s="317">
        <f t="shared" si="2827"/>
        <v>0</v>
      </c>
      <c r="M4058" s="317"/>
      <c r="N4058" s="372">
        <f t="shared" si="2832"/>
        <v>0</v>
      </c>
      <c r="O4058" s="336">
        <f>L4058*1.1</f>
        <v>0</v>
      </c>
      <c r="P4058" s="1131">
        <f t="shared" si="2811"/>
        <v>0</v>
      </c>
      <c r="R4058" s="317"/>
      <c r="U4058" s="320"/>
    </row>
    <row r="4059" spans="1:21" s="344" customFormat="1" outlineLevel="3">
      <c r="A4059" s="345"/>
      <c r="B4059" s="345"/>
      <c r="C4059" s="770">
        <v>2210100</v>
      </c>
      <c r="D4059" s="635" t="s">
        <v>16</v>
      </c>
      <c r="E4059" s="605">
        <f>E4060</f>
        <v>700000</v>
      </c>
      <c r="F4059" s="605">
        <f t="shared" ref="F4059:K4059" si="2842">F4060</f>
        <v>0</v>
      </c>
      <c r="G4059" s="605">
        <f t="shared" si="2842"/>
        <v>0</v>
      </c>
      <c r="H4059" s="605">
        <f t="shared" si="2842"/>
        <v>0</v>
      </c>
      <c r="I4059" s="605">
        <f t="shared" si="2842"/>
        <v>700000</v>
      </c>
      <c r="J4059" s="605">
        <f t="shared" si="2842"/>
        <v>0</v>
      </c>
      <c r="K4059" s="605">
        <f t="shared" si="2842"/>
        <v>500000</v>
      </c>
      <c r="L4059" s="317">
        <f t="shared" si="2827"/>
        <v>1200000</v>
      </c>
      <c r="M4059" s="317"/>
      <c r="N4059" s="372">
        <f t="shared" si="2832"/>
        <v>-500000</v>
      </c>
      <c r="O4059" s="605">
        <f t="shared" ref="O4059:P4059" si="2843">O4060</f>
        <v>1320000</v>
      </c>
      <c r="P4059" s="605">
        <f t="shared" si="2843"/>
        <v>1452000.0000000002</v>
      </c>
      <c r="R4059" s="317"/>
      <c r="U4059" s="320"/>
    </row>
    <row r="4060" spans="1:21" s="344" customFormat="1" outlineLevel="3">
      <c r="A4060" s="345"/>
      <c r="B4060" s="345"/>
      <c r="C4060" s="405">
        <v>2210101</v>
      </c>
      <c r="D4060" s="345" t="s">
        <v>17</v>
      </c>
      <c r="E4060" s="1160">
        <v>700000</v>
      </c>
      <c r="F4060" s="406"/>
      <c r="G4060" s="406"/>
      <c r="H4060" s="406"/>
      <c r="I4060" s="324">
        <f t="shared" si="2841"/>
        <v>700000</v>
      </c>
      <c r="J4060" s="406"/>
      <c r="K4060" s="389">
        <v>500000</v>
      </c>
      <c r="L4060" s="317">
        <f t="shared" si="2827"/>
        <v>1200000</v>
      </c>
      <c r="M4060" s="317"/>
      <c r="N4060" s="372">
        <f t="shared" si="2832"/>
        <v>-500000</v>
      </c>
      <c r="O4060" s="336">
        <f>L4060*1.1</f>
        <v>1320000</v>
      </c>
      <c r="P4060" s="1131">
        <f t="shared" si="2811"/>
        <v>1452000.0000000002</v>
      </c>
      <c r="Q4060" s="344" t="s">
        <v>2498</v>
      </c>
      <c r="R4060" s="317"/>
      <c r="U4060" s="320"/>
    </row>
    <row r="4061" spans="1:21" s="344" customFormat="1" outlineLevel="3">
      <c r="A4061" s="345"/>
      <c r="B4061" s="345"/>
      <c r="C4061" s="770">
        <v>2210200</v>
      </c>
      <c r="D4061" s="636" t="s">
        <v>20</v>
      </c>
      <c r="E4061" s="605">
        <f>E4062</f>
        <v>87000</v>
      </c>
      <c r="F4061" s="605">
        <f t="shared" ref="F4061:P4061" si="2844">F4062</f>
        <v>0</v>
      </c>
      <c r="G4061" s="605">
        <f t="shared" si="2844"/>
        <v>0</v>
      </c>
      <c r="H4061" s="605">
        <f t="shared" si="2844"/>
        <v>0</v>
      </c>
      <c r="I4061" s="605">
        <f t="shared" si="2844"/>
        <v>87000</v>
      </c>
      <c r="J4061" s="605">
        <f t="shared" si="2844"/>
        <v>0</v>
      </c>
      <c r="K4061" s="605">
        <f t="shared" si="2844"/>
        <v>0</v>
      </c>
      <c r="L4061" s="317">
        <f t="shared" si="2827"/>
        <v>87000</v>
      </c>
      <c r="M4061" s="317"/>
      <c r="N4061" s="372">
        <f t="shared" si="2832"/>
        <v>0</v>
      </c>
      <c r="O4061" s="605">
        <f t="shared" si="2844"/>
        <v>95700.000000000015</v>
      </c>
      <c r="P4061" s="605">
        <f t="shared" si="2844"/>
        <v>105270.00000000003</v>
      </c>
      <c r="R4061" s="317"/>
      <c r="U4061" s="320"/>
    </row>
    <row r="4062" spans="1:21" s="344" customFormat="1" outlineLevel="3">
      <c r="A4062" s="345"/>
      <c r="B4062" s="345"/>
      <c r="C4062" s="405">
        <v>2210201</v>
      </c>
      <c r="D4062" s="345" t="s">
        <v>113</v>
      </c>
      <c r="E4062" s="1160">
        <v>87000</v>
      </c>
      <c r="F4062" s="406"/>
      <c r="G4062" s="406"/>
      <c r="H4062" s="406"/>
      <c r="I4062" s="324">
        <f t="shared" si="2841"/>
        <v>87000</v>
      </c>
      <c r="J4062" s="406"/>
      <c r="K4062" s="406"/>
      <c r="L4062" s="317">
        <f t="shared" si="2827"/>
        <v>87000</v>
      </c>
      <c r="M4062" s="317"/>
      <c r="N4062" s="372">
        <f t="shared" si="2832"/>
        <v>0</v>
      </c>
      <c r="O4062" s="336">
        <f>L4062*1.1</f>
        <v>95700.000000000015</v>
      </c>
      <c r="P4062" s="1131">
        <f t="shared" si="2811"/>
        <v>105270.00000000003</v>
      </c>
      <c r="R4062" s="317"/>
      <c r="U4062" s="320"/>
    </row>
    <row r="4063" spans="1:21" s="344" customFormat="1" outlineLevel="3">
      <c r="A4063" s="345"/>
      <c r="B4063" s="345"/>
      <c r="C4063" s="770">
        <v>2210300</v>
      </c>
      <c r="D4063" s="636" t="s">
        <v>24</v>
      </c>
      <c r="E4063" s="605">
        <f>E4064+E4065+E4066</f>
        <v>812000</v>
      </c>
      <c r="F4063" s="605">
        <f t="shared" ref="F4063:P4063" si="2845">F4064+F4065+F4066</f>
        <v>0</v>
      </c>
      <c r="G4063" s="605">
        <f t="shared" si="2845"/>
        <v>0</v>
      </c>
      <c r="H4063" s="605">
        <f t="shared" si="2845"/>
        <v>0</v>
      </c>
      <c r="I4063" s="605">
        <f t="shared" si="2845"/>
        <v>812000</v>
      </c>
      <c r="J4063" s="605">
        <f t="shared" si="2845"/>
        <v>0</v>
      </c>
      <c r="K4063" s="605">
        <f t="shared" si="2845"/>
        <v>0</v>
      </c>
      <c r="L4063" s="317">
        <f t="shared" si="2827"/>
        <v>812000</v>
      </c>
      <c r="M4063" s="317"/>
      <c r="N4063" s="372">
        <f t="shared" si="2832"/>
        <v>0</v>
      </c>
      <c r="O4063" s="605">
        <f t="shared" si="2845"/>
        <v>893200.00000000012</v>
      </c>
      <c r="P4063" s="605">
        <f t="shared" si="2845"/>
        <v>982520.00000000012</v>
      </c>
      <c r="R4063" s="317"/>
      <c r="U4063" s="320"/>
    </row>
    <row r="4064" spans="1:21" s="344" customFormat="1" outlineLevel="3">
      <c r="A4064" s="345"/>
      <c r="B4064" s="345"/>
      <c r="C4064" s="401">
        <v>2210301</v>
      </c>
      <c r="D4064" s="464" t="s">
        <v>188</v>
      </c>
      <c r="E4064" s="1160">
        <v>406000</v>
      </c>
      <c r="F4064" s="333"/>
      <c r="G4064" s="333"/>
      <c r="H4064" s="333"/>
      <c r="I4064" s="324">
        <f t="shared" si="2841"/>
        <v>406000</v>
      </c>
      <c r="J4064" s="333"/>
      <c r="K4064" s="333"/>
      <c r="L4064" s="317">
        <f t="shared" si="2827"/>
        <v>406000</v>
      </c>
      <c r="M4064" s="317"/>
      <c r="N4064" s="372">
        <f t="shared" si="2832"/>
        <v>0</v>
      </c>
      <c r="O4064" s="336">
        <f>L4064*1.1</f>
        <v>446600.00000000006</v>
      </c>
      <c r="P4064" s="1131">
        <f t="shared" si="2811"/>
        <v>491260.00000000012</v>
      </c>
      <c r="R4064" s="317"/>
      <c r="U4064" s="320"/>
    </row>
    <row r="4065" spans="1:21" s="344" customFormat="1" outlineLevel="3">
      <c r="A4065" s="345"/>
      <c r="B4065" s="345"/>
      <c r="C4065" s="405">
        <v>2210302</v>
      </c>
      <c r="D4065" s="345" t="s">
        <v>26</v>
      </c>
      <c r="E4065" s="1160">
        <v>116000</v>
      </c>
      <c r="F4065" s="406"/>
      <c r="G4065" s="406"/>
      <c r="H4065" s="406"/>
      <c r="I4065" s="324">
        <f t="shared" si="2841"/>
        <v>116000</v>
      </c>
      <c r="J4065" s="406"/>
      <c r="K4065" s="406"/>
      <c r="L4065" s="317">
        <f t="shared" si="2827"/>
        <v>116000</v>
      </c>
      <c r="M4065" s="317"/>
      <c r="N4065" s="372">
        <f t="shared" si="2832"/>
        <v>0</v>
      </c>
      <c r="O4065" s="336">
        <f>L4065*1.1</f>
        <v>127600.00000000001</v>
      </c>
      <c r="P4065" s="1131">
        <f t="shared" si="2811"/>
        <v>140360.00000000003</v>
      </c>
      <c r="R4065" s="317"/>
      <c r="U4065" s="320"/>
    </row>
    <row r="4066" spans="1:21" s="344" customFormat="1" outlineLevel="3">
      <c r="A4066" s="345"/>
      <c r="B4066" s="345"/>
      <c r="C4066" s="405">
        <v>2210303</v>
      </c>
      <c r="D4066" s="345" t="s">
        <v>704</v>
      </c>
      <c r="E4066" s="1160">
        <v>290000</v>
      </c>
      <c r="F4066" s="406"/>
      <c r="G4066" s="406"/>
      <c r="H4066" s="406"/>
      <c r="I4066" s="324">
        <f t="shared" si="2841"/>
        <v>290000</v>
      </c>
      <c r="J4066" s="406"/>
      <c r="K4066" s="406"/>
      <c r="L4066" s="317">
        <f t="shared" si="2827"/>
        <v>290000</v>
      </c>
      <c r="M4066" s="317"/>
      <c r="N4066" s="372">
        <f t="shared" si="2832"/>
        <v>0</v>
      </c>
      <c r="O4066" s="336">
        <f>L4066*1.1</f>
        <v>319000</v>
      </c>
      <c r="P4066" s="1131">
        <f t="shared" si="2811"/>
        <v>350900</v>
      </c>
      <c r="R4066" s="317"/>
      <c r="U4066" s="320"/>
    </row>
    <row r="4067" spans="1:21" s="344" customFormat="1" outlineLevel="3">
      <c r="A4067" s="345"/>
      <c r="B4067" s="345"/>
      <c r="C4067" s="770">
        <v>2210700</v>
      </c>
      <c r="D4067" s="636" t="s">
        <v>35</v>
      </c>
      <c r="E4067" s="605">
        <f>E4068</f>
        <v>100000</v>
      </c>
      <c r="F4067" s="605">
        <f t="shared" ref="F4067:K4067" si="2846">F4068</f>
        <v>0</v>
      </c>
      <c r="G4067" s="605">
        <f t="shared" si="2846"/>
        <v>0</v>
      </c>
      <c r="H4067" s="605">
        <f t="shared" si="2846"/>
        <v>0</v>
      </c>
      <c r="I4067" s="605">
        <f t="shared" si="2846"/>
        <v>100000</v>
      </c>
      <c r="J4067" s="605">
        <f t="shared" si="2846"/>
        <v>0</v>
      </c>
      <c r="K4067" s="605">
        <f t="shared" si="2846"/>
        <v>0</v>
      </c>
      <c r="L4067" s="317">
        <f t="shared" si="2827"/>
        <v>100000</v>
      </c>
      <c r="M4067" s="317"/>
      <c r="N4067" s="372">
        <f t="shared" si="2832"/>
        <v>0</v>
      </c>
      <c r="O4067" s="605">
        <f t="shared" ref="O4067:P4067" si="2847">O4068</f>
        <v>110000.00000000001</v>
      </c>
      <c r="P4067" s="605">
        <f t="shared" si="2847"/>
        <v>121000.00000000003</v>
      </c>
      <c r="R4067" s="317"/>
      <c r="U4067" s="320"/>
    </row>
    <row r="4068" spans="1:21" s="344" customFormat="1" outlineLevel="3">
      <c r="A4068" s="345"/>
      <c r="B4068" s="345"/>
      <c r="C4068" s="405">
        <v>2210799</v>
      </c>
      <c r="D4068" s="345" t="s">
        <v>705</v>
      </c>
      <c r="E4068" s="1160">
        <v>100000</v>
      </c>
      <c r="F4068" s="406"/>
      <c r="G4068" s="406"/>
      <c r="H4068" s="406"/>
      <c r="I4068" s="324">
        <f t="shared" si="2841"/>
        <v>100000</v>
      </c>
      <c r="J4068" s="406"/>
      <c r="K4068" s="406"/>
      <c r="L4068" s="317">
        <f t="shared" si="2827"/>
        <v>100000</v>
      </c>
      <c r="M4068" s="317"/>
      <c r="N4068" s="372">
        <f t="shared" si="2832"/>
        <v>0</v>
      </c>
      <c r="O4068" s="336">
        <f>L4068*1.1</f>
        <v>110000.00000000001</v>
      </c>
      <c r="P4068" s="1131">
        <f t="shared" si="2811"/>
        <v>121000.00000000003</v>
      </c>
      <c r="R4068" s="317"/>
      <c r="U4068" s="320"/>
    </row>
    <row r="4069" spans="1:21" s="344" customFormat="1" outlineLevel="3">
      <c r="A4069" s="345"/>
      <c r="B4069" s="345"/>
      <c r="C4069" s="770">
        <v>2211100</v>
      </c>
      <c r="D4069" s="636" t="s">
        <v>51</v>
      </c>
      <c r="E4069" s="605">
        <f>E4070</f>
        <v>450000</v>
      </c>
      <c r="F4069" s="605">
        <f t="shared" ref="F4069:P4069" si="2848">F4070</f>
        <v>0</v>
      </c>
      <c r="G4069" s="605">
        <f t="shared" si="2848"/>
        <v>0</v>
      </c>
      <c r="H4069" s="605">
        <f t="shared" si="2848"/>
        <v>0</v>
      </c>
      <c r="I4069" s="605">
        <f t="shared" si="2848"/>
        <v>450000</v>
      </c>
      <c r="J4069" s="605">
        <f t="shared" si="2848"/>
        <v>0</v>
      </c>
      <c r="K4069" s="605">
        <f t="shared" si="2848"/>
        <v>0</v>
      </c>
      <c r="L4069" s="317">
        <f t="shared" si="2827"/>
        <v>450000</v>
      </c>
      <c r="M4069" s="317"/>
      <c r="N4069" s="372">
        <f t="shared" si="2832"/>
        <v>0</v>
      </c>
      <c r="O4069" s="605">
        <f t="shared" si="2848"/>
        <v>495000.00000000006</v>
      </c>
      <c r="P4069" s="605">
        <f t="shared" si="2848"/>
        <v>544500.00000000012</v>
      </c>
      <c r="R4069" s="317"/>
      <c r="U4069" s="320"/>
    </row>
    <row r="4070" spans="1:21" s="344" customFormat="1" outlineLevel="3">
      <c r="A4070" s="345"/>
      <c r="B4070" s="345"/>
      <c r="C4070" s="405">
        <v>2211102</v>
      </c>
      <c r="D4070" s="345" t="s">
        <v>53</v>
      </c>
      <c r="E4070" s="1160">
        <v>450000</v>
      </c>
      <c r="F4070" s="406"/>
      <c r="G4070" s="406"/>
      <c r="H4070" s="406"/>
      <c r="I4070" s="324">
        <f t="shared" si="2841"/>
        <v>450000</v>
      </c>
      <c r="J4070" s="406"/>
      <c r="K4070" s="406"/>
      <c r="L4070" s="317">
        <f t="shared" si="2827"/>
        <v>450000</v>
      </c>
      <c r="M4070" s="317"/>
      <c r="N4070" s="372">
        <f t="shared" si="2832"/>
        <v>0</v>
      </c>
      <c r="O4070" s="336">
        <f>L4070*1.1</f>
        <v>495000.00000000006</v>
      </c>
      <c r="P4070" s="1131">
        <f t="shared" si="2811"/>
        <v>544500.00000000012</v>
      </c>
      <c r="R4070" s="317"/>
      <c r="U4070" s="320"/>
    </row>
    <row r="4071" spans="1:21" s="344" customFormat="1" outlineLevel="3">
      <c r="A4071" s="345"/>
      <c r="B4071" s="345"/>
      <c r="C4071" s="770">
        <v>2211200</v>
      </c>
      <c r="D4071" s="636" t="s">
        <v>55</v>
      </c>
      <c r="E4071" s="605">
        <f>E4072</f>
        <v>800000</v>
      </c>
      <c r="F4071" s="605">
        <f t="shared" ref="F4071:P4071" si="2849">F4072</f>
        <v>0</v>
      </c>
      <c r="G4071" s="605">
        <f t="shared" si="2849"/>
        <v>0</v>
      </c>
      <c r="H4071" s="605">
        <f t="shared" si="2849"/>
        <v>0</v>
      </c>
      <c r="I4071" s="605">
        <f t="shared" si="2849"/>
        <v>800000</v>
      </c>
      <c r="J4071" s="605">
        <f t="shared" si="2849"/>
        <v>0</v>
      </c>
      <c r="K4071" s="605">
        <f t="shared" si="2849"/>
        <v>0</v>
      </c>
      <c r="L4071" s="317">
        <f t="shared" si="2827"/>
        <v>800000</v>
      </c>
      <c r="M4071" s="317"/>
      <c r="N4071" s="372">
        <f t="shared" si="2832"/>
        <v>0</v>
      </c>
      <c r="O4071" s="605">
        <f t="shared" si="2849"/>
        <v>880000.00000000012</v>
      </c>
      <c r="P4071" s="605">
        <f t="shared" si="2849"/>
        <v>968000.00000000023</v>
      </c>
      <c r="R4071" s="317"/>
      <c r="U4071" s="320"/>
    </row>
    <row r="4072" spans="1:21" s="344" customFormat="1" outlineLevel="3">
      <c r="A4072" s="345"/>
      <c r="B4072" s="345"/>
      <c r="C4072" s="405">
        <v>2211201</v>
      </c>
      <c r="D4072" s="345" t="s">
        <v>1353</v>
      </c>
      <c r="E4072" s="1160">
        <v>800000</v>
      </c>
      <c r="F4072" s="406"/>
      <c r="G4072" s="406"/>
      <c r="H4072" s="406"/>
      <c r="I4072" s="324">
        <f t="shared" si="2841"/>
        <v>800000</v>
      </c>
      <c r="J4072" s="406"/>
      <c r="K4072" s="406"/>
      <c r="L4072" s="317">
        <f t="shared" si="2827"/>
        <v>800000</v>
      </c>
      <c r="M4072" s="317"/>
      <c r="N4072" s="372">
        <f t="shared" si="2832"/>
        <v>0</v>
      </c>
      <c r="O4072" s="336">
        <f>L4072*1.1</f>
        <v>880000.00000000012</v>
      </c>
      <c r="P4072" s="1131">
        <f t="shared" si="2811"/>
        <v>968000.00000000023</v>
      </c>
      <c r="R4072" s="317"/>
      <c r="U4072" s="320"/>
    </row>
    <row r="4073" spans="1:21" s="325" customFormat="1" outlineLevel="3">
      <c r="A4073" s="345"/>
      <c r="B4073" s="345"/>
      <c r="C4073" s="328">
        <v>2211300</v>
      </c>
      <c r="D4073" s="326" t="s">
        <v>706</v>
      </c>
      <c r="E4073" s="605">
        <f>E4074</f>
        <v>150000</v>
      </c>
      <c r="F4073" s="605">
        <f t="shared" ref="F4073:P4073" si="2850">F4074</f>
        <v>0</v>
      </c>
      <c r="G4073" s="605">
        <f t="shared" si="2850"/>
        <v>0</v>
      </c>
      <c r="H4073" s="605">
        <f t="shared" si="2850"/>
        <v>0</v>
      </c>
      <c r="I4073" s="605">
        <f t="shared" si="2850"/>
        <v>150000</v>
      </c>
      <c r="J4073" s="605">
        <f t="shared" si="2850"/>
        <v>0</v>
      </c>
      <c r="K4073" s="605">
        <f t="shared" si="2850"/>
        <v>-150000</v>
      </c>
      <c r="L4073" s="317">
        <f t="shared" si="2827"/>
        <v>0</v>
      </c>
      <c r="M4073" s="317"/>
      <c r="N4073" s="372">
        <f t="shared" si="2832"/>
        <v>150000</v>
      </c>
      <c r="O4073" s="605">
        <f t="shared" si="2850"/>
        <v>0</v>
      </c>
      <c r="P4073" s="605">
        <f t="shared" si="2850"/>
        <v>0</v>
      </c>
      <c r="R4073" s="317"/>
      <c r="U4073" s="320"/>
    </row>
    <row r="4074" spans="1:21" s="344" customFormat="1" outlineLevel="3">
      <c r="A4074" s="345"/>
      <c r="B4074" s="345"/>
      <c r="C4074" s="405">
        <v>2211305</v>
      </c>
      <c r="D4074" s="345" t="s">
        <v>365</v>
      </c>
      <c r="E4074" s="1160">
        <v>150000</v>
      </c>
      <c r="F4074" s="406"/>
      <c r="G4074" s="406"/>
      <c r="H4074" s="406"/>
      <c r="I4074" s="324">
        <f t="shared" si="2841"/>
        <v>150000</v>
      </c>
      <c r="J4074" s="406"/>
      <c r="K4074" s="389">
        <v>-150000</v>
      </c>
      <c r="L4074" s="317">
        <f t="shared" si="2827"/>
        <v>0</v>
      </c>
      <c r="M4074" s="317"/>
      <c r="N4074" s="372">
        <f t="shared" si="2832"/>
        <v>150000</v>
      </c>
      <c r="O4074" s="336">
        <f>L4074*1.1</f>
        <v>0</v>
      </c>
      <c r="P4074" s="1131">
        <f t="shared" si="2811"/>
        <v>0</v>
      </c>
      <c r="R4074" s="317"/>
      <c r="U4074" s="320"/>
    </row>
    <row r="4075" spans="1:21" s="344" customFormat="1" outlineLevel="3">
      <c r="A4075" s="326"/>
      <c r="B4075" s="326"/>
      <c r="C4075" s="328">
        <v>2220200</v>
      </c>
      <c r="D4075" s="326" t="s">
        <v>291</v>
      </c>
      <c r="E4075" s="605">
        <f>E4076</f>
        <v>150000</v>
      </c>
      <c r="F4075" s="605">
        <f t="shared" ref="F4075:P4075" si="2851">F4076</f>
        <v>0</v>
      </c>
      <c r="G4075" s="605">
        <f t="shared" si="2851"/>
        <v>0</v>
      </c>
      <c r="H4075" s="605">
        <f t="shared" si="2851"/>
        <v>0</v>
      </c>
      <c r="I4075" s="605">
        <f t="shared" si="2851"/>
        <v>150000</v>
      </c>
      <c r="J4075" s="605">
        <f t="shared" si="2851"/>
        <v>0</v>
      </c>
      <c r="K4075" s="605">
        <f t="shared" si="2851"/>
        <v>0</v>
      </c>
      <c r="L4075" s="317">
        <f t="shared" si="2827"/>
        <v>150000</v>
      </c>
      <c r="M4075" s="317"/>
      <c r="N4075" s="372">
        <f t="shared" si="2832"/>
        <v>0</v>
      </c>
      <c r="O4075" s="605">
        <f t="shared" si="2851"/>
        <v>165000</v>
      </c>
      <c r="P4075" s="605">
        <f t="shared" si="2851"/>
        <v>181500.00000000003</v>
      </c>
      <c r="R4075" s="317"/>
      <c r="U4075" s="320"/>
    </row>
    <row r="4076" spans="1:21" s="344" customFormat="1" outlineLevel="3">
      <c r="A4076" s="326"/>
      <c r="B4076" s="326"/>
      <c r="C4076" s="405">
        <v>2220210</v>
      </c>
      <c r="D4076" s="345" t="s">
        <v>687</v>
      </c>
      <c r="E4076" s="1160">
        <v>150000</v>
      </c>
      <c r="F4076" s="406"/>
      <c r="G4076" s="406"/>
      <c r="H4076" s="406"/>
      <c r="I4076" s="324">
        <f t="shared" si="2841"/>
        <v>150000</v>
      </c>
      <c r="J4076" s="406"/>
      <c r="K4076" s="406"/>
      <c r="L4076" s="317">
        <f t="shared" si="2827"/>
        <v>150000</v>
      </c>
      <c r="M4076" s="317"/>
      <c r="N4076" s="372">
        <f t="shared" si="2832"/>
        <v>0</v>
      </c>
      <c r="O4076" s="336">
        <f>L4076*1.1</f>
        <v>165000</v>
      </c>
      <c r="P4076" s="1131">
        <f t="shared" ref="P4076:P4130" si="2852">O4076*1.1</f>
        <v>181500.00000000003</v>
      </c>
      <c r="R4076" s="317"/>
      <c r="U4076" s="320"/>
    </row>
    <row r="4077" spans="1:21" s="344" customFormat="1" outlineLevel="3">
      <c r="A4077" s="326"/>
      <c r="B4077" s="326"/>
      <c r="C4077" s="339" t="s">
        <v>249</v>
      </c>
      <c r="D4077" s="1006" t="s">
        <v>62</v>
      </c>
      <c r="E4077" s="1167">
        <f>E4078</f>
        <v>400000</v>
      </c>
      <c r="F4077" s="1167">
        <f t="shared" ref="F4077:P4077" si="2853">F4078</f>
        <v>0</v>
      </c>
      <c r="G4077" s="1167">
        <f t="shared" si="2853"/>
        <v>0</v>
      </c>
      <c r="H4077" s="1167">
        <f t="shared" si="2853"/>
        <v>0</v>
      </c>
      <c r="I4077" s="1167">
        <f t="shared" si="2853"/>
        <v>400000</v>
      </c>
      <c r="J4077" s="1167">
        <f t="shared" si="2853"/>
        <v>0</v>
      </c>
      <c r="K4077" s="1167">
        <f t="shared" si="2853"/>
        <v>0</v>
      </c>
      <c r="L4077" s="317">
        <f t="shared" si="2827"/>
        <v>400000</v>
      </c>
      <c r="M4077" s="317"/>
      <c r="N4077" s="372">
        <f t="shared" si="2832"/>
        <v>0</v>
      </c>
      <c r="O4077" s="1167">
        <f t="shared" si="2853"/>
        <v>440000.00000000006</v>
      </c>
      <c r="P4077" s="1167">
        <f t="shared" si="2853"/>
        <v>484000.00000000012</v>
      </c>
      <c r="R4077" s="317"/>
      <c r="U4077" s="320"/>
    </row>
    <row r="4078" spans="1:21" s="344" customFormat="1" outlineLevel="3">
      <c r="A4078" s="345"/>
      <c r="B4078" s="345"/>
      <c r="C4078" s="401">
        <v>2220101</v>
      </c>
      <c r="D4078" s="464" t="s">
        <v>366</v>
      </c>
      <c r="E4078" s="1160">
        <v>400000</v>
      </c>
      <c r="F4078" s="333"/>
      <c r="G4078" s="333"/>
      <c r="H4078" s="333"/>
      <c r="I4078" s="324">
        <f t="shared" si="2841"/>
        <v>400000</v>
      </c>
      <c r="J4078" s="333"/>
      <c r="K4078" s="333"/>
      <c r="L4078" s="317">
        <f t="shared" si="2827"/>
        <v>400000</v>
      </c>
      <c r="M4078" s="317"/>
      <c r="N4078" s="372">
        <f t="shared" si="2832"/>
        <v>0</v>
      </c>
      <c r="O4078" s="336">
        <f>L4078*1.1</f>
        <v>440000.00000000006</v>
      </c>
      <c r="P4078" s="1131">
        <f t="shared" si="2852"/>
        <v>484000.00000000012</v>
      </c>
      <c r="R4078" s="317"/>
      <c r="U4078" s="320"/>
    </row>
    <row r="4079" spans="1:21" s="344" customFormat="1" outlineLevel="2">
      <c r="A4079" s="345"/>
      <c r="B4079" s="345"/>
      <c r="C4079" s="405"/>
      <c r="D4079" s="1161" t="s">
        <v>128</v>
      </c>
      <c r="E4079" s="619">
        <f>E4059+E4061+E4077+E4063+E4067+E4071+E4069+E4073+E4075</f>
        <v>3649000</v>
      </c>
      <c r="F4079" s="619">
        <f t="shared" ref="F4079:P4079" si="2854">F4059+F4061+F4077+F4063+F4067+F4071+F4069+F4073+F4075</f>
        <v>0</v>
      </c>
      <c r="G4079" s="619">
        <f t="shared" si="2854"/>
        <v>0</v>
      </c>
      <c r="H4079" s="619">
        <f t="shared" si="2854"/>
        <v>0</v>
      </c>
      <c r="I4079" s="619">
        <f t="shared" si="2854"/>
        <v>3649000</v>
      </c>
      <c r="J4079" s="619">
        <f t="shared" si="2854"/>
        <v>0</v>
      </c>
      <c r="K4079" s="619">
        <f t="shared" si="2854"/>
        <v>350000</v>
      </c>
      <c r="L4079" s="317">
        <f t="shared" si="2827"/>
        <v>3999000</v>
      </c>
      <c r="M4079" s="317"/>
      <c r="N4079" s="372">
        <f t="shared" si="2832"/>
        <v>-350000</v>
      </c>
      <c r="O4079" s="619">
        <f t="shared" si="2854"/>
        <v>4398900</v>
      </c>
      <c r="P4079" s="619">
        <f t="shared" si="2854"/>
        <v>4838790.0000000009</v>
      </c>
      <c r="R4079" s="317"/>
      <c r="U4079" s="320"/>
    </row>
    <row r="4080" spans="1:21" s="325" customFormat="1" outlineLevel="2">
      <c r="A4080" s="345"/>
      <c r="B4080" s="345"/>
      <c r="C4080" s="405"/>
      <c r="D4080" s="313"/>
      <c r="E4080" s="619"/>
      <c r="F4080" s="514"/>
      <c r="G4080" s="514"/>
      <c r="H4080" s="514"/>
      <c r="I4080" s="324">
        <f t="shared" si="2841"/>
        <v>0</v>
      </c>
      <c r="J4080" s="514"/>
      <c r="K4080" s="514"/>
      <c r="L4080" s="317">
        <f t="shared" si="2827"/>
        <v>0</v>
      </c>
      <c r="M4080" s="317"/>
      <c r="N4080" s="372">
        <f t="shared" si="2832"/>
        <v>0</v>
      </c>
      <c r="O4080" s="336">
        <f>L4080*1.1</f>
        <v>0</v>
      </c>
      <c r="P4080" s="1131">
        <f t="shared" si="2852"/>
        <v>0</v>
      </c>
      <c r="R4080" s="317"/>
      <c r="U4080" s="320"/>
    </row>
    <row r="4081" spans="1:21" outlineLevel="2">
      <c r="A4081" s="345"/>
      <c r="B4081" s="345"/>
      <c r="C4081" s="405"/>
      <c r="D4081" s="447" t="s">
        <v>92</v>
      </c>
      <c r="E4081" s="619"/>
      <c r="F4081" s="438"/>
      <c r="G4081" s="438"/>
      <c r="H4081" s="438"/>
      <c r="I4081" s="324">
        <f t="shared" si="2841"/>
        <v>0</v>
      </c>
      <c r="J4081" s="438"/>
      <c r="K4081" s="438"/>
      <c r="L4081" s="317">
        <f t="shared" si="2827"/>
        <v>0</v>
      </c>
      <c r="M4081" s="317"/>
      <c r="N4081" s="372">
        <f t="shared" si="2832"/>
        <v>0</v>
      </c>
      <c r="O4081" s="336">
        <f>L4081*1.1</f>
        <v>0</v>
      </c>
      <c r="P4081" s="1131">
        <f t="shared" si="2852"/>
        <v>0</v>
      </c>
      <c r="R4081" s="317"/>
      <c r="U4081" s="320"/>
    </row>
    <row r="4082" spans="1:21" s="337" customFormat="1" outlineLevel="3">
      <c r="A4082" s="326"/>
      <c r="B4082" s="326"/>
      <c r="C4082" s="328">
        <v>3110200</v>
      </c>
      <c r="D4082" s="1168" t="s">
        <v>164</v>
      </c>
      <c r="E4082" s="605">
        <f>E4083+E4084</f>
        <v>3000000</v>
      </c>
      <c r="F4082" s="605">
        <f t="shared" ref="F4082:K4082" si="2855">F4083+F4084</f>
        <v>0</v>
      </c>
      <c r="G4082" s="605">
        <f t="shared" si="2855"/>
        <v>0</v>
      </c>
      <c r="H4082" s="605">
        <f t="shared" si="2855"/>
        <v>0</v>
      </c>
      <c r="I4082" s="605">
        <f t="shared" si="2855"/>
        <v>3000000</v>
      </c>
      <c r="J4082" s="605">
        <f t="shared" si="2855"/>
        <v>0</v>
      </c>
      <c r="K4082" s="605">
        <f t="shared" si="2855"/>
        <v>0</v>
      </c>
      <c r="L4082" s="317">
        <f t="shared" si="2827"/>
        <v>3000000</v>
      </c>
      <c r="M4082" s="317"/>
      <c r="N4082" s="372">
        <f t="shared" si="2832"/>
        <v>0</v>
      </c>
      <c r="O4082" s="605">
        <f t="shared" ref="O4082:P4082" si="2856">O4083+O4084</f>
        <v>3300000</v>
      </c>
      <c r="P4082" s="605">
        <f t="shared" si="2856"/>
        <v>3630000</v>
      </c>
      <c r="R4082" s="317"/>
      <c r="U4082" s="320"/>
    </row>
    <row r="4083" spans="1:21" s="337" customFormat="1" outlineLevel="3">
      <c r="A4083" s="326"/>
      <c r="B4083" s="326"/>
      <c r="C4083" s="332">
        <v>3110202</v>
      </c>
      <c r="D4083" s="330" t="s">
        <v>1371</v>
      </c>
      <c r="E4083" s="673">
        <v>2000000</v>
      </c>
      <c r="F4083" s="389"/>
      <c r="G4083" s="389"/>
      <c r="H4083" s="389"/>
      <c r="I4083" s="324">
        <f t="shared" si="2841"/>
        <v>2000000</v>
      </c>
      <c r="J4083" s="389"/>
      <c r="K4083" s="389"/>
      <c r="L4083" s="317">
        <f t="shared" si="2827"/>
        <v>2000000</v>
      </c>
      <c r="M4083" s="317"/>
      <c r="N4083" s="372">
        <f t="shared" si="2832"/>
        <v>0</v>
      </c>
      <c r="O4083" s="336">
        <f>L4083*1.1</f>
        <v>2200000</v>
      </c>
      <c r="P4083" s="1131">
        <f t="shared" si="2852"/>
        <v>2420000</v>
      </c>
      <c r="R4083" s="317"/>
      <c r="U4083" s="320"/>
    </row>
    <row r="4084" spans="1:21" outlineLevel="3">
      <c r="A4084" s="330"/>
      <c r="B4084" s="330"/>
      <c r="C4084" s="332">
        <v>3110299</v>
      </c>
      <c r="D4084" s="330" t="s">
        <v>1372</v>
      </c>
      <c r="E4084" s="673">
        <f>1800000-800000</f>
        <v>1000000</v>
      </c>
      <c r="F4084" s="389"/>
      <c r="G4084" s="389"/>
      <c r="H4084" s="389"/>
      <c r="I4084" s="324">
        <f t="shared" si="2841"/>
        <v>1000000</v>
      </c>
      <c r="J4084" s="389"/>
      <c r="K4084" s="389"/>
      <c r="L4084" s="317">
        <f t="shared" si="2827"/>
        <v>1000000</v>
      </c>
      <c r="M4084" s="317"/>
      <c r="N4084" s="372">
        <f t="shared" si="2832"/>
        <v>0</v>
      </c>
      <c r="O4084" s="336">
        <f>L4084*1.1</f>
        <v>1100000</v>
      </c>
      <c r="P4084" s="1131">
        <f t="shared" si="2852"/>
        <v>1210000</v>
      </c>
      <c r="R4084" s="317"/>
      <c r="U4084" s="320"/>
    </row>
    <row r="4085" spans="1:21" s="337" customFormat="1" outlineLevel="3">
      <c r="A4085" s="338"/>
      <c r="B4085" s="338"/>
      <c r="C4085" s="340">
        <v>3110500</v>
      </c>
      <c r="D4085" s="338" t="s">
        <v>79</v>
      </c>
      <c r="E4085" s="1164">
        <f>E4086</f>
        <v>0</v>
      </c>
      <c r="F4085" s="1164">
        <f t="shared" ref="F4085:K4085" si="2857">F4086</f>
        <v>5432596.5150885936</v>
      </c>
      <c r="G4085" s="1164">
        <f t="shared" si="2857"/>
        <v>0</v>
      </c>
      <c r="H4085" s="1164">
        <f t="shared" si="2857"/>
        <v>0</v>
      </c>
      <c r="I4085" s="1164">
        <f t="shared" si="2857"/>
        <v>5432596.5150885936</v>
      </c>
      <c r="J4085" s="1164">
        <f t="shared" si="2857"/>
        <v>0</v>
      </c>
      <c r="K4085" s="1164">
        <f t="shared" si="2857"/>
        <v>6992633.6299999999</v>
      </c>
      <c r="L4085" s="317">
        <f t="shared" si="2827"/>
        <v>12425230.145088594</v>
      </c>
      <c r="M4085" s="317"/>
      <c r="N4085" s="372">
        <f t="shared" si="2832"/>
        <v>-6992633.6299999999</v>
      </c>
      <c r="O4085" s="1164">
        <f t="shared" ref="O4085:P4085" si="2858">O4086</f>
        <v>13667753.159597455</v>
      </c>
      <c r="P4085" s="1164">
        <f t="shared" si="2858"/>
        <v>15034528.475557201</v>
      </c>
      <c r="R4085" s="317"/>
      <c r="U4085" s="320"/>
    </row>
    <row r="4086" spans="1:21" outlineLevel="3">
      <c r="A4086" s="330"/>
      <c r="B4086" s="330"/>
      <c r="C4086" s="332">
        <v>3110504</v>
      </c>
      <c r="D4086" s="330" t="s">
        <v>2499</v>
      </c>
      <c r="E4086" s="673"/>
      <c r="F4086" s="673">
        <v>5432596.5150885936</v>
      </c>
      <c r="G4086" s="389"/>
      <c r="H4086" s="389"/>
      <c r="I4086" s="324">
        <f t="shared" si="2841"/>
        <v>5432596.5150885936</v>
      </c>
      <c r="J4086" s="389"/>
      <c r="K4086" s="389">
        <v>6992633.6299999999</v>
      </c>
      <c r="L4086" s="317">
        <f t="shared" si="2827"/>
        <v>12425230.145088594</v>
      </c>
      <c r="M4086" s="317"/>
      <c r="N4086" s="372">
        <f t="shared" si="2832"/>
        <v>-6992633.6299999999</v>
      </c>
      <c r="O4086" s="336">
        <f>L4086*1.1</f>
        <v>13667753.159597455</v>
      </c>
      <c r="P4086" s="1131">
        <f t="shared" si="2852"/>
        <v>15034528.475557201</v>
      </c>
      <c r="Q4086" s="303" t="s">
        <v>2499</v>
      </c>
      <c r="R4086" s="317"/>
      <c r="U4086" s="320"/>
    </row>
    <row r="4087" spans="1:21" s="344" customFormat="1" outlineLevel="2">
      <c r="A4087" s="345"/>
      <c r="B4087" s="345"/>
      <c r="C4087" s="405"/>
      <c r="D4087" s="1161" t="s">
        <v>261</v>
      </c>
      <c r="E4087" s="619">
        <f>E4082+E4085</f>
        <v>3000000</v>
      </c>
      <c r="F4087" s="619">
        <f t="shared" ref="F4087:P4087" si="2859">F4082+F4085</f>
        <v>5432596.5150885936</v>
      </c>
      <c r="G4087" s="619">
        <f t="shared" si="2859"/>
        <v>0</v>
      </c>
      <c r="H4087" s="619">
        <f t="shared" si="2859"/>
        <v>0</v>
      </c>
      <c r="I4087" s="619">
        <f t="shared" si="2859"/>
        <v>8432596.5150885936</v>
      </c>
      <c r="J4087" s="619">
        <f t="shared" si="2859"/>
        <v>0</v>
      </c>
      <c r="K4087" s="619">
        <f t="shared" si="2859"/>
        <v>6992633.6299999999</v>
      </c>
      <c r="L4087" s="317">
        <f t="shared" si="2827"/>
        <v>15425230.145088594</v>
      </c>
      <c r="M4087" s="317"/>
      <c r="N4087" s="372">
        <f t="shared" si="2832"/>
        <v>-6992633.6299999999</v>
      </c>
      <c r="O4087" s="619">
        <f t="shared" si="2859"/>
        <v>16967753.159597456</v>
      </c>
      <c r="P4087" s="619">
        <f t="shared" si="2859"/>
        <v>18664528.475557201</v>
      </c>
      <c r="R4087" s="317"/>
      <c r="U4087" s="320"/>
    </row>
    <row r="4088" spans="1:21" s="344" customFormat="1" outlineLevel="1">
      <c r="A4088" s="345"/>
      <c r="B4088" s="345"/>
      <c r="C4088" s="405"/>
      <c r="D4088" s="447" t="s">
        <v>690</v>
      </c>
      <c r="E4088" s="619">
        <f>E4079+E4087</f>
        <v>6649000</v>
      </c>
      <c r="F4088" s="619">
        <f t="shared" ref="F4088:K4088" si="2860">F4079+F4087</f>
        <v>5432596.5150885936</v>
      </c>
      <c r="G4088" s="619">
        <f t="shared" si="2860"/>
        <v>0</v>
      </c>
      <c r="H4088" s="619">
        <f t="shared" si="2860"/>
        <v>0</v>
      </c>
      <c r="I4088" s="619">
        <f t="shared" si="2860"/>
        <v>12081596.515088594</v>
      </c>
      <c r="J4088" s="619">
        <f t="shared" si="2860"/>
        <v>0</v>
      </c>
      <c r="K4088" s="619">
        <f t="shared" si="2860"/>
        <v>7342633.6299999999</v>
      </c>
      <c r="L4088" s="317">
        <f t="shared" si="2827"/>
        <v>19424230.145088594</v>
      </c>
      <c r="M4088" s="317"/>
      <c r="N4088" s="372">
        <f t="shared" si="2832"/>
        <v>-7342633.6299999999</v>
      </c>
      <c r="O4088" s="619">
        <f t="shared" ref="O4088:P4088" si="2861">O4079+O4087</f>
        <v>21366653.159597456</v>
      </c>
      <c r="P4088" s="619">
        <f t="shared" si="2861"/>
        <v>23503318.475557201</v>
      </c>
      <c r="R4088" s="317"/>
      <c r="U4088" s="320"/>
    </row>
    <row r="4089" spans="1:21" s="344" customFormat="1" outlineLevel="1">
      <c r="A4089" s="345"/>
      <c r="B4089" s="345"/>
      <c r="C4089" s="405"/>
      <c r="D4089" s="313"/>
      <c r="E4089" s="619"/>
      <c r="F4089" s="514"/>
      <c r="G4089" s="514"/>
      <c r="H4089" s="514"/>
      <c r="I4089" s="324">
        <f t="shared" si="2841"/>
        <v>0</v>
      </c>
      <c r="J4089" s="514"/>
      <c r="K4089" s="514"/>
      <c r="L4089" s="317">
        <f t="shared" si="2827"/>
        <v>0</v>
      </c>
      <c r="M4089" s="317"/>
      <c r="N4089" s="372">
        <f t="shared" si="2832"/>
        <v>0</v>
      </c>
      <c r="O4089" s="336">
        <f>L4089*1.1</f>
        <v>0</v>
      </c>
      <c r="P4089" s="1131">
        <f t="shared" si="2852"/>
        <v>0</v>
      </c>
      <c r="R4089" s="317"/>
      <c r="U4089" s="320"/>
    </row>
    <row r="4090" spans="1:21" s="344" customFormat="1" outlineLevel="1">
      <c r="A4090" s="473" t="s">
        <v>455</v>
      </c>
      <c r="B4090" s="473" t="s">
        <v>146</v>
      </c>
      <c r="C4090" s="405"/>
      <c r="D4090" s="447" t="s">
        <v>707</v>
      </c>
      <c r="E4090" s="662"/>
      <c r="F4090" s="438"/>
      <c r="G4090" s="438"/>
      <c r="H4090" s="438"/>
      <c r="I4090" s="324">
        <f t="shared" si="2841"/>
        <v>0</v>
      </c>
      <c r="J4090" s="438"/>
      <c r="K4090" s="438"/>
      <c r="L4090" s="317">
        <f t="shared" si="2827"/>
        <v>0</v>
      </c>
      <c r="M4090" s="317"/>
      <c r="N4090" s="372">
        <f t="shared" si="2832"/>
        <v>0</v>
      </c>
      <c r="O4090" s="336">
        <f>L4090*1.1</f>
        <v>0</v>
      </c>
      <c r="P4090" s="1131">
        <f t="shared" si="2852"/>
        <v>0</v>
      </c>
      <c r="R4090" s="317"/>
      <c r="U4090" s="320"/>
    </row>
    <row r="4091" spans="1:21" outlineLevel="1">
      <c r="A4091" s="345"/>
      <c r="B4091" s="345"/>
      <c r="C4091" s="405"/>
      <c r="D4091" s="447" t="s">
        <v>708</v>
      </c>
      <c r="E4091" s="662"/>
      <c r="F4091" s="438"/>
      <c r="G4091" s="438"/>
      <c r="H4091" s="438"/>
      <c r="I4091" s="324">
        <f t="shared" si="2841"/>
        <v>0</v>
      </c>
      <c r="J4091" s="438"/>
      <c r="K4091" s="438"/>
      <c r="L4091" s="317">
        <f t="shared" si="2827"/>
        <v>0</v>
      </c>
      <c r="M4091" s="317"/>
      <c r="N4091" s="372">
        <f t="shared" si="2832"/>
        <v>0</v>
      </c>
      <c r="O4091" s="336">
        <f>L4091*1.1</f>
        <v>0</v>
      </c>
      <c r="P4091" s="1131">
        <f t="shared" si="2852"/>
        <v>0</v>
      </c>
      <c r="R4091" s="317"/>
      <c r="U4091" s="320"/>
    </row>
    <row r="4092" spans="1:21" s="344" customFormat="1" outlineLevel="3">
      <c r="A4092" s="345"/>
      <c r="B4092" s="345"/>
      <c r="C4092" s="770">
        <v>2110200</v>
      </c>
      <c r="D4092" s="636" t="s">
        <v>148</v>
      </c>
      <c r="E4092" s="605">
        <f>E4093</f>
        <v>10000000</v>
      </c>
      <c r="F4092" s="605">
        <f t="shared" ref="F4092:P4092" si="2862">F4093</f>
        <v>0</v>
      </c>
      <c r="G4092" s="605">
        <f t="shared" si="2862"/>
        <v>0</v>
      </c>
      <c r="H4092" s="605">
        <f t="shared" si="2862"/>
        <v>0</v>
      </c>
      <c r="I4092" s="605">
        <f t="shared" si="2862"/>
        <v>10000000</v>
      </c>
      <c r="J4092" s="605">
        <f t="shared" si="2862"/>
        <v>0</v>
      </c>
      <c r="K4092" s="605">
        <f t="shared" si="2862"/>
        <v>0</v>
      </c>
      <c r="L4092" s="317">
        <f t="shared" si="2827"/>
        <v>10000000</v>
      </c>
      <c r="M4092" s="317"/>
      <c r="N4092" s="372">
        <f t="shared" si="2832"/>
        <v>0</v>
      </c>
      <c r="O4092" s="605">
        <f t="shared" si="2862"/>
        <v>11000000</v>
      </c>
      <c r="P4092" s="605">
        <f t="shared" si="2862"/>
        <v>12100000.000000002</v>
      </c>
      <c r="R4092" s="317"/>
      <c r="U4092" s="320"/>
    </row>
    <row r="4093" spans="1:21" s="344" customFormat="1" outlineLevel="3">
      <c r="A4093" s="330"/>
      <c r="B4093" s="330"/>
      <c r="C4093" s="332">
        <v>2110202</v>
      </c>
      <c r="D4093" s="330" t="s">
        <v>682</v>
      </c>
      <c r="E4093" s="673">
        <v>10000000</v>
      </c>
      <c r="F4093" s="389"/>
      <c r="G4093" s="389"/>
      <c r="H4093" s="389"/>
      <c r="I4093" s="324">
        <f t="shared" si="2841"/>
        <v>10000000</v>
      </c>
      <c r="J4093" s="389"/>
      <c r="K4093" s="389"/>
      <c r="L4093" s="317">
        <f t="shared" si="2827"/>
        <v>10000000</v>
      </c>
      <c r="M4093" s="317"/>
      <c r="N4093" s="372">
        <f t="shared" si="2832"/>
        <v>0</v>
      </c>
      <c r="O4093" s="336">
        <f>L4093*1.1</f>
        <v>11000000</v>
      </c>
      <c r="P4093" s="1131">
        <f t="shared" si="2852"/>
        <v>12100000.000000002</v>
      </c>
      <c r="R4093" s="317"/>
      <c r="U4093" s="320"/>
    </row>
    <row r="4094" spans="1:21" s="344" customFormat="1" outlineLevel="3">
      <c r="A4094" s="345"/>
      <c r="B4094" s="345"/>
      <c r="C4094" s="770">
        <v>2210200</v>
      </c>
      <c r="D4094" s="636" t="s">
        <v>20</v>
      </c>
      <c r="E4094" s="605">
        <f>E4095</f>
        <v>90000</v>
      </c>
      <c r="F4094" s="605">
        <f t="shared" ref="F4094:K4094" si="2863">F4095</f>
        <v>0</v>
      </c>
      <c r="G4094" s="605">
        <f t="shared" si="2863"/>
        <v>0</v>
      </c>
      <c r="H4094" s="605">
        <f t="shared" si="2863"/>
        <v>0</v>
      </c>
      <c r="I4094" s="605">
        <f t="shared" si="2863"/>
        <v>90000</v>
      </c>
      <c r="J4094" s="605">
        <f t="shared" si="2863"/>
        <v>0</v>
      </c>
      <c r="K4094" s="605">
        <f t="shared" si="2863"/>
        <v>0</v>
      </c>
      <c r="L4094" s="317">
        <f t="shared" si="2827"/>
        <v>90000</v>
      </c>
      <c r="M4094" s="317"/>
      <c r="N4094" s="372">
        <f t="shared" si="2832"/>
        <v>0</v>
      </c>
      <c r="O4094" s="605">
        <f t="shared" ref="O4094:P4094" si="2864">O4095</f>
        <v>99000.000000000015</v>
      </c>
      <c r="P4094" s="605">
        <f t="shared" si="2864"/>
        <v>108900.00000000003</v>
      </c>
      <c r="R4094" s="317"/>
      <c r="U4094" s="320"/>
    </row>
    <row r="4095" spans="1:21" s="344" customFormat="1" outlineLevel="3">
      <c r="A4095" s="345"/>
      <c r="B4095" s="345"/>
      <c r="C4095" s="405">
        <v>2210201</v>
      </c>
      <c r="D4095" s="345" t="s">
        <v>113</v>
      </c>
      <c r="E4095" s="1160">
        <v>90000</v>
      </c>
      <c r="F4095" s="406"/>
      <c r="G4095" s="406"/>
      <c r="H4095" s="406"/>
      <c r="I4095" s="324">
        <f t="shared" si="2841"/>
        <v>90000</v>
      </c>
      <c r="J4095" s="406"/>
      <c r="K4095" s="406"/>
      <c r="L4095" s="317">
        <f t="shared" si="2827"/>
        <v>90000</v>
      </c>
      <c r="M4095" s="317"/>
      <c r="N4095" s="372">
        <f t="shared" si="2832"/>
        <v>0</v>
      </c>
      <c r="O4095" s="336">
        <f>L4095*1.1</f>
        <v>99000.000000000015</v>
      </c>
      <c r="P4095" s="1131">
        <f t="shared" si="2852"/>
        <v>108900.00000000003</v>
      </c>
      <c r="R4095" s="317"/>
      <c r="U4095" s="320"/>
    </row>
    <row r="4096" spans="1:21" s="344" customFormat="1" outlineLevel="3">
      <c r="A4096" s="345"/>
      <c r="B4096" s="345"/>
      <c r="C4096" s="770">
        <v>2210300</v>
      </c>
      <c r="D4096" s="636" t="s">
        <v>24</v>
      </c>
      <c r="E4096" s="605">
        <f>E4097+E4098+E4099</f>
        <v>1118000</v>
      </c>
      <c r="F4096" s="605">
        <f t="shared" ref="F4096:K4096" si="2865">F4097+F4098+F4099</f>
        <v>0</v>
      </c>
      <c r="G4096" s="605">
        <f t="shared" si="2865"/>
        <v>0</v>
      </c>
      <c r="H4096" s="605">
        <f t="shared" si="2865"/>
        <v>0</v>
      </c>
      <c r="I4096" s="605">
        <f t="shared" si="2865"/>
        <v>1118000</v>
      </c>
      <c r="J4096" s="605">
        <f t="shared" si="2865"/>
        <v>0</v>
      </c>
      <c r="K4096" s="605">
        <f t="shared" si="2865"/>
        <v>0</v>
      </c>
      <c r="L4096" s="317">
        <f t="shared" si="2827"/>
        <v>1118000</v>
      </c>
      <c r="M4096" s="317"/>
      <c r="N4096" s="372">
        <f t="shared" si="2832"/>
        <v>0</v>
      </c>
      <c r="O4096" s="605">
        <f t="shared" ref="O4096:P4096" si="2866">O4097+O4098+O4099</f>
        <v>1229800</v>
      </c>
      <c r="P4096" s="605">
        <f t="shared" si="2866"/>
        <v>1352780</v>
      </c>
      <c r="R4096" s="317"/>
      <c r="U4096" s="320"/>
    </row>
    <row r="4097" spans="1:21" s="344" customFormat="1" outlineLevel="3">
      <c r="A4097" s="345"/>
      <c r="B4097" s="345"/>
      <c r="C4097" s="405">
        <v>2210301</v>
      </c>
      <c r="D4097" s="345" t="s">
        <v>25</v>
      </c>
      <c r="E4097" s="1160">
        <v>348000</v>
      </c>
      <c r="F4097" s="406"/>
      <c r="G4097" s="406"/>
      <c r="H4097" s="406"/>
      <c r="I4097" s="324">
        <f t="shared" si="2841"/>
        <v>348000</v>
      </c>
      <c r="J4097" s="406"/>
      <c r="K4097" s="406"/>
      <c r="L4097" s="317">
        <f t="shared" si="2827"/>
        <v>348000</v>
      </c>
      <c r="M4097" s="317"/>
      <c r="N4097" s="372">
        <f t="shared" si="2832"/>
        <v>0</v>
      </c>
      <c r="O4097" s="336">
        <f>L4097*1.1</f>
        <v>382800.00000000006</v>
      </c>
      <c r="P4097" s="1131">
        <f t="shared" si="2852"/>
        <v>421080.00000000012</v>
      </c>
      <c r="R4097" s="317"/>
      <c r="U4097" s="320"/>
    </row>
    <row r="4098" spans="1:21" s="344" customFormat="1" outlineLevel="3">
      <c r="A4098" s="345"/>
      <c r="B4098" s="345"/>
      <c r="C4098" s="405">
        <v>2210302</v>
      </c>
      <c r="D4098" s="345" t="s">
        <v>26</v>
      </c>
      <c r="E4098" s="1160">
        <v>290000</v>
      </c>
      <c r="F4098" s="406"/>
      <c r="G4098" s="406"/>
      <c r="H4098" s="406"/>
      <c r="I4098" s="324">
        <f t="shared" si="2841"/>
        <v>290000</v>
      </c>
      <c r="J4098" s="406"/>
      <c r="K4098" s="406"/>
      <c r="L4098" s="317">
        <f t="shared" si="2827"/>
        <v>290000</v>
      </c>
      <c r="M4098" s="317"/>
      <c r="N4098" s="372">
        <f t="shared" si="2832"/>
        <v>0</v>
      </c>
      <c r="O4098" s="336">
        <f>L4098*1.1</f>
        <v>319000</v>
      </c>
      <c r="P4098" s="1131">
        <f t="shared" si="2852"/>
        <v>350900</v>
      </c>
      <c r="R4098" s="317"/>
      <c r="U4098" s="320"/>
    </row>
    <row r="4099" spans="1:21" s="344" customFormat="1" outlineLevel="3">
      <c r="A4099" s="345"/>
      <c r="B4099" s="345"/>
      <c r="C4099" s="405">
        <v>2210303</v>
      </c>
      <c r="D4099" s="345" t="s">
        <v>709</v>
      </c>
      <c r="E4099" s="1160">
        <v>480000</v>
      </c>
      <c r="F4099" s="406"/>
      <c r="G4099" s="406"/>
      <c r="H4099" s="406"/>
      <c r="I4099" s="324">
        <f t="shared" si="2841"/>
        <v>480000</v>
      </c>
      <c r="J4099" s="406"/>
      <c r="K4099" s="406"/>
      <c r="L4099" s="317">
        <f t="shared" si="2827"/>
        <v>480000</v>
      </c>
      <c r="M4099" s="317"/>
      <c r="N4099" s="372">
        <f t="shared" si="2832"/>
        <v>0</v>
      </c>
      <c r="O4099" s="336">
        <f>L4099*1.1</f>
        <v>528000</v>
      </c>
      <c r="P4099" s="1131">
        <f t="shared" si="2852"/>
        <v>580800</v>
      </c>
      <c r="R4099" s="317"/>
      <c r="U4099" s="320"/>
    </row>
    <row r="4100" spans="1:21" s="344" customFormat="1" outlineLevel="3">
      <c r="A4100" s="345"/>
      <c r="B4100" s="345"/>
      <c r="C4100" s="770">
        <v>2210700</v>
      </c>
      <c r="D4100" s="636" t="s">
        <v>35</v>
      </c>
      <c r="E4100" s="605">
        <f>E4101</f>
        <v>100000</v>
      </c>
      <c r="F4100" s="605">
        <f t="shared" ref="F4100:K4100" si="2867">F4101</f>
        <v>0</v>
      </c>
      <c r="G4100" s="605">
        <f t="shared" si="2867"/>
        <v>0</v>
      </c>
      <c r="H4100" s="605">
        <f t="shared" si="2867"/>
        <v>0</v>
      </c>
      <c r="I4100" s="605">
        <f t="shared" si="2867"/>
        <v>100000</v>
      </c>
      <c r="J4100" s="605">
        <f t="shared" si="2867"/>
        <v>0</v>
      </c>
      <c r="K4100" s="605">
        <f t="shared" si="2867"/>
        <v>0</v>
      </c>
      <c r="L4100" s="317">
        <f t="shared" si="2827"/>
        <v>100000</v>
      </c>
      <c r="M4100" s="317"/>
      <c r="N4100" s="372">
        <f t="shared" si="2832"/>
        <v>0</v>
      </c>
      <c r="O4100" s="605">
        <f t="shared" ref="O4100:P4100" si="2868">O4101</f>
        <v>110000.00000000001</v>
      </c>
      <c r="P4100" s="605">
        <f t="shared" si="2868"/>
        <v>121000.00000000003</v>
      </c>
      <c r="R4100" s="317"/>
      <c r="U4100" s="320"/>
    </row>
    <row r="4101" spans="1:21" s="344" customFormat="1" outlineLevel="3">
      <c r="A4101" s="345"/>
      <c r="B4101" s="345"/>
      <c r="C4101" s="405">
        <v>2210799</v>
      </c>
      <c r="D4101" s="345" t="s">
        <v>710</v>
      </c>
      <c r="E4101" s="1160">
        <v>100000</v>
      </c>
      <c r="F4101" s="406"/>
      <c r="G4101" s="406"/>
      <c r="H4101" s="406"/>
      <c r="I4101" s="324">
        <f t="shared" si="2841"/>
        <v>100000</v>
      </c>
      <c r="J4101" s="406"/>
      <c r="K4101" s="406"/>
      <c r="L4101" s="317">
        <f t="shared" ref="L4101:L4164" si="2869">I4101+J4101+K4101</f>
        <v>100000</v>
      </c>
      <c r="M4101" s="317"/>
      <c r="N4101" s="372">
        <f t="shared" si="2832"/>
        <v>0</v>
      </c>
      <c r="O4101" s="336">
        <f>L4101*1.1</f>
        <v>110000.00000000001</v>
      </c>
      <c r="P4101" s="1131">
        <f t="shared" si="2852"/>
        <v>121000.00000000003</v>
      </c>
      <c r="R4101" s="317"/>
      <c r="U4101" s="320"/>
    </row>
    <row r="4102" spans="1:21" s="344" customFormat="1" outlineLevel="3">
      <c r="A4102" s="345"/>
      <c r="B4102" s="345"/>
      <c r="C4102" s="770">
        <v>2211000</v>
      </c>
      <c r="D4102" s="362" t="s">
        <v>118</v>
      </c>
      <c r="E4102" s="605">
        <f>E4103+E4104</f>
        <v>1050000</v>
      </c>
      <c r="F4102" s="605">
        <f t="shared" ref="F4102:K4102" si="2870">F4103+F4104</f>
        <v>0</v>
      </c>
      <c r="G4102" s="605">
        <f t="shared" si="2870"/>
        <v>0</v>
      </c>
      <c r="H4102" s="605">
        <f t="shared" si="2870"/>
        <v>0</v>
      </c>
      <c r="I4102" s="605">
        <f t="shared" si="2870"/>
        <v>1050000</v>
      </c>
      <c r="J4102" s="605">
        <f t="shared" si="2870"/>
        <v>0</v>
      </c>
      <c r="K4102" s="605">
        <f t="shared" si="2870"/>
        <v>1742400</v>
      </c>
      <c r="L4102" s="317">
        <f t="shared" si="2869"/>
        <v>2792400</v>
      </c>
      <c r="M4102" s="317"/>
      <c r="N4102" s="372">
        <f t="shared" si="2832"/>
        <v>-1742400</v>
      </c>
      <c r="O4102" s="605">
        <f t="shared" ref="O4102:P4102" si="2871">O4103+O4104</f>
        <v>3071640</v>
      </c>
      <c r="P4102" s="605">
        <f t="shared" si="2871"/>
        <v>3378804.0000000005</v>
      </c>
      <c r="R4102" s="317"/>
      <c r="U4102" s="320"/>
    </row>
    <row r="4103" spans="1:21" outlineLevel="3">
      <c r="A4103" s="345"/>
      <c r="B4103" s="345"/>
      <c r="C4103" s="405">
        <v>2211016</v>
      </c>
      <c r="D4103" s="345" t="s">
        <v>2500</v>
      </c>
      <c r="E4103" s="1160">
        <v>600000</v>
      </c>
      <c r="F4103" s="406"/>
      <c r="G4103" s="406"/>
      <c r="H4103" s="406"/>
      <c r="I4103" s="324">
        <f t="shared" si="2841"/>
        <v>600000</v>
      </c>
      <c r="J4103" s="406"/>
      <c r="K4103" s="389">
        <v>442400</v>
      </c>
      <c r="L4103" s="317">
        <f t="shared" si="2869"/>
        <v>1042400</v>
      </c>
      <c r="M4103" s="317"/>
      <c r="N4103" s="372">
        <f t="shared" si="2832"/>
        <v>-442400</v>
      </c>
      <c r="O4103" s="336">
        <f>L4103*1.1</f>
        <v>1146640</v>
      </c>
      <c r="P4103" s="1131">
        <f t="shared" si="2852"/>
        <v>1261304</v>
      </c>
      <c r="Q4103" s="303" t="s">
        <v>2501</v>
      </c>
      <c r="R4103" s="317"/>
      <c r="U4103" s="320"/>
    </row>
    <row r="4104" spans="1:21" s="344" customFormat="1" outlineLevel="3">
      <c r="A4104" s="345"/>
      <c r="B4104" s="345"/>
      <c r="C4104" s="332">
        <v>2211029</v>
      </c>
      <c r="D4104" s="330" t="s">
        <v>711</v>
      </c>
      <c r="E4104" s="673">
        <v>450000</v>
      </c>
      <c r="F4104" s="389"/>
      <c r="G4104" s="389"/>
      <c r="H4104" s="389"/>
      <c r="I4104" s="324">
        <f t="shared" si="2841"/>
        <v>450000</v>
      </c>
      <c r="J4104" s="389"/>
      <c r="K4104" s="389">
        <v>1300000</v>
      </c>
      <c r="L4104" s="317">
        <f t="shared" si="2869"/>
        <v>1750000</v>
      </c>
      <c r="M4104" s="317"/>
      <c r="N4104" s="372">
        <f t="shared" si="2832"/>
        <v>-1300000</v>
      </c>
      <c r="O4104" s="336">
        <f>L4104*1.1</f>
        <v>1925000.0000000002</v>
      </c>
      <c r="P4104" s="1131">
        <f t="shared" si="2852"/>
        <v>2117500.0000000005</v>
      </c>
      <c r="R4104" s="317"/>
      <c r="U4104" s="320"/>
    </row>
    <row r="4105" spans="1:21" s="344" customFormat="1" outlineLevel="3">
      <c r="A4105" s="345"/>
      <c r="B4105" s="345"/>
      <c r="C4105" s="770">
        <v>2211100</v>
      </c>
      <c r="D4105" s="636" t="s">
        <v>51</v>
      </c>
      <c r="E4105" s="605">
        <f>E4106</f>
        <v>400000</v>
      </c>
      <c r="F4105" s="605">
        <f t="shared" ref="F4105:K4105" si="2872">F4106</f>
        <v>0</v>
      </c>
      <c r="G4105" s="605">
        <f t="shared" si="2872"/>
        <v>0</v>
      </c>
      <c r="H4105" s="605">
        <f t="shared" si="2872"/>
        <v>0</v>
      </c>
      <c r="I4105" s="605">
        <f t="shared" si="2872"/>
        <v>400000</v>
      </c>
      <c r="J4105" s="605">
        <f t="shared" si="2872"/>
        <v>0</v>
      </c>
      <c r="K4105" s="605">
        <f t="shared" si="2872"/>
        <v>0</v>
      </c>
      <c r="L4105" s="317">
        <f t="shared" si="2869"/>
        <v>400000</v>
      </c>
      <c r="M4105" s="317"/>
      <c r="N4105" s="372">
        <f t="shared" ref="N4105:N4168" si="2873">M4105-K4105</f>
        <v>0</v>
      </c>
      <c r="O4105" s="605">
        <f t="shared" ref="O4105:P4105" si="2874">O4106</f>
        <v>440000.00000000006</v>
      </c>
      <c r="P4105" s="605">
        <f t="shared" si="2874"/>
        <v>484000.00000000012</v>
      </c>
      <c r="R4105" s="317"/>
      <c r="U4105" s="320"/>
    </row>
    <row r="4106" spans="1:21" s="344" customFormat="1" outlineLevel="3">
      <c r="A4106" s="345"/>
      <c r="B4106" s="345"/>
      <c r="C4106" s="405">
        <v>2211103</v>
      </c>
      <c r="D4106" s="345" t="s">
        <v>712</v>
      </c>
      <c r="E4106" s="1160">
        <v>400000</v>
      </c>
      <c r="F4106" s="406"/>
      <c r="G4106" s="406"/>
      <c r="H4106" s="406"/>
      <c r="I4106" s="324">
        <f t="shared" si="2841"/>
        <v>400000</v>
      </c>
      <c r="J4106" s="406"/>
      <c r="K4106" s="406"/>
      <c r="L4106" s="317">
        <f t="shared" si="2869"/>
        <v>400000</v>
      </c>
      <c r="M4106" s="317"/>
      <c r="N4106" s="372">
        <f t="shared" si="2873"/>
        <v>0</v>
      </c>
      <c r="O4106" s="336">
        <f>L4106*1.1</f>
        <v>440000.00000000006</v>
      </c>
      <c r="P4106" s="1131">
        <f t="shared" si="2852"/>
        <v>484000.00000000012</v>
      </c>
      <c r="R4106" s="317"/>
      <c r="U4106" s="320"/>
    </row>
    <row r="4107" spans="1:21" s="344" customFormat="1" outlineLevel="3">
      <c r="A4107" s="345"/>
      <c r="B4107" s="345"/>
      <c r="C4107" s="770">
        <v>2211200</v>
      </c>
      <c r="D4107" s="636" t="s">
        <v>55</v>
      </c>
      <c r="E4107" s="605">
        <f>E4108</f>
        <v>1200000</v>
      </c>
      <c r="F4107" s="605">
        <f t="shared" ref="F4107:P4107" si="2875">F4108</f>
        <v>0</v>
      </c>
      <c r="G4107" s="605">
        <f t="shared" si="2875"/>
        <v>0</v>
      </c>
      <c r="H4107" s="605">
        <f t="shared" si="2875"/>
        <v>0</v>
      </c>
      <c r="I4107" s="605">
        <f t="shared" si="2875"/>
        <v>1200000</v>
      </c>
      <c r="J4107" s="605">
        <f t="shared" si="2875"/>
        <v>0</v>
      </c>
      <c r="K4107" s="605">
        <f t="shared" si="2875"/>
        <v>1000000</v>
      </c>
      <c r="L4107" s="317">
        <f t="shared" si="2869"/>
        <v>2200000</v>
      </c>
      <c r="M4107" s="317"/>
      <c r="N4107" s="372">
        <f t="shared" si="2873"/>
        <v>-1000000</v>
      </c>
      <c r="O4107" s="605">
        <f t="shared" si="2875"/>
        <v>2420000</v>
      </c>
      <c r="P4107" s="605">
        <f t="shared" si="2875"/>
        <v>2662000</v>
      </c>
      <c r="R4107" s="317"/>
      <c r="U4107" s="320"/>
    </row>
    <row r="4108" spans="1:21" outlineLevel="3">
      <c r="A4108" s="345"/>
      <c r="B4108" s="345"/>
      <c r="C4108" s="405">
        <v>2211201</v>
      </c>
      <c r="D4108" s="345" t="s">
        <v>1353</v>
      </c>
      <c r="E4108" s="1160">
        <v>1200000</v>
      </c>
      <c r="F4108" s="406"/>
      <c r="G4108" s="406"/>
      <c r="H4108" s="406"/>
      <c r="I4108" s="324">
        <f t="shared" si="2841"/>
        <v>1200000</v>
      </c>
      <c r="J4108" s="406"/>
      <c r="K4108" s="389">
        <v>1000000</v>
      </c>
      <c r="L4108" s="317">
        <f t="shared" si="2869"/>
        <v>2200000</v>
      </c>
      <c r="M4108" s="317"/>
      <c r="N4108" s="372">
        <f t="shared" si="2873"/>
        <v>-1000000</v>
      </c>
      <c r="O4108" s="336">
        <f>L4108*1.1</f>
        <v>2420000</v>
      </c>
      <c r="P4108" s="1131">
        <f t="shared" si="2852"/>
        <v>2662000</v>
      </c>
      <c r="Q4108" s="303" t="s">
        <v>2502</v>
      </c>
      <c r="R4108" s="317"/>
      <c r="U4108" s="320"/>
    </row>
    <row r="4109" spans="1:21" s="344" customFormat="1" outlineLevel="3">
      <c r="A4109" s="345"/>
      <c r="B4109" s="345"/>
      <c r="C4109" s="339" t="s">
        <v>249</v>
      </c>
      <c r="D4109" s="1006" t="s">
        <v>62</v>
      </c>
      <c r="E4109" s="605">
        <f>E4110+E4111</f>
        <v>900000</v>
      </c>
      <c r="F4109" s="605">
        <f t="shared" ref="F4109:P4109" si="2876">F4110+F4111</f>
        <v>0</v>
      </c>
      <c r="G4109" s="605">
        <f t="shared" si="2876"/>
        <v>0</v>
      </c>
      <c r="H4109" s="605">
        <f t="shared" si="2876"/>
        <v>0</v>
      </c>
      <c r="I4109" s="605">
        <f t="shared" si="2876"/>
        <v>900000</v>
      </c>
      <c r="J4109" s="605">
        <f t="shared" si="2876"/>
        <v>0</v>
      </c>
      <c r="K4109" s="605">
        <f t="shared" si="2876"/>
        <v>3124846</v>
      </c>
      <c r="L4109" s="317">
        <f t="shared" si="2869"/>
        <v>4024846</v>
      </c>
      <c r="M4109" s="317"/>
      <c r="N4109" s="372">
        <f t="shared" si="2873"/>
        <v>-3124846</v>
      </c>
      <c r="O4109" s="605">
        <f t="shared" si="2876"/>
        <v>4427330.6000000006</v>
      </c>
      <c r="P4109" s="605">
        <f t="shared" si="2876"/>
        <v>4870063.66</v>
      </c>
      <c r="R4109" s="317"/>
      <c r="U4109" s="320"/>
    </row>
    <row r="4110" spans="1:21" s="344" customFormat="1" outlineLevel="3">
      <c r="A4110" s="330"/>
      <c r="B4110" s="330"/>
      <c r="C4110" s="401">
        <v>2220101</v>
      </c>
      <c r="D4110" s="464" t="s">
        <v>1374</v>
      </c>
      <c r="E4110" s="673">
        <v>400000</v>
      </c>
      <c r="F4110" s="333"/>
      <c r="G4110" s="333"/>
      <c r="H4110" s="333"/>
      <c r="I4110" s="324">
        <f t="shared" si="2841"/>
        <v>400000</v>
      </c>
      <c r="J4110" s="333"/>
      <c r="K4110" s="333"/>
      <c r="L4110" s="317">
        <f t="shared" si="2869"/>
        <v>400000</v>
      </c>
      <c r="M4110" s="317"/>
      <c r="N4110" s="372">
        <f t="shared" si="2873"/>
        <v>0</v>
      </c>
      <c r="O4110" s="336">
        <f>L4110*1.1</f>
        <v>440000.00000000006</v>
      </c>
      <c r="P4110" s="1131">
        <f t="shared" si="2852"/>
        <v>484000.00000000012</v>
      </c>
      <c r="R4110" s="317"/>
      <c r="U4110" s="320"/>
    </row>
    <row r="4111" spans="1:21" s="344" customFormat="1" outlineLevel="3">
      <c r="A4111" s="345"/>
      <c r="B4111" s="345"/>
      <c r="C4111" s="405">
        <v>2220105</v>
      </c>
      <c r="D4111" s="345" t="s">
        <v>1375</v>
      </c>
      <c r="E4111" s="1160">
        <v>500000</v>
      </c>
      <c r="F4111" s="406"/>
      <c r="G4111" s="406"/>
      <c r="H4111" s="406"/>
      <c r="I4111" s="324">
        <f t="shared" si="2841"/>
        <v>500000</v>
      </c>
      <c r="J4111" s="406"/>
      <c r="K4111" s="389">
        <v>3124846</v>
      </c>
      <c r="L4111" s="317">
        <f t="shared" si="2869"/>
        <v>3624846</v>
      </c>
      <c r="M4111" s="317"/>
      <c r="N4111" s="372">
        <f t="shared" si="2873"/>
        <v>-3124846</v>
      </c>
      <c r="O4111" s="336">
        <f>L4111*1.1</f>
        <v>3987330.6</v>
      </c>
      <c r="P4111" s="1131">
        <f t="shared" si="2852"/>
        <v>4386063.66</v>
      </c>
      <c r="Q4111" s="344" t="s">
        <v>2503</v>
      </c>
      <c r="R4111" s="317"/>
      <c r="U4111" s="320"/>
    </row>
    <row r="4112" spans="1:21" s="344" customFormat="1" outlineLevel="2">
      <c r="A4112" s="345"/>
      <c r="B4112" s="345"/>
      <c r="C4112" s="405"/>
      <c r="D4112" s="1161" t="s">
        <v>128</v>
      </c>
      <c r="E4112" s="619">
        <f>E4092+E4094+E4096+E4100+E4102+E4105+E4107+E4109</f>
        <v>14858000</v>
      </c>
      <c r="F4112" s="619">
        <f t="shared" ref="F4112:P4112" si="2877">F4092+F4094+F4096+F4100+F4102+F4105+F4107+F4109</f>
        <v>0</v>
      </c>
      <c r="G4112" s="619">
        <f t="shared" si="2877"/>
        <v>0</v>
      </c>
      <c r="H4112" s="619">
        <f t="shared" si="2877"/>
        <v>0</v>
      </c>
      <c r="I4112" s="619">
        <f t="shared" si="2877"/>
        <v>14858000</v>
      </c>
      <c r="J4112" s="619">
        <f t="shared" si="2877"/>
        <v>0</v>
      </c>
      <c r="K4112" s="619">
        <f t="shared" si="2877"/>
        <v>5867246</v>
      </c>
      <c r="L4112" s="317">
        <f t="shared" si="2869"/>
        <v>20725246</v>
      </c>
      <c r="M4112" s="317"/>
      <c r="N4112" s="372">
        <f t="shared" si="2873"/>
        <v>-5867246</v>
      </c>
      <c r="O4112" s="619">
        <f t="shared" si="2877"/>
        <v>22797770.600000001</v>
      </c>
      <c r="P4112" s="619">
        <f t="shared" si="2877"/>
        <v>25077547.660000004</v>
      </c>
      <c r="R4112" s="317"/>
      <c r="U4112" s="320"/>
    </row>
    <row r="4113" spans="1:21" outlineLevel="2">
      <c r="A4113" s="345"/>
      <c r="B4113" s="345"/>
      <c r="C4113" s="405"/>
      <c r="D4113" s="1161"/>
      <c r="E4113" s="619"/>
      <c r="F4113" s="438"/>
      <c r="G4113" s="438"/>
      <c r="H4113" s="438"/>
      <c r="I4113" s="324">
        <f t="shared" si="2841"/>
        <v>0</v>
      </c>
      <c r="J4113" s="438"/>
      <c r="K4113" s="438"/>
      <c r="L4113" s="317">
        <f t="shared" si="2869"/>
        <v>0</v>
      </c>
      <c r="M4113" s="317"/>
      <c r="N4113" s="372">
        <f t="shared" si="2873"/>
        <v>0</v>
      </c>
      <c r="O4113" s="336">
        <f>L4113*1.1</f>
        <v>0</v>
      </c>
      <c r="P4113" s="1131">
        <f t="shared" si="2852"/>
        <v>0</v>
      </c>
      <c r="R4113" s="317"/>
      <c r="U4113" s="320"/>
    </row>
    <row r="4114" spans="1:21" outlineLevel="2">
      <c r="A4114" s="345"/>
      <c r="B4114" s="345"/>
      <c r="C4114" s="405"/>
      <c r="D4114" s="447" t="s">
        <v>92</v>
      </c>
      <c r="E4114" s="619"/>
      <c r="F4114" s="438"/>
      <c r="G4114" s="438"/>
      <c r="H4114" s="438"/>
      <c r="I4114" s="324">
        <f t="shared" si="2841"/>
        <v>0</v>
      </c>
      <c r="J4114" s="438"/>
      <c r="K4114" s="438"/>
      <c r="L4114" s="317">
        <f t="shared" si="2869"/>
        <v>0</v>
      </c>
      <c r="M4114" s="317"/>
      <c r="N4114" s="372">
        <f t="shared" si="2873"/>
        <v>0</v>
      </c>
      <c r="O4114" s="336">
        <f>L4114*1.1</f>
        <v>0</v>
      </c>
      <c r="P4114" s="1131">
        <f t="shared" si="2852"/>
        <v>0</v>
      </c>
      <c r="R4114" s="317"/>
      <c r="U4114" s="320"/>
    </row>
    <row r="4115" spans="1:21" s="337" customFormat="1" outlineLevel="3">
      <c r="A4115" s="330"/>
      <c r="B4115" s="330"/>
      <c r="C4115" s="328">
        <v>3110500</v>
      </c>
      <c r="D4115" s="338" t="s">
        <v>689</v>
      </c>
      <c r="E4115" s="1164">
        <f>E4116+E4117</f>
        <v>3061711</v>
      </c>
      <c r="F4115" s="1164">
        <f t="shared" ref="F4115:P4115" si="2878">F4116+F4117</f>
        <v>0</v>
      </c>
      <c r="G4115" s="1164">
        <f t="shared" si="2878"/>
        <v>0</v>
      </c>
      <c r="H4115" s="1164">
        <f t="shared" si="2878"/>
        <v>0</v>
      </c>
      <c r="I4115" s="1164">
        <f t="shared" si="2878"/>
        <v>3061711</v>
      </c>
      <c r="J4115" s="1164">
        <f t="shared" si="2878"/>
        <v>0</v>
      </c>
      <c r="K4115" s="1164">
        <f t="shared" si="2878"/>
        <v>-1461600</v>
      </c>
      <c r="L4115" s="317">
        <f t="shared" si="2869"/>
        <v>1600111</v>
      </c>
      <c r="M4115" s="317"/>
      <c r="N4115" s="372">
        <f t="shared" si="2873"/>
        <v>1461600</v>
      </c>
      <c r="O4115" s="1164">
        <f t="shared" si="2878"/>
        <v>1760122.1</v>
      </c>
      <c r="P4115" s="1164">
        <f t="shared" si="2878"/>
        <v>1936134.3100000003</v>
      </c>
      <c r="R4115" s="317"/>
      <c r="U4115" s="320"/>
    </row>
    <row r="4116" spans="1:21" s="337" customFormat="1" outlineLevel="3">
      <c r="A4116" s="330"/>
      <c r="B4116" s="330"/>
      <c r="C4116" s="332">
        <v>3110504</v>
      </c>
      <c r="D4116" s="330" t="s">
        <v>1376</v>
      </c>
      <c r="E4116" s="673">
        <v>2561711</v>
      </c>
      <c r="F4116" s="389"/>
      <c r="G4116" s="389"/>
      <c r="H4116" s="389"/>
      <c r="I4116" s="324">
        <f t="shared" si="2841"/>
        <v>2561711</v>
      </c>
      <c r="J4116" s="389"/>
      <c r="K4116" s="1169">
        <v>-961600</v>
      </c>
      <c r="L4116" s="317">
        <f t="shared" si="2869"/>
        <v>1600111</v>
      </c>
      <c r="M4116" s="317"/>
      <c r="N4116" s="372">
        <f t="shared" si="2873"/>
        <v>961600</v>
      </c>
      <c r="O4116" s="336">
        <f>L4116*1.1</f>
        <v>1760122.1</v>
      </c>
      <c r="P4116" s="1131">
        <f t="shared" si="2852"/>
        <v>1936134.3100000003</v>
      </c>
      <c r="Q4116" s="337" t="s">
        <v>2505</v>
      </c>
      <c r="R4116" s="317"/>
      <c r="U4116" s="320"/>
    </row>
    <row r="4117" spans="1:21" s="337" customFormat="1" outlineLevel="3">
      <c r="A4117" s="330"/>
      <c r="B4117" s="330"/>
      <c r="C4117" s="332">
        <v>3110599</v>
      </c>
      <c r="D4117" s="332" t="s">
        <v>1377</v>
      </c>
      <c r="E4117" s="673">
        <v>500000</v>
      </c>
      <c r="F4117" s="334"/>
      <c r="G4117" s="334"/>
      <c r="H4117" s="334"/>
      <c r="I4117" s="324">
        <f t="shared" si="2841"/>
        <v>500000</v>
      </c>
      <c r="J4117" s="334"/>
      <c r="K4117" s="1170">
        <v>-500000</v>
      </c>
      <c r="L4117" s="317">
        <f t="shared" si="2869"/>
        <v>0</v>
      </c>
      <c r="M4117" s="317"/>
      <c r="N4117" s="372">
        <f t="shared" si="2873"/>
        <v>500000</v>
      </c>
      <c r="O4117" s="336">
        <f>L4117*1.1</f>
        <v>0</v>
      </c>
      <c r="P4117" s="1131">
        <f t="shared" si="2852"/>
        <v>0</v>
      </c>
      <c r="Q4117" s="303" t="s">
        <v>2504</v>
      </c>
      <c r="R4117" s="317"/>
      <c r="U4117" s="320"/>
    </row>
    <row r="4118" spans="1:21" s="337" customFormat="1" outlineLevel="3">
      <c r="A4118" s="330"/>
      <c r="B4118" s="330"/>
      <c r="C4118" s="340">
        <v>3111100</v>
      </c>
      <c r="D4118" s="338" t="s">
        <v>73</v>
      </c>
      <c r="E4118" s="1164">
        <f>E4119</f>
        <v>2800000</v>
      </c>
      <c r="F4118" s="1164">
        <f t="shared" ref="F4118:P4118" si="2879">F4119</f>
        <v>0</v>
      </c>
      <c r="G4118" s="1164">
        <f t="shared" si="2879"/>
        <v>0</v>
      </c>
      <c r="H4118" s="1164">
        <f t="shared" si="2879"/>
        <v>0</v>
      </c>
      <c r="I4118" s="1164">
        <f t="shared" si="2879"/>
        <v>2800000</v>
      </c>
      <c r="J4118" s="1164">
        <f t="shared" si="2879"/>
        <v>0</v>
      </c>
      <c r="K4118" s="1164">
        <f t="shared" si="2879"/>
        <v>0</v>
      </c>
      <c r="L4118" s="317">
        <f t="shared" si="2869"/>
        <v>2800000</v>
      </c>
      <c r="M4118" s="317"/>
      <c r="N4118" s="372">
        <f t="shared" si="2873"/>
        <v>0</v>
      </c>
      <c r="O4118" s="1164">
        <f t="shared" si="2879"/>
        <v>3080000.0000000005</v>
      </c>
      <c r="P4118" s="1164">
        <f t="shared" si="2879"/>
        <v>3388000.0000000009</v>
      </c>
      <c r="R4118" s="317"/>
      <c r="U4118" s="320"/>
    </row>
    <row r="4119" spans="1:21" outlineLevel="3">
      <c r="A4119" s="338"/>
      <c r="B4119" s="338"/>
      <c r="C4119" s="332">
        <v>3111120</v>
      </c>
      <c r="D4119" s="345" t="s">
        <v>1378</v>
      </c>
      <c r="E4119" s="673">
        <v>2800000</v>
      </c>
      <c r="F4119" s="406"/>
      <c r="G4119" s="406"/>
      <c r="H4119" s="406"/>
      <c r="I4119" s="324">
        <f t="shared" si="2841"/>
        <v>2800000</v>
      </c>
      <c r="J4119" s="406"/>
      <c r="K4119" s="406"/>
      <c r="L4119" s="317">
        <f t="shared" si="2869"/>
        <v>2800000</v>
      </c>
      <c r="M4119" s="317"/>
      <c r="N4119" s="372">
        <f t="shared" si="2873"/>
        <v>0</v>
      </c>
      <c r="O4119" s="336">
        <f>L4119*1.1</f>
        <v>3080000.0000000005</v>
      </c>
      <c r="P4119" s="1131">
        <f t="shared" si="2852"/>
        <v>3388000.0000000009</v>
      </c>
      <c r="R4119" s="317"/>
      <c r="U4119" s="320"/>
    </row>
    <row r="4120" spans="1:21" outlineLevel="3">
      <c r="A4120" s="338"/>
      <c r="B4120" s="338"/>
      <c r="C4120" s="403">
        <v>2211000</v>
      </c>
      <c r="D4120" s="326" t="s">
        <v>118</v>
      </c>
      <c r="E4120" s="1164">
        <f>E4121+E4122</f>
        <v>1200000</v>
      </c>
      <c r="F4120" s="1164">
        <f t="shared" ref="F4120:P4120" si="2880">F4121+F4122</f>
        <v>2645.55</v>
      </c>
      <c r="G4120" s="1164">
        <f t="shared" si="2880"/>
        <v>0</v>
      </c>
      <c r="H4120" s="1164">
        <f t="shared" si="2880"/>
        <v>0</v>
      </c>
      <c r="I4120" s="1164">
        <f t="shared" si="2880"/>
        <v>1202645.55</v>
      </c>
      <c r="J4120" s="1164">
        <f t="shared" si="2880"/>
        <v>0</v>
      </c>
      <c r="K4120" s="1164">
        <f t="shared" si="2880"/>
        <v>0</v>
      </c>
      <c r="L4120" s="317">
        <f t="shared" si="2869"/>
        <v>1202645.55</v>
      </c>
      <c r="M4120" s="317"/>
      <c r="N4120" s="372">
        <f t="shared" si="2873"/>
        <v>0</v>
      </c>
      <c r="O4120" s="1164">
        <f t="shared" si="2880"/>
        <v>1322910.105</v>
      </c>
      <c r="P4120" s="1164">
        <f t="shared" si="2880"/>
        <v>1455201.1155000003</v>
      </c>
      <c r="R4120" s="317"/>
      <c r="U4120" s="320"/>
    </row>
    <row r="4121" spans="1:21" outlineLevel="3">
      <c r="A4121" s="330"/>
      <c r="B4121" s="330"/>
      <c r="C4121" s="401">
        <v>2211006</v>
      </c>
      <c r="D4121" s="345" t="s">
        <v>1379</v>
      </c>
      <c r="E4121" s="406">
        <v>1200000</v>
      </c>
      <c r="F4121" s="406"/>
      <c r="G4121" s="406"/>
      <c r="H4121" s="406"/>
      <c r="I4121" s="324">
        <f t="shared" ref="I4121:I4184" si="2881">E4121+F4121+G4121+H4121</f>
        <v>1200000</v>
      </c>
      <c r="J4121" s="406"/>
      <c r="K4121" s="406"/>
      <c r="L4121" s="317">
        <f t="shared" si="2869"/>
        <v>1200000</v>
      </c>
      <c r="M4121" s="317"/>
      <c r="N4121" s="372">
        <f t="shared" si="2873"/>
        <v>0</v>
      </c>
      <c r="O4121" s="336">
        <f>L4121*1.1</f>
        <v>1320000</v>
      </c>
      <c r="P4121" s="1131">
        <f t="shared" si="2852"/>
        <v>1452000.0000000002</v>
      </c>
      <c r="R4121" s="317"/>
      <c r="U4121" s="320"/>
    </row>
    <row r="4122" spans="1:21" s="344" customFormat="1" outlineLevel="3">
      <c r="A4122" s="330"/>
      <c r="B4122" s="330"/>
      <c r="C4122" s="332"/>
      <c r="D4122" s="330" t="s">
        <v>713</v>
      </c>
      <c r="E4122" s="1171">
        <f>2339915-2339915</f>
        <v>0</v>
      </c>
      <c r="F4122" s="577">
        <v>2645.55</v>
      </c>
      <c r="G4122" s="577"/>
      <c r="H4122" s="577"/>
      <c r="I4122" s="324">
        <f t="shared" si="2881"/>
        <v>2645.55</v>
      </c>
      <c r="J4122" s="577"/>
      <c r="K4122" s="577"/>
      <c r="L4122" s="317">
        <f t="shared" si="2869"/>
        <v>2645.55</v>
      </c>
      <c r="M4122" s="317"/>
      <c r="N4122" s="372">
        <f t="shared" si="2873"/>
        <v>0</v>
      </c>
      <c r="O4122" s="336">
        <f>L4122*1.1</f>
        <v>2910.1050000000005</v>
      </c>
      <c r="P4122" s="1131">
        <f t="shared" si="2852"/>
        <v>3201.1155000000008</v>
      </c>
      <c r="R4122" s="317"/>
      <c r="U4122" s="320"/>
    </row>
    <row r="4123" spans="1:21" s="344" customFormat="1" outlineLevel="2">
      <c r="A4123" s="345"/>
      <c r="B4123" s="345"/>
      <c r="C4123" s="405"/>
      <c r="D4123" s="1161" t="s">
        <v>261</v>
      </c>
      <c r="E4123" s="619">
        <f>E4115+E4118+E4120</f>
        <v>7061711</v>
      </c>
      <c r="F4123" s="619">
        <f t="shared" ref="F4123:K4123" si="2882">F4115+F4118+F4120</f>
        <v>2645.55</v>
      </c>
      <c r="G4123" s="619">
        <f t="shared" si="2882"/>
        <v>0</v>
      </c>
      <c r="H4123" s="619">
        <f t="shared" si="2882"/>
        <v>0</v>
      </c>
      <c r="I4123" s="619">
        <f t="shared" si="2882"/>
        <v>7064356.5499999998</v>
      </c>
      <c r="J4123" s="619">
        <f t="shared" si="2882"/>
        <v>0</v>
      </c>
      <c r="K4123" s="619">
        <f t="shared" si="2882"/>
        <v>-1461600</v>
      </c>
      <c r="L4123" s="317">
        <f t="shared" si="2869"/>
        <v>5602756.5499999998</v>
      </c>
      <c r="M4123" s="317"/>
      <c r="N4123" s="372">
        <f t="shared" si="2873"/>
        <v>1461600</v>
      </c>
      <c r="O4123" s="619">
        <f t="shared" ref="O4123:P4123" si="2883">O4115+O4118+O4120</f>
        <v>6163032.2050000001</v>
      </c>
      <c r="P4123" s="619">
        <f t="shared" si="2883"/>
        <v>6779335.4255000018</v>
      </c>
      <c r="R4123" s="317"/>
      <c r="U4123" s="320"/>
    </row>
    <row r="4124" spans="1:21" s="344" customFormat="1" outlineLevel="1">
      <c r="A4124" s="345"/>
      <c r="B4124" s="345"/>
      <c r="C4124" s="405"/>
      <c r="D4124" s="447" t="s">
        <v>690</v>
      </c>
      <c r="E4124" s="619">
        <f>E4112+E4123</f>
        <v>21919711</v>
      </c>
      <c r="F4124" s="619">
        <f t="shared" ref="F4124:P4124" si="2884">F4112+F4123</f>
        <v>2645.55</v>
      </c>
      <c r="G4124" s="619">
        <f t="shared" si="2884"/>
        <v>0</v>
      </c>
      <c r="H4124" s="619">
        <f t="shared" si="2884"/>
        <v>0</v>
      </c>
      <c r="I4124" s="619">
        <f t="shared" si="2884"/>
        <v>21922356.550000001</v>
      </c>
      <c r="J4124" s="619">
        <f t="shared" si="2884"/>
        <v>0</v>
      </c>
      <c r="K4124" s="619">
        <f t="shared" si="2884"/>
        <v>4405646</v>
      </c>
      <c r="L4124" s="317">
        <f t="shared" si="2869"/>
        <v>26328002.550000001</v>
      </c>
      <c r="M4124" s="317"/>
      <c r="N4124" s="372">
        <f t="shared" si="2873"/>
        <v>-4405646</v>
      </c>
      <c r="O4124" s="619">
        <f t="shared" si="2884"/>
        <v>28960802.805</v>
      </c>
      <c r="P4124" s="619">
        <f t="shared" si="2884"/>
        <v>31856883.085500006</v>
      </c>
      <c r="R4124" s="317"/>
      <c r="U4124" s="320"/>
    </row>
    <row r="4125" spans="1:21" s="344" customFormat="1">
      <c r="A4125" s="345"/>
      <c r="B4125" s="345"/>
      <c r="C4125" s="314"/>
      <c r="D4125" s="314" t="s">
        <v>99</v>
      </c>
      <c r="E4125" s="619">
        <f>E3970+E4012+E4041+E4079+E4112</f>
        <v>80196569</v>
      </c>
      <c r="F4125" s="619">
        <f t="shared" ref="F4125:L4125" si="2885">F3970+F4012+F4041+F4079+F4112</f>
        <v>0</v>
      </c>
      <c r="G4125" s="619">
        <f t="shared" si="2885"/>
        <v>0</v>
      </c>
      <c r="H4125" s="619">
        <f t="shared" si="2885"/>
        <v>0</v>
      </c>
      <c r="I4125" s="619">
        <f t="shared" si="2885"/>
        <v>80196569</v>
      </c>
      <c r="J4125" s="619">
        <f t="shared" si="2885"/>
        <v>0</v>
      </c>
      <c r="K4125" s="619">
        <f t="shared" si="2885"/>
        <v>11541734</v>
      </c>
      <c r="L4125" s="619">
        <f t="shared" si="2885"/>
        <v>91738303</v>
      </c>
      <c r="M4125" s="619"/>
      <c r="N4125" s="372">
        <f t="shared" si="2873"/>
        <v>-11541734</v>
      </c>
      <c r="O4125" s="619">
        <f>O3970+O4012+O4041+O4079+O4112</f>
        <v>100912133.29999998</v>
      </c>
      <c r="P4125" s="619">
        <f>P3970+P4012+P4041+P4079+P4112</f>
        <v>111003346.63000003</v>
      </c>
      <c r="R4125" s="619"/>
      <c r="U4125" s="698"/>
    </row>
    <row r="4126" spans="1:21">
      <c r="A4126" s="345"/>
      <c r="B4126" s="345"/>
      <c r="C4126" s="314"/>
      <c r="D4126" s="314" t="s">
        <v>175</v>
      </c>
      <c r="E4126" s="619">
        <f>E3978+E4018+E4054+E4087+E4123</f>
        <v>85461711</v>
      </c>
      <c r="F4126" s="619">
        <f t="shared" ref="F4126:L4126" si="2886">F3978+F4018+F4054+F4087+F4123</f>
        <v>5435242.0650885934</v>
      </c>
      <c r="G4126" s="619">
        <f t="shared" si="2886"/>
        <v>-5000000</v>
      </c>
      <c r="H4126" s="619">
        <f t="shared" si="2886"/>
        <v>0</v>
      </c>
      <c r="I4126" s="619">
        <f t="shared" si="2886"/>
        <v>85896953.065088585</v>
      </c>
      <c r="J4126" s="619">
        <f t="shared" si="2886"/>
        <v>-6177486</v>
      </c>
      <c r="K4126" s="619">
        <f t="shared" si="2886"/>
        <v>-11541734</v>
      </c>
      <c r="L4126" s="619">
        <f t="shared" si="2886"/>
        <v>68177733.0650886</v>
      </c>
      <c r="M4126" s="619"/>
      <c r="N4126" s="372">
        <f t="shared" si="2873"/>
        <v>11541734</v>
      </c>
      <c r="O4126" s="619">
        <f t="shared" ref="O4126:P4126" si="2887">O3978+O4018+O4054+O4087+O4123</f>
        <v>74995506.371597454</v>
      </c>
      <c r="P4126" s="619">
        <f t="shared" si="2887"/>
        <v>82495057.008757204</v>
      </c>
      <c r="R4126" s="619"/>
      <c r="U4126" s="698"/>
    </row>
    <row r="4127" spans="1:21">
      <c r="A4127" s="345"/>
      <c r="B4127" s="345"/>
      <c r="C4127" s="572" t="s">
        <v>714</v>
      </c>
      <c r="D4127" s="573"/>
      <c r="E4127" s="619">
        <f>E4125+E4126</f>
        <v>165658280</v>
      </c>
      <c r="F4127" s="619">
        <f t="shared" ref="F4127:L4127" si="2888">F4125+F4126</f>
        <v>5435242.0650885934</v>
      </c>
      <c r="G4127" s="619">
        <f t="shared" si="2888"/>
        <v>-5000000</v>
      </c>
      <c r="H4127" s="619">
        <f t="shared" si="2888"/>
        <v>0</v>
      </c>
      <c r="I4127" s="619">
        <f t="shared" si="2888"/>
        <v>166093522.06508857</v>
      </c>
      <c r="J4127" s="619">
        <f t="shared" si="2888"/>
        <v>-6177486</v>
      </c>
      <c r="K4127" s="619">
        <f t="shared" si="2888"/>
        <v>0</v>
      </c>
      <c r="L4127" s="619">
        <f t="shared" si="2888"/>
        <v>159916036.0650886</v>
      </c>
      <c r="M4127" s="619"/>
      <c r="N4127" s="372">
        <f t="shared" si="2873"/>
        <v>0</v>
      </c>
      <c r="O4127" s="619">
        <f t="shared" ref="O4127:P4127" si="2889">O4125+O4126</f>
        <v>175907639.67159742</v>
      </c>
      <c r="P4127" s="619">
        <f t="shared" si="2889"/>
        <v>193498403.63875723</v>
      </c>
      <c r="R4127" s="619"/>
      <c r="U4127" s="698" t="s">
        <v>1803</v>
      </c>
    </row>
    <row r="4128" spans="1:21">
      <c r="A4128" s="897"/>
      <c r="B4128" s="897"/>
      <c r="C4128" s="332"/>
      <c r="D4128" s="330"/>
      <c r="E4128" s="422"/>
      <c r="F4128" s="389"/>
      <c r="G4128" s="389"/>
      <c r="H4128" s="389"/>
      <c r="I4128" s="324">
        <f t="shared" si="2881"/>
        <v>0</v>
      </c>
      <c r="J4128" s="389"/>
      <c r="K4128" s="389"/>
      <c r="L4128" s="317"/>
      <c r="M4128" s="317"/>
      <c r="N4128" s="372">
        <f t="shared" si="2873"/>
        <v>0</v>
      </c>
      <c r="O4128" s="336">
        <f>L4128*1.1</f>
        <v>0</v>
      </c>
      <c r="P4128" s="1131">
        <f t="shared" si="2852"/>
        <v>0</v>
      </c>
      <c r="R4128" s="317"/>
      <c r="U4128" s="320"/>
    </row>
    <row r="4129" spans="1:21">
      <c r="A4129" s="1039"/>
      <c r="B4129" s="1039"/>
      <c r="C4129" s="659"/>
      <c r="D4129" s="352"/>
      <c r="E4129" s="1040"/>
      <c r="F4129" s="661"/>
      <c r="G4129" s="661"/>
      <c r="H4129" s="661"/>
      <c r="I4129" s="324">
        <f t="shared" si="2881"/>
        <v>0</v>
      </c>
      <c r="J4129" s="661"/>
      <c r="K4129" s="661"/>
      <c r="L4129" s="317"/>
      <c r="M4129" s="317"/>
      <c r="N4129" s="372">
        <f t="shared" si="2873"/>
        <v>0</v>
      </c>
      <c r="O4129" s="336">
        <f>L4129*1.1</f>
        <v>0</v>
      </c>
      <c r="P4129" s="1131">
        <f t="shared" si="2852"/>
        <v>0</v>
      </c>
      <c r="R4129" s="317"/>
      <c r="U4129" s="320"/>
    </row>
    <row r="4130" spans="1:21">
      <c r="A4130" s="907"/>
      <c r="B4130" s="907"/>
      <c r="C4130" s="314" t="s">
        <v>715</v>
      </c>
      <c r="D4130" s="447"/>
      <c r="E4130" s="529"/>
      <c r="F4130" s="438"/>
      <c r="G4130" s="438"/>
      <c r="H4130" s="438"/>
      <c r="I4130" s="324">
        <f t="shared" si="2881"/>
        <v>0</v>
      </c>
      <c r="J4130" s="438"/>
      <c r="K4130" s="438"/>
      <c r="L4130" s="317"/>
      <c r="M4130" s="317"/>
      <c r="N4130" s="372">
        <f t="shared" si="2873"/>
        <v>0</v>
      </c>
      <c r="O4130" s="336">
        <f>L4130*1.1</f>
        <v>0</v>
      </c>
      <c r="P4130" s="1131">
        <f t="shared" si="2852"/>
        <v>0</v>
      </c>
      <c r="R4130" s="317"/>
      <c r="U4130" s="320" t="s">
        <v>1803</v>
      </c>
    </row>
    <row r="4131" spans="1:21" outlineLevel="1">
      <c r="A4131" s="1172" t="s">
        <v>178</v>
      </c>
      <c r="B4131" s="1172"/>
      <c r="C4131" s="322" t="s">
        <v>716</v>
      </c>
      <c r="D4131" s="663"/>
      <c r="E4131" s="1173">
        <v>0</v>
      </c>
      <c r="F4131" s="1173">
        <v>0</v>
      </c>
      <c r="G4131" s="1173">
        <v>0</v>
      </c>
      <c r="H4131" s="1173">
        <v>0</v>
      </c>
      <c r="I4131" s="1173">
        <v>0</v>
      </c>
      <c r="J4131" s="1173"/>
      <c r="K4131" s="1173"/>
      <c r="L4131" s="317">
        <f t="shared" si="2869"/>
        <v>0</v>
      </c>
      <c r="M4131" s="2211"/>
      <c r="N4131" s="372">
        <f t="shared" si="2873"/>
        <v>0</v>
      </c>
      <c r="O4131" s="1173">
        <v>0</v>
      </c>
      <c r="P4131" s="1173">
        <v>0</v>
      </c>
      <c r="R4131" s="317"/>
      <c r="U4131" s="320"/>
    </row>
    <row r="4132" spans="1:21" outlineLevel="1">
      <c r="A4132" s="1023"/>
      <c r="B4132" s="1023" t="s">
        <v>146</v>
      </c>
      <c r="C4132" s="314" t="s">
        <v>717</v>
      </c>
      <c r="D4132" s="447"/>
      <c r="E4132" s="529">
        <v>0</v>
      </c>
      <c r="F4132" s="438"/>
      <c r="G4132" s="438"/>
      <c r="H4132" s="438"/>
      <c r="I4132" s="324">
        <f t="shared" si="2881"/>
        <v>0</v>
      </c>
      <c r="J4132" s="438"/>
      <c r="K4132" s="438"/>
      <c r="L4132" s="317">
        <f t="shared" si="2869"/>
        <v>0</v>
      </c>
      <c r="M4132" s="317"/>
      <c r="N4132" s="372">
        <f t="shared" si="2873"/>
        <v>0</v>
      </c>
      <c r="O4132" s="336">
        <f>L4132*1.1</f>
        <v>0</v>
      </c>
      <c r="P4132" s="319">
        <f t="shared" ref="P4132:P4150" si="2890">O4132*1.1</f>
        <v>0</v>
      </c>
      <c r="R4132" s="317"/>
      <c r="U4132" s="320"/>
    </row>
    <row r="4133" spans="1:21" outlineLevel="3">
      <c r="A4133" s="907"/>
      <c r="B4133" s="907"/>
      <c r="C4133" s="340">
        <v>2110100</v>
      </c>
      <c r="D4133" s="449" t="s">
        <v>718</v>
      </c>
      <c r="E4133" s="518">
        <f>E4134</f>
        <v>16813307</v>
      </c>
      <c r="F4133" s="518">
        <f t="shared" ref="F4133:P4133" si="2891">F4134</f>
        <v>0</v>
      </c>
      <c r="G4133" s="518">
        <f t="shared" si="2891"/>
        <v>0</v>
      </c>
      <c r="H4133" s="518">
        <f t="shared" si="2891"/>
        <v>0</v>
      </c>
      <c r="I4133" s="518">
        <f t="shared" si="2891"/>
        <v>16813307</v>
      </c>
      <c r="J4133" s="518">
        <f t="shared" si="2891"/>
        <v>0</v>
      </c>
      <c r="K4133" s="518">
        <f t="shared" si="2891"/>
        <v>0</v>
      </c>
      <c r="L4133" s="317">
        <f t="shared" si="2869"/>
        <v>16813307</v>
      </c>
      <c r="M4133" s="317"/>
      <c r="N4133" s="372">
        <f t="shared" si="2873"/>
        <v>0</v>
      </c>
      <c r="O4133" s="518">
        <f t="shared" si="2891"/>
        <v>18494637.700000003</v>
      </c>
      <c r="P4133" s="518">
        <f t="shared" si="2891"/>
        <v>20344101.470000006</v>
      </c>
      <c r="R4133" s="317"/>
      <c r="U4133" s="320"/>
    </row>
    <row r="4134" spans="1:21" s="350" customFormat="1" outlineLevel="3">
      <c r="A4134" s="907"/>
      <c r="B4134" s="907"/>
      <c r="C4134" s="332">
        <v>2110199</v>
      </c>
      <c r="D4134" s="452" t="s">
        <v>13</v>
      </c>
      <c r="E4134" s="529">
        <v>16813307</v>
      </c>
      <c r="F4134" s="364"/>
      <c r="G4134" s="364"/>
      <c r="H4134" s="364"/>
      <c r="I4134" s="324">
        <f t="shared" si="2881"/>
        <v>16813307</v>
      </c>
      <c r="J4134" s="364"/>
      <c r="K4134" s="364"/>
      <c r="L4134" s="317">
        <f t="shared" si="2869"/>
        <v>16813307</v>
      </c>
      <c r="M4134" s="317"/>
      <c r="N4134" s="372">
        <f t="shared" si="2873"/>
        <v>0</v>
      </c>
      <c r="O4134" s="336">
        <f>L4134*1.1</f>
        <v>18494637.700000003</v>
      </c>
      <c r="P4134" s="319">
        <f t="shared" si="2890"/>
        <v>20344101.470000006</v>
      </c>
      <c r="R4134" s="317"/>
      <c r="U4134" s="320"/>
    </row>
    <row r="4135" spans="1:21" outlineLevel="3">
      <c r="A4135" s="907"/>
      <c r="B4135" s="907"/>
      <c r="C4135" s="340">
        <v>2110200</v>
      </c>
      <c r="D4135" s="449" t="s">
        <v>148</v>
      </c>
      <c r="E4135" s="518">
        <f>E4136</f>
        <v>13000000</v>
      </c>
      <c r="F4135" s="518">
        <f t="shared" ref="F4135:P4135" si="2892">F4136</f>
        <v>0</v>
      </c>
      <c r="G4135" s="518">
        <f t="shared" si="2892"/>
        <v>0</v>
      </c>
      <c r="H4135" s="518">
        <f t="shared" si="2892"/>
        <v>0</v>
      </c>
      <c r="I4135" s="518">
        <f t="shared" si="2892"/>
        <v>13000000</v>
      </c>
      <c r="J4135" s="518">
        <f t="shared" si="2892"/>
        <v>0</v>
      </c>
      <c r="K4135" s="518">
        <f t="shared" si="2892"/>
        <v>0</v>
      </c>
      <c r="L4135" s="317">
        <f t="shared" si="2869"/>
        <v>13000000</v>
      </c>
      <c r="M4135" s="317"/>
      <c r="N4135" s="372">
        <f t="shared" si="2873"/>
        <v>0</v>
      </c>
      <c r="O4135" s="518">
        <f t="shared" si="2892"/>
        <v>14300000.000000002</v>
      </c>
      <c r="P4135" s="518">
        <f t="shared" si="2892"/>
        <v>15730000.000000004</v>
      </c>
      <c r="R4135" s="317"/>
      <c r="U4135" s="320"/>
    </row>
    <row r="4136" spans="1:21" outlineLevel="3">
      <c r="A4136" s="978"/>
      <c r="B4136" s="978"/>
      <c r="C4136" s="970">
        <v>2110202</v>
      </c>
      <c r="D4136" s="1174" t="s">
        <v>719</v>
      </c>
      <c r="E4136" s="1175">
        <v>13000000</v>
      </c>
      <c r="F4136" s="1176"/>
      <c r="G4136" s="1176"/>
      <c r="H4136" s="1176"/>
      <c r="I4136" s="324">
        <f t="shared" si="2881"/>
        <v>13000000</v>
      </c>
      <c r="J4136" s="1176"/>
      <c r="K4136" s="1176"/>
      <c r="L4136" s="317">
        <f t="shared" si="2869"/>
        <v>13000000</v>
      </c>
      <c r="M4136" s="317"/>
      <c r="N4136" s="372">
        <f t="shared" si="2873"/>
        <v>0</v>
      </c>
      <c r="O4136" s="336">
        <f>L4136*1.1</f>
        <v>14300000.000000002</v>
      </c>
      <c r="P4136" s="319">
        <f t="shared" si="2890"/>
        <v>15730000.000000004</v>
      </c>
      <c r="R4136" s="317"/>
      <c r="U4136" s="320"/>
    </row>
    <row r="4137" spans="1:21" outlineLevel="3">
      <c r="A4137" s="907"/>
      <c r="B4137" s="907"/>
      <c r="C4137" s="340">
        <v>2110300</v>
      </c>
      <c r="D4137" s="388" t="s">
        <v>181</v>
      </c>
      <c r="E4137" s="518">
        <f>E4138+E4139</f>
        <v>4055560</v>
      </c>
      <c r="F4137" s="518">
        <f t="shared" ref="F4137:P4137" si="2893">F4138+F4139</f>
        <v>0</v>
      </c>
      <c r="G4137" s="518">
        <f t="shared" si="2893"/>
        <v>0</v>
      </c>
      <c r="H4137" s="518">
        <f t="shared" si="2893"/>
        <v>0</v>
      </c>
      <c r="I4137" s="518">
        <f t="shared" si="2893"/>
        <v>4055560</v>
      </c>
      <c r="J4137" s="518">
        <f t="shared" si="2893"/>
        <v>0</v>
      </c>
      <c r="K4137" s="518">
        <f t="shared" si="2893"/>
        <v>0</v>
      </c>
      <c r="L4137" s="317">
        <f t="shared" si="2869"/>
        <v>4055560</v>
      </c>
      <c r="M4137" s="317"/>
      <c r="N4137" s="372">
        <f t="shared" si="2873"/>
        <v>0</v>
      </c>
      <c r="O4137" s="518">
        <f t="shared" si="2893"/>
        <v>4461116</v>
      </c>
      <c r="P4137" s="518">
        <f t="shared" si="2893"/>
        <v>4907227.6000000015</v>
      </c>
      <c r="R4137" s="317"/>
      <c r="U4137" s="320"/>
    </row>
    <row r="4138" spans="1:21" outlineLevel="3">
      <c r="A4138" s="907"/>
      <c r="B4138" s="907"/>
      <c r="C4138" s="332">
        <v>2110301</v>
      </c>
      <c r="D4138" s="908" t="s">
        <v>182</v>
      </c>
      <c r="E4138" s="529">
        <v>3050460</v>
      </c>
      <c r="F4138" s="389"/>
      <c r="G4138" s="389"/>
      <c r="H4138" s="389"/>
      <c r="I4138" s="324">
        <f t="shared" si="2881"/>
        <v>3050460</v>
      </c>
      <c r="J4138" s="389"/>
      <c r="K4138" s="389"/>
      <c r="L4138" s="317">
        <f t="shared" si="2869"/>
        <v>3050460</v>
      </c>
      <c r="M4138" s="317"/>
      <c r="N4138" s="372">
        <f t="shared" si="2873"/>
        <v>0</v>
      </c>
      <c r="O4138" s="336">
        <f>L4138*1.1</f>
        <v>3355506.0000000005</v>
      </c>
      <c r="P4138" s="319">
        <f t="shared" si="2890"/>
        <v>3691056.600000001</v>
      </c>
      <c r="R4138" s="317"/>
      <c r="U4138" s="320"/>
    </row>
    <row r="4139" spans="1:21" outlineLevel="3">
      <c r="A4139" s="907"/>
      <c r="B4139" s="907"/>
      <c r="C4139" s="332">
        <v>2110314</v>
      </c>
      <c r="D4139" s="387" t="s">
        <v>183</v>
      </c>
      <c r="E4139" s="529">
        <v>1005100</v>
      </c>
      <c r="F4139" s="334"/>
      <c r="G4139" s="334"/>
      <c r="H4139" s="334"/>
      <c r="I4139" s="324">
        <f t="shared" si="2881"/>
        <v>1005100</v>
      </c>
      <c r="J4139" s="334"/>
      <c r="K4139" s="334"/>
      <c r="L4139" s="317">
        <f t="shared" si="2869"/>
        <v>1005100</v>
      </c>
      <c r="M4139" s="317"/>
      <c r="N4139" s="372">
        <f t="shared" si="2873"/>
        <v>0</v>
      </c>
      <c r="O4139" s="336">
        <f>L4139*1.1</f>
        <v>1105610</v>
      </c>
      <c r="P4139" s="319">
        <f t="shared" si="2890"/>
        <v>1216171</v>
      </c>
      <c r="R4139" s="317"/>
      <c r="U4139" s="320"/>
    </row>
    <row r="4140" spans="1:21" outlineLevel="3">
      <c r="A4140" s="907"/>
      <c r="B4140" s="907"/>
      <c r="C4140" s="340">
        <v>2120100</v>
      </c>
      <c r="D4140" s="449" t="s">
        <v>184</v>
      </c>
      <c r="E4140" s="518">
        <f>E4141+E4142</f>
        <v>1897020</v>
      </c>
      <c r="F4140" s="518">
        <f t="shared" ref="F4140:K4140" si="2894">F4141+F4142</f>
        <v>0</v>
      </c>
      <c r="G4140" s="518">
        <f t="shared" si="2894"/>
        <v>0</v>
      </c>
      <c r="H4140" s="518">
        <f t="shared" si="2894"/>
        <v>0</v>
      </c>
      <c r="I4140" s="518">
        <f t="shared" si="2894"/>
        <v>1897020</v>
      </c>
      <c r="J4140" s="518">
        <f t="shared" si="2894"/>
        <v>0</v>
      </c>
      <c r="K4140" s="518">
        <f t="shared" si="2894"/>
        <v>0</v>
      </c>
      <c r="L4140" s="317">
        <f t="shared" si="2869"/>
        <v>1897020</v>
      </c>
      <c r="M4140" s="317"/>
      <c r="N4140" s="372">
        <f t="shared" si="2873"/>
        <v>0</v>
      </c>
      <c r="O4140" s="518">
        <f t="shared" ref="O4140:P4140" si="2895">O4141+O4142</f>
        <v>2086722.0000000002</v>
      </c>
      <c r="P4140" s="518">
        <f t="shared" si="2895"/>
        <v>2295394.2000000002</v>
      </c>
      <c r="R4140" s="317"/>
      <c r="U4140" s="320"/>
    </row>
    <row r="4141" spans="1:21" outlineLevel="3">
      <c r="A4141" s="907"/>
      <c r="B4141" s="907"/>
      <c r="C4141" s="332">
        <v>2120101</v>
      </c>
      <c r="D4141" s="330" t="s">
        <v>185</v>
      </c>
      <c r="E4141" s="529">
        <v>316855</v>
      </c>
      <c r="F4141" s="389"/>
      <c r="G4141" s="389"/>
      <c r="H4141" s="389"/>
      <c r="I4141" s="324">
        <f t="shared" si="2881"/>
        <v>316855</v>
      </c>
      <c r="J4141" s="389"/>
      <c r="K4141" s="389"/>
      <c r="L4141" s="317">
        <f t="shared" si="2869"/>
        <v>316855</v>
      </c>
      <c r="M4141" s="317"/>
      <c r="N4141" s="372">
        <f t="shared" si="2873"/>
        <v>0</v>
      </c>
      <c r="O4141" s="336">
        <f t="shared" ref="O4141:O4203" si="2896">L4141*1.1</f>
        <v>348540.5</v>
      </c>
      <c r="P4141" s="319">
        <f t="shared" si="2890"/>
        <v>383394.55000000005</v>
      </c>
      <c r="R4141" s="317"/>
      <c r="U4141" s="320"/>
    </row>
    <row r="4142" spans="1:21" outlineLevel="3">
      <c r="A4142" s="907"/>
      <c r="B4142" s="907"/>
      <c r="C4142" s="332">
        <v>2120103</v>
      </c>
      <c r="D4142" s="330" t="s">
        <v>186</v>
      </c>
      <c r="E4142" s="529">
        <v>1580165</v>
      </c>
      <c r="F4142" s="389"/>
      <c r="G4142" s="389"/>
      <c r="H4142" s="389"/>
      <c r="I4142" s="324">
        <f t="shared" si="2881"/>
        <v>1580165</v>
      </c>
      <c r="J4142" s="389"/>
      <c r="K4142" s="389"/>
      <c r="L4142" s="317">
        <f t="shared" si="2869"/>
        <v>1580165</v>
      </c>
      <c r="M4142" s="317"/>
      <c r="N4142" s="372">
        <f t="shared" si="2873"/>
        <v>0</v>
      </c>
      <c r="O4142" s="336">
        <f t="shared" si="2896"/>
        <v>1738181.5000000002</v>
      </c>
      <c r="P4142" s="319">
        <f t="shared" si="2890"/>
        <v>1911999.6500000004</v>
      </c>
      <c r="R4142" s="317"/>
      <c r="U4142" s="320"/>
    </row>
    <row r="4143" spans="1:21" outlineLevel="3">
      <c r="A4143" s="907"/>
      <c r="B4143" s="907"/>
      <c r="C4143" s="340"/>
      <c r="D4143" s="338" t="s">
        <v>720</v>
      </c>
      <c r="E4143" s="518">
        <f>E4133+E4135+E4137+E4140</f>
        <v>35765887</v>
      </c>
      <c r="F4143" s="518">
        <f t="shared" ref="F4143:K4143" si="2897">F4133+F4135+F4137+F4140</f>
        <v>0</v>
      </c>
      <c r="G4143" s="518">
        <f t="shared" si="2897"/>
        <v>0</v>
      </c>
      <c r="H4143" s="518">
        <f t="shared" si="2897"/>
        <v>0</v>
      </c>
      <c r="I4143" s="518">
        <f t="shared" si="2897"/>
        <v>35765887</v>
      </c>
      <c r="J4143" s="518">
        <f t="shared" si="2897"/>
        <v>0</v>
      </c>
      <c r="K4143" s="518">
        <f t="shared" si="2897"/>
        <v>0</v>
      </c>
      <c r="L4143" s="317">
        <f t="shared" si="2869"/>
        <v>35765887</v>
      </c>
      <c r="M4143" s="317"/>
      <c r="N4143" s="372">
        <f t="shared" si="2873"/>
        <v>0</v>
      </c>
      <c r="O4143" s="518">
        <f t="shared" ref="O4143:P4143" si="2898">O4133+O4135+O4137+O4140</f>
        <v>39342475.700000003</v>
      </c>
      <c r="P4143" s="518">
        <f t="shared" si="2898"/>
        <v>43276723.270000018</v>
      </c>
      <c r="R4143" s="317"/>
      <c r="U4143" s="320"/>
    </row>
    <row r="4144" spans="1:21" outlineLevel="3">
      <c r="A4144" s="907"/>
      <c r="B4144" s="907"/>
      <c r="C4144" s="340">
        <v>2210100</v>
      </c>
      <c r="D4144" s="338" t="s">
        <v>16</v>
      </c>
      <c r="E4144" s="518">
        <f>E4145+E4146</f>
        <v>3500000</v>
      </c>
      <c r="F4144" s="518">
        <f t="shared" ref="F4144:K4144" si="2899">F4145+F4146</f>
        <v>0</v>
      </c>
      <c r="G4144" s="518">
        <f t="shared" si="2899"/>
        <v>0</v>
      </c>
      <c r="H4144" s="518">
        <f t="shared" si="2899"/>
        <v>0</v>
      </c>
      <c r="I4144" s="518">
        <f t="shared" si="2899"/>
        <v>3500000</v>
      </c>
      <c r="J4144" s="518">
        <f t="shared" si="2899"/>
        <v>0</v>
      </c>
      <c r="K4144" s="518">
        <f t="shared" si="2899"/>
        <v>-300000</v>
      </c>
      <c r="L4144" s="317">
        <f t="shared" si="2869"/>
        <v>3200000</v>
      </c>
      <c r="M4144" s="317"/>
      <c r="N4144" s="372">
        <f t="shared" si="2873"/>
        <v>300000</v>
      </c>
      <c r="O4144" s="518">
        <f t="shared" ref="O4144:P4144" si="2900">O4145+O4146</f>
        <v>3520000.0000000005</v>
      </c>
      <c r="P4144" s="518">
        <f t="shared" si="2900"/>
        <v>3872000.0000000009</v>
      </c>
      <c r="R4144" s="317"/>
      <c r="U4144" s="320"/>
    </row>
    <row r="4145" spans="1:21" outlineLevel="3">
      <c r="A4145" s="907"/>
      <c r="B4145" s="907"/>
      <c r="C4145" s="332">
        <v>2210101</v>
      </c>
      <c r="D4145" s="330" t="s">
        <v>17</v>
      </c>
      <c r="E4145" s="529">
        <v>3000000</v>
      </c>
      <c r="F4145" s="389"/>
      <c r="G4145" s="389"/>
      <c r="H4145" s="389"/>
      <c r="I4145" s="324">
        <f t="shared" si="2881"/>
        <v>3000000</v>
      </c>
      <c r="J4145" s="389"/>
      <c r="K4145" s="389"/>
      <c r="L4145" s="317">
        <f t="shared" si="2869"/>
        <v>3000000</v>
      </c>
      <c r="M4145" s="317"/>
      <c r="N4145" s="372">
        <f t="shared" si="2873"/>
        <v>0</v>
      </c>
      <c r="O4145" s="336">
        <f t="shared" si="2896"/>
        <v>3300000.0000000005</v>
      </c>
      <c r="P4145" s="319">
        <f t="shared" si="2890"/>
        <v>3630000.0000000009</v>
      </c>
      <c r="R4145" s="317"/>
      <c r="U4145" s="320"/>
    </row>
    <row r="4146" spans="1:21" outlineLevel="3">
      <c r="A4146" s="907"/>
      <c r="B4146" s="907"/>
      <c r="C4146" s="332">
        <v>2210102</v>
      </c>
      <c r="D4146" s="330" t="s">
        <v>18</v>
      </c>
      <c r="E4146" s="529">
        <v>500000</v>
      </c>
      <c r="F4146" s="389"/>
      <c r="G4146" s="389"/>
      <c r="H4146" s="389"/>
      <c r="I4146" s="324">
        <f t="shared" si="2881"/>
        <v>500000</v>
      </c>
      <c r="J4146" s="389"/>
      <c r="K4146" s="389">
        <v>-300000</v>
      </c>
      <c r="L4146" s="317">
        <f t="shared" si="2869"/>
        <v>200000</v>
      </c>
      <c r="M4146" s="317"/>
      <c r="N4146" s="372">
        <f t="shared" si="2873"/>
        <v>300000</v>
      </c>
      <c r="O4146" s="336">
        <f t="shared" si="2896"/>
        <v>220000.00000000003</v>
      </c>
      <c r="P4146" s="319">
        <f t="shared" si="2890"/>
        <v>242000.00000000006</v>
      </c>
      <c r="R4146" s="317"/>
      <c r="U4146" s="320"/>
    </row>
    <row r="4147" spans="1:21" outlineLevel="3">
      <c r="A4147" s="907"/>
      <c r="B4147" s="907"/>
      <c r="C4147" s="340">
        <v>2210200</v>
      </c>
      <c r="D4147" s="338" t="s">
        <v>20</v>
      </c>
      <c r="E4147" s="518">
        <f>E4148+E4149+E4150</f>
        <v>177635</v>
      </c>
      <c r="F4147" s="518">
        <f t="shared" ref="F4147:K4147" si="2901">F4148+F4149+F4150</f>
        <v>0</v>
      </c>
      <c r="G4147" s="518">
        <f t="shared" si="2901"/>
        <v>0</v>
      </c>
      <c r="H4147" s="518">
        <f t="shared" si="2901"/>
        <v>0</v>
      </c>
      <c r="I4147" s="518">
        <f t="shared" si="2901"/>
        <v>177635</v>
      </c>
      <c r="J4147" s="518">
        <f t="shared" si="2901"/>
        <v>0</v>
      </c>
      <c r="K4147" s="518">
        <f t="shared" si="2901"/>
        <v>18350</v>
      </c>
      <c r="L4147" s="317">
        <f t="shared" si="2869"/>
        <v>195985</v>
      </c>
      <c r="M4147" s="317"/>
      <c r="N4147" s="372">
        <f t="shared" si="2873"/>
        <v>-18350</v>
      </c>
      <c r="O4147" s="518">
        <f t="shared" ref="O4147:P4147" si="2902">O4148+O4149+O4150</f>
        <v>215583.5</v>
      </c>
      <c r="P4147" s="518">
        <f t="shared" si="2902"/>
        <v>237141.85000000003</v>
      </c>
      <c r="R4147" s="317"/>
      <c r="U4147" s="320"/>
    </row>
    <row r="4148" spans="1:21" outlineLevel="3">
      <c r="A4148" s="907"/>
      <c r="B4148" s="907"/>
      <c r="C4148" s="332">
        <v>2210201</v>
      </c>
      <c r="D4148" s="330" t="s">
        <v>721</v>
      </c>
      <c r="E4148" s="529">
        <v>100000</v>
      </c>
      <c r="F4148" s="389"/>
      <c r="G4148" s="389"/>
      <c r="H4148" s="389"/>
      <c r="I4148" s="324">
        <f t="shared" si="2881"/>
        <v>100000</v>
      </c>
      <c r="J4148" s="389"/>
      <c r="K4148" s="389">
        <v>0</v>
      </c>
      <c r="L4148" s="317">
        <f t="shared" si="2869"/>
        <v>100000</v>
      </c>
      <c r="M4148" s="317"/>
      <c r="N4148" s="372">
        <f t="shared" si="2873"/>
        <v>0</v>
      </c>
      <c r="O4148" s="336">
        <f t="shared" si="2896"/>
        <v>110000.00000000001</v>
      </c>
      <c r="P4148" s="319">
        <f t="shared" si="2890"/>
        <v>121000.00000000003</v>
      </c>
      <c r="R4148" s="317"/>
      <c r="U4148" s="320"/>
    </row>
    <row r="4149" spans="1:21" outlineLevel="3">
      <c r="A4149" s="907"/>
      <c r="B4149" s="907"/>
      <c r="C4149" s="332">
        <v>2210202</v>
      </c>
      <c r="D4149" s="330" t="s">
        <v>22</v>
      </c>
      <c r="E4149" s="529">
        <v>67635</v>
      </c>
      <c r="F4149" s="389"/>
      <c r="G4149" s="389"/>
      <c r="H4149" s="389"/>
      <c r="I4149" s="324">
        <f t="shared" si="2881"/>
        <v>67635</v>
      </c>
      <c r="J4149" s="389"/>
      <c r="K4149" s="389">
        <v>0</v>
      </c>
      <c r="L4149" s="317">
        <f t="shared" si="2869"/>
        <v>67635</v>
      </c>
      <c r="M4149" s="317"/>
      <c r="N4149" s="372">
        <f t="shared" si="2873"/>
        <v>0</v>
      </c>
      <c r="O4149" s="336">
        <f t="shared" si="2896"/>
        <v>74398.5</v>
      </c>
      <c r="P4149" s="319">
        <f t="shared" si="2890"/>
        <v>81838.350000000006</v>
      </c>
      <c r="R4149" s="317"/>
      <c r="U4149" s="320"/>
    </row>
    <row r="4150" spans="1:21" outlineLevel="3">
      <c r="A4150" s="907"/>
      <c r="B4150" s="907"/>
      <c r="C4150" s="332">
        <v>2210203</v>
      </c>
      <c r="D4150" s="330" t="s">
        <v>23</v>
      </c>
      <c r="E4150" s="529">
        <v>10000</v>
      </c>
      <c r="F4150" s="389"/>
      <c r="G4150" s="389"/>
      <c r="H4150" s="389"/>
      <c r="I4150" s="324">
        <f t="shared" si="2881"/>
        <v>10000</v>
      </c>
      <c r="J4150" s="389"/>
      <c r="K4150" s="389">
        <v>18350</v>
      </c>
      <c r="L4150" s="317">
        <f t="shared" si="2869"/>
        <v>28350</v>
      </c>
      <c r="M4150" s="317"/>
      <c r="N4150" s="372">
        <f t="shared" si="2873"/>
        <v>-18350</v>
      </c>
      <c r="O4150" s="336">
        <f t="shared" si="2896"/>
        <v>31185.000000000004</v>
      </c>
      <c r="P4150" s="319">
        <f t="shared" si="2890"/>
        <v>34303.500000000007</v>
      </c>
      <c r="R4150" s="317"/>
      <c r="U4150" s="320"/>
    </row>
    <row r="4151" spans="1:21" outlineLevel="3">
      <c r="A4151" s="907"/>
      <c r="B4151" s="907"/>
      <c r="C4151" s="340">
        <v>2210300</v>
      </c>
      <c r="D4151" s="338" t="s">
        <v>722</v>
      </c>
      <c r="E4151" s="518">
        <f>E4152+E4153+E4154</f>
        <v>553455</v>
      </c>
      <c r="F4151" s="518">
        <f t="shared" ref="F4151:P4151" si="2903">F4152+F4153+F4154</f>
        <v>0</v>
      </c>
      <c r="G4151" s="518">
        <f t="shared" si="2903"/>
        <v>0</v>
      </c>
      <c r="H4151" s="518">
        <f t="shared" si="2903"/>
        <v>0</v>
      </c>
      <c r="I4151" s="518">
        <f t="shared" si="2903"/>
        <v>553455</v>
      </c>
      <c r="J4151" s="518">
        <f t="shared" si="2903"/>
        <v>0</v>
      </c>
      <c r="K4151" s="518">
        <f t="shared" si="2903"/>
        <v>0</v>
      </c>
      <c r="L4151" s="317">
        <f t="shared" si="2869"/>
        <v>553455</v>
      </c>
      <c r="M4151" s="317"/>
      <c r="N4151" s="372">
        <f t="shared" si="2873"/>
        <v>0</v>
      </c>
      <c r="O4151" s="518">
        <f t="shared" si="2903"/>
        <v>608800.5</v>
      </c>
      <c r="P4151" s="518">
        <f t="shared" si="2903"/>
        <v>669680.55000000016</v>
      </c>
      <c r="R4151" s="317"/>
      <c r="U4151" s="320"/>
    </row>
    <row r="4152" spans="1:21" outlineLevel="3">
      <c r="A4152" s="907"/>
      <c r="B4152" s="907"/>
      <c r="C4152" s="332">
        <v>2210301</v>
      </c>
      <c r="D4152" s="330" t="s">
        <v>188</v>
      </c>
      <c r="E4152" s="529">
        <v>220000</v>
      </c>
      <c r="F4152" s="389"/>
      <c r="G4152" s="389"/>
      <c r="H4152" s="389"/>
      <c r="I4152" s="324">
        <f t="shared" si="2881"/>
        <v>220000</v>
      </c>
      <c r="J4152" s="389"/>
      <c r="K4152" s="389"/>
      <c r="L4152" s="317">
        <f t="shared" si="2869"/>
        <v>220000</v>
      </c>
      <c r="M4152" s="317"/>
      <c r="N4152" s="372">
        <f t="shared" si="2873"/>
        <v>0</v>
      </c>
      <c r="O4152" s="336">
        <f t="shared" si="2896"/>
        <v>242000.00000000003</v>
      </c>
      <c r="P4152" s="319">
        <f t="shared" ref="P4152:P4171" si="2904">O4152*1.1</f>
        <v>266200.00000000006</v>
      </c>
      <c r="R4152" s="317"/>
      <c r="U4152" s="320"/>
    </row>
    <row r="4153" spans="1:21" s="337" customFormat="1" outlineLevel="3">
      <c r="A4153" s="907"/>
      <c r="B4153" s="907"/>
      <c r="C4153" s="332">
        <v>2210302</v>
      </c>
      <c r="D4153" s="330" t="s">
        <v>26</v>
      </c>
      <c r="E4153" s="529">
        <v>200000</v>
      </c>
      <c r="F4153" s="389"/>
      <c r="G4153" s="389"/>
      <c r="H4153" s="389"/>
      <c r="I4153" s="324">
        <f t="shared" si="2881"/>
        <v>200000</v>
      </c>
      <c r="J4153" s="389"/>
      <c r="K4153" s="389"/>
      <c r="L4153" s="317">
        <f t="shared" si="2869"/>
        <v>200000</v>
      </c>
      <c r="M4153" s="317"/>
      <c r="N4153" s="372">
        <f t="shared" si="2873"/>
        <v>0</v>
      </c>
      <c r="O4153" s="336">
        <f t="shared" si="2896"/>
        <v>220000.00000000003</v>
      </c>
      <c r="P4153" s="319">
        <f t="shared" si="2904"/>
        <v>242000.00000000006</v>
      </c>
      <c r="R4153" s="317"/>
      <c r="U4153" s="320"/>
    </row>
    <row r="4154" spans="1:21" outlineLevel="3">
      <c r="A4154" s="907"/>
      <c r="B4154" s="907"/>
      <c r="C4154" s="332">
        <v>2210303</v>
      </c>
      <c r="D4154" s="330" t="s">
        <v>223</v>
      </c>
      <c r="E4154" s="529">
        <v>133455</v>
      </c>
      <c r="F4154" s="389"/>
      <c r="G4154" s="389"/>
      <c r="H4154" s="389"/>
      <c r="I4154" s="324">
        <f t="shared" si="2881"/>
        <v>133455</v>
      </c>
      <c r="J4154" s="389"/>
      <c r="K4154" s="389"/>
      <c r="L4154" s="317">
        <f t="shared" si="2869"/>
        <v>133455</v>
      </c>
      <c r="M4154" s="317"/>
      <c r="N4154" s="372">
        <f t="shared" si="2873"/>
        <v>0</v>
      </c>
      <c r="O4154" s="336">
        <f t="shared" si="2896"/>
        <v>146800.5</v>
      </c>
      <c r="P4154" s="319">
        <f t="shared" si="2904"/>
        <v>161480.55000000002</v>
      </c>
      <c r="R4154" s="317"/>
      <c r="U4154" s="320"/>
    </row>
    <row r="4155" spans="1:21" outlineLevel="3">
      <c r="A4155" s="907"/>
      <c r="B4155" s="907"/>
      <c r="C4155" s="340">
        <v>2210500</v>
      </c>
      <c r="D4155" s="338" t="s">
        <v>723</v>
      </c>
      <c r="E4155" s="518">
        <f>E4156+E4157+E4159+E4158</f>
        <v>562133</v>
      </c>
      <c r="F4155" s="518">
        <f t="shared" ref="F4155:K4155" si="2905">F4156+F4157+F4159+F4158</f>
        <v>0</v>
      </c>
      <c r="G4155" s="518">
        <f t="shared" si="2905"/>
        <v>0</v>
      </c>
      <c r="H4155" s="518">
        <f t="shared" si="2905"/>
        <v>0</v>
      </c>
      <c r="I4155" s="518">
        <f t="shared" si="2905"/>
        <v>562133</v>
      </c>
      <c r="J4155" s="518">
        <f t="shared" si="2905"/>
        <v>0</v>
      </c>
      <c r="K4155" s="518">
        <f t="shared" si="2905"/>
        <v>28000</v>
      </c>
      <c r="L4155" s="317">
        <f t="shared" si="2869"/>
        <v>590133</v>
      </c>
      <c r="M4155" s="317"/>
      <c r="N4155" s="372">
        <f t="shared" si="2873"/>
        <v>-28000</v>
      </c>
      <c r="O4155" s="518">
        <f t="shared" ref="O4155:P4155" si="2906">O4156+O4157+O4159+O4158</f>
        <v>649146.30000000005</v>
      </c>
      <c r="P4155" s="518">
        <f t="shared" si="2906"/>
        <v>714060.93</v>
      </c>
      <c r="R4155" s="317"/>
      <c r="U4155" s="320"/>
    </row>
    <row r="4156" spans="1:21" outlineLevel="3">
      <c r="A4156" s="907"/>
      <c r="B4156" s="907"/>
      <c r="C4156" s="332">
        <v>2210502</v>
      </c>
      <c r="D4156" s="330" t="s">
        <v>105</v>
      </c>
      <c r="E4156" s="529">
        <v>50000</v>
      </c>
      <c r="F4156" s="389"/>
      <c r="G4156" s="389"/>
      <c r="H4156" s="389"/>
      <c r="I4156" s="324">
        <f t="shared" si="2881"/>
        <v>50000</v>
      </c>
      <c r="J4156" s="389"/>
      <c r="K4156" s="389">
        <v>50000</v>
      </c>
      <c r="L4156" s="317">
        <f t="shared" si="2869"/>
        <v>100000</v>
      </c>
      <c r="M4156" s="317"/>
      <c r="N4156" s="372">
        <f t="shared" si="2873"/>
        <v>-50000</v>
      </c>
      <c r="O4156" s="336">
        <f t="shared" si="2896"/>
        <v>110000.00000000001</v>
      </c>
      <c r="P4156" s="319">
        <f t="shared" si="2904"/>
        <v>121000.00000000003</v>
      </c>
      <c r="R4156" s="317"/>
      <c r="U4156" s="320"/>
    </row>
    <row r="4157" spans="1:21" s="337" customFormat="1" outlineLevel="3">
      <c r="A4157" s="907"/>
      <c r="B4157" s="907"/>
      <c r="C4157" s="332">
        <v>2210503</v>
      </c>
      <c r="D4157" s="330" t="s">
        <v>32</v>
      </c>
      <c r="E4157" s="529">
        <v>12000</v>
      </c>
      <c r="F4157" s="389"/>
      <c r="G4157" s="389"/>
      <c r="H4157" s="389"/>
      <c r="I4157" s="324">
        <f t="shared" si="2881"/>
        <v>12000</v>
      </c>
      <c r="J4157" s="389"/>
      <c r="K4157" s="389">
        <v>-12000</v>
      </c>
      <c r="L4157" s="317">
        <f t="shared" si="2869"/>
        <v>0</v>
      </c>
      <c r="M4157" s="317"/>
      <c r="N4157" s="372">
        <f t="shared" si="2873"/>
        <v>12000</v>
      </c>
      <c r="O4157" s="336">
        <f t="shared" si="2896"/>
        <v>0</v>
      </c>
      <c r="P4157" s="319">
        <f t="shared" si="2904"/>
        <v>0</v>
      </c>
      <c r="R4157" s="317"/>
      <c r="U4157" s="320"/>
    </row>
    <row r="4158" spans="1:21" s="337" customFormat="1" outlineLevel="3">
      <c r="A4158" s="907"/>
      <c r="B4158" s="907"/>
      <c r="C4158" s="332">
        <v>2210504</v>
      </c>
      <c r="D4158" s="330" t="s">
        <v>33</v>
      </c>
      <c r="E4158" s="529">
        <v>10000</v>
      </c>
      <c r="F4158" s="389"/>
      <c r="G4158" s="389"/>
      <c r="H4158" s="389"/>
      <c r="I4158" s="324">
        <f t="shared" si="2881"/>
        <v>10000</v>
      </c>
      <c r="J4158" s="389"/>
      <c r="K4158" s="389">
        <v>-10000</v>
      </c>
      <c r="L4158" s="317">
        <f t="shared" si="2869"/>
        <v>0</v>
      </c>
      <c r="M4158" s="317"/>
      <c r="N4158" s="372">
        <f t="shared" si="2873"/>
        <v>10000</v>
      </c>
      <c r="O4158" s="336">
        <f t="shared" si="2896"/>
        <v>0</v>
      </c>
      <c r="P4158" s="319">
        <f t="shared" si="2904"/>
        <v>0</v>
      </c>
      <c r="R4158" s="317"/>
      <c r="U4158" s="320"/>
    </row>
    <row r="4159" spans="1:21" outlineLevel="3">
      <c r="A4159" s="907"/>
      <c r="B4159" s="907"/>
      <c r="C4159" s="332">
        <v>2210505</v>
      </c>
      <c r="D4159" s="330" t="s">
        <v>1380</v>
      </c>
      <c r="E4159" s="529">
        <v>490133</v>
      </c>
      <c r="F4159" s="389"/>
      <c r="G4159" s="389"/>
      <c r="H4159" s="389"/>
      <c r="I4159" s="324">
        <f t="shared" si="2881"/>
        <v>490133</v>
      </c>
      <c r="J4159" s="389"/>
      <c r="K4159" s="389"/>
      <c r="L4159" s="317">
        <f t="shared" si="2869"/>
        <v>490133</v>
      </c>
      <c r="M4159" s="317"/>
      <c r="N4159" s="372">
        <f t="shared" si="2873"/>
        <v>0</v>
      </c>
      <c r="O4159" s="336">
        <f t="shared" si="2896"/>
        <v>539146.30000000005</v>
      </c>
      <c r="P4159" s="319">
        <f t="shared" si="2904"/>
        <v>593060.93000000005</v>
      </c>
      <c r="R4159" s="317"/>
      <c r="U4159" s="320"/>
    </row>
    <row r="4160" spans="1:21" outlineLevel="3">
      <c r="A4160" s="907"/>
      <c r="B4160" s="907"/>
      <c r="C4160" s="340">
        <v>2210700</v>
      </c>
      <c r="D4160" s="338" t="s">
        <v>35</v>
      </c>
      <c r="E4160" s="518">
        <f>E4161+E4162+E4163</f>
        <v>383900</v>
      </c>
      <c r="F4160" s="518">
        <f t="shared" ref="F4160:P4160" si="2907">F4161+F4162+F4163</f>
        <v>0</v>
      </c>
      <c r="G4160" s="518">
        <f t="shared" si="2907"/>
        <v>0</v>
      </c>
      <c r="H4160" s="518">
        <f t="shared" si="2907"/>
        <v>0</v>
      </c>
      <c r="I4160" s="518">
        <f t="shared" si="2907"/>
        <v>383900</v>
      </c>
      <c r="J4160" s="518">
        <f t="shared" si="2907"/>
        <v>0</v>
      </c>
      <c r="K4160" s="518">
        <f t="shared" si="2907"/>
        <v>0</v>
      </c>
      <c r="L4160" s="317">
        <f t="shared" si="2869"/>
        <v>383900</v>
      </c>
      <c r="M4160" s="317"/>
      <c r="N4160" s="372">
        <f t="shared" si="2873"/>
        <v>0</v>
      </c>
      <c r="O4160" s="518">
        <f t="shared" si="2907"/>
        <v>422290</v>
      </c>
      <c r="P4160" s="518">
        <f t="shared" si="2907"/>
        <v>464519</v>
      </c>
      <c r="R4160" s="317"/>
      <c r="U4160" s="320"/>
    </row>
    <row r="4161" spans="1:21" outlineLevel="3">
      <c r="A4161" s="907"/>
      <c r="B4161" s="907"/>
      <c r="C4161" s="332">
        <v>2210701</v>
      </c>
      <c r="D4161" s="330" t="s">
        <v>36</v>
      </c>
      <c r="E4161" s="529">
        <v>120000</v>
      </c>
      <c r="F4161" s="389"/>
      <c r="G4161" s="389"/>
      <c r="H4161" s="389"/>
      <c r="I4161" s="324">
        <f t="shared" si="2881"/>
        <v>120000</v>
      </c>
      <c r="J4161" s="389"/>
      <c r="K4161" s="389"/>
      <c r="L4161" s="317">
        <f t="shared" si="2869"/>
        <v>120000</v>
      </c>
      <c r="M4161" s="317"/>
      <c r="N4161" s="372">
        <f t="shared" si="2873"/>
        <v>0</v>
      </c>
      <c r="O4161" s="336">
        <f t="shared" si="2896"/>
        <v>132000</v>
      </c>
      <c r="P4161" s="319">
        <f t="shared" si="2904"/>
        <v>145200</v>
      </c>
      <c r="R4161" s="317"/>
      <c r="U4161" s="320"/>
    </row>
    <row r="4162" spans="1:21" s="337" customFormat="1" outlineLevel="3">
      <c r="A4162" s="907"/>
      <c r="B4162" s="907"/>
      <c r="C4162" s="332">
        <v>2210710</v>
      </c>
      <c r="D4162" s="330" t="s">
        <v>724</v>
      </c>
      <c r="E4162" s="529">
        <v>147900</v>
      </c>
      <c r="F4162" s="389"/>
      <c r="G4162" s="389"/>
      <c r="H4162" s="389"/>
      <c r="I4162" s="324">
        <f t="shared" si="2881"/>
        <v>147900</v>
      </c>
      <c r="J4162" s="389"/>
      <c r="K4162" s="389"/>
      <c r="L4162" s="317">
        <f t="shared" si="2869"/>
        <v>147900</v>
      </c>
      <c r="M4162" s="317"/>
      <c r="N4162" s="372">
        <f t="shared" si="2873"/>
        <v>0</v>
      </c>
      <c r="O4162" s="336">
        <f t="shared" si="2896"/>
        <v>162690</v>
      </c>
      <c r="P4162" s="319">
        <f t="shared" si="2904"/>
        <v>178959</v>
      </c>
      <c r="R4162" s="317"/>
      <c r="U4162" s="320"/>
    </row>
    <row r="4163" spans="1:21" outlineLevel="3">
      <c r="A4163" s="907"/>
      <c r="B4163" s="907"/>
      <c r="C4163" s="332">
        <v>2210711</v>
      </c>
      <c r="D4163" s="330" t="s">
        <v>156</v>
      </c>
      <c r="E4163" s="529">
        <v>116000</v>
      </c>
      <c r="F4163" s="389"/>
      <c r="G4163" s="389"/>
      <c r="H4163" s="389"/>
      <c r="I4163" s="324">
        <f t="shared" si="2881"/>
        <v>116000</v>
      </c>
      <c r="J4163" s="389"/>
      <c r="K4163" s="389"/>
      <c r="L4163" s="317">
        <f t="shared" si="2869"/>
        <v>116000</v>
      </c>
      <c r="M4163" s="317"/>
      <c r="N4163" s="372">
        <f t="shared" si="2873"/>
        <v>0</v>
      </c>
      <c r="O4163" s="336">
        <f t="shared" si="2896"/>
        <v>127600.00000000001</v>
      </c>
      <c r="P4163" s="319">
        <f t="shared" si="2904"/>
        <v>140360.00000000003</v>
      </c>
      <c r="R4163" s="317"/>
      <c r="U4163" s="320"/>
    </row>
    <row r="4164" spans="1:21" outlineLevel="3">
      <c r="A4164" s="907"/>
      <c r="B4164" s="907"/>
      <c r="C4164" s="340">
        <v>2210800</v>
      </c>
      <c r="D4164" s="338" t="s">
        <v>42</v>
      </c>
      <c r="E4164" s="518">
        <f>E4165+E4166</f>
        <v>1700000</v>
      </c>
      <c r="F4164" s="518">
        <f t="shared" ref="F4164:K4164" si="2908">F4165+F4166</f>
        <v>0</v>
      </c>
      <c r="G4164" s="518">
        <f t="shared" si="2908"/>
        <v>0</v>
      </c>
      <c r="H4164" s="518">
        <f t="shared" si="2908"/>
        <v>200000</v>
      </c>
      <c r="I4164" s="518">
        <f t="shared" si="2908"/>
        <v>1900000</v>
      </c>
      <c r="J4164" s="518">
        <f t="shared" si="2908"/>
        <v>0</v>
      </c>
      <c r="K4164" s="518">
        <f t="shared" si="2908"/>
        <v>100000</v>
      </c>
      <c r="L4164" s="317">
        <f t="shared" si="2869"/>
        <v>2000000</v>
      </c>
      <c r="M4164" s="317"/>
      <c r="N4164" s="372">
        <f t="shared" si="2873"/>
        <v>-100000</v>
      </c>
      <c r="O4164" s="518">
        <f t="shared" ref="O4164:P4164" si="2909">O4165+O4166</f>
        <v>2200000</v>
      </c>
      <c r="P4164" s="518">
        <f t="shared" si="2909"/>
        <v>2420000.0000000005</v>
      </c>
      <c r="R4164" s="317"/>
      <c r="U4164" s="320"/>
    </row>
    <row r="4165" spans="1:21" s="337" customFormat="1" outlineLevel="3">
      <c r="A4165" s="907"/>
      <c r="B4165" s="907"/>
      <c r="C4165" s="332">
        <v>2210801</v>
      </c>
      <c r="D4165" s="330" t="s">
        <v>2421</v>
      </c>
      <c r="E4165" s="529">
        <v>200000</v>
      </c>
      <c r="F4165" s="389"/>
      <c r="G4165" s="389"/>
      <c r="H4165" s="389"/>
      <c r="I4165" s="324">
        <f t="shared" si="2881"/>
        <v>200000</v>
      </c>
      <c r="J4165" s="389"/>
      <c r="K4165" s="389">
        <v>100000</v>
      </c>
      <c r="L4165" s="317">
        <f t="shared" ref="L4165:L4228" si="2910">I4165+J4165+K4165</f>
        <v>300000</v>
      </c>
      <c r="M4165" s="317"/>
      <c r="N4165" s="372">
        <f t="shared" si="2873"/>
        <v>-100000</v>
      </c>
      <c r="O4165" s="336">
        <f t="shared" si="2896"/>
        <v>330000</v>
      </c>
      <c r="P4165" s="319">
        <f t="shared" si="2904"/>
        <v>363000.00000000006</v>
      </c>
      <c r="R4165" s="317"/>
      <c r="U4165" s="320"/>
    </row>
    <row r="4166" spans="1:21" outlineLevel="3">
      <c r="A4166" s="907"/>
      <c r="B4166" s="907"/>
      <c r="C4166" s="332">
        <v>2210802</v>
      </c>
      <c r="D4166" s="330" t="s">
        <v>685</v>
      </c>
      <c r="E4166" s="529">
        <v>1500000</v>
      </c>
      <c r="F4166" s="389"/>
      <c r="G4166" s="389"/>
      <c r="H4166" s="389">
        <v>200000</v>
      </c>
      <c r="I4166" s="324">
        <f t="shared" si="2881"/>
        <v>1700000</v>
      </c>
      <c r="J4166" s="389"/>
      <c r="K4166" s="389"/>
      <c r="L4166" s="317">
        <f t="shared" si="2910"/>
        <v>1700000</v>
      </c>
      <c r="M4166" s="317"/>
      <c r="N4166" s="372">
        <f t="shared" si="2873"/>
        <v>0</v>
      </c>
      <c r="O4166" s="336">
        <f t="shared" si="2896"/>
        <v>1870000.0000000002</v>
      </c>
      <c r="P4166" s="319">
        <f t="shared" si="2904"/>
        <v>2057000.0000000005</v>
      </c>
      <c r="R4166" s="317"/>
      <c r="U4166" s="320"/>
    </row>
    <row r="4167" spans="1:21" outlineLevel="3">
      <c r="A4167" s="907"/>
      <c r="B4167" s="907"/>
      <c r="C4167" s="340">
        <v>2211000</v>
      </c>
      <c r="D4167" s="338" t="s">
        <v>118</v>
      </c>
      <c r="E4167" s="518">
        <f>E4168+E4169</f>
        <v>1000000</v>
      </c>
      <c r="F4167" s="518">
        <f t="shared" ref="F4167:P4167" si="2911">F4168+F4169</f>
        <v>111700</v>
      </c>
      <c r="G4167" s="518">
        <f t="shared" si="2911"/>
        <v>0</v>
      </c>
      <c r="H4167" s="518">
        <f t="shared" si="2911"/>
        <v>0</v>
      </c>
      <c r="I4167" s="518">
        <f t="shared" si="2911"/>
        <v>1111700</v>
      </c>
      <c r="J4167" s="518">
        <f t="shared" si="2911"/>
        <v>0</v>
      </c>
      <c r="K4167" s="518">
        <f t="shared" si="2911"/>
        <v>-3605</v>
      </c>
      <c r="L4167" s="317">
        <f t="shared" si="2910"/>
        <v>1108095</v>
      </c>
      <c r="M4167" s="317"/>
      <c r="N4167" s="372">
        <f t="shared" si="2873"/>
        <v>3605</v>
      </c>
      <c r="O4167" s="518">
        <f t="shared" si="2911"/>
        <v>1218904.5</v>
      </c>
      <c r="P4167" s="518">
        <f t="shared" si="2911"/>
        <v>1340794.9500000002</v>
      </c>
      <c r="R4167" s="317"/>
      <c r="U4167" s="320"/>
    </row>
    <row r="4168" spans="1:21" s="337" customFormat="1" outlineLevel="3">
      <c r="A4168" s="907"/>
      <c r="B4168" s="907"/>
      <c r="C4168" s="332">
        <v>2211006</v>
      </c>
      <c r="D4168" s="330" t="s">
        <v>726</v>
      </c>
      <c r="E4168" s="529">
        <v>500000</v>
      </c>
      <c r="F4168" s="389"/>
      <c r="G4168" s="389"/>
      <c r="H4168" s="389"/>
      <c r="I4168" s="324">
        <f t="shared" si="2881"/>
        <v>500000</v>
      </c>
      <c r="J4168" s="389"/>
      <c r="K4168" s="389">
        <v>-3605</v>
      </c>
      <c r="L4168" s="317">
        <f t="shared" si="2910"/>
        <v>496395</v>
      </c>
      <c r="M4168" s="317"/>
      <c r="N4168" s="372">
        <f t="shared" si="2873"/>
        <v>3605</v>
      </c>
      <c r="O4168" s="336">
        <f t="shared" si="2896"/>
        <v>546034.5</v>
      </c>
      <c r="P4168" s="319">
        <f t="shared" si="2904"/>
        <v>600637.95000000007</v>
      </c>
      <c r="R4168" s="317"/>
      <c r="U4168" s="320"/>
    </row>
    <row r="4169" spans="1:21" outlineLevel="3">
      <c r="A4169" s="907"/>
      <c r="B4169" s="907"/>
      <c r="C4169" s="332">
        <v>2211016</v>
      </c>
      <c r="D4169" s="330" t="s">
        <v>1381</v>
      </c>
      <c r="E4169" s="529">
        <v>500000</v>
      </c>
      <c r="F4169" s="389">
        <v>111700</v>
      </c>
      <c r="G4169" s="389"/>
      <c r="H4169" s="389"/>
      <c r="I4169" s="324">
        <f t="shared" si="2881"/>
        <v>611700</v>
      </c>
      <c r="J4169" s="389"/>
      <c r="K4169" s="389"/>
      <c r="L4169" s="317">
        <f t="shared" si="2910"/>
        <v>611700</v>
      </c>
      <c r="M4169" s="317"/>
      <c r="N4169" s="372">
        <f t="shared" ref="N4169:N4232" si="2912">M4169-K4169</f>
        <v>0</v>
      </c>
      <c r="O4169" s="336">
        <f t="shared" si="2896"/>
        <v>672870</v>
      </c>
      <c r="P4169" s="319">
        <f t="shared" si="2904"/>
        <v>740157.00000000012</v>
      </c>
      <c r="R4169" s="317"/>
      <c r="U4169" s="320"/>
    </row>
    <row r="4170" spans="1:21" outlineLevel="3">
      <c r="A4170" s="907"/>
      <c r="B4170" s="907"/>
      <c r="C4170" s="340">
        <v>2211100</v>
      </c>
      <c r="D4170" s="338" t="s">
        <v>51</v>
      </c>
      <c r="E4170" s="518">
        <f>E4171+E4172+E4173</f>
        <v>1300000</v>
      </c>
      <c r="F4170" s="518">
        <f t="shared" ref="F4170:K4170" si="2913">F4171+F4172+F4173</f>
        <v>0</v>
      </c>
      <c r="G4170" s="518">
        <f t="shared" si="2913"/>
        <v>0</v>
      </c>
      <c r="H4170" s="518">
        <f t="shared" si="2913"/>
        <v>-145000</v>
      </c>
      <c r="I4170" s="518">
        <f t="shared" si="2913"/>
        <v>1155000</v>
      </c>
      <c r="J4170" s="518">
        <f t="shared" si="2913"/>
        <v>0</v>
      </c>
      <c r="K4170" s="518">
        <f t="shared" si="2913"/>
        <v>-109345</v>
      </c>
      <c r="L4170" s="317">
        <f t="shared" si="2910"/>
        <v>1045655</v>
      </c>
      <c r="M4170" s="317"/>
      <c r="N4170" s="372">
        <f t="shared" si="2912"/>
        <v>109345</v>
      </c>
      <c r="O4170" s="518">
        <f t="shared" ref="O4170:P4170" si="2914">O4171+O4172+O4173</f>
        <v>1150220.5</v>
      </c>
      <c r="P4170" s="518">
        <f t="shared" si="2914"/>
        <v>1265242.55</v>
      </c>
      <c r="R4170" s="317"/>
      <c r="U4170" s="320"/>
    </row>
    <row r="4171" spans="1:21" outlineLevel="3">
      <c r="A4171" s="907"/>
      <c r="B4171" s="907"/>
      <c r="C4171" s="332">
        <v>2211101</v>
      </c>
      <c r="D4171" s="330" t="s">
        <v>727</v>
      </c>
      <c r="E4171" s="529">
        <v>500000</v>
      </c>
      <c r="F4171" s="389"/>
      <c r="G4171" s="389"/>
      <c r="H4171" s="389"/>
      <c r="I4171" s="324">
        <f t="shared" si="2881"/>
        <v>500000</v>
      </c>
      <c r="J4171" s="389"/>
      <c r="K4171" s="389">
        <v>-2220</v>
      </c>
      <c r="L4171" s="317">
        <f t="shared" si="2910"/>
        <v>497780</v>
      </c>
      <c r="M4171" s="317"/>
      <c r="N4171" s="372">
        <f t="shared" si="2912"/>
        <v>2220</v>
      </c>
      <c r="O4171" s="336">
        <f t="shared" si="2896"/>
        <v>547558</v>
      </c>
      <c r="P4171" s="319">
        <f t="shared" si="2904"/>
        <v>602313.80000000005</v>
      </c>
      <c r="R4171" s="317"/>
      <c r="U4171" s="320"/>
    </row>
    <row r="4172" spans="1:21" s="337" customFormat="1" outlineLevel="3">
      <c r="A4172" s="907"/>
      <c r="B4172" s="907"/>
      <c r="C4172" s="332">
        <v>2211102</v>
      </c>
      <c r="D4172" s="330" t="s">
        <v>53</v>
      </c>
      <c r="E4172" s="529">
        <v>500000</v>
      </c>
      <c r="F4172" s="389"/>
      <c r="G4172" s="389"/>
      <c r="H4172" s="389">
        <v>-145000</v>
      </c>
      <c r="I4172" s="324">
        <f t="shared" si="2881"/>
        <v>355000</v>
      </c>
      <c r="J4172" s="389"/>
      <c r="K4172" s="389">
        <v>-105645</v>
      </c>
      <c r="L4172" s="317">
        <f t="shared" si="2910"/>
        <v>249355</v>
      </c>
      <c r="M4172" s="317"/>
      <c r="N4172" s="372">
        <f t="shared" si="2912"/>
        <v>105645</v>
      </c>
      <c r="O4172" s="336">
        <f t="shared" si="2896"/>
        <v>274290.5</v>
      </c>
      <c r="P4172" s="319">
        <f t="shared" ref="P4172:P4190" si="2915">O4172*1.1</f>
        <v>301719.55000000005</v>
      </c>
      <c r="R4172" s="317"/>
      <c r="U4172" s="320"/>
    </row>
    <row r="4173" spans="1:21" outlineLevel="3">
      <c r="A4173" s="907"/>
      <c r="B4173" s="907"/>
      <c r="C4173" s="332">
        <v>2211103</v>
      </c>
      <c r="D4173" s="330" t="s">
        <v>54</v>
      </c>
      <c r="E4173" s="529">
        <v>300000</v>
      </c>
      <c r="F4173" s="389"/>
      <c r="G4173" s="389"/>
      <c r="H4173" s="389"/>
      <c r="I4173" s="324">
        <f t="shared" si="2881"/>
        <v>300000</v>
      </c>
      <c r="J4173" s="389"/>
      <c r="K4173" s="389">
        <v>-1480</v>
      </c>
      <c r="L4173" s="317">
        <f t="shared" si="2910"/>
        <v>298520</v>
      </c>
      <c r="M4173" s="317"/>
      <c r="N4173" s="372">
        <f t="shared" si="2912"/>
        <v>1480</v>
      </c>
      <c r="O4173" s="336">
        <f t="shared" si="2896"/>
        <v>328372</v>
      </c>
      <c r="P4173" s="319">
        <f t="shared" si="2915"/>
        <v>361209.2</v>
      </c>
      <c r="R4173" s="317"/>
      <c r="U4173" s="320"/>
    </row>
    <row r="4174" spans="1:21" s="337" customFormat="1" outlineLevel="3">
      <c r="A4174" s="907"/>
      <c r="B4174" s="907"/>
      <c r="C4174" s="340">
        <v>2211200</v>
      </c>
      <c r="D4174" s="338" t="s">
        <v>55</v>
      </c>
      <c r="E4174" s="518">
        <f>E4175</f>
        <v>1000000</v>
      </c>
      <c r="F4174" s="518">
        <f t="shared" ref="F4174:K4174" si="2916">F4175</f>
        <v>0</v>
      </c>
      <c r="G4174" s="518">
        <f t="shared" si="2916"/>
        <v>0</v>
      </c>
      <c r="H4174" s="518">
        <f t="shared" si="2916"/>
        <v>0</v>
      </c>
      <c r="I4174" s="518">
        <f t="shared" si="2916"/>
        <v>1000000</v>
      </c>
      <c r="J4174" s="518">
        <f t="shared" si="2916"/>
        <v>0</v>
      </c>
      <c r="K4174" s="518">
        <f t="shared" si="2916"/>
        <v>0</v>
      </c>
      <c r="L4174" s="317">
        <f t="shared" si="2910"/>
        <v>1000000</v>
      </c>
      <c r="M4174" s="317"/>
      <c r="N4174" s="372">
        <f t="shared" si="2912"/>
        <v>0</v>
      </c>
      <c r="O4174" s="518">
        <f t="shared" ref="O4174:P4174" si="2917">O4175</f>
        <v>1100000</v>
      </c>
      <c r="P4174" s="518">
        <f t="shared" si="2917"/>
        <v>1210000</v>
      </c>
      <c r="R4174" s="317"/>
      <c r="U4174" s="320"/>
    </row>
    <row r="4175" spans="1:21" s="337" customFormat="1" outlineLevel="3">
      <c r="A4175" s="907"/>
      <c r="B4175" s="907"/>
      <c r="C4175" s="332">
        <v>2211201</v>
      </c>
      <c r="D4175" s="330" t="s">
        <v>56</v>
      </c>
      <c r="E4175" s="529">
        <v>1000000</v>
      </c>
      <c r="F4175" s="389"/>
      <c r="G4175" s="389"/>
      <c r="H4175" s="389"/>
      <c r="I4175" s="324">
        <f t="shared" si="2881"/>
        <v>1000000</v>
      </c>
      <c r="J4175" s="389"/>
      <c r="K4175" s="389"/>
      <c r="L4175" s="317">
        <f t="shared" si="2910"/>
        <v>1000000</v>
      </c>
      <c r="M4175" s="317"/>
      <c r="N4175" s="372">
        <f t="shared" si="2912"/>
        <v>0</v>
      </c>
      <c r="O4175" s="336">
        <f t="shared" si="2896"/>
        <v>1100000</v>
      </c>
      <c r="P4175" s="319">
        <f t="shared" si="2915"/>
        <v>1210000</v>
      </c>
      <c r="R4175" s="317"/>
      <c r="U4175" s="320"/>
    </row>
    <row r="4176" spans="1:21" s="337" customFormat="1" outlineLevel="3">
      <c r="A4176" s="907"/>
      <c r="B4176" s="907"/>
      <c r="C4176" s="340">
        <v>2211300</v>
      </c>
      <c r="D4176" s="338" t="s">
        <v>57</v>
      </c>
      <c r="E4176" s="518">
        <f>E4177+E4178</f>
        <v>80000</v>
      </c>
      <c r="F4176" s="518">
        <f t="shared" ref="F4176:P4176" si="2918">F4177+F4178</f>
        <v>0</v>
      </c>
      <c r="G4176" s="518">
        <f t="shared" si="2918"/>
        <v>0</v>
      </c>
      <c r="H4176" s="518">
        <f t="shared" si="2918"/>
        <v>0</v>
      </c>
      <c r="I4176" s="518">
        <f t="shared" si="2918"/>
        <v>80000</v>
      </c>
      <c r="J4176" s="518">
        <f t="shared" si="2918"/>
        <v>0</v>
      </c>
      <c r="K4176" s="518">
        <f t="shared" si="2918"/>
        <v>-48800</v>
      </c>
      <c r="L4176" s="317">
        <f t="shared" si="2910"/>
        <v>31200</v>
      </c>
      <c r="M4176" s="317"/>
      <c r="N4176" s="372">
        <f t="shared" si="2912"/>
        <v>48800</v>
      </c>
      <c r="O4176" s="518">
        <f t="shared" si="2918"/>
        <v>34320</v>
      </c>
      <c r="P4176" s="518">
        <f t="shared" si="2918"/>
        <v>37752.000000000007</v>
      </c>
      <c r="R4176" s="317"/>
      <c r="U4176" s="320"/>
    </row>
    <row r="4177" spans="1:21" s="337" customFormat="1" outlineLevel="3">
      <c r="A4177" s="907"/>
      <c r="B4177" s="907"/>
      <c r="C4177" s="332">
        <v>2211306</v>
      </c>
      <c r="D4177" s="464" t="s">
        <v>58</v>
      </c>
      <c r="E4177" s="529">
        <v>30000</v>
      </c>
      <c r="F4177" s="333"/>
      <c r="G4177" s="333"/>
      <c r="H4177" s="333"/>
      <c r="I4177" s="324">
        <f t="shared" si="2881"/>
        <v>30000</v>
      </c>
      <c r="J4177" s="333"/>
      <c r="K4177" s="333">
        <v>-18800</v>
      </c>
      <c r="L4177" s="317">
        <f t="shared" si="2910"/>
        <v>11200</v>
      </c>
      <c r="M4177" s="317"/>
      <c r="N4177" s="372">
        <f t="shared" si="2912"/>
        <v>18800</v>
      </c>
      <c r="O4177" s="336">
        <f t="shared" si="2896"/>
        <v>12320.000000000002</v>
      </c>
      <c r="P4177" s="319">
        <f t="shared" si="2915"/>
        <v>13552.000000000004</v>
      </c>
      <c r="R4177" s="317"/>
      <c r="U4177" s="320"/>
    </row>
    <row r="4178" spans="1:21" outlineLevel="3">
      <c r="A4178" s="907"/>
      <c r="B4178" s="907"/>
      <c r="C4178" s="332">
        <v>2211308</v>
      </c>
      <c r="D4178" s="330" t="s">
        <v>728</v>
      </c>
      <c r="E4178" s="529">
        <v>50000</v>
      </c>
      <c r="F4178" s="389"/>
      <c r="G4178" s="389"/>
      <c r="H4178" s="389"/>
      <c r="I4178" s="324">
        <f t="shared" si="2881"/>
        <v>50000</v>
      </c>
      <c r="J4178" s="389"/>
      <c r="K4178" s="389">
        <v>-30000</v>
      </c>
      <c r="L4178" s="317">
        <f t="shared" si="2910"/>
        <v>20000</v>
      </c>
      <c r="M4178" s="317"/>
      <c r="N4178" s="372">
        <f t="shared" si="2912"/>
        <v>30000</v>
      </c>
      <c r="O4178" s="336">
        <f t="shared" si="2896"/>
        <v>22000</v>
      </c>
      <c r="P4178" s="319">
        <f t="shared" si="2915"/>
        <v>24200.000000000004</v>
      </c>
      <c r="R4178" s="317"/>
      <c r="U4178" s="320"/>
    </row>
    <row r="4179" spans="1:21" s="337" customFormat="1" outlineLevel="3">
      <c r="A4179" s="907"/>
      <c r="B4179" s="907"/>
      <c r="C4179" s="340">
        <v>2220200</v>
      </c>
      <c r="D4179" s="338" t="s">
        <v>124</v>
      </c>
      <c r="E4179" s="518">
        <f>E4180</f>
        <v>905000</v>
      </c>
      <c r="F4179" s="518">
        <f t="shared" ref="F4179:P4179" si="2919">F4180</f>
        <v>0</v>
      </c>
      <c r="G4179" s="518">
        <f t="shared" si="2919"/>
        <v>0</v>
      </c>
      <c r="H4179" s="518">
        <f t="shared" si="2919"/>
        <v>0</v>
      </c>
      <c r="I4179" s="518">
        <f t="shared" si="2919"/>
        <v>905000</v>
      </c>
      <c r="J4179" s="518">
        <f t="shared" si="2919"/>
        <v>0</v>
      </c>
      <c r="K4179" s="518">
        <f t="shared" si="2919"/>
        <v>-245090</v>
      </c>
      <c r="L4179" s="317">
        <f t="shared" si="2910"/>
        <v>659910</v>
      </c>
      <c r="M4179" s="317"/>
      <c r="N4179" s="372">
        <f t="shared" si="2912"/>
        <v>245090</v>
      </c>
      <c r="O4179" s="518">
        <f t="shared" si="2919"/>
        <v>725901.00000000012</v>
      </c>
      <c r="P4179" s="518">
        <f t="shared" si="2919"/>
        <v>798491.10000000021</v>
      </c>
      <c r="R4179" s="317"/>
      <c r="U4179" s="320"/>
    </row>
    <row r="4180" spans="1:21" s="337" customFormat="1" outlineLevel="3" collapsed="1">
      <c r="A4180" s="907"/>
      <c r="B4180" s="907"/>
      <c r="C4180" s="332">
        <v>2220201</v>
      </c>
      <c r="D4180" s="330" t="s">
        <v>729</v>
      </c>
      <c r="E4180" s="529">
        <v>905000</v>
      </c>
      <c r="F4180" s="389"/>
      <c r="G4180" s="389"/>
      <c r="H4180" s="389"/>
      <c r="I4180" s="324">
        <f t="shared" si="2881"/>
        <v>905000</v>
      </c>
      <c r="J4180" s="389"/>
      <c r="K4180" s="389">
        <v>-245090</v>
      </c>
      <c r="L4180" s="317">
        <f t="shared" si="2910"/>
        <v>659910</v>
      </c>
      <c r="M4180" s="317"/>
      <c r="N4180" s="372">
        <f t="shared" si="2912"/>
        <v>245090</v>
      </c>
      <c r="O4180" s="336">
        <f t="shared" si="2896"/>
        <v>725901.00000000012</v>
      </c>
      <c r="P4180" s="319">
        <f t="shared" si="2915"/>
        <v>798491.10000000021</v>
      </c>
      <c r="R4180" s="317"/>
      <c r="U4180" s="320"/>
    </row>
    <row r="4181" spans="1:21" outlineLevel="2">
      <c r="A4181" s="907"/>
      <c r="B4181" s="907"/>
      <c r="C4181" s="403"/>
      <c r="D4181" s="447" t="s">
        <v>730</v>
      </c>
      <c r="E4181" s="515">
        <f>E4179+E4176+E4174+E4170+E4167+E4164+E4160+E4155+E4151+E4147+E4144</f>
        <v>11162123</v>
      </c>
      <c r="F4181" s="515">
        <f t="shared" ref="F4181:K4181" si="2920">F4179+F4176+F4174+F4170+F4167+F4164+F4160+F4155+F4151+F4147+F4144</f>
        <v>111700</v>
      </c>
      <c r="G4181" s="515">
        <f t="shared" si="2920"/>
        <v>0</v>
      </c>
      <c r="H4181" s="515">
        <f t="shared" si="2920"/>
        <v>55000</v>
      </c>
      <c r="I4181" s="515">
        <f t="shared" si="2920"/>
        <v>11328823</v>
      </c>
      <c r="J4181" s="515">
        <f t="shared" si="2920"/>
        <v>0</v>
      </c>
      <c r="K4181" s="515">
        <f t="shared" si="2920"/>
        <v>-560490</v>
      </c>
      <c r="L4181" s="317">
        <f t="shared" si="2910"/>
        <v>10768333</v>
      </c>
      <c r="M4181" s="317"/>
      <c r="N4181" s="372">
        <f t="shared" si="2912"/>
        <v>560490</v>
      </c>
      <c r="O4181" s="515">
        <f t="shared" ref="O4181:P4181" si="2921">O4179+O4176+O4174+O4170+O4167+O4164+O4160+O4155+O4151+O4147+O4144</f>
        <v>11845166.300000001</v>
      </c>
      <c r="P4181" s="515">
        <f t="shared" si="2921"/>
        <v>13029682.930000003</v>
      </c>
      <c r="R4181" s="317"/>
      <c r="U4181" s="320"/>
    </row>
    <row r="4182" spans="1:21" outlineLevel="2">
      <c r="A4182" s="907"/>
      <c r="B4182" s="907"/>
      <c r="C4182" s="340"/>
      <c r="D4182" s="447" t="s">
        <v>128</v>
      </c>
      <c r="E4182" s="515">
        <f>E4181+E4143</f>
        <v>46928010</v>
      </c>
      <c r="F4182" s="515">
        <f t="shared" ref="F4182:P4182" si="2922">F4181+F4143</f>
        <v>111700</v>
      </c>
      <c r="G4182" s="515">
        <f t="shared" si="2922"/>
        <v>0</v>
      </c>
      <c r="H4182" s="515">
        <f t="shared" si="2922"/>
        <v>55000</v>
      </c>
      <c r="I4182" s="515">
        <f t="shared" si="2922"/>
        <v>47094710</v>
      </c>
      <c r="J4182" s="515">
        <f t="shared" si="2922"/>
        <v>0</v>
      </c>
      <c r="K4182" s="515">
        <f t="shared" si="2922"/>
        <v>-560490</v>
      </c>
      <c r="L4182" s="317">
        <f t="shared" si="2910"/>
        <v>46534220</v>
      </c>
      <c r="M4182" s="317"/>
      <c r="N4182" s="372">
        <f t="shared" si="2912"/>
        <v>560490</v>
      </c>
      <c r="O4182" s="515">
        <f t="shared" si="2922"/>
        <v>51187642</v>
      </c>
      <c r="P4182" s="515">
        <f t="shared" si="2922"/>
        <v>56306406.200000018</v>
      </c>
      <c r="R4182" s="317"/>
      <c r="U4182" s="320"/>
    </row>
    <row r="4183" spans="1:21" outlineLevel="2">
      <c r="A4183" s="907"/>
      <c r="B4183" s="907"/>
      <c r="C4183" s="332"/>
      <c r="D4183" s="338"/>
      <c r="E4183" s="529">
        <v>0</v>
      </c>
      <c r="F4183" s="397"/>
      <c r="G4183" s="397"/>
      <c r="H4183" s="397"/>
      <c r="I4183" s="324">
        <f t="shared" si="2881"/>
        <v>0</v>
      </c>
      <c r="J4183" s="397"/>
      <c r="K4183" s="397"/>
      <c r="L4183" s="317">
        <f t="shared" si="2910"/>
        <v>0</v>
      </c>
      <c r="M4183" s="317"/>
      <c r="N4183" s="372">
        <f t="shared" si="2912"/>
        <v>0</v>
      </c>
      <c r="O4183" s="336">
        <f t="shared" si="2896"/>
        <v>0</v>
      </c>
      <c r="P4183" s="319">
        <f t="shared" si="2915"/>
        <v>0</v>
      </c>
      <c r="R4183" s="317"/>
      <c r="U4183" s="320"/>
    </row>
    <row r="4184" spans="1:21" outlineLevel="2">
      <c r="A4184" s="907"/>
      <c r="B4184" s="907"/>
      <c r="C4184" s="332"/>
      <c r="D4184" s="447" t="s">
        <v>92</v>
      </c>
      <c r="E4184" s="529">
        <v>0</v>
      </c>
      <c r="F4184" s="438"/>
      <c r="G4184" s="438"/>
      <c r="H4184" s="438"/>
      <c r="I4184" s="324">
        <f t="shared" si="2881"/>
        <v>0</v>
      </c>
      <c r="J4184" s="438"/>
      <c r="K4184" s="438"/>
      <c r="L4184" s="317">
        <f t="shared" si="2910"/>
        <v>0</v>
      </c>
      <c r="M4184" s="317"/>
      <c r="N4184" s="372">
        <f t="shared" si="2912"/>
        <v>0</v>
      </c>
      <c r="O4184" s="336">
        <f t="shared" si="2896"/>
        <v>0</v>
      </c>
      <c r="P4184" s="319">
        <f t="shared" si="2915"/>
        <v>0</v>
      </c>
      <c r="R4184" s="317"/>
      <c r="U4184" s="320"/>
    </row>
    <row r="4185" spans="1:21" outlineLevel="3">
      <c r="A4185" s="907"/>
      <c r="B4185" s="907"/>
      <c r="C4185" s="340">
        <v>3130100</v>
      </c>
      <c r="D4185" s="338" t="s">
        <v>166</v>
      </c>
      <c r="E4185" s="518">
        <f>E4186</f>
        <v>5000000</v>
      </c>
      <c r="F4185" s="518">
        <f t="shared" ref="F4185:K4185" si="2923">F4186</f>
        <v>0</v>
      </c>
      <c r="G4185" s="518">
        <f t="shared" si="2923"/>
        <v>0</v>
      </c>
      <c r="H4185" s="518">
        <f t="shared" si="2923"/>
        <v>0</v>
      </c>
      <c r="I4185" s="518">
        <f t="shared" si="2923"/>
        <v>5000000</v>
      </c>
      <c r="J4185" s="518">
        <f t="shared" si="2923"/>
        <v>0</v>
      </c>
      <c r="K4185" s="518">
        <f t="shared" si="2923"/>
        <v>-570988</v>
      </c>
      <c r="L4185" s="317">
        <f t="shared" si="2910"/>
        <v>4429012</v>
      </c>
      <c r="M4185" s="317"/>
      <c r="N4185" s="372">
        <f t="shared" si="2912"/>
        <v>570988</v>
      </c>
      <c r="O4185" s="518">
        <f t="shared" ref="O4185:P4185" si="2924">O4186</f>
        <v>4871913.2</v>
      </c>
      <c r="P4185" s="518">
        <f t="shared" si="2924"/>
        <v>5359104.5200000005</v>
      </c>
      <c r="R4185" s="317"/>
      <c r="U4185" s="320"/>
    </row>
    <row r="4186" spans="1:21" s="337" customFormat="1" outlineLevel="3">
      <c r="A4186" s="907"/>
      <c r="B4186" s="907"/>
      <c r="C4186" s="332">
        <v>3111504</v>
      </c>
      <c r="D4186" s="330" t="s">
        <v>1382</v>
      </c>
      <c r="E4186" s="529">
        <v>5000000</v>
      </c>
      <c r="F4186" s="389"/>
      <c r="G4186" s="389"/>
      <c r="H4186" s="389"/>
      <c r="I4186" s="324">
        <f t="shared" ref="I4186:I4247" si="2925">E4186+F4186+G4186+H4186</f>
        <v>5000000</v>
      </c>
      <c r="J4186" s="389"/>
      <c r="K4186" s="389">
        <v>-570988</v>
      </c>
      <c r="L4186" s="317">
        <f t="shared" si="2910"/>
        <v>4429012</v>
      </c>
      <c r="M4186" s="317"/>
      <c r="N4186" s="372">
        <f t="shared" si="2912"/>
        <v>570988</v>
      </c>
      <c r="O4186" s="336">
        <f t="shared" si="2896"/>
        <v>4871913.2</v>
      </c>
      <c r="P4186" s="319">
        <f t="shared" si="2915"/>
        <v>5359104.5200000005</v>
      </c>
      <c r="R4186" s="317"/>
      <c r="U4186" s="320"/>
    </row>
    <row r="4187" spans="1:21" outlineLevel="2">
      <c r="A4187" s="907"/>
      <c r="B4187" s="907"/>
      <c r="C4187" s="340"/>
      <c r="D4187" s="447" t="s">
        <v>261</v>
      </c>
      <c r="E4187" s="515">
        <f>E4185</f>
        <v>5000000</v>
      </c>
      <c r="F4187" s="515">
        <f t="shared" ref="F4187:K4187" si="2926">F4185</f>
        <v>0</v>
      </c>
      <c r="G4187" s="515">
        <f t="shared" si="2926"/>
        <v>0</v>
      </c>
      <c r="H4187" s="515">
        <f t="shared" si="2926"/>
        <v>0</v>
      </c>
      <c r="I4187" s="515">
        <f t="shared" si="2926"/>
        <v>5000000</v>
      </c>
      <c r="J4187" s="515">
        <f t="shared" si="2926"/>
        <v>0</v>
      </c>
      <c r="K4187" s="515">
        <f t="shared" si="2926"/>
        <v>-570988</v>
      </c>
      <c r="L4187" s="317">
        <f t="shared" si="2910"/>
        <v>4429012</v>
      </c>
      <c r="M4187" s="317"/>
      <c r="N4187" s="372">
        <f t="shared" si="2912"/>
        <v>570988</v>
      </c>
      <c r="O4187" s="515">
        <f t="shared" ref="O4187:P4187" si="2927">O4185</f>
        <v>4871913.2</v>
      </c>
      <c r="P4187" s="515">
        <f t="shared" si="2927"/>
        <v>5359104.5200000005</v>
      </c>
      <c r="R4187" s="317"/>
      <c r="U4187" s="320"/>
    </row>
    <row r="4188" spans="1:21" outlineLevel="1">
      <c r="A4188" s="907"/>
      <c r="B4188" s="907"/>
      <c r="C4188" s="340"/>
      <c r="D4188" s="447" t="s">
        <v>627</v>
      </c>
      <c r="E4188" s="515">
        <f>E4187+E4182</f>
        <v>51928010</v>
      </c>
      <c r="F4188" s="515">
        <f t="shared" ref="F4188:P4188" si="2928">F4187+F4182</f>
        <v>111700</v>
      </c>
      <c r="G4188" s="515">
        <f t="shared" si="2928"/>
        <v>0</v>
      </c>
      <c r="H4188" s="515">
        <f t="shared" si="2928"/>
        <v>55000</v>
      </c>
      <c r="I4188" s="515">
        <f t="shared" si="2928"/>
        <v>52094710</v>
      </c>
      <c r="J4188" s="515">
        <f t="shared" si="2928"/>
        <v>0</v>
      </c>
      <c r="K4188" s="515">
        <f t="shared" si="2928"/>
        <v>-1131478</v>
      </c>
      <c r="L4188" s="317">
        <f t="shared" si="2910"/>
        <v>50963232</v>
      </c>
      <c r="M4188" s="317"/>
      <c r="N4188" s="372">
        <f t="shared" si="2912"/>
        <v>1131478</v>
      </c>
      <c r="O4188" s="515">
        <f t="shared" si="2928"/>
        <v>56059555.200000003</v>
      </c>
      <c r="P4188" s="515">
        <f t="shared" si="2928"/>
        <v>61665510.720000021</v>
      </c>
      <c r="R4188" s="317"/>
      <c r="U4188" s="320"/>
    </row>
    <row r="4189" spans="1:21" outlineLevel="1">
      <c r="A4189" s="907"/>
      <c r="B4189" s="907"/>
      <c r="C4189" s="332"/>
      <c r="D4189" s="330"/>
      <c r="E4189" s="529">
        <v>0</v>
      </c>
      <c r="F4189" s="389"/>
      <c r="G4189" s="389"/>
      <c r="H4189" s="389"/>
      <c r="I4189" s="324">
        <f t="shared" si="2925"/>
        <v>0</v>
      </c>
      <c r="J4189" s="389"/>
      <c r="K4189" s="389"/>
      <c r="L4189" s="317">
        <f t="shared" si="2910"/>
        <v>0</v>
      </c>
      <c r="M4189" s="317"/>
      <c r="N4189" s="372">
        <f t="shared" si="2912"/>
        <v>0</v>
      </c>
      <c r="O4189" s="336">
        <f t="shared" si="2896"/>
        <v>0</v>
      </c>
      <c r="P4189" s="319">
        <f t="shared" si="2915"/>
        <v>0</v>
      </c>
      <c r="R4189" s="317"/>
      <c r="U4189" s="320"/>
    </row>
    <row r="4190" spans="1:21" s="337" customFormat="1" outlineLevel="1">
      <c r="A4190" s="1023" t="s">
        <v>178</v>
      </c>
      <c r="B4190" s="1023"/>
      <c r="C4190" s="314" t="s">
        <v>731</v>
      </c>
      <c r="D4190" s="447"/>
      <c r="E4190" s="529">
        <v>0</v>
      </c>
      <c r="F4190" s="438"/>
      <c r="G4190" s="438"/>
      <c r="H4190" s="438"/>
      <c r="I4190" s="324">
        <f t="shared" si="2925"/>
        <v>0</v>
      </c>
      <c r="J4190" s="438"/>
      <c r="K4190" s="438"/>
      <c r="L4190" s="317">
        <f t="shared" si="2910"/>
        <v>0</v>
      </c>
      <c r="M4190" s="317"/>
      <c r="N4190" s="372">
        <f t="shared" si="2912"/>
        <v>0</v>
      </c>
      <c r="O4190" s="336">
        <f t="shared" si="2896"/>
        <v>0</v>
      </c>
      <c r="P4190" s="319">
        <f t="shared" si="2915"/>
        <v>0</v>
      </c>
      <c r="R4190" s="317"/>
      <c r="U4190" s="320"/>
    </row>
    <row r="4191" spans="1:21" outlineLevel="1">
      <c r="A4191" s="1023"/>
      <c r="B4191" s="1023" t="s">
        <v>146</v>
      </c>
      <c r="C4191" s="314" t="s">
        <v>732</v>
      </c>
      <c r="D4191" s="447"/>
      <c r="E4191" s="529">
        <v>0</v>
      </c>
      <c r="F4191" s="438"/>
      <c r="G4191" s="438"/>
      <c r="H4191" s="438"/>
      <c r="I4191" s="324">
        <f t="shared" si="2925"/>
        <v>0</v>
      </c>
      <c r="J4191" s="438"/>
      <c r="K4191" s="438"/>
      <c r="L4191" s="317">
        <f t="shared" si="2910"/>
        <v>0</v>
      </c>
      <c r="M4191" s="317"/>
      <c r="N4191" s="372">
        <f t="shared" si="2912"/>
        <v>0</v>
      </c>
      <c r="O4191" s="336">
        <f t="shared" si="2896"/>
        <v>0</v>
      </c>
      <c r="P4191" s="319">
        <f t="shared" ref="P4191:P4209" si="2929">O4191*1.1</f>
        <v>0</v>
      </c>
      <c r="R4191" s="317"/>
      <c r="U4191" s="320"/>
    </row>
    <row r="4192" spans="1:21" s="337" customFormat="1" outlineLevel="3">
      <c r="A4192" s="907"/>
      <c r="B4192" s="907"/>
      <c r="C4192" s="340">
        <v>2110100</v>
      </c>
      <c r="D4192" s="449" t="s">
        <v>718</v>
      </c>
      <c r="E4192" s="518">
        <f>E4193</f>
        <v>3104417</v>
      </c>
      <c r="F4192" s="518">
        <f t="shared" ref="F4192:K4192" si="2930">F4193</f>
        <v>0</v>
      </c>
      <c r="G4192" s="518">
        <f t="shared" si="2930"/>
        <v>0</v>
      </c>
      <c r="H4192" s="518">
        <f t="shared" si="2930"/>
        <v>0</v>
      </c>
      <c r="I4192" s="518">
        <f t="shared" si="2930"/>
        <v>3104417</v>
      </c>
      <c r="J4192" s="518">
        <f t="shared" si="2930"/>
        <v>0</v>
      </c>
      <c r="K4192" s="518">
        <f t="shared" si="2930"/>
        <v>0</v>
      </c>
      <c r="L4192" s="317">
        <f t="shared" si="2910"/>
        <v>3104417</v>
      </c>
      <c r="M4192" s="317"/>
      <c r="N4192" s="372">
        <f t="shared" si="2912"/>
        <v>0</v>
      </c>
      <c r="O4192" s="518">
        <f t="shared" ref="O4192:P4192" si="2931">O4193</f>
        <v>3414858.7</v>
      </c>
      <c r="P4192" s="518">
        <f t="shared" si="2931"/>
        <v>3756344.5700000003</v>
      </c>
      <c r="R4192" s="317"/>
      <c r="U4192" s="320"/>
    </row>
    <row r="4193" spans="1:21" outlineLevel="3">
      <c r="A4193" s="907"/>
      <c r="B4193" s="907"/>
      <c r="C4193" s="332">
        <v>2110199</v>
      </c>
      <c r="D4193" s="452" t="s">
        <v>13</v>
      </c>
      <c r="E4193" s="529">
        <v>3104417</v>
      </c>
      <c r="F4193" s="364"/>
      <c r="G4193" s="364"/>
      <c r="H4193" s="364"/>
      <c r="I4193" s="324">
        <f t="shared" si="2925"/>
        <v>3104417</v>
      </c>
      <c r="J4193" s="364"/>
      <c r="K4193" s="364"/>
      <c r="L4193" s="317">
        <f t="shared" si="2910"/>
        <v>3104417</v>
      </c>
      <c r="M4193" s="317"/>
      <c r="N4193" s="372">
        <f t="shared" si="2912"/>
        <v>0</v>
      </c>
      <c r="O4193" s="336">
        <f t="shared" si="2896"/>
        <v>3414858.7</v>
      </c>
      <c r="P4193" s="319">
        <f t="shared" si="2929"/>
        <v>3756344.5700000003</v>
      </c>
      <c r="R4193" s="317"/>
      <c r="U4193" s="320"/>
    </row>
    <row r="4194" spans="1:21" outlineLevel="3">
      <c r="A4194" s="907"/>
      <c r="B4194" s="907"/>
      <c r="C4194" s="340">
        <v>2110300</v>
      </c>
      <c r="D4194" s="388" t="s">
        <v>181</v>
      </c>
      <c r="E4194" s="518">
        <f>E4195+E4196</f>
        <v>1061017</v>
      </c>
      <c r="F4194" s="518">
        <f t="shared" ref="F4194:K4194" si="2932">F4195+F4196</f>
        <v>0</v>
      </c>
      <c r="G4194" s="518">
        <f t="shared" si="2932"/>
        <v>0</v>
      </c>
      <c r="H4194" s="518">
        <f t="shared" si="2932"/>
        <v>0</v>
      </c>
      <c r="I4194" s="518">
        <f t="shared" si="2932"/>
        <v>1061017</v>
      </c>
      <c r="J4194" s="518">
        <f t="shared" si="2932"/>
        <v>0</v>
      </c>
      <c r="K4194" s="518">
        <f t="shared" si="2932"/>
        <v>0</v>
      </c>
      <c r="L4194" s="317">
        <f t="shared" si="2910"/>
        <v>1061017</v>
      </c>
      <c r="M4194" s="317"/>
      <c r="N4194" s="372">
        <f t="shared" si="2912"/>
        <v>0</v>
      </c>
      <c r="O4194" s="518">
        <f t="shared" ref="O4194:P4194" si="2933">O4195+O4196</f>
        <v>1167118.7000000002</v>
      </c>
      <c r="P4194" s="518">
        <f t="shared" si="2933"/>
        <v>1283830.5700000003</v>
      </c>
      <c r="R4194" s="317"/>
      <c r="U4194" s="320"/>
    </row>
    <row r="4195" spans="1:21" s="337" customFormat="1" outlineLevel="3">
      <c r="A4195" s="907"/>
      <c r="B4195" s="907"/>
      <c r="C4195" s="332">
        <v>2110301</v>
      </c>
      <c r="D4195" s="908" t="s">
        <v>182</v>
      </c>
      <c r="E4195" s="529">
        <v>645677</v>
      </c>
      <c r="F4195" s="389"/>
      <c r="G4195" s="389"/>
      <c r="H4195" s="389"/>
      <c r="I4195" s="324">
        <f t="shared" si="2925"/>
        <v>645677</v>
      </c>
      <c r="J4195" s="389"/>
      <c r="K4195" s="389"/>
      <c r="L4195" s="317">
        <f t="shared" si="2910"/>
        <v>645677</v>
      </c>
      <c r="M4195" s="317"/>
      <c r="N4195" s="372">
        <f t="shared" si="2912"/>
        <v>0</v>
      </c>
      <c r="O4195" s="336">
        <f t="shared" si="2896"/>
        <v>710244.70000000007</v>
      </c>
      <c r="P4195" s="319">
        <f t="shared" si="2929"/>
        <v>781269.17000000016</v>
      </c>
      <c r="R4195" s="317"/>
      <c r="U4195" s="320"/>
    </row>
    <row r="4196" spans="1:21" outlineLevel="3">
      <c r="A4196" s="907"/>
      <c r="B4196" s="907"/>
      <c r="C4196" s="332">
        <v>2110314</v>
      </c>
      <c r="D4196" s="387" t="s">
        <v>183</v>
      </c>
      <c r="E4196" s="529">
        <v>415340</v>
      </c>
      <c r="F4196" s="334"/>
      <c r="G4196" s="334"/>
      <c r="H4196" s="334"/>
      <c r="I4196" s="324">
        <f t="shared" si="2925"/>
        <v>415340</v>
      </c>
      <c r="J4196" s="334"/>
      <c r="K4196" s="334"/>
      <c r="L4196" s="317">
        <f t="shared" si="2910"/>
        <v>415340</v>
      </c>
      <c r="M4196" s="317"/>
      <c r="N4196" s="372">
        <f t="shared" si="2912"/>
        <v>0</v>
      </c>
      <c r="O4196" s="336">
        <f t="shared" si="2896"/>
        <v>456874.00000000006</v>
      </c>
      <c r="P4196" s="319">
        <f t="shared" si="2929"/>
        <v>502561.40000000008</v>
      </c>
      <c r="R4196" s="317"/>
      <c r="U4196" s="320"/>
    </row>
    <row r="4197" spans="1:21" outlineLevel="3">
      <c r="A4197" s="907"/>
      <c r="B4197" s="907"/>
      <c r="C4197" s="340">
        <v>2120100</v>
      </c>
      <c r="D4197" s="449" t="s">
        <v>184</v>
      </c>
      <c r="E4197" s="518">
        <f>E4198+E4199</f>
        <v>518550</v>
      </c>
      <c r="F4197" s="518">
        <f t="shared" ref="F4197:K4197" si="2934">F4198+F4199</f>
        <v>0</v>
      </c>
      <c r="G4197" s="518">
        <f t="shared" si="2934"/>
        <v>0</v>
      </c>
      <c r="H4197" s="518">
        <f t="shared" si="2934"/>
        <v>0</v>
      </c>
      <c r="I4197" s="518">
        <f t="shared" si="2934"/>
        <v>518550</v>
      </c>
      <c r="J4197" s="518">
        <f t="shared" si="2934"/>
        <v>0</v>
      </c>
      <c r="K4197" s="518">
        <f t="shared" si="2934"/>
        <v>0</v>
      </c>
      <c r="L4197" s="317">
        <f t="shared" si="2910"/>
        <v>518550</v>
      </c>
      <c r="M4197" s="317"/>
      <c r="N4197" s="372">
        <f t="shared" si="2912"/>
        <v>0</v>
      </c>
      <c r="O4197" s="518">
        <f t="shared" ref="O4197:P4197" si="2935">O4198+O4199</f>
        <v>570405.00000000012</v>
      </c>
      <c r="P4197" s="518">
        <f t="shared" si="2935"/>
        <v>627445.50000000012</v>
      </c>
      <c r="R4197" s="317"/>
      <c r="U4197" s="320"/>
    </row>
    <row r="4198" spans="1:21" s="337" customFormat="1" outlineLevel="3">
      <c r="A4198" s="907"/>
      <c r="B4198" s="907"/>
      <c r="C4198" s="332">
        <v>2120101</v>
      </c>
      <c r="D4198" s="330" t="s">
        <v>185</v>
      </c>
      <c r="E4198" s="529">
        <v>82900</v>
      </c>
      <c r="F4198" s="389"/>
      <c r="G4198" s="389"/>
      <c r="H4198" s="389"/>
      <c r="I4198" s="324">
        <f t="shared" si="2925"/>
        <v>82900</v>
      </c>
      <c r="J4198" s="389"/>
      <c r="K4198" s="389"/>
      <c r="L4198" s="317">
        <f t="shared" si="2910"/>
        <v>82900</v>
      </c>
      <c r="M4198" s="317"/>
      <c r="N4198" s="372">
        <f t="shared" si="2912"/>
        <v>0</v>
      </c>
      <c r="O4198" s="336">
        <f t="shared" si="2896"/>
        <v>91190.000000000015</v>
      </c>
      <c r="P4198" s="319">
        <f t="shared" si="2929"/>
        <v>100309.00000000003</v>
      </c>
      <c r="R4198" s="317"/>
      <c r="U4198" s="320"/>
    </row>
    <row r="4199" spans="1:21" s="337" customFormat="1" outlineLevel="3">
      <c r="A4199" s="907"/>
      <c r="B4199" s="907"/>
      <c r="C4199" s="332">
        <v>2120103</v>
      </c>
      <c r="D4199" s="330" t="s">
        <v>186</v>
      </c>
      <c r="E4199" s="529">
        <v>435650</v>
      </c>
      <c r="F4199" s="389"/>
      <c r="G4199" s="389"/>
      <c r="H4199" s="389"/>
      <c r="I4199" s="324">
        <f t="shared" si="2925"/>
        <v>435650</v>
      </c>
      <c r="J4199" s="389"/>
      <c r="K4199" s="389"/>
      <c r="L4199" s="317">
        <f t="shared" si="2910"/>
        <v>435650</v>
      </c>
      <c r="M4199" s="317"/>
      <c r="N4199" s="372">
        <f t="shared" si="2912"/>
        <v>0</v>
      </c>
      <c r="O4199" s="336">
        <f t="shared" si="2896"/>
        <v>479215.00000000006</v>
      </c>
      <c r="P4199" s="319">
        <f t="shared" si="2929"/>
        <v>527136.50000000012</v>
      </c>
      <c r="R4199" s="317"/>
      <c r="U4199" s="320"/>
    </row>
    <row r="4200" spans="1:21" outlineLevel="3">
      <c r="A4200" s="907"/>
      <c r="B4200" s="907"/>
      <c r="C4200" s="340"/>
      <c r="D4200" s="338" t="s">
        <v>720</v>
      </c>
      <c r="E4200" s="518">
        <f>E4197+E4194+E4192</f>
        <v>4683984</v>
      </c>
      <c r="F4200" s="518">
        <f t="shared" ref="F4200:K4200" si="2936">F4197+F4194+F4192</f>
        <v>0</v>
      </c>
      <c r="G4200" s="518">
        <f t="shared" si="2936"/>
        <v>0</v>
      </c>
      <c r="H4200" s="518">
        <f t="shared" si="2936"/>
        <v>0</v>
      </c>
      <c r="I4200" s="518">
        <f t="shared" si="2936"/>
        <v>4683984</v>
      </c>
      <c r="J4200" s="518">
        <f t="shared" si="2936"/>
        <v>0</v>
      </c>
      <c r="K4200" s="518">
        <f t="shared" si="2936"/>
        <v>0</v>
      </c>
      <c r="L4200" s="317">
        <f t="shared" si="2910"/>
        <v>4683984</v>
      </c>
      <c r="M4200" s="317"/>
      <c r="N4200" s="372">
        <f t="shared" si="2912"/>
        <v>0</v>
      </c>
      <c r="O4200" s="518">
        <f t="shared" ref="O4200:P4200" si="2937">O4197+O4194+O4192</f>
        <v>5152382.4000000004</v>
      </c>
      <c r="P4200" s="518">
        <f t="shared" si="2937"/>
        <v>5667620.6400000006</v>
      </c>
      <c r="R4200" s="317"/>
      <c r="U4200" s="320"/>
    </row>
    <row r="4201" spans="1:21" outlineLevel="3">
      <c r="A4201" s="907"/>
      <c r="B4201" s="907"/>
      <c r="C4201" s="340">
        <v>2210200</v>
      </c>
      <c r="D4201" s="338" t="s">
        <v>20</v>
      </c>
      <c r="E4201" s="518">
        <f>E4202+E4203</f>
        <v>170000</v>
      </c>
      <c r="F4201" s="518">
        <f t="shared" ref="F4201:P4201" si="2938">F4202+F4203</f>
        <v>0</v>
      </c>
      <c r="G4201" s="518">
        <f t="shared" si="2938"/>
        <v>0</v>
      </c>
      <c r="H4201" s="518">
        <f t="shared" si="2938"/>
        <v>0</v>
      </c>
      <c r="I4201" s="518">
        <f t="shared" si="2938"/>
        <v>170000</v>
      </c>
      <c r="J4201" s="518">
        <f t="shared" si="2938"/>
        <v>0</v>
      </c>
      <c r="K4201" s="518">
        <f t="shared" si="2938"/>
        <v>0</v>
      </c>
      <c r="L4201" s="317">
        <f t="shared" si="2910"/>
        <v>170000</v>
      </c>
      <c r="M4201" s="317"/>
      <c r="N4201" s="372">
        <f t="shared" si="2912"/>
        <v>0</v>
      </c>
      <c r="O4201" s="518">
        <f t="shared" si="2938"/>
        <v>187000</v>
      </c>
      <c r="P4201" s="518">
        <f t="shared" si="2938"/>
        <v>205700.00000000003</v>
      </c>
      <c r="R4201" s="317"/>
      <c r="U4201" s="320"/>
    </row>
    <row r="4202" spans="1:21" s="337" customFormat="1" outlineLevel="3">
      <c r="A4202" s="907"/>
      <c r="B4202" s="907"/>
      <c r="C4202" s="332">
        <v>2210201</v>
      </c>
      <c r="D4202" s="330" t="s">
        <v>721</v>
      </c>
      <c r="E4202" s="529">
        <v>100000</v>
      </c>
      <c r="F4202" s="389"/>
      <c r="G4202" s="389"/>
      <c r="H4202" s="389"/>
      <c r="I4202" s="324">
        <f t="shared" si="2925"/>
        <v>100000</v>
      </c>
      <c r="J4202" s="389"/>
      <c r="K4202" s="389">
        <v>0</v>
      </c>
      <c r="L4202" s="317">
        <f t="shared" si="2910"/>
        <v>100000</v>
      </c>
      <c r="M4202" s="317"/>
      <c r="N4202" s="372">
        <f t="shared" si="2912"/>
        <v>0</v>
      </c>
      <c r="O4202" s="336">
        <f t="shared" si="2896"/>
        <v>110000.00000000001</v>
      </c>
      <c r="P4202" s="319">
        <f t="shared" si="2929"/>
        <v>121000.00000000003</v>
      </c>
      <c r="R4202" s="317"/>
      <c r="U4202" s="320"/>
    </row>
    <row r="4203" spans="1:21" outlineLevel="3">
      <c r="A4203" s="907"/>
      <c r="B4203" s="907"/>
      <c r="C4203" s="332">
        <v>2210202</v>
      </c>
      <c r="D4203" s="330" t="s">
        <v>22</v>
      </c>
      <c r="E4203" s="529">
        <v>70000</v>
      </c>
      <c r="F4203" s="389"/>
      <c r="G4203" s="389"/>
      <c r="H4203" s="389"/>
      <c r="I4203" s="324">
        <f t="shared" si="2925"/>
        <v>70000</v>
      </c>
      <c r="J4203" s="389"/>
      <c r="K4203" s="389">
        <v>0</v>
      </c>
      <c r="L4203" s="317">
        <f t="shared" si="2910"/>
        <v>70000</v>
      </c>
      <c r="M4203" s="317"/>
      <c r="N4203" s="372">
        <f t="shared" si="2912"/>
        <v>0</v>
      </c>
      <c r="O4203" s="336">
        <f t="shared" si="2896"/>
        <v>77000</v>
      </c>
      <c r="P4203" s="319">
        <f t="shared" si="2929"/>
        <v>84700</v>
      </c>
      <c r="R4203" s="317"/>
      <c r="U4203" s="320"/>
    </row>
    <row r="4204" spans="1:21" outlineLevel="3">
      <c r="A4204" s="907"/>
      <c r="B4204" s="907"/>
      <c r="C4204" s="340">
        <v>2210300</v>
      </c>
      <c r="D4204" s="338" t="s">
        <v>722</v>
      </c>
      <c r="E4204" s="518">
        <f>E4205+E4206+E4207</f>
        <v>344000</v>
      </c>
      <c r="F4204" s="518">
        <f t="shared" ref="F4204:P4204" si="2939">F4205+F4206+F4207</f>
        <v>0</v>
      </c>
      <c r="G4204" s="518">
        <f t="shared" si="2939"/>
        <v>0</v>
      </c>
      <c r="H4204" s="518">
        <f t="shared" si="2939"/>
        <v>0</v>
      </c>
      <c r="I4204" s="518">
        <f t="shared" si="2939"/>
        <v>344000</v>
      </c>
      <c r="J4204" s="518">
        <f t="shared" si="2939"/>
        <v>0</v>
      </c>
      <c r="K4204" s="518">
        <f t="shared" si="2939"/>
        <v>0</v>
      </c>
      <c r="L4204" s="317">
        <f t="shared" si="2910"/>
        <v>344000</v>
      </c>
      <c r="M4204" s="317"/>
      <c r="N4204" s="372">
        <f t="shared" si="2912"/>
        <v>0</v>
      </c>
      <c r="O4204" s="518">
        <f t="shared" si="2939"/>
        <v>378400</v>
      </c>
      <c r="P4204" s="518">
        <f t="shared" si="2939"/>
        <v>416240</v>
      </c>
      <c r="R4204" s="317"/>
      <c r="U4204" s="320"/>
    </row>
    <row r="4205" spans="1:21" outlineLevel="3">
      <c r="A4205" s="907"/>
      <c r="B4205" s="907"/>
      <c r="C4205" s="332">
        <v>2210301</v>
      </c>
      <c r="D4205" s="330" t="s">
        <v>188</v>
      </c>
      <c r="E4205" s="529">
        <v>125000</v>
      </c>
      <c r="F4205" s="389"/>
      <c r="G4205" s="389"/>
      <c r="H4205" s="389"/>
      <c r="I4205" s="324">
        <f t="shared" si="2925"/>
        <v>125000</v>
      </c>
      <c r="J4205" s="389"/>
      <c r="K4205" s="389"/>
      <c r="L4205" s="317">
        <f t="shared" si="2910"/>
        <v>125000</v>
      </c>
      <c r="M4205" s="317"/>
      <c r="N4205" s="372">
        <f t="shared" si="2912"/>
        <v>0</v>
      </c>
      <c r="O4205" s="336">
        <f t="shared" ref="O4205:O4268" si="2940">L4205*1.1</f>
        <v>137500</v>
      </c>
      <c r="P4205" s="319">
        <f t="shared" si="2929"/>
        <v>151250</v>
      </c>
      <c r="R4205" s="317"/>
      <c r="U4205" s="320"/>
    </row>
    <row r="4206" spans="1:21" s="337" customFormat="1" outlineLevel="3">
      <c r="A4206" s="907"/>
      <c r="B4206" s="907"/>
      <c r="C4206" s="332">
        <v>2210302</v>
      </c>
      <c r="D4206" s="330" t="s">
        <v>26</v>
      </c>
      <c r="E4206" s="529">
        <v>103000</v>
      </c>
      <c r="F4206" s="389"/>
      <c r="G4206" s="389"/>
      <c r="H4206" s="389"/>
      <c r="I4206" s="324">
        <f t="shared" si="2925"/>
        <v>103000</v>
      </c>
      <c r="J4206" s="389"/>
      <c r="K4206" s="389"/>
      <c r="L4206" s="317">
        <f t="shared" si="2910"/>
        <v>103000</v>
      </c>
      <c r="M4206" s="317"/>
      <c r="N4206" s="372">
        <f t="shared" si="2912"/>
        <v>0</v>
      </c>
      <c r="O4206" s="336">
        <f t="shared" si="2940"/>
        <v>113300.00000000001</v>
      </c>
      <c r="P4206" s="319">
        <f t="shared" si="2929"/>
        <v>124630.00000000003</v>
      </c>
      <c r="R4206" s="317"/>
      <c r="U4206" s="320"/>
    </row>
    <row r="4207" spans="1:21" outlineLevel="3">
      <c r="A4207" s="907"/>
      <c r="B4207" s="907"/>
      <c r="C4207" s="332">
        <v>2210303</v>
      </c>
      <c r="D4207" s="330" t="s">
        <v>223</v>
      </c>
      <c r="E4207" s="529">
        <v>116000</v>
      </c>
      <c r="F4207" s="389"/>
      <c r="G4207" s="389"/>
      <c r="H4207" s="389"/>
      <c r="I4207" s="324">
        <f t="shared" si="2925"/>
        <v>116000</v>
      </c>
      <c r="J4207" s="389"/>
      <c r="K4207" s="389"/>
      <c r="L4207" s="317">
        <f t="shared" si="2910"/>
        <v>116000</v>
      </c>
      <c r="M4207" s="317"/>
      <c r="N4207" s="372">
        <f t="shared" si="2912"/>
        <v>0</v>
      </c>
      <c r="O4207" s="336">
        <f t="shared" si="2940"/>
        <v>127600.00000000001</v>
      </c>
      <c r="P4207" s="319">
        <f t="shared" si="2929"/>
        <v>140360.00000000003</v>
      </c>
      <c r="R4207" s="317"/>
      <c r="U4207" s="320"/>
    </row>
    <row r="4208" spans="1:21" s="337" customFormat="1" outlineLevel="3">
      <c r="A4208" s="907"/>
      <c r="B4208" s="907"/>
      <c r="C4208" s="340">
        <v>2210500</v>
      </c>
      <c r="D4208" s="338" t="s">
        <v>723</v>
      </c>
      <c r="E4208" s="518">
        <f>E4209</f>
        <v>10000</v>
      </c>
      <c r="F4208" s="518">
        <f t="shared" ref="F4208:P4208" si="2941">F4209</f>
        <v>0</v>
      </c>
      <c r="G4208" s="518">
        <f t="shared" si="2941"/>
        <v>0</v>
      </c>
      <c r="H4208" s="518">
        <f t="shared" si="2941"/>
        <v>0</v>
      </c>
      <c r="I4208" s="518">
        <f t="shared" si="2941"/>
        <v>10000</v>
      </c>
      <c r="J4208" s="518">
        <f t="shared" si="2941"/>
        <v>0</v>
      </c>
      <c r="K4208" s="518">
        <f t="shared" si="2941"/>
        <v>-10000</v>
      </c>
      <c r="L4208" s="317">
        <f t="shared" si="2910"/>
        <v>0</v>
      </c>
      <c r="M4208" s="317"/>
      <c r="N4208" s="372">
        <f t="shared" si="2912"/>
        <v>10000</v>
      </c>
      <c r="O4208" s="518">
        <f t="shared" si="2941"/>
        <v>0</v>
      </c>
      <c r="P4208" s="518">
        <f t="shared" si="2941"/>
        <v>0</v>
      </c>
      <c r="R4208" s="317"/>
      <c r="U4208" s="320"/>
    </row>
    <row r="4209" spans="1:21" outlineLevel="3">
      <c r="A4209" s="907"/>
      <c r="B4209" s="907"/>
      <c r="C4209" s="332">
        <v>2210502</v>
      </c>
      <c r="D4209" s="330" t="s">
        <v>105</v>
      </c>
      <c r="E4209" s="529">
        <v>10000</v>
      </c>
      <c r="F4209" s="389"/>
      <c r="G4209" s="389"/>
      <c r="H4209" s="389"/>
      <c r="I4209" s="324">
        <f t="shared" si="2925"/>
        <v>10000</v>
      </c>
      <c r="J4209" s="389"/>
      <c r="K4209" s="389">
        <v>-10000</v>
      </c>
      <c r="L4209" s="317">
        <f t="shared" si="2910"/>
        <v>0</v>
      </c>
      <c r="M4209" s="317"/>
      <c r="N4209" s="372">
        <f t="shared" si="2912"/>
        <v>10000</v>
      </c>
      <c r="O4209" s="336">
        <f t="shared" si="2940"/>
        <v>0</v>
      </c>
      <c r="P4209" s="319">
        <f t="shared" si="2929"/>
        <v>0</v>
      </c>
      <c r="R4209" s="317"/>
      <c r="U4209" s="320"/>
    </row>
    <row r="4210" spans="1:21" outlineLevel="3">
      <c r="A4210" s="907"/>
      <c r="B4210" s="907"/>
      <c r="C4210" s="340">
        <v>2210700</v>
      </c>
      <c r="D4210" s="338" t="s">
        <v>35</v>
      </c>
      <c r="E4210" s="518">
        <f>E4211+E4212+E4213+E4214</f>
        <v>243559.4</v>
      </c>
      <c r="F4210" s="518">
        <f t="shared" ref="F4210:K4210" si="2942">F4211+F4212+F4213+F4214</f>
        <v>0</v>
      </c>
      <c r="G4210" s="518">
        <f t="shared" si="2942"/>
        <v>0</v>
      </c>
      <c r="H4210" s="518">
        <f t="shared" si="2942"/>
        <v>0</v>
      </c>
      <c r="I4210" s="518">
        <f t="shared" si="2942"/>
        <v>243559.4</v>
      </c>
      <c r="J4210" s="518">
        <f t="shared" si="2942"/>
        <v>0</v>
      </c>
      <c r="K4210" s="518">
        <f t="shared" si="2942"/>
        <v>0</v>
      </c>
      <c r="L4210" s="317">
        <f t="shared" si="2910"/>
        <v>243559.4</v>
      </c>
      <c r="M4210" s="317"/>
      <c r="N4210" s="372">
        <f t="shared" si="2912"/>
        <v>0</v>
      </c>
      <c r="O4210" s="518">
        <f t="shared" ref="O4210:P4210" si="2943">O4211+O4212+O4213+O4214</f>
        <v>267915.34000000003</v>
      </c>
      <c r="P4210" s="518">
        <f t="shared" si="2943"/>
        <v>294706.87400000001</v>
      </c>
      <c r="R4210" s="317"/>
      <c r="U4210" s="320"/>
    </row>
    <row r="4211" spans="1:21" outlineLevel="3">
      <c r="A4211" s="907"/>
      <c r="B4211" s="907"/>
      <c r="C4211" s="332">
        <v>2210701</v>
      </c>
      <c r="D4211" s="330" t="s">
        <v>36</v>
      </c>
      <c r="E4211" s="529">
        <v>66700</v>
      </c>
      <c r="F4211" s="389"/>
      <c r="G4211" s="389"/>
      <c r="H4211" s="389"/>
      <c r="I4211" s="324">
        <f t="shared" si="2925"/>
        <v>66700</v>
      </c>
      <c r="J4211" s="389"/>
      <c r="K4211" s="389"/>
      <c r="L4211" s="317">
        <f t="shared" si="2910"/>
        <v>66700</v>
      </c>
      <c r="M4211" s="317"/>
      <c r="N4211" s="372">
        <f t="shared" si="2912"/>
        <v>0</v>
      </c>
      <c r="O4211" s="336">
        <f t="shared" si="2940"/>
        <v>73370</v>
      </c>
      <c r="P4211" s="319">
        <f t="shared" ref="P4211:P4229" si="2944">O4211*1.1</f>
        <v>80707</v>
      </c>
      <c r="R4211" s="317"/>
      <c r="U4211" s="320"/>
    </row>
    <row r="4212" spans="1:21" outlineLevel="3">
      <c r="A4212" s="907"/>
      <c r="B4212" s="907"/>
      <c r="C4212" s="332">
        <v>2210710</v>
      </c>
      <c r="D4212" s="330" t="s">
        <v>733</v>
      </c>
      <c r="E4212" s="529">
        <v>58000</v>
      </c>
      <c r="F4212" s="389"/>
      <c r="G4212" s="389"/>
      <c r="H4212" s="389"/>
      <c r="I4212" s="324">
        <f t="shared" si="2925"/>
        <v>58000</v>
      </c>
      <c r="J4212" s="389"/>
      <c r="K4212" s="389"/>
      <c r="L4212" s="317">
        <f t="shared" si="2910"/>
        <v>58000</v>
      </c>
      <c r="M4212" s="317"/>
      <c r="N4212" s="372">
        <f t="shared" si="2912"/>
        <v>0</v>
      </c>
      <c r="O4212" s="336">
        <f t="shared" si="2940"/>
        <v>63800.000000000007</v>
      </c>
      <c r="P4212" s="319">
        <f t="shared" si="2944"/>
        <v>70180.000000000015</v>
      </c>
      <c r="R4212" s="317"/>
      <c r="U4212" s="320"/>
    </row>
    <row r="4213" spans="1:21" s="337" customFormat="1" outlineLevel="3">
      <c r="A4213" s="907"/>
      <c r="B4213" s="907"/>
      <c r="C4213" s="332">
        <v>2210711</v>
      </c>
      <c r="D4213" s="330" t="s">
        <v>156</v>
      </c>
      <c r="E4213" s="529">
        <v>92759.4</v>
      </c>
      <c r="F4213" s="389"/>
      <c r="G4213" s="389"/>
      <c r="H4213" s="389"/>
      <c r="I4213" s="324">
        <f t="shared" si="2925"/>
        <v>92759.4</v>
      </c>
      <c r="J4213" s="389"/>
      <c r="K4213" s="389"/>
      <c r="L4213" s="317">
        <f t="shared" si="2910"/>
        <v>92759.4</v>
      </c>
      <c r="M4213" s="317"/>
      <c r="N4213" s="372">
        <f t="shared" si="2912"/>
        <v>0</v>
      </c>
      <c r="O4213" s="336">
        <f t="shared" si="2940"/>
        <v>102035.34</v>
      </c>
      <c r="P4213" s="319">
        <f t="shared" si="2944"/>
        <v>112238.87400000001</v>
      </c>
      <c r="R4213" s="317"/>
      <c r="U4213" s="320"/>
    </row>
    <row r="4214" spans="1:21" outlineLevel="3">
      <c r="A4214" s="907"/>
      <c r="B4214" s="907"/>
      <c r="C4214" s="332">
        <v>2210712</v>
      </c>
      <c r="D4214" s="330" t="s">
        <v>734</v>
      </c>
      <c r="E4214" s="529">
        <v>26100</v>
      </c>
      <c r="F4214" s="389"/>
      <c r="G4214" s="389"/>
      <c r="H4214" s="389"/>
      <c r="I4214" s="324">
        <f t="shared" si="2925"/>
        <v>26100</v>
      </c>
      <c r="J4214" s="389"/>
      <c r="K4214" s="389"/>
      <c r="L4214" s="317">
        <f t="shared" si="2910"/>
        <v>26100</v>
      </c>
      <c r="M4214" s="317"/>
      <c r="N4214" s="372">
        <f t="shared" si="2912"/>
        <v>0</v>
      </c>
      <c r="O4214" s="336">
        <f t="shared" si="2940"/>
        <v>28710.000000000004</v>
      </c>
      <c r="P4214" s="319">
        <f t="shared" si="2944"/>
        <v>31581.000000000007</v>
      </c>
      <c r="R4214" s="317"/>
      <c r="U4214" s="320"/>
    </row>
    <row r="4215" spans="1:21" outlineLevel="3">
      <c r="A4215" s="907"/>
      <c r="B4215" s="907"/>
      <c r="C4215" s="340">
        <v>2210800</v>
      </c>
      <c r="D4215" s="338" t="s">
        <v>42</v>
      </c>
      <c r="E4215" s="518">
        <f>E4216+E4217</f>
        <v>300000</v>
      </c>
      <c r="F4215" s="518">
        <f t="shared" ref="F4215:K4215" si="2945">F4216+F4217</f>
        <v>0</v>
      </c>
      <c r="G4215" s="518">
        <f t="shared" si="2945"/>
        <v>0</v>
      </c>
      <c r="H4215" s="518">
        <f t="shared" si="2945"/>
        <v>300000</v>
      </c>
      <c r="I4215" s="518">
        <f t="shared" si="2945"/>
        <v>600000</v>
      </c>
      <c r="J4215" s="518">
        <f t="shared" si="2945"/>
        <v>0</v>
      </c>
      <c r="K4215" s="518">
        <f t="shared" si="2945"/>
        <v>100000</v>
      </c>
      <c r="L4215" s="317">
        <f t="shared" si="2910"/>
        <v>700000</v>
      </c>
      <c r="M4215" s="317"/>
      <c r="N4215" s="372">
        <f t="shared" si="2912"/>
        <v>-100000</v>
      </c>
      <c r="O4215" s="518">
        <f t="shared" ref="O4215:P4215" si="2946">O4216+O4217</f>
        <v>770000</v>
      </c>
      <c r="P4215" s="518">
        <f t="shared" si="2946"/>
        <v>847000.00000000012</v>
      </c>
      <c r="R4215" s="317"/>
      <c r="U4215" s="320"/>
    </row>
    <row r="4216" spans="1:21" s="337" customFormat="1" outlineLevel="3">
      <c r="A4216" s="907"/>
      <c r="B4216" s="907"/>
      <c r="C4216" s="332">
        <v>2210801</v>
      </c>
      <c r="D4216" s="330" t="s">
        <v>2421</v>
      </c>
      <c r="E4216" s="529">
        <v>185000</v>
      </c>
      <c r="F4216" s="389"/>
      <c r="G4216" s="389"/>
      <c r="H4216" s="389"/>
      <c r="I4216" s="324">
        <f t="shared" si="2925"/>
        <v>185000</v>
      </c>
      <c r="J4216" s="389"/>
      <c r="K4216" s="389">
        <v>100000</v>
      </c>
      <c r="L4216" s="317">
        <f t="shared" si="2910"/>
        <v>285000</v>
      </c>
      <c r="M4216" s="317"/>
      <c r="N4216" s="372">
        <f t="shared" si="2912"/>
        <v>-100000</v>
      </c>
      <c r="O4216" s="336">
        <f t="shared" si="2940"/>
        <v>313500</v>
      </c>
      <c r="P4216" s="319">
        <f t="shared" si="2944"/>
        <v>344850</v>
      </c>
      <c r="R4216" s="317"/>
      <c r="U4216" s="320"/>
    </row>
    <row r="4217" spans="1:21" outlineLevel="3">
      <c r="A4217" s="907"/>
      <c r="B4217" s="907"/>
      <c r="C4217" s="332">
        <v>2210802</v>
      </c>
      <c r="D4217" s="330" t="s">
        <v>97</v>
      </c>
      <c r="E4217" s="529">
        <v>115000</v>
      </c>
      <c r="F4217" s="389"/>
      <c r="G4217" s="389"/>
      <c r="H4217" s="389">
        <v>300000</v>
      </c>
      <c r="I4217" s="324">
        <f t="shared" si="2925"/>
        <v>415000</v>
      </c>
      <c r="J4217" s="389"/>
      <c r="K4217" s="389"/>
      <c r="L4217" s="317">
        <f t="shared" si="2910"/>
        <v>415000</v>
      </c>
      <c r="M4217" s="317"/>
      <c r="N4217" s="372">
        <f t="shared" si="2912"/>
        <v>0</v>
      </c>
      <c r="O4217" s="336">
        <f t="shared" si="2940"/>
        <v>456500.00000000006</v>
      </c>
      <c r="P4217" s="319">
        <f t="shared" si="2944"/>
        <v>502150.00000000012</v>
      </c>
      <c r="R4217" s="317"/>
      <c r="U4217" s="320"/>
    </row>
    <row r="4218" spans="1:21" s="337" customFormat="1" outlineLevel="3">
      <c r="A4218" s="907"/>
      <c r="B4218" s="907"/>
      <c r="C4218" s="340">
        <v>2211200</v>
      </c>
      <c r="D4218" s="338" t="s">
        <v>55</v>
      </c>
      <c r="E4218" s="518">
        <f>E4219</f>
        <v>1000000</v>
      </c>
      <c r="F4218" s="518">
        <f t="shared" ref="F4218:K4218" si="2947">F4219</f>
        <v>0</v>
      </c>
      <c r="G4218" s="518">
        <f t="shared" si="2947"/>
        <v>0</v>
      </c>
      <c r="H4218" s="518">
        <f t="shared" si="2947"/>
        <v>0</v>
      </c>
      <c r="I4218" s="518">
        <f t="shared" si="2947"/>
        <v>1000000</v>
      </c>
      <c r="J4218" s="518">
        <f t="shared" si="2947"/>
        <v>0</v>
      </c>
      <c r="K4218" s="518">
        <f t="shared" si="2947"/>
        <v>0</v>
      </c>
      <c r="L4218" s="317">
        <f t="shared" si="2910"/>
        <v>1000000</v>
      </c>
      <c r="M4218" s="317"/>
      <c r="N4218" s="372">
        <f t="shared" si="2912"/>
        <v>0</v>
      </c>
      <c r="O4218" s="518">
        <f t="shared" ref="O4218:P4218" si="2948">O4219</f>
        <v>1100000</v>
      </c>
      <c r="P4218" s="518">
        <f t="shared" si="2948"/>
        <v>1210000</v>
      </c>
      <c r="R4218" s="317"/>
      <c r="U4218" s="320"/>
    </row>
    <row r="4219" spans="1:21" outlineLevel="3">
      <c r="A4219" s="907"/>
      <c r="B4219" s="907"/>
      <c r="C4219" s="332">
        <v>2211201</v>
      </c>
      <c r="D4219" s="330" t="s">
        <v>56</v>
      </c>
      <c r="E4219" s="529">
        <v>1000000</v>
      </c>
      <c r="F4219" s="389"/>
      <c r="G4219" s="389"/>
      <c r="H4219" s="389"/>
      <c r="I4219" s="324">
        <f t="shared" si="2925"/>
        <v>1000000</v>
      </c>
      <c r="J4219" s="389"/>
      <c r="K4219" s="389"/>
      <c r="L4219" s="317">
        <f t="shared" si="2910"/>
        <v>1000000</v>
      </c>
      <c r="M4219" s="317"/>
      <c r="N4219" s="372">
        <f t="shared" si="2912"/>
        <v>0</v>
      </c>
      <c r="O4219" s="336">
        <f t="shared" si="2940"/>
        <v>1100000</v>
      </c>
      <c r="P4219" s="319">
        <f t="shared" si="2944"/>
        <v>1210000</v>
      </c>
      <c r="R4219" s="317"/>
      <c r="U4219" s="320"/>
    </row>
    <row r="4220" spans="1:21" s="337" customFormat="1" outlineLevel="3">
      <c r="A4220" s="907"/>
      <c r="B4220" s="907"/>
      <c r="C4220" s="340">
        <v>2220200</v>
      </c>
      <c r="D4220" s="338" t="s">
        <v>124</v>
      </c>
      <c r="E4220" s="518">
        <f>E4221</f>
        <v>350000</v>
      </c>
      <c r="F4220" s="518">
        <f t="shared" ref="F4220:P4220" si="2949">F4221</f>
        <v>0</v>
      </c>
      <c r="G4220" s="518">
        <f t="shared" si="2949"/>
        <v>0</v>
      </c>
      <c r="H4220" s="518">
        <f t="shared" si="2949"/>
        <v>0</v>
      </c>
      <c r="I4220" s="518">
        <f t="shared" si="2949"/>
        <v>350000</v>
      </c>
      <c r="J4220" s="518">
        <f t="shared" si="2949"/>
        <v>0</v>
      </c>
      <c r="K4220" s="518">
        <f t="shared" si="2949"/>
        <v>300000</v>
      </c>
      <c r="L4220" s="317">
        <f t="shared" si="2910"/>
        <v>650000</v>
      </c>
      <c r="M4220" s="317"/>
      <c r="N4220" s="372">
        <f t="shared" si="2912"/>
        <v>-300000</v>
      </c>
      <c r="O4220" s="518">
        <f t="shared" si="2949"/>
        <v>715000</v>
      </c>
      <c r="P4220" s="518">
        <f t="shared" si="2949"/>
        <v>786500.00000000012</v>
      </c>
      <c r="R4220" s="317"/>
      <c r="U4220" s="320"/>
    </row>
    <row r="4221" spans="1:21" s="337" customFormat="1" outlineLevel="3">
      <c r="A4221" s="907"/>
      <c r="B4221" s="907"/>
      <c r="C4221" s="332">
        <v>2220201</v>
      </c>
      <c r="D4221" s="330" t="s">
        <v>729</v>
      </c>
      <c r="E4221" s="529">
        <v>350000</v>
      </c>
      <c r="F4221" s="389"/>
      <c r="G4221" s="389"/>
      <c r="H4221" s="389"/>
      <c r="I4221" s="324">
        <f t="shared" si="2925"/>
        <v>350000</v>
      </c>
      <c r="J4221" s="389"/>
      <c r="K4221" s="389">
        <v>300000</v>
      </c>
      <c r="L4221" s="317">
        <f t="shared" si="2910"/>
        <v>650000</v>
      </c>
      <c r="M4221" s="317"/>
      <c r="N4221" s="372">
        <f t="shared" si="2912"/>
        <v>-300000</v>
      </c>
      <c r="O4221" s="336">
        <f t="shared" si="2940"/>
        <v>715000</v>
      </c>
      <c r="P4221" s="319">
        <f t="shared" si="2944"/>
        <v>786500.00000000012</v>
      </c>
      <c r="R4221" s="317"/>
      <c r="U4221" s="320"/>
    </row>
    <row r="4222" spans="1:21" outlineLevel="2">
      <c r="A4222" s="907"/>
      <c r="B4222" s="907"/>
      <c r="C4222" s="403"/>
      <c r="D4222" s="447" t="s">
        <v>735</v>
      </c>
      <c r="E4222" s="515">
        <f>E4220+E4218+E4215+E4210+E4208+E4204+E4201</f>
        <v>2417559.4</v>
      </c>
      <c r="F4222" s="515">
        <f t="shared" ref="F4222:K4222" si="2950">F4220+F4218+F4215+F4210+F4208+F4204+F4201</f>
        <v>0</v>
      </c>
      <c r="G4222" s="515">
        <f t="shared" si="2950"/>
        <v>0</v>
      </c>
      <c r="H4222" s="515">
        <f t="shared" si="2950"/>
        <v>300000</v>
      </c>
      <c r="I4222" s="515">
        <f t="shared" si="2950"/>
        <v>2717559.4</v>
      </c>
      <c r="J4222" s="515">
        <f t="shared" si="2950"/>
        <v>0</v>
      </c>
      <c r="K4222" s="515">
        <f t="shared" si="2950"/>
        <v>390000</v>
      </c>
      <c r="L4222" s="317">
        <f t="shared" si="2910"/>
        <v>3107559.4</v>
      </c>
      <c r="M4222" s="317"/>
      <c r="N4222" s="372">
        <f t="shared" si="2912"/>
        <v>-390000</v>
      </c>
      <c r="O4222" s="515">
        <f t="shared" ref="O4222:P4222" si="2951">O4220+O4218+O4215+O4210+O4208+O4204+O4201</f>
        <v>3418315.34</v>
      </c>
      <c r="P4222" s="515">
        <f t="shared" si="2951"/>
        <v>3760146.8739999998</v>
      </c>
      <c r="R4222" s="317"/>
      <c r="U4222" s="320"/>
    </row>
    <row r="4223" spans="1:21" outlineLevel="2">
      <c r="A4223" s="907"/>
      <c r="B4223" s="907"/>
      <c r="C4223" s="340"/>
      <c r="D4223" s="447" t="s">
        <v>99</v>
      </c>
      <c r="E4223" s="515">
        <f>E4222+E4200</f>
        <v>7101543.4000000004</v>
      </c>
      <c r="F4223" s="515">
        <f t="shared" ref="F4223:K4223" si="2952">F4222+F4200</f>
        <v>0</v>
      </c>
      <c r="G4223" s="515">
        <f t="shared" si="2952"/>
        <v>0</v>
      </c>
      <c r="H4223" s="515">
        <f t="shared" si="2952"/>
        <v>300000</v>
      </c>
      <c r="I4223" s="515">
        <f t="shared" si="2952"/>
        <v>7401543.4000000004</v>
      </c>
      <c r="J4223" s="515">
        <f t="shared" si="2952"/>
        <v>0</v>
      </c>
      <c r="K4223" s="515">
        <f t="shared" si="2952"/>
        <v>390000</v>
      </c>
      <c r="L4223" s="317">
        <f t="shared" si="2910"/>
        <v>7791543.4000000004</v>
      </c>
      <c r="M4223" s="317"/>
      <c r="N4223" s="372">
        <f t="shared" si="2912"/>
        <v>-390000</v>
      </c>
      <c r="O4223" s="515">
        <f t="shared" ref="O4223:P4223" si="2953">O4222+O4200</f>
        <v>8570697.7400000002</v>
      </c>
      <c r="P4223" s="515">
        <f t="shared" si="2953"/>
        <v>9427767.5140000004</v>
      </c>
      <c r="R4223" s="317"/>
      <c r="U4223" s="320"/>
    </row>
    <row r="4224" spans="1:21" s="337" customFormat="1" outlineLevel="2">
      <c r="A4224" s="907"/>
      <c r="B4224" s="907"/>
      <c r="C4224" s="332"/>
      <c r="D4224" s="338"/>
      <c r="E4224" s="529">
        <v>0</v>
      </c>
      <c r="F4224" s="397"/>
      <c r="G4224" s="397"/>
      <c r="H4224" s="397"/>
      <c r="I4224" s="324">
        <f t="shared" si="2925"/>
        <v>0</v>
      </c>
      <c r="J4224" s="397"/>
      <c r="K4224" s="397"/>
      <c r="L4224" s="317">
        <f t="shared" si="2910"/>
        <v>0</v>
      </c>
      <c r="M4224" s="317"/>
      <c r="N4224" s="372">
        <f t="shared" si="2912"/>
        <v>0</v>
      </c>
      <c r="O4224" s="336">
        <f t="shared" si="2940"/>
        <v>0</v>
      </c>
      <c r="P4224" s="319">
        <f t="shared" si="2944"/>
        <v>0</v>
      </c>
      <c r="R4224" s="317"/>
      <c r="U4224" s="320"/>
    </row>
    <row r="4225" spans="1:21" outlineLevel="2">
      <c r="A4225" s="907"/>
      <c r="B4225" s="907"/>
      <c r="C4225" s="332"/>
      <c r="D4225" s="447" t="s">
        <v>92</v>
      </c>
      <c r="E4225" s="529">
        <v>0</v>
      </c>
      <c r="F4225" s="438"/>
      <c r="G4225" s="438"/>
      <c r="H4225" s="438"/>
      <c r="I4225" s="324">
        <f t="shared" si="2925"/>
        <v>0</v>
      </c>
      <c r="J4225" s="438"/>
      <c r="K4225" s="438"/>
      <c r="L4225" s="317">
        <f t="shared" si="2910"/>
        <v>0</v>
      </c>
      <c r="M4225" s="317"/>
      <c r="N4225" s="372">
        <f t="shared" si="2912"/>
        <v>0</v>
      </c>
      <c r="O4225" s="336">
        <f t="shared" si="2940"/>
        <v>0</v>
      </c>
      <c r="P4225" s="319">
        <f t="shared" si="2944"/>
        <v>0</v>
      </c>
      <c r="R4225" s="317"/>
      <c r="U4225" s="320"/>
    </row>
    <row r="4226" spans="1:21" s="337" customFormat="1" outlineLevel="3">
      <c r="A4226" s="907"/>
      <c r="B4226" s="907"/>
      <c r="C4226" s="340">
        <v>3110500</v>
      </c>
      <c r="D4226" s="338" t="s">
        <v>736</v>
      </c>
      <c r="E4226" s="518">
        <f>E4227</f>
        <v>3319000</v>
      </c>
      <c r="F4226" s="518">
        <f t="shared" ref="F4226:K4226" si="2954">F4227</f>
        <v>0</v>
      </c>
      <c r="G4226" s="518">
        <f t="shared" si="2954"/>
        <v>0</v>
      </c>
      <c r="H4226" s="518">
        <f t="shared" si="2954"/>
        <v>-1319000</v>
      </c>
      <c r="I4226" s="518">
        <f t="shared" si="2954"/>
        <v>2000000</v>
      </c>
      <c r="J4226" s="518">
        <f t="shared" si="2954"/>
        <v>0</v>
      </c>
      <c r="K4226" s="518">
        <f t="shared" si="2954"/>
        <v>-611994</v>
      </c>
      <c r="L4226" s="317">
        <f t="shared" si="2910"/>
        <v>1388006</v>
      </c>
      <c r="M4226" s="317"/>
      <c r="N4226" s="372">
        <f t="shared" si="2912"/>
        <v>611994</v>
      </c>
      <c r="O4226" s="518">
        <f t="shared" ref="O4226:P4226" si="2955">O4227</f>
        <v>1526806.6</v>
      </c>
      <c r="P4226" s="518">
        <f t="shared" si="2955"/>
        <v>1679487.2600000002</v>
      </c>
      <c r="R4226" s="317"/>
      <c r="U4226" s="320"/>
    </row>
    <row r="4227" spans="1:21" outlineLevel="3">
      <c r="A4227" s="907"/>
      <c r="B4227" s="907"/>
      <c r="C4227" s="332">
        <v>3110504</v>
      </c>
      <c r="D4227" s="1177" t="s">
        <v>1383</v>
      </c>
      <c r="E4227" s="529">
        <f>1000000+2319000</f>
        <v>3319000</v>
      </c>
      <c r="F4227" s="1178"/>
      <c r="G4227" s="1178"/>
      <c r="H4227" s="1178">
        <v>-1319000</v>
      </c>
      <c r="I4227" s="324">
        <f t="shared" si="2925"/>
        <v>2000000</v>
      </c>
      <c r="J4227" s="1178"/>
      <c r="K4227" s="1178">
        <v>-611994</v>
      </c>
      <c r="L4227" s="317">
        <f t="shared" si="2910"/>
        <v>1388006</v>
      </c>
      <c r="M4227" s="317"/>
      <c r="N4227" s="372">
        <f t="shared" si="2912"/>
        <v>611994</v>
      </c>
      <c r="O4227" s="336">
        <f t="shared" si="2940"/>
        <v>1526806.6</v>
      </c>
      <c r="P4227" s="319">
        <f t="shared" si="2944"/>
        <v>1679487.2600000002</v>
      </c>
      <c r="R4227" s="317"/>
      <c r="U4227" s="320"/>
    </row>
    <row r="4228" spans="1:21" s="337" customFormat="1" outlineLevel="3">
      <c r="A4228" s="907"/>
      <c r="B4228" s="907"/>
      <c r="C4228" s="340">
        <v>3111500</v>
      </c>
      <c r="D4228" s="449" t="s">
        <v>549</v>
      </c>
      <c r="E4228" s="518">
        <f>E4229</f>
        <v>500000</v>
      </c>
      <c r="F4228" s="518">
        <f t="shared" ref="F4228:K4228" si="2956">F4229</f>
        <v>0</v>
      </c>
      <c r="G4228" s="518">
        <f t="shared" si="2956"/>
        <v>0</v>
      </c>
      <c r="H4228" s="518">
        <f t="shared" si="2956"/>
        <v>0</v>
      </c>
      <c r="I4228" s="518">
        <f t="shared" si="2956"/>
        <v>500000</v>
      </c>
      <c r="J4228" s="518">
        <f t="shared" si="2956"/>
        <v>0</v>
      </c>
      <c r="K4228" s="518">
        <f t="shared" si="2956"/>
        <v>819000</v>
      </c>
      <c r="L4228" s="317">
        <f t="shared" si="2910"/>
        <v>1319000</v>
      </c>
      <c r="M4228" s="317"/>
      <c r="N4228" s="372">
        <f t="shared" si="2912"/>
        <v>-819000</v>
      </c>
      <c r="O4228" s="518">
        <f t="shared" ref="O4228:P4228" si="2957">O4229</f>
        <v>1450900.0000000002</v>
      </c>
      <c r="P4228" s="518">
        <f t="shared" si="2957"/>
        <v>1595990.0000000005</v>
      </c>
      <c r="R4228" s="317"/>
      <c r="U4228" s="320"/>
    </row>
    <row r="4229" spans="1:21" s="337" customFormat="1" outlineLevel="3">
      <c r="A4229" s="907"/>
      <c r="B4229" s="907"/>
      <c r="C4229" s="332">
        <v>3110302</v>
      </c>
      <c r="D4229" s="330" t="s">
        <v>1384</v>
      </c>
      <c r="E4229" s="529">
        <v>500000</v>
      </c>
      <c r="F4229" s="389"/>
      <c r="G4229" s="389"/>
      <c r="H4229" s="389"/>
      <c r="I4229" s="324">
        <f t="shared" si="2925"/>
        <v>500000</v>
      </c>
      <c r="J4229" s="389"/>
      <c r="K4229" s="389">
        <v>819000</v>
      </c>
      <c r="L4229" s="317">
        <f t="shared" ref="L4229:L4292" si="2958">I4229+J4229+K4229</f>
        <v>1319000</v>
      </c>
      <c r="M4229" s="317"/>
      <c r="N4229" s="372">
        <f t="shared" si="2912"/>
        <v>-819000</v>
      </c>
      <c r="O4229" s="336">
        <f t="shared" si="2940"/>
        <v>1450900.0000000002</v>
      </c>
      <c r="P4229" s="319">
        <f t="shared" si="2944"/>
        <v>1595990.0000000005</v>
      </c>
      <c r="R4229" s="317"/>
      <c r="U4229" s="320"/>
    </row>
    <row r="4230" spans="1:21" outlineLevel="2">
      <c r="A4230" s="907"/>
      <c r="B4230" s="907"/>
      <c r="C4230" s="340"/>
      <c r="D4230" s="447" t="s">
        <v>175</v>
      </c>
      <c r="E4230" s="515">
        <f>E4228+E4226</f>
        <v>3819000</v>
      </c>
      <c r="F4230" s="515">
        <f t="shared" ref="F4230:K4230" si="2959">F4228+F4226</f>
        <v>0</v>
      </c>
      <c r="G4230" s="515">
        <f t="shared" si="2959"/>
        <v>0</v>
      </c>
      <c r="H4230" s="515">
        <f t="shared" si="2959"/>
        <v>-1319000</v>
      </c>
      <c r="I4230" s="515">
        <f t="shared" si="2959"/>
        <v>2500000</v>
      </c>
      <c r="J4230" s="515">
        <f t="shared" si="2959"/>
        <v>0</v>
      </c>
      <c r="K4230" s="515">
        <f t="shared" si="2959"/>
        <v>207006</v>
      </c>
      <c r="L4230" s="317">
        <f t="shared" si="2958"/>
        <v>2707006</v>
      </c>
      <c r="M4230" s="317"/>
      <c r="N4230" s="372">
        <f t="shared" si="2912"/>
        <v>-207006</v>
      </c>
      <c r="O4230" s="515">
        <f t="shared" ref="O4230:P4230" si="2960">O4228+O4226</f>
        <v>2977706.6000000006</v>
      </c>
      <c r="P4230" s="515">
        <f t="shared" si="2960"/>
        <v>3275477.2600000007</v>
      </c>
      <c r="R4230" s="317"/>
      <c r="U4230" s="320"/>
    </row>
    <row r="4231" spans="1:21" outlineLevel="1">
      <c r="A4231" s="907"/>
      <c r="B4231" s="907"/>
      <c r="C4231" s="340"/>
      <c r="D4231" s="447" t="s">
        <v>627</v>
      </c>
      <c r="E4231" s="515">
        <f>E4230+E4223</f>
        <v>10920543.4</v>
      </c>
      <c r="F4231" s="515">
        <f t="shared" ref="F4231:P4231" si="2961">F4230+F4223</f>
        <v>0</v>
      </c>
      <c r="G4231" s="515">
        <f t="shared" si="2961"/>
        <v>0</v>
      </c>
      <c r="H4231" s="515">
        <f t="shared" si="2961"/>
        <v>-1019000</v>
      </c>
      <c r="I4231" s="515">
        <f t="shared" si="2961"/>
        <v>9901543.4000000004</v>
      </c>
      <c r="J4231" s="515">
        <f t="shared" si="2961"/>
        <v>0</v>
      </c>
      <c r="K4231" s="515">
        <f t="shared" si="2961"/>
        <v>597006</v>
      </c>
      <c r="L4231" s="317">
        <f t="shared" si="2958"/>
        <v>10498549.4</v>
      </c>
      <c r="M4231" s="317"/>
      <c r="N4231" s="372">
        <f t="shared" si="2912"/>
        <v>-597006</v>
      </c>
      <c r="O4231" s="515">
        <f t="shared" si="2961"/>
        <v>11548404.34</v>
      </c>
      <c r="P4231" s="515">
        <f t="shared" si="2961"/>
        <v>12703244.774</v>
      </c>
      <c r="R4231" s="317"/>
      <c r="U4231" s="320"/>
    </row>
    <row r="4232" spans="1:21" outlineLevel="1">
      <c r="A4232" s="907"/>
      <c r="B4232" s="907"/>
      <c r="C4232" s="332"/>
      <c r="D4232" s="330"/>
      <c r="E4232" s="529">
        <v>0</v>
      </c>
      <c r="F4232" s="389"/>
      <c r="G4232" s="389"/>
      <c r="H4232" s="389"/>
      <c r="I4232" s="324">
        <f t="shared" si="2925"/>
        <v>0</v>
      </c>
      <c r="J4232" s="389"/>
      <c r="K4232" s="389"/>
      <c r="L4232" s="317">
        <f t="shared" si="2958"/>
        <v>0</v>
      </c>
      <c r="M4232" s="317"/>
      <c r="N4232" s="372">
        <f t="shared" si="2912"/>
        <v>0</v>
      </c>
      <c r="O4232" s="336">
        <f t="shared" si="2940"/>
        <v>0</v>
      </c>
      <c r="P4232" s="319">
        <f t="shared" ref="P4232:P4250" si="2962">O4232*1.1</f>
        <v>0</v>
      </c>
      <c r="R4232" s="317"/>
      <c r="U4232" s="320"/>
    </row>
    <row r="4233" spans="1:21" s="337" customFormat="1" outlineLevel="1">
      <c r="A4233" s="1023" t="s">
        <v>168</v>
      </c>
      <c r="B4233" s="1023"/>
      <c r="C4233" s="314" t="s">
        <v>737</v>
      </c>
      <c r="D4233" s="447"/>
      <c r="E4233" s="529">
        <v>0</v>
      </c>
      <c r="F4233" s="438"/>
      <c r="G4233" s="438"/>
      <c r="H4233" s="438"/>
      <c r="I4233" s="324">
        <f t="shared" si="2925"/>
        <v>0</v>
      </c>
      <c r="J4233" s="438"/>
      <c r="K4233" s="438"/>
      <c r="L4233" s="317">
        <f t="shared" si="2958"/>
        <v>0</v>
      </c>
      <c r="M4233" s="317"/>
      <c r="N4233" s="372">
        <f t="shared" ref="N4233:N4296" si="2963">M4233-K4233</f>
        <v>0</v>
      </c>
      <c r="O4233" s="336">
        <f t="shared" si="2940"/>
        <v>0</v>
      </c>
      <c r="P4233" s="319">
        <f t="shared" si="2962"/>
        <v>0</v>
      </c>
      <c r="R4233" s="317"/>
      <c r="U4233" s="320"/>
    </row>
    <row r="4234" spans="1:21" outlineLevel="1">
      <c r="A4234" s="1023"/>
      <c r="B4234" s="1023" t="s">
        <v>386</v>
      </c>
      <c r="C4234" s="314" t="s">
        <v>738</v>
      </c>
      <c r="D4234" s="447"/>
      <c r="E4234" s="529">
        <v>0</v>
      </c>
      <c r="F4234" s="438"/>
      <c r="G4234" s="438"/>
      <c r="H4234" s="438"/>
      <c r="I4234" s="324">
        <f t="shared" si="2925"/>
        <v>0</v>
      </c>
      <c r="J4234" s="438"/>
      <c r="K4234" s="438"/>
      <c r="L4234" s="317">
        <f t="shared" si="2958"/>
        <v>0</v>
      </c>
      <c r="M4234" s="317"/>
      <c r="N4234" s="372">
        <f t="shared" si="2963"/>
        <v>0</v>
      </c>
      <c r="O4234" s="336">
        <f t="shared" si="2940"/>
        <v>0</v>
      </c>
      <c r="P4234" s="319">
        <f t="shared" si="2962"/>
        <v>0</v>
      </c>
      <c r="R4234" s="317"/>
      <c r="U4234" s="320"/>
    </row>
    <row r="4235" spans="1:21" s="337" customFormat="1" outlineLevel="3">
      <c r="A4235" s="907"/>
      <c r="B4235" s="907"/>
      <c r="C4235" s="340">
        <v>2110100</v>
      </c>
      <c r="D4235" s="449" t="s">
        <v>718</v>
      </c>
      <c r="E4235" s="518">
        <f>E4236</f>
        <v>2556200</v>
      </c>
      <c r="F4235" s="518">
        <f t="shared" ref="F4235:P4235" si="2964">F4236</f>
        <v>0</v>
      </c>
      <c r="G4235" s="518">
        <f t="shared" si="2964"/>
        <v>0</v>
      </c>
      <c r="H4235" s="518">
        <f t="shared" si="2964"/>
        <v>0</v>
      </c>
      <c r="I4235" s="518">
        <f t="shared" si="2964"/>
        <v>2556200</v>
      </c>
      <c r="J4235" s="518">
        <f t="shared" si="2964"/>
        <v>0</v>
      </c>
      <c r="K4235" s="518">
        <f t="shared" si="2964"/>
        <v>0</v>
      </c>
      <c r="L4235" s="317">
        <f t="shared" si="2958"/>
        <v>2556200</v>
      </c>
      <c r="M4235" s="317"/>
      <c r="N4235" s="372">
        <f t="shared" si="2963"/>
        <v>0</v>
      </c>
      <c r="O4235" s="518">
        <f t="shared" si="2964"/>
        <v>2811820</v>
      </c>
      <c r="P4235" s="518">
        <f t="shared" si="2964"/>
        <v>3093002.0000000005</v>
      </c>
      <c r="R4235" s="317"/>
      <c r="U4235" s="320"/>
    </row>
    <row r="4236" spans="1:21" outlineLevel="3">
      <c r="A4236" s="907"/>
      <c r="B4236" s="907"/>
      <c r="C4236" s="332">
        <v>2110199</v>
      </c>
      <c r="D4236" s="452" t="s">
        <v>13</v>
      </c>
      <c r="E4236" s="529">
        <v>2556200</v>
      </c>
      <c r="F4236" s="364"/>
      <c r="G4236" s="364"/>
      <c r="H4236" s="364"/>
      <c r="I4236" s="324">
        <f t="shared" si="2925"/>
        <v>2556200</v>
      </c>
      <c r="J4236" s="364"/>
      <c r="K4236" s="364"/>
      <c r="L4236" s="317">
        <f t="shared" si="2958"/>
        <v>2556200</v>
      </c>
      <c r="M4236" s="317"/>
      <c r="N4236" s="372">
        <f t="shared" si="2963"/>
        <v>0</v>
      </c>
      <c r="O4236" s="336">
        <f t="shared" si="2940"/>
        <v>2811820</v>
      </c>
      <c r="P4236" s="319">
        <f t="shared" si="2962"/>
        <v>3093002.0000000005</v>
      </c>
      <c r="R4236" s="317"/>
      <c r="U4236" s="320"/>
    </row>
    <row r="4237" spans="1:21" outlineLevel="3">
      <c r="A4237" s="907"/>
      <c r="B4237" s="907"/>
      <c r="C4237" s="340">
        <v>2110300</v>
      </c>
      <c r="D4237" s="388" t="s">
        <v>181</v>
      </c>
      <c r="E4237" s="518">
        <f>SUM(E4238:E4239)</f>
        <v>838920</v>
      </c>
      <c r="F4237" s="518">
        <f t="shared" ref="F4237:K4237" si="2965">SUM(F4238:F4239)</f>
        <v>0</v>
      </c>
      <c r="G4237" s="518">
        <f t="shared" si="2965"/>
        <v>0</v>
      </c>
      <c r="H4237" s="518">
        <f t="shared" si="2965"/>
        <v>0</v>
      </c>
      <c r="I4237" s="518">
        <f t="shared" si="2965"/>
        <v>838920</v>
      </c>
      <c r="J4237" s="518">
        <f t="shared" si="2965"/>
        <v>0</v>
      </c>
      <c r="K4237" s="518">
        <f t="shared" si="2965"/>
        <v>0</v>
      </c>
      <c r="L4237" s="317">
        <f t="shared" si="2958"/>
        <v>838920</v>
      </c>
      <c r="M4237" s="317"/>
      <c r="N4237" s="372">
        <f t="shared" si="2963"/>
        <v>0</v>
      </c>
      <c r="O4237" s="518">
        <f t="shared" ref="O4237:P4237" si="2966">SUM(O4238:O4239)</f>
        <v>922812</v>
      </c>
      <c r="P4237" s="518">
        <f t="shared" si="2966"/>
        <v>1015093.2000000001</v>
      </c>
      <c r="R4237" s="317"/>
      <c r="U4237" s="320"/>
    </row>
    <row r="4238" spans="1:21" s="337" customFormat="1" outlineLevel="3">
      <c r="A4238" s="907"/>
      <c r="B4238" s="907"/>
      <c r="C4238" s="332">
        <v>2110301</v>
      </c>
      <c r="D4238" s="908" t="s">
        <v>182</v>
      </c>
      <c r="E4238" s="529">
        <v>523455</v>
      </c>
      <c r="F4238" s="389"/>
      <c r="G4238" s="389"/>
      <c r="H4238" s="389"/>
      <c r="I4238" s="324">
        <f t="shared" si="2925"/>
        <v>523455</v>
      </c>
      <c r="J4238" s="389"/>
      <c r="K4238" s="389"/>
      <c r="L4238" s="317">
        <f t="shared" si="2958"/>
        <v>523455</v>
      </c>
      <c r="M4238" s="317"/>
      <c r="N4238" s="372">
        <f t="shared" si="2963"/>
        <v>0</v>
      </c>
      <c r="O4238" s="336">
        <f t="shared" si="2940"/>
        <v>575800.5</v>
      </c>
      <c r="P4238" s="319">
        <f t="shared" si="2962"/>
        <v>633380.55000000005</v>
      </c>
      <c r="R4238" s="317"/>
      <c r="U4238" s="320"/>
    </row>
    <row r="4239" spans="1:21" outlineLevel="3">
      <c r="A4239" s="907"/>
      <c r="B4239" s="907"/>
      <c r="C4239" s="332">
        <v>2110314</v>
      </c>
      <c r="D4239" s="387" t="s">
        <v>183</v>
      </c>
      <c r="E4239" s="529">
        <v>315465</v>
      </c>
      <c r="F4239" s="334"/>
      <c r="G4239" s="334"/>
      <c r="H4239" s="334"/>
      <c r="I4239" s="324">
        <f t="shared" si="2925"/>
        <v>315465</v>
      </c>
      <c r="J4239" s="334"/>
      <c r="K4239" s="334"/>
      <c r="L4239" s="317">
        <f t="shared" si="2958"/>
        <v>315465</v>
      </c>
      <c r="M4239" s="317"/>
      <c r="N4239" s="372">
        <f t="shared" si="2963"/>
        <v>0</v>
      </c>
      <c r="O4239" s="336">
        <f t="shared" si="2940"/>
        <v>347011.5</v>
      </c>
      <c r="P4239" s="319">
        <f t="shared" si="2962"/>
        <v>381712.65</v>
      </c>
      <c r="R4239" s="317"/>
      <c r="U4239" s="320"/>
    </row>
    <row r="4240" spans="1:21" outlineLevel="3">
      <c r="A4240" s="907"/>
      <c r="B4240" s="907"/>
      <c r="C4240" s="340">
        <v>2120100</v>
      </c>
      <c r="D4240" s="449" t="s">
        <v>184</v>
      </c>
      <c r="E4240" s="518">
        <f>E4241+E4242</f>
        <v>515900</v>
      </c>
      <c r="F4240" s="518">
        <f t="shared" ref="F4240:K4240" si="2967">F4241+F4242</f>
        <v>0</v>
      </c>
      <c r="G4240" s="518">
        <f t="shared" si="2967"/>
        <v>0</v>
      </c>
      <c r="H4240" s="518">
        <f t="shared" si="2967"/>
        <v>0</v>
      </c>
      <c r="I4240" s="518">
        <f t="shared" si="2967"/>
        <v>515900</v>
      </c>
      <c r="J4240" s="518">
        <f t="shared" si="2967"/>
        <v>0</v>
      </c>
      <c r="K4240" s="518">
        <f t="shared" si="2967"/>
        <v>0</v>
      </c>
      <c r="L4240" s="317">
        <f t="shared" si="2958"/>
        <v>515900</v>
      </c>
      <c r="M4240" s="317"/>
      <c r="N4240" s="372">
        <f t="shared" si="2963"/>
        <v>0</v>
      </c>
      <c r="O4240" s="518">
        <f t="shared" ref="O4240:P4240" si="2968">O4241+O4242</f>
        <v>567490.00000000012</v>
      </c>
      <c r="P4240" s="518">
        <f t="shared" si="2968"/>
        <v>624239.00000000023</v>
      </c>
      <c r="R4240" s="317"/>
      <c r="U4240" s="320"/>
    </row>
    <row r="4241" spans="1:21" s="337" customFormat="1" outlineLevel="3">
      <c r="A4241" s="907"/>
      <c r="B4241" s="907"/>
      <c r="C4241" s="332">
        <v>2120101</v>
      </c>
      <c r="D4241" s="330" t="s">
        <v>185</v>
      </c>
      <c r="E4241" s="529">
        <v>165900</v>
      </c>
      <c r="F4241" s="389"/>
      <c r="G4241" s="389"/>
      <c r="H4241" s="389"/>
      <c r="I4241" s="324">
        <f t="shared" si="2925"/>
        <v>165900</v>
      </c>
      <c r="J4241" s="389"/>
      <c r="K4241" s="389"/>
      <c r="L4241" s="317">
        <f t="shared" si="2958"/>
        <v>165900</v>
      </c>
      <c r="M4241" s="317"/>
      <c r="N4241" s="372">
        <f t="shared" si="2963"/>
        <v>0</v>
      </c>
      <c r="O4241" s="336">
        <f t="shared" si="2940"/>
        <v>182490.00000000003</v>
      </c>
      <c r="P4241" s="319">
        <f t="shared" si="2962"/>
        <v>200739.00000000006</v>
      </c>
      <c r="R4241" s="317"/>
      <c r="U4241" s="320"/>
    </row>
    <row r="4242" spans="1:21" s="337" customFormat="1" outlineLevel="3">
      <c r="A4242" s="907"/>
      <c r="B4242" s="907"/>
      <c r="C4242" s="332">
        <v>2120103</v>
      </c>
      <c r="D4242" s="330" t="s">
        <v>186</v>
      </c>
      <c r="E4242" s="529">
        <v>350000</v>
      </c>
      <c r="F4242" s="389"/>
      <c r="G4242" s="389"/>
      <c r="H4242" s="389"/>
      <c r="I4242" s="324">
        <f t="shared" si="2925"/>
        <v>350000</v>
      </c>
      <c r="J4242" s="389"/>
      <c r="K4242" s="389"/>
      <c r="L4242" s="317">
        <f t="shared" si="2958"/>
        <v>350000</v>
      </c>
      <c r="M4242" s="317"/>
      <c r="N4242" s="372">
        <f t="shared" si="2963"/>
        <v>0</v>
      </c>
      <c r="O4242" s="336">
        <f t="shared" si="2940"/>
        <v>385000.00000000006</v>
      </c>
      <c r="P4242" s="319">
        <f t="shared" si="2962"/>
        <v>423500.00000000012</v>
      </c>
      <c r="R4242" s="317"/>
      <c r="U4242" s="320"/>
    </row>
    <row r="4243" spans="1:21" outlineLevel="3">
      <c r="A4243" s="907"/>
      <c r="B4243" s="907"/>
      <c r="C4243" s="340"/>
      <c r="D4243" s="338" t="s">
        <v>720</v>
      </c>
      <c r="E4243" s="518">
        <f>E4240+E4237+E4235</f>
        <v>3911020</v>
      </c>
      <c r="F4243" s="518">
        <f t="shared" ref="F4243:K4243" si="2969">F4240+F4237+F4235</f>
        <v>0</v>
      </c>
      <c r="G4243" s="518">
        <f t="shared" si="2969"/>
        <v>0</v>
      </c>
      <c r="H4243" s="518">
        <f t="shared" si="2969"/>
        <v>0</v>
      </c>
      <c r="I4243" s="518">
        <f t="shared" si="2969"/>
        <v>3911020</v>
      </c>
      <c r="J4243" s="518">
        <f t="shared" si="2969"/>
        <v>0</v>
      </c>
      <c r="K4243" s="518">
        <f t="shared" si="2969"/>
        <v>0</v>
      </c>
      <c r="L4243" s="317">
        <f t="shared" si="2958"/>
        <v>3911020</v>
      </c>
      <c r="M4243" s="317"/>
      <c r="N4243" s="372">
        <f t="shared" si="2963"/>
        <v>0</v>
      </c>
      <c r="O4243" s="518">
        <f t="shared" ref="O4243:P4243" si="2970">O4240+O4237+O4235</f>
        <v>4302122</v>
      </c>
      <c r="P4243" s="518">
        <f t="shared" si="2970"/>
        <v>4732334.2000000011</v>
      </c>
      <c r="R4243" s="317"/>
      <c r="U4243" s="320"/>
    </row>
    <row r="4244" spans="1:21" outlineLevel="3">
      <c r="A4244" s="907"/>
      <c r="B4244" s="907"/>
      <c r="C4244" s="340">
        <v>2210300</v>
      </c>
      <c r="D4244" s="338" t="s">
        <v>722</v>
      </c>
      <c r="E4244" s="518">
        <f>E4245+E4246+E4247</f>
        <v>281900</v>
      </c>
      <c r="F4244" s="518">
        <f t="shared" ref="F4244:K4244" si="2971">F4245+F4246+F4247</f>
        <v>0</v>
      </c>
      <c r="G4244" s="518">
        <f t="shared" si="2971"/>
        <v>0</v>
      </c>
      <c r="H4244" s="518">
        <f t="shared" si="2971"/>
        <v>0</v>
      </c>
      <c r="I4244" s="518">
        <f t="shared" si="2971"/>
        <v>281900</v>
      </c>
      <c r="J4244" s="518">
        <f t="shared" si="2971"/>
        <v>0</v>
      </c>
      <c r="K4244" s="518">
        <f t="shared" si="2971"/>
        <v>0</v>
      </c>
      <c r="L4244" s="317">
        <f t="shared" si="2958"/>
        <v>281900</v>
      </c>
      <c r="M4244" s="317"/>
      <c r="N4244" s="372">
        <f t="shared" si="2963"/>
        <v>0</v>
      </c>
      <c r="O4244" s="518">
        <f t="shared" ref="O4244:P4244" si="2972">O4245+O4246+O4247</f>
        <v>310090</v>
      </c>
      <c r="P4244" s="518">
        <f t="shared" si="2972"/>
        <v>341099</v>
      </c>
      <c r="R4244" s="317"/>
      <c r="U4244" s="320"/>
    </row>
    <row r="4245" spans="1:21" outlineLevel="3">
      <c r="A4245" s="907"/>
      <c r="B4245" s="907"/>
      <c r="C4245" s="332">
        <v>2210301</v>
      </c>
      <c r="D4245" s="330" t="s">
        <v>188</v>
      </c>
      <c r="E4245" s="529">
        <v>119200</v>
      </c>
      <c r="F4245" s="389"/>
      <c r="G4245" s="389"/>
      <c r="H4245" s="389"/>
      <c r="I4245" s="324">
        <f t="shared" si="2925"/>
        <v>119200</v>
      </c>
      <c r="J4245" s="389"/>
      <c r="K4245" s="315">
        <v>0</v>
      </c>
      <c r="L4245" s="317">
        <f t="shared" si="2958"/>
        <v>119200</v>
      </c>
      <c r="M4245" s="317"/>
      <c r="N4245" s="372">
        <f t="shared" si="2963"/>
        <v>0</v>
      </c>
      <c r="O4245" s="336">
        <f t="shared" si="2940"/>
        <v>131120</v>
      </c>
      <c r="P4245" s="319">
        <f t="shared" si="2962"/>
        <v>144232</v>
      </c>
      <c r="R4245" s="317"/>
      <c r="U4245" s="320"/>
    </row>
    <row r="4246" spans="1:21" s="337" customFormat="1" outlineLevel="3">
      <c r="A4246" s="907"/>
      <c r="B4246" s="907"/>
      <c r="C4246" s="332">
        <v>2210302</v>
      </c>
      <c r="D4246" s="330" t="s">
        <v>26</v>
      </c>
      <c r="E4246" s="529">
        <v>95700</v>
      </c>
      <c r="F4246" s="389"/>
      <c r="G4246" s="389"/>
      <c r="H4246" s="389"/>
      <c r="I4246" s="324">
        <f t="shared" si="2925"/>
        <v>95700</v>
      </c>
      <c r="J4246" s="389"/>
      <c r="K4246" s="389"/>
      <c r="L4246" s="317">
        <f t="shared" si="2958"/>
        <v>95700</v>
      </c>
      <c r="M4246" s="317"/>
      <c r="N4246" s="372">
        <f t="shared" si="2963"/>
        <v>0</v>
      </c>
      <c r="O4246" s="336">
        <f t="shared" si="2940"/>
        <v>105270.00000000001</v>
      </c>
      <c r="P4246" s="319">
        <f t="shared" si="2962"/>
        <v>115797.00000000003</v>
      </c>
      <c r="R4246" s="317"/>
      <c r="U4246" s="320"/>
    </row>
    <row r="4247" spans="1:21" outlineLevel="3">
      <c r="A4247" s="907"/>
      <c r="B4247" s="907"/>
      <c r="C4247" s="332">
        <v>2210303</v>
      </c>
      <c r="D4247" s="330" t="s">
        <v>223</v>
      </c>
      <c r="E4247" s="529">
        <v>67000</v>
      </c>
      <c r="F4247" s="389"/>
      <c r="G4247" s="389"/>
      <c r="H4247" s="389"/>
      <c r="I4247" s="324">
        <f t="shared" si="2925"/>
        <v>67000</v>
      </c>
      <c r="J4247" s="389"/>
      <c r="K4247" s="389"/>
      <c r="L4247" s="317">
        <f t="shared" si="2958"/>
        <v>67000</v>
      </c>
      <c r="M4247" s="317"/>
      <c r="N4247" s="372">
        <f t="shared" si="2963"/>
        <v>0</v>
      </c>
      <c r="O4247" s="336">
        <f t="shared" si="2940"/>
        <v>73700</v>
      </c>
      <c r="P4247" s="319">
        <f t="shared" si="2962"/>
        <v>81070</v>
      </c>
      <c r="R4247" s="317"/>
      <c r="U4247" s="320"/>
    </row>
    <row r="4248" spans="1:21" outlineLevel="3">
      <c r="A4248" s="907"/>
      <c r="B4248" s="907"/>
      <c r="C4248" s="340">
        <v>2210700</v>
      </c>
      <c r="D4248" s="338" t="s">
        <v>35</v>
      </c>
      <c r="E4248" s="518">
        <f>E4249+E4250+E4251+E4252+E4253</f>
        <v>228300</v>
      </c>
      <c r="F4248" s="518">
        <f t="shared" ref="F4248:I4248" si="2973">F4249+F4250+F4251+F4252+F4253</f>
        <v>0</v>
      </c>
      <c r="G4248" s="518">
        <f t="shared" si="2973"/>
        <v>0</v>
      </c>
      <c r="H4248" s="518">
        <f t="shared" si="2973"/>
        <v>0</v>
      </c>
      <c r="I4248" s="518">
        <f t="shared" si="2973"/>
        <v>228300</v>
      </c>
      <c r="J4248" s="518">
        <f t="shared" ref="J4248" si="2974">J4249+J4250+J4251+J4252+J4253</f>
        <v>0</v>
      </c>
      <c r="K4248" s="518">
        <f t="shared" ref="K4248" si="2975">K4249+K4250+K4251+K4252+K4253</f>
        <v>-5000</v>
      </c>
      <c r="L4248" s="317">
        <f t="shared" si="2958"/>
        <v>223300</v>
      </c>
      <c r="M4248" s="317"/>
      <c r="N4248" s="372">
        <f t="shared" si="2963"/>
        <v>5000</v>
      </c>
      <c r="O4248" s="518">
        <f t="shared" ref="O4248" si="2976">O4249+O4250+O4251+O4252+O4253</f>
        <v>245630.00000000003</v>
      </c>
      <c r="P4248" s="518">
        <f t="shared" ref="P4248" si="2977">P4249+P4250+P4251+P4252+P4253</f>
        <v>270193.00000000006</v>
      </c>
      <c r="R4248" s="317"/>
      <c r="U4248" s="320"/>
    </row>
    <row r="4249" spans="1:21" outlineLevel="3">
      <c r="A4249" s="907"/>
      <c r="B4249" s="907"/>
      <c r="C4249" s="332">
        <v>2210701</v>
      </c>
      <c r="D4249" s="330" t="s">
        <v>36</v>
      </c>
      <c r="E4249" s="529">
        <v>87000</v>
      </c>
      <c r="F4249" s="389"/>
      <c r="G4249" s="389"/>
      <c r="H4249" s="389"/>
      <c r="I4249" s="324">
        <f t="shared" ref="I4249:I4313" si="2978">E4249+F4249+G4249+H4249</f>
        <v>87000</v>
      </c>
      <c r="J4249" s="389"/>
      <c r="K4249" s="389"/>
      <c r="L4249" s="317">
        <f t="shared" si="2958"/>
        <v>87000</v>
      </c>
      <c r="M4249" s="317"/>
      <c r="N4249" s="372">
        <f t="shared" si="2963"/>
        <v>0</v>
      </c>
      <c r="O4249" s="336">
        <f t="shared" si="2940"/>
        <v>95700.000000000015</v>
      </c>
      <c r="P4249" s="319">
        <f t="shared" si="2962"/>
        <v>105270.00000000003</v>
      </c>
      <c r="R4249" s="317"/>
      <c r="U4249" s="320"/>
    </row>
    <row r="4250" spans="1:21" outlineLevel="3">
      <c r="A4250" s="907"/>
      <c r="B4250" s="907"/>
      <c r="C4250" s="332">
        <v>2210703</v>
      </c>
      <c r="D4250" s="330" t="s">
        <v>739</v>
      </c>
      <c r="E4250" s="529">
        <v>5000</v>
      </c>
      <c r="F4250" s="389"/>
      <c r="G4250" s="389"/>
      <c r="H4250" s="389"/>
      <c r="I4250" s="324">
        <f t="shared" si="2978"/>
        <v>5000</v>
      </c>
      <c r="J4250" s="389"/>
      <c r="K4250" s="389">
        <v>-5000</v>
      </c>
      <c r="L4250" s="317">
        <f t="shared" si="2958"/>
        <v>0</v>
      </c>
      <c r="M4250" s="317"/>
      <c r="N4250" s="372">
        <f t="shared" si="2963"/>
        <v>5000</v>
      </c>
      <c r="O4250" s="336">
        <f t="shared" si="2940"/>
        <v>0</v>
      </c>
      <c r="P4250" s="319">
        <f t="shared" si="2962"/>
        <v>0</v>
      </c>
      <c r="R4250" s="317"/>
      <c r="U4250" s="320"/>
    </row>
    <row r="4251" spans="1:21" outlineLevel="3">
      <c r="A4251" s="907"/>
      <c r="B4251" s="907"/>
      <c r="C4251" s="332">
        <v>2210710</v>
      </c>
      <c r="D4251" s="330" t="s">
        <v>1385</v>
      </c>
      <c r="E4251" s="529">
        <v>26100</v>
      </c>
      <c r="F4251" s="389"/>
      <c r="G4251" s="389"/>
      <c r="H4251" s="389"/>
      <c r="I4251" s="324">
        <f t="shared" si="2978"/>
        <v>26100</v>
      </c>
      <c r="J4251" s="389"/>
      <c r="K4251" s="389"/>
      <c r="L4251" s="317">
        <f t="shared" si="2958"/>
        <v>26100</v>
      </c>
      <c r="M4251" s="317"/>
      <c r="N4251" s="372">
        <f t="shared" si="2963"/>
        <v>0</v>
      </c>
      <c r="O4251" s="336">
        <f t="shared" si="2940"/>
        <v>28710.000000000004</v>
      </c>
      <c r="P4251" s="319">
        <f t="shared" ref="P4251:P4271" si="2979">O4251*1.1</f>
        <v>31581.000000000007</v>
      </c>
      <c r="R4251" s="317"/>
      <c r="U4251" s="320"/>
    </row>
    <row r="4252" spans="1:21" s="337" customFormat="1" outlineLevel="3">
      <c r="A4252" s="907"/>
      <c r="B4252" s="907"/>
      <c r="C4252" s="332">
        <v>2210711</v>
      </c>
      <c r="D4252" s="330" t="s">
        <v>156</v>
      </c>
      <c r="E4252" s="529">
        <v>52200</v>
      </c>
      <c r="F4252" s="389"/>
      <c r="G4252" s="389"/>
      <c r="H4252" s="389"/>
      <c r="I4252" s="324">
        <f t="shared" si="2978"/>
        <v>52200</v>
      </c>
      <c r="J4252" s="389"/>
      <c r="K4252" s="389"/>
      <c r="L4252" s="317">
        <f t="shared" si="2958"/>
        <v>52200</v>
      </c>
      <c r="M4252" s="317"/>
      <c r="N4252" s="372">
        <f t="shared" si="2963"/>
        <v>0</v>
      </c>
      <c r="O4252" s="336">
        <f t="shared" si="2940"/>
        <v>57420.000000000007</v>
      </c>
      <c r="P4252" s="319">
        <f t="shared" si="2979"/>
        <v>63162.000000000015</v>
      </c>
      <c r="R4252" s="317"/>
      <c r="U4252" s="320"/>
    </row>
    <row r="4253" spans="1:21" outlineLevel="3">
      <c r="A4253" s="907"/>
      <c r="B4253" s="907"/>
      <c r="C4253" s="332">
        <v>2210712</v>
      </c>
      <c r="D4253" s="330" t="s">
        <v>740</v>
      </c>
      <c r="E4253" s="529">
        <v>58000</v>
      </c>
      <c r="F4253" s="389"/>
      <c r="G4253" s="389"/>
      <c r="H4253" s="389"/>
      <c r="I4253" s="324">
        <f t="shared" si="2978"/>
        <v>58000</v>
      </c>
      <c r="J4253" s="389"/>
      <c r="K4253" s="389"/>
      <c r="L4253" s="317">
        <f t="shared" si="2958"/>
        <v>58000</v>
      </c>
      <c r="M4253" s="317"/>
      <c r="N4253" s="372">
        <f t="shared" si="2963"/>
        <v>0</v>
      </c>
      <c r="O4253" s="336">
        <f t="shared" si="2940"/>
        <v>63800.000000000007</v>
      </c>
      <c r="P4253" s="319">
        <f t="shared" si="2979"/>
        <v>70180.000000000015</v>
      </c>
      <c r="R4253" s="317"/>
      <c r="U4253" s="320"/>
    </row>
    <row r="4254" spans="1:21" outlineLevel="3">
      <c r="A4254" s="907"/>
      <c r="B4254" s="907"/>
      <c r="C4254" s="340">
        <v>2210800</v>
      </c>
      <c r="D4254" s="338" t="s">
        <v>42</v>
      </c>
      <c r="E4254" s="518">
        <f>E4255+E4256</f>
        <v>300000</v>
      </c>
      <c r="F4254" s="518">
        <f t="shared" ref="F4254:K4254" si="2980">F4255+F4256</f>
        <v>0</v>
      </c>
      <c r="G4254" s="518">
        <f t="shared" si="2980"/>
        <v>0</v>
      </c>
      <c r="H4254" s="518">
        <f t="shared" si="2980"/>
        <v>300000</v>
      </c>
      <c r="I4254" s="518">
        <f t="shared" si="2980"/>
        <v>600000</v>
      </c>
      <c r="J4254" s="518">
        <f t="shared" si="2980"/>
        <v>0</v>
      </c>
      <c r="K4254" s="518">
        <f t="shared" si="2980"/>
        <v>0</v>
      </c>
      <c r="L4254" s="317">
        <f t="shared" si="2958"/>
        <v>600000</v>
      </c>
      <c r="M4254" s="317"/>
      <c r="N4254" s="372">
        <f t="shared" si="2963"/>
        <v>0</v>
      </c>
      <c r="O4254" s="518">
        <f t="shared" ref="O4254:P4254" si="2981">O4255+O4256</f>
        <v>660000.00000000012</v>
      </c>
      <c r="P4254" s="518">
        <f t="shared" si="2981"/>
        <v>726000.00000000023</v>
      </c>
      <c r="R4254" s="317"/>
      <c r="U4254" s="320"/>
    </row>
    <row r="4255" spans="1:21" s="337" customFormat="1" outlineLevel="3">
      <c r="A4255" s="907"/>
      <c r="B4255" s="907"/>
      <c r="C4255" s="332">
        <v>2210801</v>
      </c>
      <c r="D4255" s="330" t="s">
        <v>1386</v>
      </c>
      <c r="E4255" s="529">
        <v>200000</v>
      </c>
      <c r="F4255" s="389"/>
      <c r="G4255" s="389"/>
      <c r="H4255" s="389"/>
      <c r="I4255" s="324">
        <f t="shared" si="2978"/>
        <v>200000</v>
      </c>
      <c r="J4255" s="389"/>
      <c r="K4255" s="389">
        <v>0</v>
      </c>
      <c r="L4255" s="317">
        <f t="shared" si="2958"/>
        <v>200000</v>
      </c>
      <c r="M4255" s="317"/>
      <c r="N4255" s="372">
        <f t="shared" si="2963"/>
        <v>0</v>
      </c>
      <c r="O4255" s="336">
        <f t="shared" si="2940"/>
        <v>220000.00000000003</v>
      </c>
      <c r="P4255" s="319">
        <f t="shared" si="2979"/>
        <v>242000.00000000006</v>
      </c>
      <c r="R4255" s="317"/>
      <c r="U4255" s="320"/>
    </row>
    <row r="4256" spans="1:21" outlineLevel="3">
      <c r="A4256" s="907"/>
      <c r="B4256" s="907"/>
      <c r="C4256" s="332">
        <v>2210802</v>
      </c>
      <c r="D4256" s="330" t="s">
        <v>97</v>
      </c>
      <c r="E4256" s="529">
        <v>100000</v>
      </c>
      <c r="F4256" s="389"/>
      <c r="G4256" s="389"/>
      <c r="H4256" s="389">
        <v>300000</v>
      </c>
      <c r="I4256" s="324">
        <f t="shared" si="2978"/>
        <v>400000</v>
      </c>
      <c r="J4256" s="389"/>
      <c r="K4256" s="389"/>
      <c r="L4256" s="317">
        <f t="shared" si="2958"/>
        <v>400000</v>
      </c>
      <c r="M4256" s="317"/>
      <c r="N4256" s="372">
        <f t="shared" si="2963"/>
        <v>0</v>
      </c>
      <c r="O4256" s="336">
        <f t="shared" si="2940"/>
        <v>440000.00000000006</v>
      </c>
      <c r="P4256" s="319">
        <f t="shared" si="2979"/>
        <v>484000.00000000012</v>
      </c>
      <c r="R4256" s="317"/>
      <c r="U4256" s="320"/>
    </row>
    <row r="4257" spans="1:21" s="337" customFormat="1" outlineLevel="3">
      <c r="A4257" s="907"/>
      <c r="B4257" s="907"/>
      <c r="C4257" s="340">
        <v>2211200</v>
      </c>
      <c r="D4257" s="338" t="s">
        <v>55</v>
      </c>
      <c r="E4257" s="518">
        <f>E4258</f>
        <v>1000000</v>
      </c>
      <c r="F4257" s="518">
        <f t="shared" ref="F4257:K4257" si="2982">F4258</f>
        <v>0</v>
      </c>
      <c r="G4257" s="518">
        <f t="shared" si="2982"/>
        <v>0</v>
      </c>
      <c r="H4257" s="518">
        <f t="shared" si="2982"/>
        <v>0</v>
      </c>
      <c r="I4257" s="518">
        <f t="shared" si="2982"/>
        <v>1000000</v>
      </c>
      <c r="J4257" s="518">
        <f t="shared" si="2982"/>
        <v>0</v>
      </c>
      <c r="K4257" s="518">
        <f t="shared" si="2982"/>
        <v>0</v>
      </c>
      <c r="L4257" s="317">
        <f t="shared" si="2958"/>
        <v>1000000</v>
      </c>
      <c r="M4257" s="317"/>
      <c r="N4257" s="372">
        <f t="shared" si="2963"/>
        <v>0</v>
      </c>
      <c r="O4257" s="518">
        <f t="shared" ref="O4257:P4257" si="2983">O4258</f>
        <v>1100000</v>
      </c>
      <c r="P4257" s="518">
        <f t="shared" si="2983"/>
        <v>1210000</v>
      </c>
      <c r="R4257" s="317"/>
      <c r="U4257" s="320"/>
    </row>
    <row r="4258" spans="1:21" outlineLevel="3">
      <c r="A4258" s="907"/>
      <c r="B4258" s="907"/>
      <c r="C4258" s="332">
        <v>2211201</v>
      </c>
      <c r="D4258" s="330" t="s">
        <v>56</v>
      </c>
      <c r="E4258" s="529">
        <v>1000000</v>
      </c>
      <c r="F4258" s="389"/>
      <c r="G4258" s="389"/>
      <c r="H4258" s="389"/>
      <c r="I4258" s="324">
        <f t="shared" si="2978"/>
        <v>1000000</v>
      </c>
      <c r="J4258" s="389"/>
      <c r="K4258" s="389"/>
      <c r="L4258" s="317">
        <f t="shared" si="2958"/>
        <v>1000000</v>
      </c>
      <c r="M4258" s="317"/>
      <c r="N4258" s="372">
        <f t="shared" si="2963"/>
        <v>0</v>
      </c>
      <c r="O4258" s="336">
        <f t="shared" si="2940"/>
        <v>1100000</v>
      </c>
      <c r="P4258" s="319">
        <f t="shared" si="2979"/>
        <v>1210000</v>
      </c>
      <c r="R4258" s="317"/>
      <c r="U4258" s="320"/>
    </row>
    <row r="4259" spans="1:21" s="337" customFormat="1" outlineLevel="3">
      <c r="A4259" s="907"/>
      <c r="B4259" s="907"/>
      <c r="C4259" s="340">
        <v>2220200</v>
      </c>
      <c r="D4259" s="338" t="s">
        <v>124</v>
      </c>
      <c r="E4259" s="518">
        <f>E4260</f>
        <v>350000</v>
      </c>
      <c r="F4259" s="518">
        <f t="shared" ref="F4259:K4259" si="2984">F4260</f>
        <v>0</v>
      </c>
      <c r="G4259" s="518">
        <f t="shared" si="2984"/>
        <v>0</v>
      </c>
      <c r="H4259" s="518">
        <f t="shared" si="2984"/>
        <v>0</v>
      </c>
      <c r="I4259" s="518">
        <f t="shared" si="2984"/>
        <v>350000</v>
      </c>
      <c r="J4259" s="518">
        <f t="shared" si="2984"/>
        <v>0</v>
      </c>
      <c r="K4259" s="518">
        <f t="shared" si="2984"/>
        <v>0</v>
      </c>
      <c r="L4259" s="317">
        <f t="shared" si="2958"/>
        <v>350000</v>
      </c>
      <c r="M4259" s="317"/>
      <c r="N4259" s="372">
        <f t="shared" si="2963"/>
        <v>0</v>
      </c>
      <c r="O4259" s="518">
        <f t="shared" ref="O4259:P4259" si="2985">O4260</f>
        <v>385000.00000000006</v>
      </c>
      <c r="P4259" s="518">
        <f t="shared" si="2985"/>
        <v>423500.00000000012</v>
      </c>
      <c r="R4259" s="317"/>
      <c r="U4259" s="320"/>
    </row>
    <row r="4260" spans="1:21" s="337" customFormat="1" outlineLevel="3">
      <c r="A4260" s="907"/>
      <c r="B4260" s="907"/>
      <c r="C4260" s="332">
        <v>2220201</v>
      </c>
      <c r="D4260" s="330" t="s">
        <v>729</v>
      </c>
      <c r="E4260" s="529">
        <v>350000</v>
      </c>
      <c r="F4260" s="389"/>
      <c r="G4260" s="389"/>
      <c r="H4260" s="389"/>
      <c r="I4260" s="324">
        <f t="shared" si="2978"/>
        <v>350000</v>
      </c>
      <c r="J4260" s="389"/>
      <c r="K4260" s="389"/>
      <c r="L4260" s="317">
        <f t="shared" si="2958"/>
        <v>350000</v>
      </c>
      <c r="M4260" s="317"/>
      <c r="N4260" s="372">
        <f t="shared" si="2963"/>
        <v>0</v>
      </c>
      <c r="O4260" s="336">
        <f t="shared" si="2940"/>
        <v>385000.00000000006</v>
      </c>
      <c r="P4260" s="319">
        <f t="shared" si="2979"/>
        <v>423500.00000000012</v>
      </c>
      <c r="R4260" s="317"/>
      <c r="U4260" s="320"/>
    </row>
    <row r="4261" spans="1:21" s="337" customFormat="1" outlineLevel="3">
      <c r="A4261" s="907"/>
      <c r="B4261" s="907"/>
      <c r="C4261" s="340">
        <v>3111000</v>
      </c>
      <c r="D4261" s="338" t="s">
        <v>69</v>
      </c>
      <c r="E4261" s="518">
        <f>E4262+E4263</f>
        <v>500000</v>
      </c>
      <c r="F4261" s="518">
        <f t="shared" ref="F4261:P4261" si="2986">F4262+F4263</f>
        <v>0</v>
      </c>
      <c r="G4261" s="518">
        <f t="shared" si="2986"/>
        <v>0</v>
      </c>
      <c r="H4261" s="518">
        <f t="shared" si="2986"/>
        <v>145000</v>
      </c>
      <c r="I4261" s="518">
        <f t="shared" si="2986"/>
        <v>645000</v>
      </c>
      <c r="J4261" s="518">
        <f t="shared" si="2986"/>
        <v>0</v>
      </c>
      <c r="K4261" s="518">
        <f t="shared" si="2986"/>
        <v>0</v>
      </c>
      <c r="L4261" s="317">
        <f t="shared" si="2958"/>
        <v>645000</v>
      </c>
      <c r="M4261" s="317"/>
      <c r="N4261" s="372">
        <f t="shared" si="2963"/>
        <v>0</v>
      </c>
      <c r="O4261" s="518">
        <f t="shared" si="2986"/>
        <v>709500</v>
      </c>
      <c r="P4261" s="518">
        <f t="shared" si="2986"/>
        <v>780450.00000000012</v>
      </c>
      <c r="R4261" s="317"/>
      <c r="U4261" s="320"/>
    </row>
    <row r="4262" spans="1:21" s="337" customFormat="1" outlineLevel="3">
      <c r="A4262" s="907"/>
      <c r="B4262" s="907"/>
      <c r="C4262" s="332">
        <v>3111002</v>
      </c>
      <c r="D4262" s="330" t="s">
        <v>71</v>
      </c>
      <c r="E4262" s="529">
        <v>500000</v>
      </c>
      <c r="F4262" s="389"/>
      <c r="G4262" s="389"/>
      <c r="H4262" s="389">
        <v>145000</v>
      </c>
      <c r="I4262" s="324">
        <f t="shared" si="2978"/>
        <v>645000</v>
      </c>
      <c r="J4262" s="389"/>
      <c r="K4262" s="389"/>
      <c r="L4262" s="317">
        <f t="shared" si="2958"/>
        <v>645000</v>
      </c>
      <c r="M4262" s="317"/>
      <c r="N4262" s="372">
        <f t="shared" si="2963"/>
        <v>0</v>
      </c>
      <c r="O4262" s="336">
        <f t="shared" si="2940"/>
        <v>709500</v>
      </c>
      <c r="P4262" s="319">
        <f t="shared" si="2979"/>
        <v>780450.00000000012</v>
      </c>
      <c r="R4262" s="317"/>
      <c r="U4262" s="320"/>
    </row>
    <row r="4263" spans="1:21" s="337" customFormat="1" outlineLevel="3">
      <c r="A4263" s="658"/>
      <c r="B4263" s="658"/>
      <c r="C4263" s="659">
        <v>3111004</v>
      </c>
      <c r="D4263" s="352" t="s">
        <v>2527</v>
      </c>
      <c r="E4263" s="1179"/>
      <c r="F4263" s="661"/>
      <c r="G4263" s="661"/>
      <c r="H4263" s="661"/>
      <c r="I4263" s="1180"/>
      <c r="J4263" s="661"/>
      <c r="K4263" s="1181"/>
      <c r="L4263" s="317">
        <f t="shared" si="2958"/>
        <v>0</v>
      </c>
      <c r="M4263" s="2212"/>
      <c r="N4263" s="372">
        <f t="shared" si="2963"/>
        <v>0</v>
      </c>
      <c r="O4263" s="1182"/>
      <c r="P4263" s="802"/>
      <c r="R4263" s="317"/>
      <c r="U4263" s="320"/>
    </row>
    <row r="4264" spans="1:21" s="337" customFormat="1" outlineLevel="3">
      <c r="A4264" s="658"/>
      <c r="B4264" s="658"/>
      <c r="C4264" s="680">
        <v>3111400</v>
      </c>
      <c r="D4264" s="376" t="s">
        <v>602</v>
      </c>
      <c r="E4264" s="535">
        <f>E4265</f>
        <v>0</v>
      </c>
      <c r="F4264" s="535">
        <f t="shared" ref="F4264:P4264" si="2987">F4265</f>
        <v>0</v>
      </c>
      <c r="G4264" s="535">
        <f t="shared" si="2987"/>
        <v>4720341</v>
      </c>
      <c r="H4264" s="535">
        <f t="shared" si="2987"/>
        <v>0</v>
      </c>
      <c r="I4264" s="535">
        <f t="shared" si="2987"/>
        <v>4720341</v>
      </c>
      <c r="J4264" s="535">
        <f t="shared" si="2987"/>
        <v>0</v>
      </c>
      <c r="K4264" s="535">
        <f t="shared" si="2987"/>
        <v>300000</v>
      </c>
      <c r="L4264" s="317">
        <f t="shared" si="2958"/>
        <v>5020341</v>
      </c>
      <c r="M4264" s="2212"/>
      <c r="N4264" s="372">
        <f t="shared" si="2963"/>
        <v>-300000</v>
      </c>
      <c r="O4264" s="535">
        <f t="shared" si="2987"/>
        <v>5522375.1000000006</v>
      </c>
      <c r="P4264" s="535">
        <f t="shared" si="2987"/>
        <v>6074612.6100000013</v>
      </c>
      <c r="R4264" s="317"/>
      <c r="U4264" s="320"/>
    </row>
    <row r="4265" spans="1:21" s="337" customFormat="1" outlineLevel="3">
      <c r="A4265" s="907"/>
      <c r="B4265" s="907"/>
      <c r="C4265" s="332">
        <v>3111401</v>
      </c>
      <c r="D4265" s="1177" t="s">
        <v>2110</v>
      </c>
      <c r="E4265" s="529"/>
      <c r="F4265" s="389"/>
      <c r="G4265" s="529">
        <v>4720341</v>
      </c>
      <c r="H4265" s="389"/>
      <c r="I4265" s="324">
        <f t="shared" si="2978"/>
        <v>4720341</v>
      </c>
      <c r="J4265" s="535"/>
      <c r="K4265" s="389">
        <v>300000</v>
      </c>
      <c r="L4265" s="317">
        <f t="shared" si="2958"/>
        <v>5020341</v>
      </c>
      <c r="M4265" s="317"/>
      <c r="N4265" s="372">
        <f t="shared" si="2963"/>
        <v>-300000</v>
      </c>
      <c r="O4265" s="336">
        <f t="shared" si="2940"/>
        <v>5522375.1000000006</v>
      </c>
      <c r="P4265" s="319">
        <f t="shared" si="2979"/>
        <v>6074612.6100000013</v>
      </c>
      <c r="R4265" s="317"/>
      <c r="U4265" s="320"/>
    </row>
    <row r="4266" spans="1:21" s="337" customFormat="1" outlineLevel="3">
      <c r="A4266" s="990"/>
      <c r="B4266" s="990"/>
      <c r="C4266" s="652"/>
      <c r="D4266" s="663" t="s">
        <v>741</v>
      </c>
      <c r="E4266" s="664">
        <f>E4261+E4259+E4257+E4254+E4248+E4244+E4264</f>
        <v>2660200</v>
      </c>
      <c r="F4266" s="664">
        <f t="shared" ref="F4266:P4266" si="2988">F4261+F4259+F4257+F4254+F4248+F4244+F4264</f>
        <v>0</v>
      </c>
      <c r="G4266" s="664">
        <f t="shared" si="2988"/>
        <v>4720341</v>
      </c>
      <c r="H4266" s="664">
        <f t="shared" si="2988"/>
        <v>445000</v>
      </c>
      <c r="I4266" s="664">
        <f t="shared" si="2988"/>
        <v>7825541</v>
      </c>
      <c r="J4266" s="664">
        <f t="shared" si="2988"/>
        <v>0</v>
      </c>
      <c r="K4266" s="664">
        <f t="shared" si="2988"/>
        <v>295000</v>
      </c>
      <c r="L4266" s="317">
        <f t="shared" si="2958"/>
        <v>8120541</v>
      </c>
      <c r="M4266" s="2211"/>
      <c r="N4266" s="372">
        <f t="shared" si="2963"/>
        <v>-295000</v>
      </c>
      <c r="O4266" s="664">
        <f t="shared" si="2988"/>
        <v>8932595.1000000015</v>
      </c>
      <c r="P4266" s="664">
        <f t="shared" si="2988"/>
        <v>9825854.6100000013</v>
      </c>
      <c r="R4266" s="317"/>
      <c r="U4266" s="320"/>
    </row>
    <row r="4267" spans="1:21" s="337" customFormat="1" outlineLevel="2">
      <c r="A4267" s="907"/>
      <c r="B4267" s="907"/>
      <c r="C4267" s="340"/>
      <c r="D4267" s="447" t="s">
        <v>99</v>
      </c>
      <c r="E4267" s="515">
        <f>E4266+E4243</f>
        <v>6571220</v>
      </c>
      <c r="F4267" s="515">
        <f t="shared" ref="F4267:P4267" si="2989">F4266+F4243</f>
        <v>0</v>
      </c>
      <c r="G4267" s="515">
        <f t="shared" si="2989"/>
        <v>4720341</v>
      </c>
      <c r="H4267" s="515">
        <f t="shared" si="2989"/>
        <v>445000</v>
      </c>
      <c r="I4267" s="515">
        <f t="shared" si="2989"/>
        <v>11736561</v>
      </c>
      <c r="J4267" s="515">
        <f t="shared" si="2989"/>
        <v>0</v>
      </c>
      <c r="K4267" s="515">
        <f t="shared" si="2989"/>
        <v>295000</v>
      </c>
      <c r="L4267" s="317">
        <f t="shared" si="2958"/>
        <v>12031561</v>
      </c>
      <c r="M4267" s="317"/>
      <c r="N4267" s="372">
        <f t="shared" si="2963"/>
        <v>-295000</v>
      </c>
      <c r="O4267" s="515">
        <f t="shared" si="2989"/>
        <v>13234717.100000001</v>
      </c>
      <c r="P4267" s="515">
        <f t="shared" si="2989"/>
        <v>14558188.810000002</v>
      </c>
      <c r="R4267" s="317"/>
      <c r="U4267" s="320"/>
    </row>
    <row r="4268" spans="1:21" s="337" customFormat="1" outlineLevel="2">
      <c r="A4268" s="907"/>
      <c r="B4268" s="907"/>
      <c r="C4268" s="332"/>
      <c r="D4268" s="338"/>
      <c r="E4268" s="529">
        <v>0</v>
      </c>
      <c r="F4268" s="397"/>
      <c r="G4268" s="397"/>
      <c r="H4268" s="397"/>
      <c r="I4268" s="324">
        <f t="shared" si="2978"/>
        <v>0</v>
      </c>
      <c r="J4268" s="515"/>
      <c r="K4268" s="397"/>
      <c r="L4268" s="317">
        <f t="shared" si="2958"/>
        <v>0</v>
      </c>
      <c r="M4268" s="317"/>
      <c r="N4268" s="372">
        <f t="shared" si="2963"/>
        <v>0</v>
      </c>
      <c r="O4268" s="336">
        <f t="shared" si="2940"/>
        <v>0</v>
      </c>
      <c r="P4268" s="319">
        <f t="shared" si="2979"/>
        <v>0</v>
      </c>
      <c r="R4268" s="317"/>
      <c r="U4268" s="320"/>
    </row>
    <row r="4269" spans="1:21" s="337" customFormat="1" outlineLevel="2">
      <c r="A4269" s="907"/>
      <c r="B4269" s="907"/>
      <c r="C4269" s="332"/>
      <c r="D4269" s="338" t="s">
        <v>92</v>
      </c>
      <c r="E4269" s="529">
        <v>0</v>
      </c>
      <c r="F4269" s="397"/>
      <c r="G4269" s="397"/>
      <c r="H4269" s="397"/>
      <c r="I4269" s="324">
        <f t="shared" si="2978"/>
        <v>0</v>
      </c>
      <c r="J4269" s="397"/>
      <c r="K4269" s="397"/>
      <c r="L4269" s="317">
        <f t="shared" si="2958"/>
        <v>0</v>
      </c>
      <c r="M4269" s="317"/>
      <c r="N4269" s="372">
        <f t="shared" si="2963"/>
        <v>0</v>
      </c>
      <c r="O4269" s="336">
        <f t="shared" ref="O4269:O4332" si="2990">L4269*1.1</f>
        <v>0</v>
      </c>
      <c r="P4269" s="319">
        <f t="shared" si="2979"/>
        <v>0</v>
      </c>
      <c r="R4269" s="317"/>
      <c r="U4269" s="320"/>
    </row>
    <row r="4270" spans="1:21" outlineLevel="3">
      <c r="A4270" s="907"/>
      <c r="B4270" s="907"/>
      <c r="C4270" s="340">
        <v>3110200</v>
      </c>
      <c r="D4270" s="338" t="s">
        <v>79</v>
      </c>
      <c r="E4270" s="518">
        <f>E4271</f>
        <v>2000000</v>
      </c>
      <c r="F4270" s="518">
        <f t="shared" ref="F4270:P4270" si="2991">F4271</f>
        <v>1590000</v>
      </c>
      <c r="G4270" s="518">
        <f t="shared" si="2991"/>
        <v>0</v>
      </c>
      <c r="H4270" s="518">
        <f t="shared" si="2991"/>
        <v>-120000</v>
      </c>
      <c r="I4270" s="518">
        <f t="shared" si="2991"/>
        <v>3470000</v>
      </c>
      <c r="J4270" s="518">
        <f t="shared" si="2991"/>
        <v>0</v>
      </c>
      <c r="K4270" s="518">
        <f t="shared" si="2991"/>
        <v>-80608</v>
      </c>
      <c r="L4270" s="317">
        <f t="shared" si="2958"/>
        <v>3389392</v>
      </c>
      <c r="M4270" s="317"/>
      <c r="N4270" s="372">
        <f t="shared" si="2963"/>
        <v>80608</v>
      </c>
      <c r="O4270" s="518">
        <f t="shared" si="2991"/>
        <v>3728331.2</v>
      </c>
      <c r="P4270" s="518">
        <f t="shared" si="2991"/>
        <v>4101164.3200000008</v>
      </c>
      <c r="R4270" s="317"/>
      <c r="U4270" s="320"/>
    </row>
    <row r="4271" spans="1:21" outlineLevel="3">
      <c r="A4271" s="907"/>
      <c r="B4271" s="907"/>
      <c r="C4271" s="332">
        <v>3110299</v>
      </c>
      <c r="D4271" s="330" t="s">
        <v>1387</v>
      </c>
      <c r="E4271" s="529">
        <v>2000000</v>
      </c>
      <c r="F4271" s="389">
        <v>1590000</v>
      </c>
      <c r="G4271" s="389"/>
      <c r="H4271" s="529">
        <v>-120000</v>
      </c>
      <c r="I4271" s="324">
        <f t="shared" si="2978"/>
        <v>3470000</v>
      </c>
      <c r="J4271" s="518"/>
      <c r="K4271" s="529">
        <v>-80608</v>
      </c>
      <c r="L4271" s="317">
        <f t="shared" si="2958"/>
        <v>3389392</v>
      </c>
      <c r="M4271" s="317"/>
      <c r="N4271" s="372">
        <f t="shared" si="2963"/>
        <v>80608</v>
      </c>
      <c r="O4271" s="336">
        <f t="shared" si="2990"/>
        <v>3728331.2</v>
      </c>
      <c r="P4271" s="319">
        <f t="shared" si="2979"/>
        <v>4101164.3200000008</v>
      </c>
      <c r="R4271" s="317"/>
      <c r="U4271" s="320"/>
    </row>
    <row r="4272" spans="1:21" s="337" customFormat="1" outlineLevel="3">
      <c r="A4272" s="907"/>
      <c r="B4272" s="907"/>
      <c r="C4272" s="340">
        <v>3110500</v>
      </c>
      <c r="D4272" s="338" t="s">
        <v>736</v>
      </c>
      <c r="E4272" s="518">
        <f>E4273+E4274</f>
        <v>8500000</v>
      </c>
      <c r="F4272" s="518">
        <f t="shared" ref="F4272:K4272" si="2992">F4273+F4274</f>
        <v>0</v>
      </c>
      <c r="G4272" s="518">
        <f t="shared" si="2992"/>
        <v>0</v>
      </c>
      <c r="H4272" s="518">
        <f t="shared" si="2992"/>
        <v>-320000</v>
      </c>
      <c r="I4272" s="518">
        <f t="shared" si="2992"/>
        <v>8180000</v>
      </c>
      <c r="J4272" s="518">
        <f t="shared" si="2992"/>
        <v>0</v>
      </c>
      <c r="K4272" s="518">
        <f t="shared" si="2992"/>
        <v>-4847</v>
      </c>
      <c r="L4272" s="317">
        <f t="shared" si="2958"/>
        <v>8175153</v>
      </c>
      <c r="M4272" s="317"/>
      <c r="N4272" s="372">
        <f t="shared" si="2963"/>
        <v>4847</v>
      </c>
      <c r="O4272" s="518">
        <f t="shared" ref="O4272:P4272" si="2993">O4273+O4274</f>
        <v>8992668.3000000007</v>
      </c>
      <c r="P4272" s="518">
        <f t="shared" si="2993"/>
        <v>9891935.1300000008</v>
      </c>
      <c r="R4272" s="317"/>
      <c r="U4272" s="320"/>
    </row>
    <row r="4273" spans="1:21" s="337" customFormat="1" outlineLevel="3">
      <c r="A4273" s="907"/>
      <c r="B4273" s="907"/>
      <c r="C4273" s="332">
        <v>3110504</v>
      </c>
      <c r="D4273" s="1177" t="s">
        <v>1388</v>
      </c>
      <c r="E4273" s="529">
        <v>6000000</v>
      </c>
      <c r="F4273" s="1178"/>
      <c r="G4273" s="1178"/>
      <c r="H4273" s="529">
        <v>-320000</v>
      </c>
      <c r="I4273" s="324">
        <f t="shared" si="2978"/>
        <v>5680000</v>
      </c>
      <c r="J4273" s="518"/>
      <c r="K4273" s="529">
        <v>-3658</v>
      </c>
      <c r="L4273" s="317">
        <f t="shared" si="2958"/>
        <v>5676342</v>
      </c>
      <c r="M4273" s="317"/>
      <c r="N4273" s="372">
        <f t="shared" si="2963"/>
        <v>3658</v>
      </c>
      <c r="O4273" s="336">
        <f t="shared" si="2990"/>
        <v>6243976.2000000002</v>
      </c>
      <c r="P4273" s="319">
        <f t="shared" ref="P4273:P4287" si="2994">O4273*1.1</f>
        <v>6868373.8200000003</v>
      </c>
      <c r="R4273" s="317"/>
      <c r="U4273" s="320"/>
    </row>
    <row r="4274" spans="1:21" outlineLevel="3">
      <c r="A4274" s="907"/>
      <c r="B4274" s="907"/>
      <c r="C4274" s="332">
        <v>3110599</v>
      </c>
      <c r="D4274" s="1177" t="s">
        <v>1389</v>
      </c>
      <c r="E4274" s="529">
        <v>2500000</v>
      </c>
      <c r="F4274" s="1178"/>
      <c r="G4274" s="1178"/>
      <c r="H4274" s="529">
        <f>-2500000+2500000</f>
        <v>0</v>
      </c>
      <c r="I4274" s="324">
        <f t="shared" si="2978"/>
        <v>2500000</v>
      </c>
      <c r="J4274" s="529"/>
      <c r="K4274" s="529">
        <v>-1189</v>
      </c>
      <c r="L4274" s="317">
        <f t="shared" si="2958"/>
        <v>2498811</v>
      </c>
      <c r="M4274" s="317"/>
      <c r="N4274" s="372">
        <f t="shared" si="2963"/>
        <v>1189</v>
      </c>
      <c r="O4274" s="336">
        <f t="shared" si="2990"/>
        <v>2748692.1</v>
      </c>
      <c r="P4274" s="319">
        <f t="shared" si="2994"/>
        <v>3023561.3100000005</v>
      </c>
      <c r="R4274" s="317"/>
      <c r="U4274" s="320"/>
    </row>
    <row r="4275" spans="1:21" outlineLevel="2">
      <c r="A4275" s="338"/>
      <c r="B4275" s="338"/>
      <c r="C4275" s="340"/>
      <c r="D4275" s="447" t="s">
        <v>175</v>
      </c>
      <c r="E4275" s="515">
        <f>E4272+E4270</f>
        <v>10500000</v>
      </c>
      <c r="F4275" s="515">
        <f t="shared" ref="F4275:P4275" si="2995">F4272+F4270</f>
        <v>1590000</v>
      </c>
      <c r="G4275" s="515">
        <f t="shared" si="2995"/>
        <v>0</v>
      </c>
      <c r="H4275" s="515">
        <f t="shared" si="2995"/>
        <v>-440000</v>
      </c>
      <c r="I4275" s="515">
        <f t="shared" si="2995"/>
        <v>11650000</v>
      </c>
      <c r="J4275" s="515">
        <f t="shared" si="2995"/>
        <v>0</v>
      </c>
      <c r="K4275" s="515">
        <f t="shared" si="2995"/>
        <v>-85455</v>
      </c>
      <c r="L4275" s="317">
        <f t="shared" si="2958"/>
        <v>11564545</v>
      </c>
      <c r="M4275" s="317"/>
      <c r="N4275" s="372">
        <f t="shared" si="2963"/>
        <v>85455</v>
      </c>
      <c r="O4275" s="515">
        <f t="shared" si="2995"/>
        <v>12720999.5</v>
      </c>
      <c r="P4275" s="515">
        <f t="shared" si="2995"/>
        <v>13993099.450000001</v>
      </c>
      <c r="R4275" s="317"/>
      <c r="U4275" s="320"/>
    </row>
    <row r="4276" spans="1:21" s="446" customFormat="1" outlineLevel="1">
      <c r="A4276" s="907"/>
      <c r="B4276" s="907"/>
      <c r="C4276" s="340"/>
      <c r="D4276" s="447" t="s">
        <v>627</v>
      </c>
      <c r="E4276" s="515">
        <f>E4275+E4267</f>
        <v>17071220</v>
      </c>
      <c r="F4276" s="515">
        <f t="shared" ref="F4276:K4276" si="2996">F4275+F4267</f>
        <v>1590000</v>
      </c>
      <c r="G4276" s="515">
        <f t="shared" si="2996"/>
        <v>4720341</v>
      </c>
      <c r="H4276" s="515">
        <f t="shared" si="2996"/>
        <v>5000</v>
      </c>
      <c r="I4276" s="515">
        <f t="shared" si="2996"/>
        <v>23386561</v>
      </c>
      <c r="J4276" s="515">
        <f t="shared" si="2996"/>
        <v>0</v>
      </c>
      <c r="K4276" s="515">
        <f t="shared" si="2996"/>
        <v>209545</v>
      </c>
      <c r="L4276" s="317">
        <f t="shared" si="2958"/>
        <v>23596106</v>
      </c>
      <c r="M4276" s="317"/>
      <c r="N4276" s="372">
        <f t="shared" si="2963"/>
        <v>-209545</v>
      </c>
      <c r="O4276" s="515">
        <f t="shared" ref="O4276:P4276" si="2997">O4275+O4267</f>
        <v>25955716.600000001</v>
      </c>
      <c r="P4276" s="515">
        <f t="shared" si="2997"/>
        <v>28551288.260000005</v>
      </c>
      <c r="R4276" s="317"/>
      <c r="U4276" s="320"/>
    </row>
    <row r="4277" spans="1:21" outlineLevel="1">
      <c r="A4277" s="907"/>
      <c r="B4277" s="907"/>
      <c r="C4277" s="340"/>
      <c r="D4277" s="330"/>
      <c r="E4277" s="529">
        <v>0</v>
      </c>
      <c r="F4277" s="389"/>
      <c r="G4277" s="389"/>
      <c r="H4277" s="389"/>
      <c r="I4277" s="324">
        <f t="shared" si="2978"/>
        <v>0</v>
      </c>
      <c r="J4277" s="515"/>
      <c r="K4277" s="389"/>
      <c r="L4277" s="317">
        <f t="shared" si="2958"/>
        <v>0</v>
      </c>
      <c r="M4277" s="317"/>
      <c r="N4277" s="372">
        <f t="shared" si="2963"/>
        <v>0</v>
      </c>
      <c r="O4277" s="336">
        <f t="shared" si="2990"/>
        <v>0</v>
      </c>
      <c r="P4277" s="319">
        <f t="shared" si="2994"/>
        <v>0</v>
      </c>
      <c r="R4277" s="317"/>
      <c r="U4277" s="320"/>
    </row>
    <row r="4278" spans="1:21" outlineLevel="1">
      <c r="A4278" s="1023" t="s">
        <v>168</v>
      </c>
      <c r="B4278" s="1023" t="s">
        <v>742</v>
      </c>
      <c r="C4278" s="314" t="s">
        <v>743</v>
      </c>
      <c r="D4278" s="313"/>
      <c r="E4278" s="513">
        <v>0</v>
      </c>
      <c r="F4278" s="514"/>
      <c r="G4278" s="514"/>
      <c r="H4278" s="514"/>
      <c r="I4278" s="324">
        <f t="shared" si="2978"/>
        <v>0</v>
      </c>
      <c r="J4278" s="389"/>
      <c r="K4278" s="514"/>
      <c r="L4278" s="317">
        <f t="shared" si="2958"/>
        <v>0</v>
      </c>
      <c r="M4278" s="317"/>
      <c r="N4278" s="372">
        <f t="shared" si="2963"/>
        <v>0</v>
      </c>
      <c r="O4278" s="336">
        <f t="shared" si="2990"/>
        <v>0</v>
      </c>
      <c r="P4278" s="319">
        <f t="shared" si="2994"/>
        <v>0</v>
      </c>
      <c r="R4278" s="317"/>
      <c r="U4278" s="320"/>
    </row>
    <row r="4279" spans="1:21" outlineLevel="2">
      <c r="A4279" s="907"/>
      <c r="B4279" s="907"/>
      <c r="C4279" s="340">
        <v>2210700</v>
      </c>
      <c r="D4279" s="338" t="s">
        <v>35</v>
      </c>
      <c r="E4279" s="518">
        <f>E4280+E4281+E4282</f>
        <v>230000</v>
      </c>
      <c r="F4279" s="518">
        <f t="shared" ref="F4279:K4279" si="2998">F4280+F4281+F4282</f>
        <v>0</v>
      </c>
      <c r="G4279" s="518">
        <f t="shared" si="2998"/>
        <v>0</v>
      </c>
      <c r="H4279" s="518">
        <f t="shared" si="2998"/>
        <v>0</v>
      </c>
      <c r="I4279" s="518">
        <f t="shared" si="2998"/>
        <v>230000</v>
      </c>
      <c r="J4279" s="518">
        <f t="shared" si="2998"/>
        <v>0</v>
      </c>
      <c r="K4279" s="518">
        <f t="shared" si="2998"/>
        <v>0</v>
      </c>
      <c r="L4279" s="317">
        <f t="shared" si="2958"/>
        <v>230000</v>
      </c>
      <c r="M4279" s="317"/>
      <c r="N4279" s="372">
        <f t="shared" si="2963"/>
        <v>0</v>
      </c>
      <c r="O4279" s="518">
        <f t="shared" ref="O4279:P4279" si="2999">O4280+O4281+O4282</f>
        <v>253000</v>
      </c>
      <c r="P4279" s="518">
        <f t="shared" si="2999"/>
        <v>278300.00000000006</v>
      </c>
      <c r="R4279" s="317"/>
      <c r="U4279" s="320"/>
    </row>
    <row r="4280" spans="1:21" outlineLevel="2">
      <c r="A4280" s="907"/>
      <c r="B4280" s="907"/>
      <c r="C4280" s="332">
        <v>2210701</v>
      </c>
      <c r="D4280" s="330" t="s">
        <v>36</v>
      </c>
      <c r="E4280" s="529">
        <v>87000</v>
      </c>
      <c r="F4280" s="389"/>
      <c r="G4280" s="389"/>
      <c r="H4280" s="389"/>
      <c r="I4280" s="324">
        <f t="shared" si="2978"/>
        <v>87000</v>
      </c>
      <c r="J4280" s="518"/>
      <c r="K4280" s="389"/>
      <c r="L4280" s="317">
        <f t="shared" si="2958"/>
        <v>87000</v>
      </c>
      <c r="M4280" s="317"/>
      <c r="N4280" s="372">
        <f t="shared" si="2963"/>
        <v>0</v>
      </c>
      <c r="O4280" s="336">
        <f t="shared" si="2990"/>
        <v>95700.000000000015</v>
      </c>
      <c r="P4280" s="319">
        <f t="shared" si="2994"/>
        <v>105270.00000000003</v>
      </c>
      <c r="R4280" s="317"/>
      <c r="U4280" s="320"/>
    </row>
    <row r="4281" spans="1:21" s="337" customFormat="1" outlineLevel="2">
      <c r="A4281" s="907"/>
      <c r="B4281" s="907"/>
      <c r="C4281" s="332">
        <v>2210710</v>
      </c>
      <c r="D4281" s="330" t="s">
        <v>744</v>
      </c>
      <c r="E4281" s="529">
        <v>79000</v>
      </c>
      <c r="F4281" s="389"/>
      <c r="G4281" s="389"/>
      <c r="H4281" s="389"/>
      <c r="I4281" s="324">
        <f t="shared" si="2978"/>
        <v>79000</v>
      </c>
      <c r="J4281" s="389"/>
      <c r="K4281" s="389"/>
      <c r="L4281" s="317">
        <f t="shared" si="2958"/>
        <v>79000</v>
      </c>
      <c r="M4281" s="317"/>
      <c r="N4281" s="372">
        <f t="shared" si="2963"/>
        <v>0</v>
      </c>
      <c r="O4281" s="336">
        <f t="shared" si="2990"/>
        <v>86900</v>
      </c>
      <c r="P4281" s="319">
        <f t="shared" si="2994"/>
        <v>95590.000000000015</v>
      </c>
      <c r="R4281" s="317"/>
      <c r="U4281" s="320"/>
    </row>
    <row r="4282" spans="1:21" outlineLevel="2">
      <c r="A4282" s="907"/>
      <c r="B4282" s="907"/>
      <c r="C4282" s="332">
        <v>2210711</v>
      </c>
      <c r="D4282" s="330" t="s">
        <v>745</v>
      </c>
      <c r="E4282" s="529">
        <v>64000</v>
      </c>
      <c r="F4282" s="389"/>
      <c r="G4282" s="389"/>
      <c r="H4282" s="389"/>
      <c r="I4282" s="324">
        <f t="shared" si="2978"/>
        <v>64000</v>
      </c>
      <c r="J4282" s="389"/>
      <c r="K4282" s="389"/>
      <c r="L4282" s="317">
        <f t="shared" si="2958"/>
        <v>64000</v>
      </c>
      <c r="M4282" s="317"/>
      <c r="N4282" s="372">
        <f t="shared" si="2963"/>
        <v>0</v>
      </c>
      <c r="O4282" s="336">
        <f t="shared" si="2990"/>
        <v>70400</v>
      </c>
      <c r="P4282" s="319">
        <f t="shared" si="2994"/>
        <v>77440</v>
      </c>
      <c r="R4282" s="317"/>
      <c r="U4282" s="320"/>
    </row>
    <row r="4283" spans="1:21" s="337" customFormat="1" outlineLevel="2">
      <c r="A4283" s="907"/>
      <c r="B4283" s="907"/>
      <c r="C4283" s="340">
        <v>2210800</v>
      </c>
      <c r="D4283" s="338" t="s">
        <v>42</v>
      </c>
      <c r="E4283" s="518">
        <f>E4285+E4284</f>
        <v>200000</v>
      </c>
      <c r="F4283" s="518">
        <f t="shared" ref="F4283:K4283" si="3000">F4285+F4284</f>
        <v>0</v>
      </c>
      <c r="G4283" s="518">
        <f t="shared" si="3000"/>
        <v>0</v>
      </c>
      <c r="H4283" s="518">
        <f t="shared" si="3000"/>
        <v>200000</v>
      </c>
      <c r="I4283" s="518">
        <f t="shared" si="3000"/>
        <v>400000</v>
      </c>
      <c r="J4283" s="518">
        <f t="shared" si="3000"/>
        <v>0</v>
      </c>
      <c r="K4283" s="518">
        <f t="shared" si="3000"/>
        <v>0</v>
      </c>
      <c r="L4283" s="317">
        <f t="shared" si="2958"/>
        <v>400000</v>
      </c>
      <c r="M4283" s="317"/>
      <c r="N4283" s="372">
        <f t="shared" si="2963"/>
        <v>0</v>
      </c>
      <c r="O4283" s="518">
        <f t="shared" ref="O4283:P4283" si="3001">O4285+O4284</f>
        <v>440000</v>
      </c>
      <c r="P4283" s="518">
        <f t="shared" si="3001"/>
        <v>484000.00000000012</v>
      </c>
      <c r="R4283" s="317"/>
      <c r="U4283" s="320"/>
    </row>
    <row r="4284" spans="1:21" outlineLevel="2" collapsed="1">
      <c r="A4284" s="907"/>
      <c r="B4284" s="907"/>
      <c r="C4284" s="332">
        <v>2210801</v>
      </c>
      <c r="D4284" s="330" t="s">
        <v>2421</v>
      </c>
      <c r="E4284" s="529">
        <v>100000</v>
      </c>
      <c r="F4284" s="389"/>
      <c r="G4284" s="389"/>
      <c r="H4284" s="389"/>
      <c r="I4284" s="324">
        <f t="shared" si="2978"/>
        <v>100000</v>
      </c>
      <c r="J4284" s="518"/>
      <c r="K4284" s="389"/>
      <c r="L4284" s="317">
        <f t="shared" si="2958"/>
        <v>100000</v>
      </c>
      <c r="M4284" s="317"/>
      <c r="N4284" s="372">
        <f t="shared" si="2963"/>
        <v>0</v>
      </c>
      <c r="O4284" s="336">
        <f t="shared" si="2990"/>
        <v>110000.00000000001</v>
      </c>
      <c r="P4284" s="319">
        <f t="shared" si="2994"/>
        <v>121000.00000000003</v>
      </c>
      <c r="R4284" s="317"/>
      <c r="U4284" s="320"/>
    </row>
    <row r="4285" spans="1:21" s="337" customFormat="1" outlineLevel="2">
      <c r="A4285" s="907"/>
      <c r="B4285" s="907"/>
      <c r="C4285" s="332">
        <v>2210802</v>
      </c>
      <c r="D4285" s="330" t="s">
        <v>97</v>
      </c>
      <c r="E4285" s="529">
        <v>100000</v>
      </c>
      <c r="F4285" s="389"/>
      <c r="G4285" s="389"/>
      <c r="H4285" s="389">
        <v>200000</v>
      </c>
      <c r="I4285" s="324">
        <f t="shared" si="2978"/>
        <v>300000</v>
      </c>
      <c r="J4285" s="389"/>
      <c r="K4285" s="389"/>
      <c r="L4285" s="317">
        <f t="shared" si="2958"/>
        <v>300000</v>
      </c>
      <c r="M4285" s="317"/>
      <c r="N4285" s="372">
        <f t="shared" si="2963"/>
        <v>0</v>
      </c>
      <c r="O4285" s="336">
        <f t="shared" si="2990"/>
        <v>330000</v>
      </c>
      <c r="P4285" s="319">
        <f t="shared" si="2994"/>
        <v>363000.00000000006</v>
      </c>
      <c r="R4285" s="317"/>
      <c r="U4285" s="320"/>
    </row>
    <row r="4286" spans="1:21" s="337" customFormat="1" outlineLevel="2">
      <c r="A4286" s="907"/>
      <c r="B4286" s="907"/>
      <c r="C4286" s="340">
        <v>2220200</v>
      </c>
      <c r="D4286" s="338" t="s">
        <v>124</v>
      </c>
      <c r="E4286" s="518">
        <f>E4287</f>
        <v>150000</v>
      </c>
      <c r="F4286" s="518">
        <f t="shared" ref="F4286:K4286" si="3002">F4287</f>
        <v>0</v>
      </c>
      <c r="G4286" s="518">
        <f t="shared" si="3002"/>
        <v>0</v>
      </c>
      <c r="H4286" s="518">
        <f t="shared" si="3002"/>
        <v>0</v>
      </c>
      <c r="I4286" s="518">
        <f t="shared" si="3002"/>
        <v>150000</v>
      </c>
      <c r="J4286" s="518">
        <f t="shared" si="3002"/>
        <v>0</v>
      </c>
      <c r="K4286" s="518">
        <f t="shared" si="3002"/>
        <v>186690</v>
      </c>
      <c r="L4286" s="317">
        <f t="shared" si="2958"/>
        <v>336690</v>
      </c>
      <c r="M4286" s="317"/>
      <c r="N4286" s="372">
        <f t="shared" si="2963"/>
        <v>-186690</v>
      </c>
      <c r="O4286" s="518">
        <f t="shared" ref="O4286:P4286" si="3003">O4287</f>
        <v>370359.00000000006</v>
      </c>
      <c r="P4286" s="518">
        <f t="shared" si="3003"/>
        <v>407394.90000000008</v>
      </c>
      <c r="R4286" s="317"/>
      <c r="U4286" s="320"/>
    </row>
    <row r="4287" spans="1:21" outlineLevel="2">
      <c r="A4287" s="907"/>
      <c r="B4287" s="907"/>
      <c r="C4287" s="332">
        <v>2220201</v>
      </c>
      <c r="D4287" s="330" t="s">
        <v>729</v>
      </c>
      <c r="E4287" s="529">
        <v>150000</v>
      </c>
      <c r="F4287" s="389"/>
      <c r="G4287" s="389"/>
      <c r="H4287" s="389"/>
      <c r="I4287" s="324">
        <f t="shared" si="2978"/>
        <v>150000</v>
      </c>
      <c r="J4287" s="518"/>
      <c r="K4287" s="389">
        <v>186690</v>
      </c>
      <c r="L4287" s="317">
        <f t="shared" si="2958"/>
        <v>336690</v>
      </c>
      <c r="M4287" s="317"/>
      <c r="N4287" s="372">
        <f t="shared" si="2963"/>
        <v>-186690</v>
      </c>
      <c r="O4287" s="336">
        <f t="shared" si="2990"/>
        <v>370359.00000000006</v>
      </c>
      <c r="P4287" s="319">
        <f t="shared" si="2994"/>
        <v>407394.90000000008</v>
      </c>
      <c r="R4287" s="317"/>
      <c r="U4287" s="320"/>
    </row>
    <row r="4288" spans="1:21" outlineLevel="1">
      <c r="A4288" s="907"/>
      <c r="B4288" s="907"/>
      <c r="C4288" s="403"/>
      <c r="D4288" s="447" t="s">
        <v>741</v>
      </c>
      <c r="E4288" s="515">
        <f>E4286+E4283+E4279</f>
        <v>580000</v>
      </c>
      <c r="F4288" s="515">
        <f t="shared" ref="F4288:P4288" si="3004">F4286+F4283+F4279</f>
        <v>0</v>
      </c>
      <c r="G4288" s="515">
        <f t="shared" si="3004"/>
        <v>0</v>
      </c>
      <c r="H4288" s="515">
        <f t="shared" si="3004"/>
        <v>200000</v>
      </c>
      <c r="I4288" s="515">
        <f t="shared" si="3004"/>
        <v>780000</v>
      </c>
      <c r="J4288" s="515">
        <f t="shared" si="3004"/>
        <v>0</v>
      </c>
      <c r="K4288" s="515">
        <f t="shared" si="3004"/>
        <v>186690</v>
      </c>
      <c r="L4288" s="317">
        <f t="shared" si="2958"/>
        <v>966690</v>
      </c>
      <c r="M4288" s="317"/>
      <c r="N4288" s="372">
        <f t="shared" si="2963"/>
        <v>-186690</v>
      </c>
      <c r="O4288" s="515">
        <f t="shared" si="3004"/>
        <v>1063359</v>
      </c>
      <c r="P4288" s="515">
        <f t="shared" si="3004"/>
        <v>1169694.9000000001</v>
      </c>
      <c r="R4288" s="317"/>
      <c r="U4288" s="320"/>
    </row>
    <row r="4289" spans="1:21" outlineLevel="1">
      <c r="A4289" s="907"/>
      <c r="B4289" s="907"/>
      <c r="C4289" s="340"/>
      <c r="D4289" s="447" t="s">
        <v>128</v>
      </c>
      <c r="E4289" s="515">
        <f>E4288</f>
        <v>580000</v>
      </c>
      <c r="F4289" s="515">
        <f t="shared" ref="F4289:P4290" si="3005">F4288</f>
        <v>0</v>
      </c>
      <c r="G4289" s="515">
        <f t="shared" si="3005"/>
        <v>0</v>
      </c>
      <c r="H4289" s="515">
        <f t="shared" si="3005"/>
        <v>200000</v>
      </c>
      <c r="I4289" s="515">
        <f t="shared" si="3005"/>
        <v>780000</v>
      </c>
      <c r="J4289" s="515">
        <f t="shared" si="3005"/>
        <v>0</v>
      </c>
      <c r="K4289" s="515">
        <f t="shared" si="3005"/>
        <v>186690</v>
      </c>
      <c r="L4289" s="317">
        <f t="shared" si="2958"/>
        <v>966690</v>
      </c>
      <c r="M4289" s="317"/>
      <c r="N4289" s="372">
        <f t="shared" si="2963"/>
        <v>-186690</v>
      </c>
      <c r="O4289" s="515">
        <f t="shared" si="3005"/>
        <v>1063359</v>
      </c>
      <c r="P4289" s="515">
        <f t="shared" si="3005"/>
        <v>1169694.9000000001</v>
      </c>
      <c r="R4289" s="317"/>
      <c r="U4289" s="320"/>
    </row>
    <row r="4290" spans="1:21" s="446" customFormat="1" outlineLevel="1">
      <c r="A4290" s="907"/>
      <c r="B4290" s="907"/>
      <c r="C4290" s="340"/>
      <c r="D4290" s="447" t="s">
        <v>627</v>
      </c>
      <c r="E4290" s="515">
        <f>E4289</f>
        <v>580000</v>
      </c>
      <c r="F4290" s="515">
        <f t="shared" si="3005"/>
        <v>0</v>
      </c>
      <c r="G4290" s="515">
        <f t="shared" si="3005"/>
        <v>0</v>
      </c>
      <c r="H4290" s="515">
        <f t="shared" si="3005"/>
        <v>200000</v>
      </c>
      <c r="I4290" s="515">
        <f t="shared" si="3005"/>
        <v>780000</v>
      </c>
      <c r="J4290" s="515">
        <f t="shared" si="3005"/>
        <v>0</v>
      </c>
      <c r="K4290" s="515">
        <f t="shared" si="3005"/>
        <v>186690</v>
      </c>
      <c r="L4290" s="317">
        <f t="shared" si="2958"/>
        <v>966690</v>
      </c>
      <c r="M4290" s="317"/>
      <c r="N4290" s="372">
        <f t="shared" si="2963"/>
        <v>-186690</v>
      </c>
      <c r="O4290" s="515">
        <f t="shared" si="3005"/>
        <v>1063359</v>
      </c>
      <c r="P4290" s="515">
        <f t="shared" si="3005"/>
        <v>1169694.9000000001</v>
      </c>
      <c r="R4290" s="317"/>
      <c r="U4290" s="320"/>
    </row>
    <row r="4291" spans="1:21" outlineLevel="1">
      <c r="A4291" s="907"/>
      <c r="B4291" s="907"/>
      <c r="C4291" s="340"/>
      <c r="D4291" s="330"/>
      <c r="E4291" s="529">
        <v>0</v>
      </c>
      <c r="F4291" s="389"/>
      <c r="G4291" s="389"/>
      <c r="H4291" s="389"/>
      <c r="I4291" s="324">
        <f t="shared" si="2978"/>
        <v>0</v>
      </c>
      <c r="J4291" s="515"/>
      <c r="K4291" s="389"/>
      <c r="L4291" s="317">
        <f t="shared" si="2958"/>
        <v>0</v>
      </c>
      <c r="M4291" s="317"/>
      <c r="N4291" s="372">
        <f t="shared" si="2963"/>
        <v>0</v>
      </c>
      <c r="O4291" s="336">
        <f t="shared" si="2990"/>
        <v>0</v>
      </c>
      <c r="P4291" s="319">
        <f t="shared" ref="P4291:P4309" si="3006">O4291*1.1</f>
        <v>0</v>
      </c>
      <c r="R4291" s="317"/>
      <c r="U4291" s="320"/>
    </row>
    <row r="4292" spans="1:21" outlineLevel="1">
      <c r="A4292" s="1023" t="s">
        <v>168</v>
      </c>
      <c r="B4292" s="1023" t="s">
        <v>146</v>
      </c>
      <c r="C4292" s="314" t="s">
        <v>746</v>
      </c>
      <c r="D4292" s="313"/>
      <c r="E4292" s="513">
        <v>0</v>
      </c>
      <c r="F4292" s="514"/>
      <c r="G4292" s="514"/>
      <c r="H4292" s="514"/>
      <c r="I4292" s="324">
        <f t="shared" si="2978"/>
        <v>0</v>
      </c>
      <c r="J4292" s="389"/>
      <c r="K4292" s="514"/>
      <c r="L4292" s="317">
        <f t="shared" si="2958"/>
        <v>0</v>
      </c>
      <c r="M4292" s="317"/>
      <c r="N4292" s="372">
        <f t="shared" si="2963"/>
        <v>0</v>
      </c>
      <c r="O4292" s="336">
        <f t="shared" si="2990"/>
        <v>0</v>
      </c>
      <c r="P4292" s="319">
        <f t="shared" si="3006"/>
        <v>0</v>
      </c>
      <c r="R4292" s="317"/>
      <c r="U4292" s="320"/>
    </row>
    <row r="4293" spans="1:21" outlineLevel="3">
      <c r="A4293" s="907"/>
      <c r="B4293" s="907"/>
      <c r="C4293" s="340">
        <v>2210700</v>
      </c>
      <c r="D4293" s="338" t="s">
        <v>35</v>
      </c>
      <c r="E4293" s="518">
        <f>E4294+E4295+E4296</f>
        <v>152323</v>
      </c>
      <c r="F4293" s="518">
        <f t="shared" ref="F4293:P4293" si="3007">F4294+F4295+F4296</f>
        <v>0</v>
      </c>
      <c r="G4293" s="518">
        <f t="shared" si="3007"/>
        <v>0</v>
      </c>
      <c r="H4293" s="518">
        <f t="shared" si="3007"/>
        <v>150000</v>
      </c>
      <c r="I4293" s="518">
        <f t="shared" si="3007"/>
        <v>302323</v>
      </c>
      <c r="J4293" s="518">
        <f t="shared" si="3007"/>
        <v>0</v>
      </c>
      <c r="K4293" s="518">
        <f t="shared" si="3007"/>
        <v>0</v>
      </c>
      <c r="L4293" s="317">
        <f t="shared" ref="L4293:L4356" si="3008">I4293+J4293+K4293</f>
        <v>302323</v>
      </c>
      <c r="M4293" s="317"/>
      <c r="N4293" s="372">
        <f t="shared" si="2963"/>
        <v>0</v>
      </c>
      <c r="O4293" s="518">
        <f t="shared" si="3007"/>
        <v>332555.30000000005</v>
      </c>
      <c r="P4293" s="518">
        <f t="shared" si="3007"/>
        <v>365810.83000000007</v>
      </c>
      <c r="R4293" s="317"/>
      <c r="U4293" s="320"/>
    </row>
    <row r="4294" spans="1:21" outlineLevel="3">
      <c r="A4294" s="907"/>
      <c r="B4294" s="907"/>
      <c r="C4294" s="332">
        <v>2210701</v>
      </c>
      <c r="D4294" s="330" t="s">
        <v>36</v>
      </c>
      <c r="E4294" s="529">
        <v>52258</v>
      </c>
      <c r="F4294" s="389"/>
      <c r="G4294" s="389"/>
      <c r="H4294" s="389"/>
      <c r="I4294" s="324">
        <f t="shared" si="2978"/>
        <v>52258</v>
      </c>
      <c r="J4294" s="518"/>
      <c r="K4294" s="389"/>
      <c r="L4294" s="317">
        <f t="shared" si="3008"/>
        <v>52258</v>
      </c>
      <c r="M4294" s="317"/>
      <c r="N4294" s="372">
        <f t="shared" si="2963"/>
        <v>0</v>
      </c>
      <c r="O4294" s="336">
        <f t="shared" si="2990"/>
        <v>57483.8</v>
      </c>
      <c r="P4294" s="319">
        <f t="shared" si="3006"/>
        <v>63232.180000000008</v>
      </c>
      <c r="R4294" s="317"/>
      <c r="U4294" s="320"/>
    </row>
    <row r="4295" spans="1:21" s="337" customFormat="1" outlineLevel="3">
      <c r="A4295" s="907"/>
      <c r="B4295" s="907"/>
      <c r="C4295" s="332">
        <v>2210710</v>
      </c>
      <c r="D4295" s="330" t="s">
        <v>744</v>
      </c>
      <c r="E4295" s="529">
        <v>50065</v>
      </c>
      <c r="F4295" s="389"/>
      <c r="G4295" s="389"/>
      <c r="H4295" s="389"/>
      <c r="I4295" s="324">
        <f t="shared" si="2978"/>
        <v>50065</v>
      </c>
      <c r="J4295" s="389"/>
      <c r="K4295" s="389"/>
      <c r="L4295" s="317">
        <f t="shared" si="3008"/>
        <v>50065</v>
      </c>
      <c r="M4295" s="317"/>
      <c r="N4295" s="372">
        <f t="shared" si="2963"/>
        <v>0</v>
      </c>
      <c r="O4295" s="336">
        <f t="shared" si="2990"/>
        <v>55071.500000000007</v>
      </c>
      <c r="P4295" s="319">
        <f t="shared" si="3006"/>
        <v>60578.650000000016</v>
      </c>
      <c r="R4295" s="317"/>
      <c r="U4295" s="320"/>
    </row>
    <row r="4296" spans="1:21" s="337" customFormat="1" outlineLevel="3">
      <c r="A4296" s="907"/>
      <c r="B4296" s="907"/>
      <c r="C4296" s="332">
        <v>2210711</v>
      </c>
      <c r="D4296" s="330" t="s">
        <v>156</v>
      </c>
      <c r="E4296" s="529">
        <v>50000</v>
      </c>
      <c r="F4296" s="389"/>
      <c r="G4296" s="389"/>
      <c r="H4296" s="389">
        <v>150000</v>
      </c>
      <c r="I4296" s="324">
        <f t="shared" si="2978"/>
        <v>200000</v>
      </c>
      <c r="J4296" s="389"/>
      <c r="K4296" s="389"/>
      <c r="L4296" s="317">
        <f t="shared" si="3008"/>
        <v>200000</v>
      </c>
      <c r="M4296" s="317"/>
      <c r="N4296" s="372">
        <f t="shared" si="2963"/>
        <v>0</v>
      </c>
      <c r="O4296" s="336">
        <f t="shared" si="2990"/>
        <v>220000.00000000003</v>
      </c>
      <c r="P4296" s="319">
        <f t="shared" si="3006"/>
        <v>242000.00000000006</v>
      </c>
      <c r="R4296" s="317"/>
      <c r="U4296" s="320"/>
    </row>
    <row r="4297" spans="1:21" outlineLevel="2">
      <c r="A4297" s="907"/>
      <c r="B4297" s="907"/>
      <c r="C4297" s="403"/>
      <c r="D4297" s="447" t="s">
        <v>741</v>
      </c>
      <c r="E4297" s="515">
        <f>E4293</f>
        <v>152323</v>
      </c>
      <c r="F4297" s="515">
        <f t="shared" ref="F4297:K4297" si="3009">F4293</f>
        <v>0</v>
      </c>
      <c r="G4297" s="515">
        <f t="shared" si="3009"/>
        <v>0</v>
      </c>
      <c r="H4297" s="515">
        <f t="shared" si="3009"/>
        <v>150000</v>
      </c>
      <c r="I4297" s="515">
        <f t="shared" si="3009"/>
        <v>302323</v>
      </c>
      <c r="J4297" s="515">
        <f t="shared" si="3009"/>
        <v>0</v>
      </c>
      <c r="K4297" s="515">
        <f t="shared" si="3009"/>
        <v>0</v>
      </c>
      <c r="L4297" s="317">
        <f t="shared" si="3008"/>
        <v>302323</v>
      </c>
      <c r="M4297" s="317"/>
      <c r="N4297" s="372">
        <f t="shared" ref="N4297:N4360" si="3010">M4297-K4297</f>
        <v>0</v>
      </c>
      <c r="O4297" s="515">
        <f t="shared" ref="O4297:P4297" si="3011">O4293</f>
        <v>332555.30000000005</v>
      </c>
      <c r="P4297" s="515">
        <f t="shared" si="3011"/>
        <v>365810.83000000007</v>
      </c>
      <c r="R4297" s="317"/>
      <c r="U4297" s="320"/>
    </row>
    <row r="4298" spans="1:21" s="446" customFormat="1" outlineLevel="2">
      <c r="A4298" s="907"/>
      <c r="B4298" s="907"/>
      <c r="C4298" s="340"/>
      <c r="D4298" s="447" t="s">
        <v>99</v>
      </c>
      <c r="E4298" s="515">
        <f>E4297</f>
        <v>152323</v>
      </c>
      <c r="F4298" s="515">
        <f t="shared" ref="F4298:K4298" si="3012">F4297</f>
        <v>0</v>
      </c>
      <c r="G4298" s="515">
        <f t="shared" si="3012"/>
        <v>0</v>
      </c>
      <c r="H4298" s="515">
        <f t="shared" si="3012"/>
        <v>150000</v>
      </c>
      <c r="I4298" s="515">
        <f t="shared" si="3012"/>
        <v>302323</v>
      </c>
      <c r="J4298" s="515">
        <f t="shared" si="3012"/>
        <v>0</v>
      </c>
      <c r="K4298" s="515">
        <f t="shared" si="3012"/>
        <v>0</v>
      </c>
      <c r="L4298" s="317">
        <f t="shared" si="3008"/>
        <v>302323</v>
      </c>
      <c r="M4298" s="317"/>
      <c r="N4298" s="372">
        <f t="shared" si="3010"/>
        <v>0</v>
      </c>
      <c r="O4298" s="515">
        <f t="shared" ref="O4298:P4298" si="3013">O4297</f>
        <v>332555.30000000005</v>
      </c>
      <c r="P4298" s="515">
        <f t="shared" si="3013"/>
        <v>365810.83000000007</v>
      </c>
      <c r="R4298" s="317"/>
      <c r="U4298" s="320"/>
    </row>
    <row r="4299" spans="1:21" outlineLevel="2">
      <c r="A4299" s="907"/>
      <c r="B4299" s="907"/>
      <c r="C4299" s="332"/>
      <c r="D4299" s="338"/>
      <c r="E4299" s="529">
        <v>0</v>
      </c>
      <c r="F4299" s="397"/>
      <c r="G4299" s="397"/>
      <c r="H4299" s="397"/>
      <c r="I4299" s="324">
        <f t="shared" si="2978"/>
        <v>0</v>
      </c>
      <c r="J4299" s="515"/>
      <c r="K4299" s="397"/>
      <c r="L4299" s="317">
        <f t="shared" si="3008"/>
        <v>0</v>
      </c>
      <c r="M4299" s="317"/>
      <c r="N4299" s="372">
        <f t="shared" si="3010"/>
        <v>0</v>
      </c>
      <c r="O4299" s="336">
        <f t="shared" si="2990"/>
        <v>0</v>
      </c>
      <c r="P4299" s="319">
        <f t="shared" si="3006"/>
        <v>0</v>
      </c>
      <c r="R4299" s="317"/>
      <c r="U4299" s="320"/>
    </row>
    <row r="4300" spans="1:21" s="337" customFormat="1" outlineLevel="2">
      <c r="A4300" s="1023"/>
      <c r="B4300" s="1023"/>
      <c r="C4300" s="382"/>
      <c r="D4300" s="447" t="s">
        <v>92</v>
      </c>
      <c r="E4300" s="513">
        <v>0</v>
      </c>
      <c r="F4300" s="438"/>
      <c r="G4300" s="438"/>
      <c r="H4300" s="438"/>
      <c r="I4300" s="324">
        <f t="shared" si="2978"/>
        <v>0</v>
      </c>
      <c r="J4300" s="397"/>
      <c r="K4300" s="438"/>
      <c r="L4300" s="317">
        <f t="shared" si="3008"/>
        <v>0</v>
      </c>
      <c r="M4300" s="317"/>
      <c r="N4300" s="372">
        <f t="shared" si="3010"/>
        <v>0</v>
      </c>
      <c r="O4300" s="336">
        <f t="shared" si="2990"/>
        <v>0</v>
      </c>
      <c r="P4300" s="319">
        <f t="shared" si="3006"/>
        <v>0</v>
      </c>
      <c r="R4300" s="317"/>
      <c r="U4300" s="320"/>
    </row>
    <row r="4301" spans="1:21" s="337" customFormat="1" outlineLevel="3">
      <c r="A4301" s="907"/>
      <c r="B4301" s="907"/>
      <c r="C4301" s="340">
        <v>3110500</v>
      </c>
      <c r="D4301" s="338" t="s">
        <v>736</v>
      </c>
      <c r="E4301" s="518">
        <f>E4302</f>
        <v>2500000</v>
      </c>
      <c r="F4301" s="518">
        <f t="shared" ref="F4301:P4301" si="3014">F4302</f>
        <v>0</v>
      </c>
      <c r="G4301" s="518">
        <f t="shared" si="3014"/>
        <v>0</v>
      </c>
      <c r="H4301" s="518">
        <f t="shared" si="3014"/>
        <v>0</v>
      </c>
      <c r="I4301" s="518">
        <f t="shared" si="3014"/>
        <v>2500000</v>
      </c>
      <c r="J4301" s="518">
        <f t="shared" si="3014"/>
        <v>0</v>
      </c>
      <c r="K4301" s="518">
        <f t="shared" si="3014"/>
        <v>-266</v>
      </c>
      <c r="L4301" s="317">
        <f t="shared" si="3008"/>
        <v>2499734</v>
      </c>
      <c r="M4301" s="317"/>
      <c r="N4301" s="372">
        <f t="shared" si="3010"/>
        <v>266</v>
      </c>
      <c r="O4301" s="518">
        <f t="shared" si="3014"/>
        <v>2749707.4000000004</v>
      </c>
      <c r="P4301" s="518">
        <f t="shared" si="3014"/>
        <v>3024678.1400000006</v>
      </c>
      <c r="R4301" s="317"/>
      <c r="U4301" s="320"/>
    </row>
    <row r="4302" spans="1:21" outlineLevel="3">
      <c r="A4302" s="907"/>
      <c r="B4302" s="907"/>
      <c r="C4302" s="332">
        <v>3110599</v>
      </c>
      <c r="D4302" s="330" t="s">
        <v>1390</v>
      </c>
      <c r="E4302" s="529">
        <v>2500000</v>
      </c>
      <c r="F4302" s="389"/>
      <c r="G4302" s="389"/>
      <c r="H4302" s="389"/>
      <c r="I4302" s="324">
        <f t="shared" si="2978"/>
        <v>2500000</v>
      </c>
      <c r="J4302" s="518"/>
      <c r="K4302" s="389">
        <v>-266</v>
      </c>
      <c r="L4302" s="317">
        <f t="shared" si="3008"/>
        <v>2499734</v>
      </c>
      <c r="M4302" s="317"/>
      <c r="N4302" s="372">
        <f t="shared" si="3010"/>
        <v>266</v>
      </c>
      <c r="O4302" s="336">
        <f t="shared" si="2990"/>
        <v>2749707.4000000004</v>
      </c>
      <c r="P4302" s="319">
        <f t="shared" si="3006"/>
        <v>3024678.1400000006</v>
      </c>
      <c r="R4302" s="317"/>
      <c r="U4302" s="320"/>
    </row>
    <row r="4303" spans="1:21" outlineLevel="2">
      <c r="A4303" s="338"/>
      <c r="B4303" s="338"/>
      <c r="C4303" s="340"/>
      <c r="D4303" s="447" t="s">
        <v>175</v>
      </c>
      <c r="E4303" s="515">
        <f>E4301</f>
        <v>2500000</v>
      </c>
      <c r="F4303" s="515">
        <f t="shared" ref="F4303:P4303" si="3015">F4301</f>
        <v>0</v>
      </c>
      <c r="G4303" s="515">
        <f t="shared" si="3015"/>
        <v>0</v>
      </c>
      <c r="H4303" s="515">
        <f t="shared" si="3015"/>
        <v>0</v>
      </c>
      <c r="I4303" s="515">
        <f t="shared" si="3015"/>
        <v>2500000</v>
      </c>
      <c r="J4303" s="515">
        <f t="shared" si="3015"/>
        <v>0</v>
      </c>
      <c r="K4303" s="515">
        <f t="shared" si="3015"/>
        <v>-266</v>
      </c>
      <c r="L4303" s="317">
        <f t="shared" si="3008"/>
        <v>2499734</v>
      </c>
      <c r="M4303" s="317"/>
      <c r="N4303" s="372">
        <f t="shared" si="3010"/>
        <v>266</v>
      </c>
      <c r="O4303" s="515">
        <f t="shared" si="3015"/>
        <v>2749707.4000000004</v>
      </c>
      <c r="P4303" s="515">
        <f t="shared" si="3015"/>
        <v>3024678.1400000006</v>
      </c>
      <c r="R4303" s="317"/>
      <c r="U4303" s="320"/>
    </row>
    <row r="4304" spans="1:21" s="312" customFormat="1" outlineLevel="1">
      <c r="A4304" s="330"/>
      <c r="B4304" s="330"/>
      <c r="C4304" s="340"/>
      <c r="D4304" s="447" t="s">
        <v>627</v>
      </c>
      <c r="E4304" s="515">
        <f>E4303+E4298</f>
        <v>2652323</v>
      </c>
      <c r="F4304" s="515">
        <f t="shared" ref="F4304:P4304" si="3016">F4303+F4298</f>
        <v>0</v>
      </c>
      <c r="G4304" s="515">
        <f t="shared" si="3016"/>
        <v>0</v>
      </c>
      <c r="H4304" s="515">
        <f t="shared" si="3016"/>
        <v>150000</v>
      </c>
      <c r="I4304" s="515">
        <f t="shared" si="3016"/>
        <v>2802323</v>
      </c>
      <c r="J4304" s="515">
        <f t="shared" si="3016"/>
        <v>0</v>
      </c>
      <c r="K4304" s="515">
        <f t="shared" si="3016"/>
        <v>-266</v>
      </c>
      <c r="L4304" s="317">
        <f t="shared" si="3008"/>
        <v>2802057</v>
      </c>
      <c r="M4304" s="317"/>
      <c r="N4304" s="372">
        <f t="shared" si="3010"/>
        <v>266</v>
      </c>
      <c r="O4304" s="515">
        <f t="shared" si="3016"/>
        <v>3082262.7</v>
      </c>
      <c r="P4304" s="515">
        <f t="shared" si="3016"/>
        <v>3390488.9700000007</v>
      </c>
      <c r="R4304" s="317"/>
      <c r="U4304" s="320"/>
    </row>
    <row r="4305" spans="1:21" s="446" customFormat="1" outlineLevel="1">
      <c r="A4305" s="907"/>
      <c r="B4305" s="907"/>
      <c r="C4305" s="332"/>
      <c r="D4305" s="330"/>
      <c r="E4305" s="529">
        <v>0</v>
      </c>
      <c r="F4305" s="389"/>
      <c r="G4305" s="389"/>
      <c r="H4305" s="389"/>
      <c r="I4305" s="324">
        <f t="shared" si="2978"/>
        <v>0</v>
      </c>
      <c r="J4305" s="515"/>
      <c r="K4305" s="389"/>
      <c r="L4305" s="317">
        <f t="shared" si="3008"/>
        <v>0</v>
      </c>
      <c r="M4305" s="317"/>
      <c r="N4305" s="372">
        <f t="shared" si="3010"/>
        <v>0</v>
      </c>
      <c r="O4305" s="336">
        <f t="shared" si="2990"/>
        <v>0</v>
      </c>
      <c r="P4305" s="319">
        <f t="shared" si="3006"/>
        <v>0</v>
      </c>
      <c r="R4305" s="317"/>
      <c r="U4305" s="320"/>
    </row>
    <row r="4306" spans="1:21" outlineLevel="1">
      <c r="A4306" s="1023" t="s">
        <v>455</v>
      </c>
      <c r="B4306" s="1023"/>
      <c r="C4306" s="314" t="s">
        <v>747</v>
      </c>
      <c r="D4306" s="313"/>
      <c r="E4306" s="513">
        <v>0</v>
      </c>
      <c r="F4306" s="514"/>
      <c r="G4306" s="514"/>
      <c r="H4306" s="514"/>
      <c r="I4306" s="324">
        <f t="shared" si="2978"/>
        <v>0</v>
      </c>
      <c r="J4306" s="389"/>
      <c r="K4306" s="514"/>
      <c r="L4306" s="317">
        <f t="shared" si="3008"/>
        <v>0</v>
      </c>
      <c r="M4306" s="317"/>
      <c r="N4306" s="372">
        <f t="shared" si="3010"/>
        <v>0</v>
      </c>
      <c r="O4306" s="336">
        <f t="shared" si="2990"/>
        <v>0</v>
      </c>
      <c r="P4306" s="319">
        <f t="shared" si="3006"/>
        <v>0</v>
      </c>
      <c r="R4306" s="317"/>
      <c r="U4306" s="320"/>
    </row>
    <row r="4307" spans="1:21" outlineLevel="1">
      <c r="A4307" s="1023"/>
      <c r="B4307" s="1023" t="s">
        <v>146</v>
      </c>
      <c r="C4307" s="314" t="s">
        <v>748</v>
      </c>
      <c r="D4307" s="313"/>
      <c r="E4307" s="513">
        <v>0</v>
      </c>
      <c r="F4307" s="514"/>
      <c r="G4307" s="514"/>
      <c r="H4307" s="514"/>
      <c r="I4307" s="324">
        <f t="shared" si="2978"/>
        <v>0</v>
      </c>
      <c r="J4307" s="514"/>
      <c r="K4307" s="514"/>
      <c r="L4307" s="317">
        <f t="shared" si="3008"/>
        <v>0</v>
      </c>
      <c r="M4307" s="317"/>
      <c r="N4307" s="372">
        <f t="shared" si="3010"/>
        <v>0</v>
      </c>
      <c r="O4307" s="336">
        <f t="shared" si="2990"/>
        <v>0</v>
      </c>
      <c r="P4307" s="319">
        <f t="shared" si="3006"/>
        <v>0</v>
      </c>
      <c r="R4307" s="317"/>
      <c r="U4307" s="320"/>
    </row>
    <row r="4308" spans="1:21" outlineLevel="3">
      <c r="A4308" s="907"/>
      <c r="B4308" s="907"/>
      <c r="C4308" s="340">
        <v>2210300</v>
      </c>
      <c r="D4308" s="338" t="s">
        <v>722</v>
      </c>
      <c r="E4308" s="518">
        <f>E4309+E4310+E4311</f>
        <v>261000</v>
      </c>
      <c r="F4308" s="518">
        <f t="shared" ref="F4308:K4308" si="3017">F4309+F4310+F4311</f>
        <v>0</v>
      </c>
      <c r="G4308" s="518">
        <f t="shared" si="3017"/>
        <v>0</v>
      </c>
      <c r="H4308" s="518">
        <f t="shared" si="3017"/>
        <v>0</v>
      </c>
      <c r="I4308" s="518">
        <f t="shared" si="3017"/>
        <v>261000</v>
      </c>
      <c r="J4308" s="518">
        <f t="shared" si="3017"/>
        <v>0</v>
      </c>
      <c r="K4308" s="518">
        <f t="shared" si="3017"/>
        <v>0</v>
      </c>
      <c r="L4308" s="317">
        <f t="shared" si="3008"/>
        <v>261000</v>
      </c>
      <c r="M4308" s="317"/>
      <c r="N4308" s="372">
        <f t="shared" si="3010"/>
        <v>0</v>
      </c>
      <c r="O4308" s="518">
        <f t="shared" ref="O4308:P4308" si="3018">O4309+O4310+O4311</f>
        <v>287100</v>
      </c>
      <c r="P4308" s="518">
        <f t="shared" si="3018"/>
        <v>315810.00000000006</v>
      </c>
      <c r="R4308" s="317"/>
      <c r="U4308" s="320"/>
    </row>
    <row r="4309" spans="1:21" s="337" customFormat="1" outlineLevel="3">
      <c r="A4309" s="907"/>
      <c r="B4309" s="907"/>
      <c r="C4309" s="332">
        <v>2210301</v>
      </c>
      <c r="D4309" s="330" t="s">
        <v>188</v>
      </c>
      <c r="E4309" s="529">
        <v>116000</v>
      </c>
      <c r="F4309" s="389"/>
      <c r="G4309" s="389"/>
      <c r="H4309" s="389"/>
      <c r="I4309" s="324">
        <f t="shared" si="2978"/>
        <v>116000</v>
      </c>
      <c r="J4309" s="518"/>
      <c r="K4309" s="389"/>
      <c r="L4309" s="317">
        <f t="shared" si="3008"/>
        <v>116000</v>
      </c>
      <c r="M4309" s="317"/>
      <c r="N4309" s="372">
        <f t="shared" si="3010"/>
        <v>0</v>
      </c>
      <c r="O4309" s="336">
        <f t="shared" si="2990"/>
        <v>127600.00000000001</v>
      </c>
      <c r="P4309" s="319">
        <f t="shared" si="3006"/>
        <v>140360.00000000003</v>
      </c>
      <c r="R4309" s="317"/>
      <c r="U4309" s="320"/>
    </row>
    <row r="4310" spans="1:21" outlineLevel="3">
      <c r="A4310" s="907"/>
      <c r="B4310" s="907"/>
      <c r="C4310" s="332">
        <v>2210302</v>
      </c>
      <c r="D4310" s="330" t="s">
        <v>26</v>
      </c>
      <c r="E4310" s="529">
        <v>60000</v>
      </c>
      <c r="F4310" s="389"/>
      <c r="G4310" s="389"/>
      <c r="H4310" s="389"/>
      <c r="I4310" s="324">
        <f t="shared" si="2978"/>
        <v>60000</v>
      </c>
      <c r="J4310" s="389"/>
      <c r="K4310" s="389"/>
      <c r="L4310" s="317">
        <f t="shared" si="3008"/>
        <v>60000</v>
      </c>
      <c r="M4310" s="317"/>
      <c r="N4310" s="372">
        <f t="shared" si="3010"/>
        <v>0</v>
      </c>
      <c r="O4310" s="336">
        <f t="shared" si="2990"/>
        <v>66000</v>
      </c>
      <c r="P4310" s="319">
        <f t="shared" ref="P4310:P4328" si="3019">O4310*1.1</f>
        <v>72600</v>
      </c>
      <c r="R4310" s="317"/>
      <c r="U4310" s="320"/>
    </row>
    <row r="4311" spans="1:21" outlineLevel="3">
      <c r="A4311" s="907"/>
      <c r="B4311" s="907"/>
      <c r="C4311" s="332">
        <v>2210303</v>
      </c>
      <c r="D4311" s="330" t="s">
        <v>223</v>
      </c>
      <c r="E4311" s="529">
        <v>85000</v>
      </c>
      <c r="F4311" s="389"/>
      <c r="G4311" s="389"/>
      <c r="H4311" s="389"/>
      <c r="I4311" s="324">
        <f t="shared" si="2978"/>
        <v>85000</v>
      </c>
      <c r="J4311" s="389"/>
      <c r="K4311" s="389"/>
      <c r="L4311" s="317">
        <f t="shared" si="3008"/>
        <v>85000</v>
      </c>
      <c r="M4311" s="317"/>
      <c r="N4311" s="372">
        <f t="shared" si="3010"/>
        <v>0</v>
      </c>
      <c r="O4311" s="336">
        <f t="shared" si="2990"/>
        <v>93500.000000000015</v>
      </c>
      <c r="P4311" s="319">
        <f t="shared" si="3019"/>
        <v>102850.00000000003</v>
      </c>
      <c r="R4311" s="317"/>
      <c r="U4311" s="320"/>
    </row>
    <row r="4312" spans="1:21" outlineLevel="3">
      <c r="A4312" s="907"/>
      <c r="B4312" s="907"/>
      <c r="C4312" s="340">
        <v>2210700</v>
      </c>
      <c r="D4312" s="338" t="s">
        <v>35</v>
      </c>
      <c r="E4312" s="518">
        <f>SUM(E4313:E4315)</f>
        <v>165200</v>
      </c>
      <c r="F4312" s="518">
        <f t="shared" ref="F4312:P4312" si="3020">SUM(F4313:F4315)</f>
        <v>0</v>
      </c>
      <c r="G4312" s="518">
        <f t="shared" si="3020"/>
        <v>0</v>
      </c>
      <c r="H4312" s="518">
        <f t="shared" si="3020"/>
        <v>150000</v>
      </c>
      <c r="I4312" s="518">
        <f t="shared" si="3020"/>
        <v>315200</v>
      </c>
      <c r="J4312" s="518">
        <f t="shared" si="3020"/>
        <v>0</v>
      </c>
      <c r="K4312" s="518">
        <f t="shared" si="3020"/>
        <v>0</v>
      </c>
      <c r="L4312" s="317">
        <f t="shared" si="3008"/>
        <v>315200</v>
      </c>
      <c r="M4312" s="317"/>
      <c r="N4312" s="372">
        <f t="shared" si="3010"/>
        <v>0</v>
      </c>
      <c r="O4312" s="518">
        <f t="shared" si="3020"/>
        <v>346720.00000000006</v>
      </c>
      <c r="P4312" s="518">
        <f t="shared" si="3020"/>
        <v>381392.00000000012</v>
      </c>
      <c r="R4312" s="317"/>
      <c r="U4312" s="320"/>
    </row>
    <row r="4313" spans="1:21" outlineLevel="3">
      <c r="A4313" s="907"/>
      <c r="B4313" s="907"/>
      <c r="C4313" s="332">
        <v>2210701</v>
      </c>
      <c r="D4313" s="330" t="s">
        <v>36</v>
      </c>
      <c r="E4313" s="529">
        <v>84100</v>
      </c>
      <c r="F4313" s="389"/>
      <c r="G4313" s="389"/>
      <c r="H4313" s="389"/>
      <c r="I4313" s="324">
        <f t="shared" si="2978"/>
        <v>84100</v>
      </c>
      <c r="J4313" s="518"/>
      <c r="K4313" s="389"/>
      <c r="L4313" s="317">
        <f t="shared" si="3008"/>
        <v>84100</v>
      </c>
      <c r="M4313" s="317"/>
      <c r="N4313" s="372">
        <f t="shared" si="3010"/>
        <v>0</v>
      </c>
      <c r="O4313" s="336">
        <f t="shared" si="2990"/>
        <v>92510.000000000015</v>
      </c>
      <c r="P4313" s="319">
        <f t="shared" si="3019"/>
        <v>101761.00000000003</v>
      </c>
      <c r="R4313" s="317"/>
      <c r="U4313" s="320"/>
    </row>
    <row r="4314" spans="1:21" outlineLevel="3">
      <c r="A4314" s="907"/>
      <c r="B4314" s="907"/>
      <c r="C4314" s="332">
        <v>2210710</v>
      </c>
      <c r="D4314" s="330" t="s">
        <v>39</v>
      </c>
      <c r="E4314" s="529">
        <v>55000</v>
      </c>
      <c r="F4314" s="389"/>
      <c r="G4314" s="389"/>
      <c r="H4314" s="389"/>
      <c r="I4314" s="324">
        <f t="shared" ref="I4314:I4377" si="3021">E4314+F4314+G4314+H4314</f>
        <v>55000</v>
      </c>
      <c r="J4314" s="389"/>
      <c r="K4314" s="389"/>
      <c r="L4314" s="317">
        <f t="shared" si="3008"/>
        <v>55000</v>
      </c>
      <c r="M4314" s="317"/>
      <c r="N4314" s="372">
        <f t="shared" si="3010"/>
        <v>0</v>
      </c>
      <c r="O4314" s="336">
        <f t="shared" si="2990"/>
        <v>60500.000000000007</v>
      </c>
      <c r="P4314" s="319">
        <f t="shared" si="3019"/>
        <v>66550.000000000015</v>
      </c>
      <c r="R4314" s="317"/>
      <c r="U4314" s="320"/>
    </row>
    <row r="4315" spans="1:21" outlineLevel="3">
      <c r="A4315" s="907"/>
      <c r="B4315" s="907"/>
      <c r="C4315" s="332">
        <v>2210711</v>
      </c>
      <c r="D4315" s="330" t="s">
        <v>156</v>
      </c>
      <c r="E4315" s="529">
        <v>26100</v>
      </c>
      <c r="F4315" s="389"/>
      <c r="G4315" s="389"/>
      <c r="H4315" s="389">
        <v>150000</v>
      </c>
      <c r="I4315" s="324">
        <f t="shared" si="3021"/>
        <v>176100</v>
      </c>
      <c r="J4315" s="389"/>
      <c r="K4315" s="389"/>
      <c r="L4315" s="317">
        <f t="shared" si="3008"/>
        <v>176100</v>
      </c>
      <c r="M4315" s="317"/>
      <c r="N4315" s="372">
        <f t="shared" si="3010"/>
        <v>0</v>
      </c>
      <c r="O4315" s="336">
        <f t="shared" si="2990"/>
        <v>193710.00000000003</v>
      </c>
      <c r="P4315" s="319">
        <f t="shared" si="3019"/>
        <v>213081.00000000006</v>
      </c>
      <c r="R4315" s="317"/>
      <c r="U4315" s="320"/>
    </row>
    <row r="4316" spans="1:21" s="337" customFormat="1" outlineLevel="3">
      <c r="A4316" s="907"/>
      <c r="B4316" s="907"/>
      <c r="C4316" s="340">
        <v>2210800</v>
      </c>
      <c r="D4316" s="338" t="s">
        <v>42</v>
      </c>
      <c r="E4316" s="518">
        <f>E4317+E4318</f>
        <v>150000</v>
      </c>
      <c r="F4316" s="518">
        <f t="shared" ref="F4316:P4316" si="3022">F4317+F4318</f>
        <v>0</v>
      </c>
      <c r="G4316" s="518">
        <f t="shared" si="3022"/>
        <v>0</v>
      </c>
      <c r="H4316" s="518">
        <f t="shared" si="3022"/>
        <v>0</v>
      </c>
      <c r="I4316" s="518">
        <f t="shared" si="3022"/>
        <v>150000</v>
      </c>
      <c r="J4316" s="518">
        <f t="shared" si="3022"/>
        <v>0</v>
      </c>
      <c r="K4316" s="518">
        <f t="shared" si="3022"/>
        <v>281817</v>
      </c>
      <c r="L4316" s="317">
        <f t="shared" si="3008"/>
        <v>431817</v>
      </c>
      <c r="M4316" s="317"/>
      <c r="N4316" s="372">
        <f t="shared" si="3010"/>
        <v>-281817</v>
      </c>
      <c r="O4316" s="518">
        <f t="shared" si="3022"/>
        <v>474998.7</v>
      </c>
      <c r="P4316" s="518">
        <f t="shared" si="3022"/>
        <v>522498.57000000007</v>
      </c>
      <c r="R4316" s="317"/>
      <c r="U4316" s="320"/>
    </row>
    <row r="4317" spans="1:21" outlineLevel="3">
      <c r="A4317" s="907"/>
      <c r="B4317" s="907"/>
      <c r="C4317" s="332">
        <v>2210801</v>
      </c>
      <c r="D4317" s="330" t="s">
        <v>2421</v>
      </c>
      <c r="E4317" s="529">
        <v>80000</v>
      </c>
      <c r="F4317" s="389"/>
      <c r="G4317" s="389"/>
      <c r="H4317" s="389"/>
      <c r="I4317" s="324">
        <f t="shared" si="3021"/>
        <v>80000</v>
      </c>
      <c r="J4317" s="518"/>
      <c r="K4317" s="389">
        <v>108167</v>
      </c>
      <c r="L4317" s="317">
        <f t="shared" si="3008"/>
        <v>188167</v>
      </c>
      <c r="M4317" s="317"/>
      <c r="N4317" s="372">
        <f t="shared" si="3010"/>
        <v>-108167</v>
      </c>
      <c r="O4317" s="336">
        <f t="shared" si="2990"/>
        <v>206983.7</v>
      </c>
      <c r="P4317" s="319">
        <f t="shared" si="3019"/>
        <v>227682.07000000004</v>
      </c>
      <c r="R4317" s="317"/>
      <c r="U4317" s="320"/>
    </row>
    <row r="4318" spans="1:21" s="337" customFormat="1" outlineLevel="3">
      <c r="A4318" s="907"/>
      <c r="B4318" s="907"/>
      <c r="C4318" s="332">
        <v>2210802</v>
      </c>
      <c r="D4318" s="330" t="s">
        <v>97</v>
      </c>
      <c r="E4318" s="529">
        <v>70000</v>
      </c>
      <c r="F4318" s="389"/>
      <c r="G4318" s="389"/>
      <c r="H4318" s="389"/>
      <c r="I4318" s="324">
        <f t="shared" si="3021"/>
        <v>70000</v>
      </c>
      <c r="J4318" s="389"/>
      <c r="K4318" s="389">
        <v>173650</v>
      </c>
      <c r="L4318" s="317">
        <f t="shared" si="3008"/>
        <v>243650</v>
      </c>
      <c r="M4318" s="317"/>
      <c r="N4318" s="372">
        <f t="shared" si="3010"/>
        <v>-173650</v>
      </c>
      <c r="O4318" s="336">
        <f t="shared" si="2990"/>
        <v>268015</v>
      </c>
      <c r="P4318" s="319">
        <f t="shared" si="3019"/>
        <v>294816.5</v>
      </c>
      <c r="R4318" s="317"/>
      <c r="U4318" s="320"/>
    </row>
    <row r="4319" spans="1:21" outlineLevel="3">
      <c r="A4319" s="907"/>
      <c r="B4319" s="907"/>
      <c r="C4319" s="340">
        <v>2211000</v>
      </c>
      <c r="D4319" s="338" t="s">
        <v>118</v>
      </c>
      <c r="E4319" s="518">
        <f>E4320</f>
        <v>500000</v>
      </c>
      <c r="F4319" s="518">
        <f t="shared" ref="F4319:P4319" si="3023">F4320</f>
        <v>0</v>
      </c>
      <c r="G4319" s="518">
        <f t="shared" si="3023"/>
        <v>0</v>
      </c>
      <c r="H4319" s="518">
        <f t="shared" si="3023"/>
        <v>0</v>
      </c>
      <c r="I4319" s="518">
        <f t="shared" si="3023"/>
        <v>500000</v>
      </c>
      <c r="J4319" s="518">
        <f t="shared" si="3023"/>
        <v>0</v>
      </c>
      <c r="K4319" s="518">
        <f t="shared" si="3023"/>
        <v>0</v>
      </c>
      <c r="L4319" s="317">
        <f t="shared" si="3008"/>
        <v>500000</v>
      </c>
      <c r="M4319" s="317"/>
      <c r="N4319" s="372">
        <f t="shared" si="3010"/>
        <v>0</v>
      </c>
      <c r="O4319" s="518">
        <f t="shared" si="3023"/>
        <v>550000</v>
      </c>
      <c r="P4319" s="518">
        <f t="shared" si="3023"/>
        <v>605000</v>
      </c>
      <c r="R4319" s="317"/>
      <c r="U4319" s="320"/>
    </row>
    <row r="4320" spans="1:21" s="337" customFormat="1" outlineLevel="3">
      <c r="A4320" s="907"/>
      <c r="B4320" s="907"/>
      <c r="C4320" s="332">
        <v>2211006</v>
      </c>
      <c r="D4320" s="330" t="s">
        <v>749</v>
      </c>
      <c r="E4320" s="529">
        <v>500000</v>
      </c>
      <c r="F4320" s="389"/>
      <c r="G4320" s="389"/>
      <c r="H4320" s="389"/>
      <c r="I4320" s="324">
        <f t="shared" si="3021"/>
        <v>500000</v>
      </c>
      <c r="J4320" s="518"/>
      <c r="K4320" s="389"/>
      <c r="L4320" s="317">
        <f t="shared" si="3008"/>
        <v>500000</v>
      </c>
      <c r="M4320" s="317"/>
      <c r="N4320" s="372">
        <f t="shared" si="3010"/>
        <v>0</v>
      </c>
      <c r="O4320" s="336">
        <f t="shared" si="2990"/>
        <v>550000</v>
      </c>
      <c r="P4320" s="319">
        <f t="shared" si="3019"/>
        <v>605000</v>
      </c>
      <c r="R4320" s="317"/>
      <c r="U4320" s="320"/>
    </row>
    <row r="4321" spans="1:21" s="337" customFormat="1" outlineLevel="3">
      <c r="A4321" s="907"/>
      <c r="B4321" s="907"/>
      <c r="C4321" s="340">
        <v>2220200</v>
      </c>
      <c r="D4321" s="338" t="s">
        <v>124</v>
      </c>
      <c r="E4321" s="518">
        <f>E4322</f>
        <v>245000</v>
      </c>
      <c r="F4321" s="518">
        <f t="shared" ref="F4321:K4321" si="3024">F4322</f>
        <v>0</v>
      </c>
      <c r="G4321" s="518">
        <f t="shared" si="3024"/>
        <v>0</v>
      </c>
      <c r="H4321" s="518">
        <f t="shared" si="3024"/>
        <v>0</v>
      </c>
      <c r="I4321" s="518">
        <f t="shared" si="3024"/>
        <v>245000</v>
      </c>
      <c r="J4321" s="518">
        <f t="shared" si="3024"/>
        <v>0</v>
      </c>
      <c r="K4321" s="518">
        <f t="shared" si="3024"/>
        <v>0</v>
      </c>
      <c r="L4321" s="317">
        <f t="shared" si="3008"/>
        <v>245000</v>
      </c>
      <c r="M4321" s="317"/>
      <c r="N4321" s="372">
        <f t="shared" si="3010"/>
        <v>0</v>
      </c>
      <c r="O4321" s="518">
        <f t="shared" ref="O4321:P4321" si="3025">O4322</f>
        <v>269500</v>
      </c>
      <c r="P4321" s="518">
        <f t="shared" si="3025"/>
        <v>296450</v>
      </c>
      <c r="R4321" s="317"/>
      <c r="U4321" s="320"/>
    </row>
    <row r="4322" spans="1:21" outlineLevel="3">
      <c r="A4322" s="907"/>
      <c r="B4322" s="907"/>
      <c r="C4322" s="332">
        <v>2220201</v>
      </c>
      <c r="D4322" s="330" t="s">
        <v>729</v>
      </c>
      <c r="E4322" s="529">
        <v>245000</v>
      </c>
      <c r="F4322" s="389"/>
      <c r="G4322" s="389"/>
      <c r="H4322" s="389"/>
      <c r="I4322" s="324">
        <f t="shared" si="3021"/>
        <v>245000</v>
      </c>
      <c r="J4322" s="518"/>
      <c r="K4322" s="389"/>
      <c r="L4322" s="317">
        <f t="shared" si="3008"/>
        <v>245000</v>
      </c>
      <c r="M4322" s="317"/>
      <c r="N4322" s="372">
        <f t="shared" si="3010"/>
        <v>0</v>
      </c>
      <c r="O4322" s="336">
        <f t="shared" si="2990"/>
        <v>269500</v>
      </c>
      <c r="P4322" s="319">
        <f t="shared" si="3019"/>
        <v>296450</v>
      </c>
      <c r="R4322" s="317"/>
      <c r="U4322" s="320"/>
    </row>
    <row r="4323" spans="1:21" outlineLevel="3">
      <c r="A4323" s="907"/>
      <c r="B4323" s="907"/>
      <c r="C4323" s="403"/>
      <c r="D4323" s="447" t="s">
        <v>741</v>
      </c>
      <c r="E4323" s="515">
        <f>E4321+E4319+E4316+E4312+E4308</f>
        <v>1321200</v>
      </c>
      <c r="F4323" s="515">
        <f t="shared" ref="F4323:P4323" si="3026">F4321+F4319+F4316+F4312+F4308</f>
        <v>0</v>
      </c>
      <c r="G4323" s="515">
        <f t="shared" si="3026"/>
        <v>0</v>
      </c>
      <c r="H4323" s="515">
        <f t="shared" si="3026"/>
        <v>150000</v>
      </c>
      <c r="I4323" s="515">
        <f t="shared" si="3026"/>
        <v>1471200</v>
      </c>
      <c r="J4323" s="515">
        <f t="shared" si="3026"/>
        <v>0</v>
      </c>
      <c r="K4323" s="515">
        <f t="shared" si="3026"/>
        <v>281817</v>
      </c>
      <c r="L4323" s="317">
        <f t="shared" si="3008"/>
        <v>1753017</v>
      </c>
      <c r="M4323" s="317"/>
      <c r="N4323" s="372">
        <f t="shared" si="3010"/>
        <v>-281817</v>
      </c>
      <c r="O4323" s="515">
        <f t="shared" si="3026"/>
        <v>1928318.7</v>
      </c>
      <c r="P4323" s="515">
        <f t="shared" si="3026"/>
        <v>2121150.5700000003</v>
      </c>
      <c r="R4323" s="317"/>
      <c r="U4323" s="320"/>
    </row>
    <row r="4324" spans="1:21" s="337" customFormat="1" outlineLevel="2">
      <c r="A4324" s="907"/>
      <c r="B4324" s="907"/>
      <c r="C4324" s="340"/>
      <c r="D4324" s="447" t="s">
        <v>99</v>
      </c>
      <c r="E4324" s="515">
        <f>E4323</f>
        <v>1321200</v>
      </c>
      <c r="F4324" s="515">
        <f t="shared" ref="F4324:P4324" si="3027">F4323</f>
        <v>0</v>
      </c>
      <c r="G4324" s="515">
        <f t="shared" si="3027"/>
        <v>0</v>
      </c>
      <c r="H4324" s="515">
        <f t="shared" si="3027"/>
        <v>150000</v>
      </c>
      <c r="I4324" s="515">
        <f t="shared" si="3027"/>
        <v>1471200</v>
      </c>
      <c r="J4324" s="515">
        <f t="shared" si="3027"/>
        <v>0</v>
      </c>
      <c r="K4324" s="515">
        <f t="shared" si="3027"/>
        <v>281817</v>
      </c>
      <c r="L4324" s="317">
        <f t="shared" si="3008"/>
        <v>1753017</v>
      </c>
      <c r="M4324" s="317"/>
      <c r="N4324" s="372">
        <f t="shared" si="3010"/>
        <v>-281817</v>
      </c>
      <c r="O4324" s="515">
        <f t="shared" si="3027"/>
        <v>1928318.7</v>
      </c>
      <c r="P4324" s="515">
        <f t="shared" si="3027"/>
        <v>2121150.5700000003</v>
      </c>
      <c r="R4324" s="317"/>
      <c r="U4324" s="320"/>
    </row>
    <row r="4325" spans="1:21" outlineLevel="2">
      <c r="A4325" s="907"/>
      <c r="B4325" s="907"/>
      <c r="C4325" s="332"/>
      <c r="D4325" s="338"/>
      <c r="E4325" s="529">
        <v>0</v>
      </c>
      <c r="F4325" s="397"/>
      <c r="G4325" s="397"/>
      <c r="H4325" s="397"/>
      <c r="I4325" s="324">
        <f t="shared" si="3021"/>
        <v>0</v>
      </c>
      <c r="J4325" s="515"/>
      <c r="K4325" s="397"/>
      <c r="L4325" s="317">
        <f t="shared" si="3008"/>
        <v>0</v>
      </c>
      <c r="M4325" s="317"/>
      <c r="N4325" s="372">
        <f t="shared" si="3010"/>
        <v>0</v>
      </c>
      <c r="O4325" s="336">
        <f t="shared" si="2990"/>
        <v>0</v>
      </c>
      <c r="P4325" s="319">
        <f t="shared" si="3019"/>
        <v>0</v>
      </c>
      <c r="R4325" s="317"/>
      <c r="U4325" s="320"/>
    </row>
    <row r="4326" spans="1:21" outlineLevel="2">
      <c r="A4326" s="907"/>
      <c r="B4326" s="907"/>
      <c r="C4326" s="332"/>
      <c r="D4326" s="447" t="s">
        <v>92</v>
      </c>
      <c r="E4326" s="529">
        <v>0</v>
      </c>
      <c r="F4326" s="438"/>
      <c r="G4326" s="438"/>
      <c r="H4326" s="438"/>
      <c r="I4326" s="324">
        <f t="shared" si="3021"/>
        <v>0</v>
      </c>
      <c r="J4326" s="397"/>
      <c r="K4326" s="438"/>
      <c r="L4326" s="317">
        <f t="shared" si="3008"/>
        <v>0</v>
      </c>
      <c r="M4326" s="317"/>
      <c r="N4326" s="372">
        <f t="shared" si="3010"/>
        <v>0</v>
      </c>
      <c r="O4326" s="336">
        <f t="shared" si="2990"/>
        <v>0</v>
      </c>
      <c r="P4326" s="319">
        <f t="shared" si="3019"/>
        <v>0</v>
      </c>
      <c r="R4326" s="317"/>
      <c r="U4326" s="320"/>
    </row>
    <row r="4327" spans="1:21" outlineLevel="3">
      <c r="A4327" s="907"/>
      <c r="B4327" s="907"/>
      <c r="C4327" s="340">
        <v>3110500</v>
      </c>
      <c r="D4327" s="338" t="s">
        <v>736</v>
      </c>
      <c r="E4327" s="518">
        <f>E4328</f>
        <v>2000000</v>
      </c>
      <c r="F4327" s="518">
        <f t="shared" ref="F4327:P4327" si="3028">F4328</f>
        <v>743967</v>
      </c>
      <c r="G4327" s="518">
        <f t="shared" si="3028"/>
        <v>0</v>
      </c>
      <c r="H4327" s="518">
        <f t="shared" si="3028"/>
        <v>0</v>
      </c>
      <c r="I4327" s="518">
        <f t="shared" si="3028"/>
        <v>2743967</v>
      </c>
      <c r="J4327" s="518">
        <f t="shared" si="3028"/>
        <v>0</v>
      </c>
      <c r="K4327" s="518">
        <f t="shared" si="3028"/>
        <v>-741</v>
      </c>
      <c r="L4327" s="317">
        <f t="shared" si="3008"/>
        <v>2743226</v>
      </c>
      <c r="M4327" s="317"/>
      <c r="N4327" s="372">
        <f t="shared" si="3010"/>
        <v>741</v>
      </c>
      <c r="O4327" s="518">
        <f t="shared" si="3028"/>
        <v>3017548.6</v>
      </c>
      <c r="P4327" s="518">
        <f t="shared" si="3028"/>
        <v>3319303.4600000004</v>
      </c>
      <c r="R4327" s="317"/>
      <c r="U4327" s="320"/>
    </row>
    <row r="4328" spans="1:21" outlineLevel="3">
      <c r="A4328" s="907"/>
      <c r="B4328" s="907"/>
      <c r="C4328" s="332">
        <v>3110504</v>
      </c>
      <c r="D4328" s="330" t="s">
        <v>1391</v>
      </c>
      <c r="E4328" s="529">
        <v>2000000</v>
      </c>
      <c r="F4328" s="389">
        <v>743967</v>
      </c>
      <c r="G4328" s="389"/>
      <c r="H4328" s="389"/>
      <c r="I4328" s="324">
        <f t="shared" si="3021"/>
        <v>2743967</v>
      </c>
      <c r="J4328" s="518"/>
      <c r="K4328" s="389">
        <v>-741</v>
      </c>
      <c r="L4328" s="317">
        <f t="shared" si="3008"/>
        <v>2743226</v>
      </c>
      <c r="M4328" s="317"/>
      <c r="N4328" s="372">
        <f t="shared" si="3010"/>
        <v>741</v>
      </c>
      <c r="O4328" s="336">
        <f t="shared" si="2990"/>
        <v>3017548.6</v>
      </c>
      <c r="P4328" s="319">
        <f t="shared" si="3019"/>
        <v>3319303.4600000004</v>
      </c>
      <c r="R4328" s="317"/>
      <c r="U4328" s="320"/>
    </row>
    <row r="4329" spans="1:21" s="337" customFormat="1" outlineLevel="3">
      <c r="A4329" s="907"/>
      <c r="B4329" s="907"/>
      <c r="C4329" s="340">
        <v>3110500</v>
      </c>
      <c r="D4329" s="338" t="s">
        <v>736</v>
      </c>
      <c r="E4329" s="518">
        <f>E4330+E4331+E4332</f>
        <v>6000000</v>
      </c>
      <c r="F4329" s="518">
        <f t="shared" ref="F4329:P4329" si="3029">F4330+F4331+F4332</f>
        <v>0</v>
      </c>
      <c r="G4329" s="518">
        <f t="shared" si="3029"/>
        <v>0</v>
      </c>
      <c r="H4329" s="518">
        <f t="shared" si="3029"/>
        <v>-1000000</v>
      </c>
      <c r="I4329" s="518">
        <f t="shared" si="3029"/>
        <v>5000000</v>
      </c>
      <c r="J4329" s="518">
        <f t="shared" si="3029"/>
        <v>0</v>
      </c>
      <c r="K4329" s="518">
        <f t="shared" si="3029"/>
        <v>-9176</v>
      </c>
      <c r="L4329" s="317">
        <f t="shared" si="3008"/>
        <v>4990824</v>
      </c>
      <c r="M4329" s="317"/>
      <c r="N4329" s="372">
        <f t="shared" si="3010"/>
        <v>9176</v>
      </c>
      <c r="O4329" s="518">
        <f t="shared" si="3029"/>
        <v>5489906.4000000004</v>
      </c>
      <c r="P4329" s="518">
        <f t="shared" si="3029"/>
        <v>2408897.0400000005</v>
      </c>
      <c r="R4329" s="317"/>
      <c r="U4329" s="320"/>
    </row>
    <row r="4330" spans="1:21" s="337" customFormat="1" outlineLevel="3">
      <c r="A4330" s="907"/>
      <c r="B4330" s="907"/>
      <c r="C4330" s="332">
        <v>3110599</v>
      </c>
      <c r="D4330" s="330" t="s">
        <v>1392</v>
      </c>
      <c r="E4330" s="529">
        <v>4000000</v>
      </c>
      <c r="F4330" s="389"/>
      <c r="G4330" s="389"/>
      <c r="H4330" s="389">
        <v>-4000000</v>
      </c>
      <c r="I4330" s="324">
        <f t="shared" si="3021"/>
        <v>0</v>
      </c>
      <c r="J4330" s="518"/>
      <c r="K4330" s="389"/>
      <c r="L4330" s="317">
        <f t="shared" si="3008"/>
        <v>0</v>
      </c>
      <c r="M4330" s="317"/>
      <c r="N4330" s="372">
        <f t="shared" si="3010"/>
        <v>0</v>
      </c>
      <c r="O4330" s="336">
        <f t="shared" si="2990"/>
        <v>0</v>
      </c>
      <c r="P4330" s="319">
        <f t="shared" ref="P4330:P4350" si="3030">O4330*1.1</f>
        <v>0</v>
      </c>
      <c r="R4330" s="317"/>
      <c r="U4330" s="320"/>
    </row>
    <row r="4331" spans="1:21" outlineLevel="3">
      <c r="A4331" s="907"/>
      <c r="B4331" s="907"/>
      <c r="C4331" s="332">
        <v>3110599</v>
      </c>
      <c r="D4331" s="330" t="s">
        <v>1393</v>
      </c>
      <c r="E4331" s="529">
        <v>2000000</v>
      </c>
      <c r="F4331" s="389"/>
      <c r="G4331" s="389"/>
      <c r="H4331" s="389"/>
      <c r="I4331" s="324">
        <f t="shared" si="3021"/>
        <v>2000000</v>
      </c>
      <c r="J4331" s="389"/>
      <c r="K4331" s="389">
        <v>-9176</v>
      </c>
      <c r="L4331" s="317">
        <f t="shared" si="3008"/>
        <v>1990824</v>
      </c>
      <c r="M4331" s="317"/>
      <c r="N4331" s="372">
        <f t="shared" si="3010"/>
        <v>9176</v>
      </c>
      <c r="O4331" s="336">
        <f t="shared" si="2990"/>
        <v>2189906.4000000004</v>
      </c>
      <c r="P4331" s="319">
        <f t="shared" si="3030"/>
        <v>2408897.0400000005</v>
      </c>
      <c r="R4331" s="317"/>
      <c r="U4331" s="320"/>
    </row>
    <row r="4332" spans="1:21" outlineLevel="3">
      <c r="A4332" s="907"/>
      <c r="B4332" s="907"/>
      <c r="C4332" s="332">
        <v>3110599</v>
      </c>
      <c r="D4332" s="330" t="s">
        <v>2111</v>
      </c>
      <c r="E4332" s="529"/>
      <c r="F4332" s="389"/>
      <c r="G4332" s="389"/>
      <c r="H4332" s="389">
        <v>3000000</v>
      </c>
      <c r="I4332" s="324">
        <f t="shared" si="3021"/>
        <v>3000000</v>
      </c>
      <c r="J4332" s="389"/>
      <c r="K4332" s="389"/>
      <c r="L4332" s="317">
        <f t="shared" si="3008"/>
        <v>3000000</v>
      </c>
      <c r="M4332" s="317"/>
      <c r="N4332" s="372">
        <f t="shared" si="3010"/>
        <v>0</v>
      </c>
      <c r="O4332" s="336">
        <f t="shared" si="2990"/>
        <v>3300000.0000000005</v>
      </c>
      <c r="P4332" s="319"/>
      <c r="R4332" s="317"/>
      <c r="U4332" s="320"/>
    </row>
    <row r="4333" spans="1:21" outlineLevel="2">
      <c r="A4333" s="907"/>
      <c r="B4333" s="907"/>
      <c r="C4333" s="340"/>
      <c r="D4333" s="447" t="s">
        <v>175</v>
      </c>
      <c r="E4333" s="515">
        <f>E4329+E4327</f>
        <v>8000000</v>
      </c>
      <c r="F4333" s="515">
        <f t="shared" ref="F4333:K4333" si="3031">F4329+F4327</f>
        <v>743967</v>
      </c>
      <c r="G4333" s="515">
        <f t="shared" si="3031"/>
        <v>0</v>
      </c>
      <c r="H4333" s="515">
        <f t="shared" si="3031"/>
        <v>-1000000</v>
      </c>
      <c r="I4333" s="515">
        <f t="shared" si="3031"/>
        <v>7743967</v>
      </c>
      <c r="J4333" s="515">
        <f t="shared" si="3031"/>
        <v>0</v>
      </c>
      <c r="K4333" s="515">
        <f t="shared" si="3031"/>
        <v>-9917</v>
      </c>
      <c r="L4333" s="317">
        <f t="shared" si="3008"/>
        <v>7734050</v>
      </c>
      <c r="M4333" s="317"/>
      <c r="N4333" s="372">
        <f t="shared" si="3010"/>
        <v>9917</v>
      </c>
      <c r="O4333" s="515">
        <f t="shared" ref="O4333:P4333" si="3032">O4329+O4327</f>
        <v>8507455</v>
      </c>
      <c r="P4333" s="515">
        <f t="shared" si="3032"/>
        <v>5728200.5000000009</v>
      </c>
      <c r="R4333" s="317"/>
      <c r="U4333" s="320"/>
    </row>
    <row r="4334" spans="1:21" s="312" customFormat="1" outlineLevel="1">
      <c r="A4334" s="330"/>
      <c r="B4334" s="330"/>
      <c r="C4334" s="340"/>
      <c r="D4334" s="447" t="s">
        <v>627</v>
      </c>
      <c r="E4334" s="515">
        <f>E4333+E4324</f>
        <v>9321200</v>
      </c>
      <c r="F4334" s="515">
        <f t="shared" ref="F4334:P4334" si="3033">F4333+F4324</f>
        <v>743967</v>
      </c>
      <c r="G4334" s="515">
        <f t="shared" si="3033"/>
        <v>0</v>
      </c>
      <c r="H4334" s="515">
        <f t="shared" si="3033"/>
        <v>-850000</v>
      </c>
      <c r="I4334" s="515">
        <f t="shared" si="3033"/>
        <v>9215167</v>
      </c>
      <c r="J4334" s="515">
        <f t="shared" si="3033"/>
        <v>0</v>
      </c>
      <c r="K4334" s="515">
        <f t="shared" si="3033"/>
        <v>271900</v>
      </c>
      <c r="L4334" s="317">
        <f t="shared" si="3008"/>
        <v>9487067</v>
      </c>
      <c r="M4334" s="317"/>
      <c r="N4334" s="372">
        <f t="shared" si="3010"/>
        <v>-271900</v>
      </c>
      <c r="O4334" s="515">
        <f t="shared" si="3033"/>
        <v>10435773.699999999</v>
      </c>
      <c r="P4334" s="515">
        <f t="shared" si="3033"/>
        <v>7849351.0700000012</v>
      </c>
      <c r="R4334" s="317"/>
      <c r="U4334" s="320"/>
    </row>
    <row r="4335" spans="1:21" s="446" customFormat="1" outlineLevel="1">
      <c r="A4335" s="907"/>
      <c r="B4335" s="907"/>
      <c r="C4335" s="332"/>
      <c r="D4335" s="330"/>
      <c r="E4335" s="529">
        <v>0</v>
      </c>
      <c r="F4335" s="389"/>
      <c r="G4335" s="389"/>
      <c r="H4335" s="389"/>
      <c r="I4335" s="324">
        <f t="shared" si="3021"/>
        <v>0</v>
      </c>
      <c r="J4335" s="515"/>
      <c r="K4335" s="389"/>
      <c r="L4335" s="317">
        <f t="shared" si="3008"/>
        <v>0</v>
      </c>
      <c r="M4335" s="317"/>
      <c r="N4335" s="372">
        <f t="shared" si="3010"/>
        <v>0</v>
      </c>
      <c r="O4335" s="336">
        <f t="shared" ref="O4335:O4396" si="3034">L4335*1.1</f>
        <v>0</v>
      </c>
      <c r="P4335" s="319">
        <f t="shared" si="3030"/>
        <v>0</v>
      </c>
      <c r="R4335" s="317"/>
      <c r="U4335" s="320"/>
    </row>
    <row r="4336" spans="1:21" outlineLevel="1">
      <c r="A4336" s="1023"/>
      <c r="B4336" s="1023"/>
      <c r="C4336" s="314" t="s">
        <v>750</v>
      </c>
      <c r="D4336" s="313"/>
      <c r="E4336" s="513">
        <v>0</v>
      </c>
      <c r="F4336" s="514"/>
      <c r="G4336" s="514"/>
      <c r="H4336" s="514"/>
      <c r="I4336" s="324">
        <f t="shared" si="3021"/>
        <v>0</v>
      </c>
      <c r="J4336" s="389"/>
      <c r="K4336" s="514"/>
      <c r="L4336" s="317">
        <f t="shared" si="3008"/>
        <v>0</v>
      </c>
      <c r="M4336" s="317"/>
      <c r="N4336" s="372">
        <f t="shared" si="3010"/>
        <v>0</v>
      </c>
      <c r="O4336" s="336">
        <f t="shared" si="3034"/>
        <v>0</v>
      </c>
      <c r="P4336" s="319">
        <f t="shared" si="3030"/>
        <v>0</v>
      </c>
      <c r="R4336" s="317"/>
      <c r="U4336" s="320"/>
    </row>
    <row r="4337" spans="1:21" outlineLevel="1">
      <c r="A4337" s="1023" t="s">
        <v>455</v>
      </c>
      <c r="B4337" s="1023" t="s">
        <v>146</v>
      </c>
      <c r="C4337" s="314" t="s">
        <v>751</v>
      </c>
      <c r="D4337" s="313"/>
      <c r="E4337" s="513">
        <v>0</v>
      </c>
      <c r="F4337" s="514"/>
      <c r="G4337" s="514"/>
      <c r="H4337" s="514"/>
      <c r="I4337" s="324">
        <f t="shared" si="3021"/>
        <v>0</v>
      </c>
      <c r="J4337" s="514"/>
      <c r="K4337" s="514"/>
      <c r="L4337" s="317">
        <f t="shared" si="3008"/>
        <v>0</v>
      </c>
      <c r="M4337" s="317"/>
      <c r="N4337" s="372">
        <f t="shared" si="3010"/>
        <v>0</v>
      </c>
      <c r="O4337" s="336">
        <f t="shared" si="3034"/>
        <v>0</v>
      </c>
      <c r="P4337" s="319">
        <f t="shared" si="3030"/>
        <v>0</v>
      </c>
      <c r="R4337" s="317"/>
      <c r="U4337" s="320"/>
    </row>
    <row r="4338" spans="1:21" s="337" customFormat="1" outlineLevel="3">
      <c r="A4338" s="907"/>
      <c r="B4338" s="907"/>
      <c r="C4338" s="340">
        <v>2210200</v>
      </c>
      <c r="D4338" s="338" t="s">
        <v>20</v>
      </c>
      <c r="E4338" s="518">
        <f>E4339+E4340</f>
        <v>56100</v>
      </c>
      <c r="F4338" s="518">
        <f t="shared" ref="F4338:P4338" si="3035">F4339+F4340</f>
        <v>0</v>
      </c>
      <c r="G4338" s="518">
        <f t="shared" si="3035"/>
        <v>0</v>
      </c>
      <c r="H4338" s="518">
        <f t="shared" si="3035"/>
        <v>0</v>
      </c>
      <c r="I4338" s="518">
        <f t="shared" si="3035"/>
        <v>56100</v>
      </c>
      <c r="J4338" s="518">
        <f t="shared" si="3035"/>
        <v>0</v>
      </c>
      <c r="K4338" s="518">
        <f t="shared" si="3035"/>
        <v>0</v>
      </c>
      <c r="L4338" s="317">
        <f t="shared" si="3008"/>
        <v>56100</v>
      </c>
      <c r="M4338" s="317"/>
      <c r="N4338" s="372">
        <f t="shared" si="3010"/>
        <v>0</v>
      </c>
      <c r="O4338" s="518">
        <f t="shared" si="3035"/>
        <v>61710</v>
      </c>
      <c r="P4338" s="518">
        <f t="shared" si="3035"/>
        <v>67881</v>
      </c>
      <c r="R4338" s="317"/>
      <c r="U4338" s="320"/>
    </row>
    <row r="4339" spans="1:21" outlineLevel="3">
      <c r="A4339" s="907"/>
      <c r="B4339" s="907"/>
      <c r="C4339" s="332">
        <v>2210201</v>
      </c>
      <c r="D4339" s="330" t="s">
        <v>721</v>
      </c>
      <c r="E4339" s="529">
        <v>30000</v>
      </c>
      <c r="F4339" s="389"/>
      <c r="G4339" s="389"/>
      <c r="H4339" s="389"/>
      <c r="I4339" s="324">
        <f t="shared" si="3021"/>
        <v>30000</v>
      </c>
      <c r="J4339" s="518"/>
      <c r="K4339" s="389">
        <v>0</v>
      </c>
      <c r="L4339" s="317">
        <f t="shared" si="3008"/>
        <v>30000</v>
      </c>
      <c r="M4339" s="317"/>
      <c r="N4339" s="372">
        <f t="shared" si="3010"/>
        <v>0</v>
      </c>
      <c r="O4339" s="336">
        <f t="shared" si="3034"/>
        <v>33000</v>
      </c>
      <c r="P4339" s="319">
        <f t="shared" si="3030"/>
        <v>36300</v>
      </c>
      <c r="R4339" s="317"/>
      <c r="U4339" s="320"/>
    </row>
    <row r="4340" spans="1:21" outlineLevel="3">
      <c r="A4340" s="907"/>
      <c r="B4340" s="907"/>
      <c r="C4340" s="332">
        <v>2210202</v>
      </c>
      <c r="D4340" s="330" t="s">
        <v>22</v>
      </c>
      <c r="E4340" s="529">
        <v>26100</v>
      </c>
      <c r="F4340" s="389"/>
      <c r="G4340" s="389"/>
      <c r="H4340" s="389"/>
      <c r="I4340" s="324">
        <f t="shared" si="3021"/>
        <v>26100</v>
      </c>
      <c r="J4340" s="389"/>
      <c r="K4340" s="389">
        <v>0</v>
      </c>
      <c r="L4340" s="317">
        <f t="shared" si="3008"/>
        <v>26100</v>
      </c>
      <c r="M4340" s="317"/>
      <c r="N4340" s="372">
        <f t="shared" si="3010"/>
        <v>0</v>
      </c>
      <c r="O4340" s="336">
        <f t="shared" si="3034"/>
        <v>28710.000000000004</v>
      </c>
      <c r="P4340" s="319">
        <f t="shared" si="3030"/>
        <v>31581.000000000007</v>
      </c>
      <c r="R4340" s="317"/>
      <c r="U4340" s="320"/>
    </row>
    <row r="4341" spans="1:21" outlineLevel="3">
      <c r="A4341" s="907"/>
      <c r="B4341" s="907"/>
      <c r="C4341" s="340">
        <v>2210300</v>
      </c>
      <c r="D4341" s="338" t="s">
        <v>722</v>
      </c>
      <c r="E4341" s="518">
        <f>E4342+E4343+E4344</f>
        <v>159645</v>
      </c>
      <c r="F4341" s="518">
        <f t="shared" ref="F4341:K4341" si="3036">F4342+F4343+F4344</f>
        <v>0</v>
      </c>
      <c r="G4341" s="518">
        <f t="shared" si="3036"/>
        <v>0</v>
      </c>
      <c r="H4341" s="518">
        <f t="shared" si="3036"/>
        <v>0</v>
      </c>
      <c r="I4341" s="518">
        <f t="shared" si="3036"/>
        <v>159645</v>
      </c>
      <c r="J4341" s="518">
        <f t="shared" si="3036"/>
        <v>0</v>
      </c>
      <c r="K4341" s="518">
        <f t="shared" si="3036"/>
        <v>0</v>
      </c>
      <c r="L4341" s="317">
        <f t="shared" si="3008"/>
        <v>159645</v>
      </c>
      <c r="M4341" s="317"/>
      <c r="N4341" s="372">
        <f t="shared" si="3010"/>
        <v>0</v>
      </c>
      <c r="O4341" s="518">
        <f t="shared" ref="O4341:P4341" si="3037">O4342+O4343+O4344</f>
        <v>175609.5</v>
      </c>
      <c r="P4341" s="518">
        <f t="shared" si="3037"/>
        <v>193170.45</v>
      </c>
      <c r="R4341" s="317"/>
      <c r="U4341" s="320"/>
    </row>
    <row r="4342" spans="1:21" s="337" customFormat="1" outlineLevel="3">
      <c r="A4342" s="907"/>
      <c r="B4342" s="907"/>
      <c r="C4342" s="332">
        <v>2210301</v>
      </c>
      <c r="D4342" s="330" t="s">
        <v>188</v>
      </c>
      <c r="E4342" s="529">
        <v>78445</v>
      </c>
      <c r="F4342" s="389"/>
      <c r="G4342" s="389"/>
      <c r="H4342" s="389"/>
      <c r="I4342" s="324">
        <f t="shared" si="3021"/>
        <v>78445</v>
      </c>
      <c r="J4342" s="518"/>
      <c r="K4342" s="389"/>
      <c r="L4342" s="317">
        <f t="shared" si="3008"/>
        <v>78445</v>
      </c>
      <c r="M4342" s="317"/>
      <c r="N4342" s="372">
        <f t="shared" si="3010"/>
        <v>0</v>
      </c>
      <c r="O4342" s="336">
        <f t="shared" si="3034"/>
        <v>86289.5</v>
      </c>
      <c r="P4342" s="319">
        <f t="shared" si="3030"/>
        <v>94918.450000000012</v>
      </c>
      <c r="R4342" s="317"/>
      <c r="U4342" s="320"/>
    </row>
    <row r="4343" spans="1:21" outlineLevel="3">
      <c r="A4343" s="907"/>
      <c r="B4343" s="907"/>
      <c r="C4343" s="332">
        <v>2210302</v>
      </c>
      <c r="D4343" s="330" t="s">
        <v>26</v>
      </c>
      <c r="E4343" s="529">
        <v>55100</v>
      </c>
      <c r="F4343" s="389"/>
      <c r="G4343" s="389"/>
      <c r="H4343" s="389"/>
      <c r="I4343" s="324">
        <f t="shared" si="3021"/>
        <v>55100</v>
      </c>
      <c r="J4343" s="389"/>
      <c r="K4343" s="389"/>
      <c r="L4343" s="317">
        <f t="shared" si="3008"/>
        <v>55100</v>
      </c>
      <c r="M4343" s="317"/>
      <c r="N4343" s="372">
        <f t="shared" si="3010"/>
        <v>0</v>
      </c>
      <c r="O4343" s="336">
        <f t="shared" si="3034"/>
        <v>60610.000000000007</v>
      </c>
      <c r="P4343" s="319">
        <f t="shared" si="3030"/>
        <v>66671.000000000015</v>
      </c>
      <c r="R4343" s="317"/>
      <c r="U4343" s="320"/>
    </row>
    <row r="4344" spans="1:21" outlineLevel="3">
      <c r="A4344" s="907"/>
      <c r="B4344" s="907"/>
      <c r="C4344" s="332">
        <v>2210303</v>
      </c>
      <c r="D4344" s="330" t="s">
        <v>223</v>
      </c>
      <c r="E4344" s="529">
        <v>26100</v>
      </c>
      <c r="F4344" s="389"/>
      <c r="G4344" s="389"/>
      <c r="H4344" s="389"/>
      <c r="I4344" s="324">
        <f t="shared" si="3021"/>
        <v>26100</v>
      </c>
      <c r="J4344" s="389"/>
      <c r="K4344" s="389"/>
      <c r="L4344" s="317">
        <f t="shared" si="3008"/>
        <v>26100</v>
      </c>
      <c r="M4344" s="317"/>
      <c r="N4344" s="372">
        <f t="shared" si="3010"/>
        <v>0</v>
      </c>
      <c r="O4344" s="336">
        <f t="shared" si="3034"/>
        <v>28710.000000000004</v>
      </c>
      <c r="P4344" s="319">
        <f t="shared" si="3030"/>
        <v>31581.000000000007</v>
      </c>
      <c r="R4344" s="317"/>
      <c r="U4344" s="320"/>
    </row>
    <row r="4345" spans="1:21" outlineLevel="3">
      <c r="A4345" s="907"/>
      <c r="B4345" s="907"/>
      <c r="C4345" s="340">
        <v>2210500</v>
      </c>
      <c r="D4345" s="338" t="s">
        <v>723</v>
      </c>
      <c r="E4345" s="518">
        <f>E4346</f>
        <v>5000</v>
      </c>
      <c r="F4345" s="518">
        <f t="shared" ref="F4345:K4345" si="3038">F4346</f>
        <v>0</v>
      </c>
      <c r="G4345" s="518">
        <f t="shared" si="3038"/>
        <v>0</v>
      </c>
      <c r="H4345" s="518">
        <f t="shared" si="3038"/>
        <v>0</v>
      </c>
      <c r="I4345" s="518">
        <f t="shared" si="3038"/>
        <v>5000</v>
      </c>
      <c r="J4345" s="518">
        <f t="shared" si="3038"/>
        <v>0</v>
      </c>
      <c r="K4345" s="518">
        <f t="shared" si="3038"/>
        <v>-5000</v>
      </c>
      <c r="L4345" s="317">
        <f t="shared" si="3008"/>
        <v>0</v>
      </c>
      <c r="M4345" s="317"/>
      <c r="N4345" s="372">
        <f t="shared" si="3010"/>
        <v>5000</v>
      </c>
      <c r="O4345" s="518">
        <f t="shared" ref="O4345:P4345" si="3039">O4346</f>
        <v>0</v>
      </c>
      <c r="P4345" s="518">
        <f t="shared" si="3039"/>
        <v>0</v>
      </c>
      <c r="R4345" s="317"/>
      <c r="U4345" s="320"/>
    </row>
    <row r="4346" spans="1:21" outlineLevel="3">
      <c r="A4346" s="907"/>
      <c r="B4346" s="907"/>
      <c r="C4346" s="332">
        <v>2210502</v>
      </c>
      <c r="D4346" s="330" t="s">
        <v>105</v>
      </c>
      <c r="E4346" s="529">
        <v>5000</v>
      </c>
      <c r="F4346" s="389"/>
      <c r="G4346" s="389"/>
      <c r="H4346" s="389"/>
      <c r="I4346" s="324">
        <f t="shared" si="3021"/>
        <v>5000</v>
      </c>
      <c r="J4346" s="518"/>
      <c r="K4346" s="389">
        <v>-5000</v>
      </c>
      <c r="L4346" s="317">
        <f t="shared" si="3008"/>
        <v>0</v>
      </c>
      <c r="M4346" s="317"/>
      <c r="N4346" s="372">
        <f t="shared" si="3010"/>
        <v>5000</v>
      </c>
      <c r="O4346" s="336">
        <f t="shared" si="3034"/>
        <v>0</v>
      </c>
      <c r="P4346" s="319">
        <f t="shared" si="3030"/>
        <v>0</v>
      </c>
      <c r="R4346" s="317"/>
      <c r="U4346" s="320"/>
    </row>
    <row r="4347" spans="1:21" outlineLevel="3">
      <c r="A4347" s="907"/>
      <c r="B4347" s="907"/>
      <c r="C4347" s="340">
        <v>2210700</v>
      </c>
      <c r="D4347" s="338" t="s">
        <v>35</v>
      </c>
      <c r="E4347" s="518">
        <f>E4348+E4349+E4350</f>
        <v>196718</v>
      </c>
      <c r="F4347" s="518">
        <f t="shared" ref="F4347:K4347" si="3040">F4348+F4349+F4350</f>
        <v>0</v>
      </c>
      <c r="G4347" s="518">
        <f t="shared" si="3040"/>
        <v>0</v>
      </c>
      <c r="H4347" s="518">
        <f t="shared" si="3040"/>
        <v>0</v>
      </c>
      <c r="I4347" s="518">
        <f t="shared" si="3040"/>
        <v>196718</v>
      </c>
      <c r="J4347" s="518">
        <f t="shared" si="3040"/>
        <v>0</v>
      </c>
      <c r="K4347" s="518">
        <f t="shared" si="3040"/>
        <v>0</v>
      </c>
      <c r="L4347" s="317">
        <f t="shared" si="3008"/>
        <v>196718</v>
      </c>
      <c r="M4347" s="317"/>
      <c r="N4347" s="372">
        <f t="shared" si="3010"/>
        <v>0</v>
      </c>
      <c r="O4347" s="518">
        <f t="shared" ref="O4347:P4347" si="3041">O4348+O4349+O4350</f>
        <v>216389.8</v>
      </c>
      <c r="P4347" s="518">
        <f t="shared" si="3041"/>
        <v>238028.78000000003</v>
      </c>
      <c r="R4347" s="317"/>
      <c r="U4347" s="320"/>
    </row>
    <row r="4348" spans="1:21" outlineLevel="3">
      <c r="A4348" s="907"/>
      <c r="B4348" s="907"/>
      <c r="C4348" s="332">
        <v>2210701</v>
      </c>
      <c r="D4348" s="330" t="s">
        <v>36</v>
      </c>
      <c r="E4348" s="529">
        <v>74998</v>
      </c>
      <c r="F4348" s="389"/>
      <c r="G4348" s="389"/>
      <c r="H4348" s="389"/>
      <c r="I4348" s="324">
        <f t="shared" si="3021"/>
        <v>74998</v>
      </c>
      <c r="J4348" s="518"/>
      <c r="K4348" s="389"/>
      <c r="L4348" s="317">
        <f t="shared" si="3008"/>
        <v>74998</v>
      </c>
      <c r="M4348" s="317"/>
      <c r="N4348" s="372">
        <f t="shared" si="3010"/>
        <v>0</v>
      </c>
      <c r="O4348" s="336">
        <f t="shared" si="3034"/>
        <v>82497.8</v>
      </c>
      <c r="P4348" s="319">
        <f t="shared" si="3030"/>
        <v>90747.580000000016</v>
      </c>
      <c r="R4348" s="317"/>
      <c r="U4348" s="320"/>
    </row>
    <row r="4349" spans="1:21" s="337" customFormat="1" outlineLevel="3">
      <c r="A4349" s="907"/>
      <c r="B4349" s="907"/>
      <c r="C4349" s="332">
        <v>2210710</v>
      </c>
      <c r="D4349" s="330" t="s">
        <v>724</v>
      </c>
      <c r="E4349" s="529">
        <v>73000</v>
      </c>
      <c r="F4349" s="389"/>
      <c r="G4349" s="389"/>
      <c r="H4349" s="389"/>
      <c r="I4349" s="324">
        <f t="shared" si="3021"/>
        <v>73000</v>
      </c>
      <c r="J4349" s="389"/>
      <c r="K4349" s="389"/>
      <c r="L4349" s="317">
        <f t="shared" si="3008"/>
        <v>73000</v>
      </c>
      <c r="M4349" s="317"/>
      <c r="N4349" s="372">
        <f t="shared" si="3010"/>
        <v>0</v>
      </c>
      <c r="O4349" s="336">
        <f t="shared" si="3034"/>
        <v>80300</v>
      </c>
      <c r="P4349" s="319">
        <f t="shared" si="3030"/>
        <v>88330</v>
      </c>
      <c r="R4349" s="317"/>
      <c r="U4349" s="320"/>
    </row>
    <row r="4350" spans="1:21" outlineLevel="3">
      <c r="A4350" s="907"/>
      <c r="B4350" s="907"/>
      <c r="C4350" s="332">
        <v>2210711</v>
      </c>
      <c r="D4350" s="330" t="s">
        <v>156</v>
      </c>
      <c r="E4350" s="529">
        <v>48720</v>
      </c>
      <c r="F4350" s="389"/>
      <c r="G4350" s="389"/>
      <c r="H4350" s="389"/>
      <c r="I4350" s="324">
        <f t="shared" si="3021"/>
        <v>48720</v>
      </c>
      <c r="J4350" s="389"/>
      <c r="K4350" s="389"/>
      <c r="L4350" s="317">
        <f t="shared" si="3008"/>
        <v>48720</v>
      </c>
      <c r="M4350" s="317"/>
      <c r="N4350" s="372">
        <f t="shared" si="3010"/>
        <v>0</v>
      </c>
      <c r="O4350" s="336">
        <f t="shared" si="3034"/>
        <v>53592.000000000007</v>
      </c>
      <c r="P4350" s="319">
        <f t="shared" si="3030"/>
        <v>58951.200000000012</v>
      </c>
      <c r="R4350" s="317"/>
      <c r="U4350" s="320"/>
    </row>
    <row r="4351" spans="1:21" outlineLevel="3" collapsed="1">
      <c r="A4351" s="907"/>
      <c r="B4351" s="907"/>
      <c r="C4351" s="403"/>
      <c r="D4351" s="447" t="s">
        <v>741</v>
      </c>
      <c r="E4351" s="515">
        <f>E4347+E4345+E4341+E4338</f>
        <v>417463</v>
      </c>
      <c r="F4351" s="515">
        <f t="shared" ref="F4351:P4351" si="3042">F4347+F4345+F4341+F4338</f>
        <v>0</v>
      </c>
      <c r="G4351" s="515">
        <f t="shared" si="3042"/>
        <v>0</v>
      </c>
      <c r="H4351" s="515">
        <f t="shared" si="3042"/>
        <v>0</v>
      </c>
      <c r="I4351" s="515">
        <f t="shared" si="3042"/>
        <v>417463</v>
      </c>
      <c r="J4351" s="515">
        <f t="shared" si="3042"/>
        <v>0</v>
      </c>
      <c r="K4351" s="515">
        <f t="shared" si="3042"/>
        <v>-5000</v>
      </c>
      <c r="L4351" s="317">
        <f t="shared" si="3008"/>
        <v>412463</v>
      </c>
      <c r="M4351" s="317"/>
      <c r="N4351" s="372">
        <f t="shared" si="3010"/>
        <v>5000</v>
      </c>
      <c r="O4351" s="515">
        <f t="shared" si="3042"/>
        <v>453709.3</v>
      </c>
      <c r="P4351" s="515">
        <f t="shared" si="3042"/>
        <v>499080.23000000004</v>
      </c>
      <c r="R4351" s="317"/>
      <c r="U4351" s="320"/>
    </row>
    <row r="4352" spans="1:21" outlineLevel="2">
      <c r="A4352" s="907"/>
      <c r="B4352" s="907"/>
      <c r="C4352" s="340"/>
      <c r="D4352" s="447" t="s">
        <v>99</v>
      </c>
      <c r="E4352" s="515">
        <f>E4351</f>
        <v>417463</v>
      </c>
      <c r="F4352" s="515">
        <f t="shared" ref="F4352:P4352" si="3043">F4351</f>
        <v>0</v>
      </c>
      <c r="G4352" s="515">
        <f t="shared" si="3043"/>
        <v>0</v>
      </c>
      <c r="H4352" s="515">
        <f t="shared" si="3043"/>
        <v>0</v>
      </c>
      <c r="I4352" s="515">
        <f t="shared" si="3043"/>
        <v>417463</v>
      </c>
      <c r="J4352" s="515">
        <f t="shared" si="3043"/>
        <v>0</v>
      </c>
      <c r="K4352" s="515">
        <f t="shared" si="3043"/>
        <v>-5000</v>
      </c>
      <c r="L4352" s="317">
        <f t="shared" si="3008"/>
        <v>412463</v>
      </c>
      <c r="M4352" s="317"/>
      <c r="N4352" s="372">
        <f t="shared" si="3010"/>
        <v>5000</v>
      </c>
      <c r="O4352" s="515">
        <f t="shared" si="3043"/>
        <v>453709.3</v>
      </c>
      <c r="P4352" s="515">
        <f t="shared" si="3043"/>
        <v>499080.23000000004</v>
      </c>
      <c r="R4352" s="317"/>
      <c r="U4352" s="320"/>
    </row>
    <row r="4353" spans="1:21" outlineLevel="2">
      <c r="A4353" s="907"/>
      <c r="B4353" s="907"/>
      <c r="C4353" s="332"/>
      <c r="D4353" s="330"/>
      <c r="E4353" s="529">
        <v>0</v>
      </c>
      <c r="F4353" s="389"/>
      <c r="G4353" s="389"/>
      <c r="H4353" s="389"/>
      <c r="I4353" s="324">
        <f t="shared" si="3021"/>
        <v>0</v>
      </c>
      <c r="J4353" s="515"/>
      <c r="K4353" s="389"/>
      <c r="L4353" s="317">
        <f t="shared" si="3008"/>
        <v>0</v>
      </c>
      <c r="M4353" s="317"/>
      <c r="N4353" s="372">
        <f t="shared" si="3010"/>
        <v>0</v>
      </c>
      <c r="O4353" s="336">
        <f t="shared" si="3034"/>
        <v>0</v>
      </c>
      <c r="P4353" s="319">
        <f t="shared" ref="P4353:P4356" si="3044">O4353*1.1</f>
        <v>0</v>
      </c>
      <c r="R4353" s="317"/>
      <c r="U4353" s="320"/>
    </row>
    <row r="4354" spans="1:21" s="337" customFormat="1" outlineLevel="2">
      <c r="A4354" s="897"/>
      <c r="B4354" s="897"/>
      <c r="C4354" s="332"/>
      <c r="D4354" s="447" t="s">
        <v>92</v>
      </c>
      <c r="E4354" s="529">
        <v>0</v>
      </c>
      <c r="F4354" s="438"/>
      <c r="G4354" s="438"/>
      <c r="H4354" s="438"/>
      <c r="I4354" s="324">
        <f t="shared" si="3021"/>
        <v>0</v>
      </c>
      <c r="J4354" s="389"/>
      <c r="K4354" s="438"/>
      <c r="L4354" s="317">
        <f t="shared" si="3008"/>
        <v>0</v>
      </c>
      <c r="M4354" s="317"/>
      <c r="N4354" s="372">
        <f t="shared" si="3010"/>
        <v>0</v>
      </c>
      <c r="O4354" s="336">
        <f t="shared" si="3034"/>
        <v>0</v>
      </c>
      <c r="P4354" s="319">
        <f t="shared" si="3044"/>
        <v>0</v>
      </c>
      <c r="R4354" s="317"/>
      <c r="U4354" s="320"/>
    </row>
    <row r="4355" spans="1:21" s="446" customFormat="1" outlineLevel="3">
      <c r="A4355" s="907"/>
      <c r="B4355" s="907"/>
      <c r="C4355" s="340">
        <v>3110500</v>
      </c>
      <c r="D4355" s="338" t="s">
        <v>736</v>
      </c>
      <c r="E4355" s="518">
        <f>E4356</f>
        <v>0</v>
      </c>
      <c r="F4355" s="518">
        <f t="shared" ref="F4355:P4355" si="3045">F4356</f>
        <v>0</v>
      </c>
      <c r="G4355" s="518">
        <f t="shared" si="3045"/>
        <v>0</v>
      </c>
      <c r="H4355" s="518">
        <f t="shared" si="3045"/>
        <v>3959000</v>
      </c>
      <c r="I4355" s="518">
        <f t="shared" si="3045"/>
        <v>3959000</v>
      </c>
      <c r="J4355" s="518">
        <f t="shared" si="3045"/>
        <v>-3320482</v>
      </c>
      <c r="K4355" s="518">
        <f t="shared" si="3045"/>
        <v>-128397</v>
      </c>
      <c r="L4355" s="317">
        <f t="shared" si="3008"/>
        <v>510121</v>
      </c>
      <c r="M4355" s="317"/>
      <c r="N4355" s="372">
        <f t="shared" si="3010"/>
        <v>128397</v>
      </c>
      <c r="O4355" s="518">
        <f t="shared" si="3045"/>
        <v>561133.10000000009</v>
      </c>
      <c r="P4355" s="518">
        <f t="shared" si="3045"/>
        <v>617246.41000000015</v>
      </c>
      <c r="R4355" s="317"/>
      <c r="U4355" s="320"/>
    </row>
    <row r="4356" spans="1:21" s="446" customFormat="1" outlineLevel="3">
      <c r="A4356" s="907"/>
      <c r="B4356" s="907"/>
      <c r="C4356" s="332">
        <v>3110599</v>
      </c>
      <c r="D4356" s="330" t="s">
        <v>752</v>
      </c>
      <c r="E4356" s="529">
        <v>0</v>
      </c>
      <c r="F4356" s="389">
        <v>0</v>
      </c>
      <c r="G4356" s="389"/>
      <c r="H4356" s="389">
        <v>3959000</v>
      </c>
      <c r="I4356" s="324">
        <f t="shared" si="3021"/>
        <v>3959000</v>
      </c>
      <c r="J4356" s="529">
        <v>-3320482</v>
      </c>
      <c r="K4356" s="315">
        <f>-3448879+3320482</f>
        <v>-128397</v>
      </c>
      <c r="L4356" s="317">
        <f t="shared" si="3008"/>
        <v>510121</v>
      </c>
      <c r="M4356" s="317"/>
      <c r="N4356" s="372">
        <f t="shared" si="3010"/>
        <v>128397</v>
      </c>
      <c r="O4356" s="336">
        <f t="shared" si="3034"/>
        <v>561133.10000000009</v>
      </c>
      <c r="P4356" s="319">
        <f t="shared" si="3044"/>
        <v>617246.41000000015</v>
      </c>
      <c r="R4356" s="317"/>
      <c r="U4356" s="320" t="s">
        <v>1803</v>
      </c>
    </row>
    <row r="4357" spans="1:21" s="446" customFormat="1" outlineLevel="2">
      <c r="A4357" s="1023"/>
      <c r="B4357" s="1023"/>
      <c r="C4357" s="314"/>
      <c r="D4357" s="447" t="s">
        <v>175</v>
      </c>
      <c r="E4357" s="515">
        <f>E4355</f>
        <v>0</v>
      </c>
      <c r="F4357" s="515">
        <f t="shared" ref="F4357:P4357" si="3046">F4355</f>
        <v>0</v>
      </c>
      <c r="G4357" s="515">
        <f t="shared" si="3046"/>
        <v>0</v>
      </c>
      <c r="H4357" s="515">
        <f t="shared" si="3046"/>
        <v>3959000</v>
      </c>
      <c r="I4357" s="515">
        <f t="shared" si="3046"/>
        <v>3959000</v>
      </c>
      <c r="J4357" s="515">
        <f t="shared" si="3046"/>
        <v>-3320482</v>
      </c>
      <c r="K4357" s="515">
        <f t="shared" si="3046"/>
        <v>-128397</v>
      </c>
      <c r="L4357" s="317">
        <f t="shared" ref="L4357:L4420" si="3047">I4357+J4357+K4357</f>
        <v>510121</v>
      </c>
      <c r="M4357" s="317"/>
      <c r="N4357" s="372">
        <f t="shared" si="3010"/>
        <v>128397</v>
      </c>
      <c r="O4357" s="515">
        <f t="shared" si="3046"/>
        <v>561133.10000000009</v>
      </c>
      <c r="P4357" s="515">
        <f t="shared" si="3046"/>
        <v>617246.41000000015</v>
      </c>
      <c r="R4357" s="317"/>
      <c r="U4357" s="320"/>
    </row>
    <row r="4358" spans="1:21" s="446" customFormat="1" outlineLevel="1">
      <c r="A4358" s="1023"/>
      <c r="B4358" s="1023"/>
      <c r="C4358" s="314"/>
      <c r="D4358" s="447" t="s">
        <v>627</v>
      </c>
      <c r="E4358" s="515">
        <f>E4357+E4352</f>
        <v>417463</v>
      </c>
      <c r="F4358" s="515">
        <f t="shared" ref="F4358:P4358" si="3048">F4357+F4352</f>
        <v>0</v>
      </c>
      <c r="G4358" s="515">
        <f t="shared" si="3048"/>
        <v>0</v>
      </c>
      <c r="H4358" s="515">
        <f t="shared" si="3048"/>
        <v>3959000</v>
      </c>
      <c r="I4358" s="515">
        <f t="shared" si="3048"/>
        <v>4376463</v>
      </c>
      <c r="J4358" s="515">
        <f t="shared" si="3048"/>
        <v>-3320482</v>
      </c>
      <c r="K4358" s="515">
        <f t="shared" si="3048"/>
        <v>-133397</v>
      </c>
      <c r="L4358" s="317">
        <f t="shared" si="3047"/>
        <v>922584</v>
      </c>
      <c r="M4358" s="317"/>
      <c r="N4358" s="372">
        <f t="shared" si="3010"/>
        <v>133397</v>
      </c>
      <c r="O4358" s="515">
        <f t="shared" si="3048"/>
        <v>1014842.4000000001</v>
      </c>
      <c r="P4358" s="515">
        <f t="shared" si="3048"/>
        <v>1116326.6400000001</v>
      </c>
      <c r="R4358" s="317"/>
      <c r="U4358" s="320"/>
    </row>
    <row r="4359" spans="1:21" s="312" customFormat="1">
      <c r="A4359" s="1023"/>
      <c r="B4359" s="1023"/>
      <c r="C4359" s="314"/>
      <c r="D4359" s="314" t="s">
        <v>99</v>
      </c>
      <c r="E4359" s="515">
        <f>E4352+E4324+E4298+E4289+E4267+E4223+E4182</f>
        <v>63071759.399999999</v>
      </c>
      <c r="F4359" s="515">
        <f t="shared" ref="F4359:L4359" si="3049">F4352+F4324+F4298+F4289+F4267+F4223+F4182</f>
        <v>111700</v>
      </c>
      <c r="G4359" s="515">
        <f t="shared" si="3049"/>
        <v>4720341</v>
      </c>
      <c r="H4359" s="515">
        <f t="shared" si="3049"/>
        <v>1300000</v>
      </c>
      <c r="I4359" s="515">
        <f t="shared" si="3049"/>
        <v>69203800.400000006</v>
      </c>
      <c r="J4359" s="515">
        <f t="shared" si="3049"/>
        <v>0</v>
      </c>
      <c r="K4359" s="515">
        <f t="shared" si="3049"/>
        <v>588017</v>
      </c>
      <c r="L4359" s="515">
        <f t="shared" si="3049"/>
        <v>69791817.400000006</v>
      </c>
      <c r="M4359" s="515"/>
      <c r="N4359" s="372">
        <f t="shared" si="3010"/>
        <v>-588017</v>
      </c>
      <c r="O4359" s="515">
        <f t="shared" ref="O4359:P4359" si="3050">O4352+O4324+O4298+O4289+O4267+O4223+O4182</f>
        <v>76770999.140000001</v>
      </c>
      <c r="P4359" s="515">
        <f t="shared" si="3050"/>
        <v>84448099.05400002</v>
      </c>
      <c r="R4359" s="515"/>
      <c r="U4359" s="571"/>
    </row>
    <row r="4360" spans="1:21">
      <c r="A4360" s="1023"/>
      <c r="B4360" s="1023"/>
      <c r="C4360" s="314"/>
      <c r="D4360" s="314" t="s">
        <v>175</v>
      </c>
      <c r="E4360" s="515">
        <f>+E4333+E4303+E4275+E4230+E4187+E4357</f>
        <v>29819000</v>
      </c>
      <c r="F4360" s="515">
        <f t="shared" ref="F4360:L4360" si="3051">+F4333+F4303+F4275+F4230+F4187+F4357</f>
        <v>2333967</v>
      </c>
      <c r="G4360" s="515">
        <f t="shared" si="3051"/>
        <v>0</v>
      </c>
      <c r="H4360" s="515">
        <f t="shared" si="3051"/>
        <v>1200000</v>
      </c>
      <c r="I4360" s="515">
        <f t="shared" si="3051"/>
        <v>33352967</v>
      </c>
      <c r="J4360" s="515">
        <f t="shared" si="3051"/>
        <v>-3320482</v>
      </c>
      <c r="K4360" s="515">
        <f t="shared" si="3051"/>
        <v>-588017</v>
      </c>
      <c r="L4360" s="515">
        <f t="shared" si="3051"/>
        <v>29444468</v>
      </c>
      <c r="M4360" s="515"/>
      <c r="N4360" s="372">
        <f t="shared" si="3010"/>
        <v>588017</v>
      </c>
      <c r="O4360" s="515">
        <f t="shared" ref="O4360:P4360" si="3052">+O4333+O4303+O4275+O4230+O4187+O4357</f>
        <v>32388914.800000001</v>
      </c>
      <c r="P4360" s="515">
        <f t="shared" si="3052"/>
        <v>31997806.280000005</v>
      </c>
      <c r="R4360" s="515"/>
      <c r="U4360" s="571"/>
    </row>
    <row r="4361" spans="1:21">
      <c r="A4361" s="884"/>
      <c r="B4361" s="884"/>
      <c r="C4361" s="758" t="s">
        <v>753</v>
      </c>
      <c r="D4361" s="759"/>
      <c r="E4361" s="515">
        <f>E4360+E4359</f>
        <v>92890759.400000006</v>
      </c>
      <c r="F4361" s="515">
        <f t="shared" ref="F4361:L4361" si="3053">F4360+F4359</f>
        <v>2445667</v>
      </c>
      <c r="G4361" s="515">
        <f t="shared" si="3053"/>
        <v>4720341</v>
      </c>
      <c r="H4361" s="515">
        <f t="shared" si="3053"/>
        <v>2500000</v>
      </c>
      <c r="I4361" s="515">
        <f t="shared" si="3053"/>
        <v>102556767.40000001</v>
      </c>
      <c r="J4361" s="515">
        <f t="shared" si="3053"/>
        <v>-3320482</v>
      </c>
      <c r="K4361" s="515">
        <f t="shared" si="3053"/>
        <v>0</v>
      </c>
      <c r="L4361" s="515">
        <f t="shared" si="3053"/>
        <v>99236285.400000006</v>
      </c>
      <c r="M4361" s="515"/>
      <c r="N4361" s="372">
        <f t="shared" ref="N4361:N4424" si="3054">M4361-K4361</f>
        <v>0</v>
      </c>
      <c r="O4361" s="515">
        <f t="shared" ref="O4361:P4361" si="3055">O4360+O4359</f>
        <v>109159913.94</v>
      </c>
      <c r="P4361" s="515">
        <f t="shared" si="3055"/>
        <v>116445905.33400002</v>
      </c>
      <c r="R4361" s="515"/>
      <c r="U4361" s="571" t="s">
        <v>1803</v>
      </c>
    </row>
    <row r="4362" spans="1:21" s="344" customFormat="1">
      <c r="A4362" s="897"/>
      <c r="B4362" s="897"/>
      <c r="C4362" s="332"/>
      <c r="D4362" s="330"/>
      <c r="E4362" s="422"/>
      <c r="F4362" s="389"/>
      <c r="G4362" s="389"/>
      <c r="H4362" s="389"/>
      <c r="I4362" s="324">
        <f t="shared" si="3021"/>
        <v>0</v>
      </c>
      <c r="J4362" s="389"/>
      <c r="K4362" s="389"/>
      <c r="L4362" s="317"/>
      <c r="M4362" s="317"/>
      <c r="N4362" s="372">
        <f t="shared" si="3054"/>
        <v>0</v>
      </c>
      <c r="O4362" s="336">
        <f t="shared" si="3034"/>
        <v>0</v>
      </c>
      <c r="P4362" s="319"/>
      <c r="R4362" s="317"/>
      <c r="U4362" s="320"/>
    </row>
    <row r="4363" spans="1:21" s="344" customFormat="1">
      <c r="A4363" s="1039"/>
      <c r="B4363" s="1039"/>
      <c r="C4363" s="659"/>
      <c r="D4363" s="352"/>
      <c r="E4363" s="1040"/>
      <c r="F4363" s="661"/>
      <c r="G4363" s="661"/>
      <c r="H4363" s="661"/>
      <c r="I4363" s="324">
        <f t="shared" si="3021"/>
        <v>0</v>
      </c>
      <c r="J4363" s="661"/>
      <c r="K4363" s="661"/>
      <c r="L4363" s="317"/>
      <c r="M4363" s="317"/>
      <c r="N4363" s="372">
        <f t="shared" si="3054"/>
        <v>0</v>
      </c>
      <c r="O4363" s="336">
        <f t="shared" si="3034"/>
        <v>0</v>
      </c>
      <c r="P4363" s="319"/>
      <c r="R4363" s="317"/>
      <c r="U4363" s="320"/>
    </row>
    <row r="4364" spans="1:21" s="344" customFormat="1">
      <c r="A4364" s="345"/>
      <c r="B4364" s="345"/>
      <c r="C4364" s="314" t="s">
        <v>1258</v>
      </c>
      <c r="D4364" s="447"/>
      <c r="E4364" s="619"/>
      <c r="F4364" s="438"/>
      <c r="G4364" s="438"/>
      <c r="H4364" s="438"/>
      <c r="I4364" s="324">
        <f t="shared" si="3021"/>
        <v>0</v>
      </c>
      <c r="J4364" s="438"/>
      <c r="K4364" s="438"/>
      <c r="L4364" s="317"/>
      <c r="M4364" s="317"/>
      <c r="N4364" s="372">
        <f t="shared" si="3054"/>
        <v>0</v>
      </c>
      <c r="O4364" s="336">
        <f t="shared" si="3034"/>
        <v>0</v>
      </c>
      <c r="P4364" s="319"/>
      <c r="R4364" s="317"/>
      <c r="U4364" s="320" t="s">
        <v>1803</v>
      </c>
    </row>
    <row r="4365" spans="1:21" s="344" customFormat="1" outlineLevel="1">
      <c r="A4365" s="1183">
        <v>1</v>
      </c>
      <c r="B4365" s="1183">
        <v>1</v>
      </c>
      <c r="C4365" s="1184" t="s">
        <v>264</v>
      </c>
      <c r="D4365" s="493"/>
      <c r="E4365" s="858"/>
      <c r="F4365" s="858"/>
      <c r="G4365" s="858"/>
      <c r="H4365" s="858"/>
      <c r="I4365" s="324">
        <f t="shared" si="3021"/>
        <v>0</v>
      </c>
      <c r="J4365" s="858"/>
      <c r="K4365" s="858"/>
      <c r="L4365" s="317">
        <f t="shared" si="3047"/>
        <v>0</v>
      </c>
      <c r="M4365" s="317"/>
      <c r="N4365" s="372">
        <f t="shared" si="3054"/>
        <v>0</v>
      </c>
      <c r="O4365" s="336">
        <f t="shared" si="3034"/>
        <v>0</v>
      </c>
      <c r="P4365" s="319">
        <f t="shared" ref="P4365:P4384" si="3056">O4365*1.1</f>
        <v>0</v>
      </c>
      <c r="R4365" s="317"/>
      <c r="U4365" s="320"/>
    </row>
    <row r="4366" spans="1:21" s="344" customFormat="1" outlineLevel="1">
      <c r="A4366" s="345"/>
      <c r="B4366" s="345"/>
      <c r="C4366" s="1185" t="s">
        <v>265</v>
      </c>
      <c r="D4366" s="1186"/>
      <c r="E4366" s="622"/>
      <c r="F4366" s="1187"/>
      <c r="G4366" s="1187"/>
      <c r="H4366" s="1187"/>
      <c r="I4366" s="324">
        <f t="shared" si="3021"/>
        <v>0</v>
      </c>
      <c r="J4366" s="1187"/>
      <c r="K4366" s="1187"/>
      <c r="L4366" s="317">
        <f t="shared" si="3047"/>
        <v>0</v>
      </c>
      <c r="M4366" s="317"/>
      <c r="N4366" s="372">
        <f t="shared" si="3054"/>
        <v>0</v>
      </c>
      <c r="O4366" s="336">
        <f t="shared" si="3034"/>
        <v>0</v>
      </c>
      <c r="P4366" s="319">
        <f t="shared" si="3056"/>
        <v>0</v>
      </c>
      <c r="R4366" s="317"/>
      <c r="U4366" s="320"/>
    </row>
    <row r="4367" spans="1:21" s="344" customFormat="1" outlineLevel="2">
      <c r="A4367" s="345"/>
      <c r="B4367" s="345"/>
      <c r="C4367" s="340">
        <v>2110100</v>
      </c>
      <c r="D4367" s="338" t="s">
        <v>13</v>
      </c>
      <c r="E4367" s="622">
        <f>E4368</f>
        <v>206109444</v>
      </c>
      <c r="F4367" s="622">
        <f t="shared" ref="F4367:K4367" si="3057">F4368</f>
        <v>0</v>
      </c>
      <c r="G4367" s="622">
        <f t="shared" si="3057"/>
        <v>0</v>
      </c>
      <c r="H4367" s="622">
        <f t="shared" si="3057"/>
        <v>0</v>
      </c>
      <c r="I4367" s="622">
        <f t="shared" si="3057"/>
        <v>206109444</v>
      </c>
      <c r="J4367" s="622">
        <f t="shared" si="3057"/>
        <v>0</v>
      </c>
      <c r="K4367" s="622">
        <f t="shared" si="3057"/>
        <v>0</v>
      </c>
      <c r="L4367" s="317">
        <f t="shared" si="3047"/>
        <v>206109444</v>
      </c>
      <c r="M4367" s="317"/>
      <c r="N4367" s="372">
        <f t="shared" si="3054"/>
        <v>0</v>
      </c>
      <c r="O4367" s="622">
        <f t="shared" ref="O4367:P4367" si="3058">O4368</f>
        <v>226720388.40000001</v>
      </c>
      <c r="P4367" s="622">
        <f t="shared" si="3058"/>
        <v>249392427.24000004</v>
      </c>
      <c r="R4367" s="317"/>
      <c r="U4367" s="320"/>
    </row>
    <row r="4368" spans="1:21" s="344" customFormat="1" outlineLevel="2">
      <c r="A4368" s="345"/>
      <c r="B4368" s="345"/>
      <c r="C4368" s="332">
        <v>2110101</v>
      </c>
      <c r="D4368" s="330" t="s">
        <v>266</v>
      </c>
      <c r="E4368" s="422">
        <v>206109444</v>
      </c>
      <c r="F4368" s="389"/>
      <c r="G4368" s="389"/>
      <c r="H4368" s="389"/>
      <c r="I4368" s="324">
        <f t="shared" si="3021"/>
        <v>206109444</v>
      </c>
      <c r="J4368" s="389"/>
      <c r="K4368" s="389"/>
      <c r="L4368" s="317">
        <f t="shared" si="3047"/>
        <v>206109444</v>
      </c>
      <c r="M4368" s="317"/>
      <c r="N4368" s="372">
        <f t="shared" si="3054"/>
        <v>0</v>
      </c>
      <c r="O4368" s="336">
        <f t="shared" si="3034"/>
        <v>226720388.40000001</v>
      </c>
      <c r="P4368" s="319">
        <f t="shared" si="3056"/>
        <v>249392427.24000004</v>
      </c>
      <c r="R4368" s="317"/>
      <c r="U4368" s="320"/>
    </row>
    <row r="4369" spans="1:21" s="344" customFormat="1" outlineLevel="2">
      <c r="A4369" s="345"/>
      <c r="B4369" s="345"/>
      <c r="C4369" s="340">
        <v>2210100</v>
      </c>
      <c r="D4369" s="338" t="s">
        <v>16</v>
      </c>
      <c r="E4369" s="622">
        <f>E4370+E4371</f>
        <v>168200</v>
      </c>
      <c r="F4369" s="622">
        <f t="shared" ref="F4369:I4369" si="3059">F4370+F4371</f>
        <v>0</v>
      </c>
      <c r="G4369" s="622">
        <f t="shared" si="3059"/>
        <v>0</v>
      </c>
      <c r="H4369" s="622">
        <f t="shared" si="3059"/>
        <v>0</v>
      </c>
      <c r="I4369" s="622">
        <f t="shared" si="3059"/>
        <v>168200</v>
      </c>
      <c r="J4369" s="622"/>
      <c r="K4369" s="622"/>
      <c r="L4369" s="317">
        <f t="shared" si="3047"/>
        <v>168200</v>
      </c>
      <c r="M4369" s="317"/>
      <c r="N4369" s="372">
        <f t="shared" si="3054"/>
        <v>0</v>
      </c>
      <c r="O4369" s="622">
        <f t="shared" ref="O4369:P4369" si="3060">O4370+O4371</f>
        <v>185020.00000000003</v>
      </c>
      <c r="P4369" s="622">
        <f t="shared" si="3060"/>
        <v>203522.00000000006</v>
      </c>
      <c r="R4369" s="317"/>
      <c r="U4369" s="320"/>
    </row>
    <row r="4370" spans="1:21" s="344" customFormat="1" outlineLevel="2">
      <c r="A4370" s="345"/>
      <c r="B4370" s="345"/>
      <c r="C4370" s="332">
        <v>2210101</v>
      </c>
      <c r="D4370" s="330" t="s">
        <v>17</v>
      </c>
      <c r="E4370" s="422">
        <v>52200</v>
      </c>
      <c r="F4370" s="389"/>
      <c r="G4370" s="389"/>
      <c r="H4370" s="389"/>
      <c r="I4370" s="324">
        <f t="shared" si="3021"/>
        <v>52200</v>
      </c>
      <c r="J4370" s="389"/>
      <c r="K4370" s="389"/>
      <c r="L4370" s="317">
        <f t="shared" si="3047"/>
        <v>52200</v>
      </c>
      <c r="M4370" s="317"/>
      <c r="N4370" s="372">
        <f t="shared" si="3054"/>
        <v>0</v>
      </c>
      <c r="O4370" s="336">
        <f t="shared" si="3034"/>
        <v>57420.000000000007</v>
      </c>
      <c r="P4370" s="319">
        <f t="shared" si="3056"/>
        <v>63162.000000000015</v>
      </c>
      <c r="R4370" s="317"/>
      <c r="U4370" s="320"/>
    </row>
    <row r="4371" spans="1:21" s="344" customFormat="1" outlineLevel="2">
      <c r="A4371" s="345"/>
      <c r="B4371" s="345"/>
      <c r="C4371" s="332">
        <v>2210102</v>
      </c>
      <c r="D4371" s="330" t="s">
        <v>18</v>
      </c>
      <c r="E4371" s="422">
        <v>116000</v>
      </c>
      <c r="F4371" s="389"/>
      <c r="G4371" s="389"/>
      <c r="H4371" s="389"/>
      <c r="I4371" s="324">
        <f t="shared" si="3021"/>
        <v>116000</v>
      </c>
      <c r="J4371" s="389"/>
      <c r="K4371" s="389"/>
      <c r="L4371" s="317">
        <f t="shared" si="3047"/>
        <v>116000</v>
      </c>
      <c r="M4371" s="317"/>
      <c r="N4371" s="372">
        <f t="shared" si="3054"/>
        <v>0</v>
      </c>
      <c r="O4371" s="336">
        <f t="shared" si="3034"/>
        <v>127600.00000000001</v>
      </c>
      <c r="P4371" s="319">
        <f t="shared" si="3056"/>
        <v>140360.00000000003</v>
      </c>
      <c r="R4371" s="317"/>
      <c r="U4371" s="320"/>
    </row>
    <row r="4372" spans="1:21" s="344" customFormat="1" outlineLevel="2">
      <c r="A4372" s="345"/>
      <c r="B4372" s="345"/>
      <c r="C4372" s="340">
        <v>2210200</v>
      </c>
      <c r="D4372" s="338" t="s">
        <v>20</v>
      </c>
      <c r="E4372" s="622">
        <f>E4373+E4374</f>
        <v>280198</v>
      </c>
      <c r="F4372" s="622">
        <f t="shared" ref="F4372:P4372" si="3061">F4373+F4374</f>
        <v>0</v>
      </c>
      <c r="G4372" s="622">
        <f t="shared" si="3061"/>
        <v>0</v>
      </c>
      <c r="H4372" s="622">
        <f t="shared" si="3061"/>
        <v>0</v>
      </c>
      <c r="I4372" s="622">
        <f t="shared" si="3061"/>
        <v>280198</v>
      </c>
      <c r="J4372" s="622">
        <f t="shared" si="3061"/>
        <v>0</v>
      </c>
      <c r="K4372" s="622">
        <f t="shared" si="3061"/>
        <v>0</v>
      </c>
      <c r="L4372" s="317">
        <f t="shared" si="3047"/>
        <v>280198</v>
      </c>
      <c r="M4372" s="317"/>
      <c r="N4372" s="372">
        <f t="shared" si="3054"/>
        <v>0</v>
      </c>
      <c r="O4372" s="622">
        <f t="shared" si="3061"/>
        <v>308217.80000000005</v>
      </c>
      <c r="P4372" s="622">
        <f t="shared" si="3061"/>
        <v>339039.58000000007</v>
      </c>
      <c r="R4372" s="317"/>
      <c r="U4372" s="320"/>
    </row>
    <row r="4373" spans="1:21" s="344" customFormat="1" outlineLevel="2">
      <c r="A4373" s="345"/>
      <c r="B4373" s="345"/>
      <c r="C4373" s="332">
        <v>2210201</v>
      </c>
      <c r="D4373" s="330" t="s">
        <v>21</v>
      </c>
      <c r="E4373" s="422">
        <v>256998</v>
      </c>
      <c r="F4373" s="389"/>
      <c r="G4373" s="389"/>
      <c r="H4373" s="389"/>
      <c r="I4373" s="324">
        <f t="shared" si="3021"/>
        <v>256998</v>
      </c>
      <c r="J4373" s="389"/>
      <c r="K4373" s="389"/>
      <c r="L4373" s="317">
        <f t="shared" si="3047"/>
        <v>256998</v>
      </c>
      <c r="M4373" s="317"/>
      <c r="N4373" s="372">
        <f t="shared" si="3054"/>
        <v>0</v>
      </c>
      <c r="O4373" s="336">
        <f t="shared" si="3034"/>
        <v>282697.80000000005</v>
      </c>
      <c r="P4373" s="319">
        <f t="shared" si="3056"/>
        <v>310967.58000000007</v>
      </c>
      <c r="R4373" s="317"/>
      <c r="U4373" s="320"/>
    </row>
    <row r="4374" spans="1:21" s="344" customFormat="1" outlineLevel="2">
      <c r="A4374" s="345"/>
      <c r="B4374" s="345"/>
      <c r="C4374" s="332">
        <v>2210203</v>
      </c>
      <c r="D4374" s="330" t="s">
        <v>23</v>
      </c>
      <c r="E4374" s="422">
        <v>23200</v>
      </c>
      <c r="F4374" s="389"/>
      <c r="G4374" s="389"/>
      <c r="H4374" s="389"/>
      <c r="I4374" s="324">
        <f t="shared" si="3021"/>
        <v>23200</v>
      </c>
      <c r="J4374" s="389"/>
      <c r="K4374" s="389"/>
      <c r="L4374" s="317">
        <f t="shared" si="3047"/>
        <v>23200</v>
      </c>
      <c r="M4374" s="317"/>
      <c r="N4374" s="372">
        <f t="shared" si="3054"/>
        <v>0</v>
      </c>
      <c r="O4374" s="336">
        <f t="shared" si="3034"/>
        <v>25520.000000000004</v>
      </c>
      <c r="P4374" s="319">
        <f t="shared" si="3056"/>
        <v>28072.000000000007</v>
      </c>
      <c r="R4374" s="317"/>
      <c r="U4374" s="320"/>
    </row>
    <row r="4375" spans="1:21" s="344" customFormat="1" outlineLevel="2">
      <c r="A4375" s="345"/>
      <c r="B4375" s="345"/>
      <c r="C4375" s="340">
        <v>2210300</v>
      </c>
      <c r="D4375" s="338" t="s">
        <v>267</v>
      </c>
      <c r="E4375" s="622">
        <f>E4376+E4377+E4378</f>
        <v>1682041</v>
      </c>
      <c r="F4375" s="622">
        <f t="shared" ref="F4375:P4375" si="3062">F4376+F4377+F4378</f>
        <v>0</v>
      </c>
      <c r="G4375" s="622">
        <f t="shared" si="3062"/>
        <v>0</v>
      </c>
      <c r="H4375" s="622">
        <f t="shared" si="3062"/>
        <v>0</v>
      </c>
      <c r="I4375" s="622">
        <f t="shared" si="3062"/>
        <v>1682041</v>
      </c>
      <c r="J4375" s="622">
        <f t="shared" si="3062"/>
        <v>0</v>
      </c>
      <c r="K4375" s="622">
        <f t="shared" si="3062"/>
        <v>0</v>
      </c>
      <c r="L4375" s="317">
        <f t="shared" si="3047"/>
        <v>1682041</v>
      </c>
      <c r="M4375" s="317"/>
      <c r="N4375" s="372">
        <f t="shared" si="3054"/>
        <v>0</v>
      </c>
      <c r="O4375" s="622">
        <f t="shared" si="3062"/>
        <v>1850245.1</v>
      </c>
      <c r="P4375" s="622">
        <f t="shared" si="3062"/>
        <v>2035269.6100000003</v>
      </c>
      <c r="R4375" s="317"/>
      <c r="U4375" s="320"/>
    </row>
    <row r="4376" spans="1:21" s="344" customFormat="1" outlineLevel="2">
      <c r="A4376" s="345"/>
      <c r="B4376" s="345"/>
      <c r="C4376" s="332">
        <v>2210301</v>
      </c>
      <c r="D4376" s="330" t="s">
        <v>268</v>
      </c>
      <c r="E4376" s="422">
        <v>552985</v>
      </c>
      <c r="F4376" s="389"/>
      <c r="G4376" s="389"/>
      <c r="H4376" s="389"/>
      <c r="I4376" s="324">
        <f t="shared" si="3021"/>
        <v>552985</v>
      </c>
      <c r="J4376" s="389"/>
      <c r="K4376" s="389"/>
      <c r="L4376" s="317">
        <f t="shared" si="3047"/>
        <v>552985</v>
      </c>
      <c r="M4376" s="317"/>
      <c r="N4376" s="372">
        <f t="shared" si="3054"/>
        <v>0</v>
      </c>
      <c r="O4376" s="336">
        <f t="shared" si="3034"/>
        <v>608283.5</v>
      </c>
      <c r="P4376" s="319">
        <f t="shared" si="3056"/>
        <v>669111.85000000009</v>
      </c>
      <c r="R4376" s="317"/>
      <c r="U4376" s="320"/>
    </row>
    <row r="4377" spans="1:21" s="344" customFormat="1" outlineLevel="2">
      <c r="A4377" s="345"/>
      <c r="B4377" s="345"/>
      <c r="C4377" s="332">
        <v>2210302</v>
      </c>
      <c r="D4377" s="330" t="s">
        <v>269</v>
      </c>
      <c r="E4377" s="422">
        <v>547803</v>
      </c>
      <c r="F4377" s="389"/>
      <c r="G4377" s="389"/>
      <c r="H4377" s="389"/>
      <c r="I4377" s="324">
        <f t="shared" si="3021"/>
        <v>547803</v>
      </c>
      <c r="J4377" s="389"/>
      <c r="K4377" s="389"/>
      <c r="L4377" s="317">
        <f t="shared" si="3047"/>
        <v>547803</v>
      </c>
      <c r="M4377" s="317"/>
      <c r="N4377" s="372">
        <f t="shared" si="3054"/>
        <v>0</v>
      </c>
      <c r="O4377" s="336">
        <f t="shared" si="3034"/>
        <v>602583.30000000005</v>
      </c>
      <c r="P4377" s="319">
        <f t="shared" si="3056"/>
        <v>662841.63000000012</v>
      </c>
      <c r="R4377" s="317"/>
      <c r="U4377" s="320"/>
    </row>
    <row r="4378" spans="1:21" s="344" customFormat="1" outlineLevel="2">
      <c r="A4378" s="345"/>
      <c r="B4378" s="345"/>
      <c r="C4378" s="332">
        <v>2210303</v>
      </c>
      <c r="D4378" s="330" t="s">
        <v>27</v>
      </c>
      <c r="E4378" s="422">
        <f>1081253-500000</f>
        <v>581253</v>
      </c>
      <c r="F4378" s="389"/>
      <c r="G4378" s="389"/>
      <c r="H4378" s="389"/>
      <c r="I4378" s="324">
        <f t="shared" ref="I4378:I4441" si="3063">E4378+F4378+G4378+H4378</f>
        <v>581253</v>
      </c>
      <c r="J4378" s="389"/>
      <c r="K4378" s="389"/>
      <c r="L4378" s="317">
        <f t="shared" si="3047"/>
        <v>581253</v>
      </c>
      <c r="M4378" s="317"/>
      <c r="N4378" s="372">
        <f t="shared" si="3054"/>
        <v>0</v>
      </c>
      <c r="O4378" s="336">
        <f t="shared" si="3034"/>
        <v>639378.30000000005</v>
      </c>
      <c r="P4378" s="319">
        <f t="shared" si="3056"/>
        <v>703316.13000000012</v>
      </c>
      <c r="R4378" s="317"/>
      <c r="U4378" s="320"/>
    </row>
    <row r="4379" spans="1:21" s="344" customFormat="1" outlineLevel="2">
      <c r="A4379" s="345"/>
      <c r="B4379" s="345"/>
      <c r="C4379" s="340">
        <v>2210400</v>
      </c>
      <c r="D4379" s="338" t="s">
        <v>189</v>
      </c>
      <c r="E4379" s="622">
        <f>E4380+E4381+E4382</f>
        <v>426600</v>
      </c>
      <c r="F4379" s="622">
        <f t="shared" ref="F4379:K4379" si="3064">F4380+F4381+F4382</f>
        <v>0</v>
      </c>
      <c r="G4379" s="622">
        <f t="shared" si="3064"/>
        <v>0</v>
      </c>
      <c r="H4379" s="622">
        <f t="shared" si="3064"/>
        <v>0</v>
      </c>
      <c r="I4379" s="622">
        <f t="shared" si="3064"/>
        <v>426600</v>
      </c>
      <c r="J4379" s="622">
        <f t="shared" si="3064"/>
        <v>0</v>
      </c>
      <c r="K4379" s="622">
        <f t="shared" si="3064"/>
        <v>0</v>
      </c>
      <c r="L4379" s="317">
        <f t="shared" si="3047"/>
        <v>426600</v>
      </c>
      <c r="M4379" s="317"/>
      <c r="N4379" s="372">
        <f t="shared" si="3054"/>
        <v>0</v>
      </c>
      <c r="O4379" s="622">
        <f t="shared" ref="O4379:P4379" si="3065">O4380+O4381+O4382</f>
        <v>469260</v>
      </c>
      <c r="P4379" s="622">
        <f t="shared" si="3065"/>
        <v>516186</v>
      </c>
      <c r="R4379" s="317"/>
      <c r="U4379" s="320"/>
    </row>
    <row r="4380" spans="1:21" s="344" customFormat="1" outlineLevel="2">
      <c r="A4380" s="345"/>
      <c r="B4380" s="345"/>
      <c r="C4380" s="332">
        <v>2210401</v>
      </c>
      <c r="D4380" s="330" t="s">
        <v>190</v>
      </c>
      <c r="E4380" s="422">
        <v>118000</v>
      </c>
      <c r="F4380" s="389"/>
      <c r="G4380" s="389"/>
      <c r="H4380" s="389"/>
      <c r="I4380" s="324">
        <f t="shared" si="3063"/>
        <v>118000</v>
      </c>
      <c r="J4380" s="389"/>
      <c r="K4380" s="549"/>
      <c r="L4380" s="317">
        <f t="shared" si="3047"/>
        <v>118000</v>
      </c>
      <c r="M4380" s="317"/>
      <c r="N4380" s="372">
        <f t="shared" si="3054"/>
        <v>0</v>
      </c>
      <c r="O4380" s="336">
        <f t="shared" si="3034"/>
        <v>129800.00000000001</v>
      </c>
      <c r="P4380" s="319">
        <f t="shared" si="3056"/>
        <v>142780.00000000003</v>
      </c>
      <c r="Q4380" s="914" t="s">
        <v>2506</v>
      </c>
      <c r="R4380" s="317"/>
      <c r="U4380" s="320"/>
    </row>
    <row r="4381" spans="1:21" s="344" customFormat="1" outlineLevel="2">
      <c r="A4381" s="345"/>
      <c r="B4381" s="345"/>
      <c r="C4381" s="332">
        <v>2210402</v>
      </c>
      <c r="D4381" s="330" t="s">
        <v>270</v>
      </c>
      <c r="E4381" s="422">
        <v>273000</v>
      </c>
      <c r="F4381" s="389"/>
      <c r="G4381" s="389"/>
      <c r="H4381" s="389"/>
      <c r="I4381" s="324">
        <f t="shared" si="3063"/>
        <v>273000</v>
      </c>
      <c r="J4381" s="389"/>
      <c r="K4381" s="549"/>
      <c r="L4381" s="317">
        <f t="shared" si="3047"/>
        <v>273000</v>
      </c>
      <c r="M4381" s="317"/>
      <c r="N4381" s="372">
        <f t="shared" si="3054"/>
        <v>0</v>
      </c>
      <c r="O4381" s="336">
        <f t="shared" si="3034"/>
        <v>300300</v>
      </c>
      <c r="P4381" s="319">
        <f t="shared" si="3056"/>
        <v>330330</v>
      </c>
      <c r="Q4381" s="914" t="s">
        <v>2506</v>
      </c>
      <c r="R4381" s="317"/>
      <c r="U4381" s="320"/>
    </row>
    <row r="4382" spans="1:21" s="344" customFormat="1" outlineLevel="2">
      <c r="A4382" s="345"/>
      <c r="B4382" s="345"/>
      <c r="C4382" s="332">
        <v>2210403</v>
      </c>
      <c r="D4382" s="330" t="s">
        <v>28</v>
      </c>
      <c r="E4382" s="422">
        <v>35600</v>
      </c>
      <c r="F4382" s="389"/>
      <c r="G4382" s="389"/>
      <c r="H4382" s="389"/>
      <c r="I4382" s="324">
        <f t="shared" si="3063"/>
        <v>35600</v>
      </c>
      <c r="J4382" s="389"/>
      <c r="K4382" s="549"/>
      <c r="L4382" s="317">
        <f t="shared" si="3047"/>
        <v>35600</v>
      </c>
      <c r="M4382" s="317"/>
      <c r="N4382" s="372">
        <f t="shared" si="3054"/>
        <v>0</v>
      </c>
      <c r="O4382" s="336">
        <f t="shared" si="3034"/>
        <v>39160</v>
      </c>
      <c r="P4382" s="319">
        <f t="shared" si="3056"/>
        <v>43076</v>
      </c>
      <c r="Q4382" s="914" t="s">
        <v>2506</v>
      </c>
      <c r="R4382" s="317"/>
      <c r="U4382" s="320"/>
    </row>
    <row r="4383" spans="1:21" s="344" customFormat="1" outlineLevel="2">
      <c r="A4383" s="345"/>
      <c r="B4383" s="345"/>
      <c r="C4383" s="340">
        <v>2210500</v>
      </c>
      <c r="D4383" s="338" t="s">
        <v>723</v>
      </c>
      <c r="E4383" s="622">
        <f>E4384+E4385+E4386</f>
        <v>677465</v>
      </c>
      <c r="F4383" s="622">
        <f t="shared" ref="F4383:K4383" si="3066">F4384+F4385+F4386</f>
        <v>0</v>
      </c>
      <c r="G4383" s="622">
        <f t="shared" si="3066"/>
        <v>0</v>
      </c>
      <c r="H4383" s="622">
        <f t="shared" si="3066"/>
        <v>0</v>
      </c>
      <c r="I4383" s="622">
        <f t="shared" si="3066"/>
        <v>677465</v>
      </c>
      <c r="J4383" s="622">
        <f t="shared" si="3066"/>
        <v>0</v>
      </c>
      <c r="K4383" s="622">
        <f t="shared" si="3066"/>
        <v>0</v>
      </c>
      <c r="L4383" s="317">
        <f t="shared" si="3047"/>
        <v>677465</v>
      </c>
      <c r="M4383" s="317"/>
      <c r="N4383" s="372">
        <f t="shared" si="3054"/>
        <v>0</v>
      </c>
      <c r="O4383" s="622">
        <f t="shared" ref="O4383:P4383" si="3067">O4384+O4385+O4386</f>
        <v>745211.50000000012</v>
      </c>
      <c r="P4383" s="622">
        <f t="shared" si="3067"/>
        <v>819732.65000000014</v>
      </c>
      <c r="R4383" s="317"/>
      <c r="U4383" s="320"/>
    </row>
    <row r="4384" spans="1:21" s="344" customFormat="1" outlineLevel="2">
      <c r="A4384" s="345"/>
      <c r="B4384" s="345"/>
      <c r="C4384" s="332">
        <v>2210502</v>
      </c>
      <c r="D4384" s="330" t="s">
        <v>105</v>
      </c>
      <c r="E4384" s="790">
        <v>274908</v>
      </c>
      <c r="F4384" s="389"/>
      <c r="G4384" s="389"/>
      <c r="H4384" s="389"/>
      <c r="I4384" s="324">
        <f t="shared" si="3063"/>
        <v>274908</v>
      </c>
      <c r="J4384" s="389"/>
      <c r="K4384" s="389"/>
      <c r="L4384" s="317">
        <f t="shared" si="3047"/>
        <v>274908</v>
      </c>
      <c r="M4384" s="317"/>
      <c r="N4384" s="372">
        <f t="shared" si="3054"/>
        <v>0</v>
      </c>
      <c r="O4384" s="336">
        <f t="shared" si="3034"/>
        <v>302398.80000000005</v>
      </c>
      <c r="P4384" s="319">
        <f t="shared" si="3056"/>
        <v>332638.68000000005</v>
      </c>
      <c r="R4384" s="317"/>
      <c r="U4384" s="320"/>
    </row>
    <row r="4385" spans="1:21" s="344" customFormat="1" outlineLevel="2">
      <c r="A4385" s="345"/>
      <c r="B4385" s="345"/>
      <c r="C4385" s="332">
        <v>2210503</v>
      </c>
      <c r="D4385" s="330" t="s">
        <v>32</v>
      </c>
      <c r="E4385" s="422">
        <v>22514</v>
      </c>
      <c r="F4385" s="389"/>
      <c r="G4385" s="389"/>
      <c r="H4385" s="389"/>
      <c r="I4385" s="324">
        <f t="shared" si="3063"/>
        <v>22514</v>
      </c>
      <c r="J4385" s="389"/>
      <c r="K4385" s="389"/>
      <c r="L4385" s="317">
        <f t="shared" si="3047"/>
        <v>22514</v>
      </c>
      <c r="M4385" s="317"/>
      <c r="N4385" s="372">
        <f t="shared" si="3054"/>
        <v>0</v>
      </c>
      <c r="O4385" s="336">
        <f t="shared" si="3034"/>
        <v>24765.4</v>
      </c>
      <c r="P4385" s="319">
        <f t="shared" ref="P4385:P4409" si="3068">O4385*1.1</f>
        <v>27241.940000000002</v>
      </c>
      <c r="R4385" s="317"/>
      <c r="U4385" s="320"/>
    </row>
    <row r="4386" spans="1:21" s="344" customFormat="1" outlineLevel="2">
      <c r="A4386" s="345"/>
      <c r="B4386" s="345"/>
      <c r="C4386" s="332">
        <v>2210504</v>
      </c>
      <c r="D4386" s="330" t="s">
        <v>33</v>
      </c>
      <c r="E4386" s="422">
        <v>380043</v>
      </c>
      <c r="F4386" s="389"/>
      <c r="G4386" s="389"/>
      <c r="H4386" s="389"/>
      <c r="I4386" s="324">
        <f t="shared" si="3063"/>
        <v>380043</v>
      </c>
      <c r="J4386" s="389"/>
      <c r="K4386" s="389"/>
      <c r="L4386" s="317">
        <f t="shared" si="3047"/>
        <v>380043</v>
      </c>
      <c r="M4386" s="317"/>
      <c r="N4386" s="372">
        <f t="shared" si="3054"/>
        <v>0</v>
      </c>
      <c r="O4386" s="336">
        <f t="shared" si="3034"/>
        <v>418047.30000000005</v>
      </c>
      <c r="P4386" s="319">
        <f t="shared" si="3068"/>
        <v>459852.03000000009</v>
      </c>
      <c r="R4386" s="317"/>
      <c r="U4386" s="320"/>
    </row>
    <row r="4387" spans="1:21" s="344" customFormat="1" outlineLevel="2">
      <c r="A4387" s="345"/>
      <c r="B4387" s="345"/>
      <c r="C4387" s="340">
        <v>2210700</v>
      </c>
      <c r="D4387" s="338" t="s">
        <v>271</v>
      </c>
      <c r="E4387" s="622">
        <f>E4388+E4389+E4390+E4391</f>
        <v>714674</v>
      </c>
      <c r="F4387" s="622">
        <f t="shared" ref="F4387:K4387" si="3069">F4388+F4389+F4390+F4391</f>
        <v>0</v>
      </c>
      <c r="G4387" s="622">
        <f t="shared" si="3069"/>
        <v>0</v>
      </c>
      <c r="H4387" s="622">
        <f t="shared" si="3069"/>
        <v>0</v>
      </c>
      <c r="I4387" s="622">
        <f t="shared" si="3069"/>
        <v>714674</v>
      </c>
      <c r="J4387" s="622">
        <f t="shared" si="3069"/>
        <v>0</v>
      </c>
      <c r="K4387" s="622">
        <f t="shared" si="3069"/>
        <v>0</v>
      </c>
      <c r="L4387" s="317">
        <f t="shared" si="3047"/>
        <v>714674</v>
      </c>
      <c r="M4387" s="317"/>
      <c r="N4387" s="372">
        <f t="shared" si="3054"/>
        <v>0</v>
      </c>
      <c r="O4387" s="622">
        <f t="shared" ref="O4387:P4387" si="3070">O4388+O4389+O4390+O4391</f>
        <v>786141.4</v>
      </c>
      <c r="P4387" s="622">
        <f t="shared" si="3070"/>
        <v>864755.54</v>
      </c>
      <c r="R4387" s="317"/>
      <c r="U4387" s="320"/>
    </row>
    <row r="4388" spans="1:21" s="344" customFormat="1" outlineLevel="2">
      <c r="A4388" s="345"/>
      <c r="B4388" s="345"/>
      <c r="C4388" s="332">
        <v>2210701</v>
      </c>
      <c r="D4388" s="330" t="s">
        <v>272</v>
      </c>
      <c r="E4388" s="422">
        <v>217000</v>
      </c>
      <c r="F4388" s="389"/>
      <c r="G4388" s="389"/>
      <c r="H4388" s="389"/>
      <c r="I4388" s="324">
        <f t="shared" si="3063"/>
        <v>217000</v>
      </c>
      <c r="J4388" s="389"/>
      <c r="K4388" s="549"/>
      <c r="L4388" s="317">
        <f t="shared" si="3047"/>
        <v>217000</v>
      </c>
      <c r="M4388" s="317"/>
      <c r="N4388" s="372">
        <f t="shared" si="3054"/>
        <v>0</v>
      </c>
      <c r="O4388" s="336">
        <f t="shared" si="3034"/>
        <v>238700.00000000003</v>
      </c>
      <c r="P4388" s="319">
        <f t="shared" si="3068"/>
        <v>262570.00000000006</v>
      </c>
      <c r="Q4388" s="914" t="s">
        <v>2507</v>
      </c>
      <c r="R4388" s="317"/>
      <c r="U4388" s="320"/>
    </row>
    <row r="4389" spans="1:21" s="344" customFormat="1" outlineLevel="2">
      <c r="A4389" s="345"/>
      <c r="B4389" s="345"/>
      <c r="C4389" s="332">
        <v>2210703</v>
      </c>
      <c r="D4389" s="330" t="s">
        <v>273</v>
      </c>
      <c r="E4389" s="422">
        <v>121000</v>
      </c>
      <c r="F4389" s="389"/>
      <c r="G4389" s="389"/>
      <c r="H4389" s="389"/>
      <c r="I4389" s="324">
        <f t="shared" si="3063"/>
        <v>121000</v>
      </c>
      <c r="J4389" s="389"/>
      <c r="K4389" s="389"/>
      <c r="L4389" s="317">
        <f t="shared" si="3047"/>
        <v>121000</v>
      </c>
      <c r="M4389" s="317"/>
      <c r="N4389" s="372">
        <f t="shared" si="3054"/>
        <v>0</v>
      </c>
      <c r="O4389" s="336">
        <f t="shared" si="3034"/>
        <v>133100</v>
      </c>
      <c r="P4389" s="319">
        <f t="shared" si="3068"/>
        <v>146410</v>
      </c>
      <c r="R4389" s="317"/>
      <c r="U4389" s="320"/>
    </row>
    <row r="4390" spans="1:21" s="344" customFormat="1" outlineLevel="2">
      <c r="A4390" s="345"/>
      <c r="B4390" s="345"/>
      <c r="C4390" s="332">
        <v>2210704</v>
      </c>
      <c r="D4390" s="330" t="s">
        <v>274</v>
      </c>
      <c r="E4390" s="422">
        <v>172674</v>
      </c>
      <c r="F4390" s="389"/>
      <c r="G4390" s="389"/>
      <c r="H4390" s="389"/>
      <c r="I4390" s="324">
        <f t="shared" si="3063"/>
        <v>172674</v>
      </c>
      <c r="J4390" s="389"/>
      <c r="K4390" s="389"/>
      <c r="L4390" s="317">
        <f t="shared" si="3047"/>
        <v>172674</v>
      </c>
      <c r="M4390" s="317"/>
      <c r="N4390" s="372">
        <f t="shared" si="3054"/>
        <v>0</v>
      </c>
      <c r="O4390" s="336">
        <f t="shared" si="3034"/>
        <v>189941.40000000002</v>
      </c>
      <c r="P4390" s="319">
        <f t="shared" si="3068"/>
        <v>208935.54000000004</v>
      </c>
      <c r="R4390" s="317"/>
      <c r="U4390" s="320"/>
    </row>
    <row r="4391" spans="1:21" s="344" customFormat="1" outlineLevel="2">
      <c r="A4391" s="345"/>
      <c r="B4391" s="345"/>
      <c r="C4391" s="332">
        <v>2210710</v>
      </c>
      <c r="D4391" s="330" t="s">
        <v>39</v>
      </c>
      <c r="E4391" s="422">
        <v>204000</v>
      </c>
      <c r="F4391" s="389"/>
      <c r="G4391" s="389"/>
      <c r="H4391" s="389"/>
      <c r="I4391" s="324">
        <f t="shared" si="3063"/>
        <v>204000</v>
      </c>
      <c r="J4391" s="389"/>
      <c r="K4391" s="389"/>
      <c r="L4391" s="317">
        <f t="shared" si="3047"/>
        <v>204000</v>
      </c>
      <c r="M4391" s="317"/>
      <c r="N4391" s="372">
        <f t="shared" si="3054"/>
        <v>0</v>
      </c>
      <c r="O4391" s="336">
        <f t="shared" si="3034"/>
        <v>224400.00000000003</v>
      </c>
      <c r="P4391" s="319">
        <f t="shared" si="3068"/>
        <v>246840.00000000006</v>
      </c>
      <c r="R4391" s="317"/>
      <c r="U4391" s="320"/>
    </row>
    <row r="4392" spans="1:21" s="344" customFormat="1" outlineLevel="2">
      <c r="A4392" s="345"/>
      <c r="B4392" s="345"/>
      <c r="C4392" s="340">
        <v>2210800</v>
      </c>
      <c r="D4392" s="338" t="s">
        <v>42</v>
      </c>
      <c r="E4392" s="622">
        <f>E4393+E4394</f>
        <v>772823</v>
      </c>
      <c r="F4392" s="622">
        <f t="shared" ref="F4392:P4392" si="3071">F4393+F4394</f>
        <v>0</v>
      </c>
      <c r="G4392" s="622">
        <f t="shared" si="3071"/>
        <v>0</v>
      </c>
      <c r="H4392" s="622">
        <f t="shared" si="3071"/>
        <v>0</v>
      </c>
      <c r="I4392" s="622">
        <f t="shared" si="3071"/>
        <v>772823</v>
      </c>
      <c r="J4392" s="622">
        <f t="shared" si="3071"/>
        <v>0</v>
      </c>
      <c r="K4392" s="622">
        <f t="shared" si="3071"/>
        <v>0</v>
      </c>
      <c r="L4392" s="317">
        <f t="shared" si="3047"/>
        <v>772823</v>
      </c>
      <c r="M4392" s="317"/>
      <c r="N4392" s="372">
        <f t="shared" si="3054"/>
        <v>0</v>
      </c>
      <c r="O4392" s="622">
        <f t="shared" si="3071"/>
        <v>850105.3</v>
      </c>
      <c r="P4392" s="622">
        <f t="shared" si="3071"/>
        <v>935115.83000000007</v>
      </c>
      <c r="R4392" s="317"/>
      <c r="U4392" s="320"/>
    </row>
    <row r="4393" spans="1:21" s="344" customFormat="1" outlineLevel="2">
      <c r="A4393" s="345"/>
      <c r="B4393" s="345"/>
      <c r="C4393" s="332">
        <v>2210801</v>
      </c>
      <c r="D4393" s="330" t="s">
        <v>2421</v>
      </c>
      <c r="E4393" s="422">
        <v>565739</v>
      </c>
      <c r="F4393" s="389"/>
      <c r="G4393" s="389"/>
      <c r="H4393" s="389"/>
      <c r="I4393" s="324">
        <f t="shared" si="3063"/>
        <v>565739</v>
      </c>
      <c r="J4393" s="389"/>
      <c r="K4393" s="549"/>
      <c r="L4393" s="317">
        <f t="shared" si="3047"/>
        <v>565739</v>
      </c>
      <c r="M4393" s="317"/>
      <c r="N4393" s="372">
        <f t="shared" si="3054"/>
        <v>0</v>
      </c>
      <c r="O4393" s="336">
        <f t="shared" si="3034"/>
        <v>622312.9</v>
      </c>
      <c r="P4393" s="319">
        <f t="shared" si="3068"/>
        <v>684544.19000000006</v>
      </c>
      <c r="Q4393" s="344" t="s">
        <v>2508</v>
      </c>
      <c r="R4393" s="317"/>
      <c r="U4393" s="320"/>
    </row>
    <row r="4394" spans="1:21" s="344" customFormat="1" outlineLevel="2">
      <c r="A4394" s="345"/>
      <c r="B4394" s="345"/>
      <c r="C4394" s="332">
        <v>2210802</v>
      </c>
      <c r="D4394" s="330" t="s">
        <v>97</v>
      </c>
      <c r="E4394" s="422">
        <v>207084</v>
      </c>
      <c r="F4394" s="389"/>
      <c r="G4394" s="389"/>
      <c r="H4394" s="389"/>
      <c r="I4394" s="324">
        <f t="shared" si="3063"/>
        <v>207084</v>
      </c>
      <c r="J4394" s="389"/>
      <c r="K4394" s="389"/>
      <c r="L4394" s="317">
        <f t="shared" si="3047"/>
        <v>207084</v>
      </c>
      <c r="M4394" s="317"/>
      <c r="N4394" s="372">
        <f t="shared" si="3054"/>
        <v>0</v>
      </c>
      <c r="O4394" s="336">
        <f t="shared" si="3034"/>
        <v>227792.40000000002</v>
      </c>
      <c r="P4394" s="319">
        <f t="shared" si="3068"/>
        <v>250571.64000000004</v>
      </c>
      <c r="R4394" s="317"/>
      <c r="U4394" s="320"/>
    </row>
    <row r="4395" spans="1:21" s="344" customFormat="1" outlineLevel="2">
      <c r="A4395" s="345"/>
      <c r="B4395" s="345"/>
      <c r="C4395" s="340">
        <v>2211100</v>
      </c>
      <c r="D4395" s="338" t="s">
        <v>276</v>
      </c>
      <c r="E4395" s="622">
        <f>E4396+E4397+E4398</f>
        <v>652040</v>
      </c>
      <c r="F4395" s="622">
        <f t="shared" ref="F4395:P4395" si="3072">F4396+F4397+F4398</f>
        <v>0</v>
      </c>
      <c r="G4395" s="622">
        <f t="shared" si="3072"/>
        <v>0</v>
      </c>
      <c r="H4395" s="622">
        <f t="shared" si="3072"/>
        <v>0</v>
      </c>
      <c r="I4395" s="622">
        <f t="shared" si="3072"/>
        <v>652040</v>
      </c>
      <c r="J4395" s="622">
        <f t="shared" si="3072"/>
        <v>0</v>
      </c>
      <c r="K4395" s="622">
        <f t="shared" si="3072"/>
        <v>0</v>
      </c>
      <c r="L4395" s="317">
        <f t="shared" si="3047"/>
        <v>652040</v>
      </c>
      <c r="M4395" s="317"/>
      <c r="N4395" s="372">
        <f t="shared" si="3054"/>
        <v>0</v>
      </c>
      <c r="O4395" s="622">
        <f t="shared" si="3072"/>
        <v>717244</v>
      </c>
      <c r="P4395" s="622">
        <f t="shared" si="3072"/>
        <v>788968.40000000014</v>
      </c>
      <c r="R4395" s="317"/>
      <c r="U4395" s="320"/>
    </row>
    <row r="4396" spans="1:21" s="344" customFormat="1" outlineLevel="2">
      <c r="A4396" s="345"/>
      <c r="B4396" s="345"/>
      <c r="C4396" s="332">
        <v>2211101</v>
      </c>
      <c r="D4396" s="330" t="s">
        <v>277</v>
      </c>
      <c r="E4396" s="422">
        <v>145765</v>
      </c>
      <c r="F4396" s="389"/>
      <c r="G4396" s="389"/>
      <c r="H4396" s="389"/>
      <c r="I4396" s="324">
        <f t="shared" si="3063"/>
        <v>145765</v>
      </c>
      <c r="J4396" s="389"/>
      <c r="K4396" s="389"/>
      <c r="L4396" s="317">
        <f t="shared" si="3047"/>
        <v>145765</v>
      </c>
      <c r="M4396" s="317"/>
      <c r="N4396" s="372">
        <f t="shared" si="3054"/>
        <v>0</v>
      </c>
      <c r="O4396" s="336">
        <f t="shared" si="3034"/>
        <v>160341.5</v>
      </c>
      <c r="P4396" s="319">
        <f t="shared" si="3068"/>
        <v>176375.65000000002</v>
      </c>
      <c r="R4396" s="317"/>
      <c r="U4396" s="320"/>
    </row>
    <row r="4397" spans="1:21" s="344" customFormat="1" outlineLevel="2">
      <c r="A4397" s="345"/>
      <c r="B4397" s="345"/>
      <c r="C4397" s="332">
        <v>2211102</v>
      </c>
      <c r="D4397" s="330" t="s">
        <v>53</v>
      </c>
      <c r="E4397" s="422">
        <v>354705</v>
      </c>
      <c r="F4397" s="389"/>
      <c r="G4397" s="389"/>
      <c r="H4397" s="389"/>
      <c r="I4397" s="324">
        <f t="shared" si="3063"/>
        <v>354705</v>
      </c>
      <c r="J4397" s="389"/>
      <c r="K4397" s="549"/>
      <c r="L4397" s="317">
        <f t="shared" si="3047"/>
        <v>354705</v>
      </c>
      <c r="M4397" s="317"/>
      <c r="N4397" s="372">
        <f t="shared" si="3054"/>
        <v>0</v>
      </c>
      <c r="O4397" s="336">
        <f t="shared" ref="O4397:O4460" si="3073">L4397*1.1</f>
        <v>390175.50000000006</v>
      </c>
      <c r="P4397" s="319">
        <f t="shared" si="3068"/>
        <v>429193.0500000001</v>
      </c>
      <c r="Q4397" s="914" t="s">
        <v>2509</v>
      </c>
      <c r="R4397" s="317"/>
      <c r="U4397" s="320"/>
    </row>
    <row r="4398" spans="1:21" s="344" customFormat="1" outlineLevel="2">
      <c r="A4398" s="345"/>
      <c r="B4398" s="345"/>
      <c r="C4398" s="332">
        <v>2211103</v>
      </c>
      <c r="D4398" s="330" t="s">
        <v>54</v>
      </c>
      <c r="E4398" s="422">
        <v>151570</v>
      </c>
      <c r="F4398" s="389"/>
      <c r="G4398" s="389"/>
      <c r="H4398" s="389"/>
      <c r="I4398" s="324">
        <f t="shared" si="3063"/>
        <v>151570</v>
      </c>
      <c r="J4398" s="389"/>
      <c r="K4398" s="389"/>
      <c r="L4398" s="317">
        <f t="shared" si="3047"/>
        <v>151570</v>
      </c>
      <c r="M4398" s="317"/>
      <c r="N4398" s="372">
        <f t="shared" si="3054"/>
        <v>0</v>
      </c>
      <c r="O4398" s="336">
        <f t="shared" si="3073"/>
        <v>166727</v>
      </c>
      <c r="P4398" s="319">
        <f t="shared" si="3068"/>
        <v>183399.7</v>
      </c>
      <c r="R4398" s="317"/>
      <c r="U4398" s="320"/>
    </row>
    <row r="4399" spans="1:21" s="344" customFormat="1" outlineLevel="2">
      <c r="A4399" s="345"/>
      <c r="B4399" s="345"/>
      <c r="C4399" s="340">
        <v>2211200</v>
      </c>
      <c r="D4399" s="338" t="s">
        <v>55</v>
      </c>
      <c r="E4399" s="622">
        <f>E4400</f>
        <v>707940</v>
      </c>
      <c r="F4399" s="622">
        <f t="shared" ref="F4399:K4399" si="3074">F4400</f>
        <v>0</v>
      </c>
      <c r="G4399" s="622">
        <f t="shared" si="3074"/>
        <v>0</v>
      </c>
      <c r="H4399" s="622">
        <f t="shared" si="3074"/>
        <v>0</v>
      </c>
      <c r="I4399" s="622">
        <f t="shared" si="3074"/>
        <v>707940</v>
      </c>
      <c r="J4399" s="622">
        <f t="shared" si="3074"/>
        <v>0</v>
      </c>
      <c r="K4399" s="622">
        <f t="shared" si="3074"/>
        <v>0</v>
      </c>
      <c r="L4399" s="317">
        <f t="shared" si="3047"/>
        <v>707940</v>
      </c>
      <c r="M4399" s="317"/>
      <c r="N4399" s="372">
        <f t="shared" si="3054"/>
        <v>0</v>
      </c>
      <c r="O4399" s="622">
        <f t="shared" ref="O4399:P4399" si="3075">O4400</f>
        <v>778734.00000000012</v>
      </c>
      <c r="P4399" s="622">
        <f t="shared" si="3075"/>
        <v>856607.40000000014</v>
      </c>
      <c r="R4399" s="317"/>
      <c r="U4399" s="320"/>
    </row>
    <row r="4400" spans="1:21" s="344" customFormat="1" outlineLevel="2">
      <c r="A4400" s="345"/>
      <c r="B4400" s="345"/>
      <c r="C4400" s="405">
        <v>2211201</v>
      </c>
      <c r="D4400" s="345" t="s">
        <v>56</v>
      </c>
      <c r="E4400" s="587">
        <v>707940</v>
      </c>
      <c r="F4400" s="406"/>
      <c r="G4400" s="406"/>
      <c r="H4400" s="406"/>
      <c r="I4400" s="324">
        <f t="shared" si="3063"/>
        <v>707940</v>
      </c>
      <c r="J4400" s="406"/>
      <c r="K4400" s="406"/>
      <c r="L4400" s="317">
        <f t="shared" si="3047"/>
        <v>707940</v>
      </c>
      <c r="M4400" s="317"/>
      <c r="N4400" s="372">
        <f t="shared" si="3054"/>
        <v>0</v>
      </c>
      <c r="O4400" s="336">
        <f t="shared" si="3073"/>
        <v>778734.00000000012</v>
      </c>
      <c r="P4400" s="319">
        <f t="shared" si="3068"/>
        <v>856607.40000000014</v>
      </c>
      <c r="R4400" s="317"/>
      <c r="U4400" s="320"/>
    </row>
    <row r="4401" spans="1:21" s="344" customFormat="1" outlineLevel="2">
      <c r="A4401" s="345"/>
      <c r="B4401" s="345"/>
      <c r="C4401" s="340">
        <v>2220100</v>
      </c>
      <c r="D4401" s="338" t="s">
        <v>200</v>
      </c>
      <c r="E4401" s="622">
        <f>E4402</f>
        <v>454321</v>
      </c>
      <c r="F4401" s="622">
        <f t="shared" ref="F4401:K4401" si="3076">F4402</f>
        <v>0</v>
      </c>
      <c r="G4401" s="622">
        <f t="shared" si="3076"/>
        <v>0</v>
      </c>
      <c r="H4401" s="622">
        <f t="shared" si="3076"/>
        <v>0</v>
      </c>
      <c r="I4401" s="622">
        <f t="shared" si="3076"/>
        <v>454321</v>
      </c>
      <c r="J4401" s="622">
        <f t="shared" si="3076"/>
        <v>0</v>
      </c>
      <c r="K4401" s="622">
        <f t="shared" si="3076"/>
        <v>0</v>
      </c>
      <c r="L4401" s="317">
        <f t="shared" si="3047"/>
        <v>454321</v>
      </c>
      <c r="M4401" s="317"/>
      <c r="N4401" s="372">
        <f t="shared" si="3054"/>
        <v>0</v>
      </c>
      <c r="O4401" s="622">
        <f t="shared" ref="O4401:P4401" si="3077">O4402</f>
        <v>499753.10000000003</v>
      </c>
      <c r="P4401" s="622">
        <f t="shared" si="3077"/>
        <v>549728.41</v>
      </c>
      <c r="R4401" s="317"/>
      <c r="U4401" s="320"/>
    </row>
    <row r="4402" spans="1:21" s="344" customFormat="1" outlineLevel="2">
      <c r="A4402" s="345"/>
      <c r="B4402" s="345"/>
      <c r="C4402" s="332">
        <v>2220101</v>
      </c>
      <c r="D4402" s="330" t="s">
        <v>200</v>
      </c>
      <c r="E4402" s="422">
        <v>454321</v>
      </c>
      <c r="F4402" s="389"/>
      <c r="G4402" s="389"/>
      <c r="H4402" s="389"/>
      <c r="I4402" s="324">
        <f t="shared" si="3063"/>
        <v>454321</v>
      </c>
      <c r="J4402" s="389"/>
      <c r="K4402" s="389"/>
      <c r="L4402" s="317">
        <f t="shared" si="3047"/>
        <v>454321</v>
      </c>
      <c r="M4402" s="317"/>
      <c r="N4402" s="372">
        <f t="shared" si="3054"/>
        <v>0</v>
      </c>
      <c r="O4402" s="336">
        <f t="shared" si="3073"/>
        <v>499753.10000000003</v>
      </c>
      <c r="P4402" s="319">
        <f t="shared" si="3068"/>
        <v>549728.41</v>
      </c>
      <c r="R4402" s="317"/>
      <c r="U4402" s="320"/>
    </row>
    <row r="4403" spans="1:21" s="344" customFormat="1" outlineLevel="2">
      <c r="A4403" s="345"/>
      <c r="B4403" s="345"/>
      <c r="C4403" s="340">
        <v>2220200</v>
      </c>
      <c r="D4403" s="338" t="s">
        <v>124</v>
      </c>
      <c r="E4403" s="622">
        <f>E4405+E4404</f>
        <v>541990</v>
      </c>
      <c r="F4403" s="622">
        <f t="shared" ref="F4403:K4403" si="3078">F4405+F4404</f>
        <v>0</v>
      </c>
      <c r="G4403" s="622">
        <f t="shared" si="3078"/>
        <v>0</v>
      </c>
      <c r="H4403" s="622">
        <f t="shared" si="3078"/>
        <v>0</v>
      </c>
      <c r="I4403" s="622">
        <f t="shared" si="3078"/>
        <v>541990</v>
      </c>
      <c r="J4403" s="622">
        <f t="shared" si="3078"/>
        <v>0</v>
      </c>
      <c r="K4403" s="622">
        <f t="shared" si="3078"/>
        <v>0</v>
      </c>
      <c r="L4403" s="317">
        <f t="shared" si="3047"/>
        <v>541990</v>
      </c>
      <c r="M4403" s="317"/>
      <c r="N4403" s="372">
        <f t="shared" si="3054"/>
        <v>0</v>
      </c>
      <c r="O4403" s="622">
        <f t="shared" ref="O4403:P4403" si="3079">O4405+O4404</f>
        <v>596189</v>
      </c>
      <c r="P4403" s="622">
        <f t="shared" si="3079"/>
        <v>655807.90000000014</v>
      </c>
      <c r="R4403" s="317"/>
      <c r="U4403" s="320"/>
    </row>
    <row r="4404" spans="1:21" s="344" customFormat="1" outlineLevel="2">
      <c r="A4404" s="345"/>
      <c r="B4404" s="345"/>
      <c r="C4404" s="332">
        <v>2220201</v>
      </c>
      <c r="D4404" s="330" t="s">
        <v>1324</v>
      </c>
      <c r="E4404" s="422">
        <v>298660</v>
      </c>
      <c r="F4404" s="389"/>
      <c r="G4404" s="389"/>
      <c r="H4404" s="389"/>
      <c r="I4404" s="324">
        <f t="shared" si="3063"/>
        <v>298660</v>
      </c>
      <c r="J4404" s="389"/>
      <c r="K4404" s="389"/>
      <c r="L4404" s="317">
        <f t="shared" si="3047"/>
        <v>298660</v>
      </c>
      <c r="M4404" s="317"/>
      <c r="N4404" s="372">
        <f t="shared" si="3054"/>
        <v>0</v>
      </c>
      <c r="O4404" s="336">
        <f t="shared" si="3073"/>
        <v>328526</v>
      </c>
      <c r="P4404" s="319">
        <f t="shared" si="3068"/>
        <v>361378.60000000003</v>
      </c>
      <c r="R4404" s="317"/>
      <c r="U4404" s="320"/>
    </row>
    <row r="4405" spans="1:21" s="344" customFormat="1" outlineLevel="2">
      <c r="A4405" s="345"/>
      <c r="B4405" s="345"/>
      <c r="C4405" s="332">
        <v>2220210</v>
      </c>
      <c r="D4405" s="330" t="s">
        <v>163</v>
      </c>
      <c r="E4405" s="422">
        <v>243330</v>
      </c>
      <c r="F4405" s="389"/>
      <c r="G4405" s="389"/>
      <c r="H4405" s="389"/>
      <c r="I4405" s="324">
        <f t="shared" si="3063"/>
        <v>243330</v>
      </c>
      <c r="J4405" s="389"/>
      <c r="K4405" s="389"/>
      <c r="L4405" s="317">
        <f t="shared" si="3047"/>
        <v>243330</v>
      </c>
      <c r="M4405" s="317"/>
      <c r="N4405" s="372">
        <f t="shared" si="3054"/>
        <v>0</v>
      </c>
      <c r="O4405" s="336">
        <f t="shared" si="3073"/>
        <v>267663</v>
      </c>
      <c r="P4405" s="319">
        <f t="shared" si="3068"/>
        <v>294429.30000000005</v>
      </c>
      <c r="R4405" s="317"/>
      <c r="U4405" s="320"/>
    </row>
    <row r="4406" spans="1:21" s="344" customFormat="1" outlineLevel="2">
      <c r="A4406" s="345"/>
      <c r="B4406" s="345"/>
      <c r="C4406" s="340">
        <v>3110300</v>
      </c>
      <c r="D4406" s="338" t="s">
        <v>293</v>
      </c>
      <c r="E4406" s="622">
        <f>E4407</f>
        <v>2524560</v>
      </c>
      <c r="F4406" s="622">
        <f t="shared" ref="F4406:P4406" si="3080">F4407</f>
        <v>0</v>
      </c>
      <c r="G4406" s="622">
        <f t="shared" si="3080"/>
        <v>0</v>
      </c>
      <c r="H4406" s="622">
        <f t="shared" si="3080"/>
        <v>0</v>
      </c>
      <c r="I4406" s="622">
        <f t="shared" si="3080"/>
        <v>2524560</v>
      </c>
      <c r="J4406" s="622">
        <f t="shared" si="3080"/>
        <v>0</v>
      </c>
      <c r="K4406" s="622">
        <f t="shared" si="3080"/>
        <v>0</v>
      </c>
      <c r="L4406" s="317">
        <f t="shared" si="3047"/>
        <v>2524560</v>
      </c>
      <c r="M4406" s="317"/>
      <c r="N4406" s="372">
        <f t="shared" si="3054"/>
        <v>0</v>
      </c>
      <c r="O4406" s="622">
        <f t="shared" si="3080"/>
        <v>2777016</v>
      </c>
      <c r="P4406" s="622">
        <f t="shared" si="3080"/>
        <v>3054717.6</v>
      </c>
      <c r="R4406" s="317"/>
      <c r="U4406" s="320"/>
    </row>
    <row r="4407" spans="1:21" s="344" customFormat="1" outlineLevel="2">
      <c r="A4407" s="345"/>
      <c r="B4407" s="345"/>
      <c r="C4407" s="332">
        <v>3110302</v>
      </c>
      <c r="D4407" s="330" t="s">
        <v>1325</v>
      </c>
      <c r="E4407" s="422">
        <v>2524560</v>
      </c>
      <c r="F4407" s="389"/>
      <c r="G4407" s="389"/>
      <c r="H4407" s="389"/>
      <c r="I4407" s="324">
        <f t="shared" si="3063"/>
        <v>2524560</v>
      </c>
      <c r="J4407" s="389"/>
      <c r="K4407" s="389"/>
      <c r="L4407" s="317">
        <f t="shared" si="3047"/>
        <v>2524560</v>
      </c>
      <c r="M4407" s="317"/>
      <c r="N4407" s="372">
        <f t="shared" si="3054"/>
        <v>0</v>
      </c>
      <c r="O4407" s="336">
        <f t="shared" si="3073"/>
        <v>2777016</v>
      </c>
      <c r="P4407" s="319">
        <f t="shared" si="3068"/>
        <v>3054717.6</v>
      </c>
      <c r="R4407" s="317"/>
      <c r="U4407" s="320"/>
    </row>
    <row r="4408" spans="1:21" s="344" customFormat="1" outlineLevel="2">
      <c r="A4408" s="345"/>
      <c r="B4408" s="345"/>
      <c r="C4408" s="340">
        <v>3110700</v>
      </c>
      <c r="D4408" s="338" t="s">
        <v>65</v>
      </c>
      <c r="E4408" s="622">
        <f>E4409</f>
        <v>0</v>
      </c>
      <c r="F4408" s="397"/>
      <c r="G4408" s="397"/>
      <c r="H4408" s="397"/>
      <c r="I4408" s="324">
        <f t="shared" si="3063"/>
        <v>0</v>
      </c>
      <c r="J4408" s="397"/>
      <c r="K4408" s="397"/>
      <c r="L4408" s="317">
        <f t="shared" si="3047"/>
        <v>0</v>
      </c>
      <c r="M4408" s="317"/>
      <c r="N4408" s="372">
        <f t="shared" si="3054"/>
        <v>0</v>
      </c>
      <c r="O4408" s="336">
        <f t="shared" si="3073"/>
        <v>0</v>
      </c>
      <c r="P4408" s="1188">
        <f t="shared" ref="P4408" si="3081">P4409</f>
        <v>0</v>
      </c>
      <c r="R4408" s="317"/>
      <c r="U4408" s="320"/>
    </row>
    <row r="4409" spans="1:21" s="344" customFormat="1" outlineLevel="2">
      <c r="A4409" s="345"/>
      <c r="B4409" s="345"/>
      <c r="C4409" s="332">
        <v>3110701</v>
      </c>
      <c r="D4409" s="330" t="s">
        <v>1773</v>
      </c>
      <c r="E4409" s="422">
        <f>14000000-14000000</f>
        <v>0</v>
      </c>
      <c r="F4409" s="389"/>
      <c r="G4409" s="389"/>
      <c r="H4409" s="389"/>
      <c r="I4409" s="324">
        <f t="shared" si="3063"/>
        <v>0</v>
      </c>
      <c r="J4409" s="389"/>
      <c r="K4409" s="389"/>
      <c r="L4409" s="317">
        <f t="shared" si="3047"/>
        <v>0</v>
      </c>
      <c r="M4409" s="317"/>
      <c r="N4409" s="372">
        <f t="shared" si="3054"/>
        <v>0</v>
      </c>
      <c r="O4409" s="336">
        <f t="shared" si="3073"/>
        <v>0</v>
      </c>
      <c r="P4409" s="319">
        <f t="shared" si="3068"/>
        <v>0</v>
      </c>
      <c r="R4409" s="317"/>
      <c r="U4409" s="320"/>
    </row>
    <row r="4410" spans="1:21" s="344" customFormat="1" outlineLevel="2">
      <c r="A4410" s="345"/>
      <c r="B4410" s="345"/>
      <c r="C4410" s="340">
        <v>3111000</v>
      </c>
      <c r="D4410" s="338" t="s">
        <v>69</v>
      </c>
      <c r="E4410" s="622">
        <f>E4411</f>
        <v>412345</v>
      </c>
      <c r="F4410" s="622">
        <f t="shared" ref="F4410:P4410" si="3082">F4411</f>
        <v>0</v>
      </c>
      <c r="G4410" s="622">
        <f t="shared" si="3082"/>
        <v>0</v>
      </c>
      <c r="H4410" s="622">
        <f t="shared" si="3082"/>
        <v>0</v>
      </c>
      <c r="I4410" s="622">
        <f t="shared" si="3082"/>
        <v>412345</v>
      </c>
      <c r="J4410" s="622">
        <f t="shared" si="3082"/>
        <v>0</v>
      </c>
      <c r="K4410" s="622">
        <f t="shared" si="3082"/>
        <v>0</v>
      </c>
      <c r="L4410" s="317">
        <f t="shared" si="3047"/>
        <v>412345</v>
      </c>
      <c r="M4410" s="317"/>
      <c r="N4410" s="372">
        <f t="shared" si="3054"/>
        <v>0</v>
      </c>
      <c r="O4410" s="622">
        <f t="shared" si="3082"/>
        <v>453579.50000000006</v>
      </c>
      <c r="P4410" s="622">
        <f t="shared" si="3082"/>
        <v>498937.45000000013</v>
      </c>
      <c r="R4410" s="317"/>
      <c r="U4410" s="320"/>
    </row>
    <row r="4411" spans="1:21" s="344" customFormat="1" outlineLevel="2">
      <c r="A4411" s="345"/>
      <c r="B4411" s="345"/>
      <c r="C4411" s="332">
        <v>3111002</v>
      </c>
      <c r="D4411" s="330" t="s">
        <v>71</v>
      </c>
      <c r="E4411" s="422">
        <v>412345</v>
      </c>
      <c r="F4411" s="389"/>
      <c r="G4411" s="389"/>
      <c r="H4411" s="389"/>
      <c r="I4411" s="324">
        <f t="shared" si="3063"/>
        <v>412345</v>
      </c>
      <c r="J4411" s="389"/>
      <c r="K4411" s="389"/>
      <c r="L4411" s="317">
        <f t="shared" si="3047"/>
        <v>412345</v>
      </c>
      <c r="M4411" s="317"/>
      <c r="N4411" s="372">
        <f t="shared" si="3054"/>
        <v>0</v>
      </c>
      <c r="O4411" s="336">
        <f t="shared" si="3073"/>
        <v>453579.50000000006</v>
      </c>
      <c r="P4411" s="319">
        <f t="shared" ref="P4411:P4428" si="3083">O4411*1.1</f>
        <v>498937.45000000013</v>
      </c>
      <c r="R4411" s="317"/>
      <c r="U4411" s="320"/>
    </row>
    <row r="4412" spans="1:21" s="344" customFormat="1" outlineLevel="1">
      <c r="A4412" s="345"/>
      <c r="B4412" s="345"/>
      <c r="C4412" s="332"/>
      <c r="D4412" s="338" t="s">
        <v>278</v>
      </c>
      <c r="E4412" s="622">
        <f>E4410+E4408+E4406+E4403+E4401+E4399+E4395+E4392+E4387+E4383+E4379+E4375+E4372+E4369+E4367</f>
        <v>216124641</v>
      </c>
      <c r="F4412" s="622">
        <f t="shared" ref="F4412:P4412" si="3084">F4410+F4408+F4406+F4403+F4401+F4399+F4395+F4392+F4387+F4383+F4379+F4375+F4372+F4369+F4367</f>
        <v>0</v>
      </c>
      <c r="G4412" s="622">
        <f t="shared" si="3084"/>
        <v>0</v>
      </c>
      <c r="H4412" s="622">
        <f t="shared" si="3084"/>
        <v>0</v>
      </c>
      <c r="I4412" s="622">
        <f t="shared" si="3084"/>
        <v>216124641</v>
      </c>
      <c r="J4412" s="622">
        <f t="shared" si="3084"/>
        <v>0</v>
      </c>
      <c r="K4412" s="622">
        <f t="shared" si="3084"/>
        <v>0</v>
      </c>
      <c r="L4412" s="317">
        <f t="shared" si="3047"/>
        <v>216124641</v>
      </c>
      <c r="M4412" s="317"/>
      <c r="N4412" s="372">
        <f t="shared" si="3054"/>
        <v>0</v>
      </c>
      <c r="O4412" s="622">
        <f t="shared" si="3084"/>
        <v>237737105.09999999</v>
      </c>
      <c r="P4412" s="622">
        <f t="shared" si="3084"/>
        <v>261510815.61000004</v>
      </c>
      <c r="R4412" s="317"/>
      <c r="U4412" s="320"/>
    </row>
    <row r="4413" spans="1:21" s="344" customFormat="1" outlineLevel="1">
      <c r="A4413" s="345"/>
      <c r="B4413" s="345"/>
      <c r="C4413" s="340"/>
      <c r="D4413" s="330"/>
      <c r="E4413" s="622"/>
      <c r="F4413" s="389"/>
      <c r="G4413" s="389"/>
      <c r="H4413" s="389"/>
      <c r="I4413" s="324">
        <f t="shared" si="3063"/>
        <v>0</v>
      </c>
      <c r="J4413" s="389"/>
      <c r="K4413" s="389"/>
      <c r="L4413" s="317">
        <f t="shared" si="3047"/>
        <v>0</v>
      </c>
      <c r="M4413" s="317"/>
      <c r="N4413" s="372">
        <f t="shared" si="3054"/>
        <v>0</v>
      </c>
      <c r="O4413" s="336">
        <f t="shared" si="3073"/>
        <v>0</v>
      </c>
      <c r="P4413" s="319">
        <f t="shared" si="3083"/>
        <v>0</v>
      </c>
      <c r="R4413" s="317"/>
      <c r="U4413" s="320"/>
    </row>
    <row r="4414" spans="1:21" s="344" customFormat="1" outlineLevel="1">
      <c r="A4414" s="345"/>
      <c r="B4414" s="345"/>
      <c r="C4414" s="1189" t="s">
        <v>755</v>
      </c>
      <c r="D4414" s="338"/>
      <c r="E4414" s="622"/>
      <c r="F4414" s="397"/>
      <c r="G4414" s="397"/>
      <c r="H4414" s="397"/>
      <c r="I4414" s="324">
        <f t="shared" si="3063"/>
        <v>0</v>
      </c>
      <c r="J4414" s="397"/>
      <c r="K4414" s="397"/>
      <c r="L4414" s="317">
        <f t="shared" si="3047"/>
        <v>0</v>
      </c>
      <c r="M4414" s="317"/>
      <c r="N4414" s="372">
        <f t="shared" si="3054"/>
        <v>0</v>
      </c>
      <c r="O4414" s="336">
        <f t="shared" si="3073"/>
        <v>0</v>
      </c>
      <c r="P4414" s="319">
        <f t="shared" si="3083"/>
        <v>0</v>
      </c>
      <c r="R4414" s="317"/>
      <c r="U4414" s="320"/>
    </row>
    <row r="4415" spans="1:21" s="344" customFormat="1" outlineLevel="1">
      <c r="A4415" s="345"/>
      <c r="B4415" s="345"/>
      <c r="C4415" s="1185" t="s">
        <v>756</v>
      </c>
      <c r="D4415" s="338"/>
      <c r="E4415" s="622"/>
      <c r="F4415" s="397"/>
      <c r="G4415" s="397"/>
      <c r="H4415" s="397"/>
      <c r="I4415" s="324">
        <f t="shared" si="3063"/>
        <v>0</v>
      </c>
      <c r="J4415" s="397"/>
      <c r="K4415" s="397"/>
      <c r="L4415" s="317">
        <f t="shared" si="3047"/>
        <v>0</v>
      </c>
      <c r="M4415" s="317"/>
      <c r="N4415" s="372">
        <f t="shared" si="3054"/>
        <v>0</v>
      </c>
      <c r="O4415" s="336">
        <f t="shared" si="3073"/>
        <v>0</v>
      </c>
      <c r="P4415" s="319">
        <f t="shared" si="3083"/>
        <v>0</v>
      </c>
      <c r="R4415" s="317"/>
      <c r="U4415" s="320"/>
    </row>
    <row r="4416" spans="1:21" s="344" customFormat="1" outlineLevel="3">
      <c r="A4416" s="487"/>
      <c r="B4416" s="487"/>
      <c r="C4416" s="340">
        <v>2210300</v>
      </c>
      <c r="D4416" s="338" t="s">
        <v>267</v>
      </c>
      <c r="E4416" s="622">
        <f>E4417+E4418+E4419</f>
        <v>1792217</v>
      </c>
      <c r="F4416" s="622">
        <f t="shared" ref="F4416:K4416" si="3085">F4417+F4418+F4419</f>
        <v>0</v>
      </c>
      <c r="G4416" s="622">
        <f t="shared" si="3085"/>
        <v>0</v>
      </c>
      <c r="H4416" s="622">
        <f t="shared" si="3085"/>
        <v>0</v>
      </c>
      <c r="I4416" s="622">
        <f t="shared" si="3085"/>
        <v>1792217</v>
      </c>
      <c r="J4416" s="622">
        <f t="shared" si="3085"/>
        <v>0</v>
      </c>
      <c r="K4416" s="622">
        <f t="shared" si="3085"/>
        <v>0</v>
      </c>
      <c r="L4416" s="317">
        <f t="shared" si="3047"/>
        <v>1792217</v>
      </c>
      <c r="M4416" s="317"/>
      <c r="N4416" s="372">
        <f t="shared" si="3054"/>
        <v>0</v>
      </c>
      <c r="O4416" s="622">
        <f t="shared" ref="O4416:P4416" si="3086">O4417+O4418+O4419</f>
        <v>1971438.7000000002</v>
      </c>
      <c r="P4416" s="622">
        <f t="shared" si="3086"/>
        <v>2168582.5700000003</v>
      </c>
      <c r="R4416" s="317"/>
      <c r="U4416" s="320"/>
    </row>
    <row r="4417" spans="1:21" s="344" customFormat="1" outlineLevel="3">
      <c r="A4417" s="345"/>
      <c r="B4417" s="345"/>
      <c r="C4417" s="332">
        <v>2210301</v>
      </c>
      <c r="D4417" s="330" t="s">
        <v>25</v>
      </c>
      <c r="E4417" s="422">
        <v>550986</v>
      </c>
      <c r="F4417" s="389"/>
      <c r="G4417" s="389"/>
      <c r="H4417" s="389"/>
      <c r="I4417" s="324">
        <f t="shared" si="3063"/>
        <v>550986</v>
      </c>
      <c r="J4417" s="389"/>
      <c r="K4417" s="389"/>
      <c r="L4417" s="317">
        <f t="shared" si="3047"/>
        <v>550986</v>
      </c>
      <c r="M4417" s="317"/>
      <c r="N4417" s="372">
        <f t="shared" si="3054"/>
        <v>0</v>
      </c>
      <c r="O4417" s="336">
        <f t="shared" si="3073"/>
        <v>606084.60000000009</v>
      </c>
      <c r="P4417" s="319">
        <f t="shared" si="3083"/>
        <v>666693.06000000017</v>
      </c>
      <c r="R4417" s="317"/>
      <c r="U4417" s="320"/>
    </row>
    <row r="4418" spans="1:21" s="344" customFormat="1" outlineLevel="3">
      <c r="A4418" s="345"/>
      <c r="B4418" s="345"/>
      <c r="C4418" s="332">
        <v>2210302</v>
      </c>
      <c r="D4418" s="330" t="s">
        <v>485</v>
      </c>
      <c r="E4418" s="422">
        <v>500710</v>
      </c>
      <c r="F4418" s="389"/>
      <c r="G4418" s="389"/>
      <c r="H4418" s="389"/>
      <c r="I4418" s="324">
        <f t="shared" si="3063"/>
        <v>500710</v>
      </c>
      <c r="J4418" s="389"/>
      <c r="K4418" s="389"/>
      <c r="L4418" s="317">
        <f t="shared" si="3047"/>
        <v>500710</v>
      </c>
      <c r="M4418" s="317"/>
      <c r="N4418" s="372">
        <f t="shared" si="3054"/>
        <v>0</v>
      </c>
      <c r="O4418" s="336">
        <f t="shared" si="3073"/>
        <v>550781</v>
      </c>
      <c r="P4418" s="319">
        <f t="shared" si="3083"/>
        <v>605859.10000000009</v>
      </c>
      <c r="R4418" s="317"/>
      <c r="U4418" s="320"/>
    </row>
    <row r="4419" spans="1:21" s="344" customFormat="1" outlineLevel="3">
      <c r="A4419" s="345"/>
      <c r="B4419" s="345"/>
      <c r="C4419" s="332">
        <v>2210303</v>
      </c>
      <c r="D4419" s="330" t="s">
        <v>27</v>
      </c>
      <c r="E4419" s="422">
        <v>740521</v>
      </c>
      <c r="F4419" s="389"/>
      <c r="G4419" s="389"/>
      <c r="H4419" s="389"/>
      <c r="I4419" s="324">
        <f t="shared" si="3063"/>
        <v>740521</v>
      </c>
      <c r="J4419" s="389"/>
      <c r="K4419" s="389"/>
      <c r="L4419" s="317">
        <f t="shared" si="3047"/>
        <v>740521</v>
      </c>
      <c r="M4419" s="317"/>
      <c r="N4419" s="372">
        <f t="shared" si="3054"/>
        <v>0</v>
      </c>
      <c r="O4419" s="336">
        <f t="shared" si="3073"/>
        <v>814573.10000000009</v>
      </c>
      <c r="P4419" s="319">
        <f t="shared" si="3083"/>
        <v>896030.41000000015</v>
      </c>
      <c r="R4419" s="317"/>
      <c r="U4419" s="320"/>
    </row>
    <row r="4420" spans="1:21" s="344" customFormat="1" outlineLevel="3">
      <c r="A4420" s="345"/>
      <c r="B4420" s="345"/>
      <c r="C4420" s="340">
        <v>2210700</v>
      </c>
      <c r="D4420" s="338" t="s">
        <v>271</v>
      </c>
      <c r="E4420" s="622">
        <f>E4421+E4422</f>
        <v>455203</v>
      </c>
      <c r="F4420" s="622">
        <f t="shared" ref="F4420:I4420" si="3087">F4421+F4422</f>
        <v>0</v>
      </c>
      <c r="G4420" s="622">
        <f t="shared" si="3087"/>
        <v>0</v>
      </c>
      <c r="H4420" s="622">
        <f t="shared" si="3087"/>
        <v>0</v>
      </c>
      <c r="I4420" s="622">
        <f t="shared" si="3087"/>
        <v>455203</v>
      </c>
      <c r="J4420" s="622"/>
      <c r="K4420" s="622"/>
      <c r="L4420" s="317">
        <f t="shared" si="3047"/>
        <v>455203</v>
      </c>
      <c r="M4420" s="317"/>
      <c r="N4420" s="372">
        <f t="shared" si="3054"/>
        <v>0</v>
      </c>
      <c r="O4420" s="622">
        <f t="shared" ref="O4420:P4420" si="3088">O4421+O4422</f>
        <v>500723.30000000005</v>
      </c>
      <c r="P4420" s="622">
        <f t="shared" si="3088"/>
        <v>550795.63000000012</v>
      </c>
      <c r="R4420" s="317"/>
      <c r="U4420" s="320"/>
    </row>
    <row r="4421" spans="1:21" s="344" customFormat="1" outlineLevel="3">
      <c r="A4421" s="345"/>
      <c r="B4421" s="345"/>
      <c r="C4421" s="332">
        <v>2210701</v>
      </c>
      <c r="D4421" s="330" t="s">
        <v>287</v>
      </c>
      <c r="E4421" s="422">
        <v>304500</v>
      </c>
      <c r="F4421" s="389"/>
      <c r="G4421" s="389"/>
      <c r="H4421" s="389"/>
      <c r="I4421" s="324">
        <f t="shared" si="3063"/>
        <v>304500</v>
      </c>
      <c r="J4421" s="389"/>
      <c r="K4421" s="335"/>
      <c r="L4421" s="317">
        <f t="shared" ref="L4421:L4484" si="3089">I4421+J4421+K4421</f>
        <v>304500</v>
      </c>
      <c r="M4421" s="317"/>
      <c r="N4421" s="372">
        <f t="shared" si="3054"/>
        <v>0</v>
      </c>
      <c r="O4421" s="336">
        <f t="shared" si="3073"/>
        <v>334950</v>
      </c>
      <c r="P4421" s="319">
        <f t="shared" si="3083"/>
        <v>368445.00000000006</v>
      </c>
      <c r="Q4421" s="1190" t="s">
        <v>2510</v>
      </c>
      <c r="R4421" s="317"/>
      <c r="U4421" s="320"/>
    </row>
    <row r="4422" spans="1:21" s="344" customFormat="1" outlineLevel="3">
      <c r="A4422" s="345"/>
      <c r="B4422" s="345"/>
      <c r="C4422" s="332">
        <v>2210704</v>
      </c>
      <c r="D4422" s="330" t="s">
        <v>38</v>
      </c>
      <c r="E4422" s="422">
        <v>150703</v>
      </c>
      <c r="F4422" s="389"/>
      <c r="G4422" s="389"/>
      <c r="H4422" s="389"/>
      <c r="I4422" s="324">
        <f t="shared" si="3063"/>
        <v>150703</v>
      </c>
      <c r="J4422" s="389"/>
      <c r="K4422" s="335"/>
      <c r="L4422" s="317">
        <f t="shared" si="3089"/>
        <v>150703</v>
      </c>
      <c r="M4422" s="317"/>
      <c r="N4422" s="372">
        <f t="shared" si="3054"/>
        <v>0</v>
      </c>
      <c r="O4422" s="336">
        <f t="shared" si="3073"/>
        <v>165773.30000000002</v>
      </c>
      <c r="P4422" s="319">
        <f t="shared" si="3083"/>
        <v>182350.63000000003</v>
      </c>
      <c r="Q4422" s="1190" t="s">
        <v>2511</v>
      </c>
      <c r="R4422" s="317"/>
      <c r="U4422" s="320"/>
    </row>
    <row r="4423" spans="1:21" s="344" customFormat="1" outlineLevel="3">
      <c r="A4423" s="345"/>
      <c r="B4423" s="345"/>
      <c r="C4423" s="340">
        <v>2211000</v>
      </c>
      <c r="D4423" s="338" t="s">
        <v>118</v>
      </c>
      <c r="E4423" s="622">
        <f>E4424</f>
        <v>302468</v>
      </c>
      <c r="F4423" s="622">
        <f t="shared" ref="F4423:K4423" si="3090">F4424</f>
        <v>0</v>
      </c>
      <c r="G4423" s="622">
        <f t="shared" si="3090"/>
        <v>0</v>
      </c>
      <c r="H4423" s="622">
        <f t="shared" si="3090"/>
        <v>0</v>
      </c>
      <c r="I4423" s="622">
        <f t="shared" si="3090"/>
        <v>302468</v>
      </c>
      <c r="J4423" s="622">
        <f t="shared" si="3090"/>
        <v>0</v>
      </c>
      <c r="K4423" s="622">
        <f t="shared" si="3090"/>
        <v>0</v>
      </c>
      <c r="L4423" s="317">
        <f t="shared" si="3089"/>
        <v>302468</v>
      </c>
      <c r="M4423" s="317"/>
      <c r="N4423" s="372">
        <f t="shared" si="3054"/>
        <v>0</v>
      </c>
      <c r="O4423" s="622">
        <f t="shared" ref="O4423:P4423" si="3091">O4424</f>
        <v>332714.80000000005</v>
      </c>
      <c r="P4423" s="622">
        <f t="shared" si="3091"/>
        <v>365986.28000000009</v>
      </c>
      <c r="R4423" s="317"/>
      <c r="U4423" s="320"/>
    </row>
    <row r="4424" spans="1:21" s="344" customFormat="1" outlineLevel="3">
      <c r="A4424" s="345"/>
      <c r="B4424" s="345"/>
      <c r="C4424" s="332">
        <v>2211007</v>
      </c>
      <c r="D4424" s="330" t="s">
        <v>309</v>
      </c>
      <c r="E4424" s="422">
        <v>302468</v>
      </c>
      <c r="F4424" s="389"/>
      <c r="G4424" s="389"/>
      <c r="H4424" s="389"/>
      <c r="I4424" s="324">
        <f t="shared" si="3063"/>
        <v>302468</v>
      </c>
      <c r="J4424" s="389"/>
      <c r="K4424" s="389"/>
      <c r="L4424" s="317">
        <f t="shared" si="3089"/>
        <v>302468</v>
      </c>
      <c r="M4424" s="317"/>
      <c r="N4424" s="372">
        <f t="shared" si="3054"/>
        <v>0</v>
      </c>
      <c r="O4424" s="336">
        <f t="shared" si="3073"/>
        <v>332714.80000000005</v>
      </c>
      <c r="P4424" s="319">
        <f t="shared" si="3083"/>
        <v>365986.28000000009</v>
      </c>
      <c r="R4424" s="317"/>
      <c r="U4424" s="320"/>
    </row>
    <row r="4425" spans="1:21" s="344" customFormat="1" outlineLevel="3">
      <c r="A4425" s="345"/>
      <c r="B4425" s="345"/>
      <c r="C4425" s="340">
        <v>2211100</v>
      </c>
      <c r="D4425" s="338" t="s">
        <v>276</v>
      </c>
      <c r="E4425" s="622">
        <f>E4426+E4427+E4428</f>
        <v>741020</v>
      </c>
      <c r="F4425" s="622">
        <f t="shared" ref="F4425:P4425" si="3092">F4426+F4427+F4428</f>
        <v>0</v>
      </c>
      <c r="G4425" s="622">
        <f t="shared" si="3092"/>
        <v>0</v>
      </c>
      <c r="H4425" s="622">
        <f t="shared" si="3092"/>
        <v>0</v>
      </c>
      <c r="I4425" s="622">
        <f t="shared" si="3092"/>
        <v>741020</v>
      </c>
      <c r="J4425" s="622">
        <f t="shared" si="3092"/>
        <v>0</v>
      </c>
      <c r="K4425" s="622">
        <f t="shared" si="3092"/>
        <v>0</v>
      </c>
      <c r="L4425" s="317">
        <f t="shared" si="3089"/>
        <v>741020</v>
      </c>
      <c r="M4425" s="317"/>
      <c r="N4425" s="372">
        <f t="shared" ref="N4425:N4488" si="3093">M4425-K4425</f>
        <v>0</v>
      </c>
      <c r="O4425" s="622">
        <f t="shared" si="3092"/>
        <v>815122</v>
      </c>
      <c r="P4425" s="622">
        <f t="shared" si="3092"/>
        <v>896634.20000000019</v>
      </c>
      <c r="R4425" s="317"/>
      <c r="U4425" s="320"/>
    </row>
    <row r="4426" spans="1:21" s="344" customFormat="1" outlineLevel="3">
      <c r="A4426" s="345"/>
      <c r="B4426" s="345"/>
      <c r="C4426" s="332">
        <v>2211101</v>
      </c>
      <c r="D4426" s="330" t="s">
        <v>289</v>
      </c>
      <c r="E4426" s="422">
        <f>569515-200000-200000</f>
        <v>169515</v>
      </c>
      <c r="F4426" s="389"/>
      <c r="G4426" s="389"/>
      <c r="H4426" s="389"/>
      <c r="I4426" s="324">
        <f t="shared" si="3063"/>
        <v>169515</v>
      </c>
      <c r="J4426" s="389"/>
      <c r="K4426" s="389"/>
      <c r="L4426" s="317">
        <f t="shared" si="3089"/>
        <v>169515</v>
      </c>
      <c r="M4426" s="317"/>
      <c r="N4426" s="372">
        <f t="shared" si="3093"/>
        <v>0</v>
      </c>
      <c r="O4426" s="336">
        <f t="shared" si="3073"/>
        <v>186466.50000000003</v>
      </c>
      <c r="P4426" s="319">
        <f t="shared" si="3083"/>
        <v>205113.15000000005</v>
      </c>
      <c r="R4426" s="317"/>
      <c r="U4426" s="320"/>
    </row>
    <row r="4427" spans="1:21" s="344" customFormat="1" outlineLevel="3">
      <c r="A4427" s="345"/>
      <c r="B4427" s="345"/>
      <c r="C4427" s="332">
        <v>2211102</v>
      </c>
      <c r="D4427" s="330" t="s">
        <v>53</v>
      </c>
      <c r="E4427" s="422">
        <v>407029</v>
      </c>
      <c r="F4427" s="389"/>
      <c r="G4427" s="389"/>
      <c r="H4427" s="389"/>
      <c r="I4427" s="324">
        <f t="shared" si="3063"/>
        <v>407029</v>
      </c>
      <c r="J4427" s="389"/>
      <c r="K4427" s="389"/>
      <c r="L4427" s="317">
        <f t="shared" si="3089"/>
        <v>407029</v>
      </c>
      <c r="M4427" s="317"/>
      <c r="N4427" s="372">
        <f t="shared" si="3093"/>
        <v>0</v>
      </c>
      <c r="O4427" s="336">
        <f t="shared" si="3073"/>
        <v>447731.9</v>
      </c>
      <c r="P4427" s="319">
        <f t="shared" si="3083"/>
        <v>492505.09000000008</v>
      </c>
      <c r="R4427" s="317"/>
      <c r="U4427" s="320"/>
    </row>
    <row r="4428" spans="1:21" s="344" customFormat="1" outlineLevel="3">
      <c r="A4428" s="345"/>
      <c r="B4428" s="345"/>
      <c r="C4428" s="332">
        <v>2211103</v>
      </c>
      <c r="D4428" s="330" t="s">
        <v>54</v>
      </c>
      <c r="E4428" s="422">
        <v>164476</v>
      </c>
      <c r="F4428" s="389"/>
      <c r="G4428" s="389"/>
      <c r="H4428" s="389"/>
      <c r="I4428" s="324">
        <f t="shared" si="3063"/>
        <v>164476</v>
      </c>
      <c r="J4428" s="389"/>
      <c r="K4428" s="389"/>
      <c r="L4428" s="317">
        <f t="shared" si="3089"/>
        <v>164476</v>
      </c>
      <c r="M4428" s="317"/>
      <c r="N4428" s="372">
        <f t="shared" si="3093"/>
        <v>0</v>
      </c>
      <c r="O4428" s="336">
        <f t="shared" si="3073"/>
        <v>180923.6</v>
      </c>
      <c r="P4428" s="319">
        <f t="shared" si="3083"/>
        <v>199015.96000000002</v>
      </c>
      <c r="R4428" s="317"/>
      <c r="U4428" s="320"/>
    </row>
    <row r="4429" spans="1:21" s="344" customFormat="1" outlineLevel="3">
      <c r="A4429" s="345"/>
      <c r="B4429" s="345"/>
      <c r="C4429" s="340">
        <v>2211200</v>
      </c>
      <c r="D4429" s="338" t="s">
        <v>55</v>
      </c>
      <c r="E4429" s="622">
        <f>E4430</f>
        <v>1306130</v>
      </c>
      <c r="F4429" s="622">
        <f t="shared" ref="F4429:K4429" si="3094">F4430</f>
        <v>0</v>
      </c>
      <c r="G4429" s="622">
        <f t="shared" si="3094"/>
        <v>0</v>
      </c>
      <c r="H4429" s="622">
        <f t="shared" si="3094"/>
        <v>0</v>
      </c>
      <c r="I4429" s="622">
        <f t="shared" si="3094"/>
        <v>1306130</v>
      </c>
      <c r="J4429" s="622">
        <f t="shared" si="3094"/>
        <v>0</v>
      </c>
      <c r="K4429" s="622">
        <f t="shared" si="3094"/>
        <v>0</v>
      </c>
      <c r="L4429" s="317">
        <f t="shared" si="3089"/>
        <v>1306130</v>
      </c>
      <c r="M4429" s="317"/>
      <c r="N4429" s="372">
        <f t="shared" si="3093"/>
        <v>0</v>
      </c>
      <c r="O4429" s="622">
        <f t="shared" ref="O4429:P4429" si="3095">O4430</f>
        <v>1436743</v>
      </c>
      <c r="P4429" s="622">
        <f t="shared" si="3095"/>
        <v>1580417.3</v>
      </c>
      <c r="R4429" s="317"/>
      <c r="U4429" s="320"/>
    </row>
    <row r="4430" spans="1:21" s="344" customFormat="1" outlineLevel="3">
      <c r="A4430" s="345"/>
      <c r="B4430" s="345"/>
      <c r="C4430" s="332">
        <v>2211201</v>
      </c>
      <c r="D4430" s="330" t="s">
        <v>56</v>
      </c>
      <c r="E4430" s="422">
        <v>1306130</v>
      </c>
      <c r="F4430" s="389"/>
      <c r="G4430" s="389"/>
      <c r="H4430" s="389"/>
      <c r="I4430" s="324">
        <f t="shared" si="3063"/>
        <v>1306130</v>
      </c>
      <c r="J4430" s="389"/>
      <c r="K4430" s="389"/>
      <c r="L4430" s="317">
        <f t="shared" si="3089"/>
        <v>1306130</v>
      </c>
      <c r="M4430" s="317"/>
      <c r="N4430" s="372">
        <f t="shared" si="3093"/>
        <v>0</v>
      </c>
      <c r="O4430" s="336">
        <f t="shared" si="3073"/>
        <v>1436743</v>
      </c>
      <c r="P4430" s="319">
        <f t="shared" ref="P4430:P4452" si="3096">O4430*1.1</f>
        <v>1580417.3</v>
      </c>
      <c r="R4430" s="317"/>
      <c r="U4430" s="320"/>
    </row>
    <row r="4431" spans="1:21" s="344" customFormat="1" outlineLevel="3">
      <c r="A4431" s="345"/>
      <c r="B4431" s="345"/>
      <c r="C4431" s="340">
        <v>2220100</v>
      </c>
      <c r="D4431" s="338" t="s">
        <v>200</v>
      </c>
      <c r="E4431" s="622">
        <f>E4432</f>
        <v>209000</v>
      </c>
      <c r="F4431" s="622">
        <f t="shared" ref="F4431:K4431" si="3097">F4432</f>
        <v>0</v>
      </c>
      <c r="G4431" s="622">
        <f t="shared" si="3097"/>
        <v>0</v>
      </c>
      <c r="H4431" s="622">
        <f t="shared" si="3097"/>
        <v>0</v>
      </c>
      <c r="I4431" s="622">
        <f t="shared" si="3097"/>
        <v>209000</v>
      </c>
      <c r="J4431" s="622">
        <f t="shared" si="3097"/>
        <v>0</v>
      </c>
      <c r="K4431" s="622">
        <f t="shared" si="3097"/>
        <v>0</v>
      </c>
      <c r="L4431" s="317">
        <f t="shared" si="3089"/>
        <v>209000</v>
      </c>
      <c r="M4431" s="317"/>
      <c r="N4431" s="372">
        <f t="shared" si="3093"/>
        <v>0</v>
      </c>
      <c r="O4431" s="622">
        <f t="shared" ref="O4431:P4431" si="3098">O4432</f>
        <v>229900.00000000003</v>
      </c>
      <c r="P4431" s="622">
        <f t="shared" si="3098"/>
        <v>252890.00000000006</v>
      </c>
      <c r="R4431" s="317"/>
      <c r="U4431" s="320"/>
    </row>
    <row r="4432" spans="1:21" s="344" customFormat="1" outlineLevel="3">
      <c r="A4432" s="345"/>
      <c r="B4432" s="345"/>
      <c r="C4432" s="332">
        <v>2220101</v>
      </c>
      <c r="D4432" s="330" t="s">
        <v>200</v>
      </c>
      <c r="E4432" s="422">
        <v>209000</v>
      </c>
      <c r="F4432" s="389"/>
      <c r="G4432" s="389"/>
      <c r="H4432" s="389"/>
      <c r="I4432" s="324">
        <f t="shared" si="3063"/>
        <v>209000</v>
      </c>
      <c r="J4432" s="389"/>
      <c r="K4432" s="389"/>
      <c r="L4432" s="317">
        <f t="shared" si="3089"/>
        <v>209000</v>
      </c>
      <c r="M4432" s="317"/>
      <c r="N4432" s="372">
        <f t="shared" si="3093"/>
        <v>0</v>
      </c>
      <c r="O4432" s="336">
        <f t="shared" si="3073"/>
        <v>229900.00000000003</v>
      </c>
      <c r="P4432" s="319">
        <f t="shared" si="3096"/>
        <v>252890.00000000006</v>
      </c>
      <c r="R4432" s="317"/>
      <c r="U4432" s="320"/>
    </row>
    <row r="4433" spans="1:21" s="344" customFormat="1" outlineLevel="3">
      <c r="A4433" s="483"/>
      <c r="B4433" s="483"/>
      <c r="C4433" s="680">
        <v>3111400</v>
      </c>
      <c r="D4433" s="1191" t="s">
        <v>1326</v>
      </c>
      <c r="E4433" s="681">
        <f>E4434</f>
        <v>5102000</v>
      </c>
      <c r="F4433" s="681">
        <f t="shared" ref="F4433:K4433" si="3099">F4434</f>
        <v>0</v>
      </c>
      <c r="G4433" s="681">
        <f t="shared" si="3099"/>
        <v>-5000000</v>
      </c>
      <c r="H4433" s="681">
        <f t="shared" si="3099"/>
        <v>2000000</v>
      </c>
      <c r="I4433" s="681">
        <f t="shared" si="3099"/>
        <v>2102000</v>
      </c>
      <c r="J4433" s="681">
        <f t="shared" si="3099"/>
        <v>0</v>
      </c>
      <c r="K4433" s="681">
        <f t="shared" si="3099"/>
        <v>0</v>
      </c>
      <c r="L4433" s="317">
        <f t="shared" si="3089"/>
        <v>2102000</v>
      </c>
      <c r="M4433" s="2212"/>
      <c r="N4433" s="372">
        <f t="shared" si="3093"/>
        <v>0</v>
      </c>
      <c r="O4433" s="681">
        <f t="shared" ref="O4433:P4433" si="3100">O4434</f>
        <v>2312200</v>
      </c>
      <c r="P4433" s="681">
        <f t="shared" si="3100"/>
        <v>2543420</v>
      </c>
      <c r="R4433" s="317"/>
      <c r="U4433" s="320"/>
    </row>
    <row r="4434" spans="1:21" s="344" customFormat="1" outlineLevel="3">
      <c r="A4434" s="345"/>
      <c r="B4434" s="345"/>
      <c r="C4434" s="401">
        <v>3111499</v>
      </c>
      <c r="D4434" s="1192" t="s">
        <v>1327</v>
      </c>
      <c r="E4434" s="422">
        <f>102000+5000000</f>
        <v>5102000</v>
      </c>
      <c r="F4434" s="364"/>
      <c r="G4434" s="422">
        <v>-5000000</v>
      </c>
      <c r="H4434" s="422">
        <v>2000000</v>
      </c>
      <c r="I4434" s="324">
        <f t="shared" si="3063"/>
        <v>2102000</v>
      </c>
      <c r="J4434" s="422"/>
      <c r="K4434" s="422"/>
      <c r="L4434" s="317">
        <f t="shared" si="3089"/>
        <v>2102000</v>
      </c>
      <c r="M4434" s="317"/>
      <c r="N4434" s="372">
        <f t="shared" si="3093"/>
        <v>0</v>
      </c>
      <c r="O4434" s="336">
        <f t="shared" si="3073"/>
        <v>2312200</v>
      </c>
      <c r="P4434" s="319">
        <f t="shared" si="3096"/>
        <v>2543420</v>
      </c>
      <c r="R4434" s="317"/>
      <c r="U4434" s="320"/>
    </row>
    <row r="4435" spans="1:21" s="344" customFormat="1" outlineLevel="2">
      <c r="A4435" s="506"/>
      <c r="B4435" s="506"/>
      <c r="C4435" s="992"/>
      <c r="D4435" s="1193" t="s">
        <v>128</v>
      </c>
      <c r="E4435" s="768">
        <f>E4431+E4429+E4425+E4423+E4420+E4416+E4433</f>
        <v>9908038</v>
      </c>
      <c r="F4435" s="768">
        <f t="shared" ref="F4435:K4435" si="3101">F4431+F4429+F4425+F4423+F4420+F4416+F4433</f>
        <v>0</v>
      </c>
      <c r="G4435" s="768">
        <f t="shared" si="3101"/>
        <v>-5000000</v>
      </c>
      <c r="H4435" s="768">
        <f t="shared" si="3101"/>
        <v>2000000</v>
      </c>
      <c r="I4435" s="768">
        <f t="shared" si="3101"/>
        <v>6908038</v>
      </c>
      <c r="J4435" s="768">
        <f t="shared" si="3101"/>
        <v>0</v>
      </c>
      <c r="K4435" s="768">
        <f t="shared" si="3101"/>
        <v>0</v>
      </c>
      <c r="L4435" s="317">
        <f t="shared" si="3089"/>
        <v>6908038</v>
      </c>
      <c r="M4435" s="2211"/>
      <c r="N4435" s="372">
        <f t="shared" si="3093"/>
        <v>0</v>
      </c>
      <c r="O4435" s="768">
        <f t="shared" ref="O4435:P4435" si="3102">O4431+O4429+O4425+O4423+O4420+O4416+O4433</f>
        <v>7598841.7999999998</v>
      </c>
      <c r="P4435" s="768">
        <f t="shared" si="3102"/>
        <v>8358725.9800000004</v>
      </c>
      <c r="R4435" s="317"/>
      <c r="U4435" s="320"/>
    </row>
    <row r="4436" spans="1:21" s="344" customFormat="1" outlineLevel="2">
      <c r="A4436" s="345"/>
      <c r="B4436" s="345"/>
      <c r="C4436" s="332"/>
      <c r="D4436" s="330"/>
      <c r="E4436" s="422"/>
      <c r="F4436" s="389"/>
      <c r="G4436" s="1073"/>
      <c r="H4436" s="1073"/>
      <c r="I4436" s="324">
        <f t="shared" si="3063"/>
        <v>0</v>
      </c>
      <c r="J4436" s="1073"/>
      <c r="K4436" s="1073"/>
      <c r="L4436" s="317">
        <f t="shared" si="3089"/>
        <v>0</v>
      </c>
      <c r="M4436" s="317"/>
      <c r="N4436" s="372">
        <f t="shared" si="3093"/>
        <v>0</v>
      </c>
      <c r="O4436" s="336">
        <f t="shared" si="3073"/>
        <v>0</v>
      </c>
      <c r="P4436" s="319">
        <f t="shared" si="3096"/>
        <v>0</v>
      </c>
      <c r="R4436" s="317"/>
      <c r="U4436" s="320"/>
    </row>
    <row r="4437" spans="1:21" s="344" customFormat="1" outlineLevel="2">
      <c r="A4437" s="345"/>
      <c r="B4437" s="345"/>
      <c r="C4437" s="340"/>
      <c r="D4437" s="338" t="s">
        <v>92</v>
      </c>
      <c r="E4437" s="622"/>
      <c r="F4437" s="397"/>
      <c r="G4437" s="422"/>
      <c r="H4437" s="422"/>
      <c r="I4437" s="324">
        <f t="shared" si="3063"/>
        <v>0</v>
      </c>
      <c r="J4437" s="422"/>
      <c r="K4437" s="422"/>
      <c r="L4437" s="317">
        <f t="shared" si="3089"/>
        <v>0</v>
      </c>
      <c r="M4437" s="317"/>
      <c r="N4437" s="372">
        <f t="shared" si="3093"/>
        <v>0</v>
      </c>
      <c r="O4437" s="336">
        <f t="shared" si="3073"/>
        <v>0</v>
      </c>
      <c r="P4437" s="319">
        <f t="shared" si="3096"/>
        <v>0</v>
      </c>
      <c r="R4437" s="317"/>
      <c r="U4437" s="320"/>
    </row>
    <row r="4438" spans="1:21" s="344" customFormat="1" outlineLevel="3">
      <c r="A4438" s="345"/>
      <c r="B4438" s="345"/>
      <c r="C4438" s="340">
        <v>2210500</v>
      </c>
      <c r="D4438" s="338" t="s">
        <v>31</v>
      </c>
      <c r="E4438" s="789"/>
      <c r="F4438" s="397"/>
      <c r="G4438" s="422"/>
      <c r="H4438" s="422"/>
      <c r="I4438" s="324">
        <f t="shared" si="3063"/>
        <v>0</v>
      </c>
      <c r="J4438" s="422"/>
      <c r="K4438" s="422"/>
      <c r="L4438" s="317">
        <f t="shared" si="3089"/>
        <v>0</v>
      </c>
      <c r="M4438" s="317"/>
      <c r="N4438" s="372">
        <f t="shared" si="3093"/>
        <v>0</v>
      </c>
      <c r="O4438" s="336">
        <f t="shared" si="3073"/>
        <v>0</v>
      </c>
      <c r="P4438" s="319">
        <f t="shared" si="3096"/>
        <v>0</v>
      </c>
      <c r="R4438" s="317"/>
      <c r="U4438" s="320"/>
    </row>
    <row r="4439" spans="1:21" s="344" customFormat="1" outlineLevel="3">
      <c r="A4439" s="345"/>
      <c r="B4439" s="345"/>
      <c r="C4439" s="332">
        <v>2210505</v>
      </c>
      <c r="D4439" s="330" t="s">
        <v>757</v>
      </c>
      <c r="E4439" s="790">
        <v>0</v>
      </c>
      <c r="F4439" s="389"/>
      <c r="G4439" s="422"/>
      <c r="H4439" s="422"/>
      <c r="I4439" s="324">
        <f t="shared" si="3063"/>
        <v>0</v>
      </c>
      <c r="J4439" s="422"/>
      <c r="K4439" s="422"/>
      <c r="L4439" s="317">
        <f t="shared" si="3089"/>
        <v>0</v>
      </c>
      <c r="M4439" s="317"/>
      <c r="N4439" s="372">
        <f t="shared" si="3093"/>
        <v>0</v>
      </c>
      <c r="O4439" s="336">
        <f t="shared" si="3073"/>
        <v>0</v>
      </c>
      <c r="P4439" s="319">
        <f t="shared" si="3096"/>
        <v>0</v>
      </c>
      <c r="R4439" s="317"/>
      <c r="U4439" s="320"/>
    </row>
    <row r="4440" spans="1:21" s="344" customFormat="1" outlineLevel="3">
      <c r="A4440" s="345"/>
      <c r="B4440" s="345"/>
      <c r="C4440" s="340">
        <v>2211000</v>
      </c>
      <c r="D4440" s="338" t="s">
        <v>118</v>
      </c>
      <c r="E4440" s="622">
        <f>E4441</f>
        <v>654363</v>
      </c>
      <c r="F4440" s="622">
        <f t="shared" ref="F4440:K4440" si="3103">F4441</f>
        <v>0</v>
      </c>
      <c r="G4440" s="622">
        <f t="shared" si="3103"/>
        <v>0</v>
      </c>
      <c r="H4440" s="622">
        <f t="shared" si="3103"/>
        <v>0</v>
      </c>
      <c r="I4440" s="622">
        <f t="shared" si="3103"/>
        <v>654363</v>
      </c>
      <c r="J4440" s="622">
        <f t="shared" si="3103"/>
        <v>-332000</v>
      </c>
      <c r="K4440" s="622">
        <f t="shared" si="3103"/>
        <v>0</v>
      </c>
      <c r="L4440" s="317">
        <f t="shared" si="3089"/>
        <v>322363</v>
      </c>
      <c r="M4440" s="317"/>
      <c r="N4440" s="372">
        <f t="shared" si="3093"/>
        <v>0</v>
      </c>
      <c r="O4440" s="622">
        <f t="shared" ref="O4440:P4440" si="3104">O4441</f>
        <v>354599.30000000005</v>
      </c>
      <c r="P4440" s="622">
        <f t="shared" si="3104"/>
        <v>390059.2300000001</v>
      </c>
      <c r="R4440" s="317"/>
      <c r="U4440" s="320"/>
    </row>
    <row r="4441" spans="1:21" s="344" customFormat="1" outlineLevel="3">
      <c r="A4441" s="345"/>
      <c r="B4441" s="345"/>
      <c r="C4441" s="405">
        <v>2211004</v>
      </c>
      <c r="D4441" s="405" t="s">
        <v>1328</v>
      </c>
      <c r="E4441" s="587">
        <f>3000000-2045637-300000</f>
        <v>654363</v>
      </c>
      <c r="F4441" s="348"/>
      <c r="G4441" s="422"/>
      <c r="H4441" s="422"/>
      <c r="I4441" s="324">
        <f t="shared" si="3063"/>
        <v>654363</v>
      </c>
      <c r="J4441" s="422">
        <v>-332000</v>
      </c>
      <c r="K4441" s="549"/>
      <c r="L4441" s="317">
        <f t="shared" si="3089"/>
        <v>322363</v>
      </c>
      <c r="M4441" s="317"/>
      <c r="N4441" s="372">
        <f t="shared" si="3093"/>
        <v>0</v>
      </c>
      <c r="O4441" s="336">
        <f t="shared" si="3073"/>
        <v>354599.30000000005</v>
      </c>
      <c r="P4441" s="319">
        <f t="shared" si="3096"/>
        <v>390059.2300000001</v>
      </c>
      <c r="Q4441" s="914" t="s">
        <v>2512</v>
      </c>
      <c r="R4441" s="317"/>
      <c r="U4441" s="320" t="s">
        <v>1803</v>
      </c>
    </row>
    <row r="4442" spans="1:21" s="344" customFormat="1" outlineLevel="3">
      <c r="A4442" s="345"/>
      <c r="B4442" s="345"/>
      <c r="C4442" s="403">
        <v>2630200</v>
      </c>
      <c r="D4442" s="338" t="s">
        <v>534</v>
      </c>
      <c r="E4442" s="622">
        <f>E4443+E4444</f>
        <v>121025000</v>
      </c>
      <c r="F4442" s="622">
        <f t="shared" ref="F4442:K4442" si="3105">F4443+F4444</f>
        <v>75226071.549999997</v>
      </c>
      <c r="G4442" s="622">
        <f t="shared" si="3105"/>
        <v>0</v>
      </c>
      <c r="H4442" s="622">
        <f t="shared" si="3105"/>
        <v>0</v>
      </c>
      <c r="I4442" s="622">
        <f t="shared" si="3105"/>
        <v>196251071.55000001</v>
      </c>
      <c r="J4442" s="622">
        <f t="shared" si="3105"/>
        <v>10918919</v>
      </c>
      <c r="K4442" s="622">
        <f t="shared" si="3105"/>
        <v>0</v>
      </c>
      <c r="L4442" s="317">
        <f t="shared" si="3089"/>
        <v>207169990.55000001</v>
      </c>
      <c r="M4442" s="317"/>
      <c r="N4442" s="372">
        <f t="shared" si="3093"/>
        <v>0</v>
      </c>
      <c r="O4442" s="622">
        <f t="shared" ref="O4442:P4442" si="3106">O4443</f>
        <v>215876178.70500004</v>
      </c>
      <c r="P4442" s="622">
        <f t="shared" si="3106"/>
        <v>237463796.57550007</v>
      </c>
      <c r="R4442" s="317"/>
      <c r="U4442" s="320"/>
    </row>
    <row r="4443" spans="1:21" s="344" customFormat="1" outlineLevel="3">
      <c r="A4443" s="345"/>
      <c r="B4443" s="345"/>
      <c r="C4443" s="401">
        <v>2630203</v>
      </c>
      <c r="D4443" s="330" t="s">
        <v>758</v>
      </c>
      <c r="E4443" s="422">
        <v>121025000</v>
      </c>
      <c r="F4443" s="422">
        <v>75226071.549999997</v>
      </c>
      <c r="G4443" s="422"/>
      <c r="H4443" s="422"/>
      <c r="I4443" s="324">
        <f t="shared" ref="I4443:I4506" si="3107">E4443+F4443+G4443+H4443</f>
        <v>196251071.55000001</v>
      </c>
      <c r="J4443" s="422"/>
      <c r="K4443" s="422"/>
      <c r="L4443" s="317">
        <f t="shared" si="3089"/>
        <v>196251071.55000001</v>
      </c>
      <c r="M4443" s="317"/>
      <c r="N4443" s="372">
        <f t="shared" si="3093"/>
        <v>0</v>
      </c>
      <c r="O4443" s="336">
        <f t="shared" si="3073"/>
        <v>215876178.70500004</v>
      </c>
      <c r="P4443" s="319">
        <f t="shared" si="3096"/>
        <v>237463796.57550007</v>
      </c>
      <c r="R4443" s="317"/>
      <c r="U4443" s="320"/>
    </row>
    <row r="4444" spans="1:21" s="344" customFormat="1" outlineLevel="3">
      <c r="A4444" s="345"/>
      <c r="B4444" s="345"/>
      <c r="C4444" s="401">
        <v>2640599</v>
      </c>
      <c r="D4444" s="330" t="s">
        <v>2575</v>
      </c>
      <c r="E4444" s="422"/>
      <c r="F4444" s="422"/>
      <c r="G4444" s="422"/>
      <c r="H4444" s="422"/>
      <c r="I4444" s="324">
        <f t="shared" si="3107"/>
        <v>0</v>
      </c>
      <c r="J4444" s="422">
        <v>10918919</v>
      </c>
      <c r="K4444" s="422"/>
      <c r="L4444" s="317">
        <f t="shared" si="3089"/>
        <v>10918919</v>
      </c>
      <c r="M4444" s="317"/>
      <c r="N4444" s="372">
        <f t="shared" si="3093"/>
        <v>0</v>
      </c>
      <c r="O4444" s="336"/>
      <c r="P4444" s="319"/>
      <c r="R4444" s="317"/>
      <c r="U4444" s="320" t="s">
        <v>1803</v>
      </c>
    </row>
    <row r="4445" spans="1:21" s="325" customFormat="1" outlineLevel="3">
      <c r="A4445" s="326"/>
      <c r="B4445" s="326"/>
      <c r="C4445" s="340">
        <v>4550200</v>
      </c>
      <c r="D4445" s="338" t="s">
        <v>760</v>
      </c>
      <c r="E4445" s="622">
        <f>E4446</f>
        <v>0</v>
      </c>
      <c r="F4445" s="622">
        <f t="shared" ref="F4445:P4445" si="3108">F4446</f>
        <v>6502492.7000000002</v>
      </c>
      <c r="G4445" s="622">
        <f t="shared" si="3108"/>
        <v>0</v>
      </c>
      <c r="H4445" s="622">
        <f t="shared" si="3108"/>
        <v>0</v>
      </c>
      <c r="I4445" s="622">
        <f t="shared" si="3108"/>
        <v>6502492.7000000002</v>
      </c>
      <c r="J4445" s="622">
        <f t="shared" si="3108"/>
        <v>0</v>
      </c>
      <c r="K4445" s="622">
        <f t="shared" si="3108"/>
        <v>0</v>
      </c>
      <c r="L4445" s="317">
        <f t="shared" si="3089"/>
        <v>6502492.7000000002</v>
      </c>
      <c r="M4445" s="317"/>
      <c r="N4445" s="372">
        <f t="shared" si="3093"/>
        <v>0</v>
      </c>
      <c r="O4445" s="622">
        <f t="shared" si="3108"/>
        <v>7152741.9700000007</v>
      </c>
      <c r="P4445" s="622">
        <f t="shared" si="3108"/>
        <v>0</v>
      </c>
      <c r="R4445" s="317"/>
      <c r="U4445" s="320"/>
    </row>
    <row r="4446" spans="1:21" s="344" customFormat="1" outlineLevel="3">
      <c r="A4446" s="345"/>
      <c r="B4446" s="345"/>
      <c r="C4446" s="332">
        <v>4550201</v>
      </c>
      <c r="D4446" s="330" t="s">
        <v>2063</v>
      </c>
      <c r="E4446" s="422">
        <v>0</v>
      </c>
      <c r="F4446" s="422">
        <v>6502492.7000000002</v>
      </c>
      <c r="G4446" s="422"/>
      <c r="H4446" s="422"/>
      <c r="I4446" s="324">
        <f t="shared" si="3107"/>
        <v>6502492.7000000002</v>
      </c>
      <c r="J4446" s="422"/>
      <c r="K4446" s="422"/>
      <c r="L4446" s="317">
        <f t="shared" si="3089"/>
        <v>6502492.7000000002</v>
      </c>
      <c r="M4446" s="317"/>
      <c r="N4446" s="372">
        <f t="shared" si="3093"/>
        <v>0</v>
      </c>
      <c r="O4446" s="336">
        <f t="shared" si="3073"/>
        <v>7152741.9700000007</v>
      </c>
      <c r="P4446" s="319"/>
      <c r="R4446" s="317"/>
      <c r="U4446" s="320"/>
    </row>
    <row r="4447" spans="1:21" s="344" customFormat="1" outlineLevel="3">
      <c r="A4447" s="345"/>
      <c r="B4447" s="345"/>
      <c r="C4447" s="340">
        <v>3111300</v>
      </c>
      <c r="D4447" s="449" t="s">
        <v>539</v>
      </c>
      <c r="E4447" s="622">
        <f>E4448</f>
        <v>1065446</v>
      </c>
      <c r="F4447" s="622">
        <f t="shared" ref="F4447:K4447" si="3109">F4448</f>
        <v>0</v>
      </c>
      <c r="G4447" s="622">
        <f t="shared" si="3109"/>
        <v>0</v>
      </c>
      <c r="H4447" s="622">
        <f t="shared" si="3109"/>
        <v>0</v>
      </c>
      <c r="I4447" s="622">
        <f t="shared" si="3109"/>
        <v>1065446</v>
      </c>
      <c r="J4447" s="622">
        <f t="shared" si="3109"/>
        <v>0</v>
      </c>
      <c r="K4447" s="622">
        <f t="shared" si="3109"/>
        <v>0</v>
      </c>
      <c r="L4447" s="317">
        <f t="shared" si="3089"/>
        <v>1065446</v>
      </c>
      <c r="M4447" s="317"/>
      <c r="N4447" s="372">
        <f t="shared" si="3093"/>
        <v>0</v>
      </c>
      <c r="O4447" s="622">
        <f t="shared" ref="O4447:P4447" si="3110">O4448</f>
        <v>1171990.6000000001</v>
      </c>
      <c r="P4447" s="622">
        <f t="shared" si="3110"/>
        <v>1289189.6600000001</v>
      </c>
      <c r="R4447" s="317"/>
      <c r="U4447" s="320"/>
    </row>
    <row r="4448" spans="1:21" s="344" customFormat="1" outlineLevel="3">
      <c r="A4448" s="345"/>
      <c r="B4448" s="345"/>
      <c r="C4448" s="332">
        <v>3111399</v>
      </c>
      <c r="D4448" s="452" t="s">
        <v>759</v>
      </c>
      <c r="E4448" s="422">
        <f>3000000-1934554</f>
        <v>1065446</v>
      </c>
      <c r="F4448" s="364"/>
      <c r="G4448" s="422"/>
      <c r="H4448" s="422"/>
      <c r="I4448" s="324">
        <f t="shared" si="3107"/>
        <v>1065446</v>
      </c>
      <c r="J4448" s="422"/>
      <c r="K4448" s="422"/>
      <c r="L4448" s="317">
        <f t="shared" si="3089"/>
        <v>1065446</v>
      </c>
      <c r="M4448" s="317"/>
      <c r="N4448" s="372">
        <f t="shared" si="3093"/>
        <v>0</v>
      </c>
      <c r="O4448" s="336">
        <f t="shared" si="3073"/>
        <v>1171990.6000000001</v>
      </c>
      <c r="P4448" s="1106">
        <f>O4448*1.1</f>
        <v>1289189.6600000001</v>
      </c>
      <c r="R4448" s="317"/>
      <c r="U4448" s="320"/>
    </row>
    <row r="4449" spans="1:21" s="344" customFormat="1" outlineLevel="3">
      <c r="A4449" s="345"/>
      <c r="B4449" s="345"/>
      <c r="C4449" s="401"/>
      <c r="D4449" s="1186" t="s">
        <v>520</v>
      </c>
      <c r="E4449" s="622">
        <f>E4447+E4440+E4442+E4438+E4445</f>
        <v>122744809</v>
      </c>
      <c r="F4449" s="622">
        <f t="shared" ref="F4449:K4449" si="3111">F4447+F4440+F4442+F4438+F4445</f>
        <v>81728564.25</v>
      </c>
      <c r="G4449" s="622">
        <f t="shared" si="3111"/>
        <v>0</v>
      </c>
      <c r="H4449" s="622">
        <f t="shared" si="3111"/>
        <v>0</v>
      </c>
      <c r="I4449" s="622">
        <f t="shared" si="3111"/>
        <v>204473373.25</v>
      </c>
      <c r="J4449" s="622">
        <f t="shared" si="3111"/>
        <v>10586919</v>
      </c>
      <c r="K4449" s="622">
        <f t="shared" si="3111"/>
        <v>0</v>
      </c>
      <c r="L4449" s="317">
        <f t="shared" si="3089"/>
        <v>215060292.25</v>
      </c>
      <c r="M4449" s="317"/>
      <c r="N4449" s="372">
        <f t="shared" si="3093"/>
        <v>0</v>
      </c>
      <c r="O4449" s="622">
        <f t="shared" ref="O4449:P4449" si="3112">O4447+O4440+O4442+O4438+O4445</f>
        <v>224555510.57500005</v>
      </c>
      <c r="P4449" s="622">
        <f t="shared" si="3112"/>
        <v>239143045.46550006</v>
      </c>
      <c r="R4449" s="317"/>
      <c r="U4449" s="320"/>
    </row>
    <row r="4450" spans="1:21" s="344" customFormat="1" outlineLevel="3">
      <c r="A4450" s="345"/>
      <c r="B4450" s="345"/>
      <c r="C4450" s="401"/>
      <c r="D4450" s="1186" t="s">
        <v>761</v>
      </c>
      <c r="E4450" s="622">
        <f t="shared" ref="E4450:P4450" si="3113">E4449+E4435</f>
        <v>132652847</v>
      </c>
      <c r="F4450" s="622">
        <f t="shared" si="3113"/>
        <v>81728564.25</v>
      </c>
      <c r="G4450" s="622">
        <f t="shared" si="3113"/>
        <v>-5000000</v>
      </c>
      <c r="H4450" s="622">
        <f t="shared" si="3113"/>
        <v>2000000</v>
      </c>
      <c r="I4450" s="622">
        <f t="shared" si="3113"/>
        <v>211381411.25</v>
      </c>
      <c r="J4450" s="622">
        <f t="shared" si="3113"/>
        <v>10586919</v>
      </c>
      <c r="K4450" s="622">
        <f t="shared" si="3113"/>
        <v>0</v>
      </c>
      <c r="L4450" s="317">
        <f t="shared" si="3089"/>
        <v>221968330.25</v>
      </c>
      <c r="M4450" s="317"/>
      <c r="N4450" s="372">
        <f t="shared" si="3093"/>
        <v>0</v>
      </c>
      <c r="O4450" s="622">
        <f t="shared" si="3113"/>
        <v>232154352.37500006</v>
      </c>
      <c r="P4450" s="622">
        <f t="shared" si="3113"/>
        <v>247501771.44550005</v>
      </c>
      <c r="R4450" s="317"/>
      <c r="U4450" s="320"/>
    </row>
    <row r="4451" spans="1:21" s="344" customFormat="1" outlineLevel="3">
      <c r="A4451" s="345"/>
      <c r="B4451" s="345"/>
      <c r="C4451" s="401"/>
      <c r="D4451" s="330"/>
      <c r="E4451" s="622"/>
      <c r="F4451" s="389"/>
      <c r="G4451" s="422"/>
      <c r="H4451" s="422"/>
      <c r="I4451" s="324">
        <f t="shared" si="3107"/>
        <v>0</v>
      </c>
      <c r="J4451" s="422"/>
      <c r="K4451" s="422"/>
      <c r="L4451" s="317">
        <f t="shared" si="3089"/>
        <v>0</v>
      </c>
      <c r="M4451" s="317"/>
      <c r="N4451" s="372">
        <f t="shared" si="3093"/>
        <v>0</v>
      </c>
      <c r="O4451" s="336">
        <f t="shared" si="3073"/>
        <v>0</v>
      </c>
      <c r="P4451" s="319">
        <f t="shared" si="3096"/>
        <v>0</v>
      </c>
      <c r="R4451" s="317"/>
      <c r="U4451" s="320"/>
    </row>
    <row r="4452" spans="1:21" s="344" customFormat="1" outlineLevel="3">
      <c r="A4452" s="345"/>
      <c r="B4452" s="345"/>
      <c r="C4452" s="1189" t="s">
        <v>762</v>
      </c>
      <c r="D4452" s="338"/>
      <c r="E4452" s="422"/>
      <c r="F4452" s="397"/>
      <c r="G4452" s="422"/>
      <c r="H4452" s="422"/>
      <c r="I4452" s="324">
        <f t="shared" si="3107"/>
        <v>0</v>
      </c>
      <c r="J4452" s="422"/>
      <c r="K4452" s="422"/>
      <c r="L4452" s="317">
        <f t="shared" si="3089"/>
        <v>0</v>
      </c>
      <c r="M4452" s="317"/>
      <c r="N4452" s="372">
        <f t="shared" si="3093"/>
        <v>0</v>
      </c>
      <c r="O4452" s="336">
        <f t="shared" si="3073"/>
        <v>0</v>
      </c>
      <c r="P4452" s="319">
        <f t="shared" si="3096"/>
        <v>0</v>
      </c>
      <c r="R4452" s="317"/>
      <c r="U4452" s="320"/>
    </row>
    <row r="4453" spans="1:21" s="344" customFormat="1" outlineLevel="3">
      <c r="A4453" s="345"/>
      <c r="B4453" s="345"/>
      <c r="C4453" s="1194" t="s">
        <v>763</v>
      </c>
      <c r="D4453" s="1195"/>
      <c r="E4453" s="422"/>
      <c r="F4453" s="1163"/>
      <c r="G4453" s="1073"/>
      <c r="H4453" s="1073"/>
      <c r="I4453" s="324">
        <f t="shared" si="3107"/>
        <v>0</v>
      </c>
      <c r="J4453" s="1073"/>
      <c r="K4453" s="1073"/>
      <c r="L4453" s="317">
        <f t="shared" si="3089"/>
        <v>0</v>
      </c>
      <c r="M4453" s="317"/>
      <c r="N4453" s="372">
        <f t="shared" si="3093"/>
        <v>0</v>
      </c>
      <c r="O4453" s="336">
        <f t="shared" si="3073"/>
        <v>0</v>
      </c>
      <c r="P4453" s="319">
        <f t="shared" ref="P4453:P4472" si="3114">O4453*1.1</f>
        <v>0</v>
      </c>
      <c r="R4453" s="317"/>
      <c r="U4453" s="320"/>
    </row>
    <row r="4454" spans="1:21" s="344" customFormat="1" outlineLevel="3">
      <c r="A4454" s="345"/>
      <c r="B4454" s="345"/>
      <c r="C4454" s="340">
        <v>2110200</v>
      </c>
      <c r="D4454" s="338" t="s">
        <v>148</v>
      </c>
      <c r="E4454" s="622">
        <f>E4455</f>
        <v>0</v>
      </c>
      <c r="F4454" s="622">
        <f t="shared" ref="F4454:P4454" si="3115">F4455</f>
        <v>0</v>
      </c>
      <c r="G4454" s="622">
        <f t="shared" si="3115"/>
        <v>0</v>
      </c>
      <c r="H4454" s="622">
        <f t="shared" si="3115"/>
        <v>0</v>
      </c>
      <c r="I4454" s="622">
        <f t="shared" si="3115"/>
        <v>0</v>
      </c>
      <c r="J4454" s="622"/>
      <c r="K4454" s="622"/>
      <c r="L4454" s="317">
        <f t="shared" si="3089"/>
        <v>0</v>
      </c>
      <c r="M4454" s="317"/>
      <c r="N4454" s="372">
        <f t="shared" si="3093"/>
        <v>0</v>
      </c>
      <c r="O4454" s="622">
        <f t="shared" si="3115"/>
        <v>0</v>
      </c>
      <c r="P4454" s="622">
        <f t="shared" si="3115"/>
        <v>0</v>
      </c>
      <c r="R4454" s="317"/>
      <c r="U4454" s="320"/>
    </row>
    <row r="4455" spans="1:21" s="344" customFormat="1" outlineLevel="3">
      <c r="A4455" s="345"/>
      <c r="B4455" s="345"/>
      <c r="C4455" s="332">
        <v>2110202</v>
      </c>
      <c r="D4455" s="330" t="s">
        <v>1329</v>
      </c>
      <c r="E4455" s="422">
        <v>0</v>
      </c>
      <c r="F4455" s="389"/>
      <c r="G4455" s="422"/>
      <c r="H4455" s="422"/>
      <c r="I4455" s="324">
        <f t="shared" si="3107"/>
        <v>0</v>
      </c>
      <c r="J4455" s="422"/>
      <c r="K4455" s="422"/>
      <c r="L4455" s="317">
        <f t="shared" si="3089"/>
        <v>0</v>
      </c>
      <c r="M4455" s="317"/>
      <c r="N4455" s="372">
        <f t="shared" si="3093"/>
        <v>0</v>
      </c>
      <c r="O4455" s="336">
        <f t="shared" si="3073"/>
        <v>0</v>
      </c>
      <c r="P4455" s="319">
        <f t="shared" si="3114"/>
        <v>0</v>
      </c>
      <c r="R4455" s="317"/>
      <c r="U4455" s="320"/>
    </row>
    <row r="4456" spans="1:21" s="344" customFormat="1" outlineLevel="2">
      <c r="A4456" s="345"/>
      <c r="B4456" s="345"/>
      <c r="C4456" s="340">
        <v>2210100</v>
      </c>
      <c r="D4456" s="338" t="s">
        <v>285</v>
      </c>
      <c r="E4456" s="622">
        <f>E4457+E4458</f>
        <v>40020</v>
      </c>
      <c r="F4456" s="622">
        <f t="shared" ref="F4456:K4456" si="3116">F4457+F4458</f>
        <v>0</v>
      </c>
      <c r="G4456" s="622">
        <f t="shared" si="3116"/>
        <v>0</v>
      </c>
      <c r="H4456" s="622">
        <f t="shared" si="3116"/>
        <v>0</v>
      </c>
      <c r="I4456" s="622">
        <f t="shared" si="3116"/>
        <v>40020</v>
      </c>
      <c r="J4456" s="622">
        <f t="shared" si="3116"/>
        <v>0</v>
      </c>
      <c r="K4456" s="622">
        <f t="shared" si="3116"/>
        <v>0</v>
      </c>
      <c r="L4456" s="317">
        <f t="shared" si="3089"/>
        <v>40020</v>
      </c>
      <c r="M4456" s="317"/>
      <c r="N4456" s="372">
        <f t="shared" si="3093"/>
        <v>0</v>
      </c>
      <c r="O4456" s="622">
        <f t="shared" ref="O4456:P4456" si="3117">O4457+O4458</f>
        <v>44022.000000000007</v>
      </c>
      <c r="P4456" s="622">
        <f t="shared" si="3117"/>
        <v>48424.200000000012</v>
      </c>
      <c r="R4456" s="317"/>
      <c r="U4456" s="320"/>
    </row>
    <row r="4457" spans="1:21" s="344" customFormat="1" outlineLevel="1">
      <c r="A4457" s="345"/>
      <c r="B4457" s="345"/>
      <c r="C4457" s="332">
        <v>2210101</v>
      </c>
      <c r="D4457" s="330" t="s">
        <v>17</v>
      </c>
      <c r="E4457" s="422">
        <v>26680</v>
      </c>
      <c r="F4457" s="389"/>
      <c r="G4457" s="1073"/>
      <c r="H4457" s="1073"/>
      <c r="I4457" s="324">
        <f t="shared" si="3107"/>
        <v>26680</v>
      </c>
      <c r="J4457" s="1073"/>
      <c r="K4457" s="1073"/>
      <c r="L4457" s="317">
        <f t="shared" si="3089"/>
        <v>26680</v>
      </c>
      <c r="M4457" s="317"/>
      <c r="N4457" s="372">
        <f t="shared" si="3093"/>
        <v>0</v>
      </c>
      <c r="O4457" s="336">
        <f t="shared" si="3073"/>
        <v>29348.000000000004</v>
      </c>
      <c r="P4457" s="319">
        <f t="shared" si="3114"/>
        <v>32282.800000000007</v>
      </c>
      <c r="R4457" s="317"/>
      <c r="U4457" s="320"/>
    </row>
    <row r="4458" spans="1:21" s="344" customFormat="1" outlineLevel="1">
      <c r="A4458" s="345"/>
      <c r="B4458" s="345"/>
      <c r="C4458" s="332">
        <v>2210102</v>
      </c>
      <c r="D4458" s="330" t="s">
        <v>18</v>
      </c>
      <c r="E4458" s="422">
        <v>13340</v>
      </c>
      <c r="F4458" s="389"/>
      <c r="G4458" s="422"/>
      <c r="H4458" s="422"/>
      <c r="I4458" s="324">
        <f t="shared" si="3107"/>
        <v>13340</v>
      </c>
      <c r="J4458" s="422"/>
      <c r="K4458" s="422"/>
      <c r="L4458" s="317">
        <f t="shared" si="3089"/>
        <v>13340</v>
      </c>
      <c r="M4458" s="317"/>
      <c r="N4458" s="372">
        <f t="shared" si="3093"/>
        <v>0</v>
      </c>
      <c r="O4458" s="336">
        <f t="shared" si="3073"/>
        <v>14674.000000000002</v>
      </c>
      <c r="P4458" s="319">
        <f t="shared" si="3114"/>
        <v>16141.400000000003</v>
      </c>
      <c r="R4458" s="317"/>
      <c r="U4458" s="320"/>
    </row>
    <row r="4459" spans="1:21" s="344" customFormat="1" outlineLevel="1">
      <c r="A4459" s="345"/>
      <c r="B4459" s="345"/>
      <c r="C4459" s="340">
        <v>2210200</v>
      </c>
      <c r="D4459" s="338" t="s">
        <v>286</v>
      </c>
      <c r="E4459" s="622">
        <f>E4460</f>
        <v>34243</v>
      </c>
      <c r="F4459" s="622">
        <f t="shared" ref="F4459:K4459" si="3118">F4460</f>
        <v>0</v>
      </c>
      <c r="G4459" s="622">
        <f t="shared" si="3118"/>
        <v>0</v>
      </c>
      <c r="H4459" s="622">
        <f t="shared" si="3118"/>
        <v>0</v>
      </c>
      <c r="I4459" s="622">
        <f t="shared" si="3118"/>
        <v>34243</v>
      </c>
      <c r="J4459" s="622">
        <f t="shared" si="3118"/>
        <v>0</v>
      </c>
      <c r="K4459" s="622">
        <f t="shared" si="3118"/>
        <v>0</v>
      </c>
      <c r="L4459" s="317">
        <f t="shared" si="3089"/>
        <v>34243</v>
      </c>
      <c r="M4459" s="317"/>
      <c r="N4459" s="372">
        <f t="shared" si="3093"/>
        <v>0</v>
      </c>
      <c r="O4459" s="622">
        <f t="shared" ref="O4459:P4459" si="3119">O4460</f>
        <v>37667.300000000003</v>
      </c>
      <c r="P4459" s="622">
        <f t="shared" si="3119"/>
        <v>41434.030000000006</v>
      </c>
      <c r="R4459" s="317"/>
      <c r="U4459" s="320"/>
    </row>
    <row r="4460" spans="1:21" s="344" customFormat="1" outlineLevel="1">
      <c r="A4460" s="345"/>
      <c r="B4460" s="345"/>
      <c r="C4460" s="332">
        <v>2210201</v>
      </c>
      <c r="D4460" s="330" t="s">
        <v>21</v>
      </c>
      <c r="E4460" s="422">
        <v>34243</v>
      </c>
      <c r="F4460" s="389"/>
      <c r="G4460" s="422"/>
      <c r="H4460" s="422"/>
      <c r="I4460" s="324">
        <f t="shared" si="3107"/>
        <v>34243</v>
      </c>
      <c r="J4460" s="422"/>
      <c r="K4460" s="422"/>
      <c r="L4460" s="317">
        <f t="shared" si="3089"/>
        <v>34243</v>
      </c>
      <c r="M4460" s="317"/>
      <c r="N4460" s="372">
        <f t="shared" si="3093"/>
        <v>0</v>
      </c>
      <c r="O4460" s="336">
        <f t="shared" si="3073"/>
        <v>37667.300000000003</v>
      </c>
      <c r="P4460" s="319">
        <f t="shared" si="3114"/>
        <v>41434.030000000006</v>
      </c>
      <c r="R4460" s="317"/>
      <c r="U4460" s="320"/>
    </row>
    <row r="4461" spans="1:21" s="344" customFormat="1" outlineLevel="3">
      <c r="A4461" s="345"/>
      <c r="B4461" s="345"/>
      <c r="C4461" s="340">
        <v>2210300</v>
      </c>
      <c r="D4461" s="338" t="s">
        <v>267</v>
      </c>
      <c r="E4461" s="622">
        <f>E4462+E4463+E4464+E4465</f>
        <v>974281</v>
      </c>
      <c r="F4461" s="622">
        <f t="shared" ref="F4461:K4461" si="3120">F4462+F4463+F4464+F4465</f>
        <v>0</v>
      </c>
      <c r="G4461" s="622">
        <f t="shared" si="3120"/>
        <v>0</v>
      </c>
      <c r="H4461" s="622">
        <f t="shared" si="3120"/>
        <v>0</v>
      </c>
      <c r="I4461" s="622">
        <f t="shared" si="3120"/>
        <v>974281</v>
      </c>
      <c r="J4461" s="622">
        <f t="shared" si="3120"/>
        <v>0</v>
      </c>
      <c r="K4461" s="622">
        <f t="shared" si="3120"/>
        <v>0</v>
      </c>
      <c r="L4461" s="317">
        <f t="shared" si="3089"/>
        <v>974281</v>
      </c>
      <c r="M4461" s="317"/>
      <c r="N4461" s="372">
        <f t="shared" si="3093"/>
        <v>0</v>
      </c>
      <c r="O4461" s="622">
        <f t="shared" ref="O4461:P4461" si="3121">O4462+O4463+O4464+O4465</f>
        <v>1071709.1000000001</v>
      </c>
      <c r="P4461" s="622">
        <f t="shared" si="3121"/>
        <v>1178880.0100000002</v>
      </c>
      <c r="R4461" s="317"/>
      <c r="U4461" s="320"/>
    </row>
    <row r="4462" spans="1:21" s="344" customFormat="1" outlineLevel="3">
      <c r="A4462" s="345"/>
      <c r="B4462" s="345"/>
      <c r="C4462" s="332">
        <v>2210301</v>
      </c>
      <c r="D4462" s="330" t="s">
        <v>25</v>
      </c>
      <c r="E4462" s="422">
        <v>43982</v>
      </c>
      <c r="F4462" s="389"/>
      <c r="G4462" s="422"/>
      <c r="H4462" s="422"/>
      <c r="I4462" s="324">
        <f t="shared" si="3107"/>
        <v>43982</v>
      </c>
      <c r="J4462" s="422"/>
      <c r="K4462" s="422"/>
      <c r="L4462" s="317">
        <f t="shared" si="3089"/>
        <v>43982</v>
      </c>
      <c r="M4462" s="317"/>
      <c r="N4462" s="372">
        <f t="shared" si="3093"/>
        <v>0</v>
      </c>
      <c r="O4462" s="336">
        <f t="shared" ref="O4462:O4524" si="3122">L4462*1.1</f>
        <v>48380.200000000004</v>
      </c>
      <c r="P4462" s="319">
        <f t="shared" si="3114"/>
        <v>53218.220000000008</v>
      </c>
      <c r="R4462" s="317"/>
      <c r="U4462" s="320"/>
    </row>
    <row r="4463" spans="1:21" s="344" customFormat="1" outlineLevel="3">
      <c r="A4463" s="345"/>
      <c r="B4463" s="345"/>
      <c r="C4463" s="332">
        <v>2210302</v>
      </c>
      <c r="D4463" s="330" t="s">
        <v>269</v>
      </c>
      <c r="E4463" s="422">
        <v>208025</v>
      </c>
      <c r="F4463" s="389"/>
      <c r="G4463" s="422"/>
      <c r="H4463" s="422"/>
      <c r="I4463" s="324">
        <f t="shared" si="3107"/>
        <v>208025</v>
      </c>
      <c r="J4463" s="422"/>
      <c r="K4463" s="422"/>
      <c r="L4463" s="317">
        <f t="shared" si="3089"/>
        <v>208025</v>
      </c>
      <c r="M4463" s="317"/>
      <c r="N4463" s="372">
        <f t="shared" si="3093"/>
        <v>0</v>
      </c>
      <c r="O4463" s="336">
        <f t="shared" si="3122"/>
        <v>228827.50000000003</v>
      </c>
      <c r="P4463" s="1106">
        <f>O4463*1.1</f>
        <v>251710.25000000006</v>
      </c>
      <c r="R4463" s="317"/>
      <c r="U4463" s="320"/>
    </row>
    <row r="4464" spans="1:21" s="344" customFormat="1" outlineLevel="3">
      <c r="A4464" s="345"/>
      <c r="B4464" s="345"/>
      <c r="C4464" s="332">
        <v>2210303</v>
      </c>
      <c r="D4464" s="330" t="s">
        <v>27</v>
      </c>
      <c r="E4464" s="422">
        <v>368274</v>
      </c>
      <c r="F4464" s="389"/>
      <c r="G4464" s="422"/>
      <c r="H4464" s="422"/>
      <c r="I4464" s="324">
        <f t="shared" si="3107"/>
        <v>368274</v>
      </c>
      <c r="J4464" s="422"/>
      <c r="K4464" s="422"/>
      <c r="L4464" s="317">
        <f t="shared" si="3089"/>
        <v>368274</v>
      </c>
      <c r="M4464" s="317"/>
      <c r="N4464" s="372">
        <f t="shared" si="3093"/>
        <v>0</v>
      </c>
      <c r="O4464" s="336">
        <f t="shared" si="3122"/>
        <v>405101.4</v>
      </c>
      <c r="P4464" s="319">
        <f t="shared" si="3114"/>
        <v>445611.54000000004</v>
      </c>
      <c r="R4464" s="317"/>
      <c r="U4464" s="320"/>
    </row>
    <row r="4465" spans="1:21" s="344" customFormat="1" outlineLevel="3">
      <c r="A4465" s="345"/>
      <c r="B4465" s="345"/>
      <c r="C4465" s="332">
        <v>2210309</v>
      </c>
      <c r="D4465" s="330" t="s">
        <v>764</v>
      </c>
      <c r="E4465" s="422">
        <v>354000</v>
      </c>
      <c r="F4465" s="389"/>
      <c r="G4465" s="1073"/>
      <c r="H4465" s="1073"/>
      <c r="I4465" s="324">
        <f t="shared" si="3107"/>
        <v>354000</v>
      </c>
      <c r="J4465" s="1073"/>
      <c r="K4465" s="1073"/>
      <c r="L4465" s="317">
        <f t="shared" si="3089"/>
        <v>354000</v>
      </c>
      <c r="M4465" s="317"/>
      <c r="N4465" s="372">
        <f t="shared" si="3093"/>
        <v>0</v>
      </c>
      <c r="O4465" s="336">
        <f t="shared" si="3122"/>
        <v>389400.00000000006</v>
      </c>
      <c r="P4465" s="319">
        <f t="shared" si="3114"/>
        <v>428340.00000000012</v>
      </c>
      <c r="R4465" s="317"/>
      <c r="U4465" s="320"/>
    </row>
    <row r="4466" spans="1:21" s="344" customFormat="1" outlineLevel="3">
      <c r="A4466" s="345"/>
      <c r="B4466" s="345"/>
      <c r="C4466" s="340">
        <v>2210700</v>
      </c>
      <c r="D4466" s="338" t="s">
        <v>271</v>
      </c>
      <c r="E4466" s="622">
        <f>E4467+E4468</f>
        <v>319000</v>
      </c>
      <c r="F4466" s="622">
        <f t="shared" ref="F4466:P4466" si="3123">F4467+F4468</f>
        <v>0</v>
      </c>
      <c r="G4466" s="622">
        <f t="shared" si="3123"/>
        <v>0</v>
      </c>
      <c r="H4466" s="622">
        <f t="shared" si="3123"/>
        <v>0</v>
      </c>
      <c r="I4466" s="622">
        <f t="shared" si="3123"/>
        <v>319000</v>
      </c>
      <c r="J4466" s="622">
        <f t="shared" si="3123"/>
        <v>0</v>
      </c>
      <c r="K4466" s="622">
        <f t="shared" si="3123"/>
        <v>0</v>
      </c>
      <c r="L4466" s="317">
        <f t="shared" si="3089"/>
        <v>319000</v>
      </c>
      <c r="M4466" s="317"/>
      <c r="N4466" s="372">
        <f t="shared" si="3093"/>
        <v>0</v>
      </c>
      <c r="O4466" s="622">
        <f t="shared" si="3123"/>
        <v>350900.00000000006</v>
      </c>
      <c r="P4466" s="622">
        <f t="shared" si="3123"/>
        <v>385990.00000000012</v>
      </c>
      <c r="R4466" s="317"/>
      <c r="U4466" s="320"/>
    </row>
    <row r="4467" spans="1:21" s="344" customFormat="1" outlineLevel="3">
      <c r="A4467" s="345"/>
      <c r="B4467" s="345"/>
      <c r="C4467" s="332">
        <v>2210701</v>
      </c>
      <c r="D4467" s="330" t="s">
        <v>287</v>
      </c>
      <c r="E4467" s="422">
        <v>116000</v>
      </c>
      <c r="F4467" s="389"/>
      <c r="G4467" s="422"/>
      <c r="H4467" s="422"/>
      <c r="I4467" s="324">
        <f t="shared" si="3107"/>
        <v>116000</v>
      </c>
      <c r="J4467" s="422"/>
      <c r="K4467" s="422"/>
      <c r="L4467" s="317">
        <f t="shared" si="3089"/>
        <v>116000</v>
      </c>
      <c r="M4467" s="317"/>
      <c r="N4467" s="372">
        <f t="shared" si="3093"/>
        <v>0</v>
      </c>
      <c r="O4467" s="336">
        <f t="shared" si="3122"/>
        <v>127600.00000000001</v>
      </c>
      <c r="P4467" s="319">
        <f t="shared" si="3114"/>
        <v>140360.00000000003</v>
      </c>
      <c r="R4467" s="317"/>
      <c r="U4467" s="320"/>
    </row>
    <row r="4468" spans="1:21" s="344" customFormat="1" outlineLevel="3">
      <c r="A4468" s="345"/>
      <c r="B4468" s="345"/>
      <c r="C4468" s="332">
        <v>2210710</v>
      </c>
      <c r="D4468" s="330" t="s">
        <v>39</v>
      </c>
      <c r="E4468" s="422">
        <v>203000</v>
      </c>
      <c r="F4468" s="389"/>
      <c r="G4468" s="422"/>
      <c r="H4468" s="422"/>
      <c r="I4468" s="324">
        <f t="shared" si="3107"/>
        <v>203000</v>
      </c>
      <c r="J4468" s="422"/>
      <c r="K4468" s="422"/>
      <c r="L4468" s="317">
        <f t="shared" si="3089"/>
        <v>203000</v>
      </c>
      <c r="M4468" s="317"/>
      <c r="N4468" s="372">
        <f t="shared" si="3093"/>
        <v>0</v>
      </c>
      <c r="O4468" s="336">
        <f t="shared" si="3122"/>
        <v>223300.00000000003</v>
      </c>
      <c r="P4468" s="1106">
        <f>O4468*1.1</f>
        <v>245630.00000000006</v>
      </c>
      <c r="R4468" s="317"/>
      <c r="U4468" s="320"/>
    </row>
    <row r="4469" spans="1:21" s="344" customFormat="1" outlineLevel="3">
      <c r="A4469" s="345"/>
      <c r="B4469" s="345"/>
      <c r="C4469" s="340">
        <v>2211100</v>
      </c>
      <c r="D4469" s="338" t="s">
        <v>51</v>
      </c>
      <c r="E4469" s="622">
        <f>E4470+E4471+E4472</f>
        <v>413638</v>
      </c>
      <c r="F4469" s="622">
        <f t="shared" ref="F4469:P4469" si="3124">F4470+F4471+F4472</f>
        <v>0</v>
      </c>
      <c r="G4469" s="622">
        <f t="shared" si="3124"/>
        <v>0</v>
      </c>
      <c r="H4469" s="622">
        <f t="shared" si="3124"/>
        <v>0</v>
      </c>
      <c r="I4469" s="622">
        <f t="shared" si="3124"/>
        <v>413638</v>
      </c>
      <c r="J4469" s="622">
        <f t="shared" si="3124"/>
        <v>0</v>
      </c>
      <c r="K4469" s="622">
        <f t="shared" si="3124"/>
        <v>0</v>
      </c>
      <c r="L4469" s="317">
        <f t="shared" si="3089"/>
        <v>413638</v>
      </c>
      <c r="M4469" s="317"/>
      <c r="N4469" s="372">
        <f t="shared" si="3093"/>
        <v>0</v>
      </c>
      <c r="O4469" s="622">
        <f t="shared" si="3124"/>
        <v>455001.80000000005</v>
      </c>
      <c r="P4469" s="622">
        <f t="shared" si="3124"/>
        <v>500501.9800000001</v>
      </c>
      <c r="R4469" s="317"/>
      <c r="U4469" s="320"/>
    </row>
    <row r="4470" spans="1:21" s="344" customFormat="1" outlineLevel="3">
      <c r="A4470" s="345"/>
      <c r="B4470" s="345"/>
      <c r="C4470" s="332">
        <v>2211101</v>
      </c>
      <c r="D4470" s="330" t="s">
        <v>289</v>
      </c>
      <c r="E4470" s="422">
        <v>149513</v>
      </c>
      <c r="F4470" s="389"/>
      <c r="G4470" s="422"/>
      <c r="H4470" s="422"/>
      <c r="I4470" s="324">
        <f t="shared" si="3107"/>
        <v>149513</v>
      </c>
      <c r="J4470" s="422"/>
      <c r="K4470" s="422"/>
      <c r="L4470" s="317">
        <f t="shared" si="3089"/>
        <v>149513</v>
      </c>
      <c r="M4470" s="317"/>
      <c r="N4470" s="372">
        <f t="shared" si="3093"/>
        <v>0</v>
      </c>
      <c r="O4470" s="336">
        <f t="shared" si="3122"/>
        <v>164464.30000000002</v>
      </c>
      <c r="P4470" s="319">
        <f t="shared" si="3114"/>
        <v>180910.73000000004</v>
      </c>
      <c r="R4470" s="317"/>
      <c r="U4470" s="320"/>
    </row>
    <row r="4471" spans="1:21" s="344" customFormat="1" outlineLevel="3">
      <c r="A4471" s="345"/>
      <c r="B4471" s="345"/>
      <c r="C4471" s="332">
        <v>2211102</v>
      </c>
      <c r="D4471" s="330" t="s">
        <v>53</v>
      </c>
      <c r="E4471" s="422">
        <v>119260</v>
      </c>
      <c r="F4471" s="389"/>
      <c r="G4471" s="422"/>
      <c r="H4471" s="422"/>
      <c r="I4471" s="324">
        <f t="shared" si="3107"/>
        <v>119260</v>
      </c>
      <c r="J4471" s="422"/>
      <c r="K4471" s="422"/>
      <c r="L4471" s="317">
        <f t="shared" si="3089"/>
        <v>119260</v>
      </c>
      <c r="M4471" s="317"/>
      <c r="N4471" s="372">
        <f t="shared" si="3093"/>
        <v>0</v>
      </c>
      <c r="O4471" s="336">
        <f t="shared" si="3122"/>
        <v>131186</v>
      </c>
      <c r="P4471" s="319">
        <f t="shared" si="3114"/>
        <v>144304.6</v>
      </c>
      <c r="R4471" s="317"/>
      <c r="U4471" s="320"/>
    </row>
    <row r="4472" spans="1:21" s="344" customFormat="1" outlineLevel="3">
      <c r="A4472" s="345"/>
      <c r="B4472" s="345"/>
      <c r="C4472" s="332">
        <v>2211103</v>
      </c>
      <c r="D4472" s="330" t="s">
        <v>54</v>
      </c>
      <c r="E4472" s="422">
        <v>144865</v>
      </c>
      <c r="F4472" s="389"/>
      <c r="G4472" s="422"/>
      <c r="H4472" s="422"/>
      <c r="I4472" s="324">
        <f t="shared" si="3107"/>
        <v>144865</v>
      </c>
      <c r="J4472" s="422"/>
      <c r="K4472" s="422"/>
      <c r="L4472" s="317">
        <f t="shared" si="3089"/>
        <v>144865</v>
      </c>
      <c r="M4472" s="317"/>
      <c r="N4472" s="372">
        <f t="shared" si="3093"/>
        <v>0</v>
      </c>
      <c r="O4472" s="336">
        <f t="shared" si="3122"/>
        <v>159351.5</v>
      </c>
      <c r="P4472" s="319">
        <f t="shared" si="3114"/>
        <v>175286.65000000002</v>
      </c>
      <c r="R4472" s="317"/>
      <c r="U4472" s="320"/>
    </row>
    <row r="4473" spans="1:21" s="344" customFormat="1" outlineLevel="3">
      <c r="A4473" s="345"/>
      <c r="B4473" s="345"/>
      <c r="C4473" s="340">
        <v>2211200</v>
      </c>
      <c r="D4473" s="338" t="s">
        <v>55</v>
      </c>
      <c r="E4473" s="622">
        <f>E4474+E4475</f>
        <v>15676696</v>
      </c>
      <c r="F4473" s="622">
        <f t="shared" ref="F4473:P4473" si="3125">F4474+F4475</f>
        <v>0</v>
      </c>
      <c r="G4473" s="622">
        <f t="shared" si="3125"/>
        <v>0</v>
      </c>
      <c r="H4473" s="622">
        <f t="shared" si="3125"/>
        <v>0</v>
      </c>
      <c r="I4473" s="622">
        <f t="shared" si="3125"/>
        <v>15676696</v>
      </c>
      <c r="J4473" s="622">
        <f t="shared" si="3125"/>
        <v>0</v>
      </c>
      <c r="K4473" s="622">
        <f t="shared" si="3125"/>
        <v>0</v>
      </c>
      <c r="L4473" s="317">
        <f t="shared" si="3089"/>
        <v>15676696</v>
      </c>
      <c r="M4473" s="317"/>
      <c r="N4473" s="372">
        <f t="shared" si="3093"/>
        <v>0</v>
      </c>
      <c r="O4473" s="622">
        <f t="shared" si="3125"/>
        <v>17244365.600000001</v>
      </c>
      <c r="P4473" s="622">
        <f t="shared" si="3125"/>
        <v>18968802.160000004</v>
      </c>
      <c r="R4473" s="317"/>
      <c r="U4473" s="320"/>
    </row>
    <row r="4474" spans="1:21" s="344" customFormat="1" outlineLevel="3">
      <c r="A4474" s="345"/>
      <c r="B4474" s="345"/>
      <c r="C4474" s="332">
        <v>2211201</v>
      </c>
      <c r="D4474" s="330" t="s">
        <v>56</v>
      </c>
      <c r="E4474" s="422">
        <v>608417</v>
      </c>
      <c r="F4474" s="389"/>
      <c r="G4474" s="422"/>
      <c r="H4474" s="422"/>
      <c r="I4474" s="324">
        <f t="shared" si="3107"/>
        <v>608417</v>
      </c>
      <c r="J4474" s="422"/>
      <c r="K4474" s="422"/>
      <c r="L4474" s="317">
        <f t="shared" si="3089"/>
        <v>608417</v>
      </c>
      <c r="M4474" s="317"/>
      <c r="N4474" s="372">
        <f t="shared" si="3093"/>
        <v>0</v>
      </c>
      <c r="O4474" s="336">
        <f t="shared" si="3122"/>
        <v>669258.70000000007</v>
      </c>
      <c r="P4474" s="319">
        <f t="shared" ref="P4474:P4492" si="3126">O4474*1.1</f>
        <v>736184.57000000018</v>
      </c>
      <c r="R4474" s="317"/>
      <c r="U4474" s="320"/>
    </row>
    <row r="4475" spans="1:21" s="344" customFormat="1" outlineLevel="3">
      <c r="A4475" s="345"/>
      <c r="B4475" s="345"/>
      <c r="C4475" s="405">
        <v>2211202</v>
      </c>
      <c r="D4475" s="345" t="s">
        <v>1330</v>
      </c>
      <c r="E4475" s="587">
        <f>2569879-200000+7698400+5000000</f>
        <v>15068279</v>
      </c>
      <c r="F4475" s="406"/>
      <c r="G4475" s="422"/>
      <c r="H4475" s="422"/>
      <c r="I4475" s="324">
        <f t="shared" si="3107"/>
        <v>15068279</v>
      </c>
      <c r="J4475" s="422"/>
      <c r="K4475" s="422"/>
      <c r="L4475" s="317">
        <f t="shared" si="3089"/>
        <v>15068279</v>
      </c>
      <c r="M4475" s="317"/>
      <c r="N4475" s="372">
        <f t="shared" si="3093"/>
        <v>0</v>
      </c>
      <c r="O4475" s="336">
        <f t="shared" si="3122"/>
        <v>16575106.900000002</v>
      </c>
      <c r="P4475" s="319">
        <f t="shared" si="3126"/>
        <v>18232617.590000004</v>
      </c>
      <c r="R4475" s="317"/>
      <c r="U4475" s="320"/>
    </row>
    <row r="4476" spans="1:21" s="344" customFormat="1" outlineLevel="3">
      <c r="A4476" s="345"/>
      <c r="B4476" s="345"/>
      <c r="C4476" s="340">
        <v>2211300</v>
      </c>
      <c r="D4476" s="338" t="s">
        <v>706</v>
      </c>
      <c r="E4476" s="622">
        <f>E4477</f>
        <v>55216</v>
      </c>
      <c r="F4476" s="622">
        <f t="shared" ref="F4476:K4476" si="3127">F4477</f>
        <v>0</v>
      </c>
      <c r="G4476" s="622">
        <f t="shared" si="3127"/>
        <v>0</v>
      </c>
      <c r="H4476" s="622">
        <f t="shared" si="3127"/>
        <v>0</v>
      </c>
      <c r="I4476" s="622">
        <f t="shared" si="3127"/>
        <v>55216</v>
      </c>
      <c r="J4476" s="622">
        <f t="shared" si="3127"/>
        <v>0</v>
      </c>
      <c r="K4476" s="622">
        <f t="shared" si="3127"/>
        <v>0</v>
      </c>
      <c r="L4476" s="317">
        <f t="shared" si="3089"/>
        <v>55216</v>
      </c>
      <c r="M4476" s="317"/>
      <c r="N4476" s="372">
        <f t="shared" si="3093"/>
        <v>0</v>
      </c>
      <c r="O4476" s="622">
        <f t="shared" ref="O4476:P4476" si="3128">O4477</f>
        <v>60737.600000000006</v>
      </c>
      <c r="P4476" s="622">
        <f t="shared" si="3128"/>
        <v>66811.360000000015</v>
      </c>
      <c r="R4476" s="317"/>
      <c r="U4476" s="320"/>
    </row>
    <row r="4477" spans="1:21" s="344" customFormat="1" outlineLevel="3">
      <c r="A4477" s="345"/>
      <c r="B4477" s="345"/>
      <c r="C4477" s="332">
        <v>2211305</v>
      </c>
      <c r="D4477" s="330" t="s">
        <v>365</v>
      </c>
      <c r="E4477" s="422">
        <v>55216</v>
      </c>
      <c r="F4477" s="389"/>
      <c r="G4477" s="1073"/>
      <c r="H4477" s="1073"/>
      <c r="I4477" s="324">
        <f t="shared" si="3107"/>
        <v>55216</v>
      </c>
      <c r="J4477" s="1073"/>
      <c r="K4477" s="1073"/>
      <c r="L4477" s="317">
        <f t="shared" si="3089"/>
        <v>55216</v>
      </c>
      <c r="M4477" s="317"/>
      <c r="N4477" s="372">
        <f t="shared" si="3093"/>
        <v>0</v>
      </c>
      <c r="O4477" s="336">
        <f t="shared" si="3122"/>
        <v>60737.600000000006</v>
      </c>
      <c r="P4477" s="319">
        <f t="shared" si="3126"/>
        <v>66811.360000000015</v>
      </c>
      <c r="R4477" s="317"/>
      <c r="U4477" s="320"/>
    </row>
    <row r="4478" spans="1:21" s="344" customFormat="1" outlineLevel="3">
      <c r="A4478" s="345"/>
      <c r="B4478" s="345"/>
      <c r="C4478" s="340">
        <v>2220100</v>
      </c>
      <c r="D4478" s="338" t="s">
        <v>200</v>
      </c>
      <c r="E4478" s="622">
        <f>E4479</f>
        <v>238518</v>
      </c>
      <c r="F4478" s="622">
        <f t="shared" ref="F4478:P4478" si="3129">F4479</f>
        <v>0</v>
      </c>
      <c r="G4478" s="622">
        <f t="shared" si="3129"/>
        <v>0</v>
      </c>
      <c r="H4478" s="622">
        <f t="shared" si="3129"/>
        <v>0</v>
      </c>
      <c r="I4478" s="622">
        <f t="shared" si="3129"/>
        <v>238518</v>
      </c>
      <c r="J4478" s="622">
        <f t="shared" si="3129"/>
        <v>0</v>
      </c>
      <c r="K4478" s="622">
        <f t="shared" si="3129"/>
        <v>0</v>
      </c>
      <c r="L4478" s="317">
        <f t="shared" si="3089"/>
        <v>238518</v>
      </c>
      <c r="M4478" s="317"/>
      <c r="N4478" s="372">
        <f t="shared" si="3093"/>
        <v>0</v>
      </c>
      <c r="O4478" s="622">
        <f t="shared" si="3129"/>
        <v>262369.80000000005</v>
      </c>
      <c r="P4478" s="622">
        <f t="shared" si="3129"/>
        <v>288606.78000000009</v>
      </c>
      <c r="R4478" s="317"/>
      <c r="U4478" s="320"/>
    </row>
    <row r="4479" spans="1:21" s="344" customFormat="1" outlineLevel="3">
      <c r="A4479" s="345"/>
      <c r="B4479" s="345"/>
      <c r="C4479" s="332">
        <v>2220101</v>
      </c>
      <c r="D4479" s="330" t="s">
        <v>200</v>
      </c>
      <c r="E4479" s="422">
        <v>238518</v>
      </c>
      <c r="F4479" s="389"/>
      <c r="G4479" s="422"/>
      <c r="H4479" s="422"/>
      <c r="I4479" s="324">
        <f t="shared" si="3107"/>
        <v>238518</v>
      </c>
      <c r="J4479" s="422"/>
      <c r="K4479" s="422"/>
      <c r="L4479" s="317">
        <f t="shared" si="3089"/>
        <v>238518</v>
      </c>
      <c r="M4479" s="317"/>
      <c r="N4479" s="372">
        <f t="shared" si="3093"/>
        <v>0</v>
      </c>
      <c r="O4479" s="336">
        <f t="shared" si="3122"/>
        <v>262369.80000000005</v>
      </c>
      <c r="P4479" s="319">
        <f t="shared" si="3126"/>
        <v>288606.78000000009</v>
      </c>
      <c r="R4479" s="317"/>
      <c r="U4479" s="320"/>
    </row>
    <row r="4480" spans="1:21" s="344" customFormat="1" outlineLevel="3">
      <c r="A4480" s="345"/>
      <c r="B4480" s="345"/>
      <c r="C4480" s="340">
        <v>2220200</v>
      </c>
      <c r="D4480" s="338" t="s">
        <v>291</v>
      </c>
      <c r="E4480" s="622">
        <f>E4481+E4482</f>
        <v>25202976</v>
      </c>
      <c r="F4480" s="622">
        <f t="shared" ref="F4480:P4480" si="3130">F4481+F4482</f>
        <v>0</v>
      </c>
      <c r="G4480" s="622">
        <f t="shared" si="3130"/>
        <v>0</v>
      </c>
      <c r="H4480" s="622">
        <f t="shared" si="3130"/>
        <v>0</v>
      </c>
      <c r="I4480" s="622">
        <f t="shared" si="3130"/>
        <v>25202976</v>
      </c>
      <c r="J4480" s="622">
        <f t="shared" si="3130"/>
        <v>-3072950</v>
      </c>
      <c r="K4480" s="622">
        <f t="shared" si="3130"/>
        <v>0</v>
      </c>
      <c r="L4480" s="317">
        <f t="shared" si="3089"/>
        <v>22130026</v>
      </c>
      <c r="M4480" s="317"/>
      <c r="N4480" s="372">
        <f t="shared" si="3093"/>
        <v>0</v>
      </c>
      <c r="O4480" s="622">
        <f t="shared" si="3130"/>
        <v>24343028.600000001</v>
      </c>
      <c r="P4480" s="622">
        <f t="shared" si="3130"/>
        <v>26777331.460000005</v>
      </c>
      <c r="R4480" s="317"/>
      <c r="U4480" s="320"/>
    </row>
    <row r="4481" spans="1:21" s="684" customFormat="1" outlineLevel="3">
      <c r="A4481" s="685"/>
      <c r="B4481" s="685"/>
      <c r="C4481" s="1196">
        <v>2220201</v>
      </c>
      <c r="D4481" s="1197" t="s">
        <v>1331</v>
      </c>
      <c r="E4481" s="1198">
        <f>15064867+5000000+5000000</f>
        <v>25064867</v>
      </c>
      <c r="F4481" s="1199"/>
      <c r="G4481" s="1200"/>
      <c r="H4481" s="1200"/>
      <c r="I4481" s="690">
        <f t="shared" si="3107"/>
        <v>25064867</v>
      </c>
      <c r="J4481" s="1200">
        <v>-3072950</v>
      </c>
      <c r="K4481" s="1201"/>
      <c r="L4481" s="317">
        <f t="shared" si="3089"/>
        <v>21991917</v>
      </c>
      <c r="M4481" s="317"/>
      <c r="N4481" s="372">
        <f t="shared" si="3093"/>
        <v>0</v>
      </c>
      <c r="O4481" s="1069">
        <f t="shared" si="3122"/>
        <v>24191108.700000003</v>
      </c>
      <c r="P4481" s="692">
        <f t="shared" si="3126"/>
        <v>26610219.570000004</v>
      </c>
      <c r="Q4481" s="1202" t="s">
        <v>2512</v>
      </c>
      <c r="R4481" s="317"/>
      <c r="U4481" s="320" t="s">
        <v>1803</v>
      </c>
    </row>
    <row r="4482" spans="1:21" s="344" customFormat="1" outlineLevel="3">
      <c r="A4482" s="345"/>
      <c r="B4482" s="345"/>
      <c r="C4482" s="332">
        <v>2220210</v>
      </c>
      <c r="D4482" s="330" t="s">
        <v>163</v>
      </c>
      <c r="E4482" s="422">
        <v>138109</v>
      </c>
      <c r="F4482" s="389"/>
      <c r="G4482" s="422"/>
      <c r="H4482" s="422"/>
      <c r="I4482" s="324">
        <f t="shared" si="3107"/>
        <v>138109</v>
      </c>
      <c r="J4482" s="422"/>
      <c r="K4482" s="422"/>
      <c r="L4482" s="317">
        <f t="shared" si="3089"/>
        <v>138109</v>
      </c>
      <c r="M4482" s="317"/>
      <c r="N4482" s="372">
        <f t="shared" si="3093"/>
        <v>0</v>
      </c>
      <c r="O4482" s="336">
        <f t="shared" si="3122"/>
        <v>151919.90000000002</v>
      </c>
      <c r="P4482" s="319">
        <f t="shared" si="3126"/>
        <v>167111.89000000004</v>
      </c>
      <c r="R4482" s="317"/>
      <c r="U4482" s="320"/>
    </row>
    <row r="4483" spans="1:21" s="344" customFormat="1" outlineLevel="3">
      <c r="A4483" s="345"/>
      <c r="B4483" s="345"/>
      <c r="C4483" s="340"/>
      <c r="D4483" s="1203" t="s">
        <v>128</v>
      </c>
      <c r="E4483" s="622">
        <f>E4480+E4478+E4476+E4473+E4469+E4466+E4461+E4459+E4456+E4454</f>
        <v>42954588</v>
      </c>
      <c r="F4483" s="622">
        <f t="shared" ref="F4483:P4483" si="3131">F4480+F4478+F4476+F4473+F4469+F4466+F4461+F4459+F4456+F4454</f>
        <v>0</v>
      </c>
      <c r="G4483" s="622">
        <f t="shared" si="3131"/>
        <v>0</v>
      </c>
      <c r="H4483" s="622">
        <f t="shared" si="3131"/>
        <v>0</v>
      </c>
      <c r="I4483" s="622">
        <f t="shared" si="3131"/>
        <v>42954588</v>
      </c>
      <c r="J4483" s="622">
        <f t="shared" si="3131"/>
        <v>-3072950</v>
      </c>
      <c r="K4483" s="622">
        <f t="shared" si="3131"/>
        <v>0</v>
      </c>
      <c r="L4483" s="317">
        <f t="shared" si="3089"/>
        <v>39881638</v>
      </c>
      <c r="M4483" s="317"/>
      <c r="N4483" s="372">
        <f t="shared" si="3093"/>
        <v>0</v>
      </c>
      <c r="O4483" s="622">
        <f t="shared" si="3131"/>
        <v>43869801.800000004</v>
      </c>
      <c r="P4483" s="622">
        <f t="shared" si="3131"/>
        <v>48256781.980000004</v>
      </c>
      <c r="R4483" s="317"/>
      <c r="U4483" s="320"/>
    </row>
    <row r="4484" spans="1:21" s="344" customFormat="1" outlineLevel="3">
      <c r="A4484" s="345"/>
      <c r="B4484" s="345"/>
      <c r="C4484" s="340"/>
      <c r="D4484" s="1204"/>
      <c r="E4484" s="622"/>
      <c r="F4484" s="386"/>
      <c r="G4484" s="422"/>
      <c r="H4484" s="422"/>
      <c r="I4484" s="324">
        <f t="shared" si="3107"/>
        <v>0</v>
      </c>
      <c r="J4484" s="422"/>
      <c r="K4484" s="422"/>
      <c r="L4484" s="317">
        <f t="shared" si="3089"/>
        <v>0</v>
      </c>
      <c r="M4484" s="317"/>
      <c r="N4484" s="372">
        <f t="shared" si="3093"/>
        <v>0</v>
      </c>
      <c r="O4484" s="336">
        <f t="shared" si="3122"/>
        <v>0</v>
      </c>
      <c r="P4484" s="319">
        <f t="shared" si="3126"/>
        <v>0</v>
      </c>
      <c r="R4484" s="317"/>
      <c r="U4484" s="320"/>
    </row>
    <row r="4485" spans="1:21" s="344" customFormat="1" outlineLevel="3">
      <c r="A4485" s="345"/>
      <c r="B4485" s="345"/>
      <c r="C4485" s="340"/>
      <c r="D4485" s="338" t="s">
        <v>92</v>
      </c>
      <c r="E4485" s="622"/>
      <c r="F4485" s="397"/>
      <c r="G4485" s="1073"/>
      <c r="H4485" s="1073"/>
      <c r="I4485" s="324">
        <f t="shared" si="3107"/>
        <v>0</v>
      </c>
      <c r="J4485" s="1073"/>
      <c r="K4485" s="1073"/>
      <c r="L4485" s="317">
        <f t="shared" ref="L4485:L4548" si="3132">I4485+J4485+K4485</f>
        <v>0</v>
      </c>
      <c r="M4485" s="317"/>
      <c r="N4485" s="372">
        <f t="shared" si="3093"/>
        <v>0</v>
      </c>
      <c r="O4485" s="336">
        <f t="shared" si="3122"/>
        <v>0</v>
      </c>
      <c r="P4485" s="1124">
        <f t="shared" ref="P4485" si="3133">P4486</f>
        <v>0</v>
      </c>
      <c r="R4485" s="317"/>
      <c r="U4485" s="320"/>
    </row>
    <row r="4486" spans="1:21" s="344" customFormat="1" outlineLevel="3">
      <c r="A4486" s="345"/>
      <c r="B4486" s="345"/>
      <c r="C4486" s="340"/>
      <c r="D4486" s="1186" t="s">
        <v>765</v>
      </c>
      <c r="E4486" s="622"/>
      <c r="F4486" s="1187"/>
      <c r="G4486" s="422"/>
      <c r="H4486" s="422"/>
      <c r="I4486" s="324">
        <f t="shared" si="3107"/>
        <v>0</v>
      </c>
      <c r="J4486" s="422"/>
      <c r="K4486" s="422"/>
      <c r="L4486" s="317">
        <f t="shared" si="3132"/>
        <v>0</v>
      </c>
      <c r="M4486" s="317"/>
      <c r="N4486" s="372">
        <f t="shared" si="3093"/>
        <v>0</v>
      </c>
      <c r="O4486" s="336">
        <f t="shared" si="3122"/>
        <v>0</v>
      </c>
      <c r="P4486" s="319">
        <f t="shared" si="3126"/>
        <v>0</v>
      </c>
      <c r="R4486" s="317"/>
      <c r="U4486" s="320"/>
    </row>
    <row r="4487" spans="1:21" s="344" customFormat="1" outlineLevel="3">
      <c r="A4487" s="345"/>
      <c r="B4487" s="345"/>
      <c r="C4487" s="340">
        <v>3110500</v>
      </c>
      <c r="D4487" s="338" t="s">
        <v>260</v>
      </c>
      <c r="E4487" s="622">
        <f>E4488</f>
        <v>4619106</v>
      </c>
      <c r="F4487" s="622">
        <f t="shared" ref="F4487:K4487" si="3134">F4488</f>
        <v>0</v>
      </c>
      <c r="G4487" s="622">
        <f t="shared" si="3134"/>
        <v>0</v>
      </c>
      <c r="H4487" s="622">
        <f t="shared" si="3134"/>
        <v>0</v>
      </c>
      <c r="I4487" s="622">
        <f t="shared" si="3134"/>
        <v>4619106</v>
      </c>
      <c r="J4487" s="622">
        <f t="shared" si="3134"/>
        <v>0</v>
      </c>
      <c r="K4487" s="622">
        <f t="shared" si="3134"/>
        <v>0</v>
      </c>
      <c r="L4487" s="317">
        <f t="shared" si="3132"/>
        <v>4619106</v>
      </c>
      <c r="M4487" s="317"/>
      <c r="N4487" s="372">
        <f t="shared" si="3093"/>
        <v>0</v>
      </c>
      <c r="O4487" s="622">
        <f t="shared" ref="O4487:P4487" si="3135">O4488</f>
        <v>5081016.6000000006</v>
      </c>
      <c r="P4487" s="622">
        <f t="shared" si="3135"/>
        <v>5589118.2600000007</v>
      </c>
      <c r="R4487" s="317"/>
      <c r="U4487" s="320"/>
    </row>
    <row r="4488" spans="1:21" s="344" customFormat="1" outlineLevel="3">
      <c r="A4488" s="345"/>
      <c r="B4488" s="345"/>
      <c r="C4488" s="332">
        <v>3110599</v>
      </c>
      <c r="D4488" s="510" t="s">
        <v>766</v>
      </c>
      <c r="E4488" s="1205">
        <f>4619106</f>
        <v>4619106</v>
      </c>
      <c r="F4488" s="1206"/>
      <c r="G4488" s="422"/>
      <c r="H4488" s="422"/>
      <c r="I4488" s="324">
        <f t="shared" si="3107"/>
        <v>4619106</v>
      </c>
      <c r="J4488" s="422"/>
      <c r="K4488" s="422"/>
      <c r="L4488" s="317">
        <f t="shared" si="3132"/>
        <v>4619106</v>
      </c>
      <c r="M4488" s="317"/>
      <c r="N4488" s="372">
        <f t="shared" si="3093"/>
        <v>0</v>
      </c>
      <c r="O4488" s="336">
        <f t="shared" si="3122"/>
        <v>5081016.6000000006</v>
      </c>
      <c r="P4488" s="319">
        <f t="shared" si="3126"/>
        <v>5589118.2600000007</v>
      </c>
      <c r="R4488" s="317"/>
      <c r="U4488" s="320"/>
    </row>
    <row r="4489" spans="1:21" s="344" customFormat="1" outlineLevel="3">
      <c r="A4489" s="345"/>
      <c r="B4489" s="345"/>
      <c r="C4489" s="340">
        <v>3111100</v>
      </c>
      <c r="D4489" s="338" t="s">
        <v>73</v>
      </c>
      <c r="E4489" s="965">
        <f>E4490</f>
        <v>90000</v>
      </c>
      <c r="F4489" s="965">
        <f t="shared" ref="F4489:K4489" si="3136">F4490</f>
        <v>0</v>
      </c>
      <c r="G4489" s="965">
        <f t="shared" si="3136"/>
        <v>0</v>
      </c>
      <c r="H4489" s="965">
        <f t="shared" si="3136"/>
        <v>0</v>
      </c>
      <c r="I4489" s="965">
        <f t="shared" si="3136"/>
        <v>90000</v>
      </c>
      <c r="J4489" s="965">
        <f t="shared" si="3136"/>
        <v>0</v>
      </c>
      <c r="K4489" s="965">
        <f t="shared" si="3136"/>
        <v>0</v>
      </c>
      <c r="L4489" s="317">
        <f t="shared" si="3132"/>
        <v>90000</v>
      </c>
      <c r="M4489" s="2218"/>
      <c r="N4489" s="372">
        <f t="shared" ref="N4489:N4552" si="3137">M4489-K4489</f>
        <v>0</v>
      </c>
      <c r="O4489" s="965">
        <f t="shared" ref="O4489:P4489" si="3138">O4490</f>
        <v>99000.000000000015</v>
      </c>
      <c r="P4489" s="965">
        <f t="shared" si="3138"/>
        <v>108900.00000000003</v>
      </c>
      <c r="R4489" s="317"/>
      <c r="U4489" s="320"/>
    </row>
    <row r="4490" spans="1:21" s="344" customFormat="1" outlineLevel="2">
      <c r="A4490" s="345"/>
      <c r="B4490" s="345"/>
      <c r="C4490" s="332">
        <v>3111103</v>
      </c>
      <c r="D4490" s="345" t="s">
        <v>1332</v>
      </c>
      <c r="E4490" s="1205">
        <v>90000</v>
      </c>
      <c r="F4490" s="1207"/>
      <c r="G4490" s="422"/>
      <c r="H4490" s="422"/>
      <c r="I4490" s="324">
        <f t="shared" si="3107"/>
        <v>90000</v>
      </c>
      <c r="J4490" s="422"/>
      <c r="K4490" s="335"/>
      <c r="L4490" s="317">
        <f t="shared" si="3132"/>
        <v>90000</v>
      </c>
      <c r="M4490" s="317"/>
      <c r="N4490" s="372">
        <f t="shared" si="3137"/>
        <v>0</v>
      </c>
      <c r="O4490" s="336">
        <f t="shared" si="3122"/>
        <v>99000.000000000015</v>
      </c>
      <c r="P4490" s="1106">
        <f>O4490*1.1</f>
        <v>108900.00000000003</v>
      </c>
      <c r="R4490" s="317"/>
      <c r="U4490" s="320"/>
    </row>
    <row r="4491" spans="1:21" s="344" customFormat="1" outlineLevel="2">
      <c r="A4491" s="345"/>
      <c r="B4491" s="345"/>
      <c r="C4491" s="403">
        <v>4550200</v>
      </c>
      <c r="D4491" s="338" t="s">
        <v>760</v>
      </c>
      <c r="E4491" s="965">
        <f>E4492+E4493</f>
        <v>163015152</v>
      </c>
      <c r="F4491" s="965">
        <f t="shared" ref="F4491:P4491" si="3139">F4492+F4493</f>
        <v>116684923.26000001</v>
      </c>
      <c r="G4491" s="965">
        <f t="shared" si="3139"/>
        <v>0</v>
      </c>
      <c r="H4491" s="965">
        <f t="shared" si="3139"/>
        <v>-6500000</v>
      </c>
      <c r="I4491" s="965">
        <f t="shared" si="3139"/>
        <v>273200075.25999999</v>
      </c>
      <c r="J4491" s="965">
        <f t="shared" si="3139"/>
        <v>0</v>
      </c>
      <c r="K4491" s="965">
        <f t="shared" si="3139"/>
        <v>0</v>
      </c>
      <c r="L4491" s="317">
        <f t="shared" si="3132"/>
        <v>273200075.25999999</v>
      </c>
      <c r="M4491" s="2218"/>
      <c r="N4491" s="372">
        <f t="shared" si="3137"/>
        <v>0</v>
      </c>
      <c r="O4491" s="965">
        <f t="shared" si="3139"/>
        <v>300520082.78600001</v>
      </c>
      <c r="P4491" s="965">
        <f t="shared" si="3139"/>
        <v>330572091.06460005</v>
      </c>
      <c r="R4491" s="317"/>
      <c r="U4491" s="320"/>
    </row>
    <row r="4492" spans="1:21" s="344" customFormat="1" outlineLevel="2">
      <c r="A4492" s="345"/>
      <c r="B4492" s="345"/>
      <c r="C4492" s="401">
        <v>4550201</v>
      </c>
      <c r="D4492" s="330" t="s">
        <v>767</v>
      </c>
      <c r="E4492" s="1205">
        <v>151515152</v>
      </c>
      <c r="F4492" s="1205">
        <v>116684923.26000001</v>
      </c>
      <c r="G4492" s="422"/>
      <c r="H4492" s="422">
        <v>0</v>
      </c>
      <c r="I4492" s="324">
        <f t="shared" si="3107"/>
        <v>268200075.25999999</v>
      </c>
      <c r="J4492" s="422"/>
      <c r="K4492" s="422"/>
      <c r="L4492" s="317">
        <f t="shared" si="3132"/>
        <v>268200075.25999999</v>
      </c>
      <c r="M4492" s="317"/>
      <c r="N4492" s="372">
        <f t="shared" si="3137"/>
        <v>0</v>
      </c>
      <c r="O4492" s="336">
        <f t="shared" si="3122"/>
        <v>295020082.78600001</v>
      </c>
      <c r="P4492" s="319">
        <f t="shared" si="3126"/>
        <v>324522091.06460005</v>
      </c>
      <c r="R4492" s="317"/>
      <c r="U4492" s="320"/>
    </row>
    <row r="4493" spans="1:21" s="344" customFormat="1" outlineLevel="3">
      <c r="A4493" s="345"/>
      <c r="B4493" s="345"/>
      <c r="C4493" s="401"/>
      <c r="D4493" s="330" t="s">
        <v>1333</v>
      </c>
      <c r="E4493" s="1205">
        <v>11500000</v>
      </c>
      <c r="F4493" s="1208"/>
      <c r="G4493" s="1073"/>
      <c r="H4493" s="1073">
        <v>-6500000</v>
      </c>
      <c r="I4493" s="324">
        <f t="shared" si="3107"/>
        <v>5000000</v>
      </c>
      <c r="J4493" s="1073"/>
      <c r="K4493" s="1073"/>
      <c r="L4493" s="317">
        <f t="shared" si="3132"/>
        <v>5000000</v>
      </c>
      <c r="M4493" s="317"/>
      <c r="N4493" s="372">
        <f t="shared" si="3137"/>
        <v>0</v>
      </c>
      <c r="O4493" s="336">
        <f t="shared" si="3122"/>
        <v>5500000</v>
      </c>
      <c r="P4493" s="319">
        <f t="shared" ref="P4493:P4512" si="3140">O4493*1.1</f>
        <v>6050000.0000000009</v>
      </c>
      <c r="R4493" s="317"/>
      <c r="U4493" s="320"/>
    </row>
    <row r="4494" spans="1:21" s="344" customFormat="1" outlineLevel="3">
      <c r="A4494" s="345"/>
      <c r="B4494" s="345"/>
      <c r="C4494" s="340"/>
      <c r="D4494" s="1209" t="s">
        <v>167</v>
      </c>
      <c r="E4494" s="965">
        <f>E4489+E4487+E4491</f>
        <v>167724258</v>
      </c>
      <c r="F4494" s="965">
        <f t="shared" ref="F4494:K4494" si="3141">F4489+F4487+F4491</f>
        <v>116684923.26000001</v>
      </c>
      <c r="G4494" s="965">
        <f t="shared" si="3141"/>
        <v>0</v>
      </c>
      <c r="H4494" s="965">
        <f t="shared" si="3141"/>
        <v>-6500000</v>
      </c>
      <c r="I4494" s="965">
        <f t="shared" si="3141"/>
        <v>277909181.25999999</v>
      </c>
      <c r="J4494" s="965">
        <f t="shared" si="3141"/>
        <v>0</v>
      </c>
      <c r="K4494" s="965">
        <f t="shared" si="3141"/>
        <v>0</v>
      </c>
      <c r="L4494" s="317">
        <f t="shared" si="3132"/>
        <v>277909181.25999999</v>
      </c>
      <c r="M4494" s="2218"/>
      <c r="N4494" s="372">
        <f t="shared" si="3137"/>
        <v>0</v>
      </c>
      <c r="O4494" s="965">
        <f t="shared" ref="O4494:P4494" si="3142">O4489+O4487+O4491</f>
        <v>305700099.38600004</v>
      </c>
      <c r="P4494" s="965">
        <f t="shared" si="3142"/>
        <v>336270109.32460004</v>
      </c>
      <c r="R4494" s="317"/>
      <c r="U4494" s="320"/>
    </row>
    <row r="4495" spans="1:21" s="344" customFormat="1" outlineLevel="3">
      <c r="A4495" s="345"/>
      <c r="B4495" s="345"/>
      <c r="C4495" s="340"/>
      <c r="D4495" s="1210" t="s">
        <v>84</v>
      </c>
      <c r="E4495" s="622">
        <f>E4494+E4483</f>
        <v>210678846</v>
      </c>
      <c r="F4495" s="622">
        <f t="shared" ref="F4495:P4495" si="3143">F4494+F4483</f>
        <v>116684923.26000001</v>
      </c>
      <c r="G4495" s="622">
        <f t="shared" si="3143"/>
        <v>0</v>
      </c>
      <c r="H4495" s="622">
        <f t="shared" si="3143"/>
        <v>-6500000</v>
      </c>
      <c r="I4495" s="622">
        <f t="shared" si="3143"/>
        <v>320863769.25999999</v>
      </c>
      <c r="J4495" s="622">
        <f t="shared" si="3143"/>
        <v>-3072950</v>
      </c>
      <c r="K4495" s="622">
        <f t="shared" si="3143"/>
        <v>0</v>
      </c>
      <c r="L4495" s="317">
        <f t="shared" si="3132"/>
        <v>317790819.25999999</v>
      </c>
      <c r="M4495" s="317"/>
      <c r="N4495" s="372">
        <f t="shared" si="3137"/>
        <v>0</v>
      </c>
      <c r="O4495" s="622">
        <f t="shared" si="3143"/>
        <v>349569901.18600005</v>
      </c>
      <c r="P4495" s="622">
        <f t="shared" si="3143"/>
        <v>384526891.30460006</v>
      </c>
      <c r="R4495" s="317"/>
      <c r="U4495" s="320"/>
    </row>
    <row r="4496" spans="1:21" s="344" customFormat="1" outlineLevel="3">
      <c r="A4496" s="345"/>
      <c r="B4496" s="345"/>
      <c r="C4496" s="332"/>
      <c r="D4496" s="330"/>
      <c r="E4496" s="422"/>
      <c r="F4496" s="389"/>
      <c r="G4496" s="422"/>
      <c r="H4496" s="422"/>
      <c r="I4496" s="324">
        <f t="shared" si="3107"/>
        <v>0</v>
      </c>
      <c r="J4496" s="422"/>
      <c r="K4496" s="422"/>
      <c r="L4496" s="317">
        <f t="shared" si="3132"/>
        <v>0</v>
      </c>
      <c r="M4496" s="317"/>
      <c r="N4496" s="372">
        <f t="shared" si="3137"/>
        <v>0</v>
      </c>
      <c r="O4496" s="336">
        <f t="shared" si="3122"/>
        <v>0</v>
      </c>
      <c r="P4496" s="319">
        <f t="shared" si="3140"/>
        <v>0</v>
      </c>
      <c r="R4496" s="317"/>
      <c r="U4496" s="320"/>
    </row>
    <row r="4497" spans="1:21" s="344" customFormat="1" outlineLevel="3">
      <c r="A4497" s="345"/>
      <c r="B4497" s="345"/>
      <c r="C4497" s="1194" t="s">
        <v>768</v>
      </c>
      <c r="D4497" s="330"/>
      <c r="E4497" s="422"/>
      <c r="F4497" s="389"/>
      <c r="G4497" s="1073"/>
      <c r="H4497" s="1073"/>
      <c r="I4497" s="324">
        <f t="shared" si="3107"/>
        <v>0</v>
      </c>
      <c r="J4497" s="1073"/>
      <c r="K4497" s="1073"/>
      <c r="L4497" s="317">
        <f t="shared" si="3132"/>
        <v>0</v>
      </c>
      <c r="M4497" s="317"/>
      <c r="N4497" s="372">
        <f t="shared" si="3137"/>
        <v>0</v>
      </c>
      <c r="O4497" s="336">
        <f t="shared" si="3122"/>
        <v>0</v>
      </c>
      <c r="P4497" s="319">
        <f t="shared" si="3140"/>
        <v>0</v>
      </c>
      <c r="R4497" s="317"/>
      <c r="U4497" s="320"/>
    </row>
    <row r="4498" spans="1:21" s="344" customFormat="1" outlineLevel="3">
      <c r="A4498" s="345"/>
      <c r="B4498" s="345"/>
      <c r="C4498" s="340">
        <v>2110200</v>
      </c>
      <c r="D4498" s="338" t="s">
        <v>148</v>
      </c>
      <c r="E4498" s="622">
        <f>E4499</f>
        <v>6860000</v>
      </c>
      <c r="F4498" s="622">
        <f t="shared" ref="F4498:P4498" si="3144">F4499</f>
        <v>0</v>
      </c>
      <c r="G4498" s="622">
        <f t="shared" si="3144"/>
        <v>0</v>
      </c>
      <c r="H4498" s="622">
        <f t="shared" si="3144"/>
        <v>0</v>
      </c>
      <c r="I4498" s="622">
        <f t="shared" si="3144"/>
        <v>6860000</v>
      </c>
      <c r="J4498" s="622">
        <f t="shared" si="3144"/>
        <v>-1200000</v>
      </c>
      <c r="K4498" s="622">
        <f t="shared" si="3144"/>
        <v>0</v>
      </c>
      <c r="L4498" s="317">
        <f t="shared" si="3132"/>
        <v>5660000</v>
      </c>
      <c r="M4498" s="317"/>
      <c r="N4498" s="372">
        <f t="shared" si="3137"/>
        <v>0</v>
      </c>
      <c r="O4498" s="622">
        <f t="shared" si="3144"/>
        <v>6226000.0000000009</v>
      </c>
      <c r="P4498" s="622">
        <f t="shared" si="3144"/>
        <v>6848600.0000000019</v>
      </c>
      <c r="R4498" s="317"/>
      <c r="U4498" s="320"/>
    </row>
    <row r="4499" spans="1:21" s="684" customFormat="1" outlineLevel="3">
      <c r="A4499" s="685"/>
      <c r="B4499" s="685"/>
      <c r="C4499" s="1196">
        <v>2110202</v>
      </c>
      <c r="D4499" s="1197" t="s">
        <v>1334</v>
      </c>
      <c r="E4499" s="1198">
        <v>6860000</v>
      </c>
      <c r="F4499" s="1199"/>
      <c r="G4499" s="1198"/>
      <c r="H4499" s="1198"/>
      <c r="I4499" s="690">
        <f t="shared" si="3107"/>
        <v>6860000</v>
      </c>
      <c r="J4499" s="1198">
        <v>-1200000</v>
      </c>
      <c r="K4499" s="1211"/>
      <c r="L4499" s="317">
        <f t="shared" si="3132"/>
        <v>5660000</v>
      </c>
      <c r="M4499" s="317"/>
      <c r="N4499" s="372">
        <f t="shared" si="3137"/>
        <v>0</v>
      </c>
      <c r="O4499" s="1069">
        <f t="shared" si="3122"/>
        <v>6226000.0000000009</v>
      </c>
      <c r="P4499" s="692">
        <f t="shared" si="3140"/>
        <v>6848600.0000000019</v>
      </c>
      <c r="R4499" s="317"/>
      <c r="U4499" s="320" t="s">
        <v>1803</v>
      </c>
    </row>
    <row r="4500" spans="1:21" s="344" customFormat="1" outlineLevel="3">
      <c r="A4500" s="345"/>
      <c r="B4500" s="345"/>
      <c r="C4500" s="340">
        <v>2210100</v>
      </c>
      <c r="D4500" s="338" t="s">
        <v>285</v>
      </c>
      <c r="E4500" s="622">
        <f>E4501+E4502</f>
        <v>277363</v>
      </c>
      <c r="F4500" s="622">
        <f t="shared" ref="F4500:P4500" si="3145">F4501+F4502</f>
        <v>0</v>
      </c>
      <c r="G4500" s="622">
        <f t="shared" si="3145"/>
        <v>0</v>
      </c>
      <c r="H4500" s="622">
        <f t="shared" si="3145"/>
        <v>0</v>
      </c>
      <c r="I4500" s="622">
        <f t="shared" si="3145"/>
        <v>277363</v>
      </c>
      <c r="J4500" s="622">
        <f t="shared" si="3145"/>
        <v>0</v>
      </c>
      <c r="K4500" s="622">
        <f t="shared" si="3145"/>
        <v>0</v>
      </c>
      <c r="L4500" s="317">
        <f t="shared" si="3132"/>
        <v>277363</v>
      </c>
      <c r="M4500" s="317"/>
      <c r="N4500" s="372">
        <f t="shared" si="3137"/>
        <v>0</v>
      </c>
      <c r="O4500" s="622">
        <f t="shared" si="3145"/>
        <v>305099.30000000005</v>
      </c>
      <c r="P4500" s="622">
        <f t="shared" si="3145"/>
        <v>335609.2300000001</v>
      </c>
      <c r="R4500" s="317"/>
      <c r="U4500" s="320"/>
    </row>
    <row r="4501" spans="1:21" s="344" customFormat="1" outlineLevel="3">
      <c r="A4501" s="345"/>
      <c r="B4501" s="345"/>
      <c r="C4501" s="332">
        <v>2210101</v>
      </c>
      <c r="D4501" s="330" t="s">
        <v>17</v>
      </c>
      <c r="E4501" s="422">
        <v>184200</v>
      </c>
      <c r="F4501" s="389"/>
      <c r="G4501" s="1073"/>
      <c r="H4501" s="1073"/>
      <c r="I4501" s="324">
        <f t="shared" si="3107"/>
        <v>184200</v>
      </c>
      <c r="J4501" s="1073"/>
      <c r="K4501" s="1073"/>
      <c r="L4501" s="317">
        <f t="shared" si="3132"/>
        <v>184200</v>
      </c>
      <c r="M4501" s="317"/>
      <c r="N4501" s="372">
        <f t="shared" si="3137"/>
        <v>0</v>
      </c>
      <c r="O4501" s="336">
        <f t="shared" si="3122"/>
        <v>202620.00000000003</v>
      </c>
      <c r="P4501" s="319">
        <f t="shared" si="3140"/>
        <v>222882.00000000006</v>
      </c>
      <c r="R4501" s="317"/>
      <c r="U4501" s="320"/>
    </row>
    <row r="4502" spans="1:21" s="344" customFormat="1" outlineLevel="3">
      <c r="A4502" s="345"/>
      <c r="B4502" s="345"/>
      <c r="C4502" s="332">
        <v>2210102</v>
      </c>
      <c r="D4502" s="330" t="s">
        <v>18</v>
      </c>
      <c r="E4502" s="422">
        <v>93163</v>
      </c>
      <c r="F4502" s="389"/>
      <c r="G4502" s="422"/>
      <c r="H4502" s="422"/>
      <c r="I4502" s="324">
        <f t="shared" si="3107"/>
        <v>93163</v>
      </c>
      <c r="J4502" s="422"/>
      <c r="K4502" s="422"/>
      <c r="L4502" s="317">
        <f t="shared" si="3132"/>
        <v>93163</v>
      </c>
      <c r="M4502" s="317"/>
      <c r="N4502" s="372">
        <f t="shared" si="3137"/>
        <v>0</v>
      </c>
      <c r="O4502" s="336">
        <f t="shared" si="3122"/>
        <v>102479.3</v>
      </c>
      <c r="P4502" s="319">
        <f t="shared" si="3140"/>
        <v>112727.23000000001</v>
      </c>
      <c r="R4502" s="317"/>
      <c r="U4502" s="320"/>
    </row>
    <row r="4503" spans="1:21" s="344" customFormat="1" outlineLevel="2">
      <c r="A4503" s="345"/>
      <c r="B4503" s="345"/>
      <c r="C4503" s="340">
        <v>2210200</v>
      </c>
      <c r="D4503" s="338" t="s">
        <v>286</v>
      </c>
      <c r="E4503" s="622">
        <f>E4504+E4505+E4506</f>
        <v>437317</v>
      </c>
      <c r="F4503" s="622">
        <f t="shared" ref="F4503:K4503" si="3146">F4504+F4505+F4506</f>
        <v>0</v>
      </c>
      <c r="G4503" s="622">
        <f t="shared" si="3146"/>
        <v>0</v>
      </c>
      <c r="H4503" s="622">
        <f t="shared" si="3146"/>
        <v>0</v>
      </c>
      <c r="I4503" s="622">
        <f t="shared" si="3146"/>
        <v>437317</v>
      </c>
      <c r="J4503" s="622">
        <f t="shared" si="3146"/>
        <v>0</v>
      </c>
      <c r="K4503" s="622">
        <f t="shared" si="3146"/>
        <v>0</v>
      </c>
      <c r="L4503" s="317">
        <f t="shared" si="3132"/>
        <v>437317</v>
      </c>
      <c r="M4503" s="317"/>
      <c r="N4503" s="372">
        <f t="shared" si="3137"/>
        <v>0</v>
      </c>
      <c r="O4503" s="622">
        <f t="shared" ref="O4503:P4503" si="3147">O4504+O4505+O4506</f>
        <v>481048.70000000007</v>
      </c>
      <c r="P4503" s="622">
        <f t="shared" si="3147"/>
        <v>529153.57000000007</v>
      </c>
      <c r="R4503" s="317"/>
      <c r="U4503" s="320"/>
    </row>
    <row r="4504" spans="1:21" s="344" customFormat="1" outlineLevel="1">
      <c r="A4504" s="345"/>
      <c r="B4504" s="345"/>
      <c r="C4504" s="332">
        <v>2210201</v>
      </c>
      <c r="D4504" s="330" t="s">
        <v>21</v>
      </c>
      <c r="E4504" s="422">
        <v>238000</v>
      </c>
      <c r="F4504" s="389"/>
      <c r="G4504" s="422"/>
      <c r="H4504" s="422"/>
      <c r="I4504" s="324">
        <f t="shared" si="3107"/>
        <v>238000</v>
      </c>
      <c r="J4504" s="422"/>
      <c r="K4504" s="422"/>
      <c r="L4504" s="317">
        <f t="shared" si="3132"/>
        <v>238000</v>
      </c>
      <c r="M4504" s="317"/>
      <c r="N4504" s="372">
        <f t="shared" si="3137"/>
        <v>0</v>
      </c>
      <c r="O4504" s="336">
        <f t="shared" si="3122"/>
        <v>261800.00000000003</v>
      </c>
      <c r="P4504" s="319">
        <f t="shared" si="3140"/>
        <v>287980.00000000006</v>
      </c>
      <c r="R4504" s="317"/>
      <c r="U4504" s="320"/>
    </row>
    <row r="4505" spans="1:21" s="344" customFormat="1" outlineLevel="1">
      <c r="A4505" s="345"/>
      <c r="B4505" s="345"/>
      <c r="C4505" s="332">
        <v>2210202</v>
      </c>
      <c r="D4505" s="510" t="s">
        <v>22</v>
      </c>
      <c r="E4505" s="422">
        <v>174000</v>
      </c>
      <c r="F4505" s="481"/>
      <c r="G4505" s="1073"/>
      <c r="H4505" s="1073"/>
      <c r="I4505" s="324">
        <f t="shared" si="3107"/>
        <v>174000</v>
      </c>
      <c r="J4505" s="1073"/>
      <c r="K4505" s="1073"/>
      <c r="L4505" s="317">
        <f t="shared" si="3132"/>
        <v>174000</v>
      </c>
      <c r="M4505" s="317"/>
      <c r="N4505" s="372">
        <f t="shared" si="3137"/>
        <v>0</v>
      </c>
      <c r="O4505" s="336">
        <f t="shared" si="3122"/>
        <v>191400.00000000003</v>
      </c>
      <c r="P4505" s="319">
        <f t="shared" si="3140"/>
        <v>210540.00000000006</v>
      </c>
      <c r="R4505" s="317"/>
      <c r="U4505" s="320"/>
    </row>
    <row r="4506" spans="1:21" s="344" customFormat="1" outlineLevel="1">
      <c r="A4506" s="345"/>
      <c r="B4506" s="345"/>
      <c r="C4506" s="332">
        <v>2210207</v>
      </c>
      <c r="D4506" s="330" t="s">
        <v>769</v>
      </c>
      <c r="E4506" s="422">
        <v>25317</v>
      </c>
      <c r="F4506" s="389"/>
      <c r="G4506" s="422"/>
      <c r="H4506" s="422"/>
      <c r="I4506" s="324">
        <f t="shared" si="3107"/>
        <v>25317</v>
      </c>
      <c r="J4506" s="422"/>
      <c r="K4506" s="422"/>
      <c r="L4506" s="317">
        <f t="shared" si="3132"/>
        <v>25317</v>
      </c>
      <c r="M4506" s="317"/>
      <c r="N4506" s="372">
        <f t="shared" si="3137"/>
        <v>0</v>
      </c>
      <c r="O4506" s="336">
        <f t="shared" si="3122"/>
        <v>27848.7</v>
      </c>
      <c r="P4506" s="319">
        <f t="shared" si="3140"/>
        <v>30633.570000000003</v>
      </c>
      <c r="R4506" s="317"/>
      <c r="U4506" s="320"/>
    </row>
    <row r="4507" spans="1:21" s="344" customFormat="1" outlineLevel="3">
      <c r="A4507" s="345"/>
      <c r="B4507" s="345"/>
      <c r="C4507" s="340">
        <v>2210300</v>
      </c>
      <c r="D4507" s="338" t="s">
        <v>267</v>
      </c>
      <c r="E4507" s="622">
        <f>E4508+E4509+E4510</f>
        <v>1518615</v>
      </c>
      <c r="F4507" s="622">
        <f t="shared" ref="F4507:P4507" si="3148">F4508+F4509+F4510</f>
        <v>0</v>
      </c>
      <c r="G4507" s="622">
        <f t="shared" si="3148"/>
        <v>0</v>
      </c>
      <c r="H4507" s="622">
        <f t="shared" si="3148"/>
        <v>0</v>
      </c>
      <c r="I4507" s="622">
        <f t="shared" si="3148"/>
        <v>1518615</v>
      </c>
      <c r="J4507" s="622">
        <f t="shared" si="3148"/>
        <v>0</v>
      </c>
      <c r="K4507" s="622">
        <f t="shared" si="3148"/>
        <v>0</v>
      </c>
      <c r="L4507" s="317">
        <f t="shared" si="3132"/>
        <v>1518615</v>
      </c>
      <c r="M4507" s="317"/>
      <c r="N4507" s="372">
        <f t="shared" si="3137"/>
        <v>0</v>
      </c>
      <c r="O4507" s="622">
        <f t="shared" si="3148"/>
        <v>1670476.5000000002</v>
      </c>
      <c r="P4507" s="622">
        <f t="shared" si="3148"/>
        <v>1837524.1500000004</v>
      </c>
      <c r="R4507" s="317"/>
      <c r="U4507" s="320"/>
    </row>
    <row r="4508" spans="1:21" s="344" customFormat="1" outlineLevel="3">
      <c r="A4508" s="345"/>
      <c r="B4508" s="345"/>
      <c r="C4508" s="332">
        <v>2210301</v>
      </c>
      <c r="D4508" s="330" t="s">
        <v>25</v>
      </c>
      <c r="E4508" s="422">
        <v>346885</v>
      </c>
      <c r="F4508" s="389"/>
      <c r="G4508" s="422"/>
      <c r="H4508" s="422"/>
      <c r="I4508" s="324">
        <f t="shared" ref="I4508:I4570" si="3149">E4508+F4508+G4508+H4508</f>
        <v>346885</v>
      </c>
      <c r="J4508" s="422"/>
      <c r="K4508" s="422"/>
      <c r="L4508" s="317">
        <f t="shared" si="3132"/>
        <v>346885</v>
      </c>
      <c r="M4508" s="317"/>
      <c r="N4508" s="372">
        <f t="shared" si="3137"/>
        <v>0</v>
      </c>
      <c r="O4508" s="336">
        <f t="shared" si="3122"/>
        <v>381573.50000000006</v>
      </c>
      <c r="P4508" s="319">
        <f t="shared" si="3140"/>
        <v>419730.85000000009</v>
      </c>
      <c r="R4508" s="317"/>
      <c r="U4508" s="320"/>
    </row>
    <row r="4509" spans="1:21" s="344" customFormat="1" outlineLevel="3">
      <c r="A4509" s="345"/>
      <c r="B4509" s="345"/>
      <c r="C4509" s="332">
        <v>2210302</v>
      </c>
      <c r="D4509" s="330" t="s">
        <v>485</v>
      </c>
      <c r="E4509" s="422">
        <v>449560</v>
      </c>
      <c r="F4509" s="389"/>
      <c r="G4509" s="1073"/>
      <c r="H4509" s="1073"/>
      <c r="I4509" s="324">
        <f t="shared" si="3149"/>
        <v>449560</v>
      </c>
      <c r="J4509" s="1073"/>
      <c r="K4509" s="1073"/>
      <c r="L4509" s="317">
        <f t="shared" si="3132"/>
        <v>449560</v>
      </c>
      <c r="M4509" s="317"/>
      <c r="N4509" s="372">
        <f t="shared" si="3137"/>
        <v>0</v>
      </c>
      <c r="O4509" s="336">
        <f t="shared" si="3122"/>
        <v>494516.00000000006</v>
      </c>
      <c r="P4509" s="319">
        <f t="shared" si="3140"/>
        <v>543967.60000000009</v>
      </c>
      <c r="R4509" s="317"/>
      <c r="U4509" s="320"/>
    </row>
    <row r="4510" spans="1:21" s="344" customFormat="1" outlineLevel="3">
      <c r="A4510" s="345"/>
      <c r="B4510" s="345"/>
      <c r="C4510" s="332">
        <v>2210303</v>
      </c>
      <c r="D4510" s="330" t="s">
        <v>27</v>
      </c>
      <c r="E4510" s="422">
        <v>722170</v>
      </c>
      <c r="F4510" s="389"/>
      <c r="G4510" s="422"/>
      <c r="H4510" s="422"/>
      <c r="I4510" s="324">
        <f t="shared" si="3149"/>
        <v>722170</v>
      </c>
      <c r="J4510" s="422"/>
      <c r="K4510" s="422"/>
      <c r="L4510" s="317">
        <f t="shared" si="3132"/>
        <v>722170</v>
      </c>
      <c r="M4510" s="317"/>
      <c r="N4510" s="372">
        <f t="shared" si="3137"/>
        <v>0</v>
      </c>
      <c r="O4510" s="336">
        <f t="shared" si="3122"/>
        <v>794387.00000000012</v>
      </c>
      <c r="P4510" s="319">
        <f t="shared" si="3140"/>
        <v>873825.70000000019</v>
      </c>
      <c r="R4510" s="317"/>
      <c r="U4510" s="320"/>
    </row>
    <row r="4511" spans="1:21" s="344" customFormat="1" outlineLevel="3">
      <c r="A4511" s="345"/>
      <c r="B4511" s="345"/>
      <c r="C4511" s="340">
        <v>2210500</v>
      </c>
      <c r="D4511" s="338" t="s">
        <v>31</v>
      </c>
      <c r="E4511" s="622">
        <f>E4512</f>
        <v>381200</v>
      </c>
      <c r="F4511" s="622">
        <f t="shared" ref="F4511:K4511" si="3150">F4512</f>
        <v>0</v>
      </c>
      <c r="G4511" s="622">
        <f t="shared" si="3150"/>
        <v>0</v>
      </c>
      <c r="H4511" s="622">
        <f t="shared" si="3150"/>
        <v>0</v>
      </c>
      <c r="I4511" s="622">
        <f t="shared" si="3150"/>
        <v>381200</v>
      </c>
      <c r="J4511" s="622">
        <f t="shared" si="3150"/>
        <v>0</v>
      </c>
      <c r="K4511" s="622">
        <f t="shared" si="3150"/>
        <v>0</v>
      </c>
      <c r="L4511" s="317">
        <f t="shared" si="3132"/>
        <v>381200</v>
      </c>
      <c r="M4511" s="317"/>
      <c r="N4511" s="372">
        <f t="shared" si="3137"/>
        <v>0</v>
      </c>
      <c r="O4511" s="622">
        <f t="shared" ref="O4511:P4511" si="3151">O4512</f>
        <v>419320.00000000006</v>
      </c>
      <c r="P4511" s="622">
        <f t="shared" si="3151"/>
        <v>461252.00000000012</v>
      </c>
      <c r="R4511" s="317"/>
      <c r="U4511" s="320"/>
    </row>
    <row r="4512" spans="1:21" s="344" customFormat="1" outlineLevel="3">
      <c r="A4512" s="345"/>
      <c r="B4512" s="345"/>
      <c r="C4512" s="332">
        <v>2210599</v>
      </c>
      <c r="D4512" s="330" t="s">
        <v>1774</v>
      </c>
      <c r="E4512" s="422">
        <v>381200</v>
      </c>
      <c r="F4512" s="389"/>
      <c r="G4512" s="422"/>
      <c r="H4512" s="422"/>
      <c r="I4512" s="324">
        <f t="shared" si="3149"/>
        <v>381200</v>
      </c>
      <c r="J4512" s="422"/>
      <c r="K4512" s="422"/>
      <c r="L4512" s="317">
        <f t="shared" si="3132"/>
        <v>381200</v>
      </c>
      <c r="M4512" s="317"/>
      <c r="N4512" s="372">
        <f t="shared" si="3137"/>
        <v>0</v>
      </c>
      <c r="O4512" s="336">
        <f t="shared" si="3122"/>
        <v>419320.00000000006</v>
      </c>
      <c r="P4512" s="319">
        <f t="shared" si="3140"/>
        <v>461252.00000000012</v>
      </c>
      <c r="R4512" s="317"/>
      <c r="U4512" s="320"/>
    </row>
    <row r="4513" spans="1:21" s="344" customFormat="1" outlineLevel="3">
      <c r="A4513" s="345"/>
      <c r="B4513" s="345"/>
      <c r="C4513" s="340">
        <v>2210600</v>
      </c>
      <c r="D4513" s="338" t="s">
        <v>770</v>
      </c>
      <c r="E4513" s="622">
        <f>E4514</f>
        <v>65054</v>
      </c>
      <c r="F4513" s="622">
        <f t="shared" ref="F4513:I4513" si="3152">F4514</f>
        <v>0</v>
      </c>
      <c r="G4513" s="622">
        <f t="shared" si="3152"/>
        <v>0</v>
      </c>
      <c r="H4513" s="622">
        <f t="shared" si="3152"/>
        <v>0</v>
      </c>
      <c r="I4513" s="622">
        <f t="shared" si="3152"/>
        <v>65054</v>
      </c>
      <c r="J4513" s="622"/>
      <c r="K4513" s="622"/>
      <c r="L4513" s="317">
        <f t="shared" si="3132"/>
        <v>65054</v>
      </c>
      <c r="M4513" s="317"/>
      <c r="N4513" s="372">
        <f t="shared" si="3137"/>
        <v>0</v>
      </c>
      <c r="O4513" s="622">
        <f t="shared" ref="O4513:P4513" si="3153">O4514</f>
        <v>71559.400000000009</v>
      </c>
      <c r="P4513" s="622">
        <f t="shared" si="3153"/>
        <v>78715.340000000011</v>
      </c>
      <c r="R4513" s="317"/>
      <c r="U4513" s="320"/>
    </row>
    <row r="4514" spans="1:21" s="344" customFormat="1" outlineLevel="3">
      <c r="A4514" s="345"/>
      <c r="B4514" s="345"/>
      <c r="C4514" s="332">
        <v>2210604</v>
      </c>
      <c r="D4514" s="330" t="s">
        <v>193</v>
      </c>
      <c r="E4514" s="422">
        <v>65054</v>
      </c>
      <c r="F4514" s="389"/>
      <c r="G4514" s="422"/>
      <c r="H4514" s="422"/>
      <c r="I4514" s="324">
        <f t="shared" si="3149"/>
        <v>65054</v>
      </c>
      <c r="J4514" s="422"/>
      <c r="K4514" s="549"/>
      <c r="L4514" s="317">
        <f t="shared" si="3132"/>
        <v>65054</v>
      </c>
      <c r="M4514" s="317"/>
      <c r="N4514" s="372">
        <f t="shared" si="3137"/>
        <v>0</v>
      </c>
      <c r="O4514" s="336">
        <f t="shared" si="3122"/>
        <v>71559.400000000009</v>
      </c>
      <c r="P4514" s="319">
        <f t="shared" ref="P4514:P4532" si="3154">O4514*1.1</f>
        <v>78715.340000000011</v>
      </c>
      <c r="Q4514" s="1190" t="s">
        <v>2511</v>
      </c>
      <c r="R4514" s="317"/>
      <c r="U4514" s="320"/>
    </row>
    <row r="4515" spans="1:21" s="344" customFormat="1" outlineLevel="3">
      <c r="A4515" s="345"/>
      <c r="B4515" s="345"/>
      <c r="C4515" s="340">
        <v>2210700</v>
      </c>
      <c r="D4515" s="338" t="s">
        <v>271</v>
      </c>
      <c r="E4515" s="622">
        <f>E4516+E4517+E4518</f>
        <v>1536099</v>
      </c>
      <c r="F4515" s="622">
        <f t="shared" ref="F4515:P4515" si="3155">F4516+F4517+F4518</f>
        <v>0</v>
      </c>
      <c r="G4515" s="622">
        <f t="shared" si="3155"/>
        <v>0</v>
      </c>
      <c r="H4515" s="622">
        <f t="shared" si="3155"/>
        <v>0</v>
      </c>
      <c r="I4515" s="622">
        <f t="shared" si="3155"/>
        <v>1536099</v>
      </c>
      <c r="J4515" s="622">
        <f t="shared" si="3155"/>
        <v>0</v>
      </c>
      <c r="K4515" s="622">
        <f t="shared" si="3155"/>
        <v>0</v>
      </c>
      <c r="L4515" s="317">
        <f t="shared" si="3132"/>
        <v>1536099</v>
      </c>
      <c r="M4515" s="317"/>
      <c r="N4515" s="372">
        <f t="shared" si="3137"/>
        <v>0</v>
      </c>
      <c r="O4515" s="622">
        <f t="shared" si="3155"/>
        <v>1689708.9000000001</v>
      </c>
      <c r="P4515" s="622">
        <f t="shared" si="3155"/>
        <v>1858679.7900000003</v>
      </c>
      <c r="R4515" s="317"/>
      <c r="U4515" s="320"/>
    </row>
    <row r="4516" spans="1:21" s="344" customFormat="1" outlineLevel="3">
      <c r="A4516" s="345"/>
      <c r="B4516" s="345"/>
      <c r="C4516" s="332">
        <v>2210701</v>
      </c>
      <c r="D4516" s="330" t="s">
        <v>771</v>
      </c>
      <c r="E4516" s="422">
        <v>886766</v>
      </c>
      <c r="F4516" s="389"/>
      <c r="G4516" s="422"/>
      <c r="H4516" s="422"/>
      <c r="I4516" s="324">
        <f t="shared" si="3149"/>
        <v>886766</v>
      </c>
      <c r="J4516" s="422"/>
      <c r="K4516" s="422"/>
      <c r="L4516" s="317">
        <f t="shared" si="3132"/>
        <v>886766</v>
      </c>
      <c r="M4516" s="317"/>
      <c r="N4516" s="372">
        <f t="shared" si="3137"/>
        <v>0</v>
      </c>
      <c r="O4516" s="336">
        <f t="shared" si="3122"/>
        <v>975442.60000000009</v>
      </c>
      <c r="P4516" s="319">
        <f t="shared" si="3154"/>
        <v>1072986.8600000001</v>
      </c>
      <c r="R4516" s="317"/>
      <c r="U4516" s="320"/>
    </row>
    <row r="4517" spans="1:21" s="344" customFormat="1" outlineLevel="3">
      <c r="A4517" s="345"/>
      <c r="B4517" s="345"/>
      <c r="C4517" s="332">
        <v>2210704</v>
      </c>
      <c r="D4517" s="330" t="s">
        <v>38</v>
      </c>
      <c r="E4517" s="422">
        <v>258593</v>
      </c>
      <c r="F4517" s="389"/>
      <c r="G4517" s="1073"/>
      <c r="H4517" s="1073"/>
      <c r="I4517" s="324">
        <f t="shared" si="3149"/>
        <v>258593</v>
      </c>
      <c r="J4517" s="1073"/>
      <c r="K4517" s="549"/>
      <c r="L4517" s="317">
        <f t="shared" si="3132"/>
        <v>258593</v>
      </c>
      <c r="M4517" s="317"/>
      <c r="N4517" s="372">
        <f t="shared" si="3137"/>
        <v>0</v>
      </c>
      <c r="O4517" s="336">
        <f t="shared" si="3122"/>
        <v>284452.30000000005</v>
      </c>
      <c r="P4517" s="319">
        <f t="shared" si="3154"/>
        <v>312897.53000000009</v>
      </c>
      <c r="Q4517" s="1190" t="s">
        <v>2513</v>
      </c>
      <c r="R4517" s="317"/>
      <c r="U4517" s="320"/>
    </row>
    <row r="4518" spans="1:21" s="344" customFormat="1" outlineLevel="3">
      <c r="A4518" s="345"/>
      <c r="B4518" s="345"/>
      <c r="C4518" s="332">
        <v>2210710</v>
      </c>
      <c r="D4518" s="330" t="s">
        <v>308</v>
      </c>
      <c r="E4518" s="422">
        <v>390740</v>
      </c>
      <c r="F4518" s="389"/>
      <c r="G4518" s="422"/>
      <c r="H4518" s="422"/>
      <c r="I4518" s="324">
        <f t="shared" si="3149"/>
        <v>390740</v>
      </c>
      <c r="J4518" s="422"/>
      <c r="K4518" s="549"/>
      <c r="L4518" s="317">
        <f t="shared" si="3132"/>
        <v>390740</v>
      </c>
      <c r="M4518" s="317"/>
      <c r="N4518" s="372">
        <f t="shared" si="3137"/>
        <v>0</v>
      </c>
      <c r="O4518" s="336">
        <f t="shared" si="3122"/>
        <v>429814.00000000006</v>
      </c>
      <c r="P4518" s="319">
        <f t="shared" si="3154"/>
        <v>472795.40000000008</v>
      </c>
      <c r="Q4518" s="1190" t="s">
        <v>2510</v>
      </c>
      <c r="R4518" s="317"/>
      <c r="U4518" s="320"/>
    </row>
    <row r="4519" spans="1:21" s="344" customFormat="1" outlineLevel="3">
      <c r="A4519" s="345"/>
      <c r="B4519" s="345"/>
      <c r="C4519" s="340">
        <v>2210800</v>
      </c>
      <c r="D4519" s="338" t="s">
        <v>42</v>
      </c>
      <c r="E4519" s="622">
        <f>E4520</f>
        <v>376288</v>
      </c>
      <c r="F4519" s="622">
        <f t="shared" ref="F4519:K4519" si="3156">F4520</f>
        <v>0</v>
      </c>
      <c r="G4519" s="622">
        <f t="shared" si="3156"/>
        <v>0</v>
      </c>
      <c r="H4519" s="622">
        <f t="shared" si="3156"/>
        <v>0</v>
      </c>
      <c r="I4519" s="622">
        <f t="shared" si="3156"/>
        <v>376288</v>
      </c>
      <c r="J4519" s="622">
        <f t="shared" si="3156"/>
        <v>0</v>
      </c>
      <c r="K4519" s="622">
        <f t="shared" si="3156"/>
        <v>0</v>
      </c>
      <c r="L4519" s="317">
        <f t="shared" si="3132"/>
        <v>376288</v>
      </c>
      <c r="M4519" s="317"/>
      <c r="N4519" s="372">
        <f t="shared" si="3137"/>
        <v>0</v>
      </c>
      <c r="O4519" s="622">
        <f t="shared" ref="O4519:P4519" si="3157">O4520</f>
        <v>413916.80000000005</v>
      </c>
      <c r="P4519" s="622">
        <f t="shared" si="3157"/>
        <v>455308.4800000001</v>
      </c>
      <c r="R4519" s="317"/>
      <c r="U4519" s="320"/>
    </row>
    <row r="4520" spans="1:21" s="344" customFormat="1" outlineLevel="3">
      <c r="A4520" s="345"/>
      <c r="B4520" s="345"/>
      <c r="C4520" s="332">
        <v>2210801</v>
      </c>
      <c r="D4520" s="330" t="s">
        <v>772</v>
      </c>
      <c r="E4520" s="422">
        <v>376288</v>
      </c>
      <c r="F4520" s="389"/>
      <c r="G4520" s="422"/>
      <c r="H4520" s="422"/>
      <c r="I4520" s="324">
        <f t="shared" si="3149"/>
        <v>376288</v>
      </c>
      <c r="J4520" s="422"/>
      <c r="K4520" s="549"/>
      <c r="L4520" s="317">
        <f t="shared" si="3132"/>
        <v>376288</v>
      </c>
      <c r="M4520" s="317"/>
      <c r="N4520" s="372">
        <f t="shared" si="3137"/>
        <v>0</v>
      </c>
      <c r="O4520" s="336">
        <f t="shared" si="3122"/>
        <v>413916.80000000005</v>
      </c>
      <c r="P4520" s="319">
        <f t="shared" si="3154"/>
        <v>455308.4800000001</v>
      </c>
      <c r="Q4520" s="1190" t="s">
        <v>2514</v>
      </c>
      <c r="R4520" s="317"/>
      <c r="U4520" s="320"/>
    </row>
    <row r="4521" spans="1:21" s="344" customFormat="1" outlineLevel="3">
      <c r="A4521" s="345"/>
      <c r="B4521" s="345"/>
      <c r="C4521" s="340">
        <v>2211000</v>
      </c>
      <c r="D4521" s="338" t="s">
        <v>118</v>
      </c>
      <c r="E4521" s="622">
        <f>E4522+E4523+E4524</f>
        <v>581257</v>
      </c>
      <c r="F4521" s="622">
        <f t="shared" ref="F4521:P4521" si="3158">F4522+F4523+F4524</f>
        <v>0</v>
      </c>
      <c r="G4521" s="622">
        <f t="shared" si="3158"/>
        <v>0</v>
      </c>
      <c r="H4521" s="622">
        <f t="shared" si="3158"/>
        <v>0</v>
      </c>
      <c r="I4521" s="622">
        <f t="shared" si="3158"/>
        <v>581257</v>
      </c>
      <c r="J4521" s="622">
        <f t="shared" si="3158"/>
        <v>0</v>
      </c>
      <c r="K4521" s="622">
        <f t="shared" si="3158"/>
        <v>0</v>
      </c>
      <c r="L4521" s="317">
        <f t="shared" si="3132"/>
        <v>581257</v>
      </c>
      <c r="M4521" s="317"/>
      <c r="N4521" s="372">
        <f t="shared" si="3137"/>
        <v>0</v>
      </c>
      <c r="O4521" s="622">
        <f t="shared" si="3158"/>
        <v>639382.70000000007</v>
      </c>
      <c r="P4521" s="622">
        <f t="shared" si="3158"/>
        <v>703320.9700000002</v>
      </c>
      <c r="R4521" s="317"/>
      <c r="U4521" s="320"/>
    </row>
    <row r="4522" spans="1:21" s="344" customFormat="1" outlineLevel="3">
      <c r="A4522" s="345"/>
      <c r="B4522" s="345"/>
      <c r="C4522" s="332">
        <v>2211005</v>
      </c>
      <c r="D4522" s="330" t="s">
        <v>773</v>
      </c>
      <c r="E4522" s="422">
        <v>27840</v>
      </c>
      <c r="F4522" s="389"/>
      <c r="G4522" s="422"/>
      <c r="H4522" s="422"/>
      <c r="I4522" s="324">
        <f t="shared" si="3149"/>
        <v>27840</v>
      </c>
      <c r="J4522" s="422"/>
      <c r="K4522" s="422"/>
      <c r="L4522" s="317">
        <f t="shared" si="3132"/>
        <v>27840</v>
      </c>
      <c r="M4522" s="317"/>
      <c r="N4522" s="372">
        <f t="shared" si="3137"/>
        <v>0</v>
      </c>
      <c r="O4522" s="336">
        <f t="shared" si="3122"/>
        <v>30624.000000000004</v>
      </c>
      <c r="P4522" s="319">
        <f t="shared" si="3154"/>
        <v>33686.400000000009</v>
      </c>
      <c r="R4522" s="317"/>
      <c r="U4522" s="320"/>
    </row>
    <row r="4523" spans="1:21" s="344" customFormat="1" outlineLevel="3">
      <c r="A4523" s="345"/>
      <c r="B4523" s="345"/>
      <c r="C4523" s="332">
        <v>2211007</v>
      </c>
      <c r="D4523" s="330" t="s">
        <v>309</v>
      </c>
      <c r="E4523" s="422">
        <v>387079</v>
      </c>
      <c r="F4523" s="389"/>
      <c r="G4523" s="422"/>
      <c r="H4523" s="422"/>
      <c r="I4523" s="324">
        <f t="shared" si="3149"/>
        <v>387079</v>
      </c>
      <c r="J4523" s="422"/>
      <c r="K4523" s="422"/>
      <c r="L4523" s="317">
        <f t="shared" si="3132"/>
        <v>387079</v>
      </c>
      <c r="M4523" s="317"/>
      <c r="N4523" s="372">
        <f t="shared" si="3137"/>
        <v>0</v>
      </c>
      <c r="O4523" s="336">
        <f t="shared" si="3122"/>
        <v>425786.9</v>
      </c>
      <c r="P4523" s="319">
        <f t="shared" si="3154"/>
        <v>468365.59000000008</v>
      </c>
      <c r="R4523" s="317"/>
      <c r="U4523" s="320"/>
    </row>
    <row r="4524" spans="1:21" s="344" customFormat="1" outlineLevel="3">
      <c r="A4524" s="345"/>
      <c r="B4524" s="345"/>
      <c r="C4524" s="332">
        <v>2211023</v>
      </c>
      <c r="D4524" s="330" t="s">
        <v>774</v>
      </c>
      <c r="E4524" s="422">
        <v>166338</v>
      </c>
      <c r="F4524" s="389"/>
      <c r="G4524" s="422"/>
      <c r="H4524" s="422"/>
      <c r="I4524" s="324">
        <f t="shared" si="3149"/>
        <v>166338</v>
      </c>
      <c r="J4524" s="422"/>
      <c r="K4524" s="422"/>
      <c r="L4524" s="317">
        <f t="shared" si="3132"/>
        <v>166338</v>
      </c>
      <c r="M4524" s="317"/>
      <c r="N4524" s="372">
        <f t="shared" si="3137"/>
        <v>0</v>
      </c>
      <c r="O4524" s="336">
        <f t="shared" si="3122"/>
        <v>182971.80000000002</v>
      </c>
      <c r="P4524" s="319">
        <f t="shared" si="3154"/>
        <v>201268.98000000004</v>
      </c>
      <c r="R4524" s="317"/>
      <c r="U4524" s="320"/>
    </row>
    <row r="4525" spans="1:21" s="344" customFormat="1" outlineLevel="3">
      <c r="A4525" s="345"/>
      <c r="B4525" s="345"/>
      <c r="C4525" s="340">
        <v>2211100</v>
      </c>
      <c r="D4525" s="338" t="s">
        <v>276</v>
      </c>
      <c r="E4525" s="622">
        <f>E4526+E4527+E4528</f>
        <v>581649</v>
      </c>
      <c r="F4525" s="622">
        <f t="shared" ref="F4525:P4525" si="3159">F4526+F4527+F4528</f>
        <v>0</v>
      </c>
      <c r="G4525" s="622">
        <f t="shared" si="3159"/>
        <v>0</v>
      </c>
      <c r="H4525" s="622">
        <f t="shared" si="3159"/>
        <v>0</v>
      </c>
      <c r="I4525" s="622">
        <f t="shared" si="3159"/>
        <v>581649</v>
      </c>
      <c r="J4525" s="622">
        <f t="shared" si="3159"/>
        <v>0</v>
      </c>
      <c r="K4525" s="622">
        <f t="shared" si="3159"/>
        <v>0</v>
      </c>
      <c r="L4525" s="317">
        <f t="shared" si="3132"/>
        <v>581649</v>
      </c>
      <c r="M4525" s="317"/>
      <c r="N4525" s="372">
        <f t="shared" si="3137"/>
        <v>0</v>
      </c>
      <c r="O4525" s="622">
        <f t="shared" si="3159"/>
        <v>639813.89999999991</v>
      </c>
      <c r="P4525" s="622">
        <f t="shared" si="3159"/>
        <v>703795.29</v>
      </c>
      <c r="R4525" s="317"/>
      <c r="U4525" s="320"/>
    </row>
    <row r="4526" spans="1:21" s="344" customFormat="1" outlineLevel="3">
      <c r="A4526" s="345"/>
      <c r="B4526" s="345"/>
      <c r="C4526" s="332">
        <v>2211101</v>
      </c>
      <c r="D4526" s="330" t="s">
        <v>289</v>
      </c>
      <c r="E4526" s="422">
        <f>358372-150000</f>
        <v>208372</v>
      </c>
      <c r="F4526" s="389"/>
      <c r="G4526" s="422"/>
      <c r="H4526" s="422"/>
      <c r="I4526" s="324">
        <f t="shared" si="3149"/>
        <v>208372</v>
      </c>
      <c r="J4526" s="422"/>
      <c r="K4526" s="422"/>
      <c r="L4526" s="317">
        <f t="shared" si="3132"/>
        <v>208372</v>
      </c>
      <c r="M4526" s="317"/>
      <c r="N4526" s="372">
        <f t="shared" si="3137"/>
        <v>0</v>
      </c>
      <c r="O4526" s="336">
        <f t="shared" ref="O4526:O4588" si="3160">L4526*1.1</f>
        <v>229209.2</v>
      </c>
      <c r="P4526" s="319">
        <f t="shared" si="3154"/>
        <v>252130.12000000002</v>
      </c>
      <c r="R4526" s="317"/>
      <c r="U4526" s="320"/>
    </row>
    <row r="4527" spans="1:21" s="344" customFormat="1" outlineLevel="3">
      <c r="A4527" s="345"/>
      <c r="B4527" s="345"/>
      <c r="C4527" s="332">
        <v>2211102</v>
      </c>
      <c r="D4527" s="330" t="s">
        <v>53</v>
      </c>
      <c r="E4527" s="422">
        <f>481400-200000</f>
        <v>281400</v>
      </c>
      <c r="F4527" s="389"/>
      <c r="G4527" s="422"/>
      <c r="H4527" s="422"/>
      <c r="I4527" s="324">
        <f t="shared" si="3149"/>
        <v>281400</v>
      </c>
      <c r="J4527" s="422"/>
      <c r="K4527" s="422"/>
      <c r="L4527" s="317">
        <f t="shared" si="3132"/>
        <v>281400</v>
      </c>
      <c r="M4527" s="317"/>
      <c r="N4527" s="372">
        <f t="shared" si="3137"/>
        <v>0</v>
      </c>
      <c r="O4527" s="336">
        <f t="shared" si="3160"/>
        <v>309540</v>
      </c>
      <c r="P4527" s="319">
        <f t="shared" si="3154"/>
        <v>340494</v>
      </c>
      <c r="R4527" s="317"/>
      <c r="U4527" s="320"/>
    </row>
    <row r="4528" spans="1:21" s="344" customFormat="1" outlineLevel="3">
      <c r="A4528" s="345"/>
      <c r="B4528" s="345"/>
      <c r="C4528" s="332">
        <v>2211103</v>
      </c>
      <c r="D4528" s="330" t="s">
        <v>54</v>
      </c>
      <c r="E4528" s="422">
        <v>91877</v>
      </c>
      <c r="F4528" s="389"/>
      <c r="G4528" s="422"/>
      <c r="H4528" s="422"/>
      <c r="I4528" s="324">
        <f t="shared" si="3149"/>
        <v>91877</v>
      </c>
      <c r="J4528" s="422"/>
      <c r="K4528" s="422"/>
      <c r="L4528" s="317">
        <f t="shared" si="3132"/>
        <v>91877</v>
      </c>
      <c r="M4528" s="317"/>
      <c r="N4528" s="372">
        <f t="shared" si="3137"/>
        <v>0</v>
      </c>
      <c r="O4528" s="336">
        <f t="shared" si="3160"/>
        <v>101064.70000000001</v>
      </c>
      <c r="P4528" s="319">
        <f t="shared" si="3154"/>
        <v>111171.17000000003</v>
      </c>
      <c r="R4528" s="317"/>
      <c r="U4528" s="320"/>
    </row>
    <row r="4529" spans="1:21" s="344" customFormat="1" outlineLevel="3">
      <c r="A4529" s="345"/>
      <c r="B4529" s="345"/>
      <c r="C4529" s="340">
        <v>2211200</v>
      </c>
      <c r="D4529" s="338" t="s">
        <v>55</v>
      </c>
      <c r="E4529" s="622">
        <f>E4530</f>
        <v>1414000</v>
      </c>
      <c r="F4529" s="622">
        <f t="shared" ref="F4529:K4529" si="3161">F4530</f>
        <v>0</v>
      </c>
      <c r="G4529" s="622">
        <f t="shared" si="3161"/>
        <v>0</v>
      </c>
      <c r="H4529" s="622">
        <f t="shared" si="3161"/>
        <v>0</v>
      </c>
      <c r="I4529" s="622">
        <f t="shared" si="3161"/>
        <v>1414000</v>
      </c>
      <c r="J4529" s="622">
        <f t="shared" si="3161"/>
        <v>0</v>
      </c>
      <c r="K4529" s="622">
        <f t="shared" si="3161"/>
        <v>0</v>
      </c>
      <c r="L4529" s="317">
        <f t="shared" si="3132"/>
        <v>1414000</v>
      </c>
      <c r="M4529" s="317"/>
      <c r="N4529" s="372">
        <f t="shared" si="3137"/>
        <v>0</v>
      </c>
      <c r="O4529" s="622">
        <f t="shared" ref="O4529:P4529" si="3162">O4530</f>
        <v>1555400.0000000002</v>
      </c>
      <c r="P4529" s="622">
        <f t="shared" si="3162"/>
        <v>1710940.0000000005</v>
      </c>
      <c r="R4529" s="317"/>
      <c r="U4529" s="320"/>
    </row>
    <row r="4530" spans="1:21" s="344" customFormat="1" outlineLevel="3">
      <c r="A4530" s="345"/>
      <c r="B4530" s="345"/>
      <c r="C4530" s="332">
        <v>2211201</v>
      </c>
      <c r="D4530" s="330" t="s">
        <v>56</v>
      </c>
      <c r="E4530" s="422">
        <f>1914000-500000</f>
        <v>1414000</v>
      </c>
      <c r="F4530" s="389"/>
      <c r="G4530" s="422"/>
      <c r="H4530" s="422"/>
      <c r="I4530" s="324">
        <f t="shared" si="3149"/>
        <v>1414000</v>
      </c>
      <c r="J4530" s="422"/>
      <c r="K4530" s="422"/>
      <c r="L4530" s="317">
        <f t="shared" si="3132"/>
        <v>1414000</v>
      </c>
      <c r="M4530" s="317"/>
      <c r="N4530" s="372">
        <f t="shared" si="3137"/>
        <v>0</v>
      </c>
      <c r="O4530" s="336">
        <f t="shared" si="3160"/>
        <v>1555400.0000000002</v>
      </c>
      <c r="P4530" s="319">
        <f t="shared" si="3154"/>
        <v>1710940.0000000005</v>
      </c>
      <c r="R4530" s="317"/>
      <c r="U4530" s="320"/>
    </row>
    <row r="4531" spans="1:21" s="344" customFormat="1" outlineLevel="3">
      <c r="A4531" s="345"/>
      <c r="B4531" s="345"/>
      <c r="C4531" s="340">
        <v>2211300</v>
      </c>
      <c r="D4531" s="338" t="s">
        <v>706</v>
      </c>
      <c r="E4531" s="622">
        <f>E4532</f>
        <v>226400</v>
      </c>
      <c r="F4531" s="622">
        <f t="shared" ref="F4531:K4531" si="3163">F4532</f>
        <v>0</v>
      </c>
      <c r="G4531" s="622">
        <f t="shared" si="3163"/>
        <v>0</v>
      </c>
      <c r="H4531" s="622">
        <f t="shared" si="3163"/>
        <v>0</v>
      </c>
      <c r="I4531" s="622">
        <f t="shared" si="3163"/>
        <v>226400</v>
      </c>
      <c r="J4531" s="622">
        <f t="shared" si="3163"/>
        <v>0</v>
      </c>
      <c r="K4531" s="622">
        <f t="shared" si="3163"/>
        <v>0</v>
      </c>
      <c r="L4531" s="317">
        <f t="shared" si="3132"/>
        <v>226400</v>
      </c>
      <c r="M4531" s="317"/>
      <c r="N4531" s="372">
        <f t="shared" si="3137"/>
        <v>0</v>
      </c>
      <c r="O4531" s="622">
        <f t="shared" ref="O4531:P4531" si="3164">O4532</f>
        <v>249040.00000000003</v>
      </c>
      <c r="P4531" s="622">
        <f t="shared" si="3164"/>
        <v>273944.00000000006</v>
      </c>
      <c r="R4531" s="317"/>
      <c r="U4531" s="320"/>
    </row>
    <row r="4532" spans="1:21" s="344" customFormat="1" outlineLevel="3">
      <c r="A4532" s="345"/>
      <c r="B4532" s="345"/>
      <c r="C4532" s="332">
        <v>2211305</v>
      </c>
      <c r="D4532" s="330" t="s">
        <v>775</v>
      </c>
      <c r="E4532" s="422">
        <v>226400</v>
      </c>
      <c r="F4532" s="389"/>
      <c r="G4532" s="422"/>
      <c r="H4532" s="422"/>
      <c r="I4532" s="324">
        <f t="shared" si="3149"/>
        <v>226400</v>
      </c>
      <c r="J4532" s="422"/>
      <c r="K4532" s="422"/>
      <c r="L4532" s="317">
        <f t="shared" si="3132"/>
        <v>226400</v>
      </c>
      <c r="M4532" s="317"/>
      <c r="N4532" s="372">
        <f t="shared" si="3137"/>
        <v>0</v>
      </c>
      <c r="O4532" s="336">
        <f t="shared" si="3160"/>
        <v>249040.00000000003</v>
      </c>
      <c r="P4532" s="319">
        <f t="shared" si="3154"/>
        <v>273944.00000000006</v>
      </c>
      <c r="R4532" s="317"/>
      <c r="U4532" s="320"/>
    </row>
    <row r="4533" spans="1:21" s="344" customFormat="1" outlineLevel="3">
      <c r="A4533" s="345"/>
      <c r="B4533" s="345"/>
      <c r="C4533" s="340">
        <v>2220100</v>
      </c>
      <c r="D4533" s="338" t="s">
        <v>200</v>
      </c>
      <c r="E4533" s="622">
        <f>E4534</f>
        <v>908527</v>
      </c>
      <c r="F4533" s="622">
        <f t="shared" ref="F4533:K4533" si="3165">F4534</f>
        <v>0</v>
      </c>
      <c r="G4533" s="622">
        <f t="shared" si="3165"/>
        <v>0</v>
      </c>
      <c r="H4533" s="622">
        <f t="shared" si="3165"/>
        <v>0</v>
      </c>
      <c r="I4533" s="622">
        <f t="shared" si="3165"/>
        <v>908527</v>
      </c>
      <c r="J4533" s="622">
        <f t="shared" si="3165"/>
        <v>0</v>
      </c>
      <c r="K4533" s="622">
        <f t="shared" si="3165"/>
        <v>0</v>
      </c>
      <c r="L4533" s="317">
        <f t="shared" si="3132"/>
        <v>908527</v>
      </c>
      <c r="M4533" s="317"/>
      <c r="N4533" s="372">
        <f t="shared" si="3137"/>
        <v>0</v>
      </c>
      <c r="O4533" s="622">
        <f t="shared" ref="O4533:P4533" si="3166">O4534</f>
        <v>999379.70000000007</v>
      </c>
      <c r="P4533" s="622">
        <f t="shared" si="3166"/>
        <v>1099317.6700000002</v>
      </c>
      <c r="R4533" s="317"/>
      <c r="U4533" s="320"/>
    </row>
    <row r="4534" spans="1:21" s="344" customFormat="1" outlineLevel="3">
      <c r="A4534" s="345"/>
      <c r="B4534" s="345"/>
      <c r="C4534" s="332">
        <v>2220101</v>
      </c>
      <c r="D4534" s="330" t="s">
        <v>200</v>
      </c>
      <c r="E4534" s="422">
        <v>908527</v>
      </c>
      <c r="F4534" s="389"/>
      <c r="G4534" s="422"/>
      <c r="H4534" s="422"/>
      <c r="I4534" s="324">
        <f t="shared" si="3149"/>
        <v>908527</v>
      </c>
      <c r="J4534" s="422"/>
      <c r="K4534" s="422"/>
      <c r="L4534" s="317">
        <f t="shared" si="3132"/>
        <v>908527</v>
      </c>
      <c r="M4534" s="317"/>
      <c r="N4534" s="372">
        <f t="shared" si="3137"/>
        <v>0</v>
      </c>
      <c r="O4534" s="336">
        <f t="shared" si="3160"/>
        <v>999379.70000000007</v>
      </c>
      <c r="P4534" s="319">
        <f t="shared" ref="P4534:P4553" si="3167">O4534*1.1</f>
        <v>1099317.6700000002</v>
      </c>
      <c r="R4534" s="317"/>
      <c r="U4534" s="320"/>
    </row>
    <row r="4535" spans="1:21" s="344" customFormat="1" outlineLevel="3">
      <c r="A4535" s="345"/>
      <c r="B4535" s="345"/>
      <c r="C4535" s="340">
        <v>2220200</v>
      </c>
      <c r="D4535" s="338" t="s">
        <v>124</v>
      </c>
      <c r="E4535" s="622">
        <f>E4536+E4537+E4538+E4539</f>
        <v>963223</v>
      </c>
      <c r="F4535" s="622">
        <f t="shared" ref="F4535:K4535" si="3168">F4536+F4537+F4538+F4539</f>
        <v>0</v>
      </c>
      <c r="G4535" s="622">
        <f t="shared" si="3168"/>
        <v>0</v>
      </c>
      <c r="H4535" s="622">
        <f t="shared" si="3168"/>
        <v>0</v>
      </c>
      <c r="I4535" s="622">
        <f t="shared" si="3168"/>
        <v>963223</v>
      </c>
      <c r="J4535" s="622">
        <f t="shared" si="3168"/>
        <v>0</v>
      </c>
      <c r="K4535" s="622">
        <f t="shared" si="3168"/>
        <v>0</v>
      </c>
      <c r="L4535" s="317">
        <f t="shared" si="3132"/>
        <v>963223</v>
      </c>
      <c r="M4535" s="317"/>
      <c r="N4535" s="372">
        <f t="shared" si="3137"/>
        <v>0</v>
      </c>
      <c r="O4535" s="622">
        <f t="shared" ref="O4535:P4535" si="3169">O4536+O4537+O4538+O4539</f>
        <v>1059545.3</v>
      </c>
      <c r="P4535" s="622">
        <f t="shared" si="3169"/>
        <v>1165499.83</v>
      </c>
      <c r="R4535" s="317"/>
      <c r="U4535" s="320"/>
    </row>
    <row r="4536" spans="1:21" s="344" customFormat="1" outlineLevel="3">
      <c r="A4536" s="345"/>
      <c r="B4536" s="345"/>
      <c r="C4536" s="332">
        <v>2220201</v>
      </c>
      <c r="D4536" s="330" t="s">
        <v>292</v>
      </c>
      <c r="E4536" s="422">
        <v>223880</v>
      </c>
      <c r="F4536" s="389"/>
      <c r="G4536" s="422"/>
      <c r="H4536" s="422"/>
      <c r="I4536" s="324">
        <f t="shared" si="3149"/>
        <v>223880</v>
      </c>
      <c r="J4536" s="422"/>
      <c r="K4536" s="422"/>
      <c r="L4536" s="317">
        <f t="shared" si="3132"/>
        <v>223880</v>
      </c>
      <c r="M4536" s="317"/>
      <c r="N4536" s="372">
        <f t="shared" si="3137"/>
        <v>0</v>
      </c>
      <c r="O4536" s="336">
        <f t="shared" si="3160"/>
        <v>246268.00000000003</v>
      </c>
      <c r="P4536" s="319">
        <f t="shared" si="3167"/>
        <v>270894.80000000005</v>
      </c>
      <c r="R4536" s="317"/>
      <c r="U4536" s="320"/>
    </row>
    <row r="4537" spans="1:21" s="344" customFormat="1" outlineLevel="3">
      <c r="A4537" s="345"/>
      <c r="B4537" s="345"/>
      <c r="C4537" s="332">
        <v>2220202</v>
      </c>
      <c r="D4537" s="330" t="s">
        <v>87</v>
      </c>
      <c r="E4537" s="422">
        <f>341028-70809</f>
        <v>270219</v>
      </c>
      <c r="F4537" s="389"/>
      <c r="G4537" s="1073"/>
      <c r="H4537" s="1073"/>
      <c r="I4537" s="324">
        <f t="shared" si="3149"/>
        <v>270219</v>
      </c>
      <c r="J4537" s="1073"/>
      <c r="K4537" s="1073"/>
      <c r="L4537" s="317">
        <f t="shared" si="3132"/>
        <v>270219</v>
      </c>
      <c r="M4537" s="317"/>
      <c r="N4537" s="372">
        <f t="shared" si="3137"/>
        <v>0</v>
      </c>
      <c r="O4537" s="336">
        <f t="shared" si="3160"/>
        <v>297240.90000000002</v>
      </c>
      <c r="P4537" s="319">
        <f t="shared" si="3167"/>
        <v>326964.99000000005</v>
      </c>
      <c r="R4537" s="317"/>
      <c r="U4537" s="320"/>
    </row>
    <row r="4538" spans="1:21" s="344" customFormat="1" outlineLevel="3">
      <c r="A4538" s="345"/>
      <c r="B4538" s="345"/>
      <c r="C4538" s="332">
        <v>2220205</v>
      </c>
      <c r="D4538" s="330" t="s">
        <v>125</v>
      </c>
      <c r="E4538" s="422">
        <v>256844</v>
      </c>
      <c r="F4538" s="389"/>
      <c r="G4538" s="422"/>
      <c r="H4538" s="422"/>
      <c r="I4538" s="324">
        <f t="shared" si="3149"/>
        <v>256844</v>
      </c>
      <c r="J4538" s="422"/>
      <c r="K4538" s="549"/>
      <c r="L4538" s="317">
        <f t="shared" si="3132"/>
        <v>256844</v>
      </c>
      <c r="M4538" s="317"/>
      <c r="N4538" s="372">
        <f t="shared" si="3137"/>
        <v>0</v>
      </c>
      <c r="O4538" s="336">
        <f t="shared" si="3160"/>
        <v>282528.40000000002</v>
      </c>
      <c r="P4538" s="319">
        <f t="shared" si="3167"/>
        <v>310781.24000000005</v>
      </c>
      <c r="Q4538" s="1190" t="s">
        <v>2515</v>
      </c>
      <c r="R4538" s="317"/>
      <c r="U4538" s="320"/>
    </row>
    <row r="4539" spans="1:21" s="344" customFormat="1" outlineLevel="3">
      <c r="A4539" s="345"/>
      <c r="B4539" s="345"/>
      <c r="C4539" s="332">
        <v>2220210</v>
      </c>
      <c r="D4539" s="330" t="s">
        <v>163</v>
      </c>
      <c r="E4539" s="422">
        <v>212280</v>
      </c>
      <c r="F4539" s="389"/>
      <c r="G4539" s="422"/>
      <c r="H4539" s="422"/>
      <c r="I4539" s="324">
        <f t="shared" si="3149"/>
        <v>212280</v>
      </c>
      <c r="J4539" s="422"/>
      <c r="K4539" s="422"/>
      <c r="L4539" s="317">
        <f t="shared" si="3132"/>
        <v>212280</v>
      </c>
      <c r="M4539" s="317"/>
      <c r="N4539" s="372">
        <f t="shared" si="3137"/>
        <v>0</v>
      </c>
      <c r="O4539" s="336">
        <f t="shared" si="3160"/>
        <v>233508.00000000003</v>
      </c>
      <c r="P4539" s="319">
        <f t="shared" si="3167"/>
        <v>256858.80000000005</v>
      </c>
      <c r="R4539" s="317"/>
      <c r="U4539" s="320"/>
    </row>
    <row r="4540" spans="1:21" s="344" customFormat="1" outlineLevel="3">
      <c r="A4540" s="345"/>
      <c r="B4540" s="345"/>
      <c r="C4540" s="340">
        <v>2640400</v>
      </c>
      <c r="D4540" s="338" t="s">
        <v>776</v>
      </c>
      <c r="E4540" s="622">
        <f>E4541</f>
        <v>4567800</v>
      </c>
      <c r="F4540" s="622">
        <f t="shared" ref="F4540:P4540" si="3170">F4541</f>
        <v>0</v>
      </c>
      <c r="G4540" s="622">
        <f t="shared" si="3170"/>
        <v>0</v>
      </c>
      <c r="H4540" s="622">
        <f t="shared" si="3170"/>
        <v>0</v>
      </c>
      <c r="I4540" s="622">
        <f t="shared" si="3170"/>
        <v>4567800</v>
      </c>
      <c r="J4540" s="622">
        <f t="shared" si="3170"/>
        <v>0</v>
      </c>
      <c r="K4540" s="622">
        <f t="shared" si="3170"/>
        <v>0</v>
      </c>
      <c r="L4540" s="317">
        <f t="shared" si="3132"/>
        <v>4567800</v>
      </c>
      <c r="M4540" s="317"/>
      <c r="N4540" s="372">
        <f t="shared" si="3137"/>
        <v>0</v>
      </c>
      <c r="O4540" s="622">
        <f t="shared" si="3170"/>
        <v>5024580</v>
      </c>
      <c r="P4540" s="622">
        <f t="shared" si="3170"/>
        <v>5527038</v>
      </c>
      <c r="R4540" s="317"/>
      <c r="U4540" s="320"/>
    </row>
    <row r="4541" spans="1:21" s="344" customFormat="1" outlineLevel="3">
      <c r="A4541" s="345"/>
      <c r="B4541" s="345"/>
      <c r="C4541" s="332">
        <v>2640499</v>
      </c>
      <c r="D4541" s="330" t="s">
        <v>777</v>
      </c>
      <c r="E4541" s="422">
        <v>4567800</v>
      </c>
      <c r="F4541" s="389"/>
      <c r="G4541" s="1073"/>
      <c r="H4541" s="1073"/>
      <c r="I4541" s="324">
        <f t="shared" si="3149"/>
        <v>4567800</v>
      </c>
      <c r="J4541" s="1073"/>
      <c r="K4541" s="1073"/>
      <c r="L4541" s="317">
        <f t="shared" si="3132"/>
        <v>4567800</v>
      </c>
      <c r="M4541" s="317"/>
      <c r="N4541" s="372">
        <f t="shared" si="3137"/>
        <v>0</v>
      </c>
      <c r="O4541" s="336">
        <f t="shared" si="3160"/>
        <v>5024580</v>
      </c>
      <c r="P4541" s="319">
        <f t="shared" si="3167"/>
        <v>5527038</v>
      </c>
      <c r="R4541" s="317"/>
      <c r="U4541" s="320"/>
    </row>
    <row r="4542" spans="1:21" s="344" customFormat="1" outlineLevel="3">
      <c r="A4542" s="345"/>
      <c r="B4542" s="345"/>
      <c r="C4542" s="340">
        <v>3110300</v>
      </c>
      <c r="D4542" s="338" t="s">
        <v>293</v>
      </c>
      <c r="E4542" s="622">
        <f>E4543+E4544</f>
        <v>380000</v>
      </c>
      <c r="F4542" s="622">
        <f t="shared" ref="F4542:P4542" si="3171">F4543+F4544</f>
        <v>0</v>
      </c>
      <c r="G4542" s="622">
        <f t="shared" si="3171"/>
        <v>0</v>
      </c>
      <c r="H4542" s="622">
        <f t="shared" si="3171"/>
        <v>0</v>
      </c>
      <c r="I4542" s="622">
        <f t="shared" si="3171"/>
        <v>380000</v>
      </c>
      <c r="J4542" s="622">
        <f t="shared" si="3171"/>
        <v>0</v>
      </c>
      <c r="K4542" s="622">
        <f t="shared" si="3171"/>
        <v>0</v>
      </c>
      <c r="L4542" s="317">
        <f t="shared" si="3132"/>
        <v>380000</v>
      </c>
      <c r="M4542" s="317"/>
      <c r="N4542" s="372">
        <f t="shared" si="3137"/>
        <v>0</v>
      </c>
      <c r="O4542" s="622">
        <f t="shared" si="3171"/>
        <v>418000</v>
      </c>
      <c r="P4542" s="622">
        <f t="shared" si="3171"/>
        <v>459800</v>
      </c>
      <c r="R4542" s="317"/>
      <c r="U4542" s="320"/>
    </row>
    <row r="4543" spans="1:21" s="344" customFormat="1" outlineLevel="3">
      <c r="A4543" s="345"/>
      <c r="B4543" s="345"/>
      <c r="C4543" s="332">
        <v>3110302</v>
      </c>
      <c r="D4543" s="330" t="s">
        <v>252</v>
      </c>
      <c r="E4543" s="422">
        <f>380000-120000</f>
        <v>260000</v>
      </c>
      <c r="F4543" s="389"/>
      <c r="G4543" s="422"/>
      <c r="H4543" s="422"/>
      <c r="I4543" s="324">
        <f t="shared" si="3149"/>
        <v>260000</v>
      </c>
      <c r="J4543" s="422"/>
      <c r="K4543" s="549"/>
      <c r="L4543" s="317">
        <f t="shared" si="3132"/>
        <v>260000</v>
      </c>
      <c r="M4543" s="317"/>
      <c r="N4543" s="372">
        <f t="shared" si="3137"/>
        <v>0</v>
      </c>
      <c r="O4543" s="336">
        <f t="shared" si="3160"/>
        <v>286000</v>
      </c>
      <c r="P4543" s="319">
        <f t="shared" si="3167"/>
        <v>314600</v>
      </c>
      <c r="Q4543" s="1190" t="s">
        <v>2516</v>
      </c>
      <c r="R4543" s="317"/>
      <c r="U4543" s="320"/>
    </row>
    <row r="4544" spans="1:21" s="344" customFormat="1" outlineLevel="3">
      <c r="A4544" s="345"/>
      <c r="B4544" s="345"/>
      <c r="C4544" s="332">
        <v>3111002</v>
      </c>
      <c r="D4544" s="330" t="s">
        <v>1335</v>
      </c>
      <c r="E4544" s="422">
        <f>327543-327543+120000</f>
        <v>120000</v>
      </c>
      <c r="F4544" s="389"/>
      <c r="G4544" s="422"/>
      <c r="H4544" s="422"/>
      <c r="I4544" s="324">
        <f t="shared" si="3149"/>
        <v>120000</v>
      </c>
      <c r="J4544" s="422"/>
      <c r="K4544" s="422"/>
      <c r="L4544" s="317">
        <f t="shared" si="3132"/>
        <v>120000</v>
      </c>
      <c r="M4544" s="317"/>
      <c r="N4544" s="372">
        <f t="shared" si="3137"/>
        <v>0</v>
      </c>
      <c r="O4544" s="336">
        <f t="shared" si="3160"/>
        <v>132000</v>
      </c>
      <c r="P4544" s="319">
        <f t="shared" si="3167"/>
        <v>145200</v>
      </c>
      <c r="R4544" s="317"/>
      <c r="U4544" s="320"/>
    </row>
    <row r="4545" spans="1:21" s="344" customFormat="1" outlineLevel="3">
      <c r="A4545" s="345"/>
      <c r="B4545" s="345"/>
      <c r="C4545" s="340">
        <v>3111400</v>
      </c>
      <c r="D4545" s="338" t="s">
        <v>294</v>
      </c>
      <c r="E4545" s="622">
        <f>E4546</f>
        <v>315242</v>
      </c>
      <c r="F4545" s="622">
        <f t="shared" ref="F4545:K4545" si="3172">F4546</f>
        <v>0</v>
      </c>
      <c r="G4545" s="622">
        <f t="shared" si="3172"/>
        <v>0</v>
      </c>
      <c r="H4545" s="622">
        <f t="shared" si="3172"/>
        <v>0</v>
      </c>
      <c r="I4545" s="622">
        <f t="shared" si="3172"/>
        <v>315242</v>
      </c>
      <c r="J4545" s="622">
        <f t="shared" si="3172"/>
        <v>0</v>
      </c>
      <c r="K4545" s="622">
        <f t="shared" si="3172"/>
        <v>0</v>
      </c>
      <c r="L4545" s="317">
        <f t="shared" si="3132"/>
        <v>315242</v>
      </c>
      <c r="M4545" s="317"/>
      <c r="N4545" s="372">
        <f t="shared" si="3137"/>
        <v>0</v>
      </c>
      <c r="O4545" s="622">
        <f t="shared" ref="O4545:P4545" si="3173">O4546</f>
        <v>346766.2</v>
      </c>
      <c r="P4545" s="622">
        <f t="shared" si="3173"/>
        <v>381442.82000000007</v>
      </c>
      <c r="R4545" s="317"/>
      <c r="U4545" s="320"/>
    </row>
    <row r="4546" spans="1:21" s="344" customFormat="1" outlineLevel="3">
      <c r="A4546" s="345"/>
      <c r="B4546" s="345"/>
      <c r="C4546" s="401">
        <v>3111499</v>
      </c>
      <c r="D4546" s="1192" t="s">
        <v>1336</v>
      </c>
      <c r="E4546" s="422">
        <v>315242</v>
      </c>
      <c r="F4546" s="364"/>
      <c r="G4546" s="422"/>
      <c r="H4546" s="422"/>
      <c r="I4546" s="324">
        <f t="shared" si="3149"/>
        <v>315242</v>
      </c>
      <c r="J4546" s="422"/>
      <c r="K4546" s="422"/>
      <c r="L4546" s="317">
        <f t="shared" si="3132"/>
        <v>315242</v>
      </c>
      <c r="M4546" s="317"/>
      <c r="N4546" s="372">
        <f t="shared" si="3137"/>
        <v>0</v>
      </c>
      <c r="O4546" s="336">
        <f t="shared" si="3160"/>
        <v>346766.2</v>
      </c>
      <c r="P4546" s="319">
        <f t="shared" si="3167"/>
        <v>381442.82000000007</v>
      </c>
      <c r="R4546" s="317"/>
      <c r="U4546" s="320"/>
    </row>
    <row r="4547" spans="1:21" s="344" customFormat="1" outlineLevel="3">
      <c r="A4547" s="345"/>
      <c r="B4547" s="345"/>
      <c r="C4547" s="340"/>
      <c r="D4547" s="1212" t="s">
        <v>778</v>
      </c>
      <c r="E4547" s="622">
        <f>E4542+E4540+E4535+E4533+E4531+E4529+E4525+E4521+E4519+E4515+E4513+E4511+E4507+E4503+E4500+E4498+E4545</f>
        <v>21390034</v>
      </c>
      <c r="F4547" s="622">
        <f t="shared" ref="F4547:P4547" si="3174">F4542+F4540+F4535+F4533+F4531+F4529+F4525+F4521+F4519+F4515+F4513+F4511+F4507+F4503+F4500+F4498+F4545</f>
        <v>0</v>
      </c>
      <c r="G4547" s="622">
        <f t="shared" si="3174"/>
        <v>0</v>
      </c>
      <c r="H4547" s="622">
        <f t="shared" si="3174"/>
        <v>0</v>
      </c>
      <c r="I4547" s="622">
        <f t="shared" si="3174"/>
        <v>21390034</v>
      </c>
      <c r="J4547" s="622">
        <f t="shared" si="3174"/>
        <v>-1200000</v>
      </c>
      <c r="K4547" s="622">
        <f t="shared" si="3174"/>
        <v>0</v>
      </c>
      <c r="L4547" s="317">
        <f t="shared" si="3132"/>
        <v>20190034</v>
      </c>
      <c r="M4547" s="317"/>
      <c r="N4547" s="372">
        <f t="shared" si="3137"/>
        <v>0</v>
      </c>
      <c r="O4547" s="622">
        <f t="shared" si="3174"/>
        <v>22209037.400000002</v>
      </c>
      <c r="P4547" s="622">
        <f t="shared" si="3174"/>
        <v>24429941.140000001</v>
      </c>
      <c r="R4547" s="317"/>
      <c r="U4547" s="320" t="s">
        <v>1803</v>
      </c>
    </row>
    <row r="4548" spans="1:21" s="344" customFormat="1" outlineLevel="3">
      <c r="A4548" s="345"/>
      <c r="B4548" s="345"/>
      <c r="C4548" s="340"/>
      <c r="D4548" s="1006"/>
      <c r="E4548" s="622"/>
      <c r="F4548" s="397"/>
      <c r="G4548" s="422"/>
      <c r="H4548" s="422"/>
      <c r="I4548" s="324">
        <f t="shared" si="3149"/>
        <v>0</v>
      </c>
      <c r="J4548" s="422"/>
      <c r="K4548" s="422"/>
      <c r="L4548" s="317">
        <f t="shared" si="3132"/>
        <v>0</v>
      </c>
      <c r="M4548" s="317"/>
      <c r="N4548" s="372">
        <f t="shared" si="3137"/>
        <v>0</v>
      </c>
      <c r="O4548" s="336">
        <f t="shared" si="3160"/>
        <v>0</v>
      </c>
      <c r="P4548" s="319">
        <f t="shared" si="3167"/>
        <v>0</v>
      </c>
      <c r="R4548" s="317"/>
      <c r="U4548" s="320"/>
    </row>
    <row r="4549" spans="1:21" s="344" customFormat="1" outlineLevel="3">
      <c r="A4549" s="345"/>
      <c r="B4549" s="345"/>
      <c r="C4549" s="340"/>
      <c r="D4549" s="338" t="s">
        <v>92</v>
      </c>
      <c r="E4549" s="622"/>
      <c r="F4549" s="397"/>
      <c r="G4549" s="1073"/>
      <c r="H4549" s="1073"/>
      <c r="I4549" s="324">
        <f t="shared" si="3149"/>
        <v>0</v>
      </c>
      <c r="J4549" s="1073"/>
      <c r="K4549" s="1073"/>
      <c r="L4549" s="317">
        <f t="shared" ref="L4549:L4612" si="3175">I4549+J4549+K4549</f>
        <v>0</v>
      </c>
      <c r="M4549" s="317"/>
      <c r="N4549" s="372">
        <f t="shared" si="3137"/>
        <v>0</v>
      </c>
      <c r="O4549" s="336">
        <f t="shared" si="3160"/>
        <v>0</v>
      </c>
      <c r="P4549" s="319">
        <f t="shared" si="3167"/>
        <v>0</v>
      </c>
      <c r="R4549" s="317"/>
      <c r="U4549" s="320"/>
    </row>
    <row r="4550" spans="1:21" s="344" customFormat="1" outlineLevel="3">
      <c r="A4550" s="483"/>
      <c r="B4550" s="483"/>
      <c r="C4550" s="680">
        <v>2210500</v>
      </c>
      <c r="D4550" s="376" t="s">
        <v>31</v>
      </c>
      <c r="E4550" s="681">
        <f>E4551</f>
        <v>16957992</v>
      </c>
      <c r="F4550" s="681">
        <f t="shared" ref="F4550:I4550" si="3176">F4551</f>
        <v>0</v>
      </c>
      <c r="G4550" s="681">
        <f t="shared" si="3176"/>
        <v>0</v>
      </c>
      <c r="H4550" s="681">
        <f t="shared" si="3176"/>
        <v>15000000</v>
      </c>
      <c r="I4550" s="681">
        <f t="shared" si="3176"/>
        <v>31957992</v>
      </c>
      <c r="J4550" s="681"/>
      <c r="K4550" s="681"/>
      <c r="L4550" s="317">
        <f t="shared" si="3175"/>
        <v>31957992</v>
      </c>
      <c r="M4550" s="2212"/>
      <c r="N4550" s="372">
        <f t="shared" si="3137"/>
        <v>0</v>
      </c>
      <c r="O4550" s="681">
        <f t="shared" ref="O4550:P4550" si="3177">O4551</f>
        <v>35153791.200000003</v>
      </c>
      <c r="P4550" s="681">
        <f t="shared" si="3177"/>
        <v>38669170.320000008</v>
      </c>
      <c r="R4550" s="317"/>
      <c r="U4550" s="320"/>
    </row>
    <row r="4551" spans="1:21" outlineLevel="3">
      <c r="A4551" s="345"/>
      <c r="B4551" s="345"/>
      <c r="C4551" s="332">
        <v>2210505</v>
      </c>
      <c r="D4551" s="330" t="s">
        <v>192</v>
      </c>
      <c r="E4551" s="422">
        <f>15000000+1957992</f>
        <v>16957992</v>
      </c>
      <c r="F4551" s="389"/>
      <c r="G4551" s="422"/>
      <c r="H4551" s="422">
        <f>10000000+5000000</f>
        <v>15000000</v>
      </c>
      <c r="I4551" s="324">
        <f t="shared" si="3149"/>
        <v>31957992</v>
      </c>
      <c r="J4551" s="422"/>
      <c r="K4551" s="422"/>
      <c r="L4551" s="317">
        <f t="shared" si="3175"/>
        <v>31957992</v>
      </c>
      <c r="M4551" s="317"/>
      <c r="N4551" s="372">
        <f t="shared" si="3137"/>
        <v>0</v>
      </c>
      <c r="O4551" s="336">
        <f t="shared" si="3160"/>
        <v>35153791.200000003</v>
      </c>
      <c r="P4551" s="1106">
        <f>O4551*1.1</f>
        <v>38669170.320000008</v>
      </c>
      <c r="R4551" s="317"/>
      <c r="U4551" s="320"/>
    </row>
    <row r="4552" spans="1:21" s="344" customFormat="1" outlineLevel="3">
      <c r="A4552" s="506"/>
      <c r="B4552" s="506"/>
      <c r="C4552" s="992">
        <v>2211000</v>
      </c>
      <c r="D4552" s="358" t="s">
        <v>118</v>
      </c>
      <c r="E4552" s="768">
        <f>E4553+E4554+E4555</f>
        <v>1771406</v>
      </c>
      <c r="F4552" s="768">
        <f t="shared" ref="F4552:K4552" si="3178">F4553+F4554+F4555</f>
        <v>23148750</v>
      </c>
      <c r="G4552" s="768">
        <f t="shared" si="3178"/>
        <v>0</v>
      </c>
      <c r="H4552" s="768">
        <f t="shared" si="3178"/>
        <v>0</v>
      </c>
      <c r="I4552" s="768">
        <f t="shared" si="3178"/>
        <v>24920156</v>
      </c>
      <c r="J4552" s="768">
        <f t="shared" si="3178"/>
        <v>-878000</v>
      </c>
      <c r="K4552" s="768">
        <f t="shared" si="3178"/>
        <v>0</v>
      </c>
      <c r="L4552" s="317">
        <f t="shared" si="3175"/>
        <v>24042156</v>
      </c>
      <c r="M4552" s="2211"/>
      <c r="N4552" s="372">
        <f t="shared" si="3137"/>
        <v>0</v>
      </c>
      <c r="O4552" s="768">
        <f t="shared" ref="O4552:P4552" si="3179">O4553+O4554+O4555</f>
        <v>26446371.600000005</v>
      </c>
      <c r="P4552" s="768">
        <f t="shared" si="3179"/>
        <v>1081021.2600000002</v>
      </c>
      <c r="R4552" s="317"/>
      <c r="U4552" s="320"/>
    </row>
    <row r="4553" spans="1:21" s="344" customFormat="1" outlineLevel="3">
      <c r="A4553" s="330"/>
      <c r="B4553" s="330"/>
      <c r="C4553" s="332">
        <v>2211007</v>
      </c>
      <c r="D4553" s="555" t="s">
        <v>1337</v>
      </c>
      <c r="E4553" s="422">
        <f>1305938-534532</f>
        <v>771406</v>
      </c>
      <c r="F4553" s="529"/>
      <c r="G4553" s="1073"/>
      <c r="H4553" s="1073"/>
      <c r="I4553" s="324">
        <f t="shared" si="3149"/>
        <v>771406</v>
      </c>
      <c r="J4553" s="1073"/>
      <c r="K4553" s="549"/>
      <c r="L4553" s="317">
        <f t="shared" si="3175"/>
        <v>771406</v>
      </c>
      <c r="M4553" s="317"/>
      <c r="N4553" s="372">
        <f t="shared" ref="N4553:N4616" si="3180">M4553-K4553</f>
        <v>0</v>
      </c>
      <c r="O4553" s="336">
        <f t="shared" si="3160"/>
        <v>848546.60000000009</v>
      </c>
      <c r="P4553" s="319">
        <f t="shared" si="3167"/>
        <v>933401.26000000013</v>
      </c>
      <c r="Q4553" s="914" t="s">
        <v>2517</v>
      </c>
      <c r="R4553" s="317"/>
      <c r="U4553" s="320"/>
    </row>
    <row r="4554" spans="1:21" s="684" customFormat="1" outlineLevel="3">
      <c r="A4554" s="685"/>
      <c r="B4554" s="685"/>
      <c r="C4554" s="1196">
        <v>2211007</v>
      </c>
      <c r="D4554" s="1197" t="s">
        <v>1338</v>
      </c>
      <c r="E4554" s="1198">
        <v>1000000</v>
      </c>
      <c r="F4554" s="1199"/>
      <c r="G4554" s="1198"/>
      <c r="H4554" s="1198"/>
      <c r="I4554" s="690">
        <f t="shared" si="3149"/>
        <v>1000000</v>
      </c>
      <c r="J4554" s="1198">
        <v>-878000</v>
      </c>
      <c r="K4554" s="1213"/>
      <c r="L4554" s="317">
        <f t="shared" si="3175"/>
        <v>122000</v>
      </c>
      <c r="M4554" s="317"/>
      <c r="N4554" s="372">
        <f t="shared" si="3180"/>
        <v>0</v>
      </c>
      <c r="O4554" s="1069">
        <f t="shared" si="3160"/>
        <v>134200</v>
      </c>
      <c r="P4554" s="692">
        <f t="shared" ref="P4554:P4575" si="3181">O4554*1.1</f>
        <v>147620</v>
      </c>
      <c r="Q4554" s="1202" t="s">
        <v>2512</v>
      </c>
      <c r="R4554" s="317"/>
      <c r="U4554" s="320" t="s">
        <v>1803</v>
      </c>
    </row>
    <row r="4555" spans="1:21" s="344" customFormat="1" outlineLevel="3">
      <c r="A4555" s="345"/>
      <c r="B4555" s="345"/>
      <c r="C4555" s="332">
        <v>2211007</v>
      </c>
      <c r="D4555" s="330" t="s">
        <v>2064</v>
      </c>
      <c r="E4555" s="422">
        <v>0</v>
      </c>
      <c r="F4555" s="389">
        <v>23148750</v>
      </c>
      <c r="G4555" s="422"/>
      <c r="H4555" s="422"/>
      <c r="I4555" s="324">
        <f t="shared" si="3149"/>
        <v>23148750</v>
      </c>
      <c r="J4555" s="422"/>
      <c r="K4555" s="422"/>
      <c r="L4555" s="317">
        <f t="shared" si="3175"/>
        <v>23148750</v>
      </c>
      <c r="M4555" s="317"/>
      <c r="N4555" s="372">
        <f t="shared" si="3180"/>
        <v>0</v>
      </c>
      <c r="O4555" s="336">
        <f t="shared" si="3160"/>
        <v>25463625.000000004</v>
      </c>
      <c r="P4555" s="319"/>
      <c r="R4555" s="317"/>
      <c r="U4555" s="320"/>
    </row>
    <row r="4556" spans="1:21" s="344" customFormat="1" outlineLevel="3">
      <c r="A4556" s="345"/>
      <c r="B4556" s="345"/>
      <c r="C4556" s="340">
        <v>3110500</v>
      </c>
      <c r="D4556" s="338" t="s">
        <v>260</v>
      </c>
      <c r="E4556" s="622">
        <f>E4557+E4558</f>
        <v>6912055</v>
      </c>
      <c r="F4556" s="622">
        <f t="shared" ref="F4556:P4556" si="3182">F4557+F4558</f>
        <v>2700000</v>
      </c>
      <c r="G4556" s="622">
        <f t="shared" si="3182"/>
        <v>-5412055</v>
      </c>
      <c r="H4556" s="622">
        <f t="shared" si="3182"/>
        <v>3724485</v>
      </c>
      <c r="I4556" s="622">
        <f t="shared" si="3182"/>
        <v>7924485</v>
      </c>
      <c r="J4556" s="622">
        <f t="shared" si="3182"/>
        <v>0</v>
      </c>
      <c r="K4556" s="622">
        <f t="shared" si="3182"/>
        <v>0</v>
      </c>
      <c r="L4556" s="317">
        <f t="shared" si="3175"/>
        <v>7924485</v>
      </c>
      <c r="M4556" s="317"/>
      <c r="N4556" s="372">
        <f t="shared" si="3180"/>
        <v>0</v>
      </c>
      <c r="O4556" s="622">
        <f t="shared" si="3182"/>
        <v>8716933.5000000019</v>
      </c>
      <c r="P4556" s="622">
        <f t="shared" si="3182"/>
        <v>9588626.8500000015</v>
      </c>
      <c r="R4556" s="317"/>
      <c r="U4556" s="320"/>
    </row>
    <row r="4557" spans="1:21" s="344" customFormat="1" outlineLevel="2">
      <c r="A4557" s="345"/>
      <c r="B4557" s="345"/>
      <c r="C4557" s="332">
        <v>3110504</v>
      </c>
      <c r="D4557" s="330" t="s">
        <v>1339</v>
      </c>
      <c r="E4557" s="422">
        <f>9000000-3587945</f>
        <v>5412055</v>
      </c>
      <c r="F4557" s="422">
        <v>2700000</v>
      </c>
      <c r="G4557" s="1073">
        <v>-5412055</v>
      </c>
      <c r="H4557" s="1073">
        <f>4500000-775515</f>
        <v>3724485</v>
      </c>
      <c r="I4557" s="324">
        <f t="shared" si="3149"/>
        <v>6424485</v>
      </c>
      <c r="J4557" s="1073"/>
      <c r="K4557" s="1073"/>
      <c r="L4557" s="317">
        <f t="shared" si="3175"/>
        <v>6424485</v>
      </c>
      <c r="M4557" s="317"/>
      <c r="N4557" s="372">
        <f t="shared" si="3180"/>
        <v>0</v>
      </c>
      <c r="O4557" s="336">
        <f t="shared" si="3160"/>
        <v>7066933.5000000009</v>
      </c>
      <c r="P4557" s="1106">
        <f>O4557*1.1</f>
        <v>7773626.8500000015</v>
      </c>
      <c r="R4557" s="317"/>
      <c r="U4557" s="320"/>
    </row>
    <row r="4558" spans="1:21" s="344" customFormat="1" outlineLevel="2">
      <c r="A4558" s="345"/>
      <c r="B4558" s="345"/>
      <c r="C4558" s="332">
        <v>3110504</v>
      </c>
      <c r="D4558" s="330" t="s">
        <v>1340</v>
      </c>
      <c r="E4558" s="422">
        <f>1500000</f>
        <v>1500000</v>
      </c>
      <c r="F4558" s="389"/>
      <c r="G4558" s="422"/>
      <c r="H4558" s="422"/>
      <c r="I4558" s="324">
        <f t="shared" si="3149"/>
        <v>1500000</v>
      </c>
      <c r="J4558" s="422"/>
      <c r="K4558" s="422"/>
      <c r="L4558" s="317">
        <f t="shared" si="3175"/>
        <v>1500000</v>
      </c>
      <c r="M4558" s="317"/>
      <c r="N4558" s="372">
        <f t="shared" si="3180"/>
        <v>0</v>
      </c>
      <c r="O4558" s="336">
        <f t="shared" si="3160"/>
        <v>1650000.0000000002</v>
      </c>
      <c r="P4558" s="319">
        <f t="shared" si="3181"/>
        <v>1815000.0000000005</v>
      </c>
      <c r="R4558" s="317"/>
      <c r="U4558" s="320"/>
    </row>
    <row r="4559" spans="1:21" s="344" customFormat="1" outlineLevel="2">
      <c r="A4559" s="345"/>
      <c r="B4559" s="345"/>
      <c r="C4559" s="340">
        <v>3111000</v>
      </c>
      <c r="D4559" s="338" t="s">
        <v>779</v>
      </c>
      <c r="E4559" s="622">
        <f>E4560</f>
        <v>649013</v>
      </c>
      <c r="F4559" s="622">
        <f t="shared" ref="F4559:I4559" si="3183">F4560</f>
        <v>0</v>
      </c>
      <c r="G4559" s="622">
        <f t="shared" si="3183"/>
        <v>0</v>
      </c>
      <c r="H4559" s="622">
        <f t="shared" si="3183"/>
        <v>0</v>
      </c>
      <c r="I4559" s="622">
        <f t="shared" si="3183"/>
        <v>649013</v>
      </c>
      <c r="J4559" s="622">
        <f t="shared" ref="J4559" si="3184">J4560</f>
        <v>0</v>
      </c>
      <c r="K4559" s="622">
        <f t="shared" ref="K4559" si="3185">K4560</f>
        <v>0</v>
      </c>
      <c r="L4559" s="317">
        <f t="shared" si="3175"/>
        <v>649013</v>
      </c>
      <c r="M4559" s="317"/>
      <c r="N4559" s="372">
        <f t="shared" si="3180"/>
        <v>0</v>
      </c>
      <c r="O4559" s="622">
        <f t="shared" ref="O4559" si="3186">O4560</f>
        <v>713914.3</v>
      </c>
      <c r="P4559" s="622">
        <f t="shared" ref="P4559" si="3187">P4560</f>
        <v>785305.7300000001</v>
      </c>
      <c r="R4559" s="317"/>
      <c r="U4559" s="320"/>
    </row>
    <row r="4560" spans="1:21" s="344" customFormat="1" outlineLevel="3">
      <c r="A4560" s="345"/>
      <c r="B4560" s="345"/>
      <c r="C4560" s="332">
        <v>3111002</v>
      </c>
      <c r="D4560" s="330" t="s">
        <v>780</v>
      </c>
      <c r="E4560" s="422">
        <f>1500000-850987</f>
        <v>649013</v>
      </c>
      <c r="F4560" s="389"/>
      <c r="G4560" s="422"/>
      <c r="H4560" s="422"/>
      <c r="I4560" s="324">
        <f t="shared" si="3149"/>
        <v>649013</v>
      </c>
      <c r="J4560" s="422"/>
      <c r="K4560" s="422"/>
      <c r="L4560" s="317">
        <f t="shared" si="3175"/>
        <v>649013</v>
      </c>
      <c r="M4560" s="317"/>
      <c r="N4560" s="372">
        <f t="shared" si="3180"/>
        <v>0</v>
      </c>
      <c r="O4560" s="336">
        <f t="shared" si="3160"/>
        <v>713914.3</v>
      </c>
      <c r="P4560" s="319">
        <f t="shared" si="3181"/>
        <v>785305.7300000001</v>
      </c>
      <c r="R4560" s="317"/>
      <c r="U4560" s="320"/>
    </row>
    <row r="4561" spans="1:21" s="344" customFormat="1" outlineLevel="3">
      <c r="A4561" s="483"/>
      <c r="B4561" s="483"/>
      <c r="C4561" s="680">
        <v>3111400</v>
      </c>
      <c r="D4561" s="376" t="s">
        <v>294</v>
      </c>
      <c r="E4561" s="681">
        <f>E4562</f>
        <v>3453655</v>
      </c>
      <c r="F4561" s="681">
        <f t="shared" ref="F4561:P4561" si="3188">F4562</f>
        <v>0</v>
      </c>
      <c r="G4561" s="681">
        <f t="shared" si="3188"/>
        <v>0</v>
      </c>
      <c r="H4561" s="681">
        <f t="shared" si="3188"/>
        <v>2000000</v>
      </c>
      <c r="I4561" s="681">
        <f t="shared" si="3188"/>
        <v>5453655</v>
      </c>
      <c r="J4561" s="681">
        <f t="shared" si="3188"/>
        <v>0</v>
      </c>
      <c r="K4561" s="681">
        <f t="shared" si="3188"/>
        <v>0</v>
      </c>
      <c r="L4561" s="317">
        <f t="shared" si="3175"/>
        <v>5453655</v>
      </c>
      <c r="M4561" s="2212"/>
      <c r="N4561" s="372">
        <f t="shared" si="3180"/>
        <v>0</v>
      </c>
      <c r="O4561" s="681">
        <f t="shared" si="3188"/>
        <v>5999020.5000000009</v>
      </c>
      <c r="P4561" s="681">
        <f t="shared" si="3188"/>
        <v>6598922.5500000017</v>
      </c>
      <c r="R4561" s="317"/>
      <c r="U4561" s="320"/>
    </row>
    <row r="4562" spans="1:21" s="344" customFormat="1" outlineLevel="3">
      <c r="A4562" s="345"/>
      <c r="B4562" s="345"/>
      <c r="C4562" s="401">
        <v>3111499</v>
      </c>
      <c r="D4562" s="1192" t="s">
        <v>2062</v>
      </c>
      <c r="E4562" s="1073">
        <v>3453655</v>
      </c>
      <c r="F4562" s="364"/>
      <c r="G4562" s="422"/>
      <c r="H4562" s="422">
        <v>2000000</v>
      </c>
      <c r="I4562" s="324">
        <f t="shared" si="3149"/>
        <v>5453655</v>
      </c>
      <c r="J4562" s="422"/>
      <c r="K4562" s="549"/>
      <c r="L4562" s="317">
        <f t="shared" si="3175"/>
        <v>5453655</v>
      </c>
      <c r="M4562" s="317"/>
      <c r="N4562" s="372">
        <f t="shared" si="3180"/>
        <v>0</v>
      </c>
      <c r="O4562" s="336">
        <f t="shared" si="3160"/>
        <v>5999020.5000000009</v>
      </c>
      <c r="P4562" s="319">
        <f t="shared" si="3181"/>
        <v>6598922.5500000017</v>
      </c>
      <c r="Q4562" s="1190" t="s">
        <v>2518</v>
      </c>
      <c r="R4562" s="317"/>
      <c r="U4562" s="320"/>
    </row>
    <row r="4563" spans="1:21" s="344" customFormat="1" outlineLevel="3">
      <c r="A4563" s="506"/>
      <c r="B4563" s="506"/>
      <c r="C4563" s="1214"/>
      <c r="D4563" s="358" t="s">
        <v>445</v>
      </c>
      <c r="E4563" s="768">
        <f t="shared" ref="E4563:P4563" si="3189">E4559+E4552+E4556+E4561+E4550</f>
        <v>29744121</v>
      </c>
      <c r="F4563" s="768">
        <f t="shared" si="3189"/>
        <v>25848750</v>
      </c>
      <c r="G4563" s="768">
        <f t="shared" si="3189"/>
        <v>-5412055</v>
      </c>
      <c r="H4563" s="768">
        <f t="shared" si="3189"/>
        <v>20724485</v>
      </c>
      <c r="I4563" s="768">
        <f t="shared" si="3189"/>
        <v>70905301</v>
      </c>
      <c r="J4563" s="768">
        <f t="shared" si="3189"/>
        <v>-878000</v>
      </c>
      <c r="K4563" s="768">
        <f t="shared" si="3189"/>
        <v>0</v>
      </c>
      <c r="L4563" s="317">
        <f t="shared" si="3175"/>
        <v>70027301</v>
      </c>
      <c r="M4563" s="2211"/>
      <c r="N4563" s="372">
        <f t="shared" si="3180"/>
        <v>0</v>
      </c>
      <c r="O4563" s="768">
        <f t="shared" si="3189"/>
        <v>77030031.100000009</v>
      </c>
      <c r="P4563" s="768">
        <f t="shared" si="3189"/>
        <v>56723046.710000008</v>
      </c>
      <c r="R4563" s="317"/>
      <c r="U4563" s="320"/>
    </row>
    <row r="4564" spans="1:21" s="344" customFormat="1" outlineLevel="3">
      <c r="A4564" s="345"/>
      <c r="B4564" s="345"/>
      <c r="C4564" s="332"/>
      <c r="D4564" s="1210" t="s">
        <v>84</v>
      </c>
      <c r="E4564" s="622">
        <f t="shared" ref="E4564:P4564" si="3190">E4563+E4547</f>
        <v>51134155</v>
      </c>
      <c r="F4564" s="622">
        <f t="shared" si="3190"/>
        <v>25848750</v>
      </c>
      <c r="G4564" s="622">
        <f t="shared" si="3190"/>
        <v>-5412055</v>
      </c>
      <c r="H4564" s="622">
        <f t="shared" si="3190"/>
        <v>20724485</v>
      </c>
      <c r="I4564" s="622">
        <f t="shared" si="3190"/>
        <v>92295335</v>
      </c>
      <c r="J4564" s="622">
        <f t="shared" si="3190"/>
        <v>-2078000</v>
      </c>
      <c r="K4564" s="622">
        <f t="shared" si="3190"/>
        <v>0</v>
      </c>
      <c r="L4564" s="317">
        <f t="shared" si="3175"/>
        <v>90217335</v>
      </c>
      <c r="M4564" s="317"/>
      <c r="N4564" s="372">
        <f t="shared" si="3180"/>
        <v>0</v>
      </c>
      <c r="O4564" s="622">
        <f t="shared" si="3190"/>
        <v>99239068.500000015</v>
      </c>
      <c r="P4564" s="622">
        <f t="shared" si="3190"/>
        <v>81152987.850000009</v>
      </c>
      <c r="R4564" s="317"/>
      <c r="U4564" s="320"/>
    </row>
    <row r="4565" spans="1:21" s="344" customFormat="1" outlineLevel="3">
      <c r="A4565" s="345"/>
      <c r="B4565" s="345"/>
      <c r="C4565" s="340"/>
      <c r="D4565" s="345"/>
      <c r="E4565" s="622"/>
      <c r="F4565" s="406"/>
      <c r="G4565" s="1073"/>
      <c r="H4565" s="1073"/>
      <c r="I4565" s="324">
        <f t="shared" si="3149"/>
        <v>0</v>
      </c>
      <c r="J4565" s="1073"/>
      <c r="K4565" s="1073"/>
      <c r="L4565" s="317">
        <f t="shared" si="3175"/>
        <v>0</v>
      </c>
      <c r="M4565" s="317"/>
      <c r="N4565" s="372">
        <f t="shared" si="3180"/>
        <v>0</v>
      </c>
      <c r="O4565" s="336">
        <f t="shared" si="3160"/>
        <v>0</v>
      </c>
      <c r="P4565" s="319">
        <f t="shared" si="3181"/>
        <v>0</v>
      </c>
      <c r="R4565" s="317"/>
      <c r="U4565" s="320"/>
    </row>
    <row r="4566" spans="1:21" s="344" customFormat="1" outlineLevel="3">
      <c r="A4566" s="345"/>
      <c r="B4566" s="345"/>
      <c r="C4566" s="970" t="s">
        <v>781</v>
      </c>
      <c r="D4566" s="330"/>
      <c r="E4566" s="422"/>
      <c r="F4566" s="389"/>
      <c r="G4566" s="422"/>
      <c r="H4566" s="422"/>
      <c r="I4566" s="324">
        <f t="shared" si="3149"/>
        <v>0</v>
      </c>
      <c r="J4566" s="422"/>
      <c r="K4566" s="422"/>
      <c r="L4566" s="317">
        <f t="shared" si="3175"/>
        <v>0</v>
      </c>
      <c r="M4566" s="317"/>
      <c r="N4566" s="372">
        <f t="shared" si="3180"/>
        <v>0</v>
      </c>
      <c r="O4566" s="336">
        <f t="shared" si="3160"/>
        <v>0</v>
      </c>
      <c r="P4566" s="1124">
        <f t="shared" ref="P4566" si="3191">P4568+P4567</f>
        <v>0</v>
      </c>
      <c r="R4566" s="317"/>
      <c r="U4566" s="320"/>
    </row>
    <row r="4567" spans="1:21" s="344" customFormat="1" outlineLevel="3">
      <c r="A4567" s="345"/>
      <c r="B4567" s="345"/>
      <c r="C4567" s="1185" t="s">
        <v>782</v>
      </c>
      <c r="D4567" s="338"/>
      <c r="E4567" s="622"/>
      <c r="F4567" s="397"/>
      <c r="G4567" s="422"/>
      <c r="H4567" s="422"/>
      <c r="I4567" s="324">
        <f t="shared" si="3149"/>
        <v>0</v>
      </c>
      <c r="J4567" s="422"/>
      <c r="K4567" s="422"/>
      <c r="L4567" s="317">
        <f t="shared" si="3175"/>
        <v>0</v>
      </c>
      <c r="M4567" s="317"/>
      <c r="N4567" s="372">
        <f t="shared" si="3180"/>
        <v>0</v>
      </c>
      <c r="O4567" s="336">
        <f t="shared" si="3160"/>
        <v>0</v>
      </c>
      <c r="P4567" s="319">
        <f t="shared" si="3181"/>
        <v>0</v>
      </c>
      <c r="R4567" s="317"/>
      <c r="U4567" s="320"/>
    </row>
    <row r="4568" spans="1:21" s="344" customFormat="1" outlineLevel="3">
      <c r="A4568" s="345"/>
      <c r="B4568" s="345"/>
      <c r="C4568" s="340" t="s">
        <v>783</v>
      </c>
      <c r="D4568" s="338"/>
      <c r="E4568" s="622"/>
      <c r="F4568" s="397"/>
      <c r="G4568" s="422"/>
      <c r="H4568" s="422"/>
      <c r="I4568" s="324">
        <f t="shared" si="3149"/>
        <v>0</v>
      </c>
      <c r="J4568" s="422"/>
      <c r="K4568" s="422"/>
      <c r="L4568" s="317">
        <f t="shared" si="3175"/>
        <v>0</v>
      </c>
      <c r="M4568" s="317"/>
      <c r="N4568" s="372">
        <f t="shared" si="3180"/>
        <v>0</v>
      </c>
      <c r="O4568" s="336">
        <f t="shared" si="3160"/>
        <v>0</v>
      </c>
      <c r="P4568" s="319">
        <f t="shared" si="3181"/>
        <v>0</v>
      </c>
      <c r="R4568" s="317"/>
      <c r="U4568" s="320"/>
    </row>
    <row r="4569" spans="1:21" outlineLevel="3">
      <c r="A4569" s="345"/>
      <c r="B4569" s="345"/>
      <c r="C4569" s="340">
        <v>2210100</v>
      </c>
      <c r="D4569" s="338" t="s">
        <v>16</v>
      </c>
      <c r="E4569" s="622">
        <f>E4570+E4571</f>
        <v>28700</v>
      </c>
      <c r="F4569" s="622">
        <f t="shared" ref="F4569:K4569" si="3192">F4570+F4571</f>
        <v>0</v>
      </c>
      <c r="G4569" s="622">
        <f t="shared" si="3192"/>
        <v>0</v>
      </c>
      <c r="H4569" s="622">
        <f t="shared" si="3192"/>
        <v>0</v>
      </c>
      <c r="I4569" s="622">
        <f t="shared" si="3192"/>
        <v>28700</v>
      </c>
      <c r="J4569" s="622">
        <f t="shared" si="3192"/>
        <v>0</v>
      </c>
      <c r="K4569" s="622">
        <f t="shared" si="3192"/>
        <v>0</v>
      </c>
      <c r="L4569" s="317">
        <f t="shared" si="3175"/>
        <v>28700</v>
      </c>
      <c r="M4569" s="317"/>
      <c r="N4569" s="372">
        <f t="shared" si="3180"/>
        <v>0</v>
      </c>
      <c r="O4569" s="622">
        <f t="shared" ref="O4569:P4569" si="3193">O4570+O4571</f>
        <v>31570</v>
      </c>
      <c r="P4569" s="622">
        <f t="shared" si="3193"/>
        <v>34727</v>
      </c>
      <c r="R4569" s="317"/>
      <c r="U4569" s="320"/>
    </row>
    <row r="4570" spans="1:21" outlineLevel="3">
      <c r="A4570" s="345"/>
      <c r="B4570" s="345"/>
      <c r="C4570" s="332">
        <v>2210101</v>
      </c>
      <c r="D4570" s="330" t="s">
        <v>784</v>
      </c>
      <c r="E4570" s="422">
        <v>15800</v>
      </c>
      <c r="F4570" s="389"/>
      <c r="G4570" s="422"/>
      <c r="H4570" s="422"/>
      <c r="I4570" s="324">
        <f t="shared" si="3149"/>
        <v>15800</v>
      </c>
      <c r="J4570" s="422"/>
      <c r="K4570" s="422"/>
      <c r="L4570" s="317">
        <f t="shared" si="3175"/>
        <v>15800</v>
      </c>
      <c r="M4570" s="317"/>
      <c r="N4570" s="372">
        <f t="shared" si="3180"/>
        <v>0</v>
      </c>
      <c r="O4570" s="336">
        <f t="shared" si="3160"/>
        <v>17380</v>
      </c>
      <c r="P4570" s="319">
        <f t="shared" si="3181"/>
        <v>19118</v>
      </c>
      <c r="R4570" s="317"/>
      <c r="U4570" s="320"/>
    </row>
    <row r="4571" spans="1:21" outlineLevel="3">
      <c r="A4571" s="330"/>
      <c r="B4571" s="330"/>
      <c r="C4571" s="332">
        <v>2210102</v>
      </c>
      <c r="D4571" s="330" t="s">
        <v>785</v>
      </c>
      <c r="E4571" s="422">
        <v>12900</v>
      </c>
      <c r="F4571" s="389"/>
      <c r="G4571" s="422"/>
      <c r="H4571" s="422"/>
      <c r="I4571" s="324">
        <f t="shared" ref="I4571:I4634" si="3194">E4571+F4571+G4571+H4571</f>
        <v>12900</v>
      </c>
      <c r="J4571" s="422"/>
      <c r="K4571" s="422"/>
      <c r="L4571" s="317">
        <f t="shared" si="3175"/>
        <v>12900</v>
      </c>
      <c r="M4571" s="317"/>
      <c r="N4571" s="372">
        <f t="shared" si="3180"/>
        <v>0</v>
      </c>
      <c r="O4571" s="336">
        <f t="shared" si="3160"/>
        <v>14190.000000000002</v>
      </c>
      <c r="P4571" s="319">
        <f t="shared" si="3181"/>
        <v>15609.000000000004</v>
      </c>
      <c r="R4571" s="317"/>
      <c r="U4571" s="320"/>
    </row>
    <row r="4572" spans="1:21" s="344" customFormat="1" outlineLevel="3">
      <c r="A4572" s="330"/>
      <c r="B4572" s="330"/>
      <c r="C4572" s="340">
        <v>2210200</v>
      </c>
      <c r="D4572" s="338" t="s">
        <v>20</v>
      </c>
      <c r="E4572" s="622">
        <f>E4573</f>
        <v>55800</v>
      </c>
      <c r="F4572" s="622">
        <f t="shared" ref="F4572:P4572" si="3195">F4573</f>
        <v>0</v>
      </c>
      <c r="G4572" s="622">
        <f t="shared" si="3195"/>
        <v>0</v>
      </c>
      <c r="H4572" s="622">
        <f t="shared" si="3195"/>
        <v>0</v>
      </c>
      <c r="I4572" s="622">
        <f t="shared" si="3195"/>
        <v>55800</v>
      </c>
      <c r="J4572" s="622">
        <f t="shared" si="3195"/>
        <v>0</v>
      </c>
      <c r="K4572" s="622">
        <f t="shared" si="3195"/>
        <v>0</v>
      </c>
      <c r="L4572" s="317">
        <f t="shared" si="3175"/>
        <v>55800</v>
      </c>
      <c r="M4572" s="317"/>
      <c r="N4572" s="372">
        <f t="shared" si="3180"/>
        <v>0</v>
      </c>
      <c r="O4572" s="622">
        <f t="shared" si="3195"/>
        <v>61380.000000000007</v>
      </c>
      <c r="P4572" s="622">
        <f t="shared" si="3195"/>
        <v>67518.000000000015</v>
      </c>
      <c r="R4572" s="317"/>
      <c r="U4572" s="320"/>
    </row>
    <row r="4573" spans="1:21" s="344" customFormat="1" outlineLevel="3">
      <c r="A4573" s="330"/>
      <c r="B4573" s="330"/>
      <c r="C4573" s="332">
        <v>2210201</v>
      </c>
      <c r="D4573" s="330" t="s">
        <v>786</v>
      </c>
      <c r="E4573" s="422">
        <v>55800</v>
      </c>
      <c r="F4573" s="389"/>
      <c r="G4573" s="1073"/>
      <c r="H4573" s="1073"/>
      <c r="I4573" s="324">
        <f t="shared" si="3194"/>
        <v>55800</v>
      </c>
      <c r="J4573" s="1073"/>
      <c r="K4573" s="1073"/>
      <c r="L4573" s="317">
        <f t="shared" si="3175"/>
        <v>55800</v>
      </c>
      <c r="M4573" s="317"/>
      <c r="N4573" s="372">
        <f t="shared" si="3180"/>
        <v>0</v>
      </c>
      <c r="O4573" s="336">
        <f t="shared" si="3160"/>
        <v>61380.000000000007</v>
      </c>
      <c r="P4573" s="319">
        <f t="shared" si="3181"/>
        <v>67518.000000000015</v>
      </c>
      <c r="R4573" s="317"/>
      <c r="U4573" s="320"/>
    </row>
    <row r="4574" spans="1:21" s="344" customFormat="1" outlineLevel="3">
      <c r="A4574" s="345"/>
      <c r="B4574" s="345"/>
      <c r="C4574" s="340">
        <v>2210300</v>
      </c>
      <c r="D4574" s="338" t="s">
        <v>267</v>
      </c>
      <c r="E4574" s="622">
        <f>E4575+E4576+E4577</f>
        <v>616000</v>
      </c>
      <c r="F4574" s="622">
        <f t="shared" ref="F4574:P4574" si="3196">F4575+F4576+F4577</f>
        <v>0</v>
      </c>
      <c r="G4574" s="622">
        <f t="shared" si="3196"/>
        <v>0</v>
      </c>
      <c r="H4574" s="622">
        <f t="shared" si="3196"/>
        <v>0</v>
      </c>
      <c r="I4574" s="622">
        <f t="shared" si="3196"/>
        <v>616000</v>
      </c>
      <c r="J4574" s="622">
        <f t="shared" si="3196"/>
        <v>0</v>
      </c>
      <c r="K4574" s="622">
        <f t="shared" si="3196"/>
        <v>0</v>
      </c>
      <c r="L4574" s="317">
        <f t="shared" si="3175"/>
        <v>616000</v>
      </c>
      <c r="M4574" s="317"/>
      <c r="N4574" s="372">
        <f t="shared" si="3180"/>
        <v>0</v>
      </c>
      <c r="O4574" s="622">
        <f t="shared" si="3196"/>
        <v>677600</v>
      </c>
      <c r="P4574" s="622">
        <f t="shared" si="3196"/>
        <v>745360.00000000012</v>
      </c>
      <c r="R4574" s="317"/>
      <c r="U4574" s="320"/>
    </row>
    <row r="4575" spans="1:21" s="344" customFormat="1" outlineLevel="3">
      <c r="A4575" s="345"/>
      <c r="B4575" s="345"/>
      <c r="C4575" s="332">
        <v>2210301</v>
      </c>
      <c r="D4575" s="330" t="s">
        <v>25</v>
      </c>
      <c r="E4575" s="422">
        <v>158000</v>
      </c>
      <c r="F4575" s="389"/>
      <c r="G4575" s="422"/>
      <c r="H4575" s="422"/>
      <c r="I4575" s="324">
        <f t="shared" si="3194"/>
        <v>158000</v>
      </c>
      <c r="J4575" s="422"/>
      <c r="K4575" s="422"/>
      <c r="L4575" s="317">
        <f t="shared" si="3175"/>
        <v>158000</v>
      </c>
      <c r="M4575" s="317"/>
      <c r="N4575" s="372">
        <f t="shared" si="3180"/>
        <v>0</v>
      </c>
      <c r="O4575" s="336">
        <f t="shared" si="3160"/>
        <v>173800</v>
      </c>
      <c r="P4575" s="319">
        <f t="shared" si="3181"/>
        <v>191180.00000000003</v>
      </c>
      <c r="R4575" s="317"/>
      <c r="U4575" s="320"/>
    </row>
    <row r="4576" spans="1:21" s="344" customFormat="1" outlineLevel="2">
      <c r="A4576" s="345"/>
      <c r="B4576" s="345"/>
      <c r="C4576" s="332">
        <v>2210302</v>
      </c>
      <c r="D4576" s="330" t="s">
        <v>787</v>
      </c>
      <c r="E4576" s="422">
        <v>129000</v>
      </c>
      <c r="F4576" s="389"/>
      <c r="G4576" s="422"/>
      <c r="H4576" s="422"/>
      <c r="I4576" s="324">
        <f t="shared" si="3194"/>
        <v>129000</v>
      </c>
      <c r="J4576" s="422"/>
      <c r="K4576" s="422"/>
      <c r="L4576" s="317">
        <f t="shared" si="3175"/>
        <v>129000</v>
      </c>
      <c r="M4576" s="317"/>
      <c r="N4576" s="372">
        <f t="shared" si="3180"/>
        <v>0</v>
      </c>
      <c r="O4576" s="336">
        <f t="shared" si="3160"/>
        <v>141900</v>
      </c>
      <c r="P4576" s="319">
        <f t="shared" ref="P4576:P4592" si="3197">O4576*1.1</f>
        <v>156090</v>
      </c>
      <c r="R4576" s="317"/>
      <c r="U4576" s="320"/>
    </row>
    <row r="4577" spans="1:21" s="344" customFormat="1" outlineLevel="1">
      <c r="A4577" s="345"/>
      <c r="B4577" s="345"/>
      <c r="C4577" s="332">
        <v>2210303</v>
      </c>
      <c r="D4577" s="330" t="s">
        <v>27</v>
      </c>
      <c r="E4577" s="422">
        <v>329000</v>
      </c>
      <c r="F4577" s="389"/>
      <c r="G4577" s="1073"/>
      <c r="H4577" s="1073"/>
      <c r="I4577" s="324">
        <f t="shared" si="3194"/>
        <v>329000</v>
      </c>
      <c r="J4577" s="1073"/>
      <c r="K4577" s="1073"/>
      <c r="L4577" s="317">
        <f t="shared" si="3175"/>
        <v>329000</v>
      </c>
      <c r="M4577" s="317"/>
      <c r="N4577" s="372">
        <f t="shared" si="3180"/>
        <v>0</v>
      </c>
      <c r="O4577" s="336">
        <f t="shared" si="3160"/>
        <v>361900.00000000006</v>
      </c>
      <c r="P4577" s="319">
        <f t="shared" si="3197"/>
        <v>398090.00000000012</v>
      </c>
      <c r="R4577" s="317"/>
      <c r="U4577" s="320"/>
    </row>
    <row r="4578" spans="1:21" s="344" customFormat="1" outlineLevel="1">
      <c r="A4578" s="345"/>
      <c r="B4578" s="345"/>
      <c r="C4578" s="340">
        <v>2210500</v>
      </c>
      <c r="D4578" s="338" t="s">
        <v>31</v>
      </c>
      <c r="E4578" s="622">
        <f>E4579+E4580</f>
        <v>67748</v>
      </c>
      <c r="F4578" s="622">
        <f t="shared" ref="F4578:K4578" si="3198">F4579+F4580</f>
        <v>0</v>
      </c>
      <c r="G4578" s="622">
        <f t="shared" si="3198"/>
        <v>0</v>
      </c>
      <c r="H4578" s="622">
        <f t="shared" si="3198"/>
        <v>0</v>
      </c>
      <c r="I4578" s="622">
        <f t="shared" si="3198"/>
        <v>67748</v>
      </c>
      <c r="J4578" s="622">
        <f t="shared" si="3198"/>
        <v>0</v>
      </c>
      <c r="K4578" s="622">
        <f t="shared" si="3198"/>
        <v>0</v>
      </c>
      <c r="L4578" s="317">
        <f t="shared" si="3175"/>
        <v>67748</v>
      </c>
      <c r="M4578" s="317"/>
      <c r="N4578" s="372">
        <f t="shared" si="3180"/>
        <v>0</v>
      </c>
      <c r="O4578" s="622">
        <f t="shared" ref="O4578:P4578" si="3199">O4579+O4580</f>
        <v>74522.8</v>
      </c>
      <c r="P4578" s="622">
        <f t="shared" si="3199"/>
        <v>81975.08</v>
      </c>
      <c r="R4578" s="317"/>
      <c r="U4578" s="320"/>
    </row>
    <row r="4579" spans="1:21" s="344" customFormat="1" outlineLevel="1">
      <c r="A4579" s="345"/>
      <c r="B4579" s="345"/>
      <c r="C4579" s="332">
        <v>2210502</v>
      </c>
      <c r="D4579" s="330" t="s">
        <v>788</v>
      </c>
      <c r="E4579" s="422">
        <v>54437</v>
      </c>
      <c r="F4579" s="389"/>
      <c r="G4579" s="422"/>
      <c r="H4579" s="422"/>
      <c r="I4579" s="324">
        <f t="shared" si="3194"/>
        <v>54437</v>
      </c>
      <c r="J4579" s="422"/>
      <c r="K4579" s="422"/>
      <c r="L4579" s="317">
        <f t="shared" si="3175"/>
        <v>54437</v>
      </c>
      <c r="M4579" s="317"/>
      <c r="N4579" s="372">
        <f t="shared" si="3180"/>
        <v>0</v>
      </c>
      <c r="O4579" s="336">
        <f t="shared" si="3160"/>
        <v>59880.700000000004</v>
      </c>
      <c r="P4579" s="319">
        <f t="shared" si="3197"/>
        <v>65868.77</v>
      </c>
      <c r="R4579" s="317"/>
      <c r="U4579" s="320"/>
    </row>
    <row r="4580" spans="1:21" s="344" customFormat="1" outlineLevel="1">
      <c r="A4580" s="345"/>
      <c r="B4580" s="345"/>
      <c r="C4580" s="332">
        <v>2210503</v>
      </c>
      <c r="D4580" s="330" t="s">
        <v>32</v>
      </c>
      <c r="E4580" s="422">
        <v>13311</v>
      </c>
      <c r="F4580" s="389"/>
      <c r="G4580" s="422"/>
      <c r="H4580" s="422"/>
      <c r="I4580" s="324">
        <f t="shared" si="3194"/>
        <v>13311</v>
      </c>
      <c r="J4580" s="422"/>
      <c r="K4580" s="422"/>
      <c r="L4580" s="317">
        <f t="shared" si="3175"/>
        <v>13311</v>
      </c>
      <c r="M4580" s="317"/>
      <c r="N4580" s="372">
        <f t="shared" si="3180"/>
        <v>0</v>
      </c>
      <c r="O4580" s="336">
        <f t="shared" si="3160"/>
        <v>14642.1</v>
      </c>
      <c r="P4580" s="319">
        <f t="shared" si="3197"/>
        <v>16106.310000000001</v>
      </c>
      <c r="R4580" s="317"/>
      <c r="U4580" s="320"/>
    </row>
    <row r="4581" spans="1:21" s="344" customFormat="1" outlineLevel="1">
      <c r="A4581" s="487"/>
      <c r="B4581" s="487"/>
      <c r="C4581" s="340">
        <v>2210700</v>
      </c>
      <c r="D4581" s="338" t="s">
        <v>114</v>
      </c>
      <c r="E4581" s="622">
        <f>E4582+E4583+E4584</f>
        <v>107160</v>
      </c>
      <c r="F4581" s="622">
        <f t="shared" ref="F4581:P4581" si="3200">F4582+F4583+F4584</f>
        <v>0</v>
      </c>
      <c r="G4581" s="622">
        <f t="shared" si="3200"/>
        <v>0</v>
      </c>
      <c r="H4581" s="622">
        <f t="shared" si="3200"/>
        <v>0</v>
      </c>
      <c r="I4581" s="622">
        <f t="shared" si="3200"/>
        <v>107160</v>
      </c>
      <c r="J4581" s="622">
        <f t="shared" si="3200"/>
        <v>0</v>
      </c>
      <c r="K4581" s="622">
        <f t="shared" si="3200"/>
        <v>0</v>
      </c>
      <c r="L4581" s="317">
        <f t="shared" si="3175"/>
        <v>107160</v>
      </c>
      <c r="M4581" s="317"/>
      <c r="N4581" s="372">
        <f t="shared" si="3180"/>
        <v>0</v>
      </c>
      <c r="O4581" s="622">
        <f t="shared" si="3200"/>
        <v>117876</v>
      </c>
      <c r="P4581" s="622">
        <f t="shared" si="3200"/>
        <v>129663.60000000002</v>
      </c>
      <c r="R4581" s="317"/>
      <c r="U4581" s="320"/>
    </row>
    <row r="4582" spans="1:21" s="344" customFormat="1" outlineLevel="3">
      <c r="A4582" s="345"/>
      <c r="B4582" s="345"/>
      <c r="C4582" s="332">
        <v>2210701</v>
      </c>
      <c r="D4582" s="330" t="s">
        <v>789</v>
      </c>
      <c r="E4582" s="422">
        <v>30160</v>
      </c>
      <c r="F4582" s="389"/>
      <c r="G4582" s="422"/>
      <c r="H4582" s="422"/>
      <c r="I4582" s="324">
        <f t="shared" si="3194"/>
        <v>30160</v>
      </c>
      <c r="J4582" s="422"/>
      <c r="K4582" s="422"/>
      <c r="L4582" s="317">
        <f t="shared" si="3175"/>
        <v>30160</v>
      </c>
      <c r="M4582" s="317"/>
      <c r="N4582" s="372">
        <f t="shared" si="3180"/>
        <v>0</v>
      </c>
      <c r="O4582" s="336">
        <f t="shared" si="3160"/>
        <v>33176</v>
      </c>
      <c r="P4582" s="1215">
        <f>O4582*1.1</f>
        <v>36493.600000000006</v>
      </c>
      <c r="R4582" s="317"/>
      <c r="U4582" s="320"/>
    </row>
    <row r="4583" spans="1:21" s="344" customFormat="1" outlineLevel="3">
      <c r="A4583" s="345"/>
      <c r="B4583" s="345"/>
      <c r="C4583" s="332">
        <v>2210704</v>
      </c>
      <c r="D4583" s="330" t="s">
        <v>790</v>
      </c>
      <c r="E4583" s="422">
        <v>19000</v>
      </c>
      <c r="F4583" s="389"/>
      <c r="G4583" s="422"/>
      <c r="H4583" s="422"/>
      <c r="I4583" s="324">
        <f t="shared" si="3194"/>
        <v>19000</v>
      </c>
      <c r="J4583" s="422"/>
      <c r="K4583" s="422"/>
      <c r="L4583" s="317">
        <f t="shared" si="3175"/>
        <v>19000</v>
      </c>
      <c r="M4583" s="317"/>
      <c r="N4583" s="372">
        <f t="shared" si="3180"/>
        <v>0</v>
      </c>
      <c r="O4583" s="336">
        <f t="shared" si="3160"/>
        <v>20900</v>
      </c>
      <c r="P4583" s="319">
        <f t="shared" si="3197"/>
        <v>22990.000000000004</v>
      </c>
      <c r="R4583" s="317"/>
      <c r="U4583" s="320"/>
    </row>
    <row r="4584" spans="1:21" s="344" customFormat="1" outlineLevel="3">
      <c r="A4584" s="345"/>
      <c r="B4584" s="345"/>
      <c r="C4584" s="332">
        <v>2210710</v>
      </c>
      <c r="D4584" s="330" t="s">
        <v>39</v>
      </c>
      <c r="E4584" s="422">
        <v>58000</v>
      </c>
      <c r="F4584" s="389"/>
      <c r="G4584" s="422"/>
      <c r="H4584" s="422"/>
      <c r="I4584" s="324">
        <f t="shared" si="3194"/>
        <v>58000</v>
      </c>
      <c r="J4584" s="422"/>
      <c r="K4584" s="422"/>
      <c r="L4584" s="317">
        <f t="shared" si="3175"/>
        <v>58000</v>
      </c>
      <c r="M4584" s="317"/>
      <c r="N4584" s="372">
        <f t="shared" si="3180"/>
        <v>0</v>
      </c>
      <c r="O4584" s="336">
        <f t="shared" si="3160"/>
        <v>63800.000000000007</v>
      </c>
      <c r="P4584" s="319">
        <f t="shared" si="3197"/>
        <v>70180.000000000015</v>
      </c>
      <c r="R4584" s="317"/>
      <c r="U4584" s="320"/>
    </row>
    <row r="4585" spans="1:21" s="344" customFormat="1" outlineLevel="3">
      <c r="A4585" s="345"/>
      <c r="B4585" s="345"/>
      <c r="C4585" s="340">
        <v>2210800</v>
      </c>
      <c r="D4585" s="338" t="s">
        <v>42</v>
      </c>
      <c r="E4585" s="622">
        <f>E4586</f>
        <v>126622</v>
      </c>
      <c r="F4585" s="622">
        <f t="shared" ref="F4585:P4585" si="3201">F4586</f>
        <v>0</v>
      </c>
      <c r="G4585" s="622">
        <f t="shared" si="3201"/>
        <v>0</v>
      </c>
      <c r="H4585" s="622">
        <f t="shared" si="3201"/>
        <v>0</v>
      </c>
      <c r="I4585" s="622">
        <f t="shared" si="3201"/>
        <v>126622</v>
      </c>
      <c r="J4585" s="622">
        <f t="shared" si="3201"/>
        <v>0</v>
      </c>
      <c r="K4585" s="622">
        <f t="shared" si="3201"/>
        <v>0</v>
      </c>
      <c r="L4585" s="317">
        <f t="shared" si="3175"/>
        <v>126622</v>
      </c>
      <c r="M4585" s="317"/>
      <c r="N4585" s="372">
        <f t="shared" si="3180"/>
        <v>0</v>
      </c>
      <c r="O4585" s="622">
        <f t="shared" si="3201"/>
        <v>139284.20000000001</v>
      </c>
      <c r="P4585" s="622">
        <f t="shared" si="3201"/>
        <v>153212.62000000002</v>
      </c>
      <c r="R4585" s="317"/>
      <c r="U4585" s="320"/>
    </row>
    <row r="4586" spans="1:21" s="344" customFormat="1" outlineLevel="3">
      <c r="A4586" s="345"/>
      <c r="B4586" s="345"/>
      <c r="C4586" s="332">
        <v>2210801</v>
      </c>
      <c r="D4586" s="330" t="s">
        <v>2421</v>
      </c>
      <c r="E4586" s="422">
        <v>126622</v>
      </c>
      <c r="F4586" s="389"/>
      <c r="G4586" s="422"/>
      <c r="H4586" s="422"/>
      <c r="I4586" s="324">
        <f t="shared" si="3194"/>
        <v>126622</v>
      </c>
      <c r="J4586" s="422"/>
      <c r="K4586" s="422"/>
      <c r="L4586" s="317">
        <f t="shared" si="3175"/>
        <v>126622</v>
      </c>
      <c r="M4586" s="317"/>
      <c r="N4586" s="372">
        <f t="shared" si="3180"/>
        <v>0</v>
      </c>
      <c r="O4586" s="336">
        <f t="shared" si="3160"/>
        <v>139284.20000000001</v>
      </c>
      <c r="P4586" s="319">
        <f t="shared" si="3197"/>
        <v>153212.62000000002</v>
      </c>
      <c r="R4586" s="317"/>
      <c r="U4586" s="320"/>
    </row>
    <row r="4587" spans="1:21" s="344" customFormat="1" outlineLevel="3">
      <c r="A4587" s="345"/>
      <c r="B4587" s="345"/>
      <c r="C4587" s="340">
        <v>2211000</v>
      </c>
      <c r="D4587" s="338" t="s">
        <v>118</v>
      </c>
      <c r="E4587" s="622">
        <f>E4588</f>
        <v>358000</v>
      </c>
      <c r="F4587" s="622">
        <f t="shared" ref="F4587:K4587" si="3202">F4588</f>
        <v>0</v>
      </c>
      <c r="G4587" s="622">
        <f t="shared" si="3202"/>
        <v>0</v>
      </c>
      <c r="H4587" s="622">
        <f t="shared" si="3202"/>
        <v>0</v>
      </c>
      <c r="I4587" s="622">
        <f t="shared" si="3202"/>
        <v>358000</v>
      </c>
      <c r="J4587" s="622">
        <f t="shared" si="3202"/>
        <v>0</v>
      </c>
      <c r="K4587" s="622">
        <f t="shared" si="3202"/>
        <v>0</v>
      </c>
      <c r="L4587" s="317">
        <f t="shared" si="3175"/>
        <v>358000</v>
      </c>
      <c r="M4587" s="317"/>
      <c r="N4587" s="372">
        <f t="shared" si="3180"/>
        <v>0</v>
      </c>
      <c r="O4587" s="622">
        <f t="shared" ref="O4587:P4587" si="3203">O4588</f>
        <v>393800.00000000006</v>
      </c>
      <c r="P4587" s="622">
        <f t="shared" si="3203"/>
        <v>433180.00000000012</v>
      </c>
      <c r="R4587" s="317"/>
      <c r="U4587" s="320"/>
    </row>
    <row r="4588" spans="1:21" s="344" customFormat="1" outlineLevel="3">
      <c r="A4588" s="345"/>
      <c r="B4588" s="345"/>
      <c r="C4588" s="332">
        <v>2211007</v>
      </c>
      <c r="D4588" s="330" t="s">
        <v>791</v>
      </c>
      <c r="E4588" s="422">
        <v>358000</v>
      </c>
      <c r="F4588" s="389"/>
      <c r="G4588" s="422"/>
      <c r="H4588" s="422"/>
      <c r="I4588" s="324">
        <f t="shared" si="3194"/>
        <v>358000</v>
      </c>
      <c r="J4588" s="422"/>
      <c r="K4588" s="422"/>
      <c r="L4588" s="317">
        <f t="shared" si="3175"/>
        <v>358000</v>
      </c>
      <c r="M4588" s="317"/>
      <c r="N4588" s="372">
        <f t="shared" si="3180"/>
        <v>0</v>
      </c>
      <c r="O4588" s="336">
        <f t="shared" si="3160"/>
        <v>393800.00000000006</v>
      </c>
      <c r="P4588" s="319">
        <f t="shared" si="3197"/>
        <v>433180.00000000012</v>
      </c>
      <c r="R4588" s="317"/>
      <c r="U4588" s="320"/>
    </row>
    <row r="4589" spans="1:21" s="344" customFormat="1" outlineLevel="3">
      <c r="A4589" s="345"/>
      <c r="B4589" s="345"/>
      <c r="C4589" s="340">
        <v>2211100</v>
      </c>
      <c r="D4589" s="338" t="s">
        <v>51</v>
      </c>
      <c r="E4589" s="622">
        <f>E4590+E4591+E4592</f>
        <v>434576</v>
      </c>
      <c r="F4589" s="622">
        <f t="shared" ref="F4589:P4589" si="3204">F4590+F4591+F4592</f>
        <v>0</v>
      </c>
      <c r="G4589" s="622">
        <f t="shared" si="3204"/>
        <v>0</v>
      </c>
      <c r="H4589" s="622">
        <f t="shared" si="3204"/>
        <v>0</v>
      </c>
      <c r="I4589" s="622">
        <f t="shared" si="3204"/>
        <v>434576</v>
      </c>
      <c r="J4589" s="622">
        <f t="shared" si="3204"/>
        <v>0</v>
      </c>
      <c r="K4589" s="622">
        <f t="shared" si="3204"/>
        <v>0</v>
      </c>
      <c r="L4589" s="317">
        <f t="shared" si="3175"/>
        <v>434576</v>
      </c>
      <c r="M4589" s="317"/>
      <c r="N4589" s="372">
        <f t="shared" si="3180"/>
        <v>0</v>
      </c>
      <c r="O4589" s="622">
        <f t="shared" si="3204"/>
        <v>478033.6</v>
      </c>
      <c r="P4589" s="622">
        <f t="shared" si="3204"/>
        <v>525836.96000000008</v>
      </c>
      <c r="R4589" s="317"/>
      <c r="U4589" s="320"/>
    </row>
    <row r="4590" spans="1:21" s="344" customFormat="1" outlineLevel="3">
      <c r="A4590" s="345"/>
      <c r="B4590" s="345"/>
      <c r="C4590" s="332">
        <v>2211101</v>
      </c>
      <c r="D4590" s="330" t="s">
        <v>792</v>
      </c>
      <c r="E4590" s="422">
        <v>139370</v>
      </c>
      <c r="F4590" s="389"/>
      <c r="G4590" s="422"/>
      <c r="H4590" s="422"/>
      <c r="I4590" s="324">
        <f t="shared" si="3194"/>
        <v>139370</v>
      </c>
      <c r="J4590" s="422"/>
      <c r="K4590" s="422"/>
      <c r="L4590" s="317">
        <f t="shared" si="3175"/>
        <v>139370</v>
      </c>
      <c r="M4590" s="317"/>
      <c r="N4590" s="372">
        <f t="shared" si="3180"/>
        <v>0</v>
      </c>
      <c r="O4590" s="336">
        <f t="shared" ref="O4590:O4652" si="3205">L4590*1.1</f>
        <v>153307</v>
      </c>
      <c r="P4590" s="319">
        <f t="shared" si="3197"/>
        <v>168637.7</v>
      </c>
      <c r="R4590" s="317"/>
      <c r="U4590" s="320"/>
    </row>
    <row r="4591" spans="1:21" s="344" customFormat="1" outlineLevel="3">
      <c r="A4591" s="345"/>
      <c r="B4591" s="345"/>
      <c r="C4591" s="332">
        <v>2211102</v>
      </c>
      <c r="D4591" s="330" t="s">
        <v>793</v>
      </c>
      <c r="E4591" s="422">
        <v>175955</v>
      </c>
      <c r="F4591" s="389"/>
      <c r="G4591" s="422"/>
      <c r="H4591" s="422"/>
      <c r="I4591" s="324">
        <f t="shared" si="3194"/>
        <v>175955</v>
      </c>
      <c r="J4591" s="422"/>
      <c r="K4591" s="422"/>
      <c r="L4591" s="317">
        <f t="shared" si="3175"/>
        <v>175955</v>
      </c>
      <c r="M4591" s="317"/>
      <c r="N4591" s="372">
        <f t="shared" si="3180"/>
        <v>0</v>
      </c>
      <c r="O4591" s="336">
        <f t="shared" si="3205"/>
        <v>193550.50000000003</v>
      </c>
      <c r="P4591" s="1215">
        <f>O4591*1.1</f>
        <v>212905.55000000005</v>
      </c>
      <c r="R4591" s="317"/>
      <c r="U4591" s="320"/>
    </row>
    <row r="4592" spans="1:21" s="344" customFormat="1" outlineLevel="3">
      <c r="A4592" s="345"/>
      <c r="B4592" s="345"/>
      <c r="C4592" s="332">
        <v>2211103</v>
      </c>
      <c r="D4592" s="330" t="s">
        <v>54</v>
      </c>
      <c r="E4592" s="422">
        <v>119251</v>
      </c>
      <c r="F4592" s="389"/>
      <c r="G4592" s="422"/>
      <c r="H4592" s="422"/>
      <c r="I4592" s="324">
        <f t="shared" si="3194"/>
        <v>119251</v>
      </c>
      <c r="J4592" s="422"/>
      <c r="K4592" s="422"/>
      <c r="L4592" s="317">
        <f t="shared" si="3175"/>
        <v>119251</v>
      </c>
      <c r="M4592" s="317"/>
      <c r="N4592" s="372">
        <f t="shared" si="3180"/>
        <v>0</v>
      </c>
      <c r="O4592" s="336">
        <f t="shared" si="3205"/>
        <v>131176.1</v>
      </c>
      <c r="P4592" s="319">
        <f t="shared" si="3197"/>
        <v>144293.71000000002</v>
      </c>
      <c r="R4592" s="317"/>
      <c r="U4592" s="320"/>
    </row>
    <row r="4593" spans="1:21" s="344" customFormat="1" outlineLevel="3">
      <c r="A4593" s="345"/>
      <c r="B4593" s="345"/>
      <c r="C4593" s="340">
        <v>2211200</v>
      </c>
      <c r="D4593" s="338" t="s">
        <v>55</v>
      </c>
      <c r="E4593" s="622">
        <f>E4594</f>
        <v>273335</v>
      </c>
      <c r="F4593" s="622">
        <f t="shared" ref="F4593:K4593" si="3206">F4594</f>
        <v>0</v>
      </c>
      <c r="G4593" s="622">
        <f t="shared" si="3206"/>
        <v>0</v>
      </c>
      <c r="H4593" s="622">
        <f t="shared" si="3206"/>
        <v>0</v>
      </c>
      <c r="I4593" s="622">
        <f t="shared" si="3206"/>
        <v>273335</v>
      </c>
      <c r="J4593" s="622">
        <f t="shared" si="3206"/>
        <v>0</v>
      </c>
      <c r="K4593" s="622">
        <f t="shared" si="3206"/>
        <v>0</v>
      </c>
      <c r="L4593" s="317">
        <f t="shared" si="3175"/>
        <v>273335</v>
      </c>
      <c r="M4593" s="317"/>
      <c r="N4593" s="372">
        <f t="shared" si="3180"/>
        <v>0</v>
      </c>
      <c r="O4593" s="622">
        <f t="shared" ref="O4593:P4593" si="3207">O4594</f>
        <v>300668.5</v>
      </c>
      <c r="P4593" s="622">
        <f t="shared" si="3207"/>
        <v>330735.35000000003</v>
      </c>
      <c r="R4593" s="317"/>
      <c r="U4593" s="320"/>
    </row>
    <row r="4594" spans="1:21" s="344" customFormat="1" outlineLevel="3">
      <c r="A4594" s="345"/>
      <c r="B4594" s="345"/>
      <c r="C4594" s="332">
        <v>2211201</v>
      </c>
      <c r="D4594" s="330" t="s">
        <v>56</v>
      </c>
      <c r="E4594" s="422">
        <v>273335</v>
      </c>
      <c r="F4594" s="389"/>
      <c r="G4594" s="422"/>
      <c r="H4594" s="422"/>
      <c r="I4594" s="324">
        <f t="shared" si="3194"/>
        <v>273335</v>
      </c>
      <c r="J4594" s="422"/>
      <c r="K4594" s="422"/>
      <c r="L4594" s="317">
        <f t="shared" si="3175"/>
        <v>273335</v>
      </c>
      <c r="M4594" s="317"/>
      <c r="N4594" s="372">
        <f t="shared" si="3180"/>
        <v>0</v>
      </c>
      <c r="O4594" s="336">
        <f t="shared" si="3205"/>
        <v>300668.5</v>
      </c>
      <c r="P4594" s="1215">
        <f>O4594*1.1</f>
        <v>330735.35000000003</v>
      </c>
      <c r="R4594" s="317"/>
      <c r="U4594" s="320"/>
    </row>
    <row r="4595" spans="1:21" s="344" customFormat="1" outlineLevel="3">
      <c r="A4595" s="345"/>
      <c r="B4595" s="345"/>
      <c r="C4595" s="340">
        <v>2211300</v>
      </c>
      <c r="D4595" s="338" t="s">
        <v>57</v>
      </c>
      <c r="E4595" s="622">
        <f>E4596</f>
        <v>29680</v>
      </c>
      <c r="F4595" s="622">
        <f t="shared" ref="F4595:P4595" si="3208">F4596</f>
        <v>0</v>
      </c>
      <c r="G4595" s="622">
        <f t="shared" si="3208"/>
        <v>0</v>
      </c>
      <c r="H4595" s="622">
        <f t="shared" si="3208"/>
        <v>0</v>
      </c>
      <c r="I4595" s="622">
        <f t="shared" si="3208"/>
        <v>29680</v>
      </c>
      <c r="J4595" s="622">
        <f t="shared" si="3208"/>
        <v>0</v>
      </c>
      <c r="K4595" s="622">
        <f t="shared" si="3208"/>
        <v>0</v>
      </c>
      <c r="L4595" s="317">
        <f t="shared" si="3175"/>
        <v>29680</v>
      </c>
      <c r="M4595" s="317"/>
      <c r="N4595" s="372">
        <f t="shared" si="3180"/>
        <v>0</v>
      </c>
      <c r="O4595" s="622">
        <f t="shared" si="3208"/>
        <v>32648.000000000004</v>
      </c>
      <c r="P4595" s="622">
        <f t="shared" si="3208"/>
        <v>35912.80000000001</v>
      </c>
      <c r="R4595" s="317"/>
      <c r="U4595" s="320"/>
    </row>
    <row r="4596" spans="1:21" s="344" customFormat="1" outlineLevel="3">
      <c r="A4596" s="345"/>
      <c r="B4596" s="345"/>
      <c r="C4596" s="332">
        <v>2211305</v>
      </c>
      <c r="D4596" s="330" t="s">
        <v>365</v>
      </c>
      <c r="E4596" s="422">
        <v>29680</v>
      </c>
      <c r="F4596" s="389"/>
      <c r="G4596" s="422"/>
      <c r="H4596" s="422"/>
      <c r="I4596" s="324">
        <f t="shared" si="3194"/>
        <v>29680</v>
      </c>
      <c r="J4596" s="422"/>
      <c r="K4596" s="422"/>
      <c r="L4596" s="317">
        <f t="shared" si="3175"/>
        <v>29680</v>
      </c>
      <c r="M4596" s="317"/>
      <c r="N4596" s="372">
        <f t="shared" si="3180"/>
        <v>0</v>
      </c>
      <c r="O4596" s="336">
        <f t="shared" si="3205"/>
        <v>32648.000000000004</v>
      </c>
      <c r="P4596" s="319">
        <f t="shared" ref="P4596:P4611" si="3209">O4596*1.1</f>
        <v>35912.80000000001</v>
      </c>
      <c r="R4596" s="317"/>
      <c r="U4596" s="320"/>
    </row>
    <row r="4597" spans="1:21" s="344" customFormat="1" outlineLevel="3">
      <c r="A4597" s="345"/>
      <c r="B4597" s="345"/>
      <c r="C4597" s="340">
        <v>2220100</v>
      </c>
      <c r="D4597" s="338" t="s">
        <v>200</v>
      </c>
      <c r="E4597" s="622">
        <f>E4598</f>
        <v>182555</v>
      </c>
      <c r="F4597" s="622">
        <f t="shared" ref="F4597:P4597" si="3210">F4598</f>
        <v>0</v>
      </c>
      <c r="G4597" s="622">
        <f t="shared" si="3210"/>
        <v>0</v>
      </c>
      <c r="H4597" s="622">
        <f t="shared" si="3210"/>
        <v>0</v>
      </c>
      <c r="I4597" s="622">
        <f t="shared" si="3210"/>
        <v>182555</v>
      </c>
      <c r="J4597" s="622">
        <f t="shared" si="3210"/>
        <v>0</v>
      </c>
      <c r="K4597" s="622">
        <f t="shared" si="3210"/>
        <v>0</v>
      </c>
      <c r="L4597" s="317">
        <f t="shared" si="3175"/>
        <v>182555</v>
      </c>
      <c r="M4597" s="317"/>
      <c r="N4597" s="372">
        <f t="shared" si="3180"/>
        <v>0</v>
      </c>
      <c r="O4597" s="622">
        <f t="shared" si="3210"/>
        <v>200810.50000000003</v>
      </c>
      <c r="P4597" s="622">
        <f t="shared" si="3210"/>
        <v>220891.55000000005</v>
      </c>
      <c r="R4597" s="317"/>
      <c r="U4597" s="320"/>
    </row>
    <row r="4598" spans="1:21" s="344" customFormat="1" outlineLevel="3">
      <c r="A4598" s="345"/>
      <c r="B4598" s="345"/>
      <c r="C4598" s="332">
        <v>2220101</v>
      </c>
      <c r="D4598" s="330" t="s">
        <v>200</v>
      </c>
      <c r="E4598" s="422">
        <v>182555</v>
      </c>
      <c r="F4598" s="389"/>
      <c r="G4598" s="422"/>
      <c r="H4598" s="422"/>
      <c r="I4598" s="324">
        <f t="shared" si="3194"/>
        <v>182555</v>
      </c>
      <c r="J4598" s="422"/>
      <c r="K4598" s="422"/>
      <c r="L4598" s="317">
        <f t="shared" si="3175"/>
        <v>182555</v>
      </c>
      <c r="M4598" s="317"/>
      <c r="N4598" s="372">
        <f t="shared" si="3180"/>
        <v>0</v>
      </c>
      <c r="O4598" s="336">
        <f t="shared" si="3205"/>
        <v>200810.50000000003</v>
      </c>
      <c r="P4598" s="1215">
        <f>O4598*1.1</f>
        <v>220891.55000000005</v>
      </c>
      <c r="R4598" s="317"/>
      <c r="U4598" s="320"/>
    </row>
    <row r="4599" spans="1:21" s="344" customFormat="1" outlineLevel="3">
      <c r="A4599" s="345"/>
      <c r="B4599" s="345"/>
      <c r="C4599" s="340">
        <v>2220200</v>
      </c>
      <c r="D4599" s="338" t="s">
        <v>124</v>
      </c>
      <c r="E4599" s="622">
        <f>E4600+E4601+E4602</f>
        <v>372500</v>
      </c>
      <c r="F4599" s="622">
        <f t="shared" ref="F4599:K4599" si="3211">F4600+F4601+F4602</f>
        <v>0</v>
      </c>
      <c r="G4599" s="622">
        <f t="shared" si="3211"/>
        <v>0</v>
      </c>
      <c r="H4599" s="622">
        <f t="shared" si="3211"/>
        <v>0</v>
      </c>
      <c r="I4599" s="622">
        <f t="shared" si="3211"/>
        <v>372500</v>
      </c>
      <c r="J4599" s="622">
        <f t="shared" si="3211"/>
        <v>0</v>
      </c>
      <c r="K4599" s="622">
        <f t="shared" si="3211"/>
        <v>0</v>
      </c>
      <c r="L4599" s="317">
        <f t="shared" si="3175"/>
        <v>372500</v>
      </c>
      <c r="M4599" s="317"/>
      <c r="N4599" s="372">
        <f t="shared" si="3180"/>
        <v>0</v>
      </c>
      <c r="O4599" s="622">
        <f t="shared" ref="O4599:P4599" si="3212">O4600+O4601+O4602</f>
        <v>409750</v>
      </c>
      <c r="P4599" s="622">
        <f t="shared" si="3212"/>
        <v>450725</v>
      </c>
      <c r="R4599" s="317"/>
      <c r="U4599" s="320"/>
    </row>
    <row r="4600" spans="1:21" s="344" customFormat="1" outlineLevel="3">
      <c r="A4600" s="345"/>
      <c r="B4600" s="345"/>
      <c r="C4600" s="332">
        <v>2220202</v>
      </c>
      <c r="D4600" s="330" t="s">
        <v>794</v>
      </c>
      <c r="E4600" s="422">
        <v>126100</v>
      </c>
      <c r="F4600" s="389"/>
      <c r="G4600" s="422"/>
      <c r="H4600" s="422"/>
      <c r="I4600" s="324">
        <f t="shared" si="3194"/>
        <v>126100</v>
      </c>
      <c r="J4600" s="422"/>
      <c r="K4600" s="422"/>
      <c r="L4600" s="317">
        <f t="shared" si="3175"/>
        <v>126100</v>
      </c>
      <c r="M4600" s="317"/>
      <c r="N4600" s="372">
        <f t="shared" si="3180"/>
        <v>0</v>
      </c>
      <c r="O4600" s="336">
        <f t="shared" si="3205"/>
        <v>138710</v>
      </c>
      <c r="P4600" s="1215">
        <f>O4600*1.1</f>
        <v>152581</v>
      </c>
      <c r="R4600" s="317"/>
      <c r="U4600" s="320"/>
    </row>
    <row r="4601" spans="1:21" s="344" customFormat="1" outlineLevel="3">
      <c r="A4601" s="345"/>
      <c r="B4601" s="345"/>
      <c r="C4601" s="332">
        <v>2220205</v>
      </c>
      <c r="D4601" s="330" t="s">
        <v>1342</v>
      </c>
      <c r="E4601" s="422">
        <v>129000</v>
      </c>
      <c r="F4601" s="389"/>
      <c r="G4601" s="1073"/>
      <c r="H4601" s="1073"/>
      <c r="I4601" s="324">
        <f t="shared" si="3194"/>
        <v>129000</v>
      </c>
      <c r="J4601" s="1073"/>
      <c r="K4601" s="1073"/>
      <c r="L4601" s="317">
        <f t="shared" si="3175"/>
        <v>129000</v>
      </c>
      <c r="M4601" s="317"/>
      <c r="N4601" s="372">
        <f t="shared" si="3180"/>
        <v>0</v>
      </c>
      <c r="O4601" s="336">
        <f t="shared" si="3205"/>
        <v>141900</v>
      </c>
      <c r="P4601" s="319">
        <f t="shared" si="3209"/>
        <v>156090</v>
      </c>
      <c r="R4601" s="317"/>
      <c r="U4601" s="320"/>
    </row>
    <row r="4602" spans="1:21" s="344" customFormat="1" outlineLevel="3">
      <c r="A4602" s="345"/>
      <c r="B4602" s="345"/>
      <c r="C4602" s="332">
        <v>2220210</v>
      </c>
      <c r="D4602" s="330" t="s">
        <v>795</v>
      </c>
      <c r="E4602" s="422">
        <v>117400</v>
      </c>
      <c r="F4602" s="389"/>
      <c r="G4602" s="422"/>
      <c r="H4602" s="422"/>
      <c r="I4602" s="324">
        <f t="shared" si="3194"/>
        <v>117400</v>
      </c>
      <c r="J4602" s="422"/>
      <c r="K4602" s="422"/>
      <c r="L4602" s="317">
        <f t="shared" si="3175"/>
        <v>117400</v>
      </c>
      <c r="M4602" s="317"/>
      <c r="N4602" s="372">
        <f t="shared" si="3180"/>
        <v>0</v>
      </c>
      <c r="O4602" s="336">
        <f t="shared" si="3205"/>
        <v>129140.00000000001</v>
      </c>
      <c r="P4602" s="1215">
        <f>O4602*1.1</f>
        <v>142054.00000000003</v>
      </c>
      <c r="R4602" s="317"/>
      <c r="U4602" s="320"/>
    </row>
    <row r="4603" spans="1:21" s="344" customFormat="1" outlineLevel="3">
      <c r="A4603" s="345"/>
      <c r="B4603" s="345"/>
      <c r="C4603" s="340">
        <v>3110300</v>
      </c>
      <c r="D4603" s="338" t="s">
        <v>293</v>
      </c>
      <c r="E4603" s="622">
        <f>E4604</f>
        <v>158000</v>
      </c>
      <c r="F4603" s="622">
        <f t="shared" ref="F4603:K4603" si="3213">F4604</f>
        <v>0</v>
      </c>
      <c r="G4603" s="622">
        <f t="shared" si="3213"/>
        <v>0</v>
      </c>
      <c r="H4603" s="622">
        <f t="shared" si="3213"/>
        <v>0</v>
      </c>
      <c r="I4603" s="622">
        <f t="shared" si="3213"/>
        <v>158000</v>
      </c>
      <c r="J4603" s="622">
        <f t="shared" si="3213"/>
        <v>0</v>
      </c>
      <c r="K4603" s="622">
        <f t="shared" si="3213"/>
        <v>0</v>
      </c>
      <c r="L4603" s="317">
        <f t="shared" si="3175"/>
        <v>158000</v>
      </c>
      <c r="M4603" s="317"/>
      <c r="N4603" s="372">
        <f t="shared" si="3180"/>
        <v>0</v>
      </c>
      <c r="O4603" s="622">
        <f t="shared" ref="O4603:P4603" si="3214">O4604</f>
        <v>173800</v>
      </c>
      <c r="P4603" s="622">
        <f t="shared" si="3214"/>
        <v>191180.00000000003</v>
      </c>
      <c r="R4603" s="317"/>
      <c r="U4603" s="320"/>
    </row>
    <row r="4604" spans="1:21" s="344" customFormat="1" outlineLevel="3">
      <c r="A4604" s="345"/>
      <c r="B4604" s="345"/>
      <c r="C4604" s="332">
        <v>3110302</v>
      </c>
      <c r="D4604" s="330" t="s">
        <v>252</v>
      </c>
      <c r="E4604" s="422">
        <v>158000</v>
      </c>
      <c r="F4604" s="389"/>
      <c r="G4604" s="422"/>
      <c r="H4604" s="422"/>
      <c r="I4604" s="324">
        <f t="shared" si="3194"/>
        <v>158000</v>
      </c>
      <c r="J4604" s="422"/>
      <c r="K4604" s="422"/>
      <c r="L4604" s="317">
        <f t="shared" si="3175"/>
        <v>158000</v>
      </c>
      <c r="M4604" s="317"/>
      <c r="N4604" s="372">
        <f t="shared" si="3180"/>
        <v>0</v>
      </c>
      <c r="O4604" s="336">
        <f t="shared" si="3205"/>
        <v>173800</v>
      </c>
      <c r="P4604" s="319">
        <f t="shared" si="3209"/>
        <v>191180.00000000003</v>
      </c>
      <c r="R4604" s="317"/>
      <c r="U4604" s="320"/>
    </row>
    <row r="4605" spans="1:21" s="344" customFormat="1" outlineLevel="3">
      <c r="A4605" s="345"/>
      <c r="B4605" s="345"/>
      <c r="C4605" s="405"/>
      <c r="D4605" s="1212" t="s">
        <v>796</v>
      </c>
      <c r="E4605" s="622">
        <f>E4603+E4599+E4597+E4595+E4593+E4589+E4587+E4585+E4581+E4578+E4574+E4572+E4569</f>
        <v>2810676</v>
      </c>
      <c r="F4605" s="622">
        <f t="shared" ref="F4605:K4605" si="3215">F4603+F4599+F4597+F4595+F4593+F4589+F4587+F4585+F4581+F4578+F4574+F4572+F4569</f>
        <v>0</v>
      </c>
      <c r="G4605" s="622">
        <f t="shared" si="3215"/>
        <v>0</v>
      </c>
      <c r="H4605" s="622">
        <f t="shared" si="3215"/>
        <v>0</v>
      </c>
      <c r="I4605" s="622">
        <f t="shared" si="3215"/>
        <v>2810676</v>
      </c>
      <c r="J4605" s="622">
        <f t="shared" si="3215"/>
        <v>0</v>
      </c>
      <c r="K4605" s="622">
        <f t="shared" si="3215"/>
        <v>0</v>
      </c>
      <c r="L4605" s="317">
        <f t="shared" si="3175"/>
        <v>2810676</v>
      </c>
      <c r="M4605" s="317"/>
      <c r="N4605" s="372">
        <f t="shared" si="3180"/>
        <v>0</v>
      </c>
      <c r="O4605" s="622">
        <f t="shared" ref="O4605:P4605" si="3216">O4603+O4599+O4597+O4595+O4593+O4589+O4587+O4585+O4581+O4578+O4574+O4572+O4569</f>
        <v>3091743.6</v>
      </c>
      <c r="P4605" s="622">
        <f t="shared" si="3216"/>
        <v>3400917.9600000004</v>
      </c>
      <c r="R4605" s="317"/>
      <c r="U4605" s="320"/>
    </row>
    <row r="4606" spans="1:21" s="344" customFormat="1" outlineLevel="3">
      <c r="A4606" s="345"/>
      <c r="B4606" s="345"/>
      <c r="C4606" s="405"/>
      <c r="D4606" s="1212"/>
      <c r="E4606" s="622"/>
      <c r="F4606" s="1216"/>
      <c r="G4606" s="422"/>
      <c r="H4606" s="422"/>
      <c r="I4606" s="324">
        <f t="shared" si="3194"/>
        <v>0</v>
      </c>
      <c r="J4606" s="422"/>
      <c r="K4606" s="422"/>
      <c r="L4606" s="317">
        <f t="shared" si="3175"/>
        <v>0</v>
      </c>
      <c r="M4606" s="317"/>
      <c r="N4606" s="372">
        <f t="shared" si="3180"/>
        <v>0</v>
      </c>
      <c r="O4606" s="336">
        <f t="shared" si="3205"/>
        <v>0</v>
      </c>
      <c r="P4606" s="1217">
        <f t="shared" ref="P4606" si="3217">P4607</f>
        <v>0</v>
      </c>
      <c r="R4606" s="317"/>
      <c r="U4606" s="320"/>
    </row>
    <row r="4607" spans="1:21" s="344" customFormat="1" outlineLevel="3">
      <c r="A4607" s="345"/>
      <c r="B4607" s="345"/>
      <c r="C4607" s="405"/>
      <c r="D4607" s="1212"/>
      <c r="E4607" s="622"/>
      <c r="F4607" s="1216"/>
      <c r="G4607" s="422"/>
      <c r="H4607" s="422"/>
      <c r="I4607" s="324">
        <f t="shared" si="3194"/>
        <v>0</v>
      </c>
      <c r="J4607" s="422"/>
      <c r="K4607" s="422"/>
      <c r="L4607" s="317">
        <f t="shared" si="3175"/>
        <v>0</v>
      </c>
      <c r="M4607" s="317"/>
      <c r="N4607" s="372">
        <f t="shared" si="3180"/>
        <v>0</v>
      </c>
      <c r="O4607" s="336">
        <f t="shared" si="3205"/>
        <v>0</v>
      </c>
      <c r="P4607" s="319">
        <f t="shared" si="3209"/>
        <v>0</v>
      </c>
      <c r="R4607" s="317"/>
      <c r="U4607" s="320"/>
    </row>
    <row r="4608" spans="1:21" s="344" customFormat="1" outlineLevel="3">
      <c r="A4608" s="345"/>
      <c r="B4608" s="345"/>
      <c r="C4608" s="340"/>
      <c r="D4608" s="338" t="s">
        <v>92</v>
      </c>
      <c r="E4608" s="622"/>
      <c r="F4608" s="397"/>
      <c r="G4608" s="422"/>
      <c r="H4608" s="422"/>
      <c r="I4608" s="324">
        <f t="shared" si="3194"/>
        <v>0</v>
      </c>
      <c r="J4608" s="422"/>
      <c r="K4608" s="422"/>
      <c r="L4608" s="317">
        <f t="shared" si="3175"/>
        <v>0</v>
      </c>
      <c r="M4608" s="317"/>
      <c r="N4608" s="372">
        <f t="shared" si="3180"/>
        <v>0</v>
      </c>
      <c r="O4608" s="336">
        <f t="shared" si="3205"/>
        <v>0</v>
      </c>
      <c r="P4608" s="1217"/>
      <c r="R4608" s="317"/>
      <c r="U4608" s="320"/>
    </row>
    <row r="4609" spans="1:21" s="344" customFormat="1" outlineLevel="3">
      <c r="A4609" s="345"/>
      <c r="B4609" s="345"/>
      <c r="C4609" s="340">
        <v>3110500</v>
      </c>
      <c r="D4609" s="338" t="s">
        <v>260</v>
      </c>
      <c r="E4609" s="622">
        <f>E4610+E4611</f>
        <v>0</v>
      </c>
      <c r="F4609" s="622">
        <f t="shared" ref="F4609:P4609" si="3218">F4610+F4611</f>
        <v>0</v>
      </c>
      <c r="G4609" s="622">
        <f t="shared" si="3218"/>
        <v>0</v>
      </c>
      <c r="H4609" s="622">
        <f t="shared" si="3218"/>
        <v>0</v>
      </c>
      <c r="I4609" s="622">
        <f t="shared" si="3218"/>
        <v>0</v>
      </c>
      <c r="J4609" s="622">
        <f t="shared" si="3218"/>
        <v>0</v>
      </c>
      <c r="K4609" s="622">
        <f t="shared" si="3218"/>
        <v>0</v>
      </c>
      <c r="L4609" s="317">
        <f t="shared" si="3175"/>
        <v>0</v>
      </c>
      <c r="M4609" s="317"/>
      <c r="N4609" s="372">
        <f t="shared" si="3180"/>
        <v>0</v>
      </c>
      <c r="O4609" s="622">
        <f t="shared" si="3218"/>
        <v>0</v>
      </c>
      <c r="P4609" s="622">
        <f t="shared" si="3218"/>
        <v>0</v>
      </c>
      <c r="R4609" s="317"/>
      <c r="U4609" s="320"/>
    </row>
    <row r="4610" spans="1:21" s="344" customFormat="1" outlineLevel="3">
      <c r="A4610" s="345"/>
      <c r="B4610" s="345"/>
      <c r="C4610" s="332">
        <v>3110504</v>
      </c>
      <c r="D4610" s="330" t="s">
        <v>1343</v>
      </c>
      <c r="E4610" s="422">
        <f>2218400-2218400</f>
        <v>0</v>
      </c>
      <c r="F4610" s="389"/>
      <c r="G4610" s="422"/>
      <c r="H4610" s="422"/>
      <c r="I4610" s="324">
        <f t="shared" si="3194"/>
        <v>0</v>
      </c>
      <c r="J4610" s="422"/>
      <c r="K4610" s="422"/>
      <c r="L4610" s="317">
        <f t="shared" si="3175"/>
        <v>0</v>
      </c>
      <c r="M4610" s="317"/>
      <c r="N4610" s="372">
        <f t="shared" si="3180"/>
        <v>0</v>
      </c>
      <c r="O4610" s="336">
        <f t="shared" si="3205"/>
        <v>0</v>
      </c>
      <c r="P4610" s="1215">
        <f>O4610*1.1</f>
        <v>0</v>
      </c>
      <c r="R4610" s="317"/>
      <c r="U4610" s="320"/>
    </row>
    <row r="4611" spans="1:21" s="344" customFormat="1" outlineLevel="3">
      <c r="A4611" s="345"/>
      <c r="B4611" s="345"/>
      <c r="C4611" s="332"/>
      <c r="D4611" s="330" t="s">
        <v>1344</v>
      </c>
      <c r="E4611" s="422">
        <f>2480000-2480000</f>
        <v>0</v>
      </c>
      <c r="F4611" s="389"/>
      <c r="G4611" s="422"/>
      <c r="H4611" s="422"/>
      <c r="I4611" s="324">
        <f t="shared" si="3194"/>
        <v>0</v>
      </c>
      <c r="J4611" s="422"/>
      <c r="K4611" s="422"/>
      <c r="L4611" s="317">
        <f t="shared" si="3175"/>
        <v>0</v>
      </c>
      <c r="M4611" s="317"/>
      <c r="N4611" s="372">
        <f t="shared" si="3180"/>
        <v>0</v>
      </c>
      <c r="O4611" s="336">
        <f t="shared" si="3205"/>
        <v>0</v>
      </c>
      <c r="P4611" s="319">
        <f t="shared" si="3209"/>
        <v>0</v>
      </c>
      <c r="R4611" s="317"/>
      <c r="U4611" s="320"/>
    </row>
    <row r="4612" spans="1:21" s="344" customFormat="1" outlineLevel="3">
      <c r="A4612" s="345"/>
      <c r="B4612" s="345"/>
      <c r="C4612" s="340"/>
      <c r="D4612" s="449" t="s">
        <v>310</v>
      </c>
      <c r="E4612" s="622">
        <f>E4609</f>
        <v>0</v>
      </c>
      <c r="F4612" s="622">
        <f t="shared" ref="F4612:K4612" si="3219">F4609</f>
        <v>0</v>
      </c>
      <c r="G4612" s="622">
        <f t="shared" si="3219"/>
        <v>0</v>
      </c>
      <c r="H4612" s="622">
        <f t="shared" si="3219"/>
        <v>0</v>
      </c>
      <c r="I4612" s="622">
        <f t="shared" si="3219"/>
        <v>0</v>
      </c>
      <c r="J4612" s="622">
        <f t="shared" si="3219"/>
        <v>0</v>
      </c>
      <c r="K4612" s="622">
        <f t="shared" si="3219"/>
        <v>0</v>
      </c>
      <c r="L4612" s="317">
        <f t="shared" si="3175"/>
        <v>0</v>
      </c>
      <c r="M4612" s="317"/>
      <c r="N4612" s="372">
        <f t="shared" si="3180"/>
        <v>0</v>
      </c>
      <c r="O4612" s="622">
        <f t="shared" ref="O4612:P4612" si="3220">O4609</f>
        <v>0</v>
      </c>
      <c r="P4612" s="622">
        <f t="shared" si="3220"/>
        <v>0</v>
      </c>
      <c r="R4612" s="317"/>
      <c r="U4612" s="320"/>
    </row>
    <row r="4613" spans="1:21" s="344" customFormat="1" outlineLevel="3">
      <c r="A4613" s="345"/>
      <c r="B4613" s="345"/>
      <c r="C4613" s="332"/>
      <c r="D4613" s="338" t="s">
        <v>84</v>
      </c>
      <c r="E4613" s="622">
        <f>E4612+E4605</f>
        <v>2810676</v>
      </c>
      <c r="F4613" s="622">
        <f t="shared" ref="F4613:P4613" si="3221">F4612+F4605</f>
        <v>0</v>
      </c>
      <c r="G4613" s="622">
        <f t="shared" si="3221"/>
        <v>0</v>
      </c>
      <c r="H4613" s="622">
        <f t="shared" si="3221"/>
        <v>0</v>
      </c>
      <c r="I4613" s="622">
        <f t="shared" si="3221"/>
        <v>2810676</v>
      </c>
      <c r="J4613" s="622">
        <f t="shared" si="3221"/>
        <v>0</v>
      </c>
      <c r="K4613" s="622">
        <f t="shared" si="3221"/>
        <v>0</v>
      </c>
      <c r="L4613" s="317">
        <f t="shared" ref="L4613:L4676" si="3222">I4613+J4613+K4613</f>
        <v>2810676</v>
      </c>
      <c r="M4613" s="317"/>
      <c r="N4613" s="372">
        <f t="shared" si="3180"/>
        <v>0</v>
      </c>
      <c r="O4613" s="622">
        <f t="shared" si="3221"/>
        <v>3091743.6</v>
      </c>
      <c r="P4613" s="622">
        <f t="shared" si="3221"/>
        <v>3400917.9600000004</v>
      </c>
      <c r="R4613" s="317"/>
      <c r="U4613" s="320"/>
    </row>
    <row r="4614" spans="1:21" s="344" customFormat="1" outlineLevel="3">
      <c r="A4614" s="345"/>
      <c r="B4614" s="345"/>
      <c r="C4614" s="332"/>
      <c r="D4614" s="338" t="s">
        <v>797</v>
      </c>
      <c r="E4614" s="622">
        <f t="shared" ref="E4614:K4614" si="3223">E4605+E4547+E4483+E4435+E4412</f>
        <v>293187977</v>
      </c>
      <c r="F4614" s="622">
        <f t="shared" si="3223"/>
        <v>0</v>
      </c>
      <c r="G4614" s="622">
        <f t="shared" si="3223"/>
        <v>-5000000</v>
      </c>
      <c r="H4614" s="622">
        <f t="shared" si="3223"/>
        <v>2000000</v>
      </c>
      <c r="I4614" s="622">
        <f t="shared" si="3223"/>
        <v>290187977</v>
      </c>
      <c r="J4614" s="622">
        <f t="shared" si="3223"/>
        <v>-4272950</v>
      </c>
      <c r="K4614" s="622">
        <f t="shared" si="3223"/>
        <v>0</v>
      </c>
      <c r="L4614" s="317">
        <f t="shared" si="3222"/>
        <v>285915027</v>
      </c>
      <c r="M4614" s="317"/>
      <c r="N4614" s="372">
        <f t="shared" si="3180"/>
        <v>0</v>
      </c>
      <c r="O4614" s="622">
        <f t="shared" ref="O4614:P4614" si="3224">O4605+O4547+O4483+O4435+O4412</f>
        <v>314506529.69999999</v>
      </c>
      <c r="P4614" s="622">
        <f t="shared" si="3224"/>
        <v>345957182.67000008</v>
      </c>
      <c r="R4614" s="317"/>
      <c r="U4614" s="320"/>
    </row>
    <row r="4615" spans="1:21" s="344" customFormat="1" outlineLevel="3">
      <c r="A4615" s="345"/>
      <c r="B4615" s="345"/>
      <c r="C4615" s="332"/>
      <c r="D4615" s="338" t="s">
        <v>798</v>
      </c>
      <c r="E4615" s="622">
        <f t="shared" ref="E4615:P4615" si="3225">E4612+E4563+E4494+E4449</f>
        <v>320213188</v>
      </c>
      <c r="F4615" s="622">
        <f t="shared" si="3225"/>
        <v>224262237.50999999</v>
      </c>
      <c r="G4615" s="622">
        <f t="shared" si="3225"/>
        <v>-5412055</v>
      </c>
      <c r="H4615" s="622">
        <f t="shared" si="3225"/>
        <v>14224485</v>
      </c>
      <c r="I4615" s="622">
        <f t="shared" si="3225"/>
        <v>553287855.50999999</v>
      </c>
      <c r="J4615" s="622">
        <f t="shared" si="3225"/>
        <v>9708919</v>
      </c>
      <c r="K4615" s="622">
        <f t="shared" si="3225"/>
        <v>0</v>
      </c>
      <c r="L4615" s="317">
        <f t="shared" si="3222"/>
        <v>562996774.50999999</v>
      </c>
      <c r="M4615" s="317"/>
      <c r="N4615" s="372">
        <f t="shared" si="3180"/>
        <v>0</v>
      </c>
      <c r="O4615" s="622">
        <f t="shared" si="3225"/>
        <v>607285641.06100011</v>
      </c>
      <c r="P4615" s="622">
        <f t="shared" si="3225"/>
        <v>632136201.50010014</v>
      </c>
      <c r="R4615" s="317"/>
      <c r="U4615" s="320"/>
    </row>
    <row r="4616" spans="1:21" s="344" customFormat="1" outlineLevel="3">
      <c r="A4616" s="345"/>
      <c r="B4616" s="345"/>
      <c r="C4616" s="314" t="s">
        <v>799</v>
      </c>
      <c r="D4616" s="345"/>
      <c r="E4616" s="587"/>
      <c r="F4616" s="406"/>
      <c r="G4616" s="422"/>
      <c r="H4616" s="422"/>
      <c r="I4616" s="324">
        <f t="shared" si="3194"/>
        <v>0</v>
      </c>
      <c r="J4616" s="422"/>
      <c r="K4616" s="422"/>
      <c r="L4616" s="317">
        <f t="shared" si="3222"/>
        <v>0</v>
      </c>
      <c r="M4616" s="317"/>
      <c r="N4616" s="372">
        <f t="shared" si="3180"/>
        <v>0</v>
      </c>
      <c r="O4616" s="336">
        <f t="shared" si="3205"/>
        <v>0</v>
      </c>
      <c r="P4616" s="1217">
        <f t="shared" ref="P4616" si="3226">P4617</f>
        <v>0</v>
      </c>
      <c r="R4616" s="317"/>
      <c r="U4616" s="320"/>
    </row>
    <row r="4617" spans="1:21" s="344" customFormat="1" outlineLevel="3">
      <c r="A4617" s="345"/>
      <c r="B4617" s="345"/>
      <c r="C4617" s="1095" t="s">
        <v>264</v>
      </c>
      <c r="D4617" s="1095"/>
      <c r="E4617" s="1218"/>
      <c r="F4617" s="1096"/>
      <c r="G4617" s="1073"/>
      <c r="H4617" s="1073"/>
      <c r="I4617" s="324">
        <f t="shared" si="3194"/>
        <v>0</v>
      </c>
      <c r="J4617" s="1073"/>
      <c r="K4617" s="1073"/>
      <c r="L4617" s="317">
        <f t="shared" si="3222"/>
        <v>0</v>
      </c>
      <c r="M4617" s="317"/>
      <c r="N4617" s="372">
        <f t="shared" ref="N4617:N4680" si="3227">M4617-K4617</f>
        <v>0</v>
      </c>
      <c r="O4617" s="336">
        <f t="shared" si="3205"/>
        <v>0</v>
      </c>
      <c r="P4617" s="319">
        <f t="shared" ref="P4617:P4636" si="3228">O4617*1.1</f>
        <v>0</v>
      </c>
      <c r="R4617" s="317"/>
      <c r="U4617" s="320"/>
    </row>
    <row r="4618" spans="1:21" s="344" customFormat="1" outlineLevel="2">
      <c r="A4618" s="345"/>
      <c r="B4618" s="345"/>
      <c r="C4618" s="1185" t="s">
        <v>265</v>
      </c>
      <c r="D4618" s="1186"/>
      <c r="E4618" s="622"/>
      <c r="F4618" s="1187"/>
      <c r="G4618" s="422"/>
      <c r="H4618" s="422"/>
      <c r="I4618" s="324">
        <f t="shared" si="3194"/>
        <v>0</v>
      </c>
      <c r="J4618" s="422"/>
      <c r="K4618" s="422"/>
      <c r="L4618" s="317">
        <f t="shared" si="3222"/>
        <v>0</v>
      </c>
      <c r="M4618" s="317"/>
      <c r="N4618" s="372">
        <f t="shared" si="3227"/>
        <v>0</v>
      </c>
      <c r="O4618" s="336">
        <f t="shared" si="3205"/>
        <v>0</v>
      </c>
      <c r="P4618" s="1217"/>
      <c r="R4618" s="317"/>
      <c r="U4618" s="320"/>
    </row>
    <row r="4619" spans="1:21" s="344" customFormat="1" outlineLevel="2">
      <c r="A4619" s="345"/>
      <c r="B4619" s="345"/>
      <c r="C4619" s="340">
        <v>2110100</v>
      </c>
      <c r="D4619" s="338" t="s">
        <v>13</v>
      </c>
      <c r="E4619" s="622">
        <f>E4620</f>
        <v>54079625</v>
      </c>
      <c r="F4619" s="622">
        <f t="shared" ref="F4619:K4619" si="3229">F4620</f>
        <v>0</v>
      </c>
      <c r="G4619" s="622">
        <f t="shared" si="3229"/>
        <v>0</v>
      </c>
      <c r="H4619" s="622">
        <f t="shared" si="3229"/>
        <v>0</v>
      </c>
      <c r="I4619" s="622">
        <f t="shared" si="3229"/>
        <v>54079625</v>
      </c>
      <c r="J4619" s="622">
        <f t="shared" si="3229"/>
        <v>0</v>
      </c>
      <c r="K4619" s="622">
        <f t="shared" si="3229"/>
        <v>0</v>
      </c>
      <c r="L4619" s="317">
        <f t="shared" si="3222"/>
        <v>54079625</v>
      </c>
      <c r="M4619" s="317"/>
      <c r="N4619" s="372">
        <f t="shared" si="3227"/>
        <v>0</v>
      </c>
      <c r="O4619" s="622">
        <f t="shared" ref="O4619:P4619" si="3230">O4620</f>
        <v>59487587.500000007</v>
      </c>
      <c r="P4619" s="622">
        <f t="shared" si="3230"/>
        <v>65436346.250000015</v>
      </c>
      <c r="R4619" s="317"/>
      <c r="U4619" s="320"/>
    </row>
    <row r="4620" spans="1:21" s="344" customFormat="1" outlineLevel="2">
      <c r="A4620" s="345"/>
      <c r="B4620" s="345"/>
      <c r="C4620" s="332">
        <v>2110101</v>
      </c>
      <c r="D4620" s="330" t="s">
        <v>800</v>
      </c>
      <c r="E4620" s="422">
        <f>56450995-2371370</f>
        <v>54079625</v>
      </c>
      <c r="F4620" s="389"/>
      <c r="G4620" s="422"/>
      <c r="H4620" s="422">
        <v>0</v>
      </c>
      <c r="I4620" s="324">
        <f t="shared" si="3194"/>
        <v>54079625</v>
      </c>
      <c r="J4620" s="422"/>
      <c r="K4620" s="422"/>
      <c r="L4620" s="317">
        <f t="shared" si="3222"/>
        <v>54079625</v>
      </c>
      <c r="M4620" s="317"/>
      <c r="N4620" s="372">
        <f t="shared" si="3227"/>
        <v>0</v>
      </c>
      <c r="O4620" s="336">
        <f t="shared" si="3205"/>
        <v>59487587.500000007</v>
      </c>
      <c r="P4620" s="319">
        <f t="shared" si="3228"/>
        <v>65436346.250000015</v>
      </c>
      <c r="R4620" s="317"/>
      <c r="U4620" s="320"/>
    </row>
    <row r="4621" spans="1:21" s="344" customFormat="1" outlineLevel="2">
      <c r="A4621" s="345"/>
      <c r="B4621" s="345"/>
      <c r="C4621" s="340">
        <v>2210100</v>
      </c>
      <c r="D4621" s="338" t="s">
        <v>16</v>
      </c>
      <c r="E4621" s="622">
        <f>E4622+E4623</f>
        <v>130852</v>
      </c>
      <c r="F4621" s="622">
        <f t="shared" ref="F4621:P4621" si="3231">F4622+F4623</f>
        <v>0</v>
      </c>
      <c r="G4621" s="622">
        <f t="shared" si="3231"/>
        <v>0</v>
      </c>
      <c r="H4621" s="622">
        <f t="shared" si="3231"/>
        <v>0</v>
      </c>
      <c r="I4621" s="622">
        <f t="shared" si="3231"/>
        <v>130852</v>
      </c>
      <c r="J4621" s="622">
        <f t="shared" si="3231"/>
        <v>0</v>
      </c>
      <c r="K4621" s="622">
        <f t="shared" si="3231"/>
        <v>0</v>
      </c>
      <c r="L4621" s="317">
        <f t="shared" si="3222"/>
        <v>130852</v>
      </c>
      <c r="M4621" s="317"/>
      <c r="N4621" s="372">
        <f t="shared" si="3227"/>
        <v>0</v>
      </c>
      <c r="O4621" s="622">
        <f t="shared" si="3231"/>
        <v>143937.20000000001</v>
      </c>
      <c r="P4621" s="622">
        <f t="shared" si="3231"/>
        <v>158330.92000000004</v>
      </c>
      <c r="R4621" s="317"/>
      <c r="U4621" s="320"/>
    </row>
    <row r="4622" spans="1:21" s="344" customFormat="1" outlineLevel="3">
      <c r="A4622" s="345"/>
      <c r="B4622" s="345"/>
      <c r="C4622" s="332">
        <v>2210101</v>
      </c>
      <c r="D4622" s="330" t="s">
        <v>17</v>
      </c>
      <c r="E4622" s="422">
        <v>75752</v>
      </c>
      <c r="F4622" s="389"/>
      <c r="G4622" s="422"/>
      <c r="H4622" s="422"/>
      <c r="I4622" s="324">
        <f t="shared" si="3194"/>
        <v>75752</v>
      </c>
      <c r="J4622" s="422"/>
      <c r="K4622" s="422"/>
      <c r="L4622" s="317">
        <f t="shared" si="3222"/>
        <v>75752</v>
      </c>
      <c r="M4622" s="317"/>
      <c r="N4622" s="372">
        <f t="shared" si="3227"/>
        <v>0</v>
      </c>
      <c r="O4622" s="336">
        <f t="shared" si="3205"/>
        <v>83327.200000000012</v>
      </c>
      <c r="P4622" s="1106">
        <f>O4622*1.1</f>
        <v>91659.920000000027</v>
      </c>
      <c r="R4622" s="317"/>
      <c r="U4622" s="320"/>
    </row>
    <row r="4623" spans="1:21" s="344" customFormat="1" outlineLevel="3">
      <c r="A4623" s="345"/>
      <c r="B4623" s="345"/>
      <c r="C4623" s="332">
        <v>2210102</v>
      </c>
      <c r="D4623" s="330" t="s">
        <v>18</v>
      </c>
      <c r="E4623" s="422">
        <v>55100</v>
      </c>
      <c r="F4623" s="389"/>
      <c r="G4623" s="422"/>
      <c r="H4623" s="422"/>
      <c r="I4623" s="324">
        <f t="shared" si="3194"/>
        <v>55100</v>
      </c>
      <c r="J4623" s="422"/>
      <c r="K4623" s="422"/>
      <c r="L4623" s="317">
        <f t="shared" si="3222"/>
        <v>55100</v>
      </c>
      <c r="M4623" s="317"/>
      <c r="N4623" s="372">
        <f t="shared" si="3227"/>
        <v>0</v>
      </c>
      <c r="O4623" s="336">
        <f t="shared" si="3205"/>
        <v>60610.000000000007</v>
      </c>
      <c r="P4623" s="319">
        <f t="shared" si="3228"/>
        <v>66671.000000000015</v>
      </c>
      <c r="R4623" s="317"/>
      <c r="U4623" s="320"/>
    </row>
    <row r="4624" spans="1:21" s="344" customFormat="1" outlineLevel="3">
      <c r="A4624" s="345"/>
      <c r="B4624" s="345"/>
      <c r="C4624" s="340">
        <v>2210200</v>
      </c>
      <c r="D4624" s="338" t="s">
        <v>20</v>
      </c>
      <c r="E4624" s="622">
        <f>E4625+E4626</f>
        <v>124397</v>
      </c>
      <c r="F4624" s="622">
        <f t="shared" ref="F4624:K4624" si="3232">F4625+F4626</f>
        <v>0</v>
      </c>
      <c r="G4624" s="622">
        <f t="shared" si="3232"/>
        <v>0</v>
      </c>
      <c r="H4624" s="622">
        <f t="shared" si="3232"/>
        <v>0</v>
      </c>
      <c r="I4624" s="622">
        <f t="shared" si="3232"/>
        <v>124397</v>
      </c>
      <c r="J4624" s="622">
        <f t="shared" si="3232"/>
        <v>0</v>
      </c>
      <c r="K4624" s="622">
        <f t="shared" si="3232"/>
        <v>0</v>
      </c>
      <c r="L4624" s="317">
        <f t="shared" si="3222"/>
        <v>124397</v>
      </c>
      <c r="M4624" s="317"/>
      <c r="N4624" s="372">
        <f t="shared" si="3227"/>
        <v>0</v>
      </c>
      <c r="O4624" s="622">
        <f t="shared" ref="O4624:P4624" si="3233">O4625+O4626</f>
        <v>136836.70000000001</v>
      </c>
      <c r="P4624" s="622">
        <f t="shared" si="3233"/>
        <v>150520.37</v>
      </c>
      <c r="R4624" s="317"/>
      <c r="U4624" s="320"/>
    </row>
    <row r="4625" spans="1:21" s="344" customFormat="1" outlineLevel="2">
      <c r="A4625" s="345"/>
      <c r="B4625" s="345"/>
      <c r="C4625" s="332">
        <v>2210201</v>
      </c>
      <c r="D4625" s="330" t="s">
        <v>21</v>
      </c>
      <c r="E4625" s="422">
        <v>102458</v>
      </c>
      <c r="F4625" s="389"/>
      <c r="G4625" s="1073"/>
      <c r="H4625" s="1073"/>
      <c r="I4625" s="324">
        <f t="shared" si="3194"/>
        <v>102458</v>
      </c>
      <c r="J4625" s="1073"/>
      <c r="K4625" s="1073"/>
      <c r="L4625" s="317">
        <f t="shared" si="3222"/>
        <v>102458</v>
      </c>
      <c r="M4625" s="317"/>
      <c r="N4625" s="372">
        <f t="shared" si="3227"/>
        <v>0</v>
      </c>
      <c r="O4625" s="336">
        <f t="shared" si="3205"/>
        <v>112703.8</v>
      </c>
      <c r="P4625" s="1215">
        <f>O4625*1.1</f>
        <v>123974.18000000001</v>
      </c>
      <c r="R4625" s="317"/>
      <c r="U4625" s="320"/>
    </row>
    <row r="4626" spans="1:21" s="344" customFormat="1" outlineLevel="1">
      <c r="A4626" s="345"/>
      <c r="B4626" s="345"/>
      <c r="C4626" s="332">
        <v>2210203</v>
      </c>
      <c r="D4626" s="330" t="s">
        <v>23</v>
      </c>
      <c r="E4626" s="422">
        <v>21939</v>
      </c>
      <c r="F4626" s="389"/>
      <c r="G4626" s="422"/>
      <c r="H4626" s="422"/>
      <c r="I4626" s="324">
        <f t="shared" si="3194"/>
        <v>21939</v>
      </c>
      <c r="J4626" s="422"/>
      <c r="K4626" s="549"/>
      <c r="L4626" s="317">
        <f t="shared" si="3222"/>
        <v>21939</v>
      </c>
      <c r="M4626" s="317"/>
      <c r="N4626" s="372">
        <f t="shared" si="3227"/>
        <v>0</v>
      </c>
      <c r="O4626" s="336">
        <f t="shared" si="3205"/>
        <v>24132.9</v>
      </c>
      <c r="P4626" s="319">
        <f t="shared" si="3228"/>
        <v>26546.190000000002</v>
      </c>
      <c r="Q4626" s="914" t="s">
        <v>2519</v>
      </c>
      <c r="R4626" s="317"/>
      <c r="U4626" s="320"/>
    </row>
    <row r="4627" spans="1:21" s="344" customFormat="1" outlineLevel="1">
      <c r="A4627" s="345"/>
      <c r="B4627" s="345"/>
      <c r="C4627" s="340">
        <v>2210300</v>
      </c>
      <c r="D4627" s="338" t="s">
        <v>267</v>
      </c>
      <c r="E4627" s="622">
        <f>E4628+E4629+E4630</f>
        <v>1573543</v>
      </c>
      <c r="F4627" s="622">
        <f t="shared" ref="F4627:P4627" si="3234">F4628+F4629+F4630</f>
        <v>0</v>
      </c>
      <c r="G4627" s="622">
        <f t="shared" si="3234"/>
        <v>0</v>
      </c>
      <c r="H4627" s="622">
        <f t="shared" si="3234"/>
        <v>0</v>
      </c>
      <c r="I4627" s="622">
        <f t="shared" si="3234"/>
        <v>1573543</v>
      </c>
      <c r="J4627" s="622">
        <f t="shared" si="3234"/>
        <v>0</v>
      </c>
      <c r="K4627" s="622">
        <f t="shared" si="3234"/>
        <v>0</v>
      </c>
      <c r="L4627" s="317">
        <f t="shared" si="3222"/>
        <v>1573543</v>
      </c>
      <c r="M4627" s="317"/>
      <c r="N4627" s="372">
        <f t="shared" si="3227"/>
        <v>0</v>
      </c>
      <c r="O4627" s="622">
        <f t="shared" si="3234"/>
        <v>1730897.3</v>
      </c>
      <c r="P4627" s="622">
        <f t="shared" si="3234"/>
        <v>1903987.0300000005</v>
      </c>
      <c r="R4627" s="317"/>
      <c r="U4627" s="320"/>
    </row>
    <row r="4628" spans="1:21" s="344" customFormat="1" outlineLevel="1">
      <c r="A4628" s="345"/>
      <c r="B4628" s="345"/>
      <c r="C4628" s="332">
        <v>2210301</v>
      </c>
      <c r="D4628" s="330" t="s">
        <v>268</v>
      </c>
      <c r="E4628" s="422">
        <v>523985</v>
      </c>
      <c r="F4628" s="389"/>
      <c r="G4628" s="422"/>
      <c r="H4628" s="422"/>
      <c r="I4628" s="324">
        <f t="shared" si="3194"/>
        <v>523985</v>
      </c>
      <c r="J4628" s="422"/>
      <c r="K4628" s="422"/>
      <c r="L4628" s="317">
        <f t="shared" si="3222"/>
        <v>523985</v>
      </c>
      <c r="M4628" s="317"/>
      <c r="N4628" s="372">
        <f t="shared" si="3227"/>
        <v>0</v>
      </c>
      <c r="O4628" s="336">
        <f t="shared" si="3205"/>
        <v>576383.5</v>
      </c>
      <c r="P4628" s="1215">
        <f>O4628*1.1</f>
        <v>634021.85000000009</v>
      </c>
      <c r="R4628" s="317"/>
      <c r="U4628" s="320"/>
    </row>
    <row r="4629" spans="1:21" s="344" customFormat="1" outlineLevel="1">
      <c r="A4629" s="345"/>
      <c r="B4629" s="345"/>
      <c r="C4629" s="332">
        <v>2210302</v>
      </c>
      <c r="D4629" s="330" t="s">
        <v>269</v>
      </c>
      <c r="E4629" s="422">
        <v>448380</v>
      </c>
      <c r="F4629" s="389"/>
      <c r="G4629" s="1073"/>
      <c r="H4629" s="1073"/>
      <c r="I4629" s="324">
        <f t="shared" si="3194"/>
        <v>448380</v>
      </c>
      <c r="J4629" s="1073"/>
      <c r="K4629" s="1073"/>
      <c r="L4629" s="317">
        <f t="shared" si="3222"/>
        <v>448380</v>
      </c>
      <c r="M4629" s="317"/>
      <c r="N4629" s="372">
        <f t="shared" si="3227"/>
        <v>0</v>
      </c>
      <c r="O4629" s="336">
        <f t="shared" si="3205"/>
        <v>493218.00000000006</v>
      </c>
      <c r="P4629" s="1215">
        <f t="shared" ref="P4629:P4630" si="3235">O4629*1.1</f>
        <v>542539.80000000016</v>
      </c>
      <c r="R4629" s="317"/>
      <c r="U4629" s="320"/>
    </row>
    <row r="4630" spans="1:21" s="344" customFormat="1" outlineLevel="1">
      <c r="A4630" s="345"/>
      <c r="B4630" s="345"/>
      <c r="C4630" s="332">
        <v>2210303</v>
      </c>
      <c r="D4630" s="330" t="s">
        <v>27</v>
      </c>
      <c r="E4630" s="422">
        <v>601178</v>
      </c>
      <c r="F4630" s="389"/>
      <c r="G4630" s="422"/>
      <c r="H4630" s="422"/>
      <c r="I4630" s="324">
        <f t="shared" si="3194"/>
        <v>601178</v>
      </c>
      <c r="J4630" s="422"/>
      <c r="K4630" s="422"/>
      <c r="L4630" s="317">
        <f t="shared" si="3222"/>
        <v>601178</v>
      </c>
      <c r="M4630" s="317"/>
      <c r="N4630" s="372">
        <f t="shared" si="3227"/>
        <v>0</v>
      </c>
      <c r="O4630" s="336">
        <f t="shared" si="3205"/>
        <v>661295.80000000005</v>
      </c>
      <c r="P4630" s="1215">
        <f t="shared" si="3235"/>
        <v>727425.38000000012</v>
      </c>
      <c r="R4630" s="317"/>
      <c r="U4630" s="320"/>
    </row>
    <row r="4631" spans="1:21" s="344" customFormat="1" outlineLevel="1">
      <c r="A4631" s="345"/>
      <c r="B4631" s="345"/>
      <c r="C4631" s="340">
        <v>2210400</v>
      </c>
      <c r="D4631" s="338" t="s">
        <v>189</v>
      </c>
      <c r="E4631" s="622">
        <f>E4632+E4633+E4634</f>
        <v>74375</v>
      </c>
      <c r="F4631" s="622">
        <f t="shared" ref="F4631:K4631" si="3236">F4632+F4633+F4634</f>
        <v>0</v>
      </c>
      <c r="G4631" s="622">
        <f t="shared" si="3236"/>
        <v>0</v>
      </c>
      <c r="H4631" s="622">
        <f t="shared" si="3236"/>
        <v>0</v>
      </c>
      <c r="I4631" s="622">
        <f t="shared" si="3236"/>
        <v>74375</v>
      </c>
      <c r="J4631" s="622">
        <f t="shared" si="3236"/>
        <v>0</v>
      </c>
      <c r="K4631" s="622">
        <f t="shared" si="3236"/>
        <v>0</v>
      </c>
      <c r="L4631" s="317">
        <f t="shared" si="3222"/>
        <v>74375</v>
      </c>
      <c r="M4631" s="317"/>
      <c r="N4631" s="372">
        <f t="shared" si="3227"/>
        <v>0</v>
      </c>
      <c r="O4631" s="622">
        <f t="shared" ref="O4631:P4631" si="3237">O4632+O4633+O4634</f>
        <v>81812.5</v>
      </c>
      <c r="P4631" s="622">
        <f t="shared" si="3237"/>
        <v>89993.750000000015</v>
      </c>
      <c r="R4631" s="317"/>
      <c r="U4631" s="320"/>
    </row>
    <row r="4632" spans="1:21" s="344" customFormat="1" outlineLevel="2">
      <c r="A4632" s="487"/>
      <c r="B4632" s="487"/>
      <c r="C4632" s="332">
        <v>2210401</v>
      </c>
      <c r="D4632" s="330" t="s">
        <v>190</v>
      </c>
      <c r="E4632" s="422">
        <v>20300</v>
      </c>
      <c r="F4632" s="389"/>
      <c r="G4632" s="422"/>
      <c r="H4632" s="422"/>
      <c r="I4632" s="324">
        <f t="shared" si="3194"/>
        <v>20300</v>
      </c>
      <c r="J4632" s="422"/>
      <c r="K4632" s="335"/>
      <c r="L4632" s="317">
        <f t="shared" si="3222"/>
        <v>20300</v>
      </c>
      <c r="M4632" s="317"/>
      <c r="N4632" s="372">
        <f t="shared" si="3227"/>
        <v>0</v>
      </c>
      <c r="O4632" s="336">
        <f t="shared" si="3205"/>
        <v>22330</v>
      </c>
      <c r="P4632" s="319">
        <f t="shared" si="3228"/>
        <v>24563.000000000004</v>
      </c>
      <c r="Q4632" s="2265" t="s">
        <v>2519</v>
      </c>
      <c r="R4632" s="317"/>
      <c r="U4632" s="320"/>
    </row>
    <row r="4633" spans="1:21" s="344" customFormat="1" outlineLevel="2">
      <c r="A4633" s="345"/>
      <c r="B4633" s="345"/>
      <c r="C4633" s="332">
        <v>2210402</v>
      </c>
      <c r="D4633" s="330" t="s">
        <v>270</v>
      </c>
      <c r="E4633" s="422">
        <v>40600</v>
      </c>
      <c r="F4633" s="389"/>
      <c r="G4633" s="1073"/>
      <c r="H4633" s="1073"/>
      <c r="I4633" s="324">
        <f t="shared" si="3194"/>
        <v>40600</v>
      </c>
      <c r="J4633" s="1073"/>
      <c r="K4633" s="335"/>
      <c r="L4633" s="317">
        <f t="shared" si="3222"/>
        <v>40600</v>
      </c>
      <c r="M4633" s="317"/>
      <c r="N4633" s="372">
        <f t="shared" si="3227"/>
        <v>0</v>
      </c>
      <c r="O4633" s="336">
        <f t="shared" si="3205"/>
        <v>44660</v>
      </c>
      <c r="P4633" s="319">
        <f t="shared" si="3228"/>
        <v>49126.000000000007</v>
      </c>
      <c r="Q4633" s="2266"/>
      <c r="R4633" s="317"/>
      <c r="U4633" s="320"/>
    </row>
    <row r="4634" spans="1:21" s="344" customFormat="1" outlineLevel="2">
      <c r="A4634" s="345"/>
      <c r="B4634" s="345"/>
      <c r="C4634" s="332">
        <v>2210403</v>
      </c>
      <c r="D4634" s="330" t="s">
        <v>28</v>
      </c>
      <c r="E4634" s="422">
        <v>13475</v>
      </c>
      <c r="F4634" s="389"/>
      <c r="G4634" s="422"/>
      <c r="H4634" s="422"/>
      <c r="I4634" s="324">
        <f t="shared" si="3194"/>
        <v>13475</v>
      </c>
      <c r="J4634" s="422"/>
      <c r="K4634" s="335"/>
      <c r="L4634" s="317">
        <f t="shared" si="3222"/>
        <v>13475</v>
      </c>
      <c r="M4634" s="317"/>
      <c r="N4634" s="372">
        <f t="shared" si="3227"/>
        <v>0</v>
      </c>
      <c r="O4634" s="336">
        <f t="shared" si="3205"/>
        <v>14822.500000000002</v>
      </c>
      <c r="P4634" s="319">
        <f t="shared" si="3228"/>
        <v>16304.750000000004</v>
      </c>
      <c r="Q4634" s="2267"/>
      <c r="R4634" s="317"/>
      <c r="U4634" s="320"/>
    </row>
    <row r="4635" spans="1:21" s="344" customFormat="1" outlineLevel="2">
      <c r="A4635" s="345"/>
      <c r="B4635" s="345"/>
      <c r="C4635" s="340">
        <v>2210500</v>
      </c>
      <c r="D4635" s="338" t="s">
        <v>31</v>
      </c>
      <c r="E4635" s="622">
        <f>E4636+E4637+E4638</f>
        <v>162239</v>
      </c>
      <c r="F4635" s="622">
        <f t="shared" ref="F4635:K4635" si="3238">F4636+F4637+F4638</f>
        <v>0</v>
      </c>
      <c r="G4635" s="622">
        <f t="shared" si="3238"/>
        <v>0</v>
      </c>
      <c r="H4635" s="622">
        <f t="shared" si="3238"/>
        <v>0</v>
      </c>
      <c r="I4635" s="622">
        <f t="shared" si="3238"/>
        <v>162239</v>
      </c>
      <c r="J4635" s="622">
        <f t="shared" si="3238"/>
        <v>0</v>
      </c>
      <c r="K4635" s="622">
        <f t="shared" si="3238"/>
        <v>0</v>
      </c>
      <c r="L4635" s="317">
        <f t="shared" si="3222"/>
        <v>162239</v>
      </c>
      <c r="M4635" s="317"/>
      <c r="N4635" s="372">
        <f t="shared" si="3227"/>
        <v>0</v>
      </c>
      <c r="O4635" s="622">
        <f t="shared" ref="O4635:P4635" si="3239">O4636+O4637+O4638</f>
        <v>178462.90000000002</v>
      </c>
      <c r="P4635" s="622">
        <f t="shared" si="3239"/>
        <v>196309.19000000003</v>
      </c>
      <c r="R4635" s="317"/>
      <c r="U4635" s="320"/>
    </row>
    <row r="4636" spans="1:21" s="344" customFormat="1" outlineLevel="2">
      <c r="A4636" s="345"/>
      <c r="B4636" s="345"/>
      <c r="C4636" s="332">
        <v>2210502</v>
      </c>
      <c r="D4636" s="330" t="s">
        <v>105</v>
      </c>
      <c r="E4636" s="790">
        <v>62640</v>
      </c>
      <c r="F4636" s="389"/>
      <c r="G4636" s="422"/>
      <c r="H4636" s="422"/>
      <c r="I4636" s="324">
        <f t="shared" ref="I4636:I4698" si="3240">E4636+F4636+G4636+H4636</f>
        <v>62640</v>
      </c>
      <c r="J4636" s="422"/>
      <c r="K4636" s="422"/>
      <c r="L4636" s="317">
        <f t="shared" si="3222"/>
        <v>62640</v>
      </c>
      <c r="M4636" s="317"/>
      <c r="N4636" s="372">
        <f t="shared" si="3227"/>
        <v>0</v>
      </c>
      <c r="O4636" s="336">
        <f t="shared" si="3205"/>
        <v>68904</v>
      </c>
      <c r="P4636" s="319">
        <f t="shared" si="3228"/>
        <v>75794.400000000009</v>
      </c>
      <c r="R4636" s="317"/>
      <c r="U4636" s="320"/>
    </row>
    <row r="4637" spans="1:21" s="344" customFormat="1" outlineLevel="2">
      <c r="A4637" s="345"/>
      <c r="B4637" s="345"/>
      <c r="C4637" s="332">
        <v>2210503</v>
      </c>
      <c r="D4637" s="330" t="s">
        <v>32</v>
      </c>
      <c r="E4637" s="422">
        <v>17539</v>
      </c>
      <c r="F4637" s="389"/>
      <c r="G4637" s="1073"/>
      <c r="H4637" s="1073"/>
      <c r="I4637" s="324">
        <f t="shared" si="3240"/>
        <v>17539</v>
      </c>
      <c r="J4637" s="1073"/>
      <c r="K4637" s="549"/>
      <c r="L4637" s="317">
        <f t="shared" si="3222"/>
        <v>17539</v>
      </c>
      <c r="M4637" s="317"/>
      <c r="N4637" s="372">
        <f t="shared" si="3227"/>
        <v>0</v>
      </c>
      <c r="O4637" s="336">
        <f t="shared" si="3205"/>
        <v>19292.900000000001</v>
      </c>
      <c r="P4637" s="319">
        <f t="shared" ref="P4637:P4656" si="3241">O4637*1.1</f>
        <v>21222.190000000002</v>
      </c>
      <c r="Q4637" s="914" t="s">
        <v>2519</v>
      </c>
      <c r="R4637" s="317"/>
      <c r="U4637" s="320"/>
    </row>
    <row r="4638" spans="1:21" s="344" customFormat="1" outlineLevel="2">
      <c r="A4638" s="345"/>
      <c r="B4638" s="345"/>
      <c r="C4638" s="332">
        <v>2210504</v>
      </c>
      <c r="D4638" s="330" t="s">
        <v>33</v>
      </c>
      <c r="E4638" s="422">
        <v>82060</v>
      </c>
      <c r="F4638" s="389"/>
      <c r="G4638" s="422"/>
      <c r="H4638" s="422"/>
      <c r="I4638" s="324">
        <f t="shared" si="3240"/>
        <v>82060</v>
      </c>
      <c r="J4638" s="422"/>
      <c r="K4638" s="549"/>
      <c r="L4638" s="317">
        <f t="shared" si="3222"/>
        <v>82060</v>
      </c>
      <c r="M4638" s="317"/>
      <c r="N4638" s="372">
        <f t="shared" si="3227"/>
        <v>0</v>
      </c>
      <c r="O4638" s="336">
        <f t="shared" si="3205"/>
        <v>90266.000000000015</v>
      </c>
      <c r="P4638" s="319">
        <f t="shared" si="3241"/>
        <v>99292.60000000002</v>
      </c>
      <c r="Q4638" s="914" t="s">
        <v>2519</v>
      </c>
      <c r="R4638" s="317"/>
      <c r="U4638" s="320"/>
    </row>
    <row r="4639" spans="1:21" s="344" customFormat="1" outlineLevel="2">
      <c r="A4639" s="345"/>
      <c r="B4639" s="345"/>
      <c r="C4639" s="340">
        <v>2210700</v>
      </c>
      <c r="D4639" s="338" t="s">
        <v>271</v>
      </c>
      <c r="E4639" s="622">
        <f>E4640+E4641+E4642+E4643</f>
        <v>1434360</v>
      </c>
      <c r="F4639" s="622">
        <f t="shared" ref="F4639:P4639" si="3242">F4640+F4641+F4642+F4643</f>
        <v>0</v>
      </c>
      <c r="G4639" s="622">
        <f t="shared" si="3242"/>
        <v>0</v>
      </c>
      <c r="H4639" s="622">
        <f t="shared" si="3242"/>
        <v>0</v>
      </c>
      <c r="I4639" s="622">
        <f t="shared" si="3242"/>
        <v>1434360</v>
      </c>
      <c r="J4639" s="622">
        <f t="shared" si="3242"/>
        <v>0</v>
      </c>
      <c r="K4639" s="622">
        <f t="shared" si="3242"/>
        <v>0</v>
      </c>
      <c r="L4639" s="317">
        <f t="shared" si="3222"/>
        <v>1434360</v>
      </c>
      <c r="M4639" s="317"/>
      <c r="N4639" s="372">
        <f t="shared" si="3227"/>
        <v>0</v>
      </c>
      <c r="O4639" s="622">
        <f t="shared" si="3242"/>
        <v>1577796</v>
      </c>
      <c r="P4639" s="622">
        <f t="shared" si="3242"/>
        <v>1735575.6</v>
      </c>
      <c r="R4639" s="317"/>
      <c r="U4639" s="320"/>
    </row>
    <row r="4640" spans="1:21" s="344" customFormat="1" outlineLevel="2">
      <c r="A4640" s="345"/>
      <c r="B4640" s="345"/>
      <c r="C4640" s="332">
        <v>2210701</v>
      </c>
      <c r="D4640" s="330" t="s">
        <v>272</v>
      </c>
      <c r="E4640" s="422">
        <v>618974</v>
      </c>
      <c r="F4640" s="389"/>
      <c r="G4640" s="422"/>
      <c r="H4640" s="422"/>
      <c r="I4640" s="324">
        <f t="shared" si="3240"/>
        <v>618974</v>
      </c>
      <c r="J4640" s="422"/>
      <c r="K4640" s="549"/>
      <c r="L4640" s="317">
        <f t="shared" si="3222"/>
        <v>618974</v>
      </c>
      <c r="M4640" s="317"/>
      <c r="N4640" s="372">
        <f t="shared" si="3227"/>
        <v>0</v>
      </c>
      <c r="O4640" s="336">
        <f t="shared" si="3205"/>
        <v>680871.4</v>
      </c>
      <c r="P4640" s="319">
        <f t="shared" si="3241"/>
        <v>748958.54</v>
      </c>
      <c r="Q4640" s="914" t="s">
        <v>2520</v>
      </c>
      <c r="R4640" s="317"/>
      <c r="U4640" s="320"/>
    </row>
    <row r="4641" spans="1:21" s="344" customFormat="1" outlineLevel="2">
      <c r="A4641" s="345"/>
      <c r="B4641" s="345"/>
      <c r="C4641" s="332">
        <v>2210703</v>
      </c>
      <c r="D4641" s="330" t="s">
        <v>273</v>
      </c>
      <c r="E4641" s="422">
        <v>114975</v>
      </c>
      <c r="F4641" s="389"/>
      <c r="G4641" s="1073"/>
      <c r="H4641" s="1073"/>
      <c r="I4641" s="324">
        <f t="shared" si="3240"/>
        <v>114975</v>
      </c>
      <c r="J4641" s="1073"/>
      <c r="K4641" s="1073"/>
      <c r="L4641" s="317">
        <f t="shared" si="3222"/>
        <v>114975</v>
      </c>
      <c r="M4641" s="317"/>
      <c r="N4641" s="372">
        <f t="shared" si="3227"/>
        <v>0</v>
      </c>
      <c r="O4641" s="336">
        <f t="shared" si="3205"/>
        <v>126472.50000000001</v>
      </c>
      <c r="P4641" s="319">
        <f t="shared" si="3241"/>
        <v>139119.75000000003</v>
      </c>
      <c r="R4641" s="317"/>
      <c r="U4641" s="320"/>
    </row>
    <row r="4642" spans="1:21" s="344" customFormat="1" outlineLevel="2">
      <c r="A4642" s="345"/>
      <c r="B4642" s="345"/>
      <c r="C4642" s="332">
        <v>2210704</v>
      </c>
      <c r="D4642" s="330" t="s">
        <v>274</v>
      </c>
      <c r="E4642" s="422">
        <v>127841</v>
      </c>
      <c r="F4642" s="389"/>
      <c r="G4642" s="422"/>
      <c r="H4642" s="422"/>
      <c r="I4642" s="324">
        <f t="shared" si="3240"/>
        <v>127841</v>
      </c>
      <c r="J4642" s="422"/>
      <c r="K4642" s="422"/>
      <c r="L4642" s="317">
        <f t="shared" si="3222"/>
        <v>127841</v>
      </c>
      <c r="M4642" s="317"/>
      <c r="N4642" s="372">
        <f t="shared" si="3227"/>
        <v>0</v>
      </c>
      <c r="O4642" s="336">
        <f t="shared" si="3205"/>
        <v>140625.1</v>
      </c>
      <c r="P4642" s="319">
        <f t="shared" si="3241"/>
        <v>154687.61000000002</v>
      </c>
      <c r="R4642" s="317"/>
      <c r="U4642" s="320"/>
    </row>
    <row r="4643" spans="1:21" s="344" customFormat="1" outlineLevel="2">
      <c r="A4643" s="345"/>
      <c r="B4643" s="345"/>
      <c r="C4643" s="332">
        <v>2210710</v>
      </c>
      <c r="D4643" s="330" t="s">
        <v>39</v>
      </c>
      <c r="E4643" s="422">
        <v>572570</v>
      </c>
      <c r="F4643" s="389"/>
      <c r="G4643" s="422"/>
      <c r="H4643" s="422"/>
      <c r="I4643" s="324">
        <f t="shared" si="3240"/>
        <v>572570</v>
      </c>
      <c r="J4643" s="422"/>
      <c r="K4643" s="549"/>
      <c r="L4643" s="317">
        <f t="shared" si="3222"/>
        <v>572570</v>
      </c>
      <c r="M4643" s="317"/>
      <c r="N4643" s="372">
        <f t="shared" si="3227"/>
        <v>0</v>
      </c>
      <c r="O4643" s="336">
        <f t="shared" si="3205"/>
        <v>629827</v>
      </c>
      <c r="P4643" s="319">
        <f t="shared" si="3241"/>
        <v>692809.70000000007</v>
      </c>
      <c r="Q4643" s="914" t="s">
        <v>2520</v>
      </c>
      <c r="R4643" s="317"/>
      <c r="U4643" s="320"/>
    </row>
    <row r="4644" spans="1:21" s="344" customFormat="1" outlineLevel="2">
      <c r="A4644" s="345"/>
      <c r="B4644" s="345"/>
      <c r="C4644" s="340">
        <v>2210800</v>
      </c>
      <c r="D4644" s="338" t="s">
        <v>42</v>
      </c>
      <c r="E4644" s="622">
        <f>E4645+E4646</f>
        <v>461540</v>
      </c>
      <c r="F4644" s="622">
        <f t="shared" ref="F4644:K4644" si="3243">F4645+F4646</f>
        <v>0</v>
      </c>
      <c r="G4644" s="622">
        <f t="shared" si="3243"/>
        <v>0</v>
      </c>
      <c r="H4644" s="622">
        <f t="shared" si="3243"/>
        <v>0</v>
      </c>
      <c r="I4644" s="622">
        <f t="shared" si="3243"/>
        <v>461540</v>
      </c>
      <c r="J4644" s="622">
        <f t="shared" si="3243"/>
        <v>0</v>
      </c>
      <c r="K4644" s="622">
        <f t="shared" si="3243"/>
        <v>0</v>
      </c>
      <c r="L4644" s="317">
        <f t="shared" si="3222"/>
        <v>461540</v>
      </c>
      <c r="M4644" s="317"/>
      <c r="N4644" s="372">
        <f t="shared" si="3227"/>
        <v>0</v>
      </c>
      <c r="O4644" s="622">
        <f t="shared" ref="O4644:P4644" si="3244">O4645+O4646</f>
        <v>507694.00000000006</v>
      </c>
      <c r="P4644" s="622">
        <f t="shared" si="3244"/>
        <v>558463.40000000014</v>
      </c>
      <c r="R4644" s="317"/>
      <c r="U4644" s="320"/>
    </row>
    <row r="4645" spans="1:21" s="344" customFormat="1" outlineLevel="2">
      <c r="A4645" s="345"/>
      <c r="B4645" s="345"/>
      <c r="C4645" s="332">
        <v>2210801</v>
      </c>
      <c r="D4645" s="330" t="s">
        <v>2421</v>
      </c>
      <c r="E4645" s="422">
        <v>312456</v>
      </c>
      <c r="F4645" s="389"/>
      <c r="G4645" s="1073"/>
      <c r="H4645" s="1073"/>
      <c r="I4645" s="324">
        <f t="shared" si="3240"/>
        <v>312456</v>
      </c>
      <c r="J4645" s="1073"/>
      <c r="K4645" s="1073"/>
      <c r="L4645" s="317">
        <f t="shared" si="3222"/>
        <v>312456</v>
      </c>
      <c r="M4645" s="317"/>
      <c r="N4645" s="372">
        <f t="shared" si="3227"/>
        <v>0</v>
      </c>
      <c r="O4645" s="336">
        <f t="shared" si="3205"/>
        <v>343701.60000000003</v>
      </c>
      <c r="P4645" s="319">
        <f t="shared" si="3241"/>
        <v>378071.76000000007</v>
      </c>
      <c r="R4645" s="317"/>
      <c r="U4645" s="320"/>
    </row>
    <row r="4646" spans="1:21" s="344" customFormat="1" outlineLevel="2">
      <c r="A4646" s="345"/>
      <c r="B4646" s="345"/>
      <c r="C4646" s="332">
        <v>2210802</v>
      </c>
      <c r="D4646" s="330" t="s">
        <v>97</v>
      </c>
      <c r="E4646" s="422">
        <v>149084</v>
      </c>
      <c r="F4646" s="389"/>
      <c r="G4646" s="422"/>
      <c r="H4646" s="422"/>
      <c r="I4646" s="324">
        <f t="shared" si="3240"/>
        <v>149084</v>
      </c>
      <c r="J4646" s="422"/>
      <c r="K4646" s="422"/>
      <c r="L4646" s="317">
        <f t="shared" si="3222"/>
        <v>149084</v>
      </c>
      <c r="M4646" s="317"/>
      <c r="N4646" s="372">
        <f t="shared" si="3227"/>
        <v>0</v>
      </c>
      <c r="O4646" s="336">
        <f t="shared" si="3205"/>
        <v>163992.40000000002</v>
      </c>
      <c r="P4646" s="319">
        <f t="shared" si="3241"/>
        <v>180391.64000000004</v>
      </c>
      <c r="R4646" s="317"/>
      <c r="U4646" s="320"/>
    </row>
    <row r="4647" spans="1:21" s="344" customFormat="1" outlineLevel="2">
      <c r="A4647" s="345"/>
      <c r="B4647" s="345"/>
      <c r="C4647" s="340">
        <v>2211100</v>
      </c>
      <c r="D4647" s="338" t="s">
        <v>276</v>
      </c>
      <c r="E4647" s="622">
        <f>E4648+E4649+E4650</f>
        <v>248441</v>
      </c>
      <c r="F4647" s="622">
        <f t="shared" ref="F4647:K4647" si="3245">F4648+F4649+F4650</f>
        <v>0</v>
      </c>
      <c r="G4647" s="622">
        <f t="shared" si="3245"/>
        <v>0</v>
      </c>
      <c r="H4647" s="622">
        <f t="shared" si="3245"/>
        <v>0</v>
      </c>
      <c r="I4647" s="622">
        <f t="shared" si="3245"/>
        <v>248441</v>
      </c>
      <c r="J4647" s="622">
        <f t="shared" si="3245"/>
        <v>0</v>
      </c>
      <c r="K4647" s="622">
        <f t="shared" si="3245"/>
        <v>0</v>
      </c>
      <c r="L4647" s="317">
        <f t="shared" si="3222"/>
        <v>248441</v>
      </c>
      <c r="M4647" s="317"/>
      <c r="N4647" s="372">
        <f t="shared" si="3227"/>
        <v>0</v>
      </c>
      <c r="O4647" s="622">
        <f t="shared" ref="O4647:P4647" si="3246">O4648+O4649+O4650</f>
        <v>273285.10000000003</v>
      </c>
      <c r="P4647" s="622">
        <f t="shared" si="3246"/>
        <v>300613.61000000004</v>
      </c>
      <c r="R4647" s="317"/>
      <c r="U4647" s="320"/>
    </row>
    <row r="4648" spans="1:21" s="344" customFormat="1" outlineLevel="2">
      <c r="A4648" s="345"/>
      <c r="B4648" s="345"/>
      <c r="C4648" s="332">
        <v>2211101</v>
      </c>
      <c r="D4648" s="330" t="s">
        <v>277</v>
      </c>
      <c r="E4648" s="422">
        <v>116651</v>
      </c>
      <c r="F4648" s="389"/>
      <c r="G4648" s="422"/>
      <c r="H4648" s="422"/>
      <c r="I4648" s="324">
        <f t="shared" si="3240"/>
        <v>116651</v>
      </c>
      <c r="J4648" s="422"/>
      <c r="K4648" s="549"/>
      <c r="L4648" s="317">
        <f t="shared" si="3222"/>
        <v>116651</v>
      </c>
      <c r="M4648" s="317"/>
      <c r="N4648" s="372">
        <f t="shared" si="3227"/>
        <v>0</v>
      </c>
      <c r="O4648" s="336">
        <f t="shared" si="3205"/>
        <v>128316.1</v>
      </c>
      <c r="P4648" s="319">
        <f t="shared" si="3241"/>
        <v>141147.71000000002</v>
      </c>
      <c r="Q4648" s="914" t="s">
        <v>2521</v>
      </c>
      <c r="R4648" s="317"/>
      <c r="U4648" s="320"/>
    </row>
    <row r="4649" spans="1:21" s="344" customFormat="1" outlineLevel="2">
      <c r="A4649" s="345"/>
      <c r="B4649" s="345"/>
      <c r="C4649" s="332">
        <v>2211102</v>
      </c>
      <c r="D4649" s="330" t="s">
        <v>53</v>
      </c>
      <c r="E4649" s="422">
        <v>73705</v>
      </c>
      <c r="F4649" s="389"/>
      <c r="G4649" s="1073"/>
      <c r="H4649" s="1073"/>
      <c r="I4649" s="324">
        <f t="shared" si="3240"/>
        <v>73705</v>
      </c>
      <c r="J4649" s="1073"/>
      <c r="K4649" s="549"/>
      <c r="L4649" s="317">
        <f t="shared" si="3222"/>
        <v>73705</v>
      </c>
      <c r="M4649" s="317"/>
      <c r="N4649" s="372">
        <f t="shared" si="3227"/>
        <v>0</v>
      </c>
      <c r="O4649" s="336">
        <f t="shared" si="3205"/>
        <v>81075.5</v>
      </c>
      <c r="P4649" s="319">
        <f t="shared" si="3241"/>
        <v>89183.05</v>
      </c>
      <c r="Q4649" s="914" t="s">
        <v>2521</v>
      </c>
      <c r="R4649" s="317"/>
      <c r="U4649" s="320"/>
    </row>
    <row r="4650" spans="1:21" s="344" customFormat="1" outlineLevel="2">
      <c r="A4650" s="345"/>
      <c r="B4650" s="345"/>
      <c r="C4650" s="332">
        <v>2211103</v>
      </c>
      <c r="D4650" s="330" t="s">
        <v>54</v>
      </c>
      <c r="E4650" s="422">
        <v>58085</v>
      </c>
      <c r="F4650" s="389"/>
      <c r="G4650" s="422"/>
      <c r="H4650" s="422"/>
      <c r="I4650" s="324">
        <f t="shared" si="3240"/>
        <v>58085</v>
      </c>
      <c r="J4650" s="422"/>
      <c r="K4650" s="422"/>
      <c r="L4650" s="317">
        <f t="shared" si="3222"/>
        <v>58085</v>
      </c>
      <c r="M4650" s="317"/>
      <c r="N4650" s="372">
        <f t="shared" si="3227"/>
        <v>0</v>
      </c>
      <c r="O4650" s="336">
        <f t="shared" si="3205"/>
        <v>63893.500000000007</v>
      </c>
      <c r="P4650" s="319">
        <f t="shared" si="3241"/>
        <v>70282.85000000002</v>
      </c>
      <c r="R4650" s="317"/>
      <c r="U4650" s="320"/>
    </row>
    <row r="4651" spans="1:21" s="344" customFormat="1" outlineLevel="2">
      <c r="A4651" s="345"/>
      <c r="B4651" s="345"/>
      <c r="C4651" s="340">
        <v>2211200</v>
      </c>
      <c r="D4651" s="338" t="s">
        <v>55</v>
      </c>
      <c r="E4651" s="622">
        <f>E4652</f>
        <v>796340</v>
      </c>
      <c r="F4651" s="622">
        <f t="shared" ref="F4651:P4651" si="3247">F4652</f>
        <v>0</v>
      </c>
      <c r="G4651" s="622">
        <f t="shared" si="3247"/>
        <v>0</v>
      </c>
      <c r="H4651" s="622">
        <f t="shared" si="3247"/>
        <v>0</v>
      </c>
      <c r="I4651" s="622">
        <f t="shared" si="3247"/>
        <v>796340</v>
      </c>
      <c r="J4651" s="622">
        <f t="shared" si="3247"/>
        <v>0</v>
      </c>
      <c r="K4651" s="622">
        <f t="shared" si="3247"/>
        <v>0</v>
      </c>
      <c r="L4651" s="317">
        <f t="shared" si="3222"/>
        <v>796340</v>
      </c>
      <c r="M4651" s="317"/>
      <c r="N4651" s="372">
        <f t="shared" si="3227"/>
        <v>0</v>
      </c>
      <c r="O4651" s="622">
        <f t="shared" si="3247"/>
        <v>875974.00000000012</v>
      </c>
      <c r="P4651" s="622">
        <f t="shared" si="3247"/>
        <v>963571.40000000026</v>
      </c>
      <c r="R4651" s="317"/>
      <c r="U4651" s="320"/>
    </row>
    <row r="4652" spans="1:21" s="344" customFormat="1" outlineLevel="2">
      <c r="A4652" s="345"/>
      <c r="B4652" s="345"/>
      <c r="C4652" s="332">
        <v>2211201</v>
      </c>
      <c r="D4652" s="330" t="s">
        <v>56</v>
      </c>
      <c r="E4652" s="422">
        <v>796340</v>
      </c>
      <c r="F4652" s="389"/>
      <c r="G4652" s="422"/>
      <c r="H4652" s="422"/>
      <c r="I4652" s="324">
        <f t="shared" si="3240"/>
        <v>796340</v>
      </c>
      <c r="J4652" s="422"/>
      <c r="K4652" s="422"/>
      <c r="L4652" s="317">
        <f t="shared" si="3222"/>
        <v>796340</v>
      </c>
      <c r="M4652" s="317"/>
      <c r="N4652" s="372">
        <f t="shared" si="3227"/>
        <v>0</v>
      </c>
      <c r="O4652" s="336">
        <f t="shared" si="3205"/>
        <v>875974.00000000012</v>
      </c>
      <c r="P4652" s="319">
        <f t="shared" si="3241"/>
        <v>963571.40000000026</v>
      </c>
      <c r="R4652" s="317"/>
      <c r="U4652" s="320"/>
    </row>
    <row r="4653" spans="1:21" s="344" customFormat="1" outlineLevel="2">
      <c r="A4653" s="345"/>
      <c r="B4653" s="345"/>
      <c r="C4653" s="340">
        <v>2220100</v>
      </c>
      <c r="D4653" s="338" t="s">
        <v>200</v>
      </c>
      <c r="E4653" s="622">
        <f>E4654</f>
        <v>154471</v>
      </c>
      <c r="F4653" s="622">
        <f t="shared" ref="F4653:P4653" si="3248">F4654</f>
        <v>0</v>
      </c>
      <c r="G4653" s="622">
        <f t="shared" si="3248"/>
        <v>0</v>
      </c>
      <c r="H4653" s="622">
        <f t="shared" si="3248"/>
        <v>0</v>
      </c>
      <c r="I4653" s="622">
        <f t="shared" si="3248"/>
        <v>154471</v>
      </c>
      <c r="J4653" s="622">
        <f t="shared" si="3248"/>
        <v>0</v>
      </c>
      <c r="K4653" s="622">
        <f t="shared" si="3248"/>
        <v>0</v>
      </c>
      <c r="L4653" s="317">
        <f t="shared" si="3222"/>
        <v>154471</v>
      </c>
      <c r="M4653" s="317"/>
      <c r="N4653" s="372">
        <f t="shared" si="3227"/>
        <v>0</v>
      </c>
      <c r="O4653" s="622">
        <f t="shared" si="3248"/>
        <v>169918.1</v>
      </c>
      <c r="P4653" s="622">
        <f t="shared" si="3248"/>
        <v>186909.91000000003</v>
      </c>
      <c r="R4653" s="317"/>
      <c r="U4653" s="320"/>
    </row>
    <row r="4654" spans="1:21" s="344" customFormat="1" outlineLevel="2">
      <c r="A4654" s="345"/>
      <c r="B4654" s="345"/>
      <c r="C4654" s="332">
        <v>2220101</v>
      </c>
      <c r="D4654" s="330" t="s">
        <v>200</v>
      </c>
      <c r="E4654" s="422">
        <f>(279593-123123)-1999</f>
        <v>154471</v>
      </c>
      <c r="F4654" s="389"/>
      <c r="G4654" s="422"/>
      <c r="H4654" s="422"/>
      <c r="I4654" s="324">
        <f t="shared" si="3240"/>
        <v>154471</v>
      </c>
      <c r="J4654" s="422"/>
      <c r="K4654" s="422"/>
      <c r="L4654" s="317">
        <f t="shared" si="3222"/>
        <v>154471</v>
      </c>
      <c r="M4654" s="317"/>
      <c r="N4654" s="372">
        <f t="shared" si="3227"/>
        <v>0</v>
      </c>
      <c r="O4654" s="336">
        <f t="shared" ref="O4654:O4716" si="3249">L4654*1.1</f>
        <v>169918.1</v>
      </c>
      <c r="P4654" s="319">
        <f t="shared" si="3241"/>
        <v>186909.91000000003</v>
      </c>
      <c r="R4654" s="317"/>
      <c r="U4654" s="320"/>
    </row>
    <row r="4655" spans="1:21" s="344" customFormat="1" outlineLevel="2">
      <c r="A4655" s="345"/>
      <c r="B4655" s="345"/>
      <c r="C4655" s="340">
        <v>2220200</v>
      </c>
      <c r="D4655" s="338" t="s">
        <v>124</v>
      </c>
      <c r="E4655" s="622">
        <f>E4656</f>
        <v>76845</v>
      </c>
      <c r="F4655" s="622">
        <f t="shared" ref="F4655:K4655" si="3250">F4656</f>
        <v>0</v>
      </c>
      <c r="G4655" s="622">
        <f t="shared" si="3250"/>
        <v>0</v>
      </c>
      <c r="H4655" s="622">
        <f t="shared" si="3250"/>
        <v>0</v>
      </c>
      <c r="I4655" s="622">
        <f t="shared" si="3250"/>
        <v>76845</v>
      </c>
      <c r="J4655" s="622">
        <f t="shared" si="3250"/>
        <v>0</v>
      </c>
      <c r="K4655" s="622">
        <f t="shared" si="3250"/>
        <v>0</v>
      </c>
      <c r="L4655" s="317">
        <f t="shared" si="3222"/>
        <v>76845</v>
      </c>
      <c r="M4655" s="317"/>
      <c r="N4655" s="372">
        <f t="shared" si="3227"/>
        <v>0</v>
      </c>
      <c r="O4655" s="622">
        <f t="shared" ref="O4655:P4655" si="3251">O4656</f>
        <v>84529.5</v>
      </c>
      <c r="P4655" s="622">
        <f t="shared" si="3251"/>
        <v>92982.450000000012</v>
      </c>
      <c r="R4655" s="317"/>
      <c r="U4655" s="320"/>
    </row>
    <row r="4656" spans="1:21" s="344" customFormat="1" outlineLevel="2">
      <c r="A4656" s="345"/>
      <c r="B4656" s="345"/>
      <c r="C4656" s="332">
        <v>2220210</v>
      </c>
      <c r="D4656" s="330" t="s">
        <v>163</v>
      </c>
      <c r="E4656" s="422">
        <v>76845</v>
      </c>
      <c r="F4656" s="389"/>
      <c r="G4656" s="422"/>
      <c r="H4656" s="422"/>
      <c r="I4656" s="324">
        <f t="shared" si="3240"/>
        <v>76845</v>
      </c>
      <c r="J4656" s="422"/>
      <c r="K4656" s="549"/>
      <c r="L4656" s="317">
        <f t="shared" si="3222"/>
        <v>76845</v>
      </c>
      <c r="M4656" s="317"/>
      <c r="N4656" s="372">
        <f t="shared" si="3227"/>
        <v>0</v>
      </c>
      <c r="O4656" s="336">
        <f t="shared" si="3249"/>
        <v>84529.5</v>
      </c>
      <c r="P4656" s="319">
        <f t="shared" si="3241"/>
        <v>92982.450000000012</v>
      </c>
      <c r="Q4656" s="914" t="s">
        <v>2521</v>
      </c>
      <c r="R4656" s="317"/>
      <c r="U4656" s="320"/>
    </row>
    <row r="4657" spans="1:21" s="344" customFormat="1" outlineLevel="2">
      <c r="A4657" s="345"/>
      <c r="B4657" s="345"/>
      <c r="C4657" s="340">
        <v>3111000</v>
      </c>
      <c r="D4657" s="338" t="s">
        <v>69</v>
      </c>
      <c r="E4657" s="622">
        <f>E4659+E4658</f>
        <v>373802</v>
      </c>
      <c r="F4657" s="622">
        <f t="shared" ref="F4657:K4657" si="3252">F4659+F4658</f>
        <v>0</v>
      </c>
      <c r="G4657" s="622">
        <f t="shared" si="3252"/>
        <v>0</v>
      </c>
      <c r="H4657" s="622">
        <f t="shared" si="3252"/>
        <v>0</v>
      </c>
      <c r="I4657" s="622">
        <f t="shared" si="3252"/>
        <v>373802</v>
      </c>
      <c r="J4657" s="622">
        <f t="shared" si="3252"/>
        <v>0</v>
      </c>
      <c r="K4657" s="622">
        <f t="shared" si="3252"/>
        <v>0</v>
      </c>
      <c r="L4657" s="317">
        <f t="shared" si="3222"/>
        <v>373802</v>
      </c>
      <c r="M4657" s="317"/>
      <c r="N4657" s="372">
        <f t="shared" si="3227"/>
        <v>0</v>
      </c>
      <c r="O4657" s="622">
        <f t="shared" ref="O4657:P4657" si="3253">O4659+O4658</f>
        <v>411182.20000000007</v>
      </c>
      <c r="P4657" s="622">
        <f t="shared" si="3253"/>
        <v>452300.42000000004</v>
      </c>
      <c r="R4657" s="317"/>
      <c r="U4657" s="320"/>
    </row>
    <row r="4658" spans="1:21" s="344" customFormat="1" outlineLevel="2">
      <c r="A4658" s="345"/>
      <c r="B4658" s="345"/>
      <c r="C4658" s="1219">
        <v>3111001</v>
      </c>
      <c r="D4658" s="1220" t="s">
        <v>70</v>
      </c>
      <c r="E4658" s="422">
        <v>125123</v>
      </c>
      <c r="F4658" s="1221"/>
      <c r="G4658" s="422"/>
      <c r="H4658" s="422"/>
      <c r="I4658" s="324">
        <f t="shared" si="3240"/>
        <v>125123</v>
      </c>
      <c r="J4658" s="422"/>
      <c r="K4658" s="549"/>
      <c r="L4658" s="317">
        <f t="shared" si="3222"/>
        <v>125123</v>
      </c>
      <c r="M4658" s="317"/>
      <c r="N4658" s="372">
        <f t="shared" si="3227"/>
        <v>0</v>
      </c>
      <c r="O4658" s="336">
        <f t="shared" si="3249"/>
        <v>137635.30000000002</v>
      </c>
      <c r="P4658" s="319">
        <f t="shared" ref="P4658:P4675" si="3254">O4658*1.1</f>
        <v>151398.83000000005</v>
      </c>
      <c r="Q4658" s="914" t="s">
        <v>2522</v>
      </c>
      <c r="R4658" s="317"/>
      <c r="U4658" s="320"/>
    </row>
    <row r="4659" spans="1:21" s="344" customFormat="1" outlineLevel="2">
      <c r="A4659" s="345"/>
      <c r="B4659" s="345"/>
      <c r="C4659" s="332">
        <v>3111002</v>
      </c>
      <c r="D4659" s="330" t="s">
        <v>71</v>
      </c>
      <c r="E4659" s="422">
        <v>248679</v>
      </c>
      <c r="F4659" s="389"/>
      <c r="G4659" s="422"/>
      <c r="H4659" s="422"/>
      <c r="I4659" s="324">
        <f t="shared" si="3240"/>
        <v>248679</v>
      </c>
      <c r="J4659" s="422"/>
      <c r="K4659" s="422"/>
      <c r="L4659" s="317">
        <f t="shared" si="3222"/>
        <v>248679</v>
      </c>
      <c r="M4659" s="317"/>
      <c r="N4659" s="372">
        <f t="shared" si="3227"/>
        <v>0</v>
      </c>
      <c r="O4659" s="336">
        <f t="shared" si="3249"/>
        <v>273546.90000000002</v>
      </c>
      <c r="P4659" s="319">
        <f t="shared" si="3254"/>
        <v>300901.59000000003</v>
      </c>
      <c r="R4659" s="317"/>
      <c r="U4659" s="320"/>
    </row>
    <row r="4660" spans="1:21" s="344" customFormat="1" outlineLevel="2">
      <c r="A4660" s="345"/>
      <c r="B4660" s="345"/>
      <c r="C4660" s="332"/>
      <c r="D4660" s="338" t="s">
        <v>278</v>
      </c>
      <c r="E4660" s="622">
        <f>E4657+E4655+E4653+E4651+E4647+E4644+E4639+E4635+E4631+E4627+E4624+E4621+E4619</f>
        <v>59690830</v>
      </c>
      <c r="F4660" s="622">
        <f t="shared" ref="F4660:P4660" si="3255">F4657+F4655+F4653+F4651+F4647+F4644+F4639+F4635+F4631+F4627+F4624+F4621+F4619</f>
        <v>0</v>
      </c>
      <c r="G4660" s="622">
        <f t="shared" si="3255"/>
        <v>0</v>
      </c>
      <c r="H4660" s="622">
        <f t="shared" si="3255"/>
        <v>0</v>
      </c>
      <c r="I4660" s="622">
        <f t="shared" si="3255"/>
        <v>59690830</v>
      </c>
      <c r="J4660" s="622">
        <f t="shared" si="3255"/>
        <v>0</v>
      </c>
      <c r="K4660" s="622">
        <f t="shared" si="3255"/>
        <v>0</v>
      </c>
      <c r="L4660" s="317">
        <f t="shared" si="3222"/>
        <v>59690830</v>
      </c>
      <c r="M4660" s="317"/>
      <c r="N4660" s="372">
        <f t="shared" si="3227"/>
        <v>0</v>
      </c>
      <c r="O4660" s="622">
        <f t="shared" si="3255"/>
        <v>65659913.000000007</v>
      </c>
      <c r="P4660" s="622">
        <f t="shared" si="3255"/>
        <v>72225904.300000012</v>
      </c>
      <c r="R4660" s="317"/>
      <c r="U4660" s="320"/>
    </row>
    <row r="4661" spans="1:21" s="344" customFormat="1" outlineLevel="2">
      <c r="A4661" s="345"/>
      <c r="B4661" s="345"/>
      <c r="C4661" s="332"/>
      <c r="D4661" s="338"/>
      <c r="E4661" s="622"/>
      <c r="F4661" s="397"/>
      <c r="G4661" s="1073"/>
      <c r="H4661" s="1073"/>
      <c r="I4661" s="324">
        <f t="shared" si="3240"/>
        <v>0</v>
      </c>
      <c r="J4661" s="1073"/>
      <c r="K4661" s="1073"/>
      <c r="L4661" s="317">
        <f t="shared" si="3222"/>
        <v>0</v>
      </c>
      <c r="M4661" s="317"/>
      <c r="N4661" s="372">
        <f t="shared" si="3227"/>
        <v>0</v>
      </c>
      <c r="O4661" s="336">
        <f t="shared" si="3249"/>
        <v>0</v>
      </c>
      <c r="P4661" s="319">
        <f t="shared" si="3254"/>
        <v>0</v>
      </c>
      <c r="R4661" s="317"/>
      <c r="U4661" s="320"/>
    </row>
    <row r="4662" spans="1:21" s="344" customFormat="1" outlineLevel="2">
      <c r="A4662" s="345"/>
      <c r="B4662" s="345"/>
      <c r="C4662" s="332"/>
      <c r="D4662" s="338"/>
      <c r="E4662" s="622"/>
      <c r="F4662" s="397"/>
      <c r="G4662" s="422"/>
      <c r="H4662" s="422"/>
      <c r="I4662" s="324">
        <f t="shared" si="3240"/>
        <v>0</v>
      </c>
      <c r="J4662" s="422"/>
      <c r="K4662" s="422"/>
      <c r="L4662" s="317">
        <f t="shared" si="3222"/>
        <v>0</v>
      </c>
      <c r="M4662" s="317"/>
      <c r="N4662" s="372">
        <f t="shared" si="3227"/>
        <v>0</v>
      </c>
      <c r="O4662" s="336">
        <f t="shared" si="3249"/>
        <v>0</v>
      </c>
      <c r="P4662" s="319">
        <f t="shared" si="3254"/>
        <v>0</v>
      </c>
      <c r="R4662" s="317"/>
      <c r="U4662" s="320"/>
    </row>
    <row r="4663" spans="1:21" s="344" customFormat="1" outlineLevel="2">
      <c r="A4663" s="345"/>
      <c r="B4663" s="345"/>
      <c r="C4663" s="1189" t="s">
        <v>801</v>
      </c>
      <c r="D4663" s="338"/>
      <c r="E4663" s="622"/>
      <c r="F4663" s="397"/>
      <c r="G4663" s="422"/>
      <c r="H4663" s="422"/>
      <c r="I4663" s="324">
        <f t="shared" si="3240"/>
        <v>0</v>
      </c>
      <c r="J4663" s="422"/>
      <c r="K4663" s="422"/>
      <c r="L4663" s="317">
        <f t="shared" si="3222"/>
        <v>0</v>
      </c>
      <c r="M4663" s="317"/>
      <c r="N4663" s="372">
        <f t="shared" si="3227"/>
        <v>0</v>
      </c>
      <c r="O4663" s="336">
        <f t="shared" si="3249"/>
        <v>0</v>
      </c>
      <c r="P4663" s="319">
        <f t="shared" si="3254"/>
        <v>0</v>
      </c>
      <c r="R4663" s="317"/>
      <c r="U4663" s="320"/>
    </row>
    <row r="4664" spans="1:21" s="344" customFormat="1" outlineLevel="2">
      <c r="A4664" s="345"/>
      <c r="B4664" s="345"/>
      <c r="C4664" s="1185" t="s">
        <v>802</v>
      </c>
      <c r="D4664" s="338"/>
      <c r="E4664" s="622"/>
      <c r="F4664" s="397"/>
      <c r="G4664" s="422"/>
      <c r="H4664" s="422"/>
      <c r="I4664" s="324">
        <f t="shared" si="3240"/>
        <v>0</v>
      </c>
      <c r="J4664" s="422"/>
      <c r="K4664" s="422"/>
      <c r="L4664" s="317">
        <f t="shared" si="3222"/>
        <v>0</v>
      </c>
      <c r="M4664" s="317"/>
      <c r="N4664" s="372">
        <f t="shared" si="3227"/>
        <v>0</v>
      </c>
      <c r="O4664" s="336">
        <f t="shared" si="3249"/>
        <v>0</v>
      </c>
      <c r="P4664" s="319">
        <f t="shared" si="3254"/>
        <v>0</v>
      </c>
      <c r="R4664" s="317"/>
      <c r="U4664" s="320"/>
    </row>
    <row r="4665" spans="1:21" s="344" customFormat="1" outlineLevel="2">
      <c r="A4665" s="345"/>
      <c r="B4665" s="345"/>
      <c r="C4665" s="340" t="s">
        <v>803</v>
      </c>
      <c r="D4665" s="338"/>
      <c r="E4665" s="622"/>
      <c r="F4665" s="622"/>
      <c r="G4665" s="622"/>
      <c r="H4665" s="622"/>
      <c r="I4665" s="622"/>
      <c r="J4665" s="622"/>
      <c r="K4665" s="622"/>
      <c r="L4665" s="317">
        <f t="shared" si="3222"/>
        <v>0</v>
      </c>
      <c r="M4665" s="317"/>
      <c r="N4665" s="372">
        <f t="shared" si="3227"/>
        <v>0</v>
      </c>
      <c r="O4665" s="622"/>
      <c r="P4665" s="622"/>
      <c r="R4665" s="317"/>
      <c r="U4665" s="320"/>
    </row>
    <row r="4666" spans="1:21" s="344" customFormat="1" outlineLevel="2">
      <c r="A4666" s="345"/>
      <c r="B4666" s="345"/>
      <c r="C4666" s="340">
        <v>2210100</v>
      </c>
      <c r="D4666" s="338" t="s">
        <v>16</v>
      </c>
      <c r="E4666" s="622">
        <f>E4667+E4668</f>
        <v>63140</v>
      </c>
      <c r="F4666" s="622">
        <f t="shared" ref="F4666:P4666" si="3256">F4667+F4668</f>
        <v>0</v>
      </c>
      <c r="G4666" s="622">
        <f t="shared" si="3256"/>
        <v>0</v>
      </c>
      <c r="H4666" s="622">
        <f t="shared" si="3256"/>
        <v>0</v>
      </c>
      <c r="I4666" s="622">
        <f t="shared" si="3256"/>
        <v>63140</v>
      </c>
      <c r="J4666" s="622">
        <f t="shared" si="3256"/>
        <v>0</v>
      </c>
      <c r="K4666" s="622">
        <f t="shared" si="3256"/>
        <v>0</v>
      </c>
      <c r="L4666" s="317">
        <f t="shared" si="3222"/>
        <v>63140</v>
      </c>
      <c r="M4666" s="317"/>
      <c r="N4666" s="372">
        <f t="shared" si="3227"/>
        <v>0</v>
      </c>
      <c r="O4666" s="622">
        <f t="shared" si="3256"/>
        <v>69454</v>
      </c>
      <c r="P4666" s="622">
        <f t="shared" si="3256"/>
        <v>76399.400000000009</v>
      </c>
      <c r="R4666" s="317"/>
      <c r="U4666" s="320"/>
    </row>
    <row r="4667" spans="1:21" s="344" customFormat="1" outlineLevel="2">
      <c r="A4667" s="345"/>
      <c r="B4667" s="345"/>
      <c r="C4667" s="332">
        <v>2210101</v>
      </c>
      <c r="D4667" s="330" t="s">
        <v>784</v>
      </c>
      <c r="E4667" s="422">
        <v>39463</v>
      </c>
      <c r="F4667" s="389"/>
      <c r="G4667" s="422"/>
      <c r="H4667" s="422"/>
      <c r="I4667" s="324">
        <f t="shared" si="3240"/>
        <v>39463</v>
      </c>
      <c r="J4667" s="422"/>
      <c r="K4667" s="422"/>
      <c r="L4667" s="317">
        <f t="shared" si="3222"/>
        <v>39463</v>
      </c>
      <c r="M4667" s="317"/>
      <c r="N4667" s="372">
        <f t="shared" si="3227"/>
        <v>0</v>
      </c>
      <c r="O4667" s="336">
        <f t="shared" si="3249"/>
        <v>43409.3</v>
      </c>
      <c r="P4667" s="319">
        <f t="shared" si="3254"/>
        <v>47750.23000000001</v>
      </c>
      <c r="R4667" s="317"/>
      <c r="U4667" s="320"/>
    </row>
    <row r="4668" spans="1:21" s="344" customFormat="1" outlineLevel="2">
      <c r="A4668" s="345"/>
      <c r="B4668" s="345"/>
      <c r="C4668" s="332">
        <v>2210102</v>
      </c>
      <c r="D4668" s="330" t="s">
        <v>785</v>
      </c>
      <c r="E4668" s="422">
        <v>23677</v>
      </c>
      <c r="F4668" s="389"/>
      <c r="G4668" s="422"/>
      <c r="H4668" s="422"/>
      <c r="I4668" s="324">
        <f t="shared" si="3240"/>
        <v>23677</v>
      </c>
      <c r="J4668" s="422"/>
      <c r="K4668" s="422"/>
      <c r="L4668" s="317">
        <f t="shared" si="3222"/>
        <v>23677</v>
      </c>
      <c r="M4668" s="317"/>
      <c r="N4668" s="372">
        <f t="shared" si="3227"/>
        <v>0</v>
      </c>
      <c r="O4668" s="336">
        <f t="shared" si="3249"/>
        <v>26044.7</v>
      </c>
      <c r="P4668" s="319">
        <f t="shared" si="3254"/>
        <v>28649.170000000002</v>
      </c>
      <c r="R4668" s="317"/>
      <c r="U4668" s="320"/>
    </row>
    <row r="4669" spans="1:21" s="344" customFormat="1" outlineLevel="2">
      <c r="A4669" s="345"/>
      <c r="B4669" s="345"/>
      <c r="C4669" s="340">
        <v>2210200</v>
      </c>
      <c r="D4669" s="338" t="s">
        <v>20</v>
      </c>
      <c r="E4669" s="622">
        <f>E4670+E4671</f>
        <v>119389</v>
      </c>
      <c r="F4669" s="622">
        <f t="shared" ref="F4669:K4669" si="3257">F4670+F4671</f>
        <v>0</v>
      </c>
      <c r="G4669" s="622">
        <f t="shared" si="3257"/>
        <v>0</v>
      </c>
      <c r="H4669" s="622">
        <f t="shared" si="3257"/>
        <v>0</v>
      </c>
      <c r="I4669" s="622">
        <f t="shared" si="3257"/>
        <v>119389</v>
      </c>
      <c r="J4669" s="622">
        <f t="shared" si="3257"/>
        <v>0</v>
      </c>
      <c r="K4669" s="622">
        <f t="shared" si="3257"/>
        <v>0</v>
      </c>
      <c r="L4669" s="317">
        <f t="shared" si="3222"/>
        <v>119389</v>
      </c>
      <c r="M4669" s="317"/>
      <c r="N4669" s="372">
        <f t="shared" si="3227"/>
        <v>0</v>
      </c>
      <c r="O4669" s="622">
        <f t="shared" ref="O4669:P4669" si="3258">O4670+O4671</f>
        <v>131327.90000000002</v>
      </c>
      <c r="P4669" s="622">
        <f t="shared" si="3258"/>
        <v>144460.69000000003</v>
      </c>
      <c r="R4669" s="317"/>
      <c r="U4669" s="320"/>
    </row>
    <row r="4670" spans="1:21" s="344" customFormat="1" outlineLevel="2">
      <c r="A4670" s="345"/>
      <c r="B4670" s="345"/>
      <c r="C4670" s="332">
        <v>2210201</v>
      </c>
      <c r="D4670" s="330" t="s">
        <v>786</v>
      </c>
      <c r="E4670" s="422">
        <v>90389</v>
      </c>
      <c r="F4670" s="389"/>
      <c r="G4670" s="422"/>
      <c r="H4670" s="422"/>
      <c r="I4670" s="324">
        <f t="shared" si="3240"/>
        <v>90389</v>
      </c>
      <c r="J4670" s="422"/>
      <c r="K4670" s="422"/>
      <c r="L4670" s="317">
        <f t="shared" si="3222"/>
        <v>90389</v>
      </c>
      <c r="M4670" s="317"/>
      <c r="N4670" s="372">
        <f t="shared" si="3227"/>
        <v>0</v>
      </c>
      <c r="O4670" s="336">
        <f t="shared" si="3249"/>
        <v>99427.900000000009</v>
      </c>
      <c r="P4670" s="1215">
        <f>O4670*1.1</f>
        <v>109370.69000000002</v>
      </c>
      <c r="R4670" s="317"/>
      <c r="U4670" s="320"/>
    </row>
    <row r="4671" spans="1:21" s="344" customFormat="1" outlineLevel="2">
      <c r="A4671" s="345"/>
      <c r="B4671" s="345"/>
      <c r="C4671" s="332">
        <v>2210202</v>
      </c>
      <c r="D4671" s="330" t="s">
        <v>804</v>
      </c>
      <c r="E4671" s="422">
        <v>29000</v>
      </c>
      <c r="F4671" s="389"/>
      <c r="G4671" s="422"/>
      <c r="H4671" s="422"/>
      <c r="I4671" s="324">
        <f t="shared" si="3240"/>
        <v>29000</v>
      </c>
      <c r="J4671" s="422"/>
      <c r="K4671" s="549"/>
      <c r="L4671" s="317">
        <f t="shared" si="3222"/>
        <v>29000</v>
      </c>
      <c r="M4671" s="317"/>
      <c r="N4671" s="372">
        <f t="shared" si="3227"/>
        <v>0</v>
      </c>
      <c r="O4671" s="336">
        <f t="shared" si="3249"/>
        <v>31900.000000000004</v>
      </c>
      <c r="P4671" s="319">
        <f t="shared" si="3254"/>
        <v>35090.000000000007</v>
      </c>
      <c r="Q4671" s="1190" t="s">
        <v>2523</v>
      </c>
      <c r="R4671" s="317"/>
      <c r="U4671" s="320"/>
    </row>
    <row r="4672" spans="1:21" s="344" customFormat="1" outlineLevel="2">
      <c r="A4672" s="345"/>
      <c r="B4672" s="345"/>
      <c r="C4672" s="340">
        <v>2210300</v>
      </c>
      <c r="D4672" s="338" t="s">
        <v>267</v>
      </c>
      <c r="E4672" s="622">
        <f>E4673+E4674+E4675</f>
        <v>1102107</v>
      </c>
      <c r="F4672" s="622">
        <f t="shared" ref="F4672:K4672" si="3259">F4673+F4674+F4675</f>
        <v>0</v>
      </c>
      <c r="G4672" s="622">
        <f t="shared" si="3259"/>
        <v>0</v>
      </c>
      <c r="H4672" s="622">
        <f t="shared" si="3259"/>
        <v>0</v>
      </c>
      <c r="I4672" s="622">
        <f t="shared" si="3259"/>
        <v>1102107</v>
      </c>
      <c r="J4672" s="622">
        <f t="shared" si="3259"/>
        <v>0</v>
      </c>
      <c r="K4672" s="622">
        <f t="shared" si="3259"/>
        <v>0</v>
      </c>
      <c r="L4672" s="317">
        <f t="shared" si="3222"/>
        <v>1102107</v>
      </c>
      <c r="M4672" s="317"/>
      <c r="N4672" s="372">
        <f t="shared" si="3227"/>
        <v>0</v>
      </c>
      <c r="O4672" s="622">
        <f t="shared" ref="O4672:P4672" si="3260">O4673+O4674+O4675</f>
        <v>1212317.7000000002</v>
      </c>
      <c r="P4672" s="622">
        <f t="shared" si="3260"/>
        <v>1333549.4700000002</v>
      </c>
      <c r="R4672" s="317"/>
      <c r="U4672" s="320"/>
    </row>
    <row r="4673" spans="1:21" s="344" customFormat="1" outlineLevel="1">
      <c r="A4673" s="345"/>
      <c r="B4673" s="345"/>
      <c r="C4673" s="332">
        <v>2210301</v>
      </c>
      <c r="D4673" s="330" t="s">
        <v>25</v>
      </c>
      <c r="E4673" s="422">
        <v>190936</v>
      </c>
      <c r="F4673" s="389"/>
      <c r="G4673" s="1073"/>
      <c r="H4673" s="1073"/>
      <c r="I4673" s="324">
        <f t="shared" si="3240"/>
        <v>190936</v>
      </c>
      <c r="J4673" s="1073"/>
      <c r="K4673" s="1073"/>
      <c r="L4673" s="317">
        <f t="shared" si="3222"/>
        <v>190936</v>
      </c>
      <c r="M4673" s="317"/>
      <c r="N4673" s="372">
        <f t="shared" si="3227"/>
        <v>0</v>
      </c>
      <c r="O4673" s="336">
        <f t="shared" si="3249"/>
        <v>210029.6</v>
      </c>
      <c r="P4673" s="1215">
        <f>O4673*1.1</f>
        <v>231032.56000000003</v>
      </c>
      <c r="R4673" s="317"/>
      <c r="U4673" s="320"/>
    </row>
    <row r="4674" spans="1:21" s="344" customFormat="1" outlineLevel="1">
      <c r="A4674" s="345"/>
      <c r="B4674" s="345"/>
      <c r="C4674" s="332">
        <v>2210302</v>
      </c>
      <c r="D4674" s="330" t="s">
        <v>787</v>
      </c>
      <c r="E4674" s="422">
        <v>476180</v>
      </c>
      <c r="F4674" s="389"/>
      <c r="G4674" s="422"/>
      <c r="H4674" s="422"/>
      <c r="I4674" s="324">
        <f t="shared" si="3240"/>
        <v>476180</v>
      </c>
      <c r="J4674" s="422"/>
      <c r="K4674" s="422"/>
      <c r="L4674" s="317">
        <f t="shared" si="3222"/>
        <v>476180</v>
      </c>
      <c r="M4674" s="317"/>
      <c r="N4674" s="372">
        <f t="shared" si="3227"/>
        <v>0</v>
      </c>
      <c r="O4674" s="336">
        <f t="shared" si="3249"/>
        <v>523798.00000000006</v>
      </c>
      <c r="P4674" s="319">
        <f t="shared" si="3254"/>
        <v>576177.80000000016</v>
      </c>
      <c r="R4674" s="317"/>
      <c r="U4674" s="320"/>
    </row>
    <row r="4675" spans="1:21" s="344" customFormat="1" outlineLevel="1">
      <c r="A4675" s="345"/>
      <c r="B4675" s="345"/>
      <c r="C4675" s="332">
        <v>2210303</v>
      </c>
      <c r="D4675" s="330" t="s">
        <v>27</v>
      </c>
      <c r="E4675" s="422">
        <v>434991</v>
      </c>
      <c r="F4675" s="389"/>
      <c r="G4675" s="422"/>
      <c r="H4675" s="422"/>
      <c r="I4675" s="324">
        <f t="shared" si="3240"/>
        <v>434991</v>
      </c>
      <c r="J4675" s="422"/>
      <c r="K4675" s="422"/>
      <c r="L4675" s="317">
        <f t="shared" si="3222"/>
        <v>434991</v>
      </c>
      <c r="M4675" s="317"/>
      <c r="N4675" s="372">
        <f t="shared" si="3227"/>
        <v>0</v>
      </c>
      <c r="O4675" s="336">
        <f t="shared" si="3249"/>
        <v>478490.10000000003</v>
      </c>
      <c r="P4675" s="319">
        <f t="shared" si="3254"/>
        <v>526339.1100000001</v>
      </c>
      <c r="R4675" s="317"/>
      <c r="U4675" s="320"/>
    </row>
    <row r="4676" spans="1:21" s="344" customFormat="1" outlineLevel="1">
      <c r="A4676" s="345"/>
      <c r="B4676" s="345"/>
      <c r="C4676" s="340">
        <v>2210500</v>
      </c>
      <c r="D4676" s="338" t="s">
        <v>31</v>
      </c>
      <c r="E4676" s="622">
        <f>E4677</f>
        <v>31088</v>
      </c>
      <c r="F4676" s="622">
        <f t="shared" ref="F4676:P4676" si="3261">F4677</f>
        <v>0</v>
      </c>
      <c r="G4676" s="622">
        <f t="shared" si="3261"/>
        <v>0</v>
      </c>
      <c r="H4676" s="622">
        <f t="shared" si="3261"/>
        <v>0</v>
      </c>
      <c r="I4676" s="622">
        <f t="shared" si="3261"/>
        <v>31088</v>
      </c>
      <c r="J4676" s="622">
        <f t="shared" si="3261"/>
        <v>0</v>
      </c>
      <c r="K4676" s="622">
        <f t="shared" si="3261"/>
        <v>0</v>
      </c>
      <c r="L4676" s="317">
        <f t="shared" si="3222"/>
        <v>31088</v>
      </c>
      <c r="M4676" s="317"/>
      <c r="N4676" s="372">
        <f t="shared" si="3227"/>
        <v>0</v>
      </c>
      <c r="O4676" s="622">
        <f t="shared" si="3261"/>
        <v>34196.800000000003</v>
      </c>
      <c r="P4676" s="622">
        <f t="shared" si="3261"/>
        <v>37616.480000000003</v>
      </c>
      <c r="R4676" s="317"/>
      <c r="U4676" s="320"/>
    </row>
    <row r="4677" spans="1:21" s="344" customFormat="1" outlineLevel="1">
      <c r="A4677" s="345"/>
      <c r="B4677" s="345"/>
      <c r="C4677" s="332">
        <v>2210504</v>
      </c>
      <c r="D4677" s="330" t="s">
        <v>33</v>
      </c>
      <c r="E4677" s="422">
        <v>31088</v>
      </c>
      <c r="F4677" s="389"/>
      <c r="G4677" s="1073"/>
      <c r="H4677" s="1073"/>
      <c r="I4677" s="324">
        <f t="shared" si="3240"/>
        <v>31088</v>
      </c>
      <c r="J4677" s="1073"/>
      <c r="K4677" s="549"/>
      <c r="L4677" s="317">
        <f t="shared" ref="L4677:L4740" si="3262">I4677+J4677+K4677</f>
        <v>31088</v>
      </c>
      <c r="M4677" s="317"/>
      <c r="N4677" s="372">
        <f t="shared" si="3227"/>
        <v>0</v>
      </c>
      <c r="O4677" s="336">
        <f t="shared" si="3249"/>
        <v>34196.800000000003</v>
      </c>
      <c r="P4677" s="319">
        <f>O4677*1.1</f>
        <v>37616.480000000003</v>
      </c>
      <c r="Q4677" s="914" t="s">
        <v>2524</v>
      </c>
      <c r="R4677" s="317"/>
      <c r="U4677" s="320"/>
    </row>
    <row r="4678" spans="1:21" s="344" customFormat="1" outlineLevel="1">
      <c r="A4678" s="487"/>
      <c r="B4678" s="487"/>
      <c r="C4678" s="340">
        <v>2210700</v>
      </c>
      <c r="D4678" s="338" t="s">
        <v>114</v>
      </c>
      <c r="E4678" s="622">
        <f>E4679+E4680+E4681</f>
        <v>1089060</v>
      </c>
      <c r="F4678" s="622">
        <f t="shared" ref="F4678:P4678" si="3263">F4679+F4680+F4681</f>
        <v>0</v>
      </c>
      <c r="G4678" s="622">
        <f t="shared" si="3263"/>
        <v>0</v>
      </c>
      <c r="H4678" s="622">
        <f t="shared" si="3263"/>
        <v>0</v>
      </c>
      <c r="I4678" s="622">
        <f t="shared" si="3263"/>
        <v>1089060</v>
      </c>
      <c r="J4678" s="622">
        <f t="shared" si="3263"/>
        <v>0</v>
      </c>
      <c r="K4678" s="622">
        <f t="shared" si="3263"/>
        <v>0</v>
      </c>
      <c r="L4678" s="317">
        <f t="shared" si="3262"/>
        <v>1089060</v>
      </c>
      <c r="M4678" s="317"/>
      <c r="N4678" s="372">
        <f t="shared" si="3227"/>
        <v>0</v>
      </c>
      <c r="O4678" s="622">
        <f t="shared" si="3263"/>
        <v>1197966</v>
      </c>
      <c r="P4678" s="622">
        <f t="shared" si="3263"/>
        <v>1317762.6000000001</v>
      </c>
      <c r="R4678" s="317"/>
      <c r="U4678" s="320"/>
    </row>
    <row r="4679" spans="1:21" s="344" customFormat="1" outlineLevel="1">
      <c r="A4679" s="487"/>
      <c r="B4679" s="487"/>
      <c r="C4679" s="332">
        <v>2210701</v>
      </c>
      <c r="D4679" s="330" t="s">
        <v>287</v>
      </c>
      <c r="E4679" s="422">
        <v>498560</v>
      </c>
      <c r="F4679" s="389"/>
      <c r="G4679" s="422"/>
      <c r="H4679" s="422"/>
      <c r="I4679" s="324">
        <f t="shared" si="3240"/>
        <v>498560</v>
      </c>
      <c r="J4679" s="422"/>
      <c r="K4679" s="422"/>
      <c r="L4679" s="317">
        <f t="shared" si="3262"/>
        <v>498560</v>
      </c>
      <c r="M4679" s="317"/>
      <c r="N4679" s="372">
        <f t="shared" si="3227"/>
        <v>0</v>
      </c>
      <c r="O4679" s="336">
        <f t="shared" si="3249"/>
        <v>548416</v>
      </c>
      <c r="P4679" s="1222">
        <f>O4679*1.1</f>
        <v>603257.60000000009</v>
      </c>
      <c r="R4679" s="317"/>
      <c r="U4679" s="320"/>
    </row>
    <row r="4680" spans="1:21" s="344" customFormat="1" outlineLevel="3">
      <c r="A4680" s="345"/>
      <c r="B4680" s="345"/>
      <c r="C4680" s="332">
        <v>2210704</v>
      </c>
      <c r="D4680" s="330" t="s">
        <v>790</v>
      </c>
      <c r="E4680" s="422">
        <v>36020</v>
      </c>
      <c r="F4680" s="389"/>
      <c r="G4680" s="422"/>
      <c r="H4680" s="422"/>
      <c r="I4680" s="324">
        <f t="shared" si="3240"/>
        <v>36020</v>
      </c>
      <c r="J4680" s="422"/>
      <c r="K4680" s="422"/>
      <c r="L4680" s="317">
        <f t="shared" si="3262"/>
        <v>36020</v>
      </c>
      <c r="M4680" s="317"/>
      <c r="N4680" s="372">
        <f t="shared" si="3227"/>
        <v>0</v>
      </c>
      <c r="O4680" s="336">
        <f t="shared" si="3249"/>
        <v>39622</v>
      </c>
      <c r="P4680" s="319">
        <f t="shared" ref="P4680:P4697" si="3264">O4680*1.1</f>
        <v>43584.200000000004</v>
      </c>
      <c r="R4680" s="317"/>
      <c r="U4680" s="320"/>
    </row>
    <row r="4681" spans="1:21" s="344" customFormat="1" outlineLevel="3">
      <c r="A4681" s="345"/>
      <c r="B4681" s="345"/>
      <c r="C4681" s="332">
        <v>2210710</v>
      </c>
      <c r="D4681" s="330" t="s">
        <v>288</v>
      </c>
      <c r="E4681" s="422">
        <v>554480</v>
      </c>
      <c r="F4681" s="389"/>
      <c r="G4681" s="1073"/>
      <c r="H4681" s="1073"/>
      <c r="I4681" s="324">
        <f t="shared" si="3240"/>
        <v>554480</v>
      </c>
      <c r="J4681" s="1073"/>
      <c r="K4681" s="1073"/>
      <c r="L4681" s="317">
        <f t="shared" si="3262"/>
        <v>554480</v>
      </c>
      <c r="M4681" s="317"/>
      <c r="N4681" s="372">
        <f t="shared" ref="N4681:N4744" si="3265">M4681-K4681</f>
        <v>0</v>
      </c>
      <c r="O4681" s="336">
        <f t="shared" si="3249"/>
        <v>609928</v>
      </c>
      <c r="P4681" s="319">
        <f t="shared" si="3264"/>
        <v>670920.80000000005</v>
      </c>
      <c r="R4681" s="317"/>
      <c r="U4681" s="320"/>
    </row>
    <row r="4682" spans="1:21" s="344" customFormat="1" outlineLevel="3">
      <c r="A4682" s="345"/>
      <c r="B4682" s="345"/>
      <c r="C4682" s="340">
        <v>2210800</v>
      </c>
      <c r="D4682" s="338" t="s">
        <v>42</v>
      </c>
      <c r="E4682" s="622">
        <f>E4683</f>
        <v>62384</v>
      </c>
      <c r="F4682" s="622">
        <f t="shared" ref="F4682:P4682" si="3266">F4683</f>
        <v>0</v>
      </c>
      <c r="G4682" s="622">
        <f t="shared" si="3266"/>
        <v>0</v>
      </c>
      <c r="H4682" s="622">
        <f t="shared" si="3266"/>
        <v>0</v>
      </c>
      <c r="I4682" s="622">
        <f t="shared" si="3266"/>
        <v>62384</v>
      </c>
      <c r="J4682" s="622">
        <f t="shared" si="3266"/>
        <v>0</v>
      </c>
      <c r="K4682" s="622">
        <f t="shared" si="3266"/>
        <v>0</v>
      </c>
      <c r="L4682" s="317">
        <f t="shared" si="3262"/>
        <v>62384</v>
      </c>
      <c r="M4682" s="317"/>
      <c r="N4682" s="372">
        <f t="shared" si="3265"/>
        <v>0</v>
      </c>
      <c r="O4682" s="622">
        <f t="shared" si="3266"/>
        <v>68622.400000000009</v>
      </c>
      <c r="P4682" s="622">
        <f t="shared" si="3266"/>
        <v>75484.640000000014</v>
      </c>
      <c r="R4682" s="317"/>
      <c r="U4682" s="320"/>
    </row>
    <row r="4683" spans="1:21" s="344" customFormat="1" outlineLevel="3">
      <c r="A4683" s="345"/>
      <c r="B4683" s="345"/>
      <c r="C4683" s="332">
        <v>2210801</v>
      </c>
      <c r="D4683" s="330" t="s">
        <v>2421</v>
      </c>
      <c r="E4683" s="422">
        <v>62384</v>
      </c>
      <c r="F4683" s="389"/>
      <c r="G4683" s="422"/>
      <c r="H4683" s="422"/>
      <c r="I4683" s="324">
        <f t="shared" si="3240"/>
        <v>62384</v>
      </c>
      <c r="J4683" s="422"/>
      <c r="K4683" s="422"/>
      <c r="L4683" s="317">
        <f t="shared" si="3262"/>
        <v>62384</v>
      </c>
      <c r="M4683" s="317"/>
      <c r="N4683" s="372">
        <f t="shared" si="3265"/>
        <v>0</v>
      </c>
      <c r="O4683" s="336">
        <f t="shared" si="3249"/>
        <v>68622.400000000009</v>
      </c>
      <c r="P4683" s="319">
        <f t="shared" si="3264"/>
        <v>75484.640000000014</v>
      </c>
      <c r="R4683" s="317"/>
      <c r="U4683" s="320"/>
    </row>
    <row r="4684" spans="1:21" s="344" customFormat="1" outlineLevel="3">
      <c r="A4684" s="345"/>
      <c r="B4684" s="345"/>
      <c r="C4684" s="340">
        <v>2211000</v>
      </c>
      <c r="D4684" s="338" t="s">
        <v>118</v>
      </c>
      <c r="E4684" s="622">
        <f>E4685</f>
        <v>504160</v>
      </c>
      <c r="F4684" s="622">
        <f t="shared" ref="F4684:P4684" si="3267">F4685</f>
        <v>0</v>
      </c>
      <c r="G4684" s="622">
        <f t="shared" si="3267"/>
        <v>0</v>
      </c>
      <c r="H4684" s="622">
        <f t="shared" si="3267"/>
        <v>0</v>
      </c>
      <c r="I4684" s="622">
        <f t="shared" si="3267"/>
        <v>504160</v>
      </c>
      <c r="J4684" s="622">
        <f t="shared" si="3267"/>
        <v>0</v>
      </c>
      <c r="K4684" s="622">
        <f t="shared" si="3267"/>
        <v>0</v>
      </c>
      <c r="L4684" s="317">
        <f t="shared" si="3262"/>
        <v>504160</v>
      </c>
      <c r="M4684" s="317"/>
      <c r="N4684" s="372">
        <f t="shared" si="3265"/>
        <v>0</v>
      </c>
      <c r="O4684" s="622">
        <f t="shared" si="3267"/>
        <v>554576</v>
      </c>
      <c r="P4684" s="622">
        <f t="shared" si="3267"/>
        <v>610033.60000000009</v>
      </c>
      <c r="R4684" s="317"/>
      <c r="U4684" s="320"/>
    </row>
    <row r="4685" spans="1:21" s="344" customFormat="1" outlineLevel="3">
      <c r="A4685" s="345"/>
      <c r="B4685" s="345"/>
      <c r="C4685" s="332">
        <v>2211023</v>
      </c>
      <c r="D4685" s="330" t="s">
        <v>805</v>
      </c>
      <c r="E4685" s="422">
        <v>504160</v>
      </c>
      <c r="F4685" s="389"/>
      <c r="G4685" s="1073"/>
      <c r="H4685" s="1073"/>
      <c r="I4685" s="324">
        <f t="shared" si="3240"/>
        <v>504160</v>
      </c>
      <c r="J4685" s="1073"/>
      <c r="K4685" s="549"/>
      <c r="L4685" s="317">
        <f t="shared" si="3262"/>
        <v>504160</v>
      </c>
      <c r="M4685" s="317"/>
      <c r="N4685" s="372">
        <f t="shared" si="3265"/>
        <v>0</v>
      </c>
      <c r="O4685" s="336">
        <f t="shared" si="3249"/>
        <v>554576</v>
      </c>
      <c r="P4685" s="319">
        <f t="shared" si="3264"/>
        <v>610033.60000000009</v>
      </c>
      <c r="Q4685" s="914" t="s">
        <v>2522</v>
      </c>
      <c r="R4685" s="317"/>
      <c r="U4685" s="320"/>
    </row>
    <row r="4686" spans="1:21" s="344" customFormat="1" outlineLevel="3">
      <c r="A4686" s="345"/>
      <c r="B4686" s="345"/>
      <c r="C4686" s="340">
        <v>2211100</v>
      </c>
      <c r="D4686" s="338" t="s">
        <v>51</v>
      </c>
      <c r="E4686" s="622">
        <f>E4687+E4688+E4689</f>
        <v>172774</v>
      </c>
      <c r="F4686" s="622">
        <f t="shared" ref="F4686:P4686" si="3268">F4687+F4688+F4689</f>
        <v>0</v>
      </c>
      <c r="G4686" s="622">
        <f t="shared" si="3268"/>
        <v>0</v>
      </c>
      <c r="H4686" s="622">
        <f t="shared" si="3268"/>
        <v>0</v>
      </c>
      <c r="I4686" s="622">
        <f t="shared" si="3268"/>
        <v>172774</v>
      </c>
      <c r="J4686" s="622">
        <f t="shared" si="3268"/>
        <v>0</v>
      </c>
      <c r="K4686" s="622">
        <f t="shared" si="3268"/>
        <v>0</v>
      </c>
      <c r="L4686" s="317">
        <f t="shared" si="3262"/>
        <v>172774</v>
      </c>
      <c r="M4686" s="317"/>
      <c r="N4686" s="372">
        <f t="shared" si="3265"/>
        <v>0</v>
      </c>
      <c r="O4686" s="622">
        <f t="shared" si="3268"/>
        <v>190051.40000000002</v>
      </c>
      <c r="P4686" s="622">
        <f t="shared" si="3268"/>
        <v>209056.54000000004</v>
      </c>
      <c r="R4686" s="317"/>
      <c r="U4686" s="320"/>
    </row>
    <row r="4687" spans="1:21" s="344" customFormat="1" outlineLevel="3">
      <c r="A4687" s="345"/>
      <c r="B4687" s="345"/>
      <c r="C4687" s="332">
        <v>2211101</v>
      </c>
      <c r="D4687" s="330" t="s">
        <v>792</v>
      </c>
      <c r="E4687" s="422">
        <v>77369</v>
      </c>
      <c r="F4687" s="389"/>
      <c r="G4687" s="422"/>
      <c r="H4687" s="422"/>
      <c r="I4687" s="324">
        <f t="shared" si="3240"/>
        <v>77369</v>
      </c>
      <c r="J4687" s="422"/>
      <c r="K4687" s="422"/>
      <c r="L4687" s="317">
        <f t="shared" si="3262"/>
        <v>77369</v>
      </c>
      <c r="M4687" s="317"/>
      <c r="N4687" s="372">
        <f t="shared" si="3265"/>
        <v>0</v>
      </c>
      <c r="O4687" s="336">
        <f t="shared" si="3249"/>
        <v>85105.900000000009</v>
      </c>
      <c r="P4687" s="319">
        <f t="shared" si="3264"/>
        <v>93616.49000000002</v>
      </c>
      <c r="R4687" s="317"/>
      <c r="U4687" s="320"/>
    </row>
    <row r="4688" spans="1:21" s="344" customFormat="1" outlineLevel="3">
      <c r="A4688" s="345"/>
      <c r="B4688" s="345"/>
      <c r="C4688" s="332">
        <v>2211102</v>
      </c>
      <c r="D4688" s="330" t="s">
        <v>793</v>
      </c>
      <c r="E4688" s="422">
        <v>73080</v>
      </c>
      <c r="F4688" s="389"/>
      <c r="G4688" s="422"/>
      <c r="H4688" s="422"/>
      <c r="I4688" s="324">
        <f t="shared" si="3240"/>
        <v>73080</v>
      </c>
      <c r="J4688" s="422"/>
      <c r="K4688" s="549"/>
      <c r="L4688" s="317">
        <f t="shared" si="3262"/>
        <v>73080</v>
      </c>
      <c r="M4688" s="317"/>
      <c r="N4688" s="372">
        <f t="shared" si="3265"/>
        <v>0</v>
      </c>
      <c r="O4688" s="336">
        <f t="shared" si="3249"/>
        <v>80388</v>
      </c>
      <c r="P4688" s="319">
        <f t="shared" si="3264"/>
        <v>88426.8</v>
      </c>
      <c r="Q4688" s="1190" t="s">
        <v>2523</v>
      </c>
      <c r="R4688" s="317"/>
      <c r="U4688" s="320"/>
    </row>
    <row r="4689" spans="1:21" s="344" customFormat="1" outlineLevel="3">
      <c r="A4689" s="345"/>
      <c r="B4689" s="345"/>
      <c r="C4689" s="332">
        <v>2211103</v>
      </c>
      <c r="D4689" s="330" t="s">
        <v>54</v>
      </c>
      <c r="E4689" s="422">
        <v>22325</v>
      </c>
      <c r="F4689" s="389"/>
      <c r="G4689" s="1073"/>
      <c r="H4689" s="1073"/>
      <c r="I4689" s="324">
        <f t="shared" si="3240"/>
        <v>22325</v>
      </c>
      <c r="J4689" s="1073"/>
      <c r="K4689" s="1073"/>
      <c r="L4689" s="317">
        <f t="shared" si="3262"/>
        <v>22325</v>
      </c>
      <c r="M4689" s="317"/>
      <c r="N4689" s="372">
        <f t="shared" si="3265"/>
        <v>0</v>
      </c>
      <c r="O4689" s="336">
        <f t="shared" si="3249"/>
        <v>24557.500000000004</v>
      </c>
      <c r="P4689" s="319">
        <f t="shared" si="3264"/>
        <v>27013.250000000007</v>
      </c>
      <c r="R4689" s="317"/>
      <c r="U4689" s="320"/>
    </row>
    <row r="4690" spans="1:21" s="344" customFormat="1" outlineLevel="3">
      <c r="A4690" s="345"/>
      <c r="B4690" s="345"/>
      <c r="C4690" s="340">
        <v>2211200</v>
      </c>
      <c r="D4690" s="338" t="s">
        <v>55</v>
      </c>
      <c r="E4690" s="622">
        <f>E4691</f>
        <v>894740</v>
      </c>
      <c r="F4690" s="622">
        <f t="shared" ref="F4690:K4690" si="3269">F4691</f>
        <v>0</v>
      </c>
      <c r="G4690" s="622">
        <f t="shared" si="3269"/>
        <v>0</v>
      </c>
      <c r="H4690" s="622">
        <f t="shared" si="3269"/>
        <v>0</v>
      </c>
      <c r="I4690" s="622">
        <f t="shared" si="3269"/>
        <v>894740</v>
      </c>
      <c r="J4690" s="622">
        <f t="shared" si="3269"/>
        <v>0</v>
      </c>
      <c r="K4690" s="622">
        <f t="shared" si="3269"/>
        <v>0</v>
      </c>
      <c r="L4690" s="317">
        <f t="shared" si="3262"/>
        <v>894740</v>
      </c>
      <c r="M4690" s="317"/>
      <c r="N4690" s="372">
        <f t="shared" si="3265"/>
        <v>0</v>
      </c>
      <c r="O4690" s="622">
        <f t="shared" ref="O4690:P4690" si="3270">O4691</f>
        <v>984214.00000000012</v>
      </c>
      <c r="P4690" s="622">
        <f t="shared" si="3270"/>
        <v>1082635.4000000001</v>
      </c>
      <c r="R4690" s="317"/>
      <c r="U4690" s="320"/>
    </row>
    <row r="4691" spans="1:21" s="344" customFormat="1" outlineLevel="3">
      <c r="A4691" s="345"/>
      <c r="B4691" s="345"/>
      <c r="C4691" s="332">
        <v>2211201</v>
      </c>
      <c r="D4691" s="330" t="s">
        <v>56</v>
      </c>
      <c r="E4691" s="422">
        <v>894740</v>
      </c>
      <c r="F4691" s="389"/>
      <c r="G4691" s="422"/>
      <c r="H4691" s="422"/>
      <c r="I4691" s="324">
        <f t="shared" si="3240"/>
        <v>894740</v>
      </c>
      <c r="J4691" s="422"/>
      <c r="K4691" s="422"/>
      <c r="L4691" s="317">
        <f t="shared" si="3262"/>
        <v>894740</v>
      </c>
      <c r="M4691" s="317"/>
      <c r="N4691" s="372">
        <f t="shared" si="3265"/>
        <v>0</v>
      </c>
      <c r="O4691" s="336">
        <f t="shared" si="3249"/>
        <v>984214.00000000012</v>
      </c>
      <c r="P4691" s="319">
        <f t="shared" si="3264"/>
        <v>1082635.4000000001</v>
      </c>
      <c r="R4691" s="317"/>
      <c r="U4691" s="320"/>
    </row>
    <row r="4692" spans="1:21" s="344" customFormat="1" outlineLevel="3">
      <c r="A4692" s="345"/>
      <c r="B4692" s="345"/>
      <c r="C4692" s="340">
        <v>2211300</v>
      </c>
      <c r="D4692" s="338" t="s">
        <v>57</v>
      </c>
      <c r="E4692" s="622">
        <f>E4693</f>
        <v>107841</v>
      </c>
      <c r="F4692" s="622">
        <f t="shared" ref="F4692:P4692" si="3271">F4693</f>
        <v>0</v>
      </c>
      <c r="G4692" s="622">
        <f t="shared" si="3271"/>
        <v>0</v>
      </c>
      <c r="H4692" s="622">
        <f t="shared" si="3271"/>
        <v>0</v>
      </c>
      <c r="I4692" s="622">
        <f t="shared" si="3271"/>
        <v>107841</v>
      </c>
      <c r="J4692" s="622">
        <f t="shared" si="3271"/>
        <v>0</v>
      </c>
      <c r="K4692" s="622">
        <f t="shared" si="3271"/>
        <v>0</v>
      </c>
      <c r="L4692" s="317">
        <f t="shared" si="3262"/>
        <v>107841</v>
      </c>
      <c r="M4692" s="317"/>
      <c r="N4692" s="372">
        <f t="shared" si="3265"/>
        <v>0</v>
      </c>
      <c r="O4692" s="622">
        <f t="shared" si="3271"/>
        <v>118625.1</v>
      </c>
      <c r="P4692" s="622">
        <f t="shared" si="3271"/>
        <v>130487.61000000002</v>
      </c>
      <c r="R4692" s="317"/>
      <c r="U4692" s="320"/>
    </row>
    <row r="4693" spans="1:21" s="344" customFormat="1" outlineLevel="3">
      <c r="A4693" s="345"/>
      <c r="B4693" s="345"/>
      <c r="C4693" s="332">
        <v>2211305</v>
      </c>
      <c r="D4693" s="330" t="s">
        <v>365</v>
      </c>
      <c r="E4693" s="422">
        <v>107841</v>
      </c>
      <c r="F4693" s="389"/>
      <c r="G4693" s="1073"/>
      <c r="H4693" s="1073"/>
      <c r="I4693" s="324">
        <f t="shared" si="3240"/>
        <v>107841</v>
      </c>
      <c r="J4693" s="1073"/>
      <c r="K4693" s="549"/>
      <c r="L4693" s="317">
        <f t="shared" si="3262"/>
        <v>107841</v>
      </c>
      <c r="M4693" s="317"/>
      <c r="N4693" s="372">
        <f t="shared" si="3265"/>
        <v>0</v>
      </c>
      <c r="O4693" s="336">
        <f t="shared" si="3249"/>
        <v>118625.1</v>
      </c>
      <c r="P4693" s="319">
        <f t="shared" si="3264"/>
        <v>130487.61000000002</v>
      </c>
      <c r="Q4693" s="914" t="s">
        <v>2522</v>
      </c>
      <c r="R4693" s="317"/>
      <c r="U4693" s="320"/>
    </row>
    <row r="4694" spans="1:21" s="344" customFormat="1" outlineLevel="3">
      <c r="A4694" s="345"/>
      <c r="B4694" s="345"/>
      <c r="C4694" s="340">
        <v>2220100</v>
      </c>
      <c r="D4694" s="338" t="s">
        <v>200</v>
      </c>
      <c r="E4694" s="622">
        <f>E4695</f>
        <v>502671</v>
      </c>
      <c r="F4694" s="622">
        <f t="shared" ref="F4694:P4694" si="3272">F4695</f>
        <v>0</v>
      </c>
      <c r="G4694" s="622">
        <f t="shared" si="3272"/>
        <v>0</v>
      </c>
      <c r="H4694" s="622">
        <f t="shared" si="3272"/>
        <v>0</v>
      </c>
      <c r="I4694" s="622">
        <f t="shared" si="3272"/>
        <v>502671</v>
      </c>
      <c r="J4694" s="622">
        <f t="shared" si="3272"/>
        <v>0</v>
      </c>
      <c r="K4694" s="622">
        <f t="shared" si="3272"/>
        <v>0</v>
      </c>
      <c r="L4694" s="317">
        <f t="shared" si="3262"/>
        <v>502671</v>
      </c>
      <c r="M4694" s="317"/>
      <c r="N4694" s="372">
        <f t="shared" si="3265"/>
        <v>0</v>
      </c>
      <c r="O4694" s="622">
        <f t="shared" si="3272"/>
        <v>552938.10000000009</v>
      </c>
      <c r="P4694" s="622">
        <f t="shared" si="3272"/>
        <v>608231.91000000015</v>
      </c>
      <c r="R4694" s="317"/>
      <c r="U4694" s="320"/>
    </row>
    <row r="4695" spans="1:21" s="344" customFormat="1" outlineLevel="3">
      <c r="A4695" s="345"/>
      <c r="B4695" s="345"/>
      <c r="C4695" s="332">
        <v>2220101</v>
      </c>
      <c r="D4695" s="330" t="s">
        <v>200</v>
      </c>
      <c r="E4695" s="422">
        <v>502671</v>
      </c>
      <c r="F4695" s="389"/>
      <c r="G4695" s="422"/>
      <c r="H4695" s="422"/>
      <c r="I4695" s="324">
        <f t="shared" si="3240"/>
        <v>502671</v>
      </c>
      <c r="J4695" s="422"/>
      <c r="K4695" s="422"/>
      <c r="L4695" s="317">
        <f t="shared" si="3262"/>
        <v>502671</v>
      </c>
      <c r="M4695" s="317"/>
      <c r="N4695" s="372">
        <f t="shared" si="3265"/>
        <v>0</v>
      </c>
      <c r="O4695" s="336">
        <f t="shared" si="3249"/>
        <v>552938.10000000009</v>
      </c>
      <c r="P4695" s="319">
        <f t="shared" si="3264"/>
        <v>608231.91000000015</v>
      </c>
      <c r="R4695" s="317"/>
      <c r="U4695" s="320"/>
    </row>
    <row r="4696" spans="1:21" s="344" customFormat="1" outlineLevel="3">
      <c r="A4696" s="345"/>
      <c r="B4696" s="345"/>
      <c r="C4696" s="340">
        <v>2220200</v>
      </c>
      <c r="D4696" s="338" t="s">
        <v>124</v>
      </c>
      <c r="E4696" s="622">
        <f>E4697+E4698+E4699</f>
        <v>184340</v>
      </c>
      <c r="F4696" s="622">
        <f t="shared" ref="F4696:P4696" si="3273">F4697+F4698+F4699</f>
        <v>0</v>
      </c>
      <c r="G4696" s="622">
        <f t="shared" si="3273"/>
        <v>0</v>
      </c>
      <c r="H4696" s="622">
        <f t="shared" si="3273"/>
        <v>0</v>
      </c>
      <c r="I4696" s="622">
        <f t="shared" si="3273"/>
        <v>184340</v>
      </c>
      <c r="J4696" s="622">
        <f t="shared" si="3273"/>
        <v>0</v>
      </c>
      <c r="K4696" s="622">
        <f t="shared" si="3273"/>
        <v>0</v>
      </c>
      <c r="L4696" s="317">
        <f t="shared" si="3262"/>
        <v>184340</v>
      </c>
      <c r="M4696" s="317"/>
      <c r="N4696" s="372">
        <f t="shared" si="3265"/>
        <v>0</v>
      </c>
      <c r="O4696" s="622">
        <f t="shared" si="3273"/>
        <v>202774.00000000003</v>
      </c>
      <c r="P4696" s="622">
        <f t="shared" si="3273"/>
        <v>223051.40000000002</v>
      </c>
      <c r="R4696" s="317"/>
      <c r="U4696" s="320"/>
    </row>
    <row r="4697" spans="1:21" s="344" customFormat="1" outlineLevel="3">
      <c r="A4697" s="345"/>
      <c r="B4697" s="345"/>
      <c r="C4697" s="332">
        <v>2220202</v>
      </c>
      <c r="D4697" s="330" t="s">
        <v>794</v>
      </c>
      <c r="E4697" s="422">
        <v>98560</v>
      </c>
      <c r="F4697" s="389"/>
      <c r="G4697" s="1073"/>
      <c r="H4697" s="1073"/>
      <c r="I4697" s="324">
        <f t="shared" si="3240"/>
        <v>98560</v>
      </c>
      <c r="J4697" s="1073"/>
      <c r="K4697" s="549"/>
      <c r="L4697" s="317">
        <f t="shared" si="3262"/>
        <v>98560</v>
      </c>
      <c r="M4697" s="317"/>
      <c r="N4697" s="372">
        <f t="shared" si="3265"/>
        <v>0</v>
      </c>
      <c r="O4697" s="336">
        <f t="shared" si="3249"/>
        <v>108416.00000000001</v>
      </c>
      <c r="P4697" s="319">
        <f t="shared" si="3264"/>
        <v>119257.60000000002</v>
      </c>
      <c r="Q4697" s="1190" t="s">
        <v>2523</v>
      </c>
      <c r="R4697" s="317"/>
      <c r="U4697" s="320"/>
    </row>
    <row r="4698" spans="1:21" s="344" customFormat="1" outlineLevel="3">
      <c r="A4698" s="345"/>
      <c r="B4698" s="345"/>
      <c r="C4698" s="332">
        <v>2220205</v>
      </c>
      <c r="D4698" s="330" t="s">
        <v>806</v>
      </c>
      <c r="E4698" s="422">
        <v>56780</v>
      </c>
      <c r="F4698" s="389"/>
      <c r="G4698" s="422"/>
      <c r="H4698" s="422"/>
      <c r="I4698" s="324">
        <f t="shared" si="3240"/>
        <v>56780</v>
      </c>
      <c r="J4698" s="422"/>
      <c r="K4698" s="549"/>
      <c r="L4698" s="317">
        <f t="shared" si="3262"/>
        <v>56780</v>
      </c>
      <c r="M4698" s="317"/>
      <c r="N4698" s="372">
        <f t="shared" si="3265"/>
        <v>0</v>
      </c>
      <c r="O4698" s="336">
        <f t="shared" si="3249"/>
        <v>62458.000000000007</v>
      </c>
      <c r="P4698" s="319">
        <f t="shared" ref="P4698:P4716" si="3274">O4698*1.1</f>
        <v>68703.800000000017</v>
      </c>
      <c r="Q4698" s="914" t="s">
        <v>2522</v>
      </c>
      <c r="R4698" s="317"/>
      <c r="U4698" s="320"/>
    </row>
    <row r="4699" spans="1:21" s="344" customFormat="1" outlineLevel="3">
      <c r="A4699" s="345"/>
      <c r="B4699" s="345"/>
      <c r="C4699" s="332">
        <v>2220210</v>
      </c>
      <c r="D4699" s="330" t="s">
        <v>795</v>
      </c>
      <c r="E4699" s="422">
        <v>29000</v>
      </c>
      <c r="F4699" s="389"/>
      <c r="G4699" s="422"/>
      <c r="H4699" s="422"/>
      <c r="I4699" s="324">
        <f t="shared" ref="I4699:I4754" si="3275">E4699+F4699+G4699+H4699</f>
        <v>29000</v>
      </c>
      <c r="J4699" s="422"/>
      <c r="K4699" s="549"/>
      <c r="L4699" s="317">
        <f t="shared" si="3262"/>
        <v>29000</v>
      </c>
      <c r="M4699" s="317"/>
      <c r="N4699" s="372">
        <f t="shared" si="3265"/>
        <v>0</v>
      </c>
      <c r="O4699" s="336">
        <f t="shared" si="3249"/>
        <v>31900.000000000004</v>
      </c>
      <c r="P4699" s="319">
        <f t="shared" si="3274"/>
        <v>35090.000000000007</v>
      </c>
      <c r="Q4699" s="914" t="s">
        <v>2522</v>
      </c>
      <c r="R4699" s="317"/>
      <c r="U4699" s="320"/>
    </row>
    <row r="4700" spans="1:21" s="344" customFormat="1" outlineLevel="3">
      <c r="A4700" s="345"/>
      <c r="B4700" s="345"/>
      <c r="C4700" s="340">
        <v>3111400</v>
      </c>
      <c r="D4700" s="338" t="s">
        <v>294</v>
      </c>
      <c r="E4700" s="622">
        <f>E4701</f>
        <v>2525678</v>
      </c>
      <c r="F4700" s="622">
        <f t="shared" ref="F4700:P4700" si="3276">F4701</f>
        <v>0</v>
      </c>
      <c r="G4700" s="622">
        <f t="shared" si="3276"/>
        <v>-2000000</v>
      </c>
      <c r="H4700" s="622">
        <f t="shared" si="3276"/>
        <v>0</v>
      </c>
      <c r="I4700" s="622">
        <f t="shared" si="3276"/>
        <v>525678</v>
      </c>
      <c r="J4700" s="622">
        <f t="shared" si="3276"/>
        <v>0</v>
      </c>
      <c r="K4700" s="622">
        <f t="shared" si="3276"/>
        <v>0</v>
      </c>
      <c r="L4700" s="317">
        <f t="shared" si="3262"/>
        <v>525678</v>
      </c>
      <c r="M4700" s="317"/>
      <c r="N4700" s="372">
        <f t="shared" si="3265"/>
        <v>0</v>
      </c>
      <c r="O4700" s="622">
        <f t="shared" si="3276"/>
        <v>578245.80000000005</v>
      </c>
      <c r="P4700" s="622">
        <f t="shared" si="3276"/>
        <v>636070.38000000012</v>
      </c>
      <c r="R4700" s="317"/>
      <c r="U4700" s="320"/>
    </row>
    <row r="4701" spans="1:21" s="344" customFormat="1" outlineLevel="3">
      <c r="A4701" s="345"/>
      <c r="B4701" s="345"/>
      <c r="C4701" s="332">
        <v>3111499</v>
      </c>
      <c r="D4701" s="1192" t="s">
        <v>1775</v>
      </c>
      <c r="E4701" s="422">
        <f>525678+2000000</f>
        <v>2525678</v>
      </c>
      <c r="F4701" s="364"/>
      <c r="G4701" s="1073">
        <v>-2000000</v>
      </c>
      <c r="H4701" s="1073"/>
      <c r="I4701" s="324">
        <f t="shared" si="3275"/>
        <v>525678</v>
      </c>
      <c r="J4701" s="1073"/>
      <c r="K4701" s="1073"/>
      <c r="L4701" s="317">
        <f t="shared" si="3262"/>
        <v>525678</v>
      </c>
      <c r="M4701" s="317"/>
      <c r="N4701" s="372">
        <f t="shared" si="3265"/>
        <v>0</v>
      </c>
      <c r="O4701" s="336">
        <f t="shared" si="3249"/>
        <v>578245.80000000005</v>
      </c>
      <c r="P4701" s="319">
        <f t="shared" si="3274"/>
        <v>636070.38000000012</v>
      </c>
      <c r="R4701" s="317"/>
      <c r="U4701" s="320"/>
    </row>
    <row r="4702" spans="1:21" s="344" customFormat="1" outlineLevel="3">
      <c r="A4702" s="345"/>
      <c r="B4702" s="345"/>
      <c r="C4702" s="332"/>
      <c r="D4702" s="1212" t="s">
        <v>796</v>
      </c>
      <c r="E4702" s="622">
        <f>E4694+E4690+E4686+E4684+E4682+E4678+E4676+E4672+E4669+E4666+E4692+E4696+E4700</f>
        <v>7359372</v>
      </c>
      <c r="F4702" s="622">
        <f t="shared" ref="F4702:P4702" si="3277">F4694+F4690+F4686+F4684+F4682+F4678+F4676+F4672+F4669+F4666+F4692+F4696+F4700</f>
        <v>0</v>
      </c>
      <c r="G4702" s="622">
        <f t="shared" si="3277"/>
        <v>-2000000</v>
      </c>
      <c r="H4702" s="622">
        <f t="shared" si="3277"/>
        <v>0</v>
      </c>
      <c r="I4702" s="622">
        <f t="shared" si="3277"/>
        <v>5359372</v>
      </c>
      <c r="J4702" s="622">
        <f t="shared" si="3277"/>
        <v>0</v>
      </c>
      <c r="K4702" s="622">
        <f t="shared" si="3277"/>
        <v>0</v>
      </c>
      <c r="L4702" s="317">
        <f t="shared" si="3262"/>
        <v>5359372</v>
      </c>
      <c r="M4702" s="317"/>
      <c r="N4702" s="372">
        <f t="shared" si="3265"/>
        <v>0</v>
      </c>
      <c r="O4702" s="622">
        <f t="shared" si="3277"/>
        <v>5895309.2000000002</v>
      </c>
      <c r="P4702" s="622">
        <f t="shared" si="3277"/>
        <v>6484840.120000002</v>
      </c>
      <c r="R4702" s="317"/>
      <c r="U4702" s="320"/>
    </row>
    <row r="4703" spans="1:21" s="344" customFormat="1" outlineLevel="3">
      <c r="A4703" s="345"/>
      <c r="B4703" s="345"/>
      <c r="C4703" s="332"/>
      <c r="D4703" s="1212"/>
      <c r="E4703" s="622"/>
      <c r="F4703" s="1216"/>
      <c r="G4703" s="422"/>
      <c r="H4703" s="422"/>
      <c r="I4703" s="324">
        <f t="shared" si="3275"/>
        <v>0</v>
      </c>
      <c r="J4703" s="422"/>
      <c r="K4703" s="422"/>
      <c r="L4703" s="317">
        <f t="shared" si="3262"/>
        <v>0</v>
      </c>
      <c r="M4703" s="317"/>
      <c r="N4703" s="372">
        <f t="shared" si="3265"/>
        <v>0</v>
      </c>
      <c r="O4703" s="336">
        <f t="shared" si="3249"/>
        <v>0</v>
      </c>
      <c r="P4703" s="319">
        <f t="shared" si="3274"/>
        <v>0</v>
      </c>
      <c r="R4703" s="317"/>
      <c r="U4703" s="320"/>
    </row>
    <row r="4704" spans="1:21" s="344" customFormat="1" outlineLevel="3">
      <c r="A4704" s="345"/>
      <c r="B4704" s="345"/>
      <c r="C4704" s="332"/>
      <c r="D4704" s="1212"/>
      <c r="E4704" s="622"/>
      <c r="F4704" s="1216"/>
      <c r="G4704" s="422"/>
      <c r="H4704" s="422"/>
      <c r="I4704" s="324">
        <f t="shared" si="3275"/>
        <v>0</v>
      </c>
      <c r="J4704" s="422"/>
      <c r="K4704" s="422"/>
      <c r="L4704" s="317">
        <f t="shared" si="3262"/>
        <v>0</v>
      </c>
      <c r="M4704" s="317"/>
      <c r="N4704" s="372">
        <f t="shared" si="3265"/>
        <v>0</v>
      </c>
      <c r="O4704" s="336">
        <f t="shared" si="3249"/>
        <v>0</v>
      </c>
      <c r="P4704" s="319">
        <f t="shared" si="3274"/>
        <v>0</v>
      </c>
      <c r="R4704" s="317"/>
      <c r="U4704" s="320"/>
    </row>
    <row r="4705" spans="1:21" s="344" customFormat="1" outlineLevel="3">
      <c r="A4705" s="345"/>
      <c r="B4705" s="345"/>
      <c r="C4705" s="340"/>
      <c r="D4705" s="338" t="s">
        <v>92</v>
      </c>
      <c r="E4705" s="622"/>
      <c r="F4705" s="397"/>
      <c r="G4705" s="1073"/>
      <c r="H4705" s="1073"/>
      <c r="I4705" s="324">
        <f t="shared" si="3275"/>
        <v>0</v>
      </c>
      <c r="J4705" s="1073"/>
      <c r="K4705" s="1073"/>
      <c r="L4705" s="317">
        <f t="shared" si="3262"/>
        <v>0</v>
      </c>
      <c r="M4705" s="317"/>
      <c r="N4705" s="372">
        <f t="shared" si="3265"/>
        <v>0</v>
      </c>
      <c r="O4705" s="336">
        <f t="shared" si="3249"/>
        <v>0</v>
      </c>
      <c r="P4705" s="319">
        <f t="shared" si="3274"/>
        <v>0</v>
      </c>
      <c r="R4705" s="317"/>
      <c r="U4705" s="320"/>
    </row>
    <row r="4706" spans="1:21" s="344" customFormat="1" outlineLevel="3">
      <c r="A4706" s="345"/>
      <c r="B4706" s="345"/>
      <c r="C4706" s="340">
        <v>2211000</v>
      </c>
      <c r="D4706" s="338" t="s">
        <v>118</v>
      </c>
      <c r="E4706" s="622">
        <f>E4707</f>
        <v>3000000</v>
      </c>
      <c r="F4706" s="622">
        <f t="shared" ref="F4706:P4706" si="3278">F4707</f>
        <v>0</v>
      </c>
      <c r="G4706" s="622">
        <f t="shared" si="3278"/>
        <v>0</v>
      </c>
      <c r="H4706" s="622">
        <f t="shared" si="3278"/>
        <v>0</v>
      </c>
      <c r="I4706" s="622">
        <f t="shared" si="3278"/>
        <v>3000000</v>
      </c>
      <c r="J4706" s="622">
        <f t="shared" si="3278"/>
        <v>-3000000</v>
      </c>
      <c r="K4706" s="622">
        <f t="shared" si="3278"/>
        <v>0</v>
      </c>
      <c r="L4706" s="317">
        <f t="shared" si="3262"/>
        <v>0</v>
      </c>
      <c r="M4706" s="317"/>
      <c r="N4706" s="372">
        <f t="shared" si="3265"/>
        <v>0</v>
      </c>
      <c r="O4706" s="622">
        <f t="shared" si="3278"/>
        <v>0</v>
      </c>
      <c r="P4706" s="622">
        <f t="shared" si="3278"/>
        <v>0</v>
      </c>
      <c r="R4706" s="317"/>
      <c r="U4706" s="320"/>
    </row>
    <row r="4707" spans="1:21" s="684" customFormat="1" outlineLevel="3">
      <c r="A4707" s="685"/>
      <c r="B4707" s="685"/>
      <c r="C4707" s="1196">
        <v>2211007</v>
      </c>
      <c r="D4707" s="1197" t="s">
        <v>1345</v>
      </c>
      <c r="E4707" s="1198">
        <v>3000000</v>
      </c>
      <c r="F4707" s="1199"/>
      <c r="G4707" s="1198"/>
      <c r="H4707" s="1198">
        <v>0</v>
      </c>
      <c r="I4707" s="690">
        <f t="shared" si="3275"/>
        <v>3000000</v>
      </c>
      <c r="J4707" s="1198">
        <v>-3000000</v>
      </c>
      <c r="K4707" s="1213"/>
      <c r="L4707" s="317">
        <f t="shared" si="3262"/>
        <v>0</v>
      </c>
      <c r="M4707" s="317"/>
      <c r="N4707" s="372">
        <f t="shared" si="3265"/>
        <v>0</v>
      </c>
      <c r="O4707" s="1069">
        <f t="shared" si="3249"/>
        <v>0</v>
      </c>
      <c r="P4707" s="692">
        <f t="shared" si="3274"/>
        <v>0</v>
      </c>
      <c r="Q4707" s="1223" t="s">
        <v>2512</v>
      </c>
      <c r="R4707" s="317"/>
      <c r="U4707" s="320" t="s">
        <v>1803</v>
      </c>
    </row>
    <row r="4708" spans="1:21" s="344" customFormat="1" outlineLevel="3">
      <c r="A4708" s="345"/>
      <c r="B4708" s="345"/>
      <c r="C4708" s="340">
        <v>3111300</v>
      </c>
      <c r="D4708" s="449" t="s">
        <v>539</v>
      </c>
      <c r="E4708" s="622">
        <f>E4709</f>
        <v>1000000</v>
      </c>
      <c r="F4708" s="622">
        <f t="shared" ref="F4708:K4708" si="3279">F4709</f>
        <v>1004213.1660952568</v>
      </c>
      <c r="G4708" s="622">
        <f t="shared" si="3279"/>
        <v>0</v>
      </c>
      <c r="H4708" s="622">
        <f t="shared" si="3279"/>
        <v>0</v>
      </c>
      <c r="I4708" s="622">
        <f t="shared" si="3279"/>
        <v>2004213.1660952568</v>
      </c>
      <c r="J4708" s="622">
        <f t="shared" si="3279"/>
        <v>0</v>
      </c>
      <c r="K4708" s="622">
        <f t="shared" si="3279"/>
        <v>0</v>
      </c>
      <c r="L4708" s="317">
        <f t="shared" si="3262"/>
        <v>2004213.1660952568</v>
      </c>
      <c r="M4708" s="317"/>
      <c r="N4708" s="372">
        <f t="shared" si="3265"/>
        <v>0</v>
      </c>
      <c r="O4708" s="622">
        <f t="shared" ref="O4708:P4708" si="3280">O4709</f>
        <v>2204634.4827047829</v>
      </c>
      <c r="P4708" s="622">
        <f t="shared" si="3280"/>
        <v>2425097.9309752611</v>
      </c>
      <c r="R4708" s="317"/>
      <c r="U4708" s="320"/>
    </row>
    <row r="4709" spans="1:21" s="344" customFormat="1" outlineLevel="3">
      <c r="A4709" s="345"/>
      <c r="B4709" s="345"/>
      <c r="C4709" s="332">
        <v>3111302</v>
      </c>
      <c r="D4709" s="452" t="s">
        <v>1346</v>
      </c>
      <c r="E4709" s="422">
        <v>1000000</v>
      </c>
      <c r="F4709" s="422">
        <v>1004213.1660952568</v>
      </c>
      <c r="G4709" s="1073"/>
      <c r="H4709" s="1073"/>
      <c r="I4709" s="324">
        <f t="shared" si="3275"/>
        <v>2004213.1660952568</v>
      </c>
      <c r="J4709" s="1073"/>
      <c r="K4709" s="1073"/>
      <c r="L4709" s="317">
        <f t="shared" si="3262"/>
        <v>2004213.1660952568</v>
      </c>
      <c r="M4709" s="317"/>
      <c r="N4709" s="372">
        <f t="shared" si="3265"/>
        <v>0</v>
      </c>
      <c r="O4709" s="336">
        <f t="shared" si="3249"/>
        <v>2204634.4827047829</v>
      </c>
      <c r="P4709" s="319">
        <f t="shared" si="3274"/>
        <v>2425097.9309752611</v>
      </c>
      <c r="R4709" s="317"/>
      <c r="U4709" s="320"/>
    </row>
    <row r="4710" spans="1:21" s="344" customFormat="1" outlineLevel="3">
      <c r="A4710" s="483"/>
      <c r="B4710" s="483"/>
      <c r="C4710" s="680">
        <v>3111400</v>
      </c>
      <c r="D4710" s="376" t="s">
        <v>294</v>
      </c>
      <c r="E4710" s="681">
        <f>E4711</f>
        <v>7200000</v>
      </c>
      <c r="F4710" s="681">
        <f t="shared" ref="F4710:K4710" si="3281">F4711</f>
        <v>0</v>
      </c>
      <c r="G4710" s="681">
        <f t="shared" si="3281"/>
        <v>-4200000</v>
      </c>
      <c r="H4710" s="681">
        <f t="shared" si="3281"/>
        <v>1000000</v>
      </c>
      <c r="I4710" s="681">
        <f t="shared" si="3281"/>
        <v>4000000</v>
      </c>
      <c r="J4710" s="681">
        <f t="shared" si="3281"/>
        <v>0</v>
      </c>
      <c r="K4710" s="681">
        <f t="shared" si="3281"/>
        <v>0</v>
      </c>
      <c r="L4710" s="317">
        <f t="shared" si="3262"/>
        <v>4000000</v>
      </c>
      <c r="M4710" s="2212"/>
      <c r="N4710" s="372">
        <f t="shared" si="3265"/>
        <v>0</v>
      </c>
      <c r="O4710" s="681">
        <f t="shared" ref="O4710:P4710" si="3282">O4711</f>
        <v>4400000</v>
      </c>
      <c r="P4710" s="681">
        <f t="shared" si="3282"/>
        <v>4840000</v>
      </c>
      <c r="R4710" s="317"/>
      <c r="U4710" s="320"/>
    </row>
    <row r="4711" spans="1:21" s="344" customFormat="1" outlineLevel="3">
      <c r="A4711" s="345"/>
      <c r="B4711" s="345"/>
      <c r="C4711" s="332">
        <v>3111499</v>
      </c>
      <c r="D4711" s="1192" t="s">
        <v>1347</v>
      </c>
      <c r="E4711" s="422">
        <f>1200000+4000000+2000000</f>
        <v>7200000</v>
      </c>
      <c r="F4711" s="364"/>
      <c r="G4711" s="422">
        <v>-4200000</v>
      </c>
      <c r="H4711" s="422">
        <v>1000000</v>
      </c>
      <c r="I4711" s="324">
        <f t="shared" si="3275"/>
        <v>4000000</v>
      </c>
      <c r="J4711" s="422"/>
      <c r="K4711" s="549"/>
      <c r="L4711" s="317">
        <f t="shared" si="3262"/>
        <v>4000000</v>
      </c>
      <c r="M4711" s="317"/>
      <c r="N4711" s="372">
        <f t="shared" si="3265"/>
        <v>0</v>
      </c>
      <c r="O4711" s="336">
        <f t="shared" si="3249"/>
        <v>4400000</v>
      </c>
      <c r="P4711" s="319">
        <f t="shared" si="3274"/>
        <v>4840000</v>
      </c>
      <c r="Q4711" s="1190" t="s">
        <v>2525</v>
      </c>
      <c r="R4711" s="317"/>
      <c r="U4711" s="320"/>
    </row>
    <row r="4712" spans="1:21" s="344" customFormat="1" outlineLevel="3">
      <c r="A4712" s="506"/>
      <c r="B4712" s="506"/>
      <c r="C4712" s="764"/>
      <c r="D4712" s="719" t="s">
        <v>261</v>
      </c>
      <c r="E4712" s="768">
        <f>E4710+E4708+E4706</f>
        <v>11200000</v>
      </c>
      <c r="F4712" s="768">
        <f t="shared" ref="F4712:P4712" si="3283">F4710+F4708+F4706</f>
        <v>1004213.1660952568</v>
      </c>
      <c r="G4712" s="768">
        <f t="shared" si="3283"/>
        <v>-4200000</v>
      </c>
      <c r="H4712" s="768">
        <f t="shared" si="3283"/>
        <v>1000000</v>
      </c>
      <c r="I4712" s="768">
        <f t="shared" si="3283"/>
        <v>9004213.1660952568</v>
      </c>
      <c r="J4712" s="768">
        <f t="shared" si="3283"/>
        <v>-3000000</v>
      </c>
      <c r="K4712" s="768">
        <f t="shared" si="3283"/>
        <v>0</v>
      </c>
      <c r="L4712" s="317">
        <f t="shared" si="3262"/>
        <v>6004213.1660952568</v>
      </c>
      <c r="M4712" s="2211"/>
      <c r="N4712" s="372">
        <f t="shared" si="3265"/>
        <v>0</v>
      </c>
      <c r="O4712" s="768">
        <f t="shared" si="3283"/>
        <v>6604634.4827047829</v>
      </c>
      <c r="P4712" s="768">
        <f t="shared" si="3283"/>
        <v>7265097.9309752611</v>
      </c>
      <c r="R4712" s="317"/>
      <c r="U4712" s="320"/>
    </row>
    <row r="4713" spans="1:21" s="344" customFormat="1" outlineLevel="3">
      <c r="A4713" s="345"/>
      <c r="B4713" s="345"/>
      <c r="C4713" s="332"/>
      <c r="D4713" s="449" t="s">
        <v>807</v>
      </c>
      <c r="E4713" s="622">
        <f>E4712+E4702</f>
        <v>18559372</v>
      </c>
      <c r="F4713" s="622">
        <f t="shared" ref="F4713:P4713" si="3284">F4712+F4702</f>
        <v>1004213.1660952568</v>
      </c>
      <c r="G4713" s="622">
        <f t="shared" si="3284"/>
        <v>-6200000</v>
      </c>
      <c r="H4713" s="622">
        <f t="shared" si="3284"/>
        <v>1000000</v>
      </c>
      <c r="I4713" s="622">
        <f t="shared" si="3284"/>
        <v>14363585.166095257</v>
      </c>
      <c r="J4713" s="622">
        <f t="shared" si="3284"/>
        <v>-3000000</v>
      </c>
      <c r="K4713" s="622">
        <f t="shared" si="3284"/>
        <v>0</v>
      </c>
      <c r="L4713" s="317">
        <f t="shared" si="3262"/>
        <v>11363585.166095257</v>
      </c>
      <c r="M4713" s="317"/>
      <c r="N4713" s="372">
        <f t="shared" si="3265"/>
        <v>0</v>
      </c>
      <c r="O4713" s="622">
        <f t="shared" si="3284"/>
        <v>12499943.682704784</v>
      </c>
      <c r="P4713" s="622">
        <f t="shared" si="3284"/>
        <v>13749938.050975263</v>
      </c>
      <c r="R4713" s="317"/>
      <c r="U4713" s="320"/>
    </row>
    <row r="4714" spans="1:21" s="344" customFormat="1" outlineLevel="3">
      <c r="A4714" s="345"/>
      <c r="B4714" s="345"/>
      <c r="C4714" s="332"/>
      <c r="D4714" s="449"/>
      <c r="E4714" s="622"/>
      <c r="F4714" s="450"/>
      <c r="G4714" s="422"/>
      <c r="H4714" s="422"/>
      <c r="I4714" s="324">
        <f t="shared" si="3275"/>
        <v>0</v>
      </c>
      <c r="J4714" s="422"/>
      <c r="K4714" s="422"/>
      <c r="L4714" s="317">
        <f t="shared" si="3262"/>
        <v>0</v>
      </c>
      <c r="M4714" s="317"/>
      <c r="N4714" s="372">
        <f t="shared" si="3265"/>
        <v>0</v>
      </c>
      <c r="O4714" s="336">
        <f t="shared" si="3249"/>
        <v>0</v>
      </c>
      <c r="P4714" s="319">
        <f t="shared" si="3274"/>
        <v>0</v>
      </c>
      <c r="R4714" s="317"/>
      <c r="U4714" s="320"/>
    </row>
    <row r="4715" spans="1:21" s="344" customFormat="1" outlineLevel="2">
      <c r="A4715" s="345"/>
      <c r="B4715" s="345"/>
      <c r="C4715" s="332"/>
      <c r="D4715" s="449"/>
      <c r="E4715" s="622"/>
      <c r="F4715" s="450"/>
      <c r="G4715" s="450"/>
      <c r="H4715" s="450"/>
      <c r="I4715" s="324">
        <f t="shared" si="3275"/>
        <v>0</v>
      </c>
      <c r="J4715" s="450"/>
      <c r="K4715" s="450"/>
      <c r="L4715" s="317">
        <f t="shared" si="3262"/>
        <v>0</v>
      </c>
      <c r="M4715" s="317"/>
      <c r="N4715" s="372">
        <f t="shared" si="3265"/>
        <v>0</v>
      </c>
      <c r="O4715" s="336">
        <f t="shared" si="3249"/>
        <v>0</v>
      </c>
      <c r="P4715" s="319">
        <f t="shared" si="3274"/>
        <v>0</v>
      </c>
      <c r="R4715" s="317"/>
      <c r="U4715" s="320"/>
    </row>
    <row r="4716" spans="1:21" s="344" customFormat="1" outlineLevel="2">
      <c r="A4716" s="345"/>
      <c r="B4716" s="345"/>
      <c r="C4716" s="1185" t="s">
        <v>808</v>
      </c>
      <c r="D4716" s="338"/>
      <c r="E4716" s="622"/>
      <c r="F4716" s="397"/>
      <c r="G4716" s="397"/>
      <c r="H4716" s="397"/>
      <c r="I4716" s="324">
        <f t="shared" si="3275"/>
        <v>0</v>
      </c>
      <c r="J4716" s="397"/>
      <c r="K4716" s="397"/>
      <c r="L4716" s="317">
        <f t="shared" si="3262"/>
        <v>0</v>
      </c>
      <c r="M4716" s="317"/>
      <c r="N4716" s="372">
        <f t="shared" si="3265"/>
        <v>0</v>
      </c>
      <c r="O4716" s="336">
        <f t="shared" si="3249"/>
        <v>0</v>
      </c>
      <c r="P4716" s="319">
        <f t="shared" si="3274"/>
        <v>0</v>
      </c>
      <c r="R4716" s="317"/>
      <c r="U4716" s="320"/>
    </row>
    <row r="4717" spans="1:21" s="344" customFormat="1" outlineLevel="2">
      <c r="A4717" s="345"/>
      <c r="B4717" s="345"/>
      <c r="C4717" s="340">
        <v>2210100</v>
      </c>
      <c r="D4717" s="338" t="s">
        <v>285</v>
      </c>
      <c r="E4717" s="622">
        <f>E4718+E4719</f>
        <v>84152</v>
      </c>
      <c r="F4717" s="622">
        <f t="shared" ref="F4717:P4717" si="3285">F4718+F4719</f>
        <v>0</v>
      </c>
      <c r="G4717" s="622">
        <f t="shared" si="3285"/>
        <v>0</v>
      </c>
      <c r="H4717" s="622">
        <f t="shared" si="3285"/>
        <v>0</v>
      </c>
      <c r="I4717" s="622">
        <f t="shared" si="3285"/>
        <v>84152</v>
      </c>
      <c r="J4717" s="622">
        <f t="shared" si="3285"/>
        <v>0</v>
      </c>
      <c r="K4717" s="622">
        <f t="shared" si="3285"/>
        <v>0</v>
      </c>
      <c r="L4717" s="317">
        <f t="shared" si="3262"/>
        <v>84152</v>
      </c>
      <c r="M4717" s="317"/>
      <c r="N4717" s="372">
        <f t="shared" si="3265"/>
        <v>0</v>
      </c>
      <c r="O4717" s="622">
        <f t="shared" si="3285"/>
        <v>92567.200000000012</v>
      </c>
      <c r="P4717" s="622">
        <f t="shared" si="3285"/>
        <v>101823.92000000001</v>
      </c>
      <c r="R4717" s="317"/>
      <c r="U4717" s="320"/>
    </row>
    <row r="4718" spans="1:21" s="344" customFormat="1" outlineLevel="2">
      <c r="A4718" s="345"/>
      <c r="B4718" s="345"/>
      <c r="C4718" s="332">
        <v>2210101</v>
      </c>
      <c r="D4718" s="330" t="s">
        <v>17</v>
      </c>
      <c r="E4718" s="422">
        <v>63052</v>
      </c>
      <c r="F4718" s="389"/>
      <c r="G4718" s="389"/>
      <c r="H4718" s="389"/>
      <c r="I4718" s="324">
        <f t="shared" si="3275"/>
        <v>63052</v>
      </c>
      <c r="J4718" s="389"/>
      <c r="K4718" s="389"/>
      <c r="L4718" s="317">
        <f t="shared" si="3262"/>
        <v>63052</v>
      </c>
      <c r="M4718" s="317"/>
      <c r="N4718" s="372">
        <f t="shared" si="3265"/>
        <v>0</v>
      </c>
      <c r="O4718" s="336">
        <f t="shared" ref="O4718:O4781" si="3286">L4718*1.1</f>
        <v>69357.200000000012</v>
      </c>
      <c r="P4718" s="319">
        <f t="shared" ref="P4718:P4735" si="3287">O4718*1.1</f>
        <v>76292.920000000013</v>
      </c>
      <c r="R4718" s="317"/>
      <c r="U4718" s="320"/>
    </row>
    <row r="4719" spans="1:21" s="344" customFormat="1" outlineLevel="3">
      <c r="A4719" s="345"/>
      <c r="B4719" s="345"/>
      <c r="C4719" s="332">
        <v>2210102</v>
      </c>
      <c r="D4719" s="330" t="s">
        <v>18</v>
      </c>
      <c r="E4719" s="422">
        <v>21100</v>
      </c>
      <c r="F4719" s="389"/>
      <c r="G4719" s="389"/>
      <c r="H4719" s="389"/>
      <c r="I4719" s="324">
        <f t="shared" si="3275"/>
        <v>21100</v>
      </c>
      <c r="J4719" s="389"/>
      <c r="K4719" s="389"/>
      <c r="L4719" s="317">
        <f t="shared" si="3262"/>
        <v>21100</v>
      </c>
      <c r="M4719" s="317"/>
      <c r="N4719" s="372">
        <f t="shared" si="3265"/>
        <v>0</v>
      </c>
      <c r="O4719" s="336">
        <f t="shared" si="3286"/>
        <v>23210.000000000004</v>
      </c>
      <c r="P4719" s="1215">
        <f>O4719*1.1</f>
        <v>25531.000000000007</v>
      </c>
      <c r="R4719" s="317"/>
      <c r="U4719" s="320"/>
    </row>
    <row r="4720" spans="1:21" s="344" customFormat="1" outlineLevel="3">
      <c r="A4720" s="345"/>
      <c r="B4720" s="345"/>
      <c r="C4720" s="340">
        <v>2210200</v>
      </c>
      <c r="D4720" s="338" t="s">
        <v>286</v>
      </c>
      <c r="E4720" s="622">
        <f>E4721</f>
        <v>112949</v>
      </c>
      <c r="F4720" s="622">
        <f t="shared" ref="F4720:P4720" si="3288">F4721</f>
        <v>0</v>
      </c>
      <c r="G4720" s="622">
        <f t="shared" si="3288"/>
        <v>0</v>
      </c>
      <c r="H4720" s="622">
        <f t="shared" si="3288"/>
        <v>0</v>
      </c>
      <c r="I4720" s="622">
        <f t="shared" si="3288"/>
        <v>112949</v>
      </c>
      <c r="J4720" s="622">
        <f t="shared" si="3288"/>
        <v>0</v>
      </c>
      <c r="K4720" s="622">
        <f t="shared" si="3288"/>
        <v>0</v>
      </c>
      <c r="L4720" s="317">
        <f t="shared" si="3262"/>
        <v>112949</v>
      </c>
      <c r="M4720" s="317"/>
      <c r="N4720" s="372">
        <f t="shared" si="3265"/>
        <v>0</v>
      </c>
      <c r="O4720" s="622">
        <f t="shared" si="3288"/>
        <v>124243.90000000001</v>
      </c>
      <c r="P4720" s="622">
        <f t="shared" si="3288"/>
        <v>136668.29</v>
      </c>
      <c r="R4720" s="317"/>
      <c r="U4720" s="320"/>
    </row>
    <row r="4721" spans="1:21" s="344" customFormat="1" outlineLevel="3">
      <c r="A4721" s="345"/>
      <c r="B4721" s="345"/>
      <c r="C4721" s="332">
        <v>2210201</v>
      </c>
      <c r="D4721" s="330" t="s">
        <v>21</v>
      </c>
      <c r="E4721" s="422">
        <v>112949</v>
      </c>
      <c r="F4721" s="389"/>
      <c r="G4721" s="389"/>
      <c r="H4721" s="389"/>
      <c r="I4721" s="324">
        <f t="shared" si="3275"/>
        <v>112949</v>
      </c>
      <c r="J4721" s="389"/>
      <c r="K4721" s="389"/>
      <c r="L4721" s="317">
        <f t="shared" si="3262"/>
        <v>112949</v>
      </c>
      <c r="M4721" s="317"/>
      <c r="N4721" s="372">
        <f t="shared" si="3265"/>
        <v>0</v>
      </c>
      <c r="O4721" s="336">
        <f t="shared" si="3286"/>
        <v>124243.90000000001</v>
      </c>
      <c r="P4721" s="1215">
        <f>O4721*1.1</f>
        <v>136668.29</v>
      </c>
      <c r="R4721" s="317"/>
      <c r="U4721" s="320"/>
    </row>
    <row r="4722" spans="1:21" s="344" customFormat="1" outlineLevel="3">
      <c r="A4722" s="345"/>
      <c r="B4722" s="345"/>
      <c r="C4722" s="340">
        <v>2210300</v>
      </c>
      <c r="D4722" s="338" t="s">
        <v>267</v>
      </c>
      <c r="E4722" s="622">
        <f>E4723+E4724+E4725</f>
        <v>1014425</v>
      </c>
      <c r="F4722" s="622">
        <f t="shared" ref="F4722:P4722" si="3289">F4723+F4724+F4725</f>
        <v>0</v>
      </c>
      <c r="G4722" s="622">
        <f t="shared" si="3289"/>
        <v>0</v>
      </c>
      <c r="H4722" s="622">
        <f t="shared" si="3289"/>
        <v>0</v>
      </c>
      <c r="I4722" s="622">
        <f t="shared" si="3289"/>
        <v>1014425</v>
      </c>
      <c r="J4722" s="622">
        <f t="shared" si="3289"/>
        <v>0</v>
      </c>
      <c r="K4722" s="622">
        <f t="shared" si="3289"/>
        <v>0</v>
      </c>
      <c r="L4722" s="317">
        <f t="shared" si="3262"/>
        <v>1014425</v>
      </c>
      <c r="M4722" s="317"/>
      <c r="N4722" s="372">
        <f t="shared" si="3265"/>
        <v>0</v>
      </c>
      <c r="O4722" s="622">
        <f t="shared" si="3289"/>
        <v>1115867.5</v>
      </c>
      <c r="P4722" s="622">
        <f t="shared" si="3289"/>
        <v>1227454.25</v>
      </c>
      <c r="R4722" s="317"/>
      <c r="U4722" s="320"/>
    </row>
    <row r="4723" spans="1:21" s="344" customFormat="1" outlineLevel="3">
      <c r="A4723" s="345"/>
      <c r="B4723" s="345"/>
      <c r="C4723" s="332">
        <v>2210301</v>
      </c>
      <c r="D4723" s="330" t="s">
        <v>25</v>
      </c>
      <c r="E4723" s="422">
        <v>69600</v>
      </c>
      <c r="F4723" s="389"/>
      <c r="G4723" s="389"/>
      <c r="H4723" s="389"/>
      <c r="I4723" s="324">
        <f t="shared" si="3275"/>
        <v>69600</v>
      </c>
      <c r="J4723" s="389"/>
      <c r="K4723" s="389"/>
      <c r="L4723" s="317">
        <f t="shared" si="3262"/>
        <v>69600</v>
      </c>
      <c r="M4723" s="317"/>
      <c r="N4723" s="372">
        <f t="shared" si="3265"/>
        <v>0</v>
      </c>
      <c r="O4723" s="336">
        <f t="shared" si="3286"/>
        <v>76560</v>
      </c>
      <c r="P4723" s="319">
        <f t="shared" si="3287"/>
        <v>84216</v>
      </c>
      <c r="R4723" s="317"/>
      <c r="U4723" s="320"/>
    </row>
    <row r="4724" spans="1:21" s="344" customFormat="1" outlineLevel="3">
      <c r="A4724" s="345"/>
      <c r="B4724" s="345"/>
      <c r="C4724" s="332">
        <v>2210302</v>
      </c>
      <c r="D4724" s="330" t="s">
        <v>787</v>
      </c>
      <c r="E4724" s="422">
        <v>312240</v>
      </c>
      <c r="F4724" s="389"/>
      <c r="G4724" s="389"/>
      <c r="H4724" s="389"/>
      <c r="I4724" s="324">
        <f t="shared" si="3275"/>
        <v>312240</v>
      </c>
      <c r="J4724" s="389"/>
      <c r="K4724" s="389"/>
      <c r="L4724" s="317">
        <f t="shared" si="3262"/>
        <v>312240</v>
      </c>
      <c r="M4724" s="317"/>
      <c r="N4724" s="372">
        <f t="shared" si="3265"/>
        <v>0</v>
      </c>
      <c r="O4724" s="336">
        <f t="shared" si="3286"/>
        <v>343464</v>
      </c>
      <c r="P4724" s="319">
        <f t="shared" si="3287"/>
        <v>377810.4</v>
      </c>
      <c r="R4724" s="317"/>
      <c r="U4724" s="320"/>
    </row>
    <row r="4725" spans="1:21" s="344" customFormat="1" outlineLevel="2">
      <c r="A4725" s="345"/>
      <c r="B4725" s="345"/>
      <c r="C4725" s="332">
        <v>2210303</v>
      </c>
      <c r="D4725" s="330" t="s">
        <v>27</v>
      </c>
      <c r="E4725" s="422">
        <v>632585</v>
      </c>
      <c r="F4725" s="389"/>
      <c r="G4725" s="389"/>
      <c r="H4725" s="389"/>
      <c r="I4725" s="324">
        <f t="shared" si="3275"/>
        <v>632585</v>
      </c>
      <c r="J4725" s="389"/>
      <c r="K4725" s="389"/>
      <c r="L4725" s="317">
        <f t="shared" si="3262"/>
        <v>632585</v>
      </c>
      <c r="M4725" s="317"/>
      <c r="N4725" s="372">
        <f t="shared" si="3265"/>
        <v>0</v>
      </c>
      <c r="O4725" s="336">
        <f t="shared" si="3286"/>
        <v>695843.5</v>
      </c>
      <c r="P4725" s="319">
        <f t="shared" si="3287"/>
        <v>765427.85000000009</v>
      </c>
      <c r="R4725" s="317"/>
      <c r="U4725" s="320"/>
    </row>
    <row r="4726" spans="1:21" s="344" customFormat="1" outlineLevel="1">
      <c r="A4726" s="345"/>
      <c r="B4726" s="345"/>
      <c r="C4726" s="340">
        <v>2210500</v>
      </c>
      <c r="D4726" s="338" t="s">
        <v>31</v>
      </c>
      <c r="E4726" s="622">
        <f>E4727+E4728</f>
        <v>26028</v>
      </c>
      <c r="F4726" s="622">
        <f t="shared" ref="F4726:K4726" si="3290">F4727+F4728</f>
        <v>0</v>
      </c>
      <c r="G4726" s="622">
        <f t="shared" si="3290"/>
        <v>0</v>
      </c>
      <c r="H4726" s="622">
        <f t="shared" si="3290"/>
        <v>0</v>
      </c>
      <c r="I4726" s="622">
        <f t="shared" si="3290"/>
        <v>26028</v>
      </c>
      <c r="J4726" s="622">
        <f t="shared" si="3290"/>
        <v>0</v>
      </c>
      <c r="K4726" s="622">
        <f t="shared" si="3290"/>
        <v>0</v>
      </c>
      <c r="L4726" s="317">
        <f t="shared" si="3262"/>
        <v>26028</v>
      </c>
      <c r="M4726" s="317"/>
      <c r="N4726" s="372">
        <f t="shared" si="3265"/>
        <v>0</v>
      </c>
      <c r="O4726" s="622">
        <f t="shared" ref="O4726:P4726" si="3291">O4727+O4728</f>
        <v>28630.800000000003</v>
      </c>
      <c r="P4726" s="622">
        <f t="shared" si="3291"/>
        <v>31493.880000000005</v>
      </c>
      <c r="R4726" s="317"/>
      <c r="U4726" s="320"/>
    </row>
    <row r="4727" spans="1:21" s="344" customFormat="1" outlineLevel="1">
      <c r="A4727" s="345"/>
      <c r="B4727" s="345"/>
      <c r="C4727" s="332">
        <v>2210502</v>
      </c>
      <c r="D4727" s="330" t="s">
        <v>105</v>
      </c>
      <c r="E4727" s="422">
        <v>8628</v>
      </c>
      <c r="F4727" s="389"/>
      <c r="G4727" s="389"/>
      <c r="H4727" s="389"/>
      <c r="I4727" s="324">
        <f t="shared" si="3275"/>
        <v>8628</v>
      </c>
      <c r="J4727" s="389"/>
      <c r="K4727" s="549"/>
      <c r="L4727" s="317">
        <f t="shared" si="3262"/>
        <v>8628</v>
      </c>
      <c r="M4727" s="317"/>
      <c r="N4727" s="372">
        <f t="shared" si="3265"/>
        <v>0</v>
      </c>
      <c r="O4727" s="336">
        <f t="shared" si="3286"/>
        <v>9490.8000000000011</v>
      </c>
      <c r="P4727" s="319">
        <f t="shared" si="3287"/>
        <v>10439.880000000003</v>
      </c>
      <c r="Q4727" s="914" t="s">
        <v>2520</v>
      </c>
      <c r="R4727" s="317"/>
      <c r="U4727" s="320"/>
    </row>
    <row r="4728" spans="1:21" s="344" customFormat="1" outlineLevel="1">
      <c r="A4728" s="345"/>
      <c r="B4728" s="345"/>
      <c r="C4728" s="332">
        <v>2210503</v>
      </c>
      <c r="D4728" s="330" t="s">
        <v>32</v>
      </c>
      <c r="E4728" s="422">
        <v>17400</v>
      </c>
      <c r="F4728" s="389"/>
      <c r="G4728" s="389"/>
      <c r="H4728" s="389"/>
      <c r="I4728" s="324">
        <f t="shared" si="3275"/>
        <v>17400</v>
      </c>
      <c r="J4728" s="389"/>
      <c r="K4728" s="389"/>
      <c r="L4728" s="317">
        <f t="shared" si="3262"/>
        <v>17400</v>
      </c>
      <c r="M4728" s="317"/>
      <c r="N4728" s="372">
        <f t="shared" si="3265"/>
        <v>0</v>
      </c>
      <c r="O4728" s="336">
        <f t="shared" si="3286"/>
        <v>19140</v>
      </c>
      <c r="P4728" s="319">
        <f t="shared" si="3287"/>
        <v>21054</v>
      </c>
      <c r="R4728" s="317"/>
      <c r="U4728" s="320"/>
    </row>
    <row r="4729" spans="1:21" s="344" customFormat="1" outlineLevel="1">
      <c r="A4729" s="345"/>
      <c r="B4729" s="345"/>
      <c r="C4729" s="340">
        <v>2210700</v>
      </c>
      <c r="D4729" s="338" t="s">
        <v>271</v>
      </c>
      <c r="E4729" s="622">
        <f>E4730+E4731</f>
        <v>517199</v>
      </c>
      <c r="F4729" s="622">
        <f t="shared" ref="F4729:P4729" si="3292">F4730+F4731</f>
        <v>0</v>
      </c>
      <c r="G4729" s="622">
        <f t="shared" si="3292"/>
        <v>0</v>
      </c>
      <c r="H4729" s="622">
        <f t="shared" si="3292"/>
        <v>0</v>
      </c>
      <c r="I4729" s="622">
        <f t="shared" si="3292"/>
        <v>517199</v>
      </c>
      <c r="J4729" s="622">
        <f t="shared" si="3292"/>
        <v>0</v>
      </c>
      <c r="K4729" s="622">
        <f t="shared" si="3292"/>
        <v>0</v>
      </c>
      <c r="L4729" s="317">
        <f t="shared" si="3262"/>
        <v>517199</v>
      </c>
      <c r="M4729" s="317"/>
      <c r="N4729" s="372">
        <f t="shared" si="3265"/>
        <v>0</v>
      </c>
      <c r="O4729" s="622">
        <f t="shared" si="3292"/>
        <v>568918.9</v>
      </c>
      <c r="P4729" s="622">
        <f t="shared" si="3292"/>
        <v>625810.79</v>
      </c>
      <c r="R4729" s="317"/>
      <c r="U4729" s="320"/>
    </row>
    <row r="4730" spans="1:21" s="344" customFormat="1" outlineLevel="3">
      <c r="A4730" s="345"/>
      <c r="B4730" s="345"/>
      <c r="C4730" s="332">
        <v>2210701</v>
      </c>
      <c r="D4730" s="330" t="s">
        <v>287</v>
      </c>
      <c r="E4730" s="422">
        <v>488199</v>
      </c>
      <c r="F4730" s="389"/>
      <c r="G4730" s="389"/>
      <c r="H4730" s="389"/>
      <c r="I4730" s="324">
        <f t="shared" si="3275"/>
        <v>488199</v>
      </c>
      <c r="J4730" s="389"/>
      <c r="K4730" s="389"/>
      <c r="L4730" s="317">
        <f t="shared" si="3262"/>
        <v>488199</v>
      </c>
      <c r="M4730" s="317"/>
      <c r="N4730" s="372">
        <f t="shared" si="3265"/>
        <v>0</v>
      </c>
      <c r="O4730" s="336">
        <f t="shared" si="3286"/>
        <v>537018.9</v>
      </c>
      <c r="P4730" s="319">
        <f t="shared" si="3287"/>
        <v>590720.79</v>
      </c>
      <c r="R4730" s="317"/>
      <c r="U4730" s="320"/>
    </row>
    <row r="4731" spans="1:21" s="344" customFormat="1" outlineLevel="3">
      <c r="A4731" s="345"/>
      <c r="B4731" s="345"/>
      <c r="C4731" s="332">
        <v>2210704</v>
      </c>
      <c r="D4731" s="330" t="s">
        <v>38</v>
      </c>
      <c r="E4731" s="422">
        <v>29000</v>
      </c>
      <c r="F4731" s="389"/>
      <c r="G4731" s="389"/>
      <c r="H4731" s="389"/>
      <c r="I4731" s="324">
        <f t="shared" si="3275"/>
        <v>29000</v>
      </c>
      <c r="J4731" s="389"/>
      <c r="K4731" s="389"/>
      <c r="L4731" s="317">
        <f t="shared" si="3262"/>
        <v>29000</v>
      </c>
      <c r="M4731" s="317"/>
      <c r="N4731" s="372">
        <f t="shared" si="3265"/>
        <v>0</v>
      </c>
      <c r="O4731" s="336">
        <f t="shared" si="3286"/>
        <v>31900.000000000004</v>
      </c>
      <c r="P4731" s="319">
        <f t="shared" si="3287"/>
        <v>35090.000000000007</v>
      </c>
      <c r="R4731" s="317"/>
      <c r="U4731" s="320"/>
    </row>
    <row r="4732" spans="1:21" s="344" customFormat="1" outlineLevel="3">
      <c r="A4732" s="345"/>
      <c r="B4732" s="345"/>
      <c r="C4732" s="340">
        <v>2210800</v>
      </c>
      <c r="D4732" s="338" t="s">
        <v>42</v>
      </c>
      <c r="E4732" s="622">
        <f>E4733</f>
        <v>152035</v>
      </c>
      <c r="F4732" s="622">
        <f t="shared" ref="F4732:P4732" si="3293">F4733</f>
        <v>0</v>
      </c>
      <c r="G4732" s="622">
        <f t="shared" si="3293"/>
        <v>0</v>
      </c>
      <c r="H4732" s="622">
        <f t="shared" si="3293"/>
        <v>0</v>
      </c>
      <c r="I4732" s="622">
        <f t="shared" si="3293"/>
        <v>152035</v>
      </c>
      <c r="J4732" s="622">
        <f t="shared" si="3293"/>
        <v>0</v>
      </c>
      <c r="K4732" s="622">
        <f t="shared" si="3293"/>
        <v>0</v>
      </c>
      <c r="L4732" s="317">
        <f t="shared" si="3262"/>
        <v>152035</v>
      </c>
      <c r="M4732" s="317"/>
      <c r="N4732" s="372">
        <f t="shared" si="3265"/>
        <v>0</v>
      </c>
      <c r="O4732" s="622">
        <f t="shared" si="3293"/>
        <v>167238.5</v>
      </c>
      <c r="P4732" s="622">
        <f t="shared" si="3293"/>
        <v>183962.35</v>
      </c>
      <c r="R4732" s="317"/>
      <c r="U4732" s="320"/>
    </row>
    <row r="4733" spans="1:21" s="344" customFormat="1" outlineLevel="3">
      <c r="A4733" s="345"/>
      <c r="B4733" s="345"/>
      <c r="C4733" s="332">
        <v>2210801</v>
      </c>
      <c r="D4733" s="330" t="s">
        <v>2421</v>
      </c>
      <c r="E4733" s="422">
        <v>152035</v>
      </c>
      <c r="F4733" s="389"/>
      <c r="G4733" s="389"/>
      <c r="H4733" s="389"/>
      <c r="I4733" s="324">
        <f t="shared" si="3275"/>
        <v>152035</v>
      </c>
      <c r="J4733" s="389"/>
      <c r="K4733" s="389"/>
      <c r="L4733" s="317">
        <f t="shared" si="3262"/>
        <v>152035</v>
      </c>
      <c r="M4733" s="317"/>
      <c r="N4733" s="372">
        <f t="shared" si="3265"/>
        <v>0</v>
      </c>
      <c r="O4733" s="336">
        <f t="shared" si="3286"/>
        <v>167238.5</v>
      </c>
      <c r="P4733" s="319">
        <f t="shared" si="3287"/>
        <v>183962.35</v>
      </c>
      <c r="R4733" s="317"/>
      <c r="U4733" s="320"/>
    </row>
    <row r="4734" spans="1:21" s="344" customFormat="1" outlineLevel="3">
      <c r="A4734" s="345"/>
      <c r="B4734" s="345"/>
      <c r="C4734" s="340">
        <v>2211000</v>
      </c>
      <c r="D4734" s="338" t="s">
        <v>118</v>
      </c>
      <c r="E4734" s="622">
        <f>E4735</f>
        <v>490242</v>
      </c>
      <c r="F4734" s="622">
        <f t="shared" ref="F4734:P4734" si="3294">F4735</f>
        <v>0</v>
      </c>
      <c r="G4734" s="622">
        <f t="shared" si="3294"/>
        <v>0</v>
      </c>
      <c r="H4734" s="622">
        <f t="shared" si="3294"/>
        <v>0</v>
      </c>
      <c r="I4734" s="622">
        <f t="shared" si="3294"/>
        <v>490242</v>
      </c>
      <c r="J4734" s="622">
        <f t="shared" si="3294"/>
        <v>0</v>
      </c>
      <c r="K4734" s="622">
        <f t="shared" si="3294"/>
        <v>0</v>
      </c>
      <c r="L4734" s="317">
        <f t="shared" si="3262"/>
        <v>490242</v>
      </c>
      <c r="M4734" s="317"/>
      <c r="N4734" s="372">
        <f t="shared" si="3265"/>
        <v>0</v>
      </c>
      <c r="O4734" s="622">
        <f t="shared" si="3294"/>
        <v>539266.20000000007</v>
      </c>
      <c r="P4734" s="622">
        <f t="shared" si="3294"/>
        <v>593192.82000000018</v>
      </c>
      <c r="R4734" s="317"/>
      <c r="U4734" s="320"/>
    </row>
    <row r="4735" spans="1:21" s="344" customFormat="1" outlineLevel="3">
      <c r="A4735" s="345"/>
      <c r="B4735" s="345"/>
      <c r="C4735" s="332">
        <v>2211023</v>
      </c>
      <c r="D4735" s="330" t="s">
        <v>1776</v>
      </c>
      <c r="E4735" s="422">
        <v>490242</v>
      </c>
      <c r="F4735" s="389"/>
      <c r="G4735" s="389"/>
      <c r="H4735" s="389"/>
      <c r="I4735" s="324">
        <f t="shared" si="3275"/>
        <v>490242</v>
      </c>
      <c r="J4735" s="389"/>
      <c r="K4735" s="549"/>
      <c r="L4735" s="317">
        <f t="shared" si="3262"/>
        <v>490242</v>
      </c>
      <c r="M4735" s="317"/>
      <c r="N4735" s="372">
        <f t="shared" si="3265"/>
        <v>0</v>
      </c>
      <c r="O4735" s="336">
        <f t="shared" si="3286"/>
        <v>539266.20000000007</v>
      </c>
      <c r="P4735" s="319">
        <f t="shared" si="3287"/>
        <v>593192.82000000018</v>
      </c>
      <c r="Q4735" s="914" t="s">
        <v>2520</v>
      </c>
      <c r="R4735" s="317"/>
      <c r="U4735" s="320"/>
    </row>
    <row r="4736" spans="1:21" s="344" customFormat="1" outlineLevel="3">
      <c r="A4736" s="345"/>
      <c r="B4736" s="345"/>
      <c r="C4736" s="340">
        <v>2211100</v>
      </c>
      <c r="D4736" s="338" t="s">
        <v>276</v>
      </c>
      <c r="E4736" s="622">
        <f>E4737+E4738+E4739</f>
        <v>334091</v>
      </c>
      <c r="F4736" s="622">
        <f t="shared" ref="F4736:K4736" si="3295">F4737+F4738+F4739</f>
        <v>0</v>
      </c>
      <c r="G4736" s="622">
        <f t="shared" si="3295"/>
        <v>0</v>
      </c>
      <c r="H4736" s="622">
        <f t="shared" si="3295"/>
        <v>0</v>
      </c>
      <c r="I4736" s="622">
        <f t="shared" si="3295"/>
        <v>334091</v>
      </c>
      <c r="J4736" s="622">
        <f t="shared" si="3295"/>
        <v>0</v>
      </c>
      <c r="K4736" s="622">
        <f t="shared" si="3295"/>
        <v>0</v>
      </c>
      <c r="L4736" s="317">
        <f t="shared" si="3262"/>
        <v>334091</v>
      </c>
      <c r="M4736" s="317"/>
      <c r="N4736" s="372">
        <f t="shared" si="3265"/>
        <v>0</v>
      </c>
      <c r="O4736" s="622">
        <f t="shared" ref="O4736:P4736" si="3296">O4737+O4738+O4739</f>
        <v>367500.10000000003</v>
      </c>
      <c r="P4736" s="622">
        <f t="shared" si="3296"/>
        <v>404250.11000000004</v>
      </c>
      <c r="R4736" s="317"/>
      <c r="U4736" s="320"/>
    </row>
    <row r="4737" spans="1:21" s="344" customFormat="1" outlineLevel="3">
      <c r="A4737" s="345"/>
      <c r="B4737" s="345"/>
      <c r="C4737" s="332">
        <v>2211101</v>
      </c>
      <c r="D4737" s="330" t="s">
        <v>289</v>
      </c>
      <c r="E4737" s="422">
        <v>100394</v>
      </c>
      <c r="F4737" s="389"/>
      <c r="G4737" s="389"/>
      <c r="H4737" s="389"/>
      <c r="I4737" s="324">
        <f t="shared" si="3275"/>
        <v>100394</v>
      </c>
      <c r="J4737" s="389"/>
      <c r="K4737" s="549"/>
      <c r="L4737" s="317">
        <f t="shared" si="3262"/>
        <v>100394</v>
      </c>
      <c r="M4737" s="317"/>
      <c r="N4737" s="372">
        <f t="shared" si="3265"/>
        <v>0</v>
      </c>
      <c r="O4737" s="336">
        <f t="shared" si="3286"/>
        <v>110433.40000000001</v>
      </c>
      <c r="P4737" s="319">
        <f t="shared" ref="P4737:P4754" si="3297">O4737*1.1</f>
        <v>121476.74000000002</v>
      </c>
      <c r="Q4737" s="914" t="s">
        <v>2520</v>
      </c>
      <c r="R4737" s="317"/>
      <c r="U4737" s="320"/>
    </row>
    <row r="4738" spans="1:21" s="344" customFormat="1" outlineLevel="3">
      <c r="A4738" s="345"/>
      <c r="B4738" s="345"/>
      <c r="C4738" s="332">
        <v>2211102</v>
      </c>
      <c r="D4738" s="330" t="s">
        <v>53</v>
      </c>
      <c r="E4738" s="422">
        <v>135090</v>
      </c>
      <c r="F4738" s="389"/>
      <c r="G4738" s="389"/>
      <c r="H4738" s="389"/>
      <c r="I4738" s="324">
        <f t="shared" si="3275"/>
        <v>135090</v>
      </c>
      <c r="J4738" s="389"/>
      <c r="K4738" s="549"/>
      <c r="L4738" s="317">
        <f t="shared" si="3262"/>
        <v>135090</v>
      </c>
      <c r="M4738" s="317"/>
      <c r="N4738" s="372">
        <f t="shared" si="3265"/>
        <v>0</v>
      </c>
      <c r="O4738" s="336">
        <f t="shared" si="3286"/>
        <v>148599</v>
      </c>
      <c r="P4738" s="319">
        <f t="shared" si="3297"/>
        <v>163458.90000000002</v>
      </c>
      <c r="Q4738" s="914" t="s">
        <v>2520</v>
      </c>
      <c r="R4738" s="317"/>
      <c r="U4738" s="320"/>
    </row>
    <row r="4739" spans="1:21" s="344" customFormat="1" outlineLevel="3">
      <c r="A4739" s="345"/>
      <c r="B4739" s="345"/>
      <c r="C4739" s="332">
        <v>2211103</v>
      </c>
      <c r="D4739" s="330" t="s">
        <v>54</v>
      </c>
      <c r="E4739" s="422">
        <v>98607</v>
      </c>
      <c r="F4739" s="389"/>
      <c r="G4739" s="389"/>
      <c r="H4739" s="389"/>
      <c r="I4739" s="324">
        <f t="shared" si="3275"/>
        <v>98607</v>
      </c>
      <c r="J4739" s="389"/>
      <c r="K4739" s="389"/>
      <c r="L4739" s="317">
        <f t="shared" si="3262"/>
        <v>98607</v>
      </c>
      <c r="M4739" s="317"/>
      <c r="N4739" s="372">
        <f t="shared" si="3265"/>
        <v>0</v>
      </c>
      <c r="O4739" s="336">
        <f t="shared" si="3286"/>
        <v>108467.70000000001</v>
      </c>
      <c r="P4739" s="319">
        <f t="shared" si="3297"/>
        <v>119314.47000000002</v>
      </c>
      <c r="R4739" s="317"/>
      <c r="U4739" s="320"/>
    </row>
    <row r="4740" spans="1:21" s="344" customFormat="1" outlineLevel="3">
      <c r="A4740" s="345"/>
      <c r="B4740" s="345"/>
      <c r="C4740" s="340">
        <v>2211200</v>
      </c>
      <c r="D4740" s="338" t="s">
        <v>55</v>
      </c>
      <c r="E4740" s="622">
        <f>E4741</f>
        <v>807067</v>
      </c>
      <c r="F4740" s="622">
        <f t="shared" ref="F4740:P4740" si="3298">F4741</f>
        <v>0</v>
      </c>
      <c r="G4740" s="622">
        <f t="shared" si="3298"/>
        <v>0</v>
      </c>
      <c r="H4740" s="622">
        <f t="shared" si="3298"/>
        <v>0</v>
      </c>
      <c r="I4740" s="622">
        <f t="shared" si="3298"/>
        <v>807067</v>
      </c>
      <c r="J4740" s="622">
        <f t="shared" si="3298"/>
        <v>0</v>
      </c>
      <c r="K4740" s="622">
        <f t="shared" si="3298"/>
        <v>0</v>
      </c>
      <c r="L4740" s="317">
        <f t="shared" si="3262"/>
        <v>807067</v>
      </c>
      <c r="M4740" s="317"/>
      <c r="N4740" s="372">
        <f t="shared" si="3265"/>
        <v>0</v>
      </c>
      <c r="O4740" s="622">
        <f t="shared" si="3298"/>
        <v>887773.70000000007</v>
      </c>
      <c r="P4740" s="622">
        <f t="shared" si="3298"/>
        <v>976551.07000000018</v>
      </c>
      <c r="R4740" s="317"/>
      <c r="U4740" s="320"/>
    </row>
    <row r="4741" spans="1:21" s="344" customFormat="1" outlineLevel="3">
      <c r="A4741" s="345"/>
      <c r="B4741" s="345"/>
      <c r="C4741" s="332">
        <v>2211201</v>
      </c>
      <c r="D4741" s="330" t="s">
        <v>56</v>
      </c>
      <c r="E4741" s="422">
        <v>807067</v>
      </c>
      <c r="F4741" s="389"/>
      <c r="G4741" s="389"/>
      <c r="H4741" s="389"/>
      <c r="I4741" s="324">
        <f t="shared" si="3275"/>
        <v>807067</v>
      </c>
      <c r="J4741" s="389"/>
      <c r="K4741" s="389"/>
      <c r="L4741" s="317">
        <f t="shared" ref="L4741:L4804" si="3299">I4741+J4741+K4741</f>
        <v>807067</v>
      </c>
      <c r="M4741" s="317"/>
      <c r="N4741" s="372">
        <f t="shared" si="3265"/>
        <v>0</v>
      </c>
      <c r="O4741" s="336">
        <f t="shared" si="3286"/>
        <v>887773.70000000007</v>
      </c>
      <c r="P4741" s="319">
        <f t="shared" si="3297"/>
        <v>976551.07000000018</v>
      </c>
      <c r="R4741" s="317"/>
      <c r="U4741" s="320"/>
    </row>
    <row r="4742" spans="1:21" s="344" customFormat="1" outlineLevel="3">
      <c r="A4742" s="345"/>
      <c r="B4742" s="345"/>
      <c r="C4742" s="340">
        <v>2220100</v>
      </c>
      <c r="D4742" s="338" t="s">
        <v>200</v>
      </c>
      <c r="E4742" s="622">
        <f>E4743</f>
        <v>506000</v>
      </c>
      <c r="F4742" s="622">
        <f t="shared" ref="F4742:P4742" si="3300">F4743</f>
        <v>0</v>
      </c>
      <c r="G4742" s="622">
        <f t="shared" si="3300"/>
        <v>0</v>
      </c>
      <c r="H4742" s="622">
        <f t="shared" si="3300"/>
        <v>0</v>
      </c>
      <c r="I4742" s="622">
        <f t="shared" si="3300"/>
        <v>506000</v>
      </c>
      <c r="J4742" s="622">
        <f t="shared" si="3300"/>
        <v>0</v>
      </c>
      <c r="K4742" s="622">
        <f t="shared" si="3300"/>
        <v>0</v>
      </c>
      <c r="L4742" s="317">
        <f t="shared" si="3299"/>
        <v>506000</v>
      </c>
      <c r="M4742" s="317"/>
      <c r="N4742" s="372">
        <f t="shared" si="3265"/>
        <v>0</v>
      </c>
      <c r="O4742" s="622">
        <f t="shared" si="3300"/>
        <v>556600</v>
      </c>
      <c r="P4742" s="622">
        <f t="shared" si="3300"/>
        <v>612260</v>
      </c>
      <c r="R4742" s="317"/>
      <c r="U4742" s="320"/>
    </row>
    <row r="4743" spans="1:21" s="344" customFormat="1" outlineLevel="3">
      <c r="A4743" s="345"/>
      <c r="B4743" s="345"/>
      <c r="C4743" s="332">
        <v>2220101</v>
      </c>
      <c r="D4743" s="330" t="s">
        <v>200</v>
      </c>
      <c r="E4743" s="422">
        <v>506000</v>
      </c>
      <c r="F4743" s="389"/>
      <c r="G4743" s="389"/>
      <c r="H4743" s="389"/>
      <c r="I4743" s="324">
        <f t="shared" si="3275"/>
        <v>506000</v>
      </c>
      <c r="J4743" s="389"/>
      <c r="K4743" s="389"/>
      <c r="L4743" s="317">
        <f t="shared" si="3299"/>
        <v>506000</v>
      </c>
      <c r="M4743" s="317"/>
      <c r="N4743" s="372">
        <f t="shared" si="3265"/>
        <v>0</v>
      </c>
      <c r="O4743" s="336">
        <f t="shared" si="3286"/>
        <v>556600</v>
      </c>
      <c r="P4743" s="319">
        <f t="shared" si="3297"/>
        <v>612260</v>
      </c>
      <c r="R4743" s="317"/>
      <c r="U4743" s="320"/>
    </row>
    <row r="4744" spans="1:21" s="344" customFormat="1" outlineLevel="3">
      <c r="A4744" s="345"/>
      <c r="B4744" s="345"/>
      <c r="C4744" s="340">
        <v>3111400</v>
      </c>
      <c r="D4744" s="338" t="s">
        <v>294</v>
      </c>
      <c r="E4744" s="622">
        <f>E4745</f>
        <v>3386890</v>
      </c>
      <c r="F4744" s="622">
        <f t="shared" ref="F4744:K4744" si="3301">F4745</f>
        <v>0</v>
      </c>
      <c r="G4744" s="622">
        <f t="shared" si="3301"/>
        <v>0</v>
      </c>
      <c r="H4744" s="622">
        <f t="shared" si="3301"/>
        <v>0</v>
      </c>
      <c r="I4744" s="622">
        <f t="shared" si="3301"/>
        <v>3386890</v>
      </c>
      <c r="J4744" s="622">
        <f t="shared" si="3301"/>
        <v>0</v>
      </c>
      <c r="K4744" s="622">
        <f t="shared" si="3301"/>
        <v>0</v>
      </c>
      <c r="L4744" s="317">
        <f t="shared" si="3299"/>
        <v>3386890</v>
      </c>
      <c r="M4744" s="317"/>
      <c r="N4744" s="372">
        <f t="shared" si="3265"/>
        <v>0</v>
      </c>
      <c r="O4744" s="622">
        <f t="shared" ref="O4744:P4744" si="3302">O4745</f>
        <v>3725579.0000000005</v>
      </c>
      <c r="P4744" s="622">
        <f t="shared" si="3302"/>
        <v>4098136.9000000008</v>
      </c>
      <c r="R4744" s="317"/>
      <c r="U4744" s="320"/>
    </row>
    <row r="4745" spans="1:21" s="344" customFormat="1" outlineLevel="3">
      <c r="A4745" s="345"/>
      <c r="B4745" s="345"/>
      <c r="C4745" s="332">
        <v>3111401</v>
      </c>
      <c r="D4745" s="330" t="s">
        <v>1777</v>
      </c>
      <c r="E4745" s="422">
        <f>586890+2800000</f>
        <v>3386890</v>
      </c>
      <c r="F4745" s="389"/>
      <c r="G4745" s="389"/>
      <c r="H4745" s="389"/>
      <c r="I4745" s="324">
        <f t="shared" si="3275"/>
        <v>3386890</v>
      </c>
      <c r="J4745" s="389"/>
      <c r="K4745" s="389"/>
      <c r="L4745" s="317">
        <f t="shared" si="3299"/>
        <v>3386890</v>
      </c>
      <c r="M4745" s="317"/>
      <c r="N4745" s="372">
        <f t="shared" ref="N4745:N4808" si="3303">M4745-K4745</f>
        <v>0</v>
      </c>
      <c r="O4745" s="336">
        <f t="shared" si="3286"/>
        <v>3725579.0000000005</v>
      </c>
      <c r="P4745" s="319">
        <f t="shared" si="3297"/>
        <v>4098136.9000000008</v>
      </c>
      <c r="R4745" s="317"/>
      <c r="U4745" s="320"/>
    </row>
    <row r="4746" spans="1:21" s="344" customFormat="1" outlineLevel="3">
      <c r="A4746" s="345"/>
      <c r="B4746" s="345"/>
      <c r="C4746" s="332"/>
      <c r="D4746" s="1212" t="s">
        <v>796</v>
      </c>
      <c r="E4746" s="622">
        <f>E4742+E4740+E4736+E4732+E4729+E4726+E4722+E4720+E4717+E4734+E4744</f>
        <v>7431078</v>
      </c>
      <c r="F4746" s="622">
        <f t="shared" ref="F4746:K4746" si="3304">F4742+F4740+F4736+F4732+F4729+F4726+F4722+F4720+F4717+F4734+F4744</f>
        <v>0</v>
      </c>
      <c r="G4746" s="622">
        <f t="shared" si="3304"/>
        <v>0</v>
      </c>
      <c r="H4746" s="622">
        <f t="shared" si="3304"/>
        <v>0</v>
      </c>
      <c r="I4746" s="622">
        <f t="shared" si="3304"/>
        <v>7431078</v>
      </c>
      <c r="J4746" s="622">
        <f t="shared" si="3304"/>
        <v>0</v>
      </c>
      <c r="K4746" s="622">
        <f t="shared" si="3304"/>
        <v>0</v>
      </c>
      <c r="L4746" s="317">
        <f t="shared" si="3299"/>
        <v>7431078</v>
      </c>
      <c r="M4746" s="317"/>
      <c r="N4746" s="372">
        <f t="shared" si="3303"/>
        <v>0</v>
      </c>
      <c r="O4746" s="622">
        <f t="shared" ref="O4746:P4746" si="3305">O4742+O4740+O4736+O4732+O4729+O4726+O4722+O4720+O4717+O4734+O4744</f>
        <v>8174185.8000000007</v>
      </c>
      <c r="P4746" s="622">
        <f t="shared" si="3305"/>
        <v>8991604.3800000008</v>
      </c>
      <c r="R4746" s="317"/>
      <c r="U4746" s="320"/>
    </row>
    <row r="4747" spans="1:21" s="344" customFormat="1" outlineLevel="3">
      <c r="A4747" s="345"/>
      <c r="B4747" s="345"/>
      <c r="C4747" s="332"/>
      <c r="D4747" s="1212"/>
      <c r="E4747" s="622"/>
      <c r="F4747" s="1216"/>
      <c r="G4747" s="1216"/>
      <c r="H4747" s="1216"/>
      <c r="I4747" s="324">
        <f t="shared" si="3275"/>
        <v>0</v>
      </c>
      <c r="J4747" s="1216"/>
      <c r="K4747" s="1216"/>
      <c r="L4747" s="317">
        <f t="shared" si="3299"/>
        <v>0</v>
      </c>
      <c r="M4747" s="317"/>
      <c r="N4747" s="372">
        <f t="shared" si="3303"/>
        <v>0</v>
      </c>
      <c r="O4747" s="336">
        <f t="shared" si="3286"/>
        <v>0</v>
      </c>
      <c r="P4747" s="319">
        <f t="shared" si="3297"/>
        <v>0</v>
      </c>
      <c r="R4747" s="317"/>
      <c r="U4747" s="320"/>
    </row>
    <row r="4748" spans="1:21" s="344" customFormat="1" outlineLevel="3">
      <c r="A4748" s="345"/>
      <c r="B4748" s="345"/>
      <c r="C4748" s="332"/>
      <c r="D4748" s="1212"/>
      <c r="E4748" s="622"/>
      <c r="F4748" s="1216"/>
      <c r="G4748" s="1216"/>
      <c r="H4748" s="1216"/>
      <c r="I4748" s="324">
        <f t="shared" si="3275"/>
        <v>0</v>
      </c>
      <c r="J4748" s="1216"/>
      <c r="K4748" s="1216"/>
      <c r="L4748" s="317">
        <f t="shared" si="3299"/>
        <v>0</v>
      </c>
      <c r="M4748" s="317"/>
      <c r="N4748" s="372">
        <f t="shared" si="3303"/>
        <v>0</v>
      </c>
      <c r="O4748" s="336">
        <f t="shared" si="3286"/>
        <v>0</v>
      </c>
      <c r="P4748" s="319">
        <f t="shared" si="3297"/>
        <v>0</v>
      </c>
      <c r="R4748" s="317"/>
      <c r="U4748" s="320"/>
    </row>
    <row r="4749" spans="1:21" s="344" customFormat="1" outlineLevel="3">
      <c r="A4749" s="345"/>
      <c r="B4749" s="345"/>
      <c r="C4749" s="340"/>
      <c r="D4749" s="338" t="s">
        <v>92</v>
      </c>
      <c r="E4749" s="622"/>
      <c r="F4749" s="397"/>
      <c r="G4749" s="397"/>
      <c r="H4749" s="397"/>
      <c r="I4749" s="324">
        <f t="shared" si="3275"/>
        <v>0</v>
      </c>
      <c r="J4749" s="397"/>
      <c r="K4749" s="397"/>
      <c r="L4749" s="317">
        <f t="shared" si="3299"/>
        <v>0</v>
      </c>
      <c r="M4749" s="317"/>
      <c r="N4749" s="372">
        <f t="shared" si="3303"/>
        <v>0</v>
      </c>
      <c r="O4749" s="336">
        <f t="shared" si="3286"/>
        <v>0</v>
      </c>
      <c r="P4749" s="319">
        <f t="shared" si="3297"/>
        <v>0</v>
      </c>
      <c r="R4749" s="317"/>
      <c r="U4749" s="320"/>
    </row>
    <row r="4750" spans="1:21" s="344" customFormat="1" outlineLevel="3">
      <c r="A4750" s="345"/>
      <c r="B4750" s="345"/>
      <c r="C4750" s="340">
        <v>2211000</v>
      </c>
      <c r="D4750" s="338" t="s">
        <v>118</v>
      </c>
      <c r="E4750" s="622">
        <f>E4751</f>
        <v>8166196</v>
      </c>
      <c r="F4750" s="622">
        <f t="shared" ref="F4750:P4750" si="3306">F4751</f>
        <v>0</v>
      </c>
      <c r="G4750" s="622">
        <f t="shared" si="3306"/>
        <v>0</v>
      </c>
      <c r="H4750" s="622">
        <f t="shared" si="3306"/>
        <v>0</v>
      </c>
      <c r="I4750" s="622">
        <f t="shared" si="3306"/>
        <v>8166196</v>
      </c>
      <c r="J4750" s="622">
        <f t="shared" si="3306"/>
        <v>0</v>
      </c>
      <c r="K4750" s="622">
        <f t="shared" si="3306"/>
        <v>0</v>
      </c>
      <c r="L4750" s="317">
        <f t="shared" si="3299"/>
        <v>8166196</v>
      </c>
      <c r="M4750" s="317"/>
      <c r="N4750" s="372">
        <f t="shared" si="3303"/>
        <v>0</v>
      </c>
      <c r="O4750" s="622">
        <f t="shared" si="3306"/>
        <v>8982815.6000000015</v>
      </c>
      <c r="P4750" s="622">
        <f t="shared" si="3306"/>
        <v>9881097.160000002</v>
      </c>
      <c r="R4750" s="317"/>
      <c r="U4750" s="320"/>
    </row>
    <row r="4751" spans="1:21" s="344" customFormat="1" outlineLevel="3">
      <c r="A4751" s="345"/>
      <c r="B4751" s="345"/>
      <c r="C4751" s="332">
        <v>2211026</v>
      </c>
      <c r="D4751" s="330" t="s">
        <v>1348</v>
      </c>
      <c r="E4751" s="422">
        <f>2000000+2000000+4166196</f>
        <v>8166196</v>
      </c>
      <c r="F4751" s="389"/>
      <c r="G4751" s="389"/>
      <c r="H4751" s="389">
        <v>0</v>
      </c>
      <c r="I4751" s="324">
        <f t="shared" si="3275"/>
        <v>8166196</v>
      </c>
      <c r="J4751" s="389"/>
      <c r="K4751" s="549"/>
      <c r="L4751" s="317">
        <f t="shared" si="3299"/>
        <v>8166196</v>
      </c>
      <c r="M4751" s="317"/>
      <c r="N4751" s="372">
        <f t="shared" si="3303"/>
        <v>0</v>
      </c>
      <c r="O4751" s="336">
        <f t="shared" si="3286"/>
        <v>8982815.6000000015</v>
      </c>
      <c r="P4751" s="319">
        <f t="shared" si="3297"/>
        <v>9881097.160000002</v>
      </c>
      <c r="Q4751" s="1190" t="s">
        <v>2526</v>
      </c>
      <c r="R4751" s="317"/>
      <c r="U4751" s="320"/>
    </row>
    <row r="4752" spans="1:21" s="344" customFormat="1" outlineLevel="3">
      <c r="A4752" s="345"/>
      <c r="B4752" s="345"/>
      <c r="C4752" s="340">
        <v>3110500</v>
      </c>
      <c r="D4752" s="338" t="s">
        <v>260</v>
      </c>
      <c r="E4752" s="622">
        <f>E4753+E4754</f>
        <v>3050487</v>
      </c>
      <c r="F4752" s="622">
        <f t="shared" ref="F4752:P4752" si="3307">F4753+F4754</f>
        <v>0</v>
      </c>
      <c r="G4752" s="622">
        <f t="shared" si="3307"/>
        <v>0</v>
      </c>
      <c r="H4752" s="622">
        <f t="shared" si="3307"/>
        <v>0</v>
      </c>
      <c r="I4752" s="622">
        <f t="shared" si="3307"/>
        <v>3050487</v>
      </c>
      <c r="J4752" s="622">
        <f t="shared" si="3307"/>
        <v>0</v>
      </c>
      <c r="K4752" s="622">
        <f t="shared" si="3307"/>
        <v>0</v>
      </c>
      <c r="L4752" s="317">
        <f t="shared" si="3299"/>
        <v>3050487</v>
      </c>
      <c r="M4752" s="317"/>
      <c r="N4752" s="372">
        <f t="shared" si="3303"/>
        <v>0</v>
      </c>
      <c r="O4752" s="622">
        <f t="shared" si="3307"/>
        <v>3355535.7</v>
      </c>
      <c r="P4752" s="622">
        <f t="shared" si="3307"/>
        <v>3691089.2700000005</v>
      </c>
      <c r="R4752" s="317"/>
      <c r="U4752" s="320"/>
    </row>
    <row r="4753" spans="1:21" s="344" customFormat="1" outlineLevel="3">
      <c r="A4753" s="345"/>
      <c r="B4753" s="345"/>
      <c r="C4753" s="332">
        <v>3110504</v>
      </c>
      <c r="D4753" s="330" t="s">
        <v>1778</v>
      </c>
      <c r="E4753" s="422">
        <v>2000000</v>
      </c>
      <c r="F4753" s="389"/>
      <c r="G4753" s="389"/>
      <c r="H4753" s="389">
        <v>0</v>
      </c>
      <c r="I4753" s="324">
        <f t="shared" si="3275"/>
        <v>2000000</v>
      </c>
      <c r="J4753" s="389"/>
      <c r="K4753" s="389"/>
      <c r="L4753" s="317">
        <f t="shared" si="3299"/>
        <v>2000000</v>
      </c>
      <c r="M4753" s="317"/>
      <c r="N4753" s="372">
        <f t="shared" si="3303"/>
        <v>0</v>
      </c>
      <c r="O4753" s="336">
        <f t="shared" si="3286"/>
        <v>2200000</v>
      </c>
      <c r="P4753" s="319">
        <f t="shared" si="3297"/>
        <v>2420000</v>
      </c>
      <c r="R4753" s="317"/>
      <c r="U4753" s="320"/>
    </row>
    <row r="4754" spans="1:21" s="344" customFormat="1" outlineLevel="3">
      <c r="A4754" s="345"/>
      <c r="B4754" s="345"/>
      <c r="C4754" s="332">
        <v>3110505</v>
      </c>
      <c r="D4754" s="330" t="s">
        <v>2441</v>
      </c>
      <c r="E4754" s="422">
        <v>1050487</v>
      </c>
      <c r="F4754" s="389"/>
      <c r="G4754" s="389"/>
      <c r="H4754" s="389"/>
      <c r="I4754" s="324">
        <f t="shared" si="3275"/>
        <v>1050487</v>
      </c>
      <c r="J4754" s="389"/>
      <c r="K4754" s="389"/>
      <c r="L4754" s="317">
        <f t="shared" si="3299"/>
        <v>1050487</v>
      </c>
      <c r="M4754" s="317"/>
      <c r="N4754" s="372">
        <f t="shared" si="3303"/>
        <v>0</v>
      </c>
      <c r="O4754" s="336">
        <f t="shared" si="3286"/>
        <v>1155535.7000000002</v>
      </c>
      <c r="P4754" s="319">
        <f t="shared" si="3297"/>
        <v>1271089.2700000003</v>
      </c>
      <c r="R4754" s="317"/>
      <c r="U4754" s="320"/>
    </row>
    <row r="4755" spans="1:21" s="344" customFormat="1" outlineLevel="3">
      <c r="A4755" s="345"/>
      <c r="B4755" s="345"/>
      <c r="C4755" s="340"/>
      <c r="D4755" s="1186" t="s">
        <v>261</v>
      </c>
      <c r="E4755" s="622">
        <f>E4750+E4752</f>
        <v>11216683</v>
      </c>
      <c r="F4755" s="622">
        <f t="shared" ref="F4755:P4755" si="3308">F4750+F4752</f>
        <v>0</v>
      </c>
      <c r="G4755" s="622">
        <f t="shared" si="3308"/>
        <v>0</v>
      </c>
      <c r="H4755" s="622">
        <f t="shared" si="3308"/>
        <v>0</v>
      </c>
      <c r="I4755" s="622">
        <f t="shared" si="3308"/>
        <v>11216683</v>
      </c>
      <c r="J4755" s="622">
        <f t="shared" si="3308"/>
        <v>0</v>
      </c>
      <c r="K4755" s="622">
        <f t="shared" si="3308"/>
        <v>0</v>
      </c>
      <c r="L4755" s="317">
        <f t="shared" si="3299"/>
        <v>11216683</v>
      </c>
      <c r="M4755" s="317"/>
      <c r="N4755" s="372">
        <f t="shared" si="3303"/>
        <v>0</v>
      </c>
      <c r="O4755" s="622">
        <f t="shared" si="3308"/>
        <v>12338351.300000001</v>
      </c>
      <c r="P4755" s="622">
        <f t="shared" si="3308"/>
        <v>13572186.430000003</v>
      </c>
      <c r="R4755" s="317"/>
      <c r="U4755" s="320"/>
    </row>
    <row r="4756" spans="1:21" s="344" customFormat="1" outlineLevel="3">
      <c r="A4756" s="345"/>
      <c r="B4756" s="345"/>
      <c r="C4756" s="340"/>
      <c r="D4756" s="1210" t="s">
        <v>84</v>
      </c>
      <c r="E4756" s="622">
        <f>E4755+E4746</f>
        <v>18647761</v>
      </c>
      <c r="F4756" s="622">
        <f t="shared" ref="F4756:K4756" si="3309">F4755+F4746</f>
        <v>0</v>
      </c>
      <c r="G4756" s="622">
        <f t="shared" si="3309"/>
        <v>0</v>
      </c>
      <c r="H4756" s="622">
        <f t="shared" si="3309"/>
        <v>0</v>
      </c>
      <c r="I4756" s="622">
        <f t="shared" si="3309"/>
        <v>18647761</v>
      </c>
      <c r="J4756" s="622">
        <f t="shared" si="3309"/>
        <v>0</v>
      </c>
      <c r="K4756" s="622">
        <f t="shared" si="3309"/>
        <v>0</v>
      </c>
      <c r="L4756" s="317">
        <f t="shared" si="3299"/>
        <v>18647761</v>
      </c>
      <c r="M4756" s="317"/>
      <c r="N4756" s="372">
        <f t="shared" si="3303"/>
        <v>0</v>
      </c>
      <c r="O4756" s="622">
        <f t="shared" ref="O4756:P4756" si="3310">O4755+O4746</f>
        <v>20512537.100000001</v>
      </c>
      <c r="P4756" s="622">
        <f t="shared" si="3310"/>
        <v>22563790.810000002</v>
      </c>
      <c r="R4756" s="317"/>
      <c r="U4756" s="320"/>
    </row>
    <row r="4757" spans="1:21" s="344" customFormat="1" outlineLevel="1">
      <c r="A4757" s="345"/>
      <c r="B4757" s="345"/>
      <c r="C4757" s="340"/>
      <c r="D4757" s="447" t="s">
        <v>809</v>
      </c>
      <c r="E4757" s="619">
        <f>E4746+E4702+E4660</f>
        <v>74481280</v>
      </c>
      <c r="F4757" s="619">
        <f t="shared" ref="F4757:K4757" si="3311">F4746+F4702+F4660</f>
        <v>0</v>
      </c>
      <c r="G4757" s="619">
        <f t="shared" si="3311"/>
        <v>-2000000</v>
      </c>
      <c r="H4757" s="619">
        <f t="shared" si="3311"/>
        <v>0</v>
      </c>
      <c r="I4757" s="619">
        <f t="shared" si="3311"/>
        <v>72481280</v>
      </c>
      <c r="J4757" s="619">
        <f t="shared" si="3311"/>
        <v>0</v>
      </c>
      <c r="K4757" s="619">
        <f t="shared" si="3311"/>
        <v>0</v>
      </c>
      <c r="L4757" s="317">
        <f t="shared" si="3299"/>
        <v>72481280</v>
      </c>
      <c r="M4757" s="317"/>
      <c r="N4757" s="372">
        <f t="shared" si="3303"/>
        <v>0</v>
      </c>
      <c r="O4757" s="619">
        <f t="shared" ref="O4757:P4757" si="3312">O4746+O4702+O4660</f>
        <v>79729408</v>
      </c>
      <c r="P4757" s="619">
        <f t="shared" si="3312"/>
        <v>87702348.800000012</v>
      </c>
      <c r="R4757" s="317"/>
      <c r="U4757" s="320"/>
    </row>
    <row r="4758" spans="1:21" s="344" customFormat="1" outlineLevel="1" collapsed="1">
      <c r="A4758" s="345"/>
      <c r="B4758" s="345"/>
      <c r="C4758" s="340"/>
      <c r="D4758" s="447" t="s">
        <v>810</v>
      </c>
      <c r="E4758" s="619">
        <f>E4755+E4712</f>
        <v>22416683</v>
      </c>
      <c r="F4758" s="619">
        <f t="shared" ref="F4758:P4758" si="3313">F4755+F4712</f>
        <v>1004213.1660952568</v>
      </c>
      <c r="G4758" s="619">
        <f t="shared" si="3313"/>
        <v>-4200000</v>
      </c>
      <c r="H4758" s="619">
        <f t="shared" si="3313"/>
        <v>1000000</v>
      </c>
      <c r="I4758" s="619">
        <f t="shared" si="3313"/>
        <v>20220896.166095257</v>
      </c>
      <c r="J4758" s="619">
        <f t="shared" si="3313"/>
        <v>-3000000</v>
      </c>
      <c r="K4758" s="619">
        <f t="shared" si="3313"/>
        <v>0</v>
      </c>
      <c r="L4758" s="317">
        <f t="shared" si="3299"/>
        <v>17220896.166095257</v>
      </c>
      <c r="M4758" s="317"/>
      <c r="N4758" s="372">
        <f t="shared" si="3303"/>
        <v>0</v>
      </c>
      <c r="O4758" s="619">
        <f t="shared" si="3313"/>
        <v>18942985.782704785</v>
      </c>
      <c r="P4758" s="619">
        <f t="shared" si="3313"/>
        <v>20837284.360975266</v>
      </c>
      <c r="R4758" s="317"/>
      <c r="U4758" s="320"/>
    </row>
    <row r="4759" spans="1:21" s="344" customFormat="1" outlineLevel="1">
      <c r="A4759" s="345"/>
      <c r="B4759" s="345"/>
      <c r="C4759" s="340"/>
      <c r="D4759" s="447" t="s">
        <v>811</v>
      </c>
      <c r="E4759" s="619">
        <f>E4757+E4758</f>
        <v>96897963</v>
      </c>
      <c r="F4759" s="619">
        <f t="shared" ref="F4759:K4759" si="3314">F4757+F4758</f>
        <v>1004213.1660952568</v>
      </c>
      <c r="G4759" s="619">
        <f t="shared" si="3314"/>
        <v>-6200000</v>
      </c>
      <c r="H4759" s="619">
        <f t="shared" si="3314"/>
        <v>1000000</v>
      </c>
      <c r="I4759" s="619">
        <f t="shared" si="3314"/>
        <v>92702176.166095257</v>
      </c>
      <c r="J4759" s="619">
        <f t="shared" si="3314"/>
        <v>-3000000</v>
      </c>
      <c r="K4759" s="619">
        <f t="shared" si="3314"/>
        <v>0</v>
      </c>
      <c r="L4759" s="317">
        <f t="shared" si="3299"/>
        <v>89702176.166095257</v>
      </c>
      <c r="M4759" s="317"/>
      <c r="N4759" s="372">
        <f t="shared" si="3303"/>
        <v>0</v>
      </c>
      <c r="O4759" s="619">
        <f t="shared" ref="O4759:P4759" si="3315">O4757+O4758</f>
        <v>98672393.782704785</v>
      </c>
      <c r="P4759" s="619">
        <f t="shared" si="3315"/>
        <v>108539633.16097528</v>
      </c>
      <c r="R4759" s="317"/>
      <c r="U4759" s="320"/>
    </row>
    <row r="4760" spans="1:21" s="344" customFormat="1">
      <c r="A4760" s="345"/>
      <c r="B4760" s="345"/>
      <c r="C4760" s="340"/>
      <c r="D4760" s="447" t="s">
        <v>313</v>
      </c>
      <c r="E4760" s="619">
        <f>E4757+E4614</f>
        <v>367669257</v>
      </c>
      <c r="F4760" s="619">
        <f t="shared" ref="F4760:L4760" si="3316">F4757+F4614</f>
        <v>0</v>
      </c>
      <c r="G4760" s="619">
        <f t="shared" si="3316"/>
        <v>-7000000</v>
      </c>
      <c r="H4760" s="619">
        <f t="shared" si="3316"/>
        <v>2000000</v>
      </c>
      <c r="I4760" s="619">
        <f t="shared" si="3316"/>
        <v>362669257</v>
      </c>
      <c r="J4760" s="619">
        <f t="shared" si="3316"/>
        <v>-4272950</v>
      </c>
      <c r="K4760" s="619">
        <f t="shared" si="3316"/>
        <v>0</v>
      </c>
      <c r="L4760" s="619">
        <f t="shared" si="3316"/>
        <v>358396307</v>
      </c>
      <c r="M4760" s="619"/>
      <c r="N4760" s="372">
        <f t="shared" si="3303"/>
        <v>0</v>
      </c>
      <c r="O4760" s="619">
        <f t="shared" ref="O4760:P4760" si="3317">O4757+O4614</f>
        <v>394235937.69999999</v>
      </c>
      <c r="P4760" s="619">
        <f t="shared" si="3317"/>
        <v>433659531.47000009</v>
      </c>
      <c r="R4760" s="619"/>
      <c r="U4760" s="698"/>
    </row>
    <row r="4761" spans="1:21" s="344" customFormat="1">
      <c r="A4761" s="345"/>
      <c r="B4761" s="345"/>
      <c r="C4761" s="405"/>
      <c r="D4761" s="447" t="s">
        <v>606</v>
      </c>
      <c r="E4761" s="619">
        <f>E4758+E4615</f>
        <v>342629871</v>
      </c>
      <c r="F4761" s="619">
        <f t="shared" ref="F4761:L4761" si="3318">F4758+F4615</f>
        <v>225266450.67609525</v>
      </c>
      <c r="G4761" s="619">
        <f t="shared" si="3318"/>
        <v>-9612055</v>
      </c>
      <c r="H4761" s="619">
        <f t="shared" si="3318"/>
        <v>15224485</v>
      </c>
      <c r="I4761" s="619">
        <f t="shared" si="3318"/>
        <v>573508751.67609525</v>
      </c>
      <c r="J4761" s="619">
        <f t="shared" si="3318"/>
        <v>6708919</v>
      </c>
      <c r="K4761" s="619">
        <f t="shared" si="3318"/>
        <v>0</v>
      </c>
      <c r="L4761" s="619">
        <f t="shared" si="3318"/>
        <v>580217670.67609525</v>
      </c>
      <c r="M4761" s="619"/>
      <c r="N4761" s="372">
        <f t="shared" si="3303"/>
        <v>0</v>
      </c>
      <c r="O4761" s="619">
        <f t="shared" ref="O4761:P4761" si="3319">O4758+O4615</f>
        <v>626228626.84370494</v>
      </c>
      <c r="P4761" s="619">
        <f t="shared" si="3319"/>
        <v>652973485.8610754</v>
      </c>
      <c r="R4761" s="619"/>
      <c r="U4761" s="698"/>
    </row>
    <row r="4762" spans="1:21" s="344" customFormat="1">
      <c r="A4762" s="345"/>
      <c r="B4762" s="345"/>
      <c r="C4762" s="1224" t="s">
        <v>1275</v>
      </c>
      <c r="D4762" s="1225"/>
      <c r="E4762" s="619">
        <f>E4761+E4760</f>
        <v>710299128</v>
      </c>
      <c r="F4762" s="619">
        <f t="shared" ref="F4762:L4762" si="3320">F4761+F4760</f>
        <v>225266450.67609525</v>
      </c>
      <c r="G4762" s="619">
        <f t="shared" si="3320"/>
        <v>-16612055</v>
      </c>
      <c r="H4762" s="619">
        <f t="shared" si="3320"/>
        <v>17224485</v>
      </c>
      <c r="I4762" s="619">
        <f t="shared" si="3320"/>
        <v>936178008.67609525</v>
      </c>
      <c r="J4762" s="619">
        <f t="shared" si="3320"/>
        <v>2435969</v>
      </c>
      <c r="K4762" s="619">
        <f t="shared" si="3320"/>
        <v>0</v>
      </c>
      <c r="L4762" s="619">
        <f t="shared" si="3320"/>
        <v>938613977.67609525</v>
      </c>
      <c r="M4762" s="619"/>
      <c r="N4762" s="372">
        <f t="shared" si="3303"/>
        <v>0</v>
      </c>
      <c r="O4762" s="619">
        <f t="shared" ref="O4762:P4762" si="3321">O4761+O4760</f>
        <v>1020464564.543705</v>
      </c>
      <c r="P4762" s="619">
        <f t="shared" si="3321"/>
        <v>1086633017.3310754</v>
      </c>
      <c r="R4762" s="619"/>
      <c r="U4762" s="698" t="s">
        <v>1803</v>
      </c>
    </row>
    <row r="4763" spans="1:21" s="344" customFormat="1">
      <c r="A4763" s="345"/>
      <c r="B4763" s="345"/>
      <c r="C4763" s="405"/>
      <c r="D4763" s="447"/>
      <c r="E4763" s="438"/>
      <c r="F4763" s="438"/>
      <c r="G4763" s="438"/>
      <c r="H4763" s="438"/>
      <c r="I4763" s="324">
        <f t="shared" ref="I4763:I4826" si="3322">E4763+F4763+G4763+H4763</f>
        <v>0</v>
      </c>
      <c r="J4763" s="438"/>
      <c r="K4763" s="438"/>
      <c r="L4763" s="317"/>
      <c r="M4763" s="317"/>
      <c r="N4763" s="372">
        <f t="shared" si="3303"/>
        <v>0</v>
      </c>
      <c r="O4763" s="336">
        <f t="shared" si="3286"/>
        <v>0</v>
      </c>
      <c r="P4763" s="319"/>
      <c r="R4763" s="317"/>
      <c r="U4763" s="320"/>
    </row>
    <row r="4764" spans="1:21" s="344" customFormat="1">
      <c r="A4764" s="483"/>
      <c r="B4764" s="483"/>
      <c r="C4764" s="1049"/>
      <c r="D4764" s="1226"/>
      <c r="E4764" s="1227"/>
      <c r="F4764" s="1227"/>
      <c r="G4764" s="1227"/>
      <c r="H4764" s="1227"/>
      <c r="I4764" s="324">
        <f t="shared" si="3322"/>
        <v>0</v>
      </c>
      <c r="J4764" s="1227"/>
      <c r="K4764" s="1227"/>
      <c r="L4764" s="317"/>
      <c r="M4764" s="317"/>
      <c r="N4764" s="372">
        <f t="shared" si="3303"/>
        <v>0</v>
      </c>
      <c r="O4764" s="336">
        <f t="shared" si="3286"/>
        <v>0</v>
      </c>
      <c r="P4764" s="319"/>
      <c r="R4764" s="317"/>
      <c r="U4764" s="320"/>
    </row>
    <row r="4765" spans="1:21" s="344" customFormat="1">
      <c r="A4765" s="345"/>
      <c r="B4765" s="345"/>
      <c r="C4765" s="314" t="s">
        <v>1259</v>
      </c>
      <c r="D4765" s="760"/>
      <c r="E4765" s="1228"/>
      <c r="F4765" s="576"/>
      <c r="G4765" s="576"/>
      <c r="H4765" s="576"/>
      <c r="I4765" s="324">
        <f t="shared" si="3322"/>
        <v>0</v>
      </c>
      <c r="J4765" s="576"/>
      <c r="K4765" s="576"/>
      <c r="L4765" s="317"/>
      <c r="M4765" s="317"/>
      <c r="N4765" s="372">
        <f t="shared" si="3303"/>
        <v>0</v>
      </c>
      <c r="O4765" s="336">
        <f t="shared" si="3286"/>
        <v>0</v>
      </c>
      <c r="P4765" s="319"/>
      <c r="R4765" s="317"/>
      <c r="U4765" s="320" t="s">
        <v>1803</v>
      </c>
    </row>
    <row r="4766" spans="1:21" s="344" customFormat="1" outlineLevel="1">
      <c r="A4766" s="506"/>
      <c r="B4766" s="506"/>
      <c r="C4766" s="1229" t="s">
        <v>355</v>
      </c>
      <c r="D4766" s="1230"/>
      <c r="E4766" s="1231">
        <v>0</v>
      </c>
      <c r="F4766" s="1232"/>
      <c r="G4766" s="1232"/>
      <c r="H4766" s="1232"/>
      <c r="I4766" s="324">
        <f t="shared" si="3322"/>
        <v>0</v>
      </c>
      <c r="J4766" s="1232"/>
      <c r="K4766" s="1232"/>
      <c r="L4766" s="317">
        <f t="shared" si="3299"/>
        <v>0</v>
      </c>
      <c r="M4766" s="317"/>
      <c r="N4766" s="372">
        <f t="shared" si="3303"/>
        <v>0</v>
      </c>
      <c r="O4766" s="336">
        <f t="shared" si="3286"/>
        <v>0</v>
      </c>
      <c r="P4766" s="319">
        <f t="shared" ref="P4766:P4785" si="3323">O4766*1.1</f>
        <v>0</v>
      </c>
      <c r="R4766" s="317"/>
      <c r="U4766" s="320"/>
    </row>
    <row r="4767" spans="1:21" s="344" customFormat="1" outlineLevel="2">
      <c r="A4767" s="345"/>
      <c r="B4767" s="345"/>
      <c r="C4767" s="1233">
        <v>2110100</v>
      </c>
      <c r="D4767" s="1234" t="s">
        <v>13</v>
      </c>
      <c r="E4767" s="1235">
        <f>E4768</f>
        <v>56983440</v>
      </c>
      <c r="F4767" s="1235">
        <f t="shared" ref="F4767:P4767" si="3324">F4768</f>
        <v>0</v>
      </c>
      <c r="G4767" s="1235">
        <f t="shared" si="3324"/>
        <v>0</v>
      </c>
      <c r="H4767" s="1235">
        <f t="shared" si="3324"/>
        <v>0</v>
      </c>
      <c r="I4767" s="1235">
        <f t="shared" si="3324"/>
        <v>56983440</v>
      </c>
      <c r="J4767" s="1235">
        <f t="shared" si="3324"/>
        <v>0</v>
      </c>
      <c r="K4767" s="1235">
        <f t="shared" si="3324"/>
        <v>0</v>
      </c>
      <c r="L4767" s="317">
        <f t="shared" si="3299"/>
        <v>56983440</v>
      </c>
      <c r="M4767" s="317"/>
      <c r="N4767" s="372">
        <f t="shared" si="3303"/>
        <v>0</v>
      </c>
      <c r="O4767" s="1235">
        <f t="shared" si="3324"/>
        <v>62681784.000000007</v>
      </c>
      <c r="P4767" s="1235">
        <f t="shared" si="3324"/>
        <v>68949962.400000021</v>
      </c>
      <c r="R4767" s="317"/>
      <c r="U4767" s="320"/>
    </row>
    <row r="4768" spans="1:21" s="344" customFormat="1" outlineLevel="2">
      <c r="A4768" s="345"/>
      <c r="B4768" s="345"/>
      <c r="C4768" s="1236">
        <v>2110101</v>
      </c>
      <c r="D4768" s="1237" t="s">
        <v>14</v>
      </c>
      <c r="E4768" s="1238">
        <v>56983440</v>
      </c>
      <c r="F4768" s="1239"/>
      <c r="G4768" s="1239"/>
      <c r="H4768" s="1239"/>
      <c r="I4768" s="324">
        <f t="shared" si="3322"/>
        <v>56983440</v>
      </c>
      <c r="J4768" s="1239"/>
      <c r="K4768" s="1240"/>
      <c r="L4768" s="317">
        <f t="shared" si="3299"/>
        <v>56983440</v>
      </c>
      <c r="M4768" s="317"/>
      <c r="N4768" s="372">
        <f t="shared" si="3303"/>
        <v>0</v>
      </c>
      <c r="O4768" s="336">
        <f t="shared" si="3286"/>
        <v>62681784.000000007</v>
      </c>
      <c r="P4768" s="319">
        <f t="shared" si="3323"/>
        <v>68949962.400000021</v>
      </c>
      <c r="R4768" s="317"/>
      <c r="U4768" s="320"/>
    </row>
    <row r="4769" spans="1:21" s="344" customFormat="1" outlineLevel="2">
      <c r="A4769" s="345"/>
      <c r="B4769" s="345"/>
      <c r="C4769" s="1233">
        <v>2210100</v>
      </c>
      <c r="D4769" s="1234" t="s">
        <v>16</v>
      </c>
      <c r="E4769" s="1235">
        <f>E4770+E4771</f>
        <v>400000</v>
      </c>
      <c r="F4769" s="1235">
        <f t="shared" ref="F4769:P4769" si="3325">F4770+F4771</f>
        <v>0</v>
      </c>
      <c r="G4769" s="1235">
        <f t="shared" si="3325"/>
        <v>0</v>
      </c>
      <c r="H4769" s="1235">
        <f t="shared" si="3325"/>
        <v>0</v>
      </c>
      <c r="I4769" s="1235">
        <f t="shared" si="3325"/>
        <v>400000</v>
      </c>
      <c r="J4769" s="1235">
        <f t="shared" si="3325"/>
        <v>0</v>
      </c>
      <c r="K4769" s="1235">
        <f t="shared" si="3325"/>
        <v>0</v>
      </c>
      <c r="L4769" s="317">
        <f t="shared" si="3299"/>
        <v>400000</v>
      </c>
      <c r="M4769" s="317"/>
      <c r="N4769" s="372">
        <f t="shared" si="3303"/>
        <v>0</v>
      </c>
      <c r="O4769" s="1235">
        <f t="shared" si="3325"/>
        <v>440000</v>
      </c>
      <c r="P4769" s="1235">
        <f t="shared" si="3325"/>
        <v>484000.00000000012</v>
      </c>
      <c r="R4769" s="317"/>
      <c r="U4769" s="320"/>
    </row>
    <row r="4770" spans="1:21" s="344" customFormat="1" outlineLevel="2">
      <c r="A4770" s="345"/>
      <c r="B4770" s="345"/>
      <c r="C4770" s="1236">
        <v>2210101</v>
      </c>
      <c r="D4770" s="1237" t="s">
        <v>17</v>
      </c>
      <c r="E4770" s="1241">
        <v>300000</v>
      </c>
      <c r="F4770" s="1239"/>
      <c r="G4770" s="1239"/>
      <c r="H4770" s="1239"/>
      <c r="I4770" s="324">
        <f t="shared" si="3322"/>
        <v>300000</v>
      </c>
      <c r="J4770" s="1239"/>
      <c r="K4770" s="1240"/>
      <c r="L4770" s="317">
        <f t="shared" si="3299"/>
        <v>300000</v>
      </c>
      <c r="M4770" s="317"/>
      <c r="N4770" s="372">
        <f t="shared" si="3303"/>
        <v>0</v>
      </c>
      <c r="O4770" s="336">
        <f t="shared" si="3286"/>
        <v>330000</v>
      </c>
      <c r="P4770" s="319">
        <f t="shared" si="3323"/>
        <v>363000.00000000006</v>
      </c>
      <c r="R4770" s="317"/>
      <c r="U4770" s="320"/>
    </row>
    <row r="4771" spans="1:21" s="344" customFormat="1" outlineLevel="2">
      <c r="A4771" s="345"/>
      <c r="B4771" s="345"/>
      <c r="C4771" s="1236">
        <v>2210102</v>
      </c>
      <c r="D4771" s="1237" t="s">
        <v>18</v>
      </c>
      <c r="E4771" s="1241">
        <v>100000</v>
      </c>
      <c r="F4771" s="1239"/>
      <c r="G4771" s="1239"/>
      <c r="H4771" s="1239"/>
      <c r="I4771" s="324">
        <f t="shared" si="3322"/>
        <v>100000</v>
      </c>
      <c r="J4771" s="1239"/>
      <c r="K4771" s="1240"/>
      <c r="L4771" s="317">
        <f t="shared" si="3299"/>
        <v>100000</v>
      </c>
      <c r="M4771" s="317"/>
      <c r="N4771" s="372">
        <f t="shared" si="3303"/>
        <v>0</v>
      </c>
      <c r="O4771" s="336">
        <f t="shared" si="3286"/>
        <v>110000.00000000001</v>
      </c>
      <c r="P4771" s="319">
        <f t="shared" si="3323"/>
        <v>121000.00000000003</v>
      </c>
      <c r="R4771" s="317"/>
      <c r="U4771" s="320"/>
    </row>
    <row r="4772" spans="1:21" s="344" customFormat="1" outlineLevel="2">
      <c r="A4772" s="345"/>
      <c r="B4772" s="345"/>
      <c r="C4772" s="1233">
        <v>2210200</v>
      </c>
      <c r="D4772" s="1234" t="s">
        <v>20</v>
      </c>
      <c r="E4772" s="1235">
        <f>SUM(E4773:E4775)</f>
        <v>667000</v>
      </c>
      <c r="F4772" s="1235">
        <f t="shared" ref="F4772:P4772" si="3326">SUM(F4773:F4775)</f>
        <v>84000</v>
      </c>
      <c r="G4772" s="1235">
        <f t="shared" si="3326"/>
        <v>0</v>
      </c>
      <c r="H4772" s="1235">
        <f t="shared" si="3326"/>
        <v>0</v>
      </c>
      <c r="I4772" s="1235">
        <f t="shared" si="3326"/>
        <v>751000</v>
      </c>
      <c r="J4772" s="1235">
        <f t="shared" si="3326"/>
        <v>0</v>
      </c>
      <c r="K4772" s="1235">
        <f t="shared" si="3326"/>
        <v>0</v>
      </c>
      <c r="L4772" s="317">
        <f t="shared" si="3299"/>
        <v>751000</v>
      </c>
      <c r="M4772" s="317"/>
      <c r="N4772" s="372">
        <f t="shared" si="3303"/>
        <v>0</v>
      </c>
      <c r="O4772" s="1235">
        <f t="shared" si="3326"/>
        <v>826100</v>
      </c>
      <c r="P4772" s="1235">
        <f t="shared" si="3326"/>
        <v>908710.00000000012</v>
      </c>
      <c r="R4772" s="317"/>
      <c r="U4772" s="320"/>
    </row>
    <row r="4773" spans="1:21" s="344" customFormat="1" outlineLevel="2">
      <c r="A4773" s="345"/>
      <c r="B4773" s="345"/>
      <c r="C4773" s="1236">
        <v>2210201</v>
      </c>
      <c r="D4773" s="1237" t="s">
        <v>187</v>
      </c>
      <c r="E4773" s="1241">
        <v>319000</v>
      </c>
      <c r="F4773" s="1239">
        <v>84000</v>
      </c>
      <c r="G4773" s="1239"/>
      <c r="H4773" s="1239"/>
      <c r="I4773" s="324">
        <f t="shared" si="3322"/>
        <v>403000</v>
      </c>
      <c r="J4773" s="1239"/>
      <c r="K4773" s="1240"/>
      <c r="L4773" s="317">
        <f t="shared" si="3299"/>
        <v>403000</v>
      </c>
      <c r="M4773" s="317"/>
      <c r="N4773" s="372">
        <f t="shared" si="3303"/>
        <v>0</v>
      </c>
      <c r="O4773" s="336">
        <f t="shared" si="3286"/>
        <v>443300.00000000006</v>
      </c>
      <c r="P4773" s="319">
        <f t="shared" si="3323"/>
        <v>487630.00000000012</v>
      </c>
      <c r="R4773" s="317"/>
      <c r="U4773" s="320"/>
    </row>
    <row r="4774" spans="1:21" s="344" customFormat="1" outlineLevel="2">
      <c r="A4774" s="345"/>
      <c r="B4774" s="345"/>
      <c r="C4774" s="1236">
        <v>2210202</v>
      </c>
      <c r="D4774" s="1237" t="s">
        <v>359</v>
      </c>
      <c r="E4774" s="1241">
        <v>290000</v>
      </c>
      <c r="F4774" s="1239"/>
      <c r="G4774" s="1239"/>
      <c r="H4774" s="1239"/>
      <c r="I4774" s="324">
        <f t="shared" si="3322"/>
        <v>290000</v>
      </c>
      <c r="J4774" s="1239"/>
      <c r="K4774" s="1240"/>
      <c r="L4774" s="317">
        <f t="shared" si="3299"/>
        <v>290000</v>
      </c>
      <c r="M4774" s="317"/>
      <c r="N4774" s="372">
        <f t="shared" si="3303"/>
        <v>0</v>
      </c>
      <c r="O4774" s="336">
        <f t="shared" si="3286"/>
        <v>319000</v>
      </c>
      <c r="P4774" s="319">
        <f t="shared" si="3323"/>
        <v>350900</v>
      </c>
      <c r="R4774" s="317"/>
      <c r="U4774" s="320"/>
    </row>
    <row r="4775" spans="1:21" s="344" customFormat="1" outlineLevel="2">
      <c r="A4775" s="345"/>
      <c r="B4775" s="345"/>
      <c r="C4775" s="1236">
        <v>2210203</v>
      </c>
      <c r="D4775" s="1237" t="s">
        <v>23</v>
      </c>
      <c r="E4775" s="1241">
        <v>58000</v>
      </c>
      <c r="F4775" s="1239"/>
      <c r="G4775" s="1239"/>
      <c r="H4775" s="1239"/>
      <c r="I4775" s="324">
        <f t="shared" si="3322"/>
        <v>58000</v>
      </c>
      <c r="J4775" s="1239"/>
      <c r="K4775" s="1240"/>
      <c r="L4775" s="317">
        <f t="shared" si="3299"/>
        <v>58000</v>
      </c>
      <c r="M4775" s="317"/>
      <c r="N4775" s="372">
        <f t="shared" si="3303"/>
        <v>0</v>
      </c>
      <c r="O4775" s="336">
        <f t="shared" si="3286"/>
        <v>63800.000000000007</v>
      </c>
      <c r="P4775" s="319">
        <f t="shared" si="3323"/>
        <v>70180.000000000015</v>
      </c>
      <c r="R4775" s="317"/>
      <c r="U4775" s="320"/>
    </row>
    <row r="4776" spans="1:21" s="344" customFormat="1" outlineLevel="2">
      <c r="A4776" s="345"/>
      <c r="B4776" s="345"/>
      <c r="C4776" s="1233">
        <v>2210300</v>
      </c>
      <c r="D4776" s="1234" t="s">
        <v>24</v>
      </c>
      <c r="E4776" s="1235">
        <f>SUM(E4777:E4779)</f>
        <v>1924000</v>
      </c>
      <c r="F4776" s="1235">
        <f t="shared" ref="F4776:P4776" si="3327">SUM(F4777:F4779)</f>
        <v>555618</v>
      </c>
      <c r="G4776" s="1235">
        <f t="shared" si="3327"/>
        <v>0</v>
      </c>
      <c r="H4776" s="1235">
        <f t="shared" si="3327"/>
        <v>0</v>
      </c>
      <c r="I4776" s="1235">
        <f t="shared" si="3327"/>
        <v>2479618</v>
      </c>
      <c r="J4776" s="1235">
        <f t="shared" si="3327"/>
        <v>0</v>
      </c>
      <c r="K4776" s="1235">
        <f t="shared" si="3327"/>
        <v>0</v>
      </c>
      <c r="L4776" s="317">
        <f t="shared" si="3299"/>
        <v>2479618</v>
      </c>
      <c r="M4776" s="317"/>
      <c r="N4776" s="372">
        <f t="shared" si="3303"/>
        <v>0</v>
      </c>
      <c r="O4776" s="1235">
        <f t="shared" si="3327"/>
        <v>2727579.8</v>
      </c>
      <c r="P4776" s="1235">
        <f t="shared" si="3327"/>
        <v>3000337.7800000003</v>
      </c>
      <c r="R4776" s="317"/>
      <c r="U4776" s="320"/>
    </row>
    <row r="4777" spans="1:21" s="344" customFormat="1" outlineLevel="2">
      <c r="A4777" s="345"/>
      <c r="B4777" s="345"/>
      <c r="C4777" s="1236">
        <v>2210301</v>
      </c>
      <c r="D4777" s="1237" t="s">
        <v>188</v>
      </c>
      <c r="E4777" s="1241">
        <v>580000</v>
      </c>
      <c r="F4777" s="1239"/>
      <c r="G4777" s="1239"/>
      <c r="H4777" s="1239"/>
      <c r="I4777" s="324">
        <f t="shared" si="3322"/>
        <v>580000</v>
      </c>
      <c r="J4777" s="1239"/>
      <c r="K4777" s="1240"/>
      <c r="L4777" s="317">
        <f t="shared" si="3299"/>
        <v>580000</v>
      </c>
      <c r="M4777" s="317"/>
      <c r="N4777" s="372">
        <f t="shared" si="3303"/>
        <v>0</v>
      </c>
      <c r="O4777" s="336">
        <f t="shared" si="3286"/>
        <v>638000</v>
      </c>
      <c r="P4777" s="319">
        <f t="shared" si="3323"/>
        <v>701800</v>
      </c>
      <c r="R4777" s="317"/>
      <c r="U4777" s="320"/>
    </row>
    <row r="4778" spans="1:21" s="344" customFormat="1" outlineLevel="2">
      <c r="A4778" s="345"/>
      <c r="B4778" s="345"/>
      <c r="C4778" s="1236">
        <v>2210302</v>
      </c>
      <c r="D4778" s="1237" t="s">
        <v>26</v>
      </c>
      <c r="E4778" s="1241">
        <f>1160000-160000-500000</f>
        <v>500000</v>
      </c>
      <c r="F4778" s="1239"/>
      <c r="G4778" s="1239"/>
      <c r="H4778" s="1239"/>
      <c r="I4778" s="324">
        <f t="shared" si="3322"/>
        <v>500000</v>
      </c>
      <c r="J4778" s="1239"/>
      <c r="K4778" s="1240"/>
      <c r="L4778" s="317">
        <f t="shared" si="3299"/>
        <v>500000</v>
      </c>
      <c r="M4778" s="317"/>
      <c r="N4778" s="372">
        <f t="shared" si="3303"/>
        <v>0</v>
      </c>
      <c r="O4778" s="336">
        <f t="shared" si="3286"/>
        <v>550000</v>
      </c>
      <c r="P4778" s="319">
        <f t="shared" si="3323"/>
        <v>605000</v>
      </c>
      <c r="R4778" s="317"/>
      <c r="U4778" s="320"/>
    </row>
    <row r="4779" spans="1:21" s="344" customFormat="1" outlineLevel="2">
      <c r="A4779" s="345"/>
      <c r="B4779" s="345"/>
      <c r="C4779" s="1236">
        <v>2210303</v>
      </c>
      <c r="D4779" s="1237" t="s">
        <v>223</v>
      </c>
      <c r="E4779" s="1241">
        <f>1044000-200000</f>
        <v>844000</v>
      </c>
      <c r="F4779" s="1239">
        <v>555618</v>
      </c>
      <c r="G4779" s="1239"/>
      <c r="H4779" s="1239"/>
      <c r="I4779" s="324">
        <f t="shared" si="3322"/>
        <v>1399618</v>
      </c>
      <c r="J4779" s="1239"/>
      <c r="K4779" s="1240"/>
      <c r="L4779" s="317">
        <f t="shared" si="3299"/>
        <v>1399618</v>
      </c>
      <c r="M4779" s="317"/>
      <c r="N4779" s="372">
        <f t="shared" si="3303"/>
        <v>0</v>
      </c>
      <c r="O4779" s="336">
        <f t="shared" si="3286"/>
        <v>1539579.8</v>
      </c>
      <c r="P4779" s="319">
        <f t="shared" si="3323"/>
        <v>1693537.7800000003</v>
      </c>
      <c r="R4779" s="317"/>
      <c r="U4779" s="320"/>
    </row>
    <row r="4780" spans="1:21" s="344" customFormat="1" outlineLevel="2">
      <c r="A4780" s="345"/>
      <c r="B4780" s="345"/>
      <c r="C4780" s="1233">
        <v>2210500</v>
      </c>
      <c r="D4780" s="1234" t="s">
        <v>31</v>
      </c>
      <c r="E4780" s="1235">
        <f>SUM(E4781:E4783)</f>
        <v>375400</v>
      </c>
      <c r="F4780" s="1235">
        <f t="shared" ref="F4780:K4780" si="3328">SUM(F4781:F4783)</f>
        <v>590833</v>
      </c>
      <c r="G4780" s="1235">
        <f t="shared" si="3328"/>
        <v>0</v>
      </c>
      <c r="H4780" s="1235">
        <f t="shared" si="3328"/>
        <v>0</v>
      </c>
      <c r="I4780" s="1235">
        <f t="shared" si="3328"/>
        <v>966233</v>
      </c>
      <c r="J4780" s="1235">
        <f t="shared" si="3328"/>
        <v>0</v>
      </c>
      <c r="K4780" s="1235">
        <f t="shared" si="3328"/>
        <v>794000</v>
      </c>
      <c r="L4780" s="317">
        <f t="shared" si="3299"/>
        <v>1760233</v>
      </c>
      <c r="M4780" s="317"/>
      <c r="N4780" s="372">
        <f t="shared" si="3303"/>
        <v>-794000</v>
      </c>
      <c r="O4780" s="1235">
        <f t="shared" ref="O4780:P4780" si="3329">SUM(O4781:O4783)</f>
        <v>1936256.3</v>
      </c>
      <c r="P4780" s="1235">
        <f t="shared" si="3329"/>
        <v>2129881.9300000002</v>
      </c>
      <c r="R4780" s="317"/>
      <c r="U4780" s="320"/>
    </row>
    <row r="4781" spans="1:21" s="344" customFormat="1" outlineLevel="2">
      <c r="A4781" s="345"/>
      <c r="B4781" s="345"/>
      <c r="C4781" s="1236">
        <v>2210502</v>
      </c>
      <c r="D4781" s="1237" t="s">
        <v>105</v>
      </c>
      <c r="E4781" s="1241">
        <v>100000</v>
      </c>
      <c r="F4781" s="1239"/>
      <c r="G4781" s="1239"/>
      <c r="H4781" s="1239"/>
      <c r="I4781" s="324">
        <f t="shared" si="3322"/>
        <v>100000</v>
      </c>
      <c r="J4781" s="1239"/>
      <c r="K4781" s="1240"/>
      <c r="L4781" s="317">
        <f t="shared" si="3299"/>
        <v>100000</v>
      </c>
      <c r="M4781" s="317"/>
      <c r="N4781" s="372">
        <f t="shared" si="3303"/>
        <v>0</v>
      </c>
      <c r="O4781" s="336">
        <f t="shared" si="3286"/>
        <v>110000.00000000001</v>
      </c>
      <c r="P4781" s="319">
        <f t="shared" si="3323"/>
        <v>121000.00000000003</v>
      </c>
      <c r="R4781" s="317"/>
      <c r="U4781" s="320"/>
    </row>
    <row r="4782" spans="1:21" s="344" customFormat="1" outlineLevel="2">
      <c r="A4782" s="345"/>
      <c r="B4782" s="345"/>
      <c r="C4782" s="1236">
        <v>2210503</v>
      </c>
      <c r="D4782" s="1237" t="s">
        <v>32</v>
      </c>
      <c r="E4782" s="1241">
        <v>75400</v>
      </c>
      <c r="F4782" s="1239">
        <v>590833</v>
      </c>
      <c r="G4782" s="1239"/>
      <c r="H4782" s="1239"/>
      <c r="I4782" s="324">
        <f t="shared" si="3322"/>
        <v>666233</v>
      </c>
      <c r="J4782" s="1239"/>
      <c r="K4782" s="1240">
        <v>-206000</v>
      </c>
      <c r="L4782" s="317">
        <f t="shared" si="3299"/>
        <v>460233</v>
      </c>
      <c r="M4782" s="317"/>
      <c r="N4782" s="372">
        <f t="shared" si="3303"/>
        <v>206000</v>
      </c>
      <c r="O4782" s="336">
        <f t="shared" ref="O4782:O4845" si="3330">L4782*1.1</f>
        <v>506256.30000000005</v>
      </c>
      <c r="P4782" s="319">
        <f t="shared" si="3323"/>
        <v>556881.93000000005</v>
      </c>
      <c r="R4782" s="317"/>
      <c r="U4782" s="320"/>
    </row>
    <row r="4783" spans="1:21" s="344" customFormat="1" outlineLevel="2">
      <c r="A4783" s="345"/>
      <c r="B4783" s="345"/>
      <c r="C4783" s="1236">
        <v>2210504</v>
      </c>
      <c r="D4783" s="1237" t="s">
        <v>33</v>
      </c>
      <c r="E4783" s="1241">
        <v>200000</v>
      </c>
      <c r="F4783" s="1239"/>
      <c r="G4783" s="1239"/>
      <c r="H4783" s="1239"/>
      <c r="I4783" s="324">
        <f t="shared" si="3322"/>
        <v>200000</v>
      </c>
      <c r="J4783" s="1239"/>
      <c r="K4783" s="1240">
        <v>1000000</v>
      </c>
      <c r="L4783" s="317">
        <f t="shared" si="3299"/>
        <v>1200000</v>
      </c>
      <c r="M4783" s="317"/>
      <c r="N4783" s="372">
        <f t="shared" si="3303"/>
        <v>-1000000</v>
      </c>
      <c r="O4783" s="336">
        <f t="shared" si="3330"/>
        <v>1320000</v>
      </c>
      <c r="P4783" s="319">
        <f t="shared" si="3323"/>
        <v>1452000.0000000002</v>
      </c>
      <c r="R4783" s="317"/>
      <c r="U4783" s="320"/>
    </row>
    <row r="4784" spans="1:21" s="344" customFormat="1" outlineLevel="2">
      <c r="A4784" s="345"/>
      <c r="B4784" s="345"/>
      <c r="C4784" s="1233">
        <v>2210700</v>
      </c>
      <c r="D4784" s="1234" t="s">
        <v>35</v>
      </c>
      <c r="E4784" s="1235">
        <f>SUM(E4785:E4787)</f>
        <v>551000</v>
      </c>
      <c r="F4784" s="1235">
        <f t="shared" ref="F4784:K4784" si="3331">SUM(F4785:F4787)</f>
        <v>0</v>
      </c>
      <c r="G4784" s="1235">
        <f t="shared" si="3331"/>
        <v>0</v>
      </c>
      <c r="H4784" s="1235">
        <f t="shared" si="3331"/>
        <v>0</v>
      </c>
      <c r="I4784" s="1235">
        <f t="shared" si="3331"/>
        <v>551000</v>
      </c>
      <c r="J4784" s="1235">
        <f t="shared" si="3331"/>
        <v>0</v>
      </c>
      <c r="K4784" s="1235">
        <f t="shared" si="3331"/>
        <v>750000</v>
      </c>
      <c r="L4784" s="317">
        <f t="shared" si="3299"/>
        <v>1301000</v>
      </c>
      <c r="M4784" s="317"/>
      <c r="N4784" s="372">
        <f t="shared" si="3303"/>
        <v>-750000</v>
      </c>
      <c r="O4784" s="1235">
        <f t="shared" ref="O4784:P4784" si="3332">SUM(O4785:O4787)</f>
        <v>1431100</v>
      </c>
      <c r="P4784" s="1235">
        <f t="shared" si="3332"/>
        <v>1574210.0000000002</v>
      </c>
      <c r="R4784" s="317"/>
      <c r="U4784" s="320"/>
    </row>
    <row r="4785" spans="1:21" s="344" customFormat="1" outlineLevel="2">
      <c r="A4785" s="345"/>
      <c r="B4785" s="345"/>
      <c r="C4785" s="1236">
        <v>2210701</v>
      </c>
      <c r="D4785" s="1237" t="s">
        <v>190</v>
      </c>
      <c r="E4785" s="1241">
        <v>290000</v>
      </c>
      <c r="F4785" s="1239"/>
      <c r="G4785" s="1239"/>
      <c r="H4785" s="1239"/>
      <c r="I4785" s="324">
        <f t="shared" si="3322"/>
        <v>290000</v>
      </c>
      <c r="J4785" s="1239"/>
      <c r="K4785" s="1240"/>
      <c r="L4785" s="317">
        <f t="shared" si="3299"/>
        <v>290000</v>
      </c>
      <c r="M4785" s="317"/>
      <c r="N4785" s="372">
        <f t="shared" si="3303"/>
        <v>0</v>
      </c>
      <c r="O4785" s="336">
        <f t="shared" si="3330"/>
        <v>319000</v>
      </c>
      <c r="P4785" s="319">
        <f t="shared" si="3323"/>
        <v>350900</v>
      </c>
      <c r="R4785" s="317"/>
      <c r="U4785" s="320"/>
    </row>
    <row r="4786" spans="1:21" s="344" customFormat="1" outlineLevel="2">
      <c r="A4786" s="345"/>
      <c r="B4786" s="345"/>
      <c r="C4786" s="1236">
        <v>2210704</v>
      </c>
      <c r="D4786" s="1237" t="s">
        <v>38</v>
      </c>
      <c r="E4786" s="1241">
        <v>58000</v>
      </c>
      <c r="F4786" s="1239"/>
      <c r="G4786" s="1239"/>
      <c r="H4786" s="1239"/>
      <c r="I4786" s="324">
        <f t="shared" si="3322"/>
        <v>58000</v>
      </c>
      <c r="J4786" s="1239"/>
      <c r="K4786" s="1240"/>
      <c r="L4786" s="317">
        <f t="shared" si="3299"/>
        <v>58000</v>
      </c>
      <c r="M4786" s="317"/>
      <c r="N4786" s="372">
        <f t="shared" si="3303"/>
        <v>0</v>
      </c>
      <c r="O4786" s="336">
        <f t="shared" si="3330"/>
        <v>63800.000000000007</v>
      </c>
      <c r="P4786" s="319">
        <f t="shared" ref="P4786:P4803" si="3333">O4786*1.1</f>
        <v>70180.000000000015</v>
      </c>
      <c r="R4786" s="317"/>
      <c r="U4786" s="320"/>
    </row>
    <row r="4787" spans="1:21" s="344" customFormat="1" outlineLevel="2">
      <c r="A4787" s="345"/>
      <c r="B4787" s="345"/>
      <c r="C4787" s="1236">
        <v>2210710</v>
      </c>
      <c r="D4787" s="1237" t="s">
        <v>361</v>
      </c>
      <c r="E4787" s="1241">
        <v>203000</v>
      </c>
      <c r="F4787" s="1239"/>
      <c r="G4787" s="1239"/>
      <c r="H4787" s="1239"/>
      <c r="I4787" s="324">
        <f t="shared" si="3322"/>
        <v>203000</v>
      </c>
      <c r="J4787" s="1239"/>
      <c r="K4787" s="1240">
        <v>750000</v>
      </c>
      <c r="L4787" s="317">
        <f t="shared" si="3299"/>
        <v>953000</v>
      </c>
      <c r="M4787" s="317"/>
      <c r="N4787" s="372">
        <f t="shared" si="3303"/>
        <v>-750000</v>
      </c>
      <c r="O4787" s="336">
        <f t="shared" si="3330"/>
        <v>1048300.0000000001</v>
      </c>
      <c r="P4787" s="319">
        <f t="shared" si="3333"/>
        <v>1153130.0000000002</v>
      </c>
      <c r="R4787" s="317"/>
      <c r="U4787" s="320"/>
    </row>
    <row r="4788" spans="1:21" s="344" customFormat="1" outlineLevel="2">
      <c r="A4788" s="345"/>
      <c r="B4788" s="345"/>
      <c r="C4788" s="1233">
        <v>2210800</v>
      </c>
      <c r="D4788" s="1234" t="s">
        <v>42</v>
      </c>
      <c r="E4788" s="1235">
        <f>E4789</f>
        <v>200000</v>
      </c>
      <c r="F4788" s="1235">
        <f t="shared" ref="F4788:K4788" si="3334">F4789</f>
        <v>151300</v>
      </c>
      <c r="G4788" s="1235">
        <f t="shared" si="3334"/>
        <v>0</v>
      </c>
      <c r="H4788" s="1235">
        <f t="shared" si="3334"/>
        <v>0</v>
      </c>
      <c r="I4788" s="1235">
        <f t="shared" si="3334"/>
        <v>351300</v>
      </c>
      <c r="J4788" s="1235">
        <f t="shared" si="3334"/>
        <v>0</v>
      </c>
      <c r="K4788" s="1235">
        <f t="shared" si="3334"/>
        <v>0</v>
      </c>
      <c r="L4788" s="317">
        <f t="shared" si="3299"/>
        <v>351300</v>
      </c>
      <c r="M4788" s="317"/>
      <c r="N4788" s="372">
        <f t="shared" si="3303"/>
        <v>0</v>
      </c>
      <c r="O4788" s="1235">
        <f t="shared" ref="O4788:P4788" si="3335">O4789</f>
        <v>386430.00000000006</v>
      </c>
      <c r="P4788" s="1235">
        <f t="shared" si="3335"/>
        <v>425073.00000000012</v>
      </c>
      <c r="R4788" s="317"/>
      <c r="U4788" s="320"/>
    </row>
    <row r="4789" spans="1:21" s="344" customFormat="1" outlineLevel="2">
      <c r="A4789" s="345"/>
      <c r="B4789" s="345"/>
      <c r="C4789" s="1236">
        <v>2210801</v>
      </c>
      <c r="D4789" s="1237" t="s">
        <v>2421</v>
      </c>
      <c r="E4789" s="1241">
        <v>200000</v>
      </c>
      <c r="F4789" s="1239">
        <v>151300</v>
      </c>
      <c r="G4789" s="1239"/>
      <c r="H4789" s="1239"/>
      <c r="I4789" s="324">
        <f t="shared" si="3322"/>
        <v>351300</v>
      </c>
      <c r="J4789" s="1239"/>
      <c r="K4789" s="1240"/>
      <c r="L4789" s="317">
        <f t="shared" si="3299"/>
        <v>351300</v>
      </c>
      <c r="M4789" s="317"/>
      <c r="N4789" s="372">
        <f t="shared" si="3303"/>
        <v>0</v>
      </c>
      <c r="O4789" s="336">
        <f t="shared" si="3330"/>
        <v>386430.00000000006</v>
      </c>
      <c r="P4789" s="319">
        <f t="shared" si="3333"/>
        <v>425073.00000000012</v>
      </c>
      <c r="R4789" s="317"/>
      <c r="U4789" s="320"/>
    </row>
    <row r="4790" spans="1:21" s="344" customFormat="1" outlineLevel="2">
      <c r="A4790" s="345"/>
      <c r="B4790" s="345"/>
      <c r="C4790" s="1233">
        <v>2211100</v>
      </c>
      <c r="D4790" s="1234" t="s">
        <v>51</v>
      </c>
      <c r="E4790" s="1235">
        <f>SUM(E4791:E4793)</f>
        <v>2145000</v>
      </c>
      <c r="F4790" s="1235">
        <f t="shared" ref="F4790:P4790" si="3336">SUM(F4791:F4793)</f>
        <v>0</v>
      </c>
      <c r="G4790" s="1235">
        <f t="shared" si="3336"/>
        <v>0</v>
      </c>
      <c r="H4790" s="1235">
        <f t="shared" si="3336"/>
        <v>0</v>
      </c>
      <c r="I4790" s="1235">
        <f t="shared" si="3336"/>
        <v>2145000</v>
      </c>
      <c r="J4790" s="1235">
        <f t="shared" si="3336"/>
        <v>0</v>
      </c>
      <c r="K4790" s="1235">
        <f t="shared" si="3336"/>
        <v>0</v>
      </c>
      <c r="L4790" s="317">
        <f t="shared" si="3299"/>
        <v>2145000</v>
      </c>
      <c r="M4790" s="317"/>
      <c r="N4790" s="372">
        <f t="shared" si="3303"/>
        <v>0</v>
      </c>
      <c r="O4790" s="1235">
        <f t="shared" si="3336"/>
        <v>2359500</v>
      </c>
      <c r="P4790" s="1235">
        <f t="shared" si="3336"/>
        <v>2595450</v>
      </c>
      <c r="R4790" s="317"/>
      <c r="U4790" s="320"/>
    </row>
    <row r="4791" spans="1:21" s="344" customFormat="1" outlineLevel="2">
      <c r="A4791" s="345"/>
      <c r="B4791" s="345"/>
      <c r="C4791" s="1236">
        <v>2211101</v>
      </c>
      <c r="D4791" s="1237" t="s">
        <v>1394</v>
      </c>
      <c r="E4791" s="1241">
        <f>58000+1000000</f>
        <v>1058000</v>
      </c>
      <c r="F4791" s="1239"/>
      <c r="G4791" s="1239"/>
      <c r="H4791" s="1239"/>
      <c r="I4791" s="324">
        <f t="shared" si="3322"/>
        <v>1058000</v>
      </c>
      <c r="J4791" s="1239"/>
      <c r="K4791" s="1240"/>
      <c r="L4791" s="317">
        <f t="shared" si="3299"/>
        <v>1058000</v>
      </c>
      <c r="M4791" s="317"/>
      <c r="N4791" s="372">
        <f t="shared" si="3303"/>
        <v>0</v>
      </c>
      <c r="O4791" s="336">
        <f t="shared" si="3330"/>
        <v>1163800</v>
      </c>
      <c r="P4791" s="319">
        <f t="shared" si="3333"/>
        <v>1280180</v>
      </c>
      <c r="R4791" s="317"/>
      <c r="U4791" s="320"/>
    </row>
    <row r="4792" spans="1:21" s="344" customFormat="1" outlineLevel="2">
      <c r="A4792" s="345"/>
      <c r="B4792" s="345"/>
      <c r="C4792" s="1236">
        <v>2211102</v>
      </c>
      <c r="D4792" s="1237" t="s">
        <v>1395</v>
      </c>
      <c r="E4792" s="1241">
        <f>2000000-1000000</f>
        <v>1000000</v>
      </c>
      <c r="F4792" s="1239"/>
      <c r="G4792" s="1239"/>
      <c r="H4792" s="1239"/>
      <c r="I4792" s="324">
        <f t="shared" si="3322"/>
        <v>1000000</v>
      </c>
      <c r="J4792" s="1239"/>
      <c r="K4792" s="1240"/>
      <c r="L4792" s="317">
        <f t="shared" si="3299"/>
        <v>1000000</v>
      </c>
      <c r="M4792" s="317"/>
      <c r="N4792" s="372">
        <f t="shared" si="3303"/>
        <v>0</v>
      </c>
      <c r="O4792" s="336">
        <f t="shared" si="3330"/>
        <v>1100000</v>
      </c>
      <c r="P4792" s="319">
        <f t="shared" si="3333"/>
        <v>1210000</v>
      </c>
      <c r="R4792" s="317"/>
      <c r="U4792" s="320"/>
    </row>
    <row r="4793" spans="1:21" s="344" customFormat="1" outlineLevel="2">
      <c r="A4793" s="345"/>
      <c r="B4793" s="345"/>
      <c r="C4793" s="1236">
        <v>2211103</v>
      </c>
      <c r="D4793" s="1237" t="s">
        <v>54</v>
      </c>
      <c r="E4793" s="1241">
        <v>87000</v>
      </c>
      <c r="F4793" s="1239"/>
      <c r="G4793" s="1239"/>
      <c r="H4793" s="1239"/>
      <c r="I4793" s="324">
        <f t="shared" si="3322"/>
        <v>87000</v>
      </c>
      <c r="J4793" s="1239"/>
      <c r="K4793" s="1240"/>
      <c r="L4793" s="317">
        <f t="shared" si="3299"/>
        <v>87000</v>
      </c>
      <c r="M4793" s="317"/>
      <c r="N4793" s="372">
        <f t="shared" si="3303"/>
        <v>0</v>
      </c>
      <c r="O4793" s="336">
        <f t="shared" si="3330"/>
        <v>95700.000000000015</v>
      </c>
      <c r="P4793" s="319">
        <f t="shared" si="3333"/>
        <v>105270.00000000003</v>
      </c>
      <c r="R4793" s="317"/>
      <c r="U4793" s="320"/>
    </row>
    <row r="4794" spans="1:21" s="344" customFormat="1" outlineLevel="2">
      <c r="A4794" s="345"/>
      <c r="B4794" s="345"/>
      <c r="C4794" s="1233">
        <v>2211300</v>
      </c>
      <c r="D4794" s="1234" t="s">
        <v>57</v>
      </c>
      <c r="E4794" s="1235">
        <f>SUM(E4795:E4796)</f>
        <v>1100000</v>
      </c>
      <c r="F4794" s="1235">
        <f t="shared" ref="F4794:K4794" si="3337">SUM(F4795:F4796)</f>
        <v>0</v>
      </c>
      <c r="G4794" s="1235">
        <f t="shared" si="3337"/>
        <v>0</v>
      </c>
      <c r="H4794" s="1235">
        <f t="shared" si="3337"/>
        <v>0</v>
      </c>
      <c r="I4794" s="1235">
        <f t="shared" si="3337"/>
        <v>1100000</v>
      </c>
      <c r="J4794" s="1235">
        <f t="shared" si="3337"/>
        <v>0</v>
      </c>
      <c r="K4794" s="1235">
        <f t="shared" si="3337"/>
        <v>500000</v>
      </c>
      <c r="L4794" s="317">
        <f t="shared" si="3299"/>
        <v>1600000</v>
      </c>
      <c r="M4794" s="317"/>
      <c r="N4794" s="372">
        <f t="shared" si="3303"/>
        <v>-500000</v>
      </c>
      <c r="O4794" s="1235">
        <f t="shared" ref="O4794:P4794" si="3338">SUM(O4795:O4796)</f>
        <v>1760000.0000000002</v>
      </c>
      <c r="P4794" s="1235">
        <f t="shared" si="3338"/>
        <v>1936000.0000000005</v>
      </c>
      <c r="R4794" s="317"/>
      <c r="U4794" s="320"/>
    </row>
    <row r="4795" spans="1:21" s="344" customFormat="1" outlineLevel="2">
      <c r="A4795" s="345"/>
      <c r="B4795" s="345"/>
      <c r="C4795" s="1236">
        <v>2211306</v>
      </c>
      <c r="D4795" s="1237" t="s">
        <v>58</v>
      </c>
      <c r="E4795" s="1241">
        <v>100000</v>
      </c>
      <c r="F4795" s="1239"/>
      <c r="G4795" s="1239"/>
      <c r="H4795" s="1239"/>
      <c r="I4795" s="324">
        <f t="shared" si="3322"/>
        <v>100000</v>
      </c>
      <c r="J4795" s="1239"/>
      <c r="K4795" s="1240"/>
      <c r="L4795" s="317">
        <f t="shared" si="3299"/>
        <v>100000</v>
      </c>
      <c r="M4795" s="317"/>
      <c r="N4795" s="372">
        <f t="shared" si="3303"/>
        <v>0</v>
      </c>
      <c r="O4795" s="336">
        <f t="shared" si="3330"/>
        <v>110000.00000000001</v>
      </c>
      <c r="P4795" s="319">
        <f t="shared" si="3333"/>
        <v>121000.00000000003</v>
      </c>
      <c r="R4795" s="317"/>
      <c r="U4795" s="320"/>
    </row>
    <row r="4796" spans="1:21" s="344" customFormat="1" outlineLevel="2">
      <c r="A4796" s="345"/>
      <c r="B4796" s="345"/>
      <c r="C4796" s="1236">
        <v>2211201</v>
      </c>
      <c r="D4796" s="1237" t="s">
        <v>56</v>
      </c>
      <c r="E4796" s="1241">
        <v>1000000</v>
      </c>
      <c r="F4796" s="1239"/>
      <c r="G4796" s="1239"/>
      <c r="H4796" s="1239"/>
      <c r="I4796" s="324">
        <f t="shared" si="3322"/>
        <v>1000000</v>
      </c>
      <c r="J4796" s="1239"/>
      <c r="K4796" s="1240">
        <v>500000</v>
      </c>
      <c r="L4796" s="317">
        <f t="shared" si="3299"/>
        <v>1500000</v>
      </c>
      <c r="M4796" s="317"/>
      <c r="N4796" s="372">
        <f t="shared" si="3303"/>
        <v>-500000</v>
      </c>
      <c r="O4796" s="336">
        <f t="shared" si="3330"/>
        <v>1650000.0000000002</v>
      </c>
      <c r="P4796" s="319">
        <f t="shared" si="3333"/>
        <v>1815000.0000000005</v>
      </c>
      <c r="R4796" s="317"/>
      <c r="U4796" s="320"/>
    </row>
    <row r="4797" spans="1:21" s="344" customFormat="1" outlineLevel="2">
      <c r="A4797" s="345"/>
      <c r="B4797" s="345"/>
      <c r="C4797" s="1233">
        <v>2211200</v>
      </c>
      <c r="D4797" s="1234" t="s">
        <v>55</v>
      </c>
      <c r="E4797" s="1235">
        <f>E4798</f>
        <v>0</v>
      </c>
      <c r="F4797" s="1242"/>
      <c r="G4797" s="1242"/>
      <c r="H4797" s="1242"/>
      <c r="I4797" s="324">
        <f t="shared" si="3322"/>
        <v>0</v>
      </c>
      <c r="J4797" s="1242"/>
      <c r="K4797" s="1243"/>
      <c r="L4797" s="317">
        <f t="shared" si="3299"/>
        <v>0</v>
      </c>
      <c r="M4797" s="317"/>
      <c r="N4797" s="372">
        <f t="shared" si="3303"/>
        <v>0</v>
      </c>
      <c r="O4797" s="336">
        <f t="shared" si="3330"/>
        <v>0</v>
      </c>
      <c r="P4797" s="319">
        <f t="shared" si="3333"/>
        <v>0</v>
      </c>
      <c r="R4797" s="317"/>
      <c r="U4797" s="320"/>
    </row>
    <row r="4798" spans="1:21" s="344" customFormat="1" outlineLevel="2">
      <c r="A4798" s="345"/>
      <c r="B4798" s="345"/>
      <c r="C4798" s="1244">
        <v>2211201</v>
      </c>
      <c r="D4798" s="1245" t="s">
        <v>56</v>
      </c>
      <c r="E4798" s="1246">
        <v>0</v>
      </c>
      <c r="F4798" s="1247"/>
      <c r="G4798" s="1247"/>
      <c r="H4798" s="1247"/>
      <c r="I4798" s="324">
        <f t="shared" si="3322"/>
        <v>0</v>
      </c>
      <c r="J4798" s="1247"/>
      <c r="K4798" s="1240"/>
      <c r="L4798" s="317">
        <f t="shared" si="3299"/>
        <v>0</v>
      </c>
      <c r="M4798" s="317"/>
      <c r="N4798" s="372">
        <f t="shared" si="3303"/>
        <v>0</v>
      </c>
      <c r="O4798" s="336">
        <f t="shared" si="3330"/>
        <v>0</v>
      </c>
      <c r="P4798" s="319">
        <f t="shared" si="3333"/>
        <v>0</v>
      </c>
      <c r="R4798" s="317"/>
      <c r="U4798" s="320"/>
    </row>
    <row r="4799" spans="1:21" s="344" customFormat="1" outlineLevel="2">
      <c r="A4799" s="345"/>
      <c r="B4799" s="345"/>
      <c r="C4799" s="1233">
        <v>2220100</v>
      </c>
      <c r="D4799" s="1234" t="s">
        <v>62</v>
      </c>
      <c r="E4799" s="1235">
        <f>SUM(E4800:E4801)</f>
        <v>295000</v>
      </c>
      <c r="F4799" s="1235">
        <f t="shared" ref="F4799:I4799" si="3339">SUM(F4800:F4801)</f>
        <v>29500</v>
      </c>
      <c r="G4799" s="1235">
        <f t="shared" si="3339"/>
        <v>0</v>
      </c>
      <c r="H4799" s="1235">
        <f t="shared" si="3339"/>
        <v>0</v>
      </c>
      <c r="I4799" s="1235">
        <f t="shared" si="3339"/>
        <v>324500</v>
      </c>
      <c r="J4799" s="1235"/>
      <c r="K4799" s="1248">
        <f t="shared" ref="K4799" si="3340">SUM(K4800:K4801)</f>
        <v>0</v>
      </c>
      <c r="L4799" s="317">
        <f t="shared" si="3299"/>
        <v>324500</v>
      </c>
      <c r="M4799" s="317"/>
      <c r="N4799" s="372">
        <f t="shared" si="3303"/>
        <v>0</v>
      </c>
      <c r="O4799" s="1235">
        <f t="shared" ref="O4799:P4799" si="3341">SUM(O4800:O4801)</f>
        <v>356950</v>
      </c>
      <c r="P4799" s="1235">
        <f t="shared" si="3341"/>
        <v>392645.00000000006</v>
      </c>
      <c r="R4799" s="317"/>
      <c r="U4799" s="320"/>
    </row>
    <row r="4800" spans="1:21" s="344" customFormat="1" outlineLevel="2">
      <c r="A4800" s="345"/>
      <c r="B4800" s="345"/>
      <c r="C4800" s="1236">
        <v>2220101</v>
      </c>
      <c r="D4800" s="1237" t="s">
        <v>366</v>
      </c>
      <c r="E4800" s="1241">
        <v>145000</v>
      </c>
      <c r="F4800" s="1239"/>
      <c r="G4800" s="1239"/>
      <c r="H4800" s="1239"/>
      <c r="I4800" s="324">
        <f t="shared" si="3322"/>
        <v>145000</v>
      </c>
      <c r="J4800" s="1239"/>
      <c r="K4800" s="1240"/>
      <c r="L4800" s="317">
        <f t="shared" si="3299"/>
        <v>145000</v>
      </c>
      <c r="M4800" s="317"/>
      <c r="N4800" s="372">
        <f t="shared" si="3303"/>
        <v>0</v>
      </c>
      <c r="O4800" s="336">
        <f t="shared" si="3330"/>
        <v>159500</v>
      </c>
      <c r="P4800" s="319">
        <f t="shared" si="3333"/>
        <v>175450</v>
      </c>
      <c r="R4800" s="317"/>
      <c r="U4800" s="320"/>
    </row>
    <row r="4801" spans="1:21" s="344" customFormat="1" outlineLevel="2">
      <c r="A4801" s="345"/>
      <c r="B4801" s="345"/>
      <c r="C4801" s="1236">
        <v>2220105</v>
      </c>
      <c r="D4801" s="1237" t="s">
        <v>200</v>
      </c>
      <c r="E4801" s="1241">
        <v>150000</v>
      </c>
      <c r="F4801" s="1239">
        <v>29500</v>
      </c>
      <c r="G4801" s="1239"/>
      <c r="H4801" s="1239"/>
      <c r="I4801" s="324">
        <f t="shared" si="3322"/>
        <v>179500</v>
      </c>
      <c r="J4801" s="1239"/>
      <c r="K4801" s="1240"/>
      <c r="L4801" s="317">
        <f t="shared" si="3299"/>
        <v>179500</v>
      </c>
      <c r="M4801" s="317"/>
      <c r="N4801" s="372">
        <f t="shared" si="3303"/>
        <v>0</v>
      </c>
      <c r="O4801" s="336">
        <f t="shared" si="3330"/>
        <v>197450.00000000003</v>
      </c>
      <c r="P4801" s="319">
        <f t="shared" si="3333"/>
        <v>217195.00000000006</v>
      </c>
      <c r="R4801" s="317"/>
      <c r="U4801" s="320"/>
    </row>
    <row r="4802" spans="1:21" s="337" customFormat="1" outlineLevel="2">
      <c r="A4802" s="345"/>
      <c r="B4802" s="345"/>
      <c r="C4802" s="1233">
        <v>2220200</v>
      </c>
      <c r="D4802" s="1234" t="s">
        <v>124</v>
      </c>
      <c r="E4802" s="1235">
        <f>SUM(E4803:E4803)</f>
        <v>58000</v>
      </c>
      <c r="F4802" s="1235">
        <f t="shared" ref="F4802:I4802" si="3342">SUM(F4803:F4803)</f>
        <v>0</v>
      </c>
      <c r="G4802" s="1235">
        <f t="shared" si="3342"/>
        <v>0</v>
      </c>
      <c r="H4802" s="1235">
        <f t="shared" si="3342"/>
        <v>0</v>
      </c>
      <c r="I4802" s="1235">
        <f t="shared" si="3342"/>
        <v>58000</v>
      </c>
      <c r="J4802" s="1235"/>
      <c r="K4802" s="1248">
        <f t="shared" ref="K4802" si="3343">SUM(K4803:K4803)</f>
        <v>0</v>
      </c>
      <c r="L4802" s="317">
        <f t="shared" si="3299"/>
        <v>58000</v>
      </c>
      <c r="M4802" s="317"/>
      <c r="N4802" s="372">
        <f t="shared" si="3303"/>
        <v>0</v>
      </c>
      <c r="O4802" s="1235">
        <f t="shared" ref="O4802:P4802" si="3344">SUM(O4803:O4803)</f>
        <v>63800.000000000007</v>
      </c>
      <c r="P4802" s="1235">
        <f t="shared" si="3344"/>
        <v>70180.000000000015</v>
      </c>
      <c r="R4802" s="317"/>
      <c r="U4802" s="320"/>
    </row>
    <row r="4803" spans="1:21" s="344" customFormat="1" outlineLevel="2">
      <c r="A4803" s="345"/>
      <c r="B4803" s="345"/>
      <c r="C4803" s="1236">
        <v>2220210</v>
      </c>
      <c r="D4803" s="1237" t="s">
        <v>163</v>
      </c>
      <c r="E4803" s="1241">
        <v>58000</v>
      </c>
      <c r="F4803" s="1239"/>
      <c r="G4803" s="1239"/>
      <c r="H4803" s="1239"/>
      <c r="I4803" s="324">
        <f t="shared" si="3322"/>
        <v>58000</v>
      </c>
      <c r="J4803" s="1239"/>
      <c r="K4803" s="1240"/>
      <c r="L4803" s="317">
        <f t="shared" si="3299"/>
        <v>58000</v>
      </c>
      <c r="M4803" s="317"/>
      <c r="N4803" s="372">
        <f t="shared" si="3303"/>
        <v>0</v>
      </c>
      <c r="O4803" s="336">
        <f t="shared" si="3330"/>
        <v>63800.000000000007</v>
      </c>
      <c r="P4803" s="319">
        <f t="shared" si="3333"/>
        <v>70180.000000000015</v>
      </c>
      <c r="R4803" s="317"/>
      <c r="U4803" s="320"/>
    </row>
    <row r="4804" spans="1:21" s="325" customFormat="1" outlineLevel="2">
      <c r="A4804" s="326"/>
      <c r="B4804" s="326"/>
      <c r="C4804" s="1233">
        <v>3110700</v>
      </c>
      <c r="D4804" s="1234" t="s">
        <v>2098</v>
      </c>
      <c r="E4804" s="1235">
        <f>E4805</f>
        <v>0</v>
      </c>
      <c r="F4804" s="1235">
        <f t="shared" ref="F4804:K4804" si="3345">F4805</f>
        <v>11447179</v>
      </c>
      <c r="G4804" s="1235">
        <f t="shared" si="3345"/>
        <v>0</v>
      </c>
      <c r="H4804" s="1235">
        <f t="shared" si="3345"/>
        <v>0</v>
      </c>
      <c r="I4804" s="1235">
        <f t="shared" si="3345"/>
        <v>11447179</v>
      </c>
      <c r="J4804" s="1235">
        <f t="shared" si="3345"/>
        <v>0</v>
      </c>
      <c r="K4804" s="1235">
        <f t="shared" si="3345"/>
        <v>0</v>
      </c>
      <c r="L4804" s="317">
        <f t="shared" si="3299"/>
        <v>11447179</v>
      </c>
      <c r="M4804" s="317"/>
      <c r="N4804" s="372">
        <f t="shared" si="3303"/>
        <v>0</v>
      </c>
      <c r="O4804" s="1235">
        <f t="shared" ref="O4804:P4804" si="3346">O4805</f>
        <v>12591896.9</v>
      </c>
      <c r="P4804" s="1235">
        <f t="shared" si="3346"/>
        <v>13851086.590000002</v>
      </c>
      <c r="R4804" s="317"/>
      <c r="U4804" s="320"/>
    </row>
    <row r="4805" spans="1:21" s="344" customFormat="1" outlineLevel="2">
      <c r="A4805" s="345"/>
      <c r="B4805" s="345"/>
      <c r="C4805" s="1244">
        <v>3110701</v>
      </c>
      <c r="D4805" s="1245" t="s">
        <v>2098</v>
      </c>
      <c r="E4805" s="1246"/>
      <c r="F4805" s="1246">
        <v>11447179</v>
      </c>
      <c r="G4805" s="1247"/>
      <c r="H4805" s="1247"/>
      <c r="I4805" s="324">
        <f t="shared" si="3322"/>
        <v>11447179</v>
      </c>
      <c r="J4805" s="1247"/>
      <c r="K4805" s="1240"/>
      <c r="L4805" s="317">
        <f t="shared" ref="L4805:L4868" si="3347">I4805+J4805+K4805</f>
        <v>11447179</v>
      </c>
      <c r="M4805" s="317"/>
      <c r="N4805" s="372">
        <f t="shared" si="3303"/>
        <v>0</v>
      </c>
      <c r="O4805" s="336">
        <f t="shared" si="3330"/>
        <v>12591896.9</v>
      </c>
      <c r="P4805" s="319">
        <f t="shared" ref="P4805:P4827" si="3348">O4805*1.1</f>
        <v>13851086.590000002</v>
      </c>
      <c r="R4805" s="317"/>
      <c r="U4805" s="320"/>
    </row>
    <row r="4806" spans="1:21" s="344" customFormat="1" outlineLevel="1">
      <c r="A4806" s="345"/>
      <c r="B4806" s="345"/>
      <c r="C4806" s="1249" t="s">
        <v>370</v>
      </c>
      <c r="D4806" s="1250"/>
      <c r="E4806" s="1228">
        <f>E4802+E4799+E4797+E4794+E4790+E4788+E4784+E4776+E4780+E4772+E4769+E4767+E4804</f>
        <v>64698840</v>
      </c>
      <c r="F4806" s="1228">
        <f t="shared" ref="F4806:P4806" si="3349">F4802+F4799+F4797+F4794+F4790+F4788+F4784+F4776+F4780+F4772+F4769+F4767+F4804</f>
        <v>12858430</v>
      </c>
      <c r="G4806" s="1228">
        <f t="shared" si="3349"/>
        <v>0</v>
      </c>
      <c r="H4806" s="1228">
        <f t="shared" si="3349"/>
        <v>0</v>
      </c>
      <c r="I4806" s="1228">
        <f t="shared" si="3349"/>
        <v>77557270</v>
      </c>
      <c r="J4806" s="1228">
        <f t="shared" si="3349"/>
        <v>0</v>
      </c>
      <c r="K4806" s="1228">
        <f t="shared" si="3349"/>
        <v>2044000</v>
      </c>
      <c r="L4806" s="317">
        <f t="shared" si="3347"/>
        <v>79601270</v>
      </c>
      <c r="M4806" s="317"/>
      <c r="N4806" s="372">
        <f t="shared" si="3303"/>
        <v>-2044000</v>
      </c>
      <c r="O4806" s="1228">
        <f t="shared" si="3349"/>
        <v>87561397.000000015</v>
      </c>
      <c r="P4806" s="1228">
        <f t="shared" si="3349"/>
        <v>96317536.700000018</v>
      </c>
      <c r="R4806" s="317"/>
      <c r="U4806" s="320"/>
    </row>
    <row r="4807" spans="1:21" s="344" customFormat="1" outlineLevel="1">
      <c r="A4807" s="345"/>
      <c r="B4807" s="345"/>
      <c r="C4807" s="1249" t="s">
        <v>370</v>
      </c>
      <c r="D4807" s="1250"/>
      <c r="E4807" s="1228">
        <f>E4806</f>
        <v>64698840</v>
      </c>
      <c r="F4807" s="1228">
        <f t="shared" ref="F4807:P4807" si="3350">F4806</f>
        <v>12858430</v>
      </c>
      <c r="G4807" s="1228">
        <f t="shared" si="3350"/>
        <v>0</v>
      </c>
      <c r="H4807" s="1228">
        <f t="shared" si="3350"/>
        <v>0</v>
      </c>
      <c r="I4807" s="1228">
        <f t="shared" si="3350"/>
        <v>77557270</v>
      </c>
      <c r="J4807" s="1228">
        <f t="shared" si="3350"/>
        <v>0</v>
      </c>
      <c r="K4807" s="1228">
        <f t="shared" si="3350"/>
        <v>2044000</v>
      </c>
      <c r="L4807" s="317">
        <f t="shared" si="3347"/>
        <v>79601270</v>
      </c>
      <c r="M4807" s="317"/>
      <c r="N4807" s="372">
        <f t="shared" si="3303"/>
        <v>-2044000</v>
      </c>
      <c r="O4807" s="1228">
        <f t="shared" si="3350"/>
        <v>87561397.000000015</v>
      </c>
      <c r="P4807" s="1228">
        <f t="shared" si="3350"/>
        <v>96317536.700000018</v>
      </c>
      <c r="R4807" s="317"/>
      <c r="U4807" s="320"/>
    </row>
    <row r="4808" spans="1:21" s="344" customFormat="1" outlineLevel="1">
      <c r="A4808" s="345"/>
      <c r="B4808" s="345"/>
      <c r="C4808" s="1234"/>
      <c r="D4808" s="1251"/>
      <c r="E4808" s="1235"/>
      <c r="F4808" s="1252"/>
      <c r="G4808" s="1252"/>
      <c r="H4808" s="1252"/>
      <c r="I4808" s="324">
        <f t="shared" si="3322"/>
        <v>0</v>
      </c>
      <c r="J4808" s="1252"/>
      <c r="K4808" s="1252"/>
      <c r="L4808" s="317">
        <f t="shared" si="3347"/>
        <v>0</v>
      </c>
      <c r="M4808" s="317"/>
      <c r="N4808" s="372">
        <f t="shared" si="3303"/>
        <v>0</v>
      </c>
      <c r="O4808" s="336">
        <f t="shared" si="3330"/>
        <v>0</v>
      </c>
      <c r="P4808" s="319">
        <f t="shared" si="3348"/>
        <v>0</v>
      </c>
      <c r="R4808" s="317"/>
      <c r="U4808" s="320"/>
    </row>
    <row r="4809" spans="1:21" s="344" customFormat="1" outlineLevel="1">
      <c r="A4809" s="345"/>
      <c r="B4809" s="345"/>
      <c r="C4809" s="1234"/>
      <c r="D4809" s="1251"/>
      <c r="E4809" s="1235"/>
      <c r="F4809" s="1252"/>
      <c r="G4809" s="1252"/>
      <c r="H4809" s="1252"/>
      <c r="I4809" s="324">
        <f t="shared" si="3322"/>
        <v>0</v>
      </c>
      <c r="J4809" s="1252"/>
      <c r="K4809" s="1252"/>
      <c r="L4809" s="317">
        <f t="shared" si="3347"/>
        <v>0</v>
      </c>
      <c r="M4809" s="317"/>
      <c r="N4809" s="372">
        <f t="shared" ref="N4809:N4872" si="3351">M4809-K4809</f>
        <v>0</v>
      </c>
      <c r="O4809" s="336">
        <f t="shared" si="3330"/>
        <v>0</v>
      </c>
      <c r="P4809" s="319">
        <f t="shared" si="3348"/>
        <v>0</v>
      </c>
      <c r="R4809" s="317"/>
      <c r="U4809" s="320"/>
    </row>
    <row r="4810" spans="1:21" s="344" customFormat="1" outlineLevel="1">
      <c r="A4810" s="345"/>
      <c r="B4810" s="345"/>
      <c r="C4810" s="1253" t="s">
        <v>813</v>
      </c>
      <c r="D4810" s="1254"/>
      <c r="E4810" s="514"/>
      <c r="F4810" s="619"/>
      <c r="G4810" s="619"/>
      <c r="H4810" s="619"/>
      <c r="I4810" s="324">
        <f t="shared" si="3322"/>
        <v>0</v>
      </c>
      <c r="J4810" s="619"/>
      <c r="K4810" s="619"/>
      <c r="L4810" s="317">
        <f t="shared" si="3347"/>
        <v>0</v>
      </c>
      <c r="M4810" s="317"/>
      <c r="N4810" s="372">
        <f t="shared" si="3351"/>
        <v>0</v>
      </c>
      <c r="O4810" s="336">
        <f t="shared" si="3330"/>
        <v>0</v>
      </c>
      <c r="P4810" s="319">
        <f t="shared" si="3348"/>
        <v>0</v>
      </c>
      <c r="R4810" s="317"/>
      <c r="U4810" s="320"/>
    </row>
    <row r="4811" spans="1:21" s="344" customFormat="1" outlineLevel="1">
      <c r="A4811" s="345"/>
      <c r="B4811" s="345"/>
      <c r="C4811" s="314" t="s">
        <v>814</v>
      </c>
      <c r="D4811" s="447"/>
      <c r="E4811" s="514"/>
      <c r="F4811" s="438"/>
      <c r="G4811" s="438"/>
      <c r="H4811" s="438"/>
      <c r="I4811" s="324">
        <f t="shared" si="3322"/>
        <v>0</v>
      </c>
      <c r="J4811" s="438"/>
      <c r="K4811" s="438"/>
      <c r="L4811" s="317">
        <f t="shared" si="3347"/>
        <v>0</v>
      </c>
      <c r="M4811" s="317"/>
      <c r="N4811" s="372">
        <f t="shared" si="3351"/>
        <v>0</v>
      </c>
      <c r="O4811" s="336">
        <f t="shared" si="3330"/>
        <v>0</v>
      </c>
      <c r="P4811" s="319">
        <f t="shared" si="3348"/>
        <v>0</v>
      </c>
      <c r="R4811" s="317"/>
      <c r="U4811" s="320"/>
    </row>
    <row r="4812" spans="1:21" s="344" customFormat="1" outlineLevel="1">
      <c r="A4812" s="345"/>
      <c r="B4812" s="345"/>
      <c r="C4812" s="314" t="s">
        <v>815</v>
      </c>
      <c r="D4812" s="447"/>
      <c r="E4812" s="514"/>
      <c r="F4812" s="438"/>
      <c r="G4812" s="438"/>
      <c r="H4812" s="438"/>
      <c r="I4812" s="324">
        <f t="shared" si="3322"/>
        <v>0</v>
      </c>
      <c r="J4812" s="438"/>
      <c r="K4812" s="438"/>
      <c r="L4812" s="317">
        <f t="shared" si="3347"/>
        <v>0</v>
      </c>
      <c r="M4812" s="317"/>
      <c r="N4812" s="372">
        <f t="shared" si="3351"/>
        <v>0</v>
      </c>
      <c r="O4812" s="336">
        <f t="shared" si="3330"/>
        <v>0</v>
      </c>
      <c r="P4812" s="319">
        <f t="shared" si="3348"/>
        <v>0</v>
      </c>
      <c r="R4812" s="317"/>
      <c r="U4812" s="320"/>
    </row>
    <row r="4813" spans="1:21" s="344" customFormat="1" outlineLevel="1">
      <c r="A4813" s="345"/>
      <c r="B4813" s="345"/>
      <c r="C4813" s="1255">
        <v>2210200</v>
      </c>
      <c r="D4813" s="1256" t="s">
        <v>20</v>
      </c>
      <c r="E4813" s="1257">
        <f>SUM(E4814:E4815)</f>
        <v>158000</v>
      </c>
      <c r="F4813" s="1257">
        <f t="shared" ref="F4813:K4813" si="3352">SUM(F4814:F4815)</f>
        <v>0</v>
      </c>
      <c r="G4813" s="1257">
        <f t="shared" si="3352"/>
        <v>0</v>
      </c>
      <c r="H4813" s="1257">
        <f t="shared" si="3352"/>
        <v>0</v>
      </c>
      <c r="I4813" s="1257">
        <f t="shared" si="3352"/>
        <v>158000</v>
      </c>
      <c r="J4813" s="1257">
        <f t="shared" si="3352"/>
        <v>0</v>
      </c>
      <c r="K4813" s="1257">
        <f t="shared" si="3352"/>
        <v>-158000</v>
      </c>
      <c r="L4813" s="317">
        <f t="shared" si="3347"/>
        <v>0</v>
      </c>
      <c r="M4813" s="317"/>
      <c r="N4813" s="372">
        <f t="shared" si="3351"/>
        <v>158000</v>
      </c>
      <c r="O4813" s="1257">
        <f t="shared" ref="O4813:P4813" si="3353">SUM(O4814:O4815)</f>
        <v>0</v>
      </c>
      <c r="P4813" s="1257">
        <f t="shared" si="3353"/>
        <v>0</v>
      </c>
      <c r="R4813" s="317"/>
      <c r="U4813" s="320"/>
    </row>
    <row r="4814" spans="1:21" s="344" customFormat="1" outlineLevel="1">
      <c r="A4814" s="345"/>
      <c r="B4814" s="345"/>
      <c r="C4814" s="1236">
        <v>2210201</v>
      </c>
      <c r="D4814" s="1237" t="s">
        <v>187</v>
      </c>
      <c r="E4814" s="1241">
        <v>100000</v>
      </c>
      <c r="F4814" s="1239"/>
      <c r="G4814" s="1239"/>
      <c r="H4814" s="1239"/>
      <c r="I4814" s="324">
        <f t="shared" si="3322"/>
        <v>100000</v>
      </c>
      <c r="J4814" s="1239"/>
      <c r="K4814" s="1240">
        <v>-100000</v>
      </c>
      <c r="L4814" s="317">
        <f t="shared" si="3347"/>
        <v>0</v>
      </c>
      <c r="M4814" s="317"/>
      <c r="N4814" s="372">
        <f t="shared" si="3351"/>
        <v>100000</v>
      </c>
      <c r="O4814" s="336">
        <f t="shared" si="3330"/>
        <v>0</v>
      </c>
      <c r="P4814" s="319">
        <f t="shared" si="3348"/>
        <v>0</v>
      </c>
      <c r="R4814" s="317"/>
      <c r="U4814" s="320"/>
    </row>
    <row r="4815" spans="1:21" s="344" customFormat="1" outlineLevel="1">
      <c r="A4815" s="345"/>
      <c r="B4815" s="345"/>
      <c r="C4815" s="1236">
        <v>2210203</v>
      </c>
      <c r="D4815" s="1237" t="s">
        <v>23</v>
      </c>
      <c r="E4815" s="1241">
        <v>58000</v>
      </c>
      <c r="F4815" s="1239"/>
      <c r="G4815" s="1239"/>
      <c r="H4815" s="1239"/>
      <c r="I4815" s="324">
        <f t="shared" si="3322"/>
        <v>58000</v>
      </c>
      <c r="J4815" s="1239"/>
      <c r="K4815" s="1240">
        <v>-58000</v>
      </c>
      <c r="L4815" s="317">
        <f t="shared" si="3347"/>
        <v>0</v>
      </c>
      <c r="M4815" s="317"/>
      <c r="N4815" s="372">
        <f t="shared" si="3351"/>
        <v>58000</v>
      </c>
      <c r="O4815" s="336">
        <f t="shared" si="3330"/>
        <v>0</v>
      </c>
      <c r="P4815" s="319">
        <f t="shared" si="3348"/>
        <v>0</v>
      </c>
      <c r="R4815" s="317"/>
      <c r="U4815" s="320"/>
    </row>
    <row r="4816" spans="1:21" s="344" customFormat="1" outlineLevel="3">
      <c r="A4816" s="345"/>
      <c r="B4816" s="345"/>
      <c r="C4816" s="770">
        <v>2210300</v>
      </c>
      <c r="D4816" s="362" t="s">
        <v>24</v>
      </c>
      <c r="E4816" s="397">
        <f>SUM(E4817:E4817)</f>
        <v>748400</v>
      </c>
      <c r="F4816" s="397">
        <f t="shared" ref="F4816:K4816" si="3354">SUM(F4817:F4817)</f>
        <v>0</v>
      </c>
      <c r="G4816" s="397">
        <f t="shared" si="3354"/>
        <v>0</v>
      </c>
      <c r="H4816" s="397">
        <f t="shared" si="3354"/>
        <v>0</v>
      </c>
      <c r="I4816" s="397">
        <f t="shared" si="3354"/>
        <v>748400</v>
      </c>
      <c r="J4816" s="397">
        <f t="shared" si="3354"/>
        <v>0</v>
      </c>
      <c r="K4816" s="397">
        <f t="shared" si="3354"/>
        <v>0</v>
      </c>
      <c r="L4816" s="317">
        <f t="shared" si="3347"/>
        <v>748400</v>
      </c>
      <c r="M4816" s="317"/>
      <c r="N4816" s="372">
        <f t="shared" si="3351"/>
        <v>0</v>
      </c>
      <c r="O4816" s="397">
        <f t="shared" ref="O4816:P4816" si="3355">SUM(O4817:O4817)</f>
        <v>823240.00000000012</v>
      </c>
      <c r="P4816" s="397">
        <f t="shared" si="3355"/>
        <v>905564.00000000023</v>
      </c>
      <c r="R4816" s="317"/>
      <c r="U4816" s="320"/>
    </row>
    <row r="4817" spans="1:21" s="344" customFormat="1" outlineLevel="3">
      <c r="A4817" s="345"/>
      <c r="B4817" s="345"/>
      <c r="C4817" s="1236">
        <v>2210303</v>
      </c>
      <c r="D4817" s="1237" t="s">
        <v>223</v>
      </c>
      <c r="E4817" s="406">
        <v>748400</v>
      </c>
      <c r="F4817" s="1239"/>
      <c r="G4817" s="1239"/>
      <c r="H4817" s="1239"/>
      <c r="I4817" s="324">
        <f t="shared" si="3322"/>
        <v>748400</v>
      </c>
      <c r="J4817" s="1239"/>
      <c r="K4817" s="1240"/>
      <c r="L4817" s="317">
        <f t="shared" si="3347"/>
        <v>748400</v>
      </c>
      <c r="M4817" s="317"/>
      <c r="N4817" s="372">
        <f t="shared" si="3351"/>
        <v>0</v>
      </c>
      <c r="O4817" s="336">
        <f t="shared" si="3330"/>
        <v>823240.00000000012</v>
      </c>
      <c r="P4817" s="319">
        <f t="shared" si="3348"/>
        <v>905564.00000000023</v>
      </c>
      <c r="R4817" s="317"/>
      <c r="U4817" s="320"/>
    </row>
    <row r="4818" spans="1:21" s="344" customFormat="1" outlineLevel="3">
      <c r="A4818" s="345"/>
      <c r="B4818" s="345"/>
      <c r="C4818" s="1255">
        <v>2210500</v>
      </c>
      <c r="D4818" s="1256" t="s">
        <v>31</v>
      </c>
      <c r="E4818" s="1257">
        <f>SUM(E4819:E4821)</f>
        <v>403000</v>
      </c>
      <c r="F4818" s="1257">
        <f t="shared" ref="F4818:P4818" si="3356">SUM(F4819:F4821)</f>
        <v>0</v>
      </c>
      <c r="G4818" s="1257">
        <f t="shared" si="3356"/>
        <v>0</v>
      </c>
      <c r="H4818" s="1257">
        <f t="shared" si="3356"/>
        <v>0</v>
      </c>
      <c r="I4818" s="1257">
        <f t="shared" si="3356"/>
        <v>403000</v>
      </c>
      <c r="J4818" s="1257">
        <f t="shared" si="3356"/>
        <v>0</v>
      </c>
      <c r="K4818" s="1257">
        <f t="shared" si="3356"/>
        <v>-100000</v>
      </c>
      <c r="L4818" s="317">
        <f t="shared" si="3347"/>
        <v>303000</v>
      </c>
      <c r="M4818" s="317"/>
      <c r="N4818" s="372">
        <f t="shared" si="3351"/>
        <v>100000</v>
      </c>
      <c r="O4818" s="1257">
        <f t="shared" si="3356"/>
        <v>333300.00000000006</v>
      </c>
      <c r="P4818" s="1257">
        <f t="shared" si="3356"/>
        <v>366630.00000000012</v>
      </c>
      <c r="R4818" s="317"/>
      <c r="U4818" s="320"/>
    </row>
    <row r="4819" spans="1:21" s="344" customFormat="1" outlineLevel="3">
      <c r="A4819" s="345"/>
      <c r="B4819" s="345"/>
      <c r="C4819" s="1236">
        <v>2210502</v>
      </c>
      <c r="D4819" s="1237" t="s">
        <v>105</v>
      </c>
      <c r="E4819" s="1241">
        <v>100000</v>
      </c>
      <c r="F4819" s="1239"/>
      <c r="G4819" s="1239"/>
      <c r="H4819" s="1239"/>
      <c r="I4819" s="324">
        <f t="shared" si="3322"/>
        <v>100000</v>
      </c>
      <c r="J4819" s="1239"/>
      <c r="K4819" s="1240"/>
      <c r="L4819" s="317">
        <f t="shared" si="3347"/>
        <v>100000</v>
      </c>
      <c r="M4819" s="317"/>
      <c r="N4819" s="372">
        <f t="shared" si="3351"/>
        <v>0</v>
      </c>
      <c r="O4819" s="336">
        <f t="shared" si="3330"/>
        <v>110000.00000000001</v>
      </c>
      <c r="P4819" s="319">
        <f t="shared" si="3348"/>
        <v>121000.00000000003</v>
      </c>
      <c r="R4819" s="317"/>
      <c r="U4819" s="320"/>
    </row>
    <row r="4820" spans="1:21" s="344" customFormat="1" outlineLevel="3">
      <c r="A4820" s="345"/>
      <c r="B4820" s="345"/>
      <c r="C4820" s="1236">
        <v>2210504</v>
      </c>
      <c r="D4820" s="1237" t="s">
        <v>33</v>
      </c>
      <c r="E4820" s="1241">
        <v>100000</v>
      </c>
      <c r="F4820" s="1239"/>
      <c r="G4820" s="1239"/>
      <c r="H4820" s="1239"/>
      <c r="I4820" s="324">
        <f t="shared" si="3322"/>
        <v>100000</v>
      </c>
      <c r="J4820" s="1239"/>
      <c r="K4820" s="1240">
        <v>-100000</v>
      </c>
      <c r="L4820" s="317">
        <f t="shared" si="3347"/>
        <v>0</v>
      </c>
      <c r="M4820" s="317"/>
      <c r="N4820" s="372">
        <f t="shared" si="3351"/>
        <v>100000</v>
      </c>
      <c r="O4820" s="336">
        <f t="shared" si="3330"/>
        <v>0</v>
      </c>
      <c r="P4820" s="319">
        <f t="shared" si="3348"/>
        <v>0</v>
      </c>
      <c r="R4820" s="317"/>
      <c r="U4820" s="320"/>
    </row>
    <row r="4821" spans="1:21" s="344" customFormat="1" outlineLevel="3">
      <c r="A4821" s="345"/>
      <c r="B4821" s="345"/>
      <c r="C4821" s="1236">
        <v>2210710</v>
      </c>
      <c r="D4821" s="1237" t="s">
        <v>361</v>
      </c>
      <c r="E4821" s="1241">
        <v>203000</v>
      </c>
      <c r="F4821" s="1239"/>
      <c r="G4821" s="1239"/>
      <c r="H4821" s="1239"/>
      <c r="I4821" s="324">
        <f t="shared" si="3322"/>
        <v>203000</v>
      </c>
      <c r="J4821" s="1239"/>
      <c r="K4821" s="1240"/>
      <c r="L4821" s="317">
        <f t="shared" si="3347"/>
        <v>203000</v>
      </c>
      <c r="M4821" s="317"/>
      <c r="N4821" s="372">
        <f t="shared" si="3351"/>
        <v>0</v>
      </c>
      <c r="O4821" s="336">
        <f t="shared" si="3330"/>
        <v>223300.00000000003</v>
      </c>
      <c r="P4821" s="319">
        <f t="shared" si="3348"/>
        <v>245630.00000000006</v>
      </c>
      <c r="R4821" s="317"/>
      <c r="U4821" s="320"/>
    </row>
    <row r="4822" spans="1:21" s="344" customFormat="1" outlineLevel="3">
      <c r="A4822" s="345"/>
      <c r="B4822" s="345"/>
      <c r="C4822" s="770">
        <v>2210800</v>
      </c>
      <c r="D4822" s="362" t="s">
        <v>42</v>
      </c>
      <c r="E4822" s="397">
        <f>E4823</f>
        <v>200000</v>
      </c>
      <c r="F4822" s="397">
        <f t="shared" ref="F4822:K4822" si="3357">F4823</f>
        <v>0</v>
      </c>
      <c r="G4822" s="397">
        <f t="shared" si="3357"/>
        <v>0</v>
      </c>
      <c r="H4822" s="397">
        <f t="shared" si="3357"/>
        <v>0</v>
      </c>
      <c r="I4822" s="397">
        <f t="shared" si="3357"/>
        <v>200000</v>
      </c>
      <c r="J4822" s="397">
        <f t="shared" si="3357"/>
        <v>0</v>
      </c>
      <c r="K4822" s="397">
        <f t="shared" si="3357"/>
        <v>0</v>
      </c>
      <c r="L4822" s="317">
        <f t="shared" si="3347"/>
        <v>200000</v>
      </c>
      <c r="M4822" s="317"/>
      <c r="N4822" s="372">
        <f t="shared" si="3351"/>
        <v>0</v>
      </c>
      <c r="O4822" s="397">
        <f t="shared" ref="O4822:P4822" si="3358">O4823</f>
        <v>220000.00000000003</v>
      </c>
      <c r="P4822" s="397">
        <f t="shared" si="3358"/>
        <v>242000.00000000006</v>
      </c>
      <c r="R4822" s="317"/>
      <c r="U4822" s="320"/>
    </row>
    <row r="4823" spans="1:21" s="344" customFormat="1" outlineLevel="3">
      <c r="A4823" s="345"/>
      <c r="B4823" s="345"/>
      <c r="C4823" s="1236">
        <v>2210801</v>
      </c>
      <c r="D4823" s="1237" t="s">
        <v>2421</v>
      </c>
      <c r="E4823" s="1241">
        <v>200000</v>
      </c>
      <c r="F4823" s="1239"/>
      <c r="G4823" s="1239"/>
      <c r="H4823" s="1239"/>
      <c r="I4823" s="324">
        <f t="shared" si="3322"/>
        <v>200000</v>
      </c>
      <c r="J4823" s="1239"/>
      <c r="K4823" s="1240"/>
      <c r="L4823" s="317">
        <f t="shared" si="3347"/>
        <v>200000</v>
      </c>
      <c r="M4823" s="317"/>
      <c r="N4823" s="372">
        <f t="shared" si="3351"/>
        <v>0</v>
      </c>
      <c r="O4823" s="336">
        <f t="shared" si="3330"/>
        <v>220000.00000000003</v>
      </c>
      <c r="P4823" s="319">
        <f t="shared" si="3348"/>
        <v>242000.00000000006</v>
      </c>
      <c r="R4823" s="317"/>
      <c r="U4823" s="320"/>
    </row>
    <row r="4824" spans="1:21" s="344" customFormat="1" outlineLevel="3">
      <c r="A4824" s="345"/>
      <c r="B4824" s="345"/>
      <c r="C4824" s="1255">
        <v>2211100</v>
      </c>
      <c r="D4824" s="1256" t="s">
        <v>51</v>
      </c>
      <c r="E4824" s="1257">
        <f>SUM(E4825:E4827)</f>
        <v>245000</v>
      </c>
      <c r="F4824" s="1257">
        <f t="shared" ref="F4824:K4824" si="3359">SUM(F4825:F4827)</f>
        <v>0</v>
      </c>
      <c r="G4824" s="1257">
        <f t="shared" si="3359"/>
        <v>0</v>
      </c>
      <c r="H4824" s="1257">
        <f t="shared" si="3359"/>
        <v>0</v>
      </c>
      <c r="I4824" s="1257">
        <f t="shared" si="3359"/>
        <v>245000</v>
      </c>
      <c r="J4824" s="1257">
        <f t="shared" si="3359"/>
        <v>0</v>
      </c>
      <c r="K4824" s="1257">
        <f t="shared" si="3359"/>
        <v>0</v>
      </c>
      <c r="L4824" s="317">
        <f t="shared" si="3347"/>
        <v>245000</v>
      </c>
      <c r="M4824" s="317"/>
      <c r="N4824" s="372">
        <f t="shared" si="3351"/>
        <v>0</v>
      </c>
      <c r="O4824" s="1257">
        <f t="shared" ref="O4824:P4824" si="3360">SUM(O4825:O4827)</f>
        <v>269500.00000000006</v>
      </c>
      <c r="P4824" s="1257">
        <f t="shared" si="3360"/>
        <v>296450.00000000012</v>
      </c>
      <c r="R4824" s="317"/>
      <c r="U4824" s="320"/>
    </row>
    <row r="4825" spans="1:21" s="344" customFormat="1" outlineLevel="3">
      <c r="A4825" s="345"/>
      <c r="B4825" s="345"/>
      <c r="C4825" s="1236">
        <v>2211101</v>
      </c>
      <c r="D4825" s="1237" t="s">
        <v>289</v>
      </c>
      <c r="E4825" s="1241">
        <v>58000</v>
      </c>
      <c r="F4825" s="1239"/>
      <c r="G4825" s="1239"/>
      <c r="H4825" s="1239"/>
      <c r="I4825" s="324">
        <f t="shared" si="3322"/>
        <v>58000</v>
      </c>
      <c r="J4825" s="1239"/>
      <c r="K4825" s="1240"/>
      <c r="L4825" s="317">
        <f t="shared" si="3347"/>
        <v>58000</v>
      </c>
      <c r="M4825" s="317"/>
      <c r="N4825" s="372">
        <f t="shared" si="3351"/>
        <v>0</v>
      </c>
      <c r="O4825" s="336">
        <f t="shared" si="3330"/>
        <v>63800.000000000007</v>
      </c>
      <c r="P4825" s="319">
        <f t="shared" si="3348"/>
        <v>70180.000000000015</v>
      </c>
      <c r="R4825" s="317"/>
      <c r="U4825" s="320"/>
    </row>
    <row r="4826" spans="1:21" s="344" customFormat="1" outlineLevel="3">
      <c r="A4826" s="345"/>
      <c r="B4826" s="345"/>
      <c r="C4826" s="1236">
        <v>2211102</v>
      </c>
      <c r="D4826" s="1237" t="s">
        <v>53</v>
      </c>
      <c r="E4826" s="1241">
        <f>150000-50000</f>
        <v>100000</v>
      </c>
      <c r="F4826" s="1239"/>
      <c r="G4826" s="1239"/>
      <c r="H4826" s="1239"/>
      <c r="I4826" s="324">
        <f t="shared" si="3322"/>
        <v>100000</v>
      </c>
      <c r="J4826" s="1239"/>
      <c r="K4826" s="1240"/>
      <c r="L4826" s="317">
        <f t="shared" si="3347"/>
        <v>100000</v>
      </c>
      <c r="M4826" s="317"/>
      <c r="N4826" s="372">
        <f t="shared" si="3351"/>
        <v>0</v>
      </c>
      <c r="O4826" s="336">
        <f t="shared" si="3330"/>
        <v>110000.00000000001</v>
      </c>
      <c r="P4826" s="319">
        <f t="shared" si="3348"/>
        <v>121000.00000000003</v>
      </c>
      <c r="R4826" s="317"/>
      <c r="U4826" s="320"/>
    </row>
    <row r="4827" spans="1:21" s="344" customFormat="1" outlineLevel="3">
      <c r="A4827" s="345"/>
      <c r="B4827" s="345"/>
      <c r="C4827" s="1236">
        <v>2211103</v>
      </c>
      <c r="D4827" s="1237" t="s">
        <v>54</v>
      </c>
      <c r="E4827" s="1241">
        <v>87000</v>
      </c>
      <c r="F4827" s="1239"/>
      <c r="G4827" s="1239"/>
      <c r="H4827" s="1239"/>
      <c r="I4827" s="324">
        <f t="shared" ref="I4827:I4890" si="3361">E4827+F4827+G4827+H4827</f>
        <v>87000</v>
      </c>
      <c r="J4827" s="1239"/>
      <c r="K4827" s="1240"/>
      <c r="L4827" s="317">
        <f t="shared" si="3347"/>
        <v>87000</v>
      </c>
      <c r="M4827" s="317"/>
      <c r="N4827" s="372">
        <f t="shared" si="3351"/>
        <v>0</v>
      </c>
      <c r="O4827" s="336">
        <f t="shared" si="3330"/>
        <v>95700.000000000015</v>
      </c>
      <c r="P4827" s="319">
        <f t="shared" si="3348"/>
        <v>105270.00000000003</v>
      </c>
      <c r="R4827" s="317"/>
      <c r="U4827" s="320"/>
    </row>
    <row r="4828" spans="1:21" s="344" customFormat="1" outlineLevel="3">
      <c r="A4828" s="345"/>
      <c r="B4828" s="345"/>
      <c r="C4828" s="770">
        <v>2220200</v>
      </c>
      <c r="D4828" s="362" t="s">
        <v>124</v>
      </c>
      <c r="E4828" s="397">
        <f>E4829+E4830+E4831</f>
        <v>308000</v>
      </c>
      <c r="F4828" s="397">
        <f t="shared" ref="F4828:K4828" si="3362">F4829+F4830+F4831</f>
        <v>0</v>
      </c>
      <c r="G4828" s="397">
        <f t="shared" si="3362"/>
        <v>0</v>
      </c>
      <c r="H4828" s="397">
        <f t="shared" si="3362"/>
        <v>0</v>
      </c>
      <c r="I4828" s="397">
        <f t="shared" si="3362"/>
        <v>308000</v>
      </c>
      <c r="J4828" s="397">
        <f t="shared" si="3362"/>
        <v>0</v>
      </c>
      <c r="K4828" s="397">
        <f t="shared" si="3362"/>
        <v>509700</v>
      </c>
      <c r="L4828" s="317">
        <f t="shared" si="3347"/>
        <v>817700</v>
      </c>
      <c r="M4828" s="317"/>
      <c r="N4828" s="372">
        <f t="shared" si="3351"/>
        <v>-509700</v>
      </c>
      <c r="O4828" s="397">
        <f t="shared" ref="O4828:P4828" si="3363">O4829+O4830+O4831</f>
        <v>899470.00000000012</v>
      </c>
      <c r="P4828" s="397">
        <f t="shared" si="3363"/>
        <v>989417.00000000023</v>
      </c>
      <c r="R4828" s="317"/>
      <c r="U4828" s="320"/>
    </row>
    <row r="4829" spans="1:21" s="344" customFormat="1" outlineLevel="3">
      <c r="A4829" s="345"/>
      <c r="B4829" s="345"/>
      <c r="C4829" s="1236">
        <v>2220210</v>
      </c>
      <c r="D4829" s="1237" t="s">
        <v>163</v>
      </c>
      <c r="E4829" s="1241">
        <v>58000</v>
      </c>
      <c r="F4829" s="1239"/>
      <c r="G4829" s="1239"/>
      <c r="H4829" s="1239"/>
      <c r="I4829" s="324">
        <f t="shared" si="3361"/>
        <v>58000</v>
      </c>
      <c r="J4829" s="1239"/>
      <c r="K4829" s="1240"/>
      <c r="L4829" s="317">
        <f t="shared" si="3347"/>
        <v>58000</v>
      </c>
      <c r="M4829" s="317"/>
      <c r="N4829" s="372">
        <f t="shared" si="3351"/>
        <v>0</v>
      </c>
      <c r="O4829" s="336">
        <f t="shared" si="3330"/>
        <v>63800.000000000007</v>
      </c>
      <c r="P4829" s="319">
        <f t="shared" ref="P4829:P4841" si="3364">O4829*1.1</f>
        <v>70180.000000000015</v>
      </c>
      <c r="R4829" s="317"/>
      <c r="U4829" s="320"/>
    </row>
    <row r="4830" spans="1:21" s="344" customFormat="1" outlineLevel="3">
      <c r="A4830" s="345"/>
      <c r="B4830" s="345"/>
      <c r="C4830" s="332">
        <v>2220204</v>
      </c>
      <c r="D4830" s="330" t="s">
        <v>816</v>
      </c>
      <c r="E4830" s="406">
        <v>50000</v>
      </c>
      <c r="F4830" s="389"/>
      <c r="G4830" s="389"/>
      <c r="H4830" s="389"/>
      <c r="I4830" s="324">
        <f t="shared" si="3361"/>
        <v>50000</v>
      </c>
      <c r="J4830" s="389"/>
      <c r="K4830" s="1258"/>
      <c r="L4830" s="317">
        <f t="shared" si="3347"/>
        <v>50000</v>
      </c>
      <c r="M4830" s="317"/>
      <c r="N4830" s="372">
        <f t="shared" si="3351"/>
        <v>0</v>
      </c>
      <c r="O4830" s="336">
        <f t="shared" si="3330"/>
        <v>55000.000000000007</v>
      </c>
      <c r="P4830" s="319">
        <f t="shared" si="3364"/>
        <v>60500.000000000015</v>
      </c>
      <c r="R4830" s="317"/>
      <c r="U4830" s="320"/>
    </row>
    <row r="4831" spans="1:21" s="344" customFormat="1" outlineLevel="3">
      <c r="A4831" s="345"/>
      <c r="B4831" s="345"/>
      <c r="C4831" s="332">
        <v>2220205</v>
      </c>
      <c r="D4831" s="330" t="s">
        <v>125</v>
      </c>
      <c r="E4831" s="406">
        <v>200000</v>
      </c>
      <c r="F4831" s="389"/>
      <c r="G4831" s="389"/>
      <c r="H4831" s="389"/>
      <c r="I4831" s="324">
        <f t="shared" si="3361"/>
        <v>200000</v>
      </c>
      <c r="J4831" s="389"/>
      <c r="K4831" s="1258">
        <v>509700</v>
      </c>
      <c r="L4831" s="317">
        <f t="shared" si="3347"/>
        <v>709700</v>
      </c>
      <c r="M4831" s="317"/>
      <c r="N4831" s="372">
        <f t="shared" si="3351"/>
        <v>-509700</v>
      </c>
      <c r="O4831" s="336">
        <f t="shared" si="3330"/>
        <v>780670.00000000012</v>
      </c>
      <c r="P4831" s="319">
        <f t="shared" si="3364"/>
        <v>858737.00000000023</v>
      </c>
      <c r="R4831" s="317"/>
      <c r="U4831" s="320"/>
    </row>
    <row r="4832" spans="1:21" s="344" customFormat="1" outlineLevel="2">
      <c r="A4832" s="345"/>
      <c r="B4832" s="345"/>
      <c r="C4832" s="780" t="s">
        <v>817</v>
      </c>
      <c r="D4832" s="793"/>
      <c r="E4832" s="438">
        <f>E4828+E4824+E4822+E4818+E4816+E4813</f>
        <v>2062400</v>
      </c>
      <c r="F4832" s="438">
        <f t="shared" ref="F4832:P4832" si="3365">F4828+F4824+F4822+F4818+F4816+F4813</f>
        <v>0</v>
      </c>
      <c r="G4832" s="438">
        <f t="shared" si="3365"/>
        <v>0</v>
      </c>
      <c r="H4832" s="438">
        <f t="shared" si="3365"/>
        <v>0</v>
      </c>
      <c r="I4832" s="438">
        <f t="shared" si="3365"/>
        <v>2062400</v>
      </c>
      <c r="J4832" s="438">
        <f t="shared" si="3365"/>
        <v>0</v>
      </c>
      <c r="K4832" s="438">
        <f t="shared" si="3365"/>
        <v>251700</v>
      </c>
      <c r="L4832" s="317">
        <f t="shared" si="3347"/>
        <v>2314100</v>
      </c>
      <c r="M4832" s="317"/>
      <c r="N4832" s="372">
        <f t="shared" si="3351"/>
        <v>-251700</v>
      </c>
      <c r="O4832" s="438">
        <f t="shared" si="3365"/>
        <v>2545510.0000000005</v>
      </c>
      <c r="P4832" s="438">
        <f t="shared" si="3365"/>
        <v>2800061.0000000009</v>
      </c>
      <c r="R4832" s="317"/>
      <c r="U4832" s="320"/>
    </row>
    <row r="4833" spans="1:21" s="344" customFormat="1" outlineLevel="2">
      <c r="A4833" s="345"/>
      <c r="B4833" s="345"/>
      <c r="C4833" s="362"/>
      <c r="D4833" s="1124"/>
      <c r="E4833" s="622"/>
      <c r="F4833" s="622"/>
      <c r="G4833" s="622"/>
      <c r="H4833" s="622"/>
      <c r="I4833" s="324">
        <f t="shared" si="3361"/>
        <v>0</v>
      </c>
      <c r="J4833" s="622"/>
      <c r="K4833" s="622"/>
      <c r="L4833" s="317">
        <f t="shared" si="3347"/>
        <v>0</v>
      </c>
      <c r="M4833" s="317"/>
      <c r="N4833" s="372">
        <f t="shared" si="3351"/>
        <v>0</v>
      </c>
      <c r="O4833" s="336">
        <f t="shared" si="3330"/>
        <v>0</v>
      </c>
      <c r="P4833" s="319">
        <f t="shared" si="3364"/>
        <v>0</v>
      </c>
      <c r="R4833" s="317"/>
      <c r="U4833" s="320"/>
    </row>
    <row r="4834" spans="1:21" s="344" customFormat="1" outlineLevel="2">
      <c r="A4834" s="345"/>
      <c r="B4834" s="345"/>
      <c r="C4834" s="340" t="s">
        <v>815</v>
      </c>
      <c r="D4834" s="340"/>
      <c r="E4834" s="389"/>
      <c r="F4834" s="386"/>
      <c r="G4834" s="386"/>
      <c r="H4834" s="386"/>
      <c r="I4834" s="324">
        <f t="shared" si="3361"/>
        <v>0</v>
      </c>
      <c r="J4834" s="386"/>
      <c r="K4834" s="386"/>
      <c r="L4834" s="317">
        <f t="shared" si="3347"/>
        <v>0</v>
      </c>
      <c r="M4834" s="317"/>
      <c r="N4834" s="372">
        <f t="shared" si="3351"/>
        <v>0</v>
      </c>
      <c r="O4834" s="336">
        <f t="shared" si="3330"/>
        <v>0</v>
      </c>
      <c r="P4834" s="319">
        <f t="shared" si="3364"/>
        <v>0</v>
      </c>
      <c r="R4834" s="317"/>
      <c r="U4834" s="320"/>
    </row>
    <row r="4835" spans="1:21" s="344" customFormat="1" outlineLevel="2">
      <c r="A4835" s="345"/>
      <c r="B4835" s="345"/>
      <c r="C4835" s="340" t="s">
        <v>815</v>
      </c>
      <c r="D4835" s="338"/>
      <c r="E4835" s="389"/>
      <c r="F4835" s="397"/>
      <c r="G4835" s="397"/>
      <c r="H4835" s="397"/>
      <c r="I4835" s="324">
        <f t="shared" si="3361"/>
        <v>0</v>
      </c>
      <c r="J4835" s="397"/>
      <c r="K4835" s="397"/>
      <c r="L4835" s="317">
        <f t="shared" si="3347"/>
        <v>0</v>
      </c>
      <c r="M4835" s="317"/>
      <c r="N4835" s="372">
        <f t="shared" si="3351"/>
        <v>0</v>
      </c>
      <c r="O4835" s="336">
        <f t="shared" si="3330"/>
        <v>0</v>
      </c>
      <c r="P4835" s="319">
        <f t="shared" si="3364"/>
        <v>0</v>
      </c>
      <c r="R4835" s="317"/>
      <c r="U4835" s="320"/>
    </row>
    <row r="4836" spans="1:21" s="344" customFormat="1" outlineLevel="3">
      <c r="A4836" s="345"/>
      <c r="B4836" s="345"/>
      <c r="C4836" s="770">
        <v>3111400</v>
      </c>
      <c r="D4836" s="362" t="s">
        <v>300</v>
      </c>
      <c r="E4836" s="397">
        <f>E4837+E4839+E4838+E4840+E4841</f>
        <v>0</v>
      </c>
      <c r="F4836" s="397">
        <f t="shared" ref="F4836:P4836" si="3366">F4837+F4839+F4838+F4840+F4841</f>
        <v>0</v>
      </c>
      <c r="G4836" s="397">
        <f t="shared" si="3366"/>
        <v>0</v>
      </c>
      <c r="H4836" s="397">
        <f t="shared" si="3366"/>
        <v>0</v>
      </c>
      <c r="I4836" s="397">
        <f t="shared" si="3366"/>
        <v>0</v>
      </c>
      <c r="J4836" s="397">
        <f t="shared" si="3366"/>
        <v>0</v>
      </c>
      <c r="K4836" s="397">
        <f t="shared" si="3366"/>
        <v>0</v>
      </c>
      <c r="L4836" s="317">
        <f t="shared" si="3347"/>
        <v>0</v>
      </c>
      <c r="M4836" s="317"/>
      <c r="N4836" s="372">
        <f t="shared" si="3351"/>
        <v>0</v>
      </c>
      <c r="O4836" s="397">
        <f t="shared" si="3366"/>
        <v>0</v>
      </c>
      <c r="P4836" s="397">
        <f t="shared" si="3366"/>
        <v>0</v>
      </c>
      <c r="R4836" s="317"/>
      <c r="U4836" s="320"/>
    </row>
    <row r="4837" spans="1:21" s="344" customFormat="1" outlineLevel="3">
      <c r="A4837" s="345"/>
      <c r="B4837" s="345"/>
      <c r="C4837" s="773">
        <v>3111401</v>
      </c>
      <c r="D4837" s="1136" t="s">
        <v>818</v>
      </c>
      <c r="E4837" s="389">
        <f>1000000-1000000</f>
        <v>0</v>
      </c>
      <c r="F4837" s="647"/>
      <c r="G4837" s="647"/>
      <c r="H4837" s="647"/>
      <c r="I4837" s="324">
        <f t="shared" si="3361"/>
        <v>0</v>
      </c>
      <c r="J4837" s="647"/>
      <c r="K4837" s="647"/>
      <c r="L4837" s="317">
        <f t="shared" si="3347"/>
        <v>0</v>
      </c>
      <c r="M4837" s="317"/>
      <c r="N4837" s="372">
        <f t="shared" si="3351"/>
        <v>0</v>
      </c>
      <c r="O4837" s="336">
        <f t="shared" si="3330"/>
        <v>0</v>
      </c>
      <c r="P4837" s="319">
        <f t="shared" si="3364"/>
        <v>0</v>
      </c>
      <c r="R4837" s="317"/>
      <c r="U4837" s="320"/>
    </row>
    <row r="4838" spans="1:21" s="344" customFormat="1" outlineLevel="3">
      <c r="A4838" s="345"/>
      <c r="B4838" s="345"/>
      <c r="C4838" s="773">
        <v>3111401</v>
      </c>
      <c r="D4838" s="345" t="s">
        <v>819</v>
      </c>
      <c r="E4838" s="389">
        <f>1620000-1620000</f>
        <v>0</v>
      </c>
      <c r="F4838" s="406"/>
      <c r="G4838" s="406"/>
      <c r="H4838" s="406"/>
      <c r="I4838" s="324">
        <f t="shared" si="3361"/>
        <v>0</v>
      </c>
      <c r="J4838" s="406"/>
      <c r="K4838" s="406"/>
      <c r="L4838" s="317">
        <f t="shared" si="3347"/>
        <v>0</v>
      </c>
      <c r="M4838" s="317"/>
      <c r="N4838" s="372">
        <f t="shared" si="3351"/>
        <v>0</v>
      </c>
      <c r="O4838" s="336">
        <f t="shared" si="3330"/>
        <v>0</v>
      </c>
      <c r="P4838" s="319">
        <f t="shared" si="3364"/>
        <v>0</v>
      </c>
      <c r="R4838" s="317"/>
      <c r="U4838" s="320"/>
    </row>
    <row r="4839" spans="1:21" s="344" customFormat="1" outlineLevel="3">
      <c r="A4839" s="345"/>
      <c r="B4839" s="345"/>
      <c r="C4839" s="773">
        <v>3111401</v>
      </c>
      <c r="D4839" s="345" t="s">
        <v>820</v>
      </c>
      <c r="E4839" s="389">
        <f>4000000-4000000</f>
        <v>0</v>
      </c>
      <c r="F4839" s="406"/>
      <c r="G4839" s="406"/>
      <c r="H4839" s="406"/>
      <c r="I4839" s="324">
        <f t="shared" si="3361"/>
        <v>0</v>
      </c>
      <c r="J4839" s="406"/>
      <c r="K4839" s="406"/>
      <c r="L4839" s="317">
        <f t="shared" si="3347"/>
        <v>0</v>
      </c>
      <c r="M4839" s="317"/>
      <c r="N4839" s="372">
        <f t="shared" si="3351"/>
        <v>0</v>
      </c>
      <c r="O4839" s="336">
        <f t="shared" si="3330"/>
        <v>0</v>
      </c>
      <c r="P4839" s="319">
        <f t="shared" si="3364"/>
        <v>0</v>
      </c>
      <c r="R4839" s="317"/>
      <c r="U4839" s="320"/>
    </row>
    <row r="4840" spans="1:21" s="344" customFormat="1" outlineLevel="3">
      <c r="A4840" s="345"/>
      <c r="B4840" s="345"/>
      <c r="C4840" s="773">
        <v>3111402</v>
      </c>
      <c r="D4840" s="1136" t="s">
        <v>821</v>
      </c>
      <c r="E4840" s="389">
        <f>1000000-1000000</f>
        <v>0</v>
      </c>
      <c r="F4840" s="647"/>
      <c r="G4840" s="647"/>
      <c r="H4840" s="647"/>
      <c r="I4840" s="324">
        <f t="shared" si="3361"/>
        <v>0</v>
      </c>
      <c r="J4840" s="647"/>
      <c r="K4840" s="647"/>
      <c r="L4840" s="317">
        <f t="shared" si="3347"/>
        <v>0</v>
      </c>
      <c r="M4840" s="317"/>
      <c r="N4840" s="372">
        <f t="shared" si="3351"/>
        <v>0</v>
      </c>
      <c r="O4840" s="336">
        <f t="shared" si="3330"/>
        <v>0</v>
      </c>
      <c r="P4840" s="319">
        <f t="shared" si="3364"/>
        <v>0</v>
      </c>
      <c r="R4840" s="317"/>
      <c r="U4840" s="320"/>
    </row>
    <row r="4841" spans="1:21" s="344" customFormat="1" outlineLevel="3">
      <c r="A4841" s="345"/>
      <c r="B4841" s="345"/>
      <c r="C4841" s="773"/>
      <c r="D4841" s="345" t="s">
        <v>822</v>
      </c>
      <c r="E4841" s="389">
        <f>700000-700000</f>
        <v>0</v>
      </c>
      <c r="F4841" s="406"/>
      <c r="G4841" s="406"/>
      <c r="H4841" s="406"/>
      <c r="I4841" s="324">
        <f t="shared" si="3361"/>
        <v>0</v>
      </c>
      <c r="J4841" s="406"/>
      <c r="K4841" s="406"/>
      <c r="L4841" s="317">
        <f t="shared" si="3347"/>
        <v>0</v>
      </c>
      <c r="M4841" s="317"/>
      <c r="N4841" s="372">
        <f t="shared" si="3351"/>
        <v>0</v>
      </c>
      <c r="O4841" s="336">
        <f t="shared" si="3330"/>
        <v>0</v>
      </c>
      <c r="P4841" s="319">
        <f t="shared" si="3364"/>
        <v>0</v>
      </c>
      <c r="R4841" s="317"/>
      <c r="U4841" s="320"/>
    </row>
    <row r="4842" spans="1:21" s="344" customFormat="1" outlineLevel="2">
      <c r="A4842" s="345"/>
      <c r="B4842" s="345"/>
      <c r="C4842" s="1259" t="s">
        <v>606</v>
      </c>
      <c r="D4842" s="780"/>
      <c r="E4842" s="438">
        <f>E4836</f>
        <v>0</v>
      </c>
      <c r="F4842" s="575"/>
      <c r="G4842" s="575"/>
      <c r="H4842" s="575"/>
      <c r="I4842" s="324">
        <f t="shared" si="3361"/>
        <v>0</v>
      </c>
      <c r="J4842" s="575"/>
      <c r="K4842" s="575"/>
      <c r="L4842" s="317">
        <f t="shared" si="3347"/>
        <v>0</v>
      </c>
      <c r="M4842" s="317"/>
      <c r="N4842" s="372">
        <f t="shared" si="3351"/>
        <v>0</v>
      </c>
      <c r="O4842" s="336">
        <f t="shared" si="3330"/>
        <v>0</v>
      </c>
      <c r="P4842" s="319">
        <f t="shared" ref="P4842:P4876" si="3367">O4842*1.1</f>
        <v>0</v>
      </c>
      <c r="R4842" s="317"/>
      <c r="U4842" s="320"/>
    </row>
    <row r="4843" spans="1:21" s="344" customFormat="1" outlineLevel="1">
      <c r="A4843" s="345"/>
      <c r="B4843" s="345"/>
      <c r="C4843" s="780" t="s">
        <v>84</v>
      </c>
      <c r="D4843" s="792"/>
      <c r="E4843" s="700">
        <f>E4842+E4832</f>
        <v>2062400</v>
      </c>
      <c r="F4843" s="700">
        <f t="shared" ref="F4843:K4843" si="3368">F4842+F4832</f>
        <v>0</v>
      </c>
      <c r="G4843" s="700">
        <f t="shared" si="3368"/>
        <v>0</v>
      </c>
      <c r="H4843" s="700">
        <f t="shared" si="3368"/>
        <v>0</v>
      </c>
      <c r="I4843" s="700">
        <f t="shared" si="3368"/>
        <v>2062400</v>
      </c>
      <c r="J4843" s="700">
        <f t="shared" si="3368"/>
        <v>0</v>
      </c>
      <c r="K4843" s="700">
        <f t="shared" si="3368"/>
        <v>251700</v>
      </c>
      <c r="L4843" s="317">
        <f t="shared" si="3347"/>
        <v>2314100</v>
      </c>
      <c r="M4843" s="317"/>
      <c r="N4843" s="372">
        <f t="shared" si="3351"/>
        <v>-251700</v>
      </c>
      <c r="O4843" s="700">
        <f t="shared" ref="O4843:P4843" si="3369">O4842+O4832</f>
        <v>2545510.0000000005</v>
      </c>
      <c r="P4843" s="700">
        <f t="shared" si="3369"/>
        <v>2800061.0000000009</v>
      </c>
      <c r="R4843" s="317"/>
      <c r="U4843" s="320"/>
    </row>
    <row r="4844" spans="1:21" s="344" customFormat="1" outlineLevel="1">
      <c r="A4844" s="345"/>
      <c r="B4844" s="345"/>
      <c r="C4844" s="780"/>
      <c r="D4844" s="792"/>
      <c r="E4844" s="700"/>
      <c r="F4844" s="700"/>
      <c r="G4844" s="700"/>
      <c r="H4844" s="700"/>
      <c r="I4844" s="324">
        <f t="shared" si="3361"/>
        <v>0</v>
      </c>
      <c r="J4844" s="700"/>
      <c r="K4844" s="700"/>
      <c r="L4844" s="317">
        <f t="shared" si="3347"/>
        <v>0</v>
      </c>
      <c r="M4844" s="317"/>
      <c r="N4844" s="372">
        <f t="shared" si="3351"/>
        <v>0</v>
      </c>
      <c r="O4844" s="336">
        <f t="shared" si="3330"/>
        <v>0</v>
      </c>
      <c r="P4844" s="319">
        <f t="shared" si="3367"/>
        <v>0</v>
      </c>
      <c r="R4844" s="317"/>
      <c r="U4844" s="320"/>
    </row>
    <row r="4845" spans="1:21" s="344" customFormat="1" outlineLevel="1">
      <c r="A4845" s="345"/>
      <c r="B4845" s="345"/>
      <c r="C4845" s="780"/>
      <c r="D4845" s="792"/>
      <c r="E4845" s="700"/>
      <c r="F4845" s="700"/>
      <c r="G4845" s="700"/>
      <c r="H4845" s="700"/>
      <c r="I4845" s="324">
        <f t="shared" si="3361"/>
        <v>0</v>
      </c>
      <c r="J4845" s="700"/>
      <c r="K4845" s="700"/>
      <c r="L4845" s="317">
        <f t="shared" si="3347"/>
        <v>0</v>
      </c>
      <c r="M4845" s="317"/>
      <c r="N4845" s="372">
        <f t="shared" si="3351"/>
        <v>0</v>
      </c>
      <c r="O4845" s="336">
        <f t="shared" si="3330"/>
        <v>0</v>
      </c>
      <c r="P4845" s="319">
        <f t="shared" si="3367"/>
        <v>0</v>
      </c>
      <c r="R4845" s="317"/>
      <c r="U4845" s="320"/>
    </row>
    <row r="4846" spans="1:21" s="344" customFormat="1" outlineLevel="1">
      <c r="A4846" s="345"/>
      <c r="B4846" s="345"/>
      <c r="C4846" s="314" t="s">
        <v>823</v>
      </c>
      <c r="D4846" s="447"/>
      <c r="E4846" s="1260">
        <v>0</v>
      </c>
      <c r="F4846" s="438"/>
      <c r="G4846" s="438"/>
      <c r="H4846" s="438"/>
      <c r="I4846" s="324">
        <f t="shared" si="3361"/>
        <v>0</v>
      </c>
      <c r="J4846" s="438"/>
      <c r="K4846" s="438"/>
      <c r="L4846" s="317">
        <f t="shared" si="3347"/>
        <v>0</v>
      </c>
      <c r="M4846" s="317"/>
      <c r="N4846" s="372">
        <f t="shared" si="3351"/>
        <v>0</v>
      </c>
      <c r="O4846" s="336">
        <f t="shared" ref="O4846:O4908" si="3370">L4846*1.1</f>
        <v>0</v>
      </c>
      <c r="P4846" s="319">
        <f t="shared" si="3367"/>
        <v>0</v>
      </c>
      <c r="R4846" s="317"/>
      <c r="U4846" s="320"/>
    </row>
    <row r="4847" spans="1:21" s="344" customFormat="1" outlineLevel="1">
      <c r="A4847" s="345"/>
      <c r="B4847" s="345"/>
      <c r="C4847" s="1261" t="s">
        <v>824</v>
      </c>
      <c r="D4847" s="1262"/>
      <c r="E4847" s="1263">
        <v>0</v>
      </c>
      <c r="F4847" s="1252"/>
      <c r="G4847" s="1252"/>
      <c r="H4847" s="1252"/>
      <c r="I4847" s="324">
        <f t="shared" si="3361"/>
        <v>0</v>
      </c>
      <c r="J4847" s="1252"/>
      <c r="K4847" s="1252"/>
      <c r="L4847" s="317">
        <f t="shared" si="3347"/>
        <v>0</v>
      </c>
      <c r="M4847" s="317"/>
      <c r="N4847" s="372">
        <f t="shared" si="3351"/>
        <v>0</v>
      </c>
      <c r="O4847" s="336">
        <f t="shared" si="3370"/>
        <v>0</v>
      </c>
      <c r="P4847" s="319">
        <f t="shared" si="3367"/>
        <v>0</v>
      </c>
      <c r="R4847" s="317"/>
      <c r="U4847" s="320"/>
    </row>
    <row r="4848" spans="1:21" s="344" customFormat="1" outlineLevel="1">
      <c r="A4848" s="345"/>
      <c r="B4848" s="345"/>
      <c r="C4848" s="1261" t="s">
        <v>825</v>
      </c>
      <c r="D4848" s="1262"/>
      <c r="E4848" s="1263">
        <v>0</v>
      </c>
      <c r="F4848" s="1252"/>
      <c r="G4848" s="1252"/>
      <c r="H4848" s="1252"/>
      <c r="I4848" s="324">
        <f t="shared" si="3361"/>
        <v>0</v>
      </c>
      <c r="J4848" s="1252"/>
      <c r="K4848" s="1252"/>
      <c r="L4848" s="317">
        <f t="shared" si="3347"/>
        <v>0</v>
      </c>
      <c r="M4848" s="317"/>
      <c r="N4848" s="372">
        <f t="shared" si="3351"/>
        <v>0</v>
      </c>
      <c r="O4848" s="336">
        <f t="shared" si="3370"/>
        <v>0</v>
      </c>
      <c r="P4848" s="319">
        <f t="shared" si="3367"/>
        <v>0</v>
      </c>
      <c r="R4848" s="317"/>
      <c r="U4848" s="320"/>
    </row>
    <row r="4849" spans="1:21" s="344" customFormat="1" outlineLevel="1">
      <c r="A4849" s="345"/>
      <c r="B4849" s="345"/>
      <c r="C4849" s="1255">
        <v>2210200</v>
      </c>
      <c r="D4849" s="1256" t="s">
        <v>20</v>
      </c>
      <c r="E4849" s="1257">
        <f>SUM(E4850:E4852)</f>
        <v>308000</v>
      </c>
      <c r="F4849" s="1257">
        <f t="shared" ref="F4849:P4849" si="3371">SUM(F4850:F4852)</f>
        <v>0</v>
      </c>
      <c r="G4849" s="1257">
        <f t="shared" si="3371"/>
        <v>0</v>
      </c>
      <c r="H4849" s="1257">
        <f t="shared" si="3371"/>
        <v>0</v>
      </c>
      <c r="I4849" s="1257">
        <f t="shared" si="3371"/>
        <v>308000</v>
      </c>
      <c r="J4849" s="1257">
        <f t="shared" si="3371"/>
        <v>0</v>
      </c>
      <c r="K4849" s="1257">
        <f t="shared" si="3371"/>
        <v>-308000</v>
      </c>
      <c r="L4849" s="317">
        <f t="shared" si="3347"/>
        <v>0</v>
      </c>
      <c r="M4849" s="317"/>
      <c r="N4849" s="372">
        <f t="shared" si="3351"/>
        <v>308000</v>
      </c>
      <c r="O4849" s="1257">
        <f t="shared" si="3371"/>
        <v>0</v>
      </c>
      <c r="P4849" s="1257">
        <f t="shared" si="3371"/>
        <v>0</v>
      </c>
      <c r="R4849" s="317"/>
      <c r="U4849" s="320"/>
    </row>
    <row r="4850" spans="1:21" s="344" customFormat="1" outlineLevel="1">
      <c r="A4850" s="345"/>
      <c r="B4850" s="345"/>
      <c r="C4850" s="1236">
        <v>2210201</v>
      </c>
      <c r="D4850" s="1237" t="s">
        <v>187</v>
      </c>
      <c r="E4850" s="1241">
        <v>100000</v>
      </c>
      <c r="F4850" s="1239"/>
      <c r="G4850" s="1239"/>
      <c r="H4850" s="1239"/>
      <c r="I4850" s="324">
        <f t="shared" si="3361"/>
        <v>100000</v>
      </c>
      <c r="J4850" s="1239"/>
      <c r="K4850" s="1240">
        <v>-100000</v>
      </c>
      <c r="L4850" s="317">
        <f t="shared" si="3347"/>
        <v>0</v>
      </c>
      <c r="M4850" s="317"/>
      <c r="N4850" s="372">
        <f t="shared" si="3351"/>
        <v>100000</v>
      </c>
      <c r="O4850" s="336">
        <f t="shared" si="3370"/>
        <v>0</v>
      </c>
      <c r="P4850" s="319">
        <f t="shared" si="3367"/>
        <v>0</v>
      </c>
      <c r="R4850" s="317"/>
      <c r="U4850" s="320"/>
    </row>
    <row r="4851" spans="1:21" s="344" customFormat="1" outlineLevel="1">
      <c r="A4851" s="345"/>
      <c r="B4851" s="345"/>
      <c r="C4851" s="1236">
        <v>2210202</v>
      </c>
      <c r="D4851" s="1237" t="s">
        <v>359</v>
      </c>
      <c r="E4851" s="1241">
        <v>150000</v>
      </c>
      <c r="F4851" s="1239"/>
      <c r="G4851" s="1239"/>
      <c r="H4851" s="1239"/>
      <c r="I4851" s="324">
        <f t="shared" si="3361"/>
        <v>150000</v>
      </c>
      <c r="J4851" s="1239"/>
      <c r="K4851" s="1240">
        <v>-150000</v>
      </c>
      <c r="L4851" s="317">
        <f t="shared" si="3347"/>
        <v>0</v>
      </c>
      <c r="M4851" s="317"/>
      <c r="N4851" s="372">
        <f t="shared" si="3351"/>
        <v>150000</v>
      </c>
      <c r="O4851" s="336">
        <f t="shared" si="3370"/>
        <v>0</v>
      </c>
      <c r="P4851" s="319">
        <f t="shared" si="3367"/>
        <v>0</v>
      </c>
      <c r="R4851" s="317"/>
      <c r="U4851" s="320"/>
    </row>
    <row r="4852" spans="1:21" s="344" customFormat="1" outlineLevel="1">
      <c r="A4852" s="345"/>
      <c r="B4852" s="345"/>
      <c r="C4852" s="1236">
        <v>2210203</v>
      </c>
      <c r="D4852" s="1237" t="s">
        <v>23</v>
      </c>
      <c r="E4852" s="1241">
        <v>58000</v>
      </c>
      <c r="F4852" s="1239"/>
      <c r="G4852" s="1239"/>
      <c r="H4852" s="1239"/>
      <c r="I4852" s="324">
        <f t="shared" si="3361"/>
        <v>58000</v>
      </c>
      <c r="J4852" s="1239"/>
      <c r="K4852" s="1240">
        <v>-58000</v>
      </c>
      <c r="L4852" s="317">
        <f t="shared" si="3347"/>
        <v>0</v>
      </c>
      <c r="M4852" s="317"/>
      <c r="N4852" s="372">
        <f t="shared" si="3351"/>
        <v>58000</v>
      </c>
      <c r="O4852" s="336">
        <f t="shared" si="3370"/>
        <v>0</v>
      </c>
      <c r="P4852" s="319">
        <f t="shared" si="3367"/>
        <v>0</v>
      </c>
      <c r="R4852" s="317"/>
      <c r="U4852" s="320"/>
    </row>
    <row r="4853" spans="1:21" s="344" customFormat="1" outlineLevel="3">
      <c r="A4853" s="345"/>
      <c r="B4853" s="345"/>
      <c r="C4853" s="1233">
        <v>2210300</v>
      </c>
      <c r="D4853" s="1234" t="s">
        <v>24</v>
      </c>
      <c r="E4853" s="1235">
        <f>SUM(E4854:E4856)</f>
        <v>2084000</v>
      </c>
      <c r="F4853" s="1235">
        <f t="shared" ref="F4853:P4853" si="3372">SUM(F4854:F4856)</f>
        <v>0</v>
      </c>
      <c r="G4853" s="1235">
        <f t="shared" si="3372"/>
        <v>0</v>
      </c>
      <c r="H4853" s="1235">
        <f t="shared" si="3372"/>
        <v>0</v>
      </c>
      <c r="I4853" s="1235">
        <f t="shared" si="3372"/>
        <v>2084000</v>
      </c>
      <c r="J4853" s="1235">
        <f t="shared" si="3372"/>
        <v>0</v>
      </c>
      <c r="K4853" s="1235">
        <f t="shared" si="3372"/>
        <v>0</v>
      </c>
      <c r="L4853" s="317">
        <f t="shared" si="3347"/>
        <v>2084000</v>
      </c>
      <c r="M4853" s="317"/>
      <c r="N4853" s="372">
        <f t="shared" si="3351"/>
        <v>0</v>
      </c>
      <c r="O4853" s="1235">
        <f t="shared" si="3372"/>
        <v>2292400</v>
      </c>
      <c r="P4853" s="1235">
        <f t="shared" si="3372"/>
        <v>2521640.0000000005</v>
      </c>
      <c r="R4853" s="317"/>
      <c r="U4853" s="320"/>
    </row>
    <row r="4854" spans="1:21" s="344" customFormat="1" outlineLevel="3">
      <c r="A4854" s="345"/>
      <c r="B4854" s="345"/>
      <c r="C4854" s="1236">
        <v>2210301</v>
      </c>
      <c r="D4854" s="1237" t="s">
        <v>188</v>
      </c>
      <c r="E4854" s="1241">
        <v>580000</v>
      </c>
      <c r="F4854" s="1239"/>
      <c r="G4854" s="1239"/>
      <c r="H4854" s="1239"/>
      <c r="I4854" s="324">
        <f t="shared" si="3361"/>
        <v>580000</v>
      </c>
      <c r="J4854" s="1239"/>
      <c r="K4854" s="1240"/>
      <c r="L4854" s="317">
        <f t="shared" si="3347"/>
        <v>580000</v>
      </c>
      <c r="M4854" s="317"/>
      <c r="N4854" s="372">
        <f t="shared" si="3351"/>
        <v>0</v>
      </c>
      <c r="O4854" s="336">
        <f t="shared" si="3370"/>
        <v>638000</v>
      </c>
      <c r="P4854" s="319">
        <f t="shared" si="3367"/>
        <v>701800</v>
      </c>
      <c r="R4854" s="317"/>
      <c r="U4854" s="320"/>
    </row>
    <row r="4855" spans="1:21" s="344" customFormat="1" outlineLevel="3">
      <c r="A4855" s="345"/>
      <c r="B4855" s="345"/>
      <c r="C4855" s="1236">
        <v>2210302</v>
      </c>
      <c r="D4855" s="1237" t="s">
        <v>26</v>
      </c>
      <c r="E4855" s="1241">
        <f>1160000-300000</f>
        <v>860000</v>
      </c>
      <c r="F4855" s="1239"/>
      <c r="G4855" s="1239"/>
      <c r="H4855" s="1239"/>
      <c r="I4855" s="324">
        <f t="shared" si="3361"/>
        <v>860000</v>
      </c>
      <c r="J4855" s="1239"/>
      <c r="K4855" s="1240"/>
      <c r="L4855" s="317">
        <f t="shared" si="3347"/>
        <v>860000</v>
      </c>
      <c r="M4855" s="317"/>
      <c r="N4855" s="372">
        <f t="shared" si="3351"/>
        <v>0</v>
      </c>
      <c r="O4855" s="336">
        <f t="shared" si="3370"/>
        <v>946000.00000000012</v>
      </c>
      <c r="P4855" s="319">
        <f t="shared" si="3367"/>
        <v>1040600.0000000002</v>
      </c>
      <c r="R4855" s="317"/>
      <c r="U4855" s="320"/>
    </row>
    <row r="4856" spans="1:21" s="344" customFormat="1" outlineLevel="3">
      <c r="A4856" s="345"/>
      <c r="B4856" s="345"/>
      <c r="C4856" s="1236">
        <v>2210303</v>
      </c>
      <c r="D4856" s="1237" t="s">
        <v>223</v>
      </c>
      <c r="E4856" s="1241">
        <f>1044000-400000</f>
        <v>644000</v>
      </c>
      <c r="F4856" s="1239"/>
      <c r="G4856" s="1239"/>
      <c r="H4856" s="1239"/>
      <c r="I4856" s="324">
        <f t="shared" si="3361"/>
        <v>644000</v>
      </c>
      <c r="J4856" s="1239"/>
      <c r="K4856" s="1240"/>
      <c r="L4856" s="317">
        <f t="shared" si="3347"/>
        <v>644000</v>
      </c>
      <c r="M4856" s="317"/>
      <c r="N4856" s="372">
        <f t="shared" si="3351"/>
        <v>0</v>
      </c>
      <c r="O4856" s="336">
        <f t="shared" si="3370"/>
        <v>708400</v>
      </c>
      <c r="P4856" s="319">
        <f t="shared" si="3367"/>
        <v>779240.00000000012</v>
      </c>
      <c r="R4856" s="317"/>
      <c r="U4856" s="320"/>
    </row>
    <row r="4857" spans="1:21" s="344" customFormat="1" outlineLevel="3">
      <c r="A4857" s="345"/>
      <c r="B4857" s="345"/>
      <c r="C4857" s="1255">
        <v>2210500</v>
      </c>
      <c r="D4857" s="1256" t="s">
        <v>31</v>
      </c>
      <c r="E4857" s="1257">
        <f>SUM(E4858:E4860)</f>
        <v>975400</v>
      </c>
      <c r="F4857" s="1257">
        <f t="shared" ref="F4857:P4857" si="3373">SUM(F4858:F4860)</f>
        <v>0</v>
      </c>
      <c r="G4857" s="1257">
        <f t="shared" si="3373"/>
        <v>0</v>
      </c>
      <c r="H4857" s="1257">
        <f t="shared" si="3373"/>
        <v>-300000</v>
      </c>
      <c r="I4857" s="1257">
        <f t="shared" si="3373"/>
        <v>675400</v>
      </c>
      <c r="J4857" s="1257">
        <f t="shared" si="3373"/>
        <v>0</v>
      </c>
      <c r="K4857" s="1257">
        <f t="shared" si="3373"/>
        <v>-75400</v>
      </c>
      <c r="L4857" s="317">
        <f t="shared" si="3347"/>
        <v>600000</v>
      </c>
      <c r="M4857" s="317"/>
      <c r="N4857" s="372">
        <f t="shared" si="3351"/>
        <v>75400</v>
      </c>
      <c r="O4857" s="1257">
        <f t="shared" si="3373"/>
        <v>660000.00000000012</v>
      </c>
      <c r="P4857" s="1257">
        <f t="shared" si="3373"/>
        <v>726000.00000000023</v>
      </c>
      <c r="R4857" s="317"/>
      <c r="U4857" s="320"/>
    </row>
    <row r="4858" spans="1:21" s="344" customFormat="1" outlineLevel="3">
      <c r="A4858" s="345"/>
      <c r="B4858" s="345"/>
      <c r="C4858" s="1236">
        <v>2210502</v>
      </c>
      <c r="D4858" s="1237" t="s">
        <v>105</v>
      </c>
      <c r="E4858" s="1241">
        <f>290000-90000</f>
        <v>200000</v>
      </c>
      <c r="F4858" s="1239"/>
      <c r="G4858" s="1239"/>
      <c r="H4858" s="1239"/>
      <c r="I4858" s="324">
        <f t="shared" si="3361"/>
        <v>200000</v>
      </c>
      <c r="J4858" s="1239"/>
      <c r="K4858" s="1240"/>
      <c r="L4858" s="317">
        <f t="shared" si="3347"/>
        <v>200000</v>
      </c>
      <c r="M4858" s="317"/>
      <c r="N4858" s="372">
        <f t="shared" si="3351"/>
        <v>0</v>
      </c>
      <c r="O4858" s="336">
        <f t="shared" si="3370"/>
        <v>220000.00000000003</v>
      </c>
      <c r="P4858" s="319">
        <f t="shared" ref="P4858:P4860" si="3374">O4858*1.1</f>
        <v>242000.00000000006</v>
      </c>
      <c r="R4858" s="317"/>
      <c r="U4858" s="320"/>
    </row>
    <row r="4859" spans="1:21" s="344" customFormat="1" outlineLevel="3">
      <c r="A4859" s="345"/>
      <c r="B4859" s="345"/>
      <c r="C4859" s="1236">
        <v>2210503</v>
      </c>
      <c r="D4859" s="1237" t="s">
        <v>32</v>
      </c>
      <c r="E4859" s="1241">
        <v>75400</v>
      </c>
      <c r="F4859" s="1239"/>
      <c r="G4859" s="1239"/>
      <c r="H4859" s="1239"/>
      <c r="I4859" s="324">
        <f t="shared" si="3361"/>
        <v>75400</v>
      </c>
      <c r="J4859" s="1239"/>
      <c r="K4859" s="1240">
        <v>-75400</v>
      </c>
      <c r="L4859" s="317">
        <f t="shared" si="3347"/>
        <v>0</v>
      </c>
      <c r="M4859" s="317"/>
      <c r="N4859" s="372">
        <f t="shared" si="3351"/>
        <v>75400</v>
      </c>
      <c r="O4859" s="336">
        <f t="shared" si="3370"/>
        <v>0</v>
      </c>
      <c r="P4859" s="319">
        <f t="shared" si="3374"/>
        <v>0</v>
      </c>
      <c r="R4859" s="317"/>
      <c r="U4859" s="320"/>
    </row>
    <row r="4860" spans="1:21" s="344" customFormat="1" outlineLevel="3">
      <c r="A4860" s="345"/>
      <c r="B4860" s="345"/>
      <c r="C4860" s="1236">
        <v>2210504</v>
      </c>
      <c r="D4860" s="1237" t="s">
        <v>33</v>
      </c>
      <c r="E4860" s="1241">
        <f>1000000-300000</f>
        <v>700000</v>
      </c>
      <c r="F4860" s="1239"/>
      <c r="G4860" s="1239"/>
      <c r="H4860" s="1239">
        <v>-300000</v>
      </c>
      <c r="I4860" s="324">
        <f t="shared" si="3361"/>
        <v>400000</v>
      </c>
      <c r="J4860" s="1239"/>
      <c r="K4860" s="1240"/>
      <c r="L4860" s="317">
        <f t="shared" si="3347"/>
        <v>400000</v>
      </c>
      <c r="M4860" s="317"/>
      <c r="N4860" s="372">
        <f t="shared" si="3351"/>
        <v>0</v>
      </c>
      <c r="O4860" s="336">
        <f t="shared" si="3370"/>
        <v>440000.00000000006</v>
      </c>
      <c r="P4860" s="319">
        <f t="shared" si="3374"/>
        <v>484000.00000000012</v>
      </c>
      <c r="R4860" s="317"/>
      <c r="U4860" s="320"/>
    </row>
    <row r="4861" spans="1:21" s="344" customFormat="1" outlineLevel="3">
      <c r="A4861" s="345"/>
      <c r="B4861" s="345"/>
      <c r="C4861" s="1255">
        <v>2210700</v>
      </c>
      <c r="D4861" s="1256" t="s">
        <v>35</v>
      </c>
      <c r="E4861" s="1257">
        <f>SUM(E4862:E4864)</f>
        <v>551000</v>
      </c>
      <c r="F4861" s="1257">
        <f t="shared" ref="F4861:P4861" si="3375">SUM(F4862:F4864)</f>
        <v>0</v>
      </c>
      <c r="G4861" s="1257">
        <f t="shared" si="3375"/>
        <v>0</v>
      </c>
      <c r="H4861" s="1257">
        <f t="shared" si="3375"/>
        <v>0</v>
      </c>
      <c r="I4861" s="1257">
        <f t="shared" si="3375"/>
        <v>551000</v>
      </c>
      <c r="J4861" s="1257">
        <f t="shared" si="3375"/>
        <v>0</v>
      </c>
      <c r="K4861" s="1257">
        <f t="shared" si="3375"/>
        <v>0</v>
      </c>
      <c r="L4861" s="317">
        <f t="shared" si="3347"/>
        <v>551000</v>
      </c>
      <c r="M4861" s="317"/>
      <c r="N4861" s="372">
        <f t="shared" si="3351"/>
        <v>0</v>
      </c>
      <c r="O4861" s="1257">
        <f t="shared" si="3375"/>
        <v>606100</v>
      </c>
      <c r="P4861" s="1257">
        <f t="shared" si="3375"/>
        <v>666710</v>
      </c>
      <c r="R4861" s="317"/>
      <c r="U4861" s="320"/>
    </row>
    <row r="4862" spans="1:21" s="344" customFormat="1" outlineLevel="3">
      <c r="A4862" s="345"/>
      <c r="B4862" s="345"/>
      <c r="C4862" s="1236">
        <v>2210701</v>
      </c>
      <c r="D4862" s="1237" t="s">
        <v>190</v>
      </c>
      <c r="E4862" s="1241">
        <v>290000</v>
      </c>
      <c r="F4862" s="1239"/>
      <c r="G4862" s="1239"/>
      <c r="H4862" s="1239"/>
      <c r="I4862" s="324">
        <f t="shared" si="3361"/>
        <v>290000</v>
      </c>
      <c r="J4862" s="1239"/>
      <c r="K4862" s="1239"/>
      <c r="L4862" s="317">
        <f t="shared" si="3347"/>
        <v>290000</v>
      </c>
      <c r="M4862" s="317"/>
      <c r="N4862" s="372">
        <f t="shared" si="3351"/>
        <v>0</v>
      </c>
      <c r="O4862" s="336">
        <f t="shared" si="3370"/>
        <v>319000</v>
      </c>
      <c r="P4862" s="319">
        <f t="shared" ref="P4862:P4864" si="3376">O4862*1.1</f>
        <v>350900</v>
      </c>
      <c r="R4862" s="317"/>
      <c r="U4862" s="320"/>
    </row>
    <row r="4863" spans="1:21" s="344" customFormat="1" outlineLevel="3">
      <c r="A4863" s="345"/>
      <c r="B4863" s="345"/>
      <c r="C4863" s="1236">
        <v>2210704</v>
      </c>
      <c r="D4863" s="1237" t="s">
        <v>38</v>
      </c>
      <c r="E4863" s="1241">
        <v>58000</v>
      </c>
      <c r="F4863" s="1239"/>
      <c r="G4863" s="1239"/>
      <c r="H4863" s="1239"/>
      <c r="I4863" s="324">
        <f t="shared" si="3361"/>
        <v>58000</v>
      </c>
      <c r="J4863" s="1239"/>
      <c r="K4863" s="1239"/>
      <c r="L4863" s="317">
        <f t="shared" si="3347"/>
        <v>58000</v>
      </c>
      <c r="M4863" s="317"/>
      <c r="N4863" s="372">
        <f t="shared" si="3351"/>
        <v>0</v>
      </c>
      <c r="O4863" s="336">
        <f t="shared" si="3370"/>
        <v>63800.000000000007</v>
      </c>
      <c r="P4863" s="319">
        <f t="shared" si="3376"/>
        <v>70180.000000000015</v>
      </c>
      <c r="R4863" s="317"/>
      <c r="U4863" s="320"/>
    </row>
    <row r="4864" spans="1:21" s="344" customFormat="1" outlineLevel="3">
      <c r="A4864" s="345"/>
      <c r="B4864" s="345"/>
      <c r="C4864" s="1236">
        <v>2210710</v>
      </c>
      <c r="D4864" s="1237" t="s">
        <v>361</v>
      </c>
      <c r="E4864" s="1241">
        <v>203000</v>
      </c>
      <c r="F4864" s="1239"/>
      <c r="G4864" s="1239"/>
      <c r="H4864" s="1239"/>
      <c r="I4864" s="324">
        <f t="shared" si="3361"/>
        <v>203000</v>
      </c>
      <c r="J4864" s="1239"/>
      <c r="K4864" s="1239"/>
      <c r="L4864" s="317">
        <f t="shared" si="3347"/>
        <v>203000</v>
      </c>
      <c r="M4864" s="317"/>
      <c r="N4864" s="372">
        <f t="shared" si="3351"/>
        <v>0</v>
      </c>
      <c r="O4864" s="336">
        <f t="shared" si="3370"/>
        <v>223300.00000000003</v>
      </c>
      <c r="P4864" s="319">
        <f t="shared" si="3376"/>
        <v>245630.00000000006</v>
      </c>
      <c r="R4864" s="317"/>
      <c r="U4864" s="320"/>
    </row>
    <row r="4865" spans="1:21" s="344" customFormat="1" outlineLevel="3">
      <c r="A4865" s="345"/>
      <c r="B4865" s="345"/>
      <c r="C4865" s="1233">
        <v>2210800</v>
      </c>
      <c r="D4865" s="1251" t="s">
        <v>42</v>
      </c>
      <c r="E4865" s="1235">
        <f>SUM(E4866:E4866)</f>
        <v>145000</v>
      </c>
      <c r="F4865" s="1235">
        <f t="shared" ref="F4865:P4865" si="3377">SUM(F4866:F4866)</f>
        <v>0</v>
      </c>
      <c r="G4865" s="1235">
        <f t="shared" si="3377"/>
        <v>0</v>
      </c>
      <c r="H4865" s="1235">
        <f t="shared" si="3377"/>
        <v>0</v>
      </c>
      <c r="I4865" s="1235">
        <f t="shared" si="3377"/>
        <v>145000</v>
      </c>
      <c r="J4865" s="1235">
        <f t="shared" si="3377"/>
        <v>0</v>
      </c>
      <c r="K4865" s="1235">
        <f t="shared" si="3377"/>
        <v>0</v>
      </c>
      <c r="L4865" s="317">
        <f t="shared" si="3347"/>
        <v>145000</v>
      </c>
      <c r="M4865" s="317"/>
      <c r="N4865" s="372">
        <f t="shared" si="3351"/>
        <v>0</v>
      </c>
      <c r="O4865" s="1235">
        <f t="shared" si="3377"/>
        <v>159500</v>
      </c>
      <c r="P4865" s="1235">
        <f t="shared" si="3377"/>
        <v>175450</v>
      </c>
      <c r="R4865" s="317"/>
      <c r="U4865" s="320"/>
    </row>
    <row r="4866" spans="1:21" s="344" customFormat="1" outlineLevel="3">
      <c r="A4866" s="345"/>
      <c r="B4866" s="345"/>
      <c r="C4866" s="1236">
        <v>2210801</v>
      </c>
      <c r="D4866" s="1237" t="s">
        <v>2421</v>
      </c>
      <c r="E4866" s="1241">
        <v>145000</v>
      </c>
      <c r="F4866" s="1239"/>
      <c r="G4866" s="1239"/>
      <c r="H4866" s="1239"/>
      <c r="I4866" s="324">
        <f t="shared" si="3361"/>
        <v>145000</v>
      </c>
      <c r="J4866" s="1239"/>
      <c r="K4866" s="1239"/>
      <c r="L4866" s="317">
        <f t="shared" si="3347"/>
        <v>145000</v>
      </c>
      <c r="M4866" s="317"/>
      <c r="N4866" s="372">
        <f t="shared" si="3351"/>
        <v>0</v>
      </c>
      <c r="O4866" s="336">
        <f t="shared" si="3370"/>
        <v>159500</v>
      </c>
      <c r="P4866" s="319">
        <f t="shared" si="3367"/>
        <v>175450</v>
      </c>
      <c r="R4866" s="317"/>
      <c r="U4866" s="320"/>
    </row>
    <row r="4867" spans="1:21" s="344" customFormat="1" outlineLevel="3">
      <c r="A4867" s="345"/>
      <c r="B4867" s="345"/>
      <c r="C4867" s="1255">
        <v>2211100</v>
      </c>
      <c r="D4867" s="1256" t="s">
        <v>51</v>
      </c>
      <c r="E4867" s="1257">
        <f>SUM(E4868:E4870)</f>
        <v>293083.98</v>
      </c>
      <c r="F4867" s="1257">
        <f t="shared" ref="F4867:P4867" si="3378">SUM(F4868:F4870)</f>
        <v>0</v>
      </c>
      <c r="G4867" s="1257">
        <f t="shared" si="3378"/>
        <v>0</v>
      </c>
      <c r="H4867" s="1257">
        <f t="shared" si="3378"/>
        <v>0</v>
      </c>
      <c r="I4867" s="1257">
        <f t="shared" si="3378"/>
        <v>293083.98</v>
      </c>
      <c r="J4867" s="1257">
        <f t="shared" si="3378"/>
        <v>0</v>
      </c>
      <c r="K4867" s="1257">
        <f t="shared" si="3378"/>
        <v>0</v>
      </c>
      <c r="L4867" s="317">
        <f t="shared" si="3347"/>
        <v>293083.98</v>
      </c>
      <c r="M4867" s="317"/>
      <c r="N4867" s="372">
        <f t="shared" si="3351"/>
        <v>0</v>
      </c>
      <c r="O4867" s="1257">
        <f t="shared" si="3378"/>
        <v>322392.37800000003</v>
      </c>
      <c r="P4867" s="1257">
        <f t="shared" si="3378"/>
        <v>354631.61580000003</v>
      </c>
      <c r="R4867" s="317"/>
      <c r="U4867" s="320"/>
    </row>
    <row r="4868" spans="1:21" s="344" customFormat="1" outlineLevel="3">
      <c r="A4868" s="345"/>
      <c r="B4868" s="345"/>
      <c r="C4868" s="1236">
        <v>2211101</v>
      </c>
      <c r="D4868" s="1237" t="s">
        <v>289</v>
      </c>
      <c r="E4868" s="1241">
        <v>58000</v>
      </c>
      <c r="F4868" s="1239"/>
      <c r="G4868" s="1239"/>
      <c r="H4868" s="1239"/>
      <c r="I4868" s="324">
        <f t="shared" si="3361"/>
        <v>58000</v>
      </c>
      <c r="J4868" s="1239"/>
      <c r="K4868" s="1239"/>
      <c r="L4868" s="317">
        <f t="shared" si="3347"/>
        <v>58000</v>
      </c>
      <c r="M4868" s="317"/>
      <c r="N4868" s="372">
        <f t="shared" si="3351"/>
        <v>0</v>
      </c>
      <c r="O4868" s="336">
        <f t="shared" si="3370"/>
        <v>63800.000000000007</v>
      </c>
      <c r="P4868" s="319">
        <f t="shared" ref="P4868:P4870" si="3379">O4868*1.1</f>
        <v>70180.000000000015</v>
      </c>
      <c r="R4868" s="317"/>
      <c r="U4868" s="320"/>
    </row>
    <row r="4869" spans="1:21" s="344" customFormat="1" outlineLevel="3">
      <c r="A4869" s="345"/>
      <c r="B4869" s="345"/>
      <c r="C4869" s="1236">
        <v>2211102</v>
      </c>
      <c r="D4869" s="1237" t="s">
        <v>53</v>
      </c>
      <c r="E4869" s="1241">
        <f>248083.98-100000</f>
        <v>148083.98000000001</v>
      </c>
      <c r="F4869" s="1239"/>
      <c r="G4869" s="1239"/>
      <c r="H4869" s="1239"/>
      <c r="I4869" s="324">
        <f t="shared" si="3361"/>
        <v>148083.98000000001</v>
      </c>
      <c r="J4869" s="1239"/>
      <c r="K4869" s="1239"/>
      <c r="L4869" s="317">
        <f t="shared" ref="L4869:L4932" si="3380">I4869+J4869+K4869</f>
        <v>148083.98000000001</v>
      </c>
      <c r="M4869" s="317"/>
      <c r="N4869" s="372">
        <f t="shared" si="3351"/>
        <v>0</v>
      </c>
      <c r="O4869" s="336">
        <f t="shared" si="3370"/>
        <v>162892.37800000003</v>
      </c>
      <c r="P4869" s="319">
        <f t="shared" si="3379"/>
        <v>179181.61580000003</v>
      </c>
      <c r="R4869" s="317"/>
      <c r="U4869" s="320"/>
    </row>
    <row r="4870" spans="1:21" s="344" customFormat="1" outlineLevel="3">
      <c r="A4870" s="345"/>
      <c r="B4870" s="345"/>
      <c r="C4870" s="1236">
        <v>2211103</v>
      </c>
      <c r="D4870" s="1237" t="s">
        <v>54</v>
      </c>
      <c r="E4870" s="1241">
        <v>87000</v>
      </c>
      <c r="F4870" s="1239"/>
      <c r="G4870" s="1239"/>
      <c r="H4870" s="1239"/>
      <c r="I4870" s="324">
        <f t="shared" si="3361"/>
        <v>87000</v>
      </c>
      <c r="J4870" s="1239"/>
      <c r="K4870" s="1239"/>
      <c r="L4870" s="317">
        <f t="shared" si="3380"/>
        <v>87000</v>
      </c>
      <c r="M4870" s="317"/>
      <c r="N4870" s="372">
        <f t="shared" si="3351"/>
        <v>0</v>
      </c>
      <c r="O4870" s="336">
        <f t="shared" si="3370"/>
        <v>95700.000000000015</v>
      </c>
      <c r="P4870" s="319">
        <f t="shared" si="3379"/>
        <v>105270.00000000003</v>
      </c>
      <c r="R4870" s="317"/>
      <c r="U4870" s="320"/>
    </row>
    <row r="4871" spans="1:21" s="344" customFormat="1" outlineLevel="3">
      <c r="A4871" s="345"/>
      <c r="B4871" s="345"/>
      <c r="C4871" s="1255">
        <v>2211300</v>
      </c>
      <c r="D4871" s="1256" t="s">
        <v>57</v>
      </c>
      <c r="E4871" s="1257">
        <f>SUM(E4872:E4874)</f>
        <v>632000</v>
      </c>
      <c r="F4871" s="1257">
        <f t="shared" ref="F4871:K4871" si="3381">SUM(F4872:F4874)</f>
        <v>0</v>
      </c>
      <c r="G4871" s="1257">
        <f t="shared" si="3381"/>
        <v>0</v>
      </c>
      <c r="H4871" s="1257">
        <f t="shared" si="3381"/>
        <v>-300000</v>
      </c>
      <c r="I4871" s="1257">
        <f t="shared" si="3381"/>
        <v>332000</v>
      </c>
      <c r="J4871" s="1257">
        <f t="shared" si="3381"/>
        <v>0</v>
      </c>
      <c r="K4871" s="1257">
        <f t="shared" si="3381"/>
        <v>0</v>
      </c>
      <c r="L4871" s="317">
        <f t="shared" si="3380"/>
        <v>332000</v>
      </c>
      <c r="M4871" s="317"/>
      <c r="N4871" s="372">
        <f t="shared" si="3351"/>
        <v>0</v>
      </c>
      <c r="O4871" s="1257">
        <f t="shared" ref="O4871:P4871" si="3382">SUM(O4872:O4874)</f>
        <v>365200.00000000006</v>
      </c>
      <c r="P4871" s="1257">
        <f t="shared" si="3382"/>
        <v>401720.00000000012</v>
      </c>
      <c r="R4871" s="317"/>
      <c r="U4871" s="320"/>
    </row>
    <row r="4872" spans="1:21" s="344" customFormat="1" outlineLevel="3">
      <c r="A4872" s="345"/>
      <c r="B4872" s="345"/>
      <c r="C4872" s="1236">
        <v>2211306</v>
      </c>
      <c r="D4872" s="1237" t="s">
        <v>58</v>
      </c>
      <c r="E4872" s="1241">
        <v>232000</v>
      </c>
      <c r="F4872" s="1239"/>
      <c r="G4872" s="1239"/>
      <c r="H4872" s="1239"/>
      <c r="I4872" s="324">
        <f t="shared" si="3361"/>
        <v>232000</v>
      </c>
      <c r="J4872" s="1239"/>
      <c r="K4872" s="1239"/>
      <c r="L4872" s="317">
        <f t="shared" si="3380"/>
        <v>232000</v>
      </c>
      <c r="M4872" s="317"/>
      <c r="N4872" s="372">
        <f t="shared" si="3351"/>
        <v>0</v>
      </c>
      <c r="O4872" s="336">
        <f t="shared" si="3370"/>
        <v>255200.00000000003</v>
      </c>
      <c r="P4872" s="319">
        <f t="shared" ref="P4872:P4874" si="3383">O4872*1.1</f>
        <v>280720.00000000006</v>
      </c>
      <c r="R4872" s="317"/>
      <c r="U4872" s="320"/>
    </row>
    <row r="4873" spans="1:21" s="344" customFormat="1" outlineLevel="3">
      <c r="A4873" s="345"/>
      <c r="B4873" s="345"/>
      <c r="C4873" s="1236">
        <v>2210804</v>
      </c>
      <c r="D4873" s="1237" t="s">
        <v>828</v>
      </c>
      <c r="E4873" s="1241">
        <v>200000</v>
      </c>
      <c r="F4873" s="1239"/>
      <c r="G4873" s="1239"/>
      <c r="H4873" s="1239">
        <v>-200000</v>
      </c>
      <c r="I4873" s="324">
        <f t="shared" si="3361"/>
        <v>0</v>
      </c>
      <c r="J4873" s="1239"/>
      <c r="K4873" s="1239"/>
      <c r="L4873" s="317">
        <f t="shared" si="3380"/>
        <v>0</v>
      </c>
      <c r="M4873" s="317"/>
      <c r="N4873" s="372">
        <f t="shared" ref="N4873:N4936" si="3384">M4873-K4873</f>
        <v>0</v>
      </c>
      <c r="O4873" s="336">
        <f t="shared" si="3370"/>
        <v>0</v>
      </c>
      <c r="P4873" s="319">
        <f t="shared" si="3383"/>
        <v>0</v>
      </c>
      <c r="R4873" s="317"/>
      <c r="U4873" s="320"/>
    </row>
    <row r="4874" spans="1:21" s="344" customFormat="1" outlineLevel="3">
      <c r="A4874" s="345"/>
      <c r="B4874" s="345"/>
      <c r="C4874" s="1236">
        <v>2211324</v>
      </c>
      <c r="D4874" s="1237" t="s">
        <v>812</v>
      </c>
      <c r="E4874" s="1241">
        <v>200000</v>
      </c>
      <c r="F4874" s="1239"/>
      <c r="G4874" s="1239"/>
      <c r="H4874" s="1239">
        <v>-100000</v>
      </c>
      <c r="I4874" s="324">
        <f t="shared" si="3361"/>
        <v>100000</v>
      </c>
      <c r="J4874" s="1239"/>
      <c r="K4874" s="1239"/>
      <c r="L4874" s="317">
        <f t="shared" si="3380"/>
        <v>100000</v>
      </c>
      <c r="M4874" s="317"/>
      <c r="N4874" s="372">
        <f t="shared" si="3384"/>
        <v>0</v>
      </c>
      <c r="O4874" s="336">
        <f t="shared" si="3370"/>
        <v>110000.00000000001</v>
      </c>
      <c r="P4874" s="319">
        <f t="shared" si="3383"/>
        <v>121000.00000000003</v>
      </c>
      <c r="R4874" s="317"/>
      <c r="U4874" s="320"/>
    </row>
    <row r="4875" spans="1:21" s="344" customFormat="1" outlineLevel="3">
      <c r="A4875" s="345"/>
      <c r="B4875" s="345"/>
      <c r="C4875" s="1233">
        <v>2211200</v>
      </c>
      <c r="D4875" s="1234" t="s">
        <v>55</v>
      </c>
      <c r="E4875" s="1235">
        <f>E4876</f>
        <v>700000</v>
      </c>
      <c r="F4875" s="1235">
        <f t="shared" ref="F4875:K4875" si="3385">F4876</f>
        <v>0</v>
      </c>
      <c r="G4875" s="1235">
        <f t="shared" si="3385"/>
        <v>0</v>
      </c>
      <c r="H4875" s="1235">
        <f t="shared" si="3385"/>
        <v>0</v>
      </c>
      <c r="I4875" s="1235">
        <f t="shared" si="3385"/>
        <v>700000</v>
      </c>
      <c r="J4875" s="1235">
        <f t="shared" si="3385"/>
        <v>0</v>
      </c>
      <c r="K4875" s="1235">
        <f t="shared" si="3385"/>
        <v>0</v>
      </c>
      <c r="L4875" s="317">
        <f t="shared" si="3380"/>
        <v>700000</v>
      </c>
      <c r="M4875" s="317"/>
      <c r="N4875" s="372">
        <f t="shared" si="3384"/>
        <v>0</v>
      </c>
      <c r="O4875" s="1235">
        <f t="shared" ref="O4875:P4875" si="3386">O4876</f>
        <v>770000.00000000012</v>
      </c>
      <c r="P4875" s="1235">
        <f t="shared" si="3386"/>
        <v>847000.00000000023</v>
      </c>
      <c r="R4875" s="317"/>
      <c r="U4875" s="320"/>
    </row>
    <row r="4876" spans="1:21" s="344" customFormat="1" outlineLevel="3">
      <c r="A4876" s="345"/>
      <c r="B4876" s="345"/>
      <c r="C4876" s="1236">
        <v>2211201</v>
      </c>
      <c r="D4876" s="1237" t="s">
        <v>56</v>
      </c>
      <c r="E4876" s="1241">
        <v>700000</v>
      </c>
      <c r="F4876" s="1239"/>
      <c r="G4876" s="1239"/>
      <c r="H4876" s="1239"/>
      <c r="I4876" s="324">
        <f t="shared" si="3361"/>
        <v>700000</v>
      </c>
      <c r="J4876" s="1239"/>
      <c r="K4876" s="1239"/>
      <c r="L4876" s="317">
        <f t="shared" si="3380"/>
        <v>700000</v>
      </c>
      <c r="M4876" s="317"/>
      <c r="N4876" s="372">
        <f t="shared" si="3384"/>
        <v>0</v>
      </c>
      <c r="O4876" s="336">
        <f t="shared" si="3370"/>
        <v>770000.00000000012</v>
      </c>
      <c r="P4876" s="319">
        <f t="shared" si="3367"/>
        <v>847000.00000000023</v>
      </c>
      <c r="R4876" s="317"/>
      <c r="U4876" s="320"/>
    </row>
    <row r="4877" spans="1:21" s="344" customFormat="1" outlineLevel="3">
      <c r="A4877" s="345"/>
      <c r="B4877" s="345"/>
      <c r="C4877" s="1255">
        <v>2220100</v>
      </c>
      <c r="D4877" s="1256" t="s">
        <v>62</v>
      </c>
      <c r="E4877" s="1257">
        <f>SUM(E4878:E4879)</f>
        <v>348000</v>
      </c>
      <c r="F4877" s="1257">
        <f t="shared" ref="F4877:K4877" si="3387">SUM(F4878:F4879)</f>
        <v>0</v>
      </c>
      <c r="G4877" s="1257">
        <f t="shared" si="3387"/>
        <v>0</v>
      </c>
      <c r="H4877" s="1257">
        <f t="shared" si="3387"/>
        <v>0</v>
      </c>
      <c r="I4877" s="1257">
        <f t="shared" si="3387"/>
        <v>348000</v>
      </c>
      <c r="J4877" s="1257">
        <f t="shared" si="3387"/>
        <v>0</v>
      </c>
      <c r="K4877" s="1257">
        <f t="shared" si="3387"/>
        <v>0</v>
      </c>
      <c r="L4877" s="317">
        <f t="shared" si="3380"/>
        <v>348000</v>
      </c>
      <c r="M4877" s="317"/>
      <c r="N4877" s="372">
        <f t="shared" si="3384"/>
        <v>0</v>
      </c>
      <c r="O4877" s="1257">
        <f t="shared" ref="O4877:P4877" si="3388">SUM(O4878:O4879)</f>
        <v>382800</v>
      </c>
      <c r="P4877" s="1257">
        <f t="shared" si="3388"/>
        <v>421080.00000000006</v>
      </c>
      <c r="R4877" s="317"/>
      <c r="U4877" s="320"/>
    </row>
    <row r="4878" spans="1:21" s="344" customFormat="1" outlineLevel="3">
      <c r="A4878" s="345"/>
      <c r="B4878" s="345"/>
      <c r="C4878" s="1236">
        <v>2220101</v>
      </c>
      <c r="D4878" s="1237" t="s">
        <v>366</v>
      </c>
      <c r="E4878" s="1241">
        <v>145000</v>
      </c>
      <c r="F4878" s="1239"/>
      <c r="G4878" s="1239"/>
      <c r="H4878" s="1239"/>
      <c r="I4878" s="324">
        <f t="shared" si="3361"/>
        <v>145000</v>
      </c>
      <c r="J4878" s="1239"/>
      <c r="K4878" s="1239"/>
      <c r="L4878" s="317">
        <f t="shared" si="3380"/>
        <v>145000</v>
      </c>
      <c r="M4878" s="317"/>
      <c r="N4878" s="372">
        <f t="shared" si="3384"/>
        <v>0</v>
      </c>
      <c r="O4878" s="336">
        <f t="shared" si="3370"/>
        <v>159500</v>
      </c>
      <c r="P4878" s="319">
        <f t="shared" ref="P4878:P4879" si="3389">O4878*1.1</f>
        <v>175450</v>
      </c>
      <c r="R4878" s="317"/>
      <c r="U4878" s="320"/>
    </row>
    <row r="4879" spans="1:21" s="344" customFormat="1" outlineLevel="3">
      <c r="A4879" s="345"/>
      <c r="B4879" s="345"/>
      <c r="C4879" s="1236">
        <v>2220105</v>
      </c>
      <c r="D4879" s="1237" t="s">
        <v>200</v>
      </c>
      <c r="E4879" s="1241">
        <v>203000</v>
      </c>
      <c r="F4879" s="1239"/>
      <c r="G4879" s="1239"/>
      <c r="H4879" s="1239"/>
      <c r="I4879" s="324">
        <f t="shared" si="3361"/>
        <v>203000</v>
      </c>
      <c r="J4879" s="1239"/>
      <c r="K4879" s="1239"/>
      <c r="L4879" s="317">
        <f t="shared" si="3380"/>
        <v>203000</v>
      </c>
      <c r="M4879" s="317"/>
      <c r="N4879" s="372">
        <f t="shared" si="3384"/>
        <v>0</v>
      </c>
      <c r="O4879" s="336">
        <f t="shared" si="3370"/>
        <v>223300.00000000003</v>
      </c>
      <c r="P4879" s="319">
        <f t="shared" si="3389"/>
        <v>245630.00000000006</v>
      </c>
      <c r="R4879" s="317"/>
      <c r="U4879" s="320"/>
    </row>
    <row r="4880" spans="1:21" s="344" customFormat="1" outlineLevel="3">
      <c r="A4880" s="345"/>
      <c r="B4880" s="345"/>
      <c r="C4880" s="1255">
        <v>2220200</v>
      </c>
      <c r="D4880" s="1256" t="s">
        <v>124</v>
      </c>
      <c r="E4880" s="1257">
        <f>SUM(E4881:E4881)</f>
        <v>58000</v>
      </c>
      <c r="F4880" s="1257">
        <f t="shared" ref="F4880:K4880" si="3390">SUM(F4881:F4881)</f>
        <v>0</v>
      </c>
      <c r="G4880" s="1257">
        <f t="shared" si="3390"/>
        <v>0</v>
      </c>
      <c r="H4880" s="1257">
        <f t="shared" si="3390"/>
        <v>0</v>
      </c>
      <c r="I4880" s="1257">
        <f t="shared" si="3390"/>
        <v>58000</v>
      </c>
      <c r="J4880" s="1257">
        <f t="shared" si="3390"/>
        <v>0</v>
      </c>
      <c r="K4880" s="1257">
        <f t="shared" si="3390"/>
        <v>0</v>
      </c>
      <c r="L4880" s="317">
        <f t="shared" si="3380"/>
        <v>58000</v>
      </c>
      <c r="M4880" s="317"/>
      <c r="N4880" s="372">
        <f t="shared" si="3384"/>
        <v>0</v>
      </c>
      <c r="O4880" s="1257">
        <f t="shared" ref="O4880:P4880" si="3391">SUM(O4881:O4881)</f>
        <v>63800.000000000007</v>
      </c>
      <c r="P4880" s="1257">
        <f t="shared" si="3391"/>
        <v>70180.000000000015</v>
      </c>
      <c r="R4880" s="317"/>
      <c r="U4880" s="320"/>
    </row>
    <row r="4881" spans="1:21" s="344" customFormat="1" outlineLevel="3">
      <c r="A4881" s="345"/>
      <c r="B4881" s="345"/>
      <c r="C4881" s="1236">
        <v>2220210</v>
      </c>
      <c r="D4881" s="1237" t="s">
        <v>163</v>
      </c>
      <c r="E4881" s="1241">
        <v>58000</v>
      </c>
      <c r="F4881" s="1239"/>
      <c r="G4881" s="1239"/>
      <c r="H4881" s="1239"/>
      <c r="I4881" s="324">
        <f t="shared" si="3361"/>
        <v>58000</v>
      </c>
      <c r="J4881" s="1239"/>
      <c r="K4881" s="1239"/>
      <c r="L4881" s="317">
        <f t="shared" si="3380"/>
        <v>58000</v>
      </c>
      <c r="M4881" s="317"/>
      <c r="N4881" s="372">
        <f t="shared" si="3384"/>
        <v>0</v>
      </c>
      <c r="O4881" s="336">
        <f t="shared" si="3370"/>
        <v>63800.000000000007</v>
      </c>
      <c r="P4881" s="319">
        <f t="shared" ref="P4881" si="3392">O4881*1.1</f>
        <v>70180.000000000015</v>
      </c>
      <c r="R4881" s="317"/>
      <c r="U4881" s="320"/>
    </row>
    <row r="4882" spans="1:21" s="344" customFormat="1" outlineLevel="2">
      <c r="A4882" s="345"/>
      <c r="B4882" s="345"/>
      <c r="C4882" s="1249" t="s">
        <v>826</v>
      </c>
      <c r="D4882" s="1250"/>
      <c r="E4882" s="1228">
        <f>E4849+E4853+E4857+E4861+E4865+E4867+E4871+E4875+E4877+E4880</f>
        <v>6094483.9800000004</v>
      </c>
      <c r="F4882" s="1228">
        <f t="shared" ref="F4882:P4882" si="3393">F4849+F4853+F4857+F4861+F4865+F4867+F4871+F4875+F4877+F4880</f>
        <v>0</v>
      </c>
      <c r="G4882" s="1228">
        <f t="shared" si="3393"/>
        <v>0</v>
      </c>
      <c r="H4882" s="1228">
        <f t="shared" si="3393"/>
        <v>-600000</v>
      </c>
      <c r="I4882" s="1228">
        <f t="shared" si="3393"/>
        <v>5494483.9800000004</v>
      </c>
      <c r="J4882" s="1228">
        <f t="shared" si="3393"/>
        <v>0</v>
      </c>
      <c r="K4882" s="1228">
        <f t="shared" si="3393"/>
        <v>-383400</v>
      </c>
      <c r="L4882" s="317">
        <f t="shared" si="3380"/>
        <v>5111083.9800000004</v>
      </c>
      <c r="M4882" s="317"/>
      <c r="N4882" s="372">
        <f t="shared" si="3384"/>
        <v>383400</v>
      </c>
      <c r="O4882" s="1228">
        <f t="shared" si="3393"/>
        <v>5622192.3780000005</v>
      </c>
      <c r="P4882" s="1228">
        <f t="shared" si="3393"/>
        <v>6184411.6158000007</v>
      </c>
      <c r="R4882" s="317"/>
      <c r="U4882" s="320"/>
    </row>
    <row r="4883" spans="1:21" s="344" customFormat="1" outlineLevel="1">
      <c r="A4883" s="345"/>
      <c r="B4883" s="345"/>
      <c r="C4883" s="1249" t="s">
        <v>84</v>
      </c>
      <c r="D4883" s="1264"/>
      <c r="E4883" s="1228">
        <f>E4882</f>
        <v>6094483.9800000004</v>
      </c>
      <c r="F4883" s="1228">
        <f t="shared" ref="F4883:P4883" si="3394">F4882</f>
        <v>0</v>
      </c>
      <c r="G4883" s="1228">
        <f t="shared" si="3394"/>
        <v>0</v>
      </c>
      <c r="H4883" s="1228">
        <f t="shared" si="3394"/>
        <v>-600000</v>
      </c>
      <c r="I4883" s="1228">
        <f t="shared" si="3394"/>
        <v>5494483.9800000004</v>
      </c>
      <c r="J4883" s="1228">
        <f t="shared" si="3394"/>
        <v>0</v>
      </c>
      <c r="K4883" s="1228">
        <f t="shared" si="3394"/>
        <v>-383400</v>
      </c>
      <c r="L4883" s="317">
        <f t="shared" si="3380"/>
        <v>5111083.9800000004</v>
      </c>
      <c r="M4883" s="317"/>
      <c r="N4883" s="372">
        <f t="shared" si="3384"/>
        <v>383400</v>
      </c>
      <c r="O4883" s="1228">
        <f t="shared" si="3394"/>
        <v>5622192.3780000005</v>
      </c>
      <c r="P4883" s="1228">
        <f t="shared" si="3394"/>
        <v>6184411.6158000007</v>
      </c>
      <c r="R4883" s="317"/>
      <c r="U4883" s="320"/>
    </row>
    <row r="4884" spans="1:21" s="344" customFormat="1" outlineLevel="1">
      <c r="A4884" s="345"/>
      <c r="B4884" s="345"/>
      <c r="C4884" s="1234"/>
      <c r="D4884" s="1265"/>
      <c r="E4884" s="1235">
        <v>0</v>
      </c>
      <c r="F4884" s="1235"/>
      <c r="G4884" s="1235"/>
      <c r="H4884" s="1235"/>
      <c r="I4884" s="324">
        <f t="shared" si="3361"/>
        <v>0</v>
      </c>
      <c r="J4884" s="1235"/>
      <c r="K4884" s="1235"/>
      <c r="L4884" s="317">
        <f t="shared" si="3380"/>
        <v>0</v>
      </c>
      <c r="M4884" s="317"/>
      <c r="N4884" s="372">
        <f t="shared" si="3384"/>
        <v>0</v>
      </c>
      <c r="O4884" s="336">
        <f t="shared" si="3370"/>
        <v>0</v>
      </c>
      <c r="P4884" s="319">
        <f t="shared" ref="P4884:P4904" si="3395">O4884*1.1</f>
        <v>0</v>
      </c>
      <c r="R4884" s="317"/>
      <c r="U4884" s="320"/>
    </row>
    <row r="4885" spans="1:21" s="344" customFormat="1" outlineLevel="1">
      <c r="A4885" s="345"/>
      <c r="B4885" s="345"/>
      <c r="C4885" s="1234"/>
      <c r="D4885" s="1265"/>
      <c r="E4885" s="1235">
        <v>0</v>
      </c>
      <c r="F4885" s="1235"/>
      <c r="G4885" s="1235"/>
      <c r="H4885" s="1235"/>
      <c r="I4885" s="324">
        <f t="shared" si="3361"/>
        <v>0</v>
      </c>
      <c r="J4885" s="1235"/>
      <c r="K4885" s="1235"/>
      <c r="L4885" s="317">
        <f t="shared" si="3380"/>
        <v>0</v>
      </c>
      <c r="M4885" s="317"/>
      <c r="N4885" s="372">
        <f t="shared" si="3384"/>
        <v>0</v>
      </c>
      <c r="O4885" s="336">
        <f t="shared" si="3370"/>
        <v>0</v>
      </c>
      <c r="P4885" s="319">
        <f t="shared" si="3395"/>
        <v>0</v>
      </c>
      <c r="R4885" s="317"/>
      <c r="U4885" s="320"/>
    </row>
    <row r="4886" spans="1:21" s="344" customFormat="1" outlineLevel="1">
      <c r="A4886" s="345"/>
      <c r="B4886" s="345"/>
      <c r="C4886" s="1266" t="s">
        <v>827</v>
      </c>
      <c r="D4886" s="1267"/>
      <c r="E4886" s="1228">
        <v>0</v>
      </c>
      <c r="F4886" s="1268"/>
      <c r="G4886" s="1268"/>
      <c r="H4886" s="1268"/>
      <c r="I4886" s="324">
        <f t="shared" si="3361"/>
        <v>0</v>
      </c>
      <c r="J4886" s="1268"/>
      <c r="K4886" s="1268"/>
      <c r="L4886" s="317">
        <f t="shared" si="3380"/>
        <v>0</v>
      </c>
      <c r="M4886" s="317"/>
      <c r="N4886" s="372">
        <f t="shared" si="3384"/>
        <v>0</v>
      </c>
      <c r="O4886" s="336">
        <f t="shared" si="3370"/>
        <v>0</v>
      </c>
      <c r="P4886" s="319">
        <f t="shared" si="3395"/>
        <v>0</v>
      </c>
      <c r="R4886" s="317"/>
      <c r="U4886" s="320"/>
    </row>
    <row r="4887" spans="1:21" s="344" customFormat="1" outlineLevel="1">
      <c r="A4887" s="345"/>
      <c r="B4887" s="345"/>
      <c r="C4887" s="1255">
        <v>2210200</v>
      </c>
      <c r="D4887" s="1256" t="s">
        <v>20</v>
      </c>
      <c r="E4887" s="1257">
        <f>SUM(E4888:E4890)</f>
        <v>307400</v>
      </c>
      <c r="F4887" s="1257">
        <f t="shared" ref="F4887:P4887" si="3396">SUM(F4888:F4890)</f>
        <v>0</v>
      </c>
      <c r="G4887" s="1257">
        <f t="shared" si="3396"/>
        <v>0</v>
      </c>
      <c r="H4887" s="1257">
        <f t="shared" si="3396"/>
        <v>0</v>
      </c>
      <c r="I4887" s="1257">
        <f t="shared" si="3396"/>
        <v>307400</v>
      </c>
      <c r="J4887" s="1257">
        <f t="shared" si="3396"/>
        <v>0</v>
      </c>
      <c r="K4887" s="1257">
        <f t="shared" si="3396"/>
        <v>0</v>
      </c>
      <c r="L4887" s="317">
        <f t="shared" si="3380"/>
        <v>307400</v>
      </c>
      <c r="M4887" s="317"/>
      <c r="N4887" s="372">
        <f t="shared" si="3384"/>
        <v>0</v>
      </c>
      <c r="O4887" s="1257">
        <f t="shared" si="3396"/>
        <v>338140</v>
      </c>
      <c r="P4887" s="1257">
        <f t="shared" si="3396"/>
        <v>371954.00000000006</v>
      </c>
      <c r="R4887" s="317"/>
      <c r="U4887" s="320"/>
    </row>
    <row r="4888" spans="1:21" s="344" customFormat="1" outlineLevel="1">
      <c r="A4888" s="345"/>
      <c r="B4888" s="345"/>
      <c r="C4888" s="1236">
        <v>2210201</v>
      </c>
      <c r="D4888" s="1237" t="s">
        <v>187</v>
      </c>
      <c r="E4888" s="1241">
        <v>100000</v>
      </c>
      <c r="F4888" s="1239"/>
      <c r="G4888" s="1239"/>
      <c r="H4888" s="1239"/>
      <c r="I4888" s="324">
        <f t="shared" si="3361"/>
        <v>100000</v>
      </c>
      <c r="J4888" s="1239"/>
      <c r="K4888" s="1239"/>
      <c r="L4888" s="317">
        <f t="shared" si="3380"/>
        <v>100000</v>
      </c>
      <c r="M4888" s="317"/>
      <c r="N4888" s="372">
        <f t="shared" si="3384"/>
        <v>0</v>
      </c>
      <c r="O4888" s="336">
        <f t="shared" si="3370"/>
        <v>110000.00000000001</v>
      </c>
      <c r="P4888" s="319">
        <f t="shared" si="3395"/>
        <v>121000.00000000003</v>
      </c>
      <c r="R4888" s="317"/>
      <c r="U4888" s="320"/>
    </row>
    <row r="4889" spans="1:21" s="344" customFormat="1" outlineLevel="1">
      <c r="A4889" s="345"/>
      <c r="B4889" s="345"/>
      <c r="C4889" s="1236">
        <v>2210202</v>
      </c>
      <c r="D4889" s="1237" t="s">
        <v>359</v>
      </c>
      <c r="E4889" s="1241">
        <f>200000-50600</f>
        <v>149400</v>
      </c>
      <c r="F4889" s="1239"/>
      <c r="G4889" s="1239"/>
      <c r="H4889" s="1239"/>
      <c r="I4889" s="324">
        <f t="shared" si="3361"/>
        <v>149400</v>
      </c>
      <c r="J4889" s="1239"/>
      <c r="K4889" s="1269"/>
      <c r="L4889" s="317">
        <f t="shared" si="3380"/>
        <v>149400</v>
      </c>
      <c r="M4889" s="317"/>
      <c r="N4889" s="372">
        <f t="shared" si="3384"/>
        <v>0</v>
      </c>
      <c r="O4889" s="336">
        <f t="shared" si="3370"/>
        <v>164340</v>
      </c>
      <c r="P4889" s="319">
        <f t="shared" si="3395"/>
        <v>180774.00000000003</v>
      </c>
      <c r="R4889" s="317"/>
      <c r="U4889" s="320"/>
    </row>
    <row r="4890" spans="1:21" s="344" customFormat="1" outlineLevel="1">
      <c r="A4890" s="345"/>
      <c r="B4890" s="345"/>
      <c r="C4890" s="1236">
        <v>2210203</v>
      </c>
      <c r="D4890" s="1237" t="s">
        <v>23</v>
      </c>
      <c r="E4890" s="1241">
        <v>58000</v>
      </c>
      <c r="F4890" s="1239"/>
      <c r="G4890" s="1239"/>
      <c r="H4890" s="1239"/>
      <c r="I4890" s="324">
        <f t="shared" si="3361"/>
        <v>58000</v>
      </c>
      <c r="J4890" s="1239"/>
      <c r="K4890" s="1239"/>
      <c r="L4890" s="317">
        <f t="shared" si="3380"/>
        <v>58000</v>
      </c>
      <c r="M4890" s="317"/>
      <c r="N4890" s="372">
        <f t="shared" si="3384"/>
        <v>0</v>
      </c>
      <c r="O4890" s="336">
        <f t="shared" si="3370"/>
        <v>63800.000000000007</v>
      </c>
      <c r="P4890" s="319">
        <f t="shared" si="3395"/>
        <v>70180.000000000015</v>
      </c>
      <c r="R4890" s="317"/>
      <c r="U4890" s="320"/>
    </row>
    <row r="4891" spans="1:21" s="344" customFormat="1" outlineLevel="1">
      <c r="A4891" s="345"/>
      <c r="B4891" s="345"/>
      <c r="C4891" s="1255">
        <v>2210300</v>
      </c>
      <c r="D4891" s="1256" t="s">
        <v>24</v>
      </c>
      <c r="E4891" s="1257">
        <f>SUM(E4892:E4894)</f>
        <v>1524000</v>
      </c>
      <c r="F4891" s="1257">
        <f t="shared" ref="F4891:K4891" si="3397">SUM(F4892:F4894)</f>
        <v>0</v>
      </c>
      <c r="G4891" s="1257">
        <f t="shared" si="3397"/>
        <v>0</v>
      </c>
      <c r="H4891" s="1257">
        <f t="shared" si="3397"/>
        <v>0</v>
      </c>
      <c r="I4891" s="1257">
        <f t="shared" si="3397"/>
        <v>1524000</v>
      </c>
      <c r="J4891" s="1257">
        <f t="shared" si="3397"/>
        <v>0</v>
      </c>
      <c r="K4891" s="1257">
        <f t="shared" si="3397"/>
        <v>0</v>
      </c>
      <c r="L4891" s="317">
        <f t="shared" si="3380"/>
        <v>1524000</v>
      </c>
      <c r="M4891" s="317"/>
      <c r="N4891" s="372">
        <f t="shared" si="3384"/>
        <v>0</v>
      </c>
      <c r="O4891" s="1257">
        <f t="shared" ref="O4891:P4891" si="3398">SUM(O4892:O4894)</f>
        <v>1676400</v>
      </c>
      <c r="P4891" s="1257">
        <f t="shared" si="3398"/>
        <v>1844040</v>
      </c>
      <c r="R4891" s="317"/>
      <c r="U4891" s="320"/>
    </row>
    <row r="4892" spans="1:21" s="344" customFormat="1" outlineLevel="3">
      <c r="A4892" s="345"/>
      <c r="B4892" s="345"/>
      <c r="C4892" s="1236">
        <v>2210301</v>
      </c>
      <c r="D4892" s="1237" t="s">
        <v>188</v>
      </c>
      <c r="E4892" s="1241">
        <f>580000-100000</f>
        <v>480000</v>
      </c>
      <c r="F4892" s="1239"/>
      <c r="G4892" s="1239"/>
      <c r="H4892" s="1239"/>
      <c r="I4892" s="324">
        <f t="shared" ref="I4892:I4954" si="3399">E4892+F4892+G4892+H4892</f>
        <v>480000</v>
      </c>
      <c r="J4892" s="1239"/>
      <c r="K4892" s="1239"/>
      <c r="L4892" s="317">
        <f t="shared" si="3380"/>
        <v>480000</v>
      </c>
      <c r="M4892" s="317"/>
      <c r="N4892" s="372">
        <f t="shared" si="3384"/>
        <v>0</v>
      </c>
      <c r="O4892" s="336">
        <f t="shared" si="3370"/>
        <v>528000</v>
      </c>
      <c r="P4892" s="319">
        <f t="shared" si="3395"/>
        <v>580800</v>
      </c>
      <c r="R4892" s="317"/>
      <c r="U4892" s="320"/>
    </row>
    <row r="4893" spans="1:21" s="344" customFormat="1" outlineLevel="3">
      <c r="A4893" s="345"/>
      <c r="B4893" s="345"/>
      <c r="C4893" s="1236">
        <v>2210302</v>
      </c>
      <c r="D4893" s="1237" t="s">
        <v>26</v>
      </c>
      <c r="E4893" s="1241">
        <v>500000</v>
      </c>
      <c r="F4893" s="1239"/>
      <c r="G4893" s="1239"/>
      <c r="H4893" s="1239"/>
      <c r="I4893" s="324">
        <f t="shared" si="3399"/>
        <v>500000</v>
      </c>
      <c r="J4893" s="1239"/>
      <c r="K4893" s="1239"/>
      <c r="L4893" s="317">
        <f t="shared" si="3380"/>
        <v>500000</v>
      </c>
      <c r="M4893" s="317"/>
      <c r="N4893" s="372">
        <f t="shared" si="3384"/>
        <v>0</v>
      </c>
      <c r="O4893" s="336">
        <f t="shared" si="3370"/>
        <v>550000</v>
      </c>
      <c r="P4893" s="319">
        <f t="shared" si="3395"/>
        <v>605000</v>
      </c>
      <c r="R4893" s="317"/>
      <c r="U4893" s="320"/>
    </row>
    <row r="4894" spans="1:21" s="344" customFormat="1" outlineLevel="3">
      <c r="A4894" s="345"/>
      <c r="B4894" s="345"/>
      <c r="C4894" s="1236">
        <v>2210303</v>
      </c>
      <c r="D4894" s="1237" t="s">
        <v>223</v>
      </c>
      <c r="E4894" s="1241">
        <f>1044000-500000</f>
        <v>544000</v>
      </c>
      <c r="F4894" s="1239"/>
      <c r="G4894" s="1239"/>
      <c r="H4894" s="1239"/>
      <c r="I4894" s="324">
        <f t="shared" si="3399"/>
        <v>544000</v>
      </c>
      <c r="J4894" s="1239"/>
      <c r="K4894" s="1269"/>
      <c r="L4894" s="317">
        <f t="shared" si="3380"/>
        <v>544000</v>
      </c>
      <c r="M4894" s="317"/>
      <c r="N4894" s="372">
        <f t="shared" si="3384"/>
        <v>0</v>
      </c>
      <c r="O4894" s="336">
        <f t="shared" si="3370"/>
        <v>598400</v>
      </c>
      <c r="P4894" s="319">
        <f t="shared" si="3395"/>
        <v>658240</v>
      </c>
      <c r="R4894" s="317"/>
      <c r="U4894" s="320"/>
    </row>
    <row r="4895" spans="1:21" s="344" customFormat="1" outlineLevel="3">
      <c r="A4895" s="345"/>
      <c r="B4895" s="345"/>
      <c r="C4895" s="1255">
        <v>2210500</v>
      </c>
      <c r="D4895" s="1256" t="s">
        <v>31</v>
      </c>
      <c r="E4895" s="1257">
        <f>SUM(E4896:E4898)</f>
        <v>325400</v>
      </c>
      <c r="F4895" s="1257">
        <f t="shared" ref="F4895:P4895" si="3400">SUM(F4896:F4898)</f>
        <v>0</v>
      </c>
      <c r="G4895" s="1257">
        <f t="shared" si="3400"/>
        <v>0</v>
      </c>
      <c r="H4895" s="1257">
        <f t="shared" si="3400"/>
        <v>0</v>
      </c>
      <c r="I4895" s="1257">
        <f t="shared" si="3400"/>
        <v>325400</v>
      </c>
      <c r="J4895" s="1257">
        <f t="shared" si="3400"/>
        <v>0</v>
      </c>
      <c r="K4895" s="1257">
        <f t="shared" si="3400"/>
        <v>-62400</v>
      </c>
      <c r="L4895" s="317">
        <f t="shared" si="3380"/>
        <v>263000</v>
      </c>
      <c r="M4895" s="317"/>
      <c r="N4895" s="372">
        <f t="shared" si="3384"/>
        <v>62400</v>
      </c>
      <c r="O4895" s="1257">
        <f t="shared" si="3400"/>
        <v>289300</v>
      </c>
      <c r="P4895" s="1257">
        <f t="shared" si="3400"/>
        <v>318230.00000000006</v>
      </c>
      <c r="R4895" s="317"/>
      <c r="U4895" s="320"/>
    </row>
    <row r="4896" spans="1:21" s="344" customFormat="1" outlineLevel="3">
      <c r="A4896" s="345"/>
      <c r="B4896" s="345"/>
      <c r="C4896" s="1236">
        <v>2210502</v>
      </c>
      <c r="D4896" s="1237" t="s">
        <v>105</v>
      </c>
      <c r="E4896" s="1241">
        <v>100000</v>
      </c>
      <c r="F4896" s="1239"/>
      <c r="G4896" s="1239"/>
      <c r="H4896" s="1239"/>
      <c r="I4896" s="324">
        <f t="shared" si="3399"/>
        <v>100000</v>
      </c>
      <c r="J4896" s="1239"/>
      <c r="K4896" s="1239"/>
      <c r="L4896" s="317">
        <f t="shared" si="3380"/>
        <v>100000</v>
      </c>
      <c r="M4896" s="317"/>
      <c r="N4896" s="372">
        <f t="shared" si="3384"/>
        <v>0</v>
      </c>
      <c r="O4896" s="336">
        <f t="shared" si="3370"/>
        <v>110000.00000000001</v>
      </c>
      <c r="P4896" s="319">
        <f t="shared" si="3395"/>
        <v>121000.00000000003</v>
      </c>
      <c r="R4896" s="317"/>
      <c r="U4896" s="320"/>
    </row>
    <row r="4897" spans="1:21" s="344" customFormat="1" outlineLevel="3">
      <c r="A4897" s="345"/>
      <c r="B4897" s="345"/>
      <c r="C4897" s="1236">
        <v>2210503</v>
      </c>
      <c r="D4897" s="1237" t="s">
        <v>32</v>
      </c>
      <c r="E4897" s="1241">
        <v>75400</v>
      </c>
      <c r="F4897" s="1239"/>
      <c r="G4897" s="1239"/>
      <c r="H4897" s="1239"/>
      <c r="I4897" s="324">
        <f t="shared" si="3399"/>
        <v>75400</v>
      </c>
      <c r="J4897" s="1239"/>
      <c r="K4897" s="1240">
        <v>-62400</v>
      </c>
      <c r="L4897" s="317">
        <f t="shared" si="3380"/>
        <v>13000</v>
      </c>
      <c r="M4897" s="317"/>
      <c r="N4897" s="372">
        <f t="shared" si="3384"/>
        <v>62400</v>
      </c>
      <c r="O4897" s="336">
        <f t="shared" si="3370"/>
        <v>14300.000000000002</v>
      </c>
      <c r="P4897" s="319">
        <f t="shared" si="3395"/>
        <v>15730.000000000004</v>
      </c>
      <c r="R4897" s="317"/>
      <c r="U4897" s="320"/>
    </row>
    <row r="4898" spans="1:21" s="344" customFormat="1" outlineLevel="3">
      <c r="A4898" s="345"/>
      <c r="B4898" s="345"/>
      <c r="C4898" s="1236">
        <v>2210504</v>
      </c>
      <c r="D4898" s="1237" t="s">
        <v>33</v>
      </c>
      <c r="E4898" s="1241">
        <f>200000-50000</f>
        <v>150000</v>
      </c>
      <c r="F4898" s="1239"/>
      <c r="G4898" s="1239"/>
      <c r="H4898" s="1239"/>
      <c r="I4898" s="324">
        <f t="shared" si="3399"/>
        <v>150000</v>
      </c>
      <c r="J4898" s="1239"/>
      <c r="K4898" s="1239"/>
      <c r="L4898" s="317">
        <f t="shared" si="3380"/>
        <v>150000</v>
      </c>
      <c r="M4898" s="317"/>
      <c r="N4898" s="372">
        <f t="shared" si="3384"/>
        <v>0</v>
      </c>
      <c r="O4898" s="336">
        <f t="shared" si="3370"/>
        <v>165000</v>
      </c>
      <c r="P4898" s="319">
        <f t="shared" si="3395"/>
        <v>181500.00000000003</v>
      </c>
      <c r="R4898" s="317"/>
      <c r="U4898" s="320"/>
    </row>
    <row r="4899" spans="1:21" s="344" customFormat="1" outlineLevel="3">
      <c r="A4899" s="345"/>
      <c r="B4899" s="345"/>
      <c r="C4899" s="1255">
        <v>2210700</v>
      </c>
      <c r="D4899" s="1256" t="s">
        <v>35</v>
      </c>
      <c r="E4899" s="1257">
        <f>SUM(E4900+E4901+E4902)</f>
        <v>551000</v>
      </c>
      <c r="F4899" s="1257">
        <f t="shared" ref="F4899:K4899" si="3401">SUM(F4900+F4901+F4902)</f>
        <v>0</v>
      </c>
      <c r="G4899" s="1257">
        <f t="shared" si="3401"/>
        <v>0</v>
      </c>
      <c r="H4899" s="1257">
        <f t="shared" si="3401"/>
        <v>0</v>
      </c>
      <c r="I4899" s="1257">
        <f t="shared" si="3401"/>
        <v>551000</v>
      </c>
      <c r="J4899" s="1257">
        <f t="shared" si="3401"/>
        <v>0</v>
      </c>
      <c r="K4899" s="1257">
        <f t="shared" si="3401"/>
        <v>0</v>
      </c>
      <c r="L4899" s="317">
        <f t="shared" si="3380"/>
        <v>551000</v>
      </c>
      <c r="M4899" s="317"/>
      <c r="N4899" s="372">
        <f t="shared" si="3384"/>
        <v>0</v>
      </c>
      <c r="O4899" s="1257">
        <f t="shared" ref="O4899:P4899" si="3402">SUM(O4900+O4901+O4902)</f>
        <v>606100</v>
      </c>
      <c r="P4899" s="1257">
        <f t="shared" si="3402"/>
        <v>666710</v>
      </c>
      <c r="R4899" s="317"/>
      <c r="U4899" s="320"/>
    </row>
    <row r="4900" spans="1:21" s="344" customFormat="1" outlineLevel="3">
      <c r="A4900" s="345"/>
      <c r="B4900" s="345"/>
      <c r="C4900" s="1236">
        <v>2210701</v>
      </c>
      <c r="D4900" s="1237" t="s">
        <v>190</v>
      </c>
      <c r="E4900" s="1241">
        <v>290000</v>
      </c>
      <c r="F4900" s="1239"/>
      <c r="G4900" s="1239"/>
      <c r="H4900" s="1239"/>
      <c r="I4900" s="324">
        <f t="shared" si="3399"/>
        <v>290000</v>
      </c>
      <c r="J4900" s="1239"/>
      <c r="K4900" s="1239"/>
      <c r="L4900" s="317">
        <f t="shared" si="3380"/>
        <v>290000</v>
      </c>
      <c r="M4900" s="317"/>
      <c r="N4900" s="372">
        <f t="shared" si="3384"/>
        <v>0</v>
      </c>
      <c r="O4900" s="336">
        <f t="shared" si="3370"/>
        <v>319000</v>
      </c>
      <c r="P4900" s="319">
        <f t="shared" si="3395"/>
        <v>350900</v>
      </c>
      <c r="R4900" s="317"/>
      <c r="U4900" s="320"/>
    </row>
    <row r="4901" spans="1:21" s="344" customFormat="1" outlineLevel="3">
      <c r="A4901" s="345"/>
      <c r="B4901" s="345"/>
      <c r="C4901" s="1236">
        <v>2210704</v>
      </c>
      <c r="D4901" s="1237" t="s">
        <v>38</v>
      </c>
      <c r="E4901" s="1241">
        <v>58000</v>
      </c>
      <c r="F4901" s="1239"/>
      <c r="G4901" s="1239"/>
      <c r="H4901" s="1239"/>
      <c r="I4901" s="324">
        <f t="shared" si="3399"/>
        <v>58000</v>
      </c>
      <c r="J4901" s="1239"/>
      <c r="K4901" s="1239"/>
      <c r="L4901" s="317">
        <f t="shared" si="3380"/>
        <v>58000</v>
      </c>
      <c r="M4901" s="317"/>
      <c r="N4901" s="372">
        <f t="shared" si="3384"/>
        <v>0</v>
      </c>
      <c r="O4901" s="336">
        <f t="shared" si="3370"/>
        <v>63800.000000000007</v>
      </c>
      <c r="P4901" s="319">
        <f t="shared" si="3395"/>
        <v>70180.000000000015</v>
      </c>
      <c r="R4901" s="317"/>
      <c r="U4901" s="320"/>
    </row>
    <row r="4902" spans="1:21" s="344" customFormat="1" outlineLevel="3">
      <c r="A4902" s="345"/>
      <c r="B4902" s="345"/>
      <c r="C4902" s="1236">
        <v>2210710</v>
      </c>
      <c r="D4902" s="1237" t="s">
        <v>361</v>
      </c>
      <c r="E4902" s="1241">
        <v>203000</v>
      </c>
      <c r="F4902" s="1239"/>
      <c r="G4902" s="1239"/>
      <c r="H4902" s="1239"/>
      <c r="I4902" s="324">
        <f t="shared" si="3399"/>
        <v>203000</v>
      </c>
      <c r="J4902" s="1239"/>
      <c r="K4902" s="1239"/>
      <c r="L4902" s="317">
        <f t="shared" si="3380"/>
        <v>203000</v>
      </c>
      <c r="M4902" s="317"/>
      <c r="N4902" s="372">
        <f t="shared" si="3384"/>
        <v>0</v>
      </c>
      <c r="O4902" s="336">
        <f t="shared" si="3370"/>
        <v>223300.00000000003</v>
      </c>
      <c r="P4902" s="319">
        <f t="shared" si="3395"/>
        <v>245630.00000000006</v>
      </c>
      <c r="R4902" s="317"/>
      <c r="U4902" s="320"/>
    </row>
    <row r="4903" spans="1:21" s="344" customFormat="1" outlineLevel="3">
      <c r="A4903" s="345"/>
      <c r="B4903" s="345"/>
      <c r="C4903" s="1233">
        <v>2210800</v>
      </c>
      <c r="D4903" s="1251" t="s">
        <v>42</v>
      </c>
      <c r="E4903" s="1235">
        <f>SUM(E4904:E4904)</f>
        <v>145000</v>
      </c>
      <c r="F4903" s="1235">
        <f t="shared" ref="F4903:K4903" si="3403">SUM(F4904:F4904)</f>
        <v>0</v>
      </c>
      <c r="G4903" s="1235">
        <f t="shared" si="3403"/>
        <v>0</v>
      </c>
      <c r="H4903" s="1235">
        <f t="shared" si="3403"/>
        <v>0</v>
      </c>
      <c r="I4903" s="1235">
        <f t="shared" si="3403"/>
        <v>145000</v>
      </c>
      <c r="J4903" s="1235">
        <f t="shared" si="3403"/>
        <v>0</v>
      </c>
      <c r="K4903" s="1235">
        <f t="shared" si="3403"/>
        <v>0</v>
      </c>
      <c r="L4903" s="317">
        <f t="shared" si="3380"/>
        <v>145000</v>
      </c>
      <c r="M4903" s="317"/>
      <c r="N4903" s="372">
        <f t="shared" si="3384"/>
        <v>0</v>
      </c>
      <c r="O4903" s="1235">
        <f t="shared" ref="O4903:P4903" si="3404">SUM(O4904:O4904)</f>
        <v>159500</v>
      </c>
      <c r="P4903" s="1235">
        <f t="shared" si="3404"/>
        <v>175450</v>
      </c>
      <c r="R4903" s="317"/>
      <c r="U4903" s="320"/>
    </row>
    <row r="4904" spans="1:21" s="344" customFormat="1" outlineLevel="3">
      <c r="A4904" s="345"/>
      <c r="B4904" s="345"/>
      <c r="C4904" s="1236">
        <v>2210801</v>
      </c>
      <c r="D4904" s="1237" t="s">
        <v>2421</v>
      </c>
      <c r="E4904" s="1241">
        <v>145000</v>
      </c>
      <c r="F4904" s="1239"/>
      <c r="G4904" s="1239"/>
      <c r="H4904" s="1239"/>
      <c r="I4904" s="324">
        <f t="shared" si="3399"/>
        <v>145000</v>
      </c>
      <c r="J4904" s="1239"/>
      <c r="K4904" s="1239"/>
      <c r="L4904" s="317">
        <f t="shared" si="3380"/>
        <v>145000</v>
      </c>
      <c r="M4904" s="317"/>
      <c r="N4904" s="372">
        <f t="shared" si="3384"/>
        <v>0</v>
      </c>
      <c r="O4904" s="336">
        <f t="shared" si="3370"/>
        <v>159500</v>
      </c>
      <c r="P4904" s="319">
        <f t="shared" si="3395"/>
        <v>175450</v>
      </c>
      <c r="R4904" s="317"/>
      <c r="U4904" s="320"/>
    </row>
    <row r="4905" spans="1:21" s="344" customFormat="1" outlineLevel="3">
      <c r="A4905" s="345"/>
      <c r="B4905" s="345"/>
      <c r="C4905" s="1255">
        <v>2211100</v>
      </c>
      <c r="D4905" s="1256" t="s">
        <v>51</v>
      </c>
      <c r="E4905" s="1257">
        <f>SUM(E4906+E4907+E4908)</f>
        <v>245000</v>
      </c>
      <c r="F4905" s="1257">
        <f t="shared" ref="F4905:P4905" si="3405">SUM(F4906+F4907+F4908)</f>
        <v>0</v>
      </c>
      <c r="G4905" s="1257">
        <f t="shared" si="3405"/>
        <v>0</v>
      </c>
      <c r="H4905" s="1257">
        <f t="shared" si="3405"/>
        <v>0</v>
      </c>
      <c r="I4905" s="1257">
        <f t="shared" si="3405"/>
        <v>245000</v>
      </c>
      <c r="J4905" s="1257">
        <f t="shared" si="3405"/>
        <v>0</v>
      </c>
      <c r="K4905" s="1257">
        <f t="shared" si="3405"/>
        <v>0</v>
      </c>
      <c r="L4905" s="317">
        <f t="shared" si="3380"/>
        <v>245000</v>
      </c>
      <c r="M4905" s="317"/>
      <c r="N4905" s="372">
        <f t="shared" si="3384"/>
        <v>0</v>
      </c>
      <c r="O4905" s="1257">
        <f t="shared" si="3405"/>
        <v>269500.00000000006</v>
      </c>
      <c r="P4905" s="1257">
        <f t="shared" si="3405"/>
        <v>296450.00000000012</v>
      </c>
      <c r="R4905" s="317"/>
      <c r="U4905" s="320"/>
    </row>
    <row r="4906" spans="1:21" s="344" customFormat="1" outlineLevel="3">
      <c r="A4906" s="345"/>
      <c r="B4906" s="345"/>
      <c r="C4906" s="1236">
        <v>2211101</v>
      </c>
      <c r="D4906" s="1237" t="s">
        <v>289</v>
      </c>
      <c r="E4906" s="1241">
        <v>58000</v>
      </c>
      <c r="F4906" s="1239"/>
      <c r="G4906" s="1239"/>
      <c r="H4906" s="1239"/>
      <c r="I4906" s="324">
        <f t="shared" si="3399"/>
        <v>58000</v>
      </c>
      <c r="J4906" s="1239"/>
      <c r="K4906" s="1239"/>
      <c r="L4906" s="317">
        <f t="shared" si="3380"/>
        <v>58000</v>
      </c>
      <c r="M4906" s="317"/>
      <c r="N4906" s="372">
        <f t="shared" si="3384"/>
        <v>0</v>
      </c>
      <c r="O4906" s="336">
        <f t="shared" si="3370"/>
        <v>63800.000000000007</v>
      </c>
      <c r="P4906" s="319">
        <f t="shared" ref="P4906:P4908" si="3406">O4906*1.1</f>
        <v>70180.000000000015</v>
      </c>
      <c r="R4906" s="317"/>
      <c r="U4906" s="320"/>
    </row>
    <row r="4907" spans="1:21" s="344" customFormat="1" outlineLevel="3">
      <c r="A4907" s="345"/>
      <c r="B4907" s="345"/>
      <c r="C4907" s="1236">
        <v>2211102</v>
      </c>
      <c r="D4907" s="1237" t="s">
        <v>53</v>
      </c>
      <c r="E4907" s="1241">
        <f>150000-50000</f>
        <v>100000</v>
      </c>
      <c r="F4907" s="1239"/>
      <c r="G4907" s="1239"/>
      <c r="H4907" s="1239"/>
      <c r="I4907" s="324">
        <f t="shared" si="3399"/>
        <v>100000</v>
      </c>
      <c r="J4907" s="1239"/>
      <c r="K4907" s="1239"/>
      <c r="L4907" s="317">
        <f t="shared" si="3380"/>
        <v>100000</v>
      </c>
      <c r="M4907" s="317"/>
      <c r="N4907" s="372">
        <f t="shared" si="3384"/>
        <v>0</v>
      </c>
      <c r="O4907" s="336">
        <f t="shared" si="3370"/>
        <v>110000.00000000001</v>
      </c>
      <c r="P4907" s="319">
        <f t="shared" si="3406"/>
        <v>121000.00000000003</v>
      </c>
      <c r="R4907" s="317"/>
      <c r="U4907" s="320"/>
    </row>
    <row r="4908" spans="1:21" s="344" customFormat="1" outlineLevel="3">
      <c r="A4908" s="345"/>
      <c r="B4908" s="345"/>
      <c r="C4908" s="1236">
        <v>2211103</v>
      </c>
      <c r="D4908" s="1237" t="s">
        <v>54</v>
      </c>
      <c r="E4908" s="1241">
        <v>87000</v>
      </c>
      <c r="F4908" s="1239"/>
      <c r="G4908" s="1239"/>
      <c r="H4908" s="1239"/>
      <c r="I4908" s="324">
        <f t="shared" si="3399"/>
        <v>87000</v>
      </c>
      <c r="J4908" s="1239"/>
      <c r="K4908" s="1239"/>
      <c r="L4908" s="317">
        <f t="shared" si="3380"/>
        <v>87000</v>
      </c>
      <c r="M4908" s="317"/>
      <c r="N4908" s="372">
        <f t="shared" si="3384"/>
        <v>0</v>
      </c>
      <c r="O4908" s="336">
        <f t="shared" si="3370"/>
        <v>95700.000000000015</v>
      </c>
      <c r="P4908" s="319">
        <f t="shared" si="3406"/>
        <v>105270.00000000003</v>
      </c>
      <c r="R4908" s="317"/>
      <c r="U4908" s="320"/>
    </row>
    <row r="4909" spans="1:21" s="344" customFormat="1" outlineLevel="3">
      <c r="A4909" s="345"/>
      <c r="B4909" s="345"/>
      <c r="C4909" s="1255">
        <v>2211300</v>
      </c>
      <c r="D4909" s="1256" t="s">
        <v>57</v>
      </c>
      <c r="E4909" s="1257">
        <f>SUM(E4910:E4910)</f>
        <v>100000</v>
      </c>
      <c r="F4909" s="1257">
        <f t="shared" ref="F4909:K4909" si="3407">SUM(F4910:F4910)</f>
        <v>0</v>
      </c>
      <c r="G4909" s="1257">
        <f t="shared" si="3407"/>
        <v>0</v>
      </c>
      <c r="H4909" s="1257">
        <f t="shared" si="3407"/>
        <v>0</v>
      </c>
      <c r="I4909" s="1257">
        <f t="shared" si="3407"/>
        <v>100000</v>
      </c>
      <c r="J4909" s="1257">
        <f t="shared" si="3407"/>
        <v>0</v>
      </c>
      <c r="K4909" s="1257">
        <f t="shared" si="3407"/>
        <v>0</v>
      </c>
      <c r="L4909" s="317">
        <f t="shared" si="3380"/>
        <v>100000</v>
      </c>
      <c r="M4909" s="317"/>
      <c r="N4909" s="372">
        <f t="shared" si="3384"/>
        <v>0</v>
      </c>
      <c r="O4909" s="1257">
        <f t="shared" ref="O4909:P4909" si="3408">SUM(O4910:O4910)</f>
        <v>110000.00000000001</v>
      </c>
      <c r="P4909" s="1257">
        <f t="shared" si="3408"/>
        <v>121000.00000000003</v>
      </c>
      <c r="R4909" s="317"/>
      <c r="U4909" s="320"/>
    </row>
    <row r="4910" spans="1:21" s="344" customFormat="1" outlineLevel="3">
      <c r="A4910" s="345"/>
      <c r="B4910" s="345"/>
      <c r="C4910" s="1236">
        <v>2211306</v>
      </c>
      <c r="D4910" s="1237" t="s">
        <v>58</v>
      </c>
      <c r="E4910" s="1241">
        <v>100000</v>
      </c>
      <c r="F4910" s="1239"/>
      <c r="G4910" s="1239"/>
      <c r="H4910" s="1239"/>
      <c r="I4910" s="324">
        <f t="shared" si="3399"/>
        <v>100000</v>
      </c>
      <c r="J4910" s="1239"/>
      <c r="K4910" s="1239"/>
      <c r="L4910" s="317">
        <f t="shared" si="3380"/>
        <v>100000</v>
      </c>
      <c r="M4910" s="317"/>
      <c r="N4910" s="372">
        <f t="shared" si="3384"/>
        <v>0</v>
      </c>
      <c r="O4910" s="336">
        <f t="shared" ref="O4910:O4973" si="3409">L4910*1.1</f>
        <v>110000.00000000001</v>
      </c>
      <c r="P4910" s="319">
        <f t="shared" ref="P4910" si="3410">O4910*1.1</f>
        <v>121000.00000000003</v>
      </c>
      <c r="R4910" s="317"/>
      <c r="U4910" s="320"/>
    </row>
    <row r="4911" spans="1:21" s="344" customFormat="1" outlineLevel="3">
      <c r="A4911" s="345"/>
      <c r="B4911" s="345"/>
      <c r="C4911" s="1255">
        <v>2211200</v>
      </c>
      <c r="D4911" s="1256" t="s">
        <v>55</v>
      </c>
      <c r="E4911" s="1257">
        <f>E4912</f>
        <v>580000</v>
      </c>
      <c r="F4911" s="1257">
        <f t="shared" ref="F4911:K4911" si="3411">F4912</f>
        <v>0</v>
      </c>
      <c r="G4911" s="1257">
        <f t="shared" si="3411"/>
        <v>0</v>
      </c>
      <c r="H4911" s="1257">
        <f t="shared" si="3411"/>
        <v>0</v>
      </c>
      <c r="I4911" s="1257">
        <f t="shared" si="3411"/>
        <v>580000</v>
      </c>
      <c r="J4911" s="1257">
        <f t="shared" si="3411"/>
        <v>0</v>
      </c>
      <c r="K4911" s="1257">
        <f t="shared" si="3411"/>
        <v>0</v>
      </c>
      <c r="L4911" s="317">
        <f t="shared" si="3380"/>
        <v>580000</v>
      </c>
      <c r="M4911" s="317"/>
      <c r="N4911" s="372">
        <f t="shared" si="3384"/>
        <v>0</v>
      </c>
      <c r="O4911" s="1257">
        <f t="shared" ref="O4911:P4911" si="3412">O4912</f>
        <v>638000</v>
      </c>
      <c r="P4911" s="1257">
        <f t="shared" si="3412"/>
        <v>701800</v>
      </c>
      <c r="R4911" s="317"/>
      <c r="U4911" s="320"/>
    </row>
    <row r="4912" spans="1:21" s="344" customFormat="1" outlineLevel="3">
      <c r="A4912" s="345"/>
      <c r="B4912" s="345"/>
      <c r="C4912" s="1236">
        <v>2211201</v>
      </c>
      <c r="D4912" s="1237" t="s">
        <v>56</v>
      </c>
      <c r="E4912" s="1241">
        <v>580000</v>
      </c>
      <c r="F4912" s="1239"/>
      <c r="G4912" s="1239"/>
      <c r="H4912" s="1239"/>
      <c r="I4912" s="324">
        <f t="shared" si="3399"/>
        <v>580000</v>
      </c>
      <c r="J4912" s="1239"/>
      <c r="K4912" s="1239"/>
      <c r="L4912" s="317">
        <f t="shared" si="3380"/>
        <v>580000</v>
      </c>
      <c r="M4912" s="317"/>
      <c r="N4912" s="372">
        <f t="shared" si="3384"/>
        <v>0</v>
      </c>
      <c r="O4912" s="336">
        <f t="shared" si="3409"/>
        <v>638000</v>
      </c>
      <c r="P4912" s="319">
        <f t="shared" ref="P4912" si="3413">O4912*1.1</f>
        <v>701800</v>
      </c>
      <c r="R4912" s="317"/>
      <c r="U4912" s="320"/>
    </row>
    <row r="4913" spans="1:21" s="344" customFormat="1" outlineLevel="3">
      <c r="A4913" s="345"/>
      <c r="B4913" s="345"/>
      <c r="C4913" s="1255">
        <v>2220100</v>
      </c>
      <c r="D4913" s="1256" t="s">
        <v>62</v>
      </c>
      <c r="E4913" s="1257">
        <f>SUM(E4914:E4915)</f>
        <v>303000</v>
      </c>
      <c r="F4913" s="1257">
        <f t="shared" ref="F4913:P4913" si="3414">SUM(F4914:F4915)</f>
        <v>0</v>
      </c>
      <c r="G4913" s="1257">
        <f t="shared" si="3414"/>
        <v>0</v>
      </c>
      <c r="H4913" s="1257">
        <f t="shared" si="3414"/>
        <v>0</v>
      </c>
      <c r="I4913" s="1257">
        <f t="shared" si="3414"/>
        <v>303000</v>
      </c>
      <c r="J4913" s="1257">
        <f t="shared" si="3414"/>
        <v>0</v>
      </c>
      <c r="K4913" s="1257">
        <f t="shared" si="3414"/>
        <v>0</v>
      </c>
      <c r="L4913" s="317">
        <f t="shared" si="3380"/>
        <v>303000</v>
      </c>
      <c r="M4913" s="317"/>
      <c r="N4913" s="372">
        <f t="shared" si="3384"/>
        <v>0</v>
      </c>
      <c r="O4913" s="1257">
        <f t="shared" si="3414"/>
        <v>333300.00000000006</v>
      </c>
      <c r="P4913" s="1257">
        <f t="shared" si="3414"/>
        <v>366630.00000000012</v>
      </c>
      <c r="R4913" s="317"/>
      <c r="U4913" s="320"/>
    </row>
    <row r="4914" spans="1:21" s="344" customFormat="1" outlineLevel="3">
      <c r="A4914" s="345"/>
      <c r="B4914" s="345"/>
      <c r="C4914" s="1236">
        <v>2220101</v>
      </c>
      <c r="D4914" s="1237" t="s">
        <v>366</v>
      </c>
      <c r="E4914" s="1241">
        <f>145000-45000</f>
        <v>100000</v>
      </c>
      <c r="F4914" s="1239"/>
      <c r="G4914" s="1239"/>
      <c r="H4914" s="1239"/>
      <c r="I4914" s="324">
        <f t="shared" si="3399"/>
        <v>100000</v>
      </c>
      <c r="J4914" s="1239"/>
      <c r="K4914" s="1239"/>
      <c r="L4914" s="317">
        <f t="shared" si="3380"/>
        <v>100000</v>
      </c>
      <c r="M4914" s="317"/>
      <c r="N4914" s="372">
        <f t="shared" si="3384"/>
        <v>0</v>
      </c>
      <c r="O4914" s="336">
        <f t="shared" si="3409"/>
        <v>110000.00000000001</v>
      </c>
      <c r="P4914" s="319">
        <f t="shared" ref="P4914:P4915" si="3415">O4914*1.1</f>
        <v>121000.00000000003</v>
      </c>
      <c r="R4914" s="317"/>
      <c r="U4914" s="320"/>
    </row>
    <row r="4915" spans="1:21" s="344" customFormat="1" outlineLevel="3">
      <c r="A4915" s="345"/>
      <c r="B4915" s="345"/>
      <c r="C4915" s="1236">
        <v>2220105</v>
      </c>
      <c r="D4915" s="1237" t="s">
        <v>200</v>
      </c>
      <c r="E4915" s="1241">
        <v>203000</v>
      </c>
      <c r="F4915" s="1239"/>
      <c r="G4915" s="1239"/>
      <c r="H4915" s="1239"/>
      <c r="I4915" s="324">
        <f t="shared" si="3399"/>
        <v>203000</v>
      </c>
      <c r="J4915" s="1239"/>
      <c r="K4915" s="1239"/>
      <c r="L4915" s="317">
        <f t="shared" si="3380"/>
        <v>203000</v>
      </c>
      <c r="M4915" s="317"/>
      <c r="N4915" s="372">
        <f t="shared" si="3384"/>
        <v>0</v>
      </c>
      <c r="O4915" s="336">
        <f t="shared" si="3409"/>
        <v>223300.00000000003</v>
      </c>
      <c r="P4915" s="319">
        <f t="shared" si="3415"/>
        <v>245630.00000000006</v>
      </c>
      <c r="R4915" s="317"/>
      <c r="U4915" s="320"/>
    </row>
    <row r="4916" spans="1:21" s="344" customFormat="1" outlineLevel="3">
      <c r="A4916" s="345"/>
      <c r="B4916" s="345"/>
      <c r="C4916" s="1255">
        <v>2220200</v>
      </c>
      <c r="D4916" s="1256" t="s">
        <v>124</v>
      </c>
      <c r="E4916" s="1257">
        <f t="array" ref="E4916">SUM(E4917:E4917+E4918)</f>
        <v>1058000</v>
      </c>
      <c r="F4916" s="1257">
        <f t="array" ref="F4916">SUM(F4917:F4917+F4918)</f>
        <v>0</v>
      </c>
      <c r="G4916" s="1257">
        <f t="array" ref="G4916">SUM(G4917:G4917+G4918)</f>
        <v>0</v>
      </c>
      <c r="H4916" s="1257">
        <f t="array" ref="H4916">SUM(H4917:H4917+H4918)</f>
        <v>0</v>
      </c>
      <c r="I4916" s="1257">
        <f t="array" ref="I4916">SUM(I4917:I4917+I4918)</f>
        <v>1058000</v>
      </c>
      <c r="J4916" s="1257">
        <f t="array" ref="J4916">SUM(J4917:J4917+J4918)</f>
        <v>0</v>
      </c>
      <c r="K4916" s="1257">
        <f t="array" ref="K4916">SUM(K4917:K4917+K4918)</f>
        <v>0</v>
      </c>
      <c r="L4916" s="317">
        <f t="shared" si="3380"/>
        <v>1058000</v>
      </c>
      <c r="M4916" s="317"/>
      <c r="N4916" s="372">
        <f t="shared" si="3384"/>
        <v>0</v>
      </c>
      <c r="O4916" s="1257">
        <f t="array" ref="O4916">SUM(O4917:O4917+O4918)</f>
        <v>1163800</v>
      </c>
      <c r="P4916" s="1257">
        <f t="array" ref="P4916">SUM(P4917:P4917+P4918)</f>
        <v>1280180</v>
      </c>
      <c r="R4916" s="317"/>
      <c r="U4916" s="320"/>
    </row>
    <row r="4917" spans="1:21" s="344" customFormat="1" outlineLevel="3">
      <c r="A4917" s="345"/>
      <c r="B4917" s="345"/>
      <c r="C4917" s="1236">
        <v>2220210</v>
      </c>
      <c r="D4917" s="1237" t="s">
        <v>163</v>
      </c>
      <c r="E4917" s="1241">
        <v>58000</v>
      </c>
      <c r="F4917" s="1239"/>
      <c r="G4917" s="1239"/>
      <c r="H4917" s="1239"/>
      <c r="I4917" s="324">
        <f t="shared" si="3399"/>
        <v>58000</v>
      </c>
      <c r="J4917" s="1239"/>
      <c r="K4917" s="1239"/>
      <c r="L4917" s="317">
        <f t="shared" si="3380"/>
        <v>58000</v>
      </c>
      <c r="M4917" s="317"/>
      <c r="N4917" s="372">
        <f t="shared" si="3384"/>
        <v>0</v>
      </c>
      <c r="O4917" s="336">
        <f t="shared" si="3409"/>
        <v>63800.000000000007</v>
      </c>
      <c r="P4917" s="319">
        <f t="shared" ref="P4917:P4918" si="3416">O4917*1.1</f>
        <v>70180.000000000015</v>
      </c>
      <c r="R4917" s="317"/>
      <c r="U4917" s="320"/>
    </row>
    <row r="4918" spans="1:21" s="344" customFormat="1" outlineLevel="3">
      <c r="A4918" s="345"/>
      <c r="B4918" s="345"/>
      <c r="C4918" s="1236">
        <v>2220201</v>
      </c>
      <c r="D4918" s="1237" t="s">
        <v>1396</v>
      </c>
      <c r="E4918" s="1241">
        <f>1500000-500000</f>
        <v>1000000</v>
      </c>
      <c r="F4918" s="1239"/>
      <c r="G4918" s="1239"/>
      <c r="H4918" s="1239"/>
      <c r="I4918" s="324">
        <f t="shared" si="3399"/>
        <v>1000000</v>
      </c>
      <c r="J4918" s="1239"/>
      <c r="K4918" s="1269"/>
      <c r="L4918" s="317">
        <f t="shared" si="3380"/>
        <v>1000000</v>
      </c>
      <c r="M4918" s="317"/>
      <c r="N4918" s="372">
        <f t="shared" si="3384"/>
        <v>0</v>
      </c>
      <c r="O4918" s="336">
        <f t="shared" si="3409"/>
        <v>1100000</v>
      </c>
      <c r="P4918" s="319">
        <f t="shared" si="3416"/>
        <v>1210000</v>
      </c>
      <c r="R4918" s="317"/>
      <c r="U4918" s="320"/>
    </row>
    <row r="4919" spans="1:21" s="344" customFormat="1" outlineLevel="2">
      <c r="A4919" s="345"/>
      <c r="B4919" s="345"/>
      <c r="C4919" s="1249" t="s">
        <v>831</v>
      </c>
      <c r="D4919" s="1250"/>
      <c r="E4919" s="1228">
        <f>E4887+E4891+E4895+E4899+E4903+E4905+E4909+E4911+E4913+E4916</f>
        <v>5138800</v>
      </c>
      <c r="F4919" s="1228">
        <f t="shared" ref="F4919:P4919" si="3417">F4887+F4891+F4895+F4899+F4903+F4905+F4909+F4911+F4913+F4916</f>
        <v>0</v>
      </c>
      <c r="G4919" s="1228">
        <f t="shared" si="3417"/>
        <v>0</v>
      </c>
      <c r="H4919" s="1228">
        <f t="shared" si="3417"/>
        <v>0</v>
      </c>
      <c r="I4919" s="1228">
        <f t="shared" si="3417"/>
        <v>5138800</v>
      </c>
      <c r="J4919" s="1228">
        <f t="shared" si="3417"/>
        <v>0</v>
      </c>
      <c r="K4919" s="1228">
        <f t="shared" si="3417"/>
        <v>-62400</v>
      </c>
      <c r="L4919" s="317">
        <f t="shared" si="3380"/>
        <v>5076400</v>
      </c>
      <c r="M4919" s="317"/>
      <c r="N4919" s="372">
        <f t="shared" si="3384"/>
        <v>62400</v>
      </c>
      <c r="O4919" s="1228">
        <f t="shared" si="3417"/>
        <v>5584040</v>
      </c>
      <c r="P4919" s="1228">
        <f t="shared" si="3417"/>
        <v>6142444</v>
      </c>
      <c r="R4919" s="317"/>
      <c r="U4919" s="320"/>
    </row>
    <row r="4920" spans="1:21" s="344" customFormat="1" outlineLevel="2">
      <c r="A4920" s="345"/>
      <c r="B4920" s="345"/>
      <c r="C4920" s="1234"/>
      <c r="D4920" s="1265"/>
      <c r="E4920" s="1235">
        <v>0</v>
      </c>
      <c r="F4920" s="1235"/>
      <c r="G4920" s="1235"/>
      <c r="H4920" s="1235"/>
      <c r="I4920" s="324">
        <f t="shared" si="3399"/>
        <v>0</v>
      </c>
      <c r="J4920" s="1235"/>
      <c r="K4920" s="1235"/>
      <c r="L4920" s="317">
        <f t="shared" si="3380"/>
        <v>0</v>
      </c>
      <c r="M4920" s="317"/>
      <c r="N4920" s="372">
        <f t="shared" si="3384"/>
        <v>0</v>
      </c>
      <c r="O4920" s="336">
        <f t="shared" si="3409"/>
        <v>0</v>
      </c>
      <c r="P4920" s="319">
        <f t="shared" ref="P4920:P4938" si="3418">O4920*1.1</f>
        <v>0</v>
      </c>
      <c r="R4920" s="317"/>
      <c r="U4920" s="320"/>
    </row>
    <row r="4921" spans="1:21" s="344" customFormat="1" outlineLevel="2">
      <c r="A4921" s="345"/>
      <c r="B4921" s="345"/>
      <c r="C4921" s="1234" t="s">
        <v>832</v>
      </c>
      <c r="D4921" s="1251"/>
      <c r="E4921" s="1263">
        <v>0</v>
      </c>
      <c r="F4921" s="1252"/>
      <c r="G4921" s="1252"/>
      <c r="H4921" s="1252"/>
      <c r="I4921" s="324">
        <f t="shared" si="3399"/>
        <v>0</v>
      </c>
      <c r="J4921" s="1252"/>
      <c r="K4921" s="1252"/>
      <c r="L4921" s="317">
        <f t="shared" si="3380"/>
        <v>0</v>
      </c>
      <c r="M4921" s="317"/>
      <c r="N4921" s="372">
        <f t="shared" si="3384"/>
        <v>0</v>
      </c>
      <c r="O4921" s="336">
        <f t="shared" si="3409"/>
        <v>0</v>
      </c>
      <c r="P4921" s="319">
        <f t="shared" si="3418"/>
        <v>0</v>
      </c>
      <c r="R4921" s="317"/>
      <c r="U4921" s="320"/>
    </row>
    <row r="4922" spans="1:21" s="344" customFormat="1" outlineLevel="3">
      <c r="A4922" s="483"/>
      <c r="B4922" s="483"/>
      <c r="C4922" s="1270">
        <v>3110500</v>
      </c>
      <c r="D4922" s="1271" t="s">
        <v>260</v>
      </c>
      <c r="E4922" s="1272">
        <f>SUM(E4924:E4924+E4925+E4923)</f>
        <v>6400000</v>
      </c>
      <c r="F4922" s="1272">
        <f t="shared" ref="F4922:P4922" si="3419">SUM(F4924:F4924+F4925+F4923)</f>
        <v>0</v>
      </c>
      <c r="G4922" s="1272">
        <f t="shared" si="3419"/>
        <v>15000000</v>
      </c>
      <c r="H4922" s="1272">
        <f t="shared" si="3419"/>
        <v>-675000</v>
      </c>
      <c r="I4922" s="1272">
        <f t="shared" si="3419"/>
        <v>20725000</v>
      </c>
      <c r="J4922" s="1272">
        <f t="shared" si="3419"/>
        <v>-638872</v>
      </c>
      <c r="K4922" s="1272">
        <f t="shared" si="3419"/>
        <v>0</v>
      </c>
      <c r="L4922" s="317">
        <f t="shared" si="3380"/>
        <v>20086128</v>
      </c>
      <c r="M4922" s="2212"/>
      <c r="N4922" s="372">
        <f t="shared" si="3384"/>
        <v>0</v>
      </c>
      <c r="O4922" s="1272">
        <f t="shared" si="3419"/>
        <v>22094740.800000001</v>
      </c>
      <c r="P4922" s="1272">
        <f t="shared" si="3419"/>
        <v>6154214.8799999999</v>
      </c>
      <c r="R4922" s="317"/>
      <c r="U4922" s="320"/>
    </row>
    <row r="4923" spans="1:21" s="344" customFormat="1" outlineLevel="3">
      <c r="A4923" s="345"/>
      <c r="B4923" s="345"/>
      <c r="C4923" s="1236">
        <v>3111112</v>
      </c>
      <c r="D4923" s="1237" t="s">
        <v>2078</v>
      </c>
      <c r="E4923" s="1241"/>
      <c r="F4923" s="1241"/>
      <c r="G4923" s="1241">
        <v>15000000</v>
      </c>
      <c r="H4923" s="1241">
        <f>-12000000+12000000</f>
        <v>0</v>
      </c>
      <c r="I4923" s="324">
        <f t="shared" si="3399"/>
        <v>15000000</v>
      </c>
      <c r="J4923" s="1241"/>
      <c r="K4923" s="1241"/>
      <c r="L4923" s="317">
        <f t="shared" si="3380"/>
        <v>15000000</v>
      </c>
      <c r="M4923" s="317"/>
      <c r="N4923" s="372">
        <f t="shared" si="3384"/>
        <v>0</v>
      </c>
      <c r="O4923" s="336">
        <f t="shared" si="3409"/>
        <v>16500000.000000002</v>
      </c>
      <c r="P4923" s="1273"/>
      <c r="R4923" s="317"/>
      <c r="U4923" s="320"/>
    </row>
    <row r="4924" spans="1:21" s="344" customFormat="1" outlineLevel="3">
      <c r="A4924" s="506"/>
      <c r="B4924" s="506"/>
      <c r="C4924" s="1274">
        <v>3110504</v>
      </c>
      <c r="D4924" s="1275" t="s">
        <v>1397</v>
      </c>
      <c r="E4924" s="1276">
        <v>1900000</v>
      </c>
      <c r="F4924" s="1277"/>
      <c r="G4924" s="1277"/>
      <c r="H4924" s="1277">
        <v>-675000</v>
      </c>
      <c r="I4924" s="324">
        <f t="shared" si="3399"/>
        <v>1225000</v>
      </c>
      <c r="J4924" s="1240">
        <v>-638872</v>
      </c>
      <c r="K4924" s="1277"/>
      <c r="L4924" s="317">
        <f t="shared" si="3380"/>
        <v>586128</v>
      </c>
      <c r="M4924" s="317"/>
      <c r="N4924" s="372">
        <f t="shared" si="3384"/>
        <v>0</v>
      </c>
      <c r="O4924" s="336">
        <f t="shared" si="3409"/>
        <v>644740.80000000005</v>
      </c>
      <c r="P4924" s="319">
        <f t="shared" si="3418"/>
        <v>709214.88000000012</v>
      </c>
      <c r="R4924" s="317"/>
      <c r="U4924" s="320" t="s">
        <v>1803</v>
      </c>
    </row>
    <row r="4925" spans="1:21" s="344" customFormat="1" outlineLevel="3">
      <c r="A4925" s="345"/>
      <c r="B4925" s="345"/>
      <c r="C4925" s="1236">
        <v>3110505</v>
      </c>
      <c r="D4925" s="1237" t="s">
        <v>1398</v>
      </c>
      <c r="E4925" s="1241">
        <v>4500000</v>
      </c>
      <c r="F4925" s="1239"/>
      <c r="G4925" s="1239"/>
      <c r="H4925" s="1239"/>
      <c r="I4925" s="324">
        <f t="shared" si="3399"/>
        <v>4500000</v>
      </c>
      <c r="J4925" s="1239"/>
      <c r="K4925" s="1240"/>
      <c r="L4925" s="317">
        <f t="shared" si="3380"/>
        <v>4500000</v>
      </c>
      <c r="M4925" s="317"/>
      <c r="N4925" s="372">
        <f t="shared" si="3384"/>
        <v>0</v>
      </c>
      <c r="O4925" s="336">
        <f t="shared" si="3409"/>
        <v>4950000</v>
      </c>
      <c r="P4925" s="319">
        <f t="shared" si="3418"/>
        <v>5445000</v>
      </c>
      <c r="R4925" s="317"/>
      <c r="U4925" s="320"/>
    </row>
    <row r="4926" spans="1:21" s="344" customFormat="1" outlineLevel="3">
      <c r="A4926" s="345"/>
      <c r="B4926" s="345"/>
      <c r="C4926" s="1255">
        <v>3111400</v>
      </c>
      <c r="D4926" s="1256" t="s">
        <v>829</v>
      </c>
      <c r="E4926" s="1257">
        <f>E4927</f>
        <v>2000000</v>
      </c>
      <c r="F4926" s="1257">
        <f t="shared" ref="F4926:P4926" si="3420">F4927</f>
        <v>0</v>
      </c>
      <c r="G4926" s="1257">
        <f t="shared" si="3420"/>
        <v>0</v>
      </c>
      <c r="H4926" s="1257">
        <f t="shared" si="3420"/>
        <v>0</v>
      </c>
      <c r="I4926" s="1257">
        <f t="shared" si="3420"/>
        <v>2000000</v>
      </c>
      <c r="J4926" s="1257">
        <f t="shared" si="3420"/>
        <v>0</v>
      </c>
      <c r="K4926" s="1257">
        <f t="shared" si="3420"/>
        <v>0</v>
      </c>
      <c r="L4926" s="317">
        <f t="shared" si="3380"/>
        <v>2000000</v>
      </c>
      <c r="M4926" s="317"/>
      <c r="N4926" s="372">
        <f t="shared" si="3384"/>
        <v>0</v>
      </c>
      <c r="O4926" s="1257">
        <f t="shared" si="3420"/>
        <v>2200000</v>
      </c>
      <c r="P4926" s="1257">
        <f t="shared" si="3420"/>
        <v>2420000</v>
      </c>
      <c r="R4926" s="317"/>
      <c r="U4926" s="320"/>
    </row>
    <row r="4927" spans="1:21" s="344" customFormat="1" outlineLevel="3">
      <c r="A4927" s="345"/>
      <c r="B4927" s="345"/>
      <c r="C4927" s="1236">
        <v>3111499</v>
      </c>
      <c r="D4927" s="1237" t="s">
        <v>830</v>
      </c>
      <c r="E4927" s="1241">
        <v>2000000</v>
      </c>
      <c r="F4927" s="1239"/>
      <c r="G4927" s="1239"/>
      <c r="H4927" s="1239"/>
      <c r="I4927" s="324">
        <f t="shared" si="3399"/>
        <v>2000000</v>
      </c>
      <c r="J4927" s="1239"/>
      <c r="K4927" s="1269"/>
      <c r="L4927" s="317">
        <f t="shared" si="3380"/>
        <v>2000000</v>
      </c>
      <c r="M4927" s="317"/>
      <c r="N4927" s="372">
        <f t="shared" si="3384"/>
        <v>0</v>
      </c>
      <c r="O4927" s="336">
        <f t="shared" si="3409"/>
        <v>2200000</v>
      </c>
      <c r="P4927" s="319">
        <f t="shared" si="3418"/>
        <v>2420000</v>
      </c>
      <c r="R4927" s="317"/>
      <c r="U4927" s="320"/>
    </row>
    <row r="4928" spans="1:21" s="325" customFormat="1" outlineLevel="3">
      <c r="A4928" s="326"/>
      <c r="B4928" s="326"/>
      <c r="C4928" s="1255">
        <v>3130100</v>
      </c>
      <c r="D4928" s="1256" t="s">
        <v>166</v>
      </c>
      <c r="E4928" s="1257">
        <f>E4929</f>
        <v>7400000</v>
      </c>
      <c r="F4928" s="1257">
        <f t="shared" ref="F4928:P4928" si="3421">F4929</f>
        <v>10200000</v>
      </c>
      <c r="G4928" s="1257">
        <f t="shared" si="3421"/>
        <v>0</v>
      </c>
      <c r="H4928" s="1257">
        <f t="shared" si="3421"/>
        <v>0</v>
      </c>
      <c r="I4928" s="1257">
        <f t="shared" si="3421"/>
        <v>17600000</v>
      </c>
      <c r="J4928" s="1257">
        <f t="shared" si="3421"/>
        <v>0</v>
      </c>
      <c r="K4928" s="1257">
        <f t="shared" si="3421"/>
        <v>0</v>
      </c>
      <c r="L4928" s="317">
        <f t="shared" si="3380"/>
        <v>17600000</v>
      </c>
      <c r="M4928" s="317"/>
      <c r="N4928" s="372">
        <f t="shared" si="3384"/>
        <v>0</v>
      </c>
      <c r="O4928" s="1257">
        <f t="shared" si="3421"/>
        <v>19360000</v>
      </c>
      <c r="P4928" s="1257">
        <f t="shared" si="3421"/>
        <v>21296000</v>
      </c>
      <c r="R4928" s="317"/>
      <c r="U4928" s="320"/>
    </row>
    <row r="4929" spans="1:21" s="344" customFormat="1" outlineLevel="3">
      <c r="A4929" s="345"/>
      <c r="B4929" s="345"/>
      <c r="C4929" s="1236">
        <v>3130101</v>
      </c>
      <c r="D4929" s="1237" t="s">
        <v>1814</v>
      </c>
      <c r="E4929" s="1241">
        <f>185000*40</f>
        <v>7400000</v>
      </c>
      <c r="F4929" s="1239">
        <v>10200000</v>
      </c>
      <c r="G4929" s="1239"/>
      <c r="H4929" s="1239"/>
      <c r="I4929" s="324">
        <f t="shared" si="3399"/>
        <v>17600000</v>
      </c>
      <c r="J4929" s="1239"/>
      <c r="K4929" s="1239"/>
      <c r="L4929" s="317">
        <f t="shared" si="3380"/>
        <v>17600000</v>
      </c>
      <c r="M4929" s="317"/>
      <c r="N4929" s="372">
        <f t="shared" si="3384"/>
        <v>0</v>
      </c>
      <c r="O4929" s="336">
        <f t="shared" si="3409"/>
        <v>19360000</v>
      </c>
      <c r="P4929" s="319">
        <f t="shared" si="3418"/>
        <v>21296000</v>
      </c>
      <c r="R4929" s="317"/>
      <c r="U4929" s="320"/>
    </row>
    <row r="4930" spans="1:21" s="325" customFormat="1" outlineLevel="2">
      <c r="A4930" s="326"/>
      <c r="B4930" s="326"/>
      <c r="C4930" s="1249" t="s">
        <v>833</v>
      </c>
      <c r="D4930" s="1250"/>
      <c r="E4930" s="1228">
        <f t="shared" ref="E4930:P4930" si="3422">E4922+E4926+E4928</f>
        <v>15800000</v>
      </c>
      <c r="F4930" s="1228">
        <f t="shared" si="3422"/>
        <v>10200000</v>
      </c>
      <c r="G4930" s="1228">
        <f t="shared" si="3422"/>
        <v>15000000</v>
      </c>
      <c r="H4930" s="1228">
        <f t="shared" si="3422"/>
        <v>-675000</v>
      </c>
      <c r="I4930" s="1228">
        <f t="shared" si="3422"/>
        <v>40325000</v>
      </c>
      <c r="J4930" s="1228">
        <f t="shared" si="3422"/>
        <v>-638872</v>
      </c>
      <c r="K4930" s="1228">
        <f t="shared" si="3422"/>
        <v>0</v>
      </c>
      <c r="L4930" s="317">
        <f t="shared" si="3380"/>
        <v>39686128</v>
      </c>
      <c r="M4930" s="317"/>
      <c r="N4930" s="372">
        <f t="shared" si="3384"/>
        <v>0</v>
      </c>
      <c r="O4930" s="1228">
        <f t="shared" si="3422"/>
        <v>43654740.799999997</v>
      </c>
      <c r="P4930" s="1228">
        <f t="shared" si="3422"/>
        <v>29870214.879999999</v>
      </c>
      <c r="R4930" s="317"/>
      <c r="U4930" s="320"/>
    </row>
    <row r="4931" spans="1:21" s="344" customFormat="1" outlineLevel="1">
      <c r="A4931" s="345"/>
      <c r="B4931" s="345"/>
      <c r="C4931" s="1249" t="s">
        <v>84</v>
      </c>
      <c r="D4931" s="1264"/>
      <c r="E4931" s="1228">
        <f t="shared" ref="E4931:P4931" si="3423">E4919+E4930</f>
        <v>20938800</v>
      </c>
      <c r="F4931" s="1228">
        <f t="shared" si="3423"/>
        <v>10200000</v>
      </c>
      <c r="G4931" s="1228">
        <f t="shared" si="3423"/>
        <v>15000000</v>
      </c>
      <c r="H4931" s="1228">
        <f t="shared" si="3423"/>
        <v>-675000</v>
      </c>
      <c r="I4931" s="1228">
        <f t="shared" si="3423"/>
        <v>45463800</v>
      </c>
      <c r="J4931" s="1228">
        <f t="shared" si="3423"/>
        <v>-638872</v>
      </c>
      <c r="K4931" s="1228">
        <f t="shared" si="3423"/>
        <v>-62400</v>
      </c>
      <c r="L4931" s="317">
        <f t="shared" si="3380"/>
        <v>44762528</v>
      </c>
      <c r="M4931" s="317"/>
      <c r="N4931" s="372">
        <f t="shared" si="3384"/>
        <v>62400</v>
      </c>
      <c r="O4931" s="1228">
        <f t="shared" si="3423"/>
        <v>49238780.799999997</v>
      </c>
      <c r="P4931" s="1228">
        <f t="shared" si="3423"/>
        <v>36012658.879999995</v>
      </c>
      <c r="R4931" s="317"/>
      <c r="U4931" s="320"/>
    </row>
    <row r="4932" spans="1:21" s="344" customFormat="1" outlineLevel="1">
      <c r="A4932" s="345"/>
      <c r="B4932" s="345"/>
      <c r="C4932" s="1249"/>
      <c r="D4932" s="1250"/>
      <c r="E4932" s="1228"/>
      <c r="F4932" s="1268"/>
      <c r="G4932" s="1268"/>
      <c r="H4932" s="1268"/>
      <c r="I4932" s="324">
        <f t="shared" si="3399"/>
        <v>0</v>
      </c>
      <c r="J4932" s="1268"/>
      <c r="K4932" s="1268"/>
      <c r="L4932" s="317">
        <f t="shared" si="3380"/>
        <v>0</v>
      </c>
      <c r="M4932" s="317"/>
      <c r="N4932" s="372">
        <f t="shared" si="3384"/>
        <v>0</v>
      </c>
      <c r="O4932" s="336">
        <f t="shared" si="3409"/>
        <v>0</v>
      </c>
      <c r="P4932" s="319">
        <f t="shared" si="3418"/>
        <v>0</v>
      </c>
      <c r="R4932" s="317"/>
      <c r="U4932" s="320"/>
    </row>
    <row r="4933" spans="1:21" s="344" customFormat="1" outlineLevel="1">
      <c r="A4933" s="345"/>
      <c r="B4933" s="345"/>
      <c r="C4933" s="1249" t="s">
        <v>100</v>
      </c>
      <c r="D4933" s="1250" t="s">
        <v>834</v>
      </c>
      <c r="E4933" s="1235"/>
      <c r="F4933" s="1268"/>
      <c r="G4933" s="1268"/>
      <c r="H4933" s="1268"/>
      <c r="I4933" s="324">
        <f t="shared" si="3399"/>
        <v>0</v>
      </c>
      <c r="J4933" s="1268"/>
      <c r="K4933" s="1268"/>
      <c r="L4933" s="317">
        <f t="shared" ref="L4933:L4996" si="3424">I4933+J4933+K4933</f>
        <v>0</v>
      </c>
      <c r="M4933" s="317"/>
      <c r="N4933" s="372">
        <f t="shared" si="3384"/>
        <v>0</v>
      </c>
      <c r="O4933" s="336">
        <f t="shared" si="3409"/>
        <v>0</v>
      </c>
      <c r="P4933" s="319">
        <f t="shared" si="3418"/>
        <v>0</v>
      </c>
      <c r="R4933" s="317"/>
      <c r="U4933" s="320"/>
    </row>
    <row r="4934" spans="1:21" s="344" customFormat="1" outlineLevel="1">
      <c r="A4934" s="345"/>
      <c r="B4934" s="345"/>
      <c r="C4934" s="314" t="s">
        <v>823</v>
      </c>
      <c r="D4934" s="447"/>
      <c r="E4934" s="1263">
        <v>0</v>
      </c>
      <c r="F4934" s="438"/>
      <c r="G4934" s="438"/>
      <c r="H4934" s="438"/>
      <c r="I4934" s="324">
        <f t="shared" si="3399"/>
        <v>0</v>
      </c>
      <c r="J4934" s="438"/>
      <c r="K4934" s="438"/>
      <c r="L4934" s="317">
        <f t="shared" si="3424"/>
        <v>0</v>
      </c>
      <c r="M4934" s="317"/>
      <c r="N4934" s="372">
        <f t="shared" si="3384"/>
        <v>0</v>
      </c>
      <c r="O4934" s="336">
        <f t="shared" si="3409"/>
        <v>0</v>
      </c>
      <c r="P4934" s="319">
        <f t="shared" si="3418"/>
        <v>0</v>
      </c>
      <c r="R4934" s="317"/>
      <c r="U4934" s="320"/>
    </row>
    <row r="4935" spans="1:21" s="344" customFormat="1" outlineLevel="1">
      <c r="A4935" s="345"/>
      <c r="B4935" s="345"/>
      <c r="C4935" s="314" t="s">
        <v>835</v>
      </c>
      <c r="D4935" s="447"/>
      <c r="E4935" s="1263">
        <v>0</v>
      </c>
      <c r="F4935" s="438"/>
      <c r="G4935" s="438"/>
      <c r="H4935" s="438"/>
      <c r="I4935" s="324">
        <f t="shared" si="3399"/>
        <v>0</v>
      </c>
      <c r="J4935" s="438"/>
      <c r="K4935" s="438"/>
      <c r="L4935" s="317">
        <f t="shared" si="3424"/>
        <v>0</v>
      </c>
      <c r="M4935" s="317"/>
      <c r="N4935" s="372">
        <f t="shared" si="3384"/>
        <v>0</v>
      </c>
      <c r="O4935" s="336">
        <f t="shared" si="3409"/>
        <v>0</v>
      </c>
      <c r="P4935" s="319">
        <f t="shared" si="3418"/>
        <v>0</v>
      </c>
      <c r="R4935" s="317"/>
      <c r="U4935" s="320"/>
    </row>
    <row r="4936" spans="1:21" s="344" customFormat="1" outlineLevel="1">
      <c r="A4936" s="345"/>
      <c r="B4936" s="345"/>
      <c r="C4936" s="1266" t="s">
        <v>836</v>
      </c>
      <c r="D4936" s="1267"/>
      <c r="E4936" s="1263">
        <v>0</v>
      </c>
      <c r="F4936" s="1268"/>
      <c r="G4936" s="1268"/>
      <c r="H4936" s="1268"/>
      <c r="I4936" s="324">
        <f t="shared" si="3399"/>
        <v>0</v>
      </c>
      <c r="J4936" s="1268"/>
      <c r="K4936" s="1268"/>
      <c r="L4936" s="317">
        <f t="shared" si="3424"/>
        <v>0</v>
      </c>
      <c r="M4936" s="317"/>
      <c r="N4936" s="372">
        <f t="shared" si="3384"/>
        <v>0</v>
      </c>
      <c r="O4936" s="336">
        <f t="shared" si="3409"/>
        <v>0</v>
      </c>
      <c r="P4936" s="319">
        <f t="shared" si="3418"/>
        <v>0</v>
      </c>
      <c r="R4936" s="317"/>
      <c r="U4936" s="320"/>
    </row>
    <row r="4937" spans="1:21" s="344" customFormat="1" outlineLevel="3">
      <c r="A4937" s="345"/>
      <c r="B4937" s="345"/>
      <c r="C4937" s="1255">
        <v>2210200</v>
      </c>
      <c r="D4937" s="1256" t="s">
        <v>20</v>
      </c>
      <c r="E4937" s="1257">
        <f>SUM(E4938:E4940)</f>
        <v>258000</v>
      </c>
      <c r="F4937" s="1257">
        <f t="shared" ref="F4937:P4937" si="3425">SUM(F4938:F4940)</f>
        <v>0</v>
      </c>
      <c r="G4937" s="1257">
        <f t="shared" si="3425"/>
        <v>0</v>
      </c>
      <c r="H4937" s="1257">
        <f t="shared" si="3425"/>
        <v>-100000</v>
      </c>
      <c r="I4937" s="1257">
        <f t="shared" si="3425"/>
        <v>158000</v>
      </c>
      <c r="J4937" s="1257">
        <f t="shared" si="3425"/>
        <v>0</v>
      </c>
      <c r="K4937" s="1257">
        <f t="shared" si="3425"/>
        <v>-100000</v>
      </c>
      <c r="L4937" s="317">
        <f t="shared" si="3424"/>
        <v>58000</v>
      </c>
      <c r="M4937" s="317"/>
      <c r="N4937" s="372">
        <f t="shared" ref="N4937:N5000" si="3426">M4937-K4937</f>
        <v>100000</v>
      </c>
      <c r="O4937" s="1257">
        <f t="shared" si="3425"/>
        <v>63800.000000000007</v>
      </c>
      <c r="P4937" s="1257">
        <f t="shared" si="3425"/>
        <v>70180.000000000015</v>
      </c>
      <c r="R4937" s="317"/>
      <c r="U4937" s="320"/>
    </row>
    <row r="4938" spans="1:21" s="344" customFormat="1" outlineLevel="3">
      <c r="A4938" s="345"/>
      <c r="B4938" s="345"/>
      <c r="C4938" s="1236">
        <v>2210201</v>
      </c>
      <c r="D4938" s="1237" t="s">
        <v>187</v>
      </c>
      <c r="E4938" s="1241">
        <v>100000</v>
      </c>
      <c r="F4938" s="1239"/>
      <c r="G4938" s="1239"/>
      <c r="H4938" s="1239">
        <v>-100000</v>
      </c>
      <c r="I4938" s="324">
        <f t="shared" si="3399"/>
        <v>0</v>
      </c>
      <c r="J4938" s="1239"/>
      <c r="K4938" s="1240"/>
      <c r="L4938" s="317">
        <f t="shared" si="3424"/>
        <v>0</v>
      </c>
      <c r="M4938" s="317"/>
      <c r="N4938" s="372">
        <f t="shared" si="3426"/>
        <v>0</v>
      </c>
      <c r="O4938" s="336">
        <f t="shared" si="3409"/>
        <v>0</v>
      </c>
      <c r="P4938" s="319">
        <f t="shared" si="3418"/>
        <v>0</v>
      </c>
      <c r="R4938" s="317"/>
      <c r="U4938" s="320"/>
    </row>
    <row r="4939" spans="1:21" s="344" customFormat="1" outlineLevel="3">
      <c r="A4939" s="345"/>
      <c r="B4939" s="345"/>
      <c r="C4939" s="1236">
        <v>2210202</v>
      </c>
      <c r="D4939" s="1237" t="s">
        <v>359</v>
      </c>
      <c r="E4939" s="1241">
        <v>100000</v>
      </c>
      <c r="F4939" s="1239"/>
      <c r="G4939" s="1239"/>
      <c r="H4939" s="1239"/>
      <c r="I4939" s="324">
        <f t="shared" si="3399"/>
        <v>100000</v>
      </c>
      <c r="J4939" s="1239"/>
      <c r="K4939" s="1240">
        <v>-100000</v>
      </c>
      <c r="L4939" s="317">
        <f t="shared" si="3424"/>
        <v>0</v>
      </c>
      <c r="M4939" s="317"/>
      <c r="N4939" s="372">
        <f t="shared" si="3426"/>
        <v>100000</v>
      </c>
      <c r="O4939" s="336">
        <f t="shared" si="3409"/>
        <v>0</v>
      </c>
      <c r="P4939" s="319">
        <f t="shared" ref="P4939:P4940" si="3427">O4939*1.1</f>
        <v>0</v>
      </c>
      <c r="R4939" s="317"/>
      <c r="U4939" s="320"/>
    </row>
    <row r="4940" spans="1:21" s="344" customFormat="1" outlineLevel="3">
      <c r="A4940" s="345"/>
      <c r="B4940" s="345"/>
      <c r="C4940" s="1236">
        <v>2210203</v>
      </c>
      <c r="D4940" s="1237" t="s">
        <v>23</v>
      </c>
      <c r="E4940" s="1241">
        <v>58000</v>
      </c>
      <c r="F4940" s="1239"/>
      <c r="G4940" s="1239"/>
      <c r="H4940" s="1239"/>
      <c r="I4940" s="324">
        <f t="shared" si="3399"/>
        <v>58000</v>
      </c>
      <c r="J4940" s="1239"/>
      <c r="K4940" s="1240"/>
      <c r="L4940" s="317">
        <f t="shared" si="3424"/>
        <v>58000</v>
      </c>
      <c r="M4940" s="317"/>
      <c r="N4940" s="372">
        <f t="shared" si="3426"/>
        <v>0</v>
      </c>
      <c r="O4940" s="336">
        <f t="shared" si="3409"/>
        <v>63800.000000000007</v>
      </c>
      <c r="P4940" s="319">
        <f t="shared" si="3427"/>
        <v>70180.000000000015</v>
      </c>
      <c r="R4940" s="317"/>
      <c r="U4940" s="320"/>
    </row>
    <row r="4941" spans="1:21" s="344" customFormat="1" outlineLevel="3">
      <c r="A4941" s="345"/>
      <c r="B4941" s="345"/>
      <c r="C4941" s="1255">
        <v>2210300</v>
      </c>
      <c r="D4941" s="1256" t="s">
        <v>24</v>
      </c>
      <c r="E4941" s="1257">
        <f>SUM(E4942:E4944)</f>
        <v>1330000</v>
      </c>
      <c r="F4941" s="1257">
        <f t="shared" ref="F4941:P4941" si="3428">SUM(F4942:F4944)</f>
        <v>0</v>
      </c>
      <c r="G4941" s="1257">
        <f t="shared" si="3428"/>
        <v>0</v>
      </c>
      <c r="H4941" s="1257">
        <f t="shared" si="3428"/>
        <v>0</v>
      </c>
      <c r="I4941" s="1257">
        <f t="shared" si="3428"/>
        <v>1330000</v>
      </c>
      <c r="J4941" s="1257">
        <f t="shared" si="3428"/>
        <v>0</v>
      </c>
      <c r="K4941" s="1257">
        <f t="shared" si="3428"/>
        <v>0</v>
      </c>
      <c r="L4941" s="317">
        <f t="shared" si="3424"/>
        <v>1330000</v>
      </c>
      <c r="M4941" s="317"/>
      <c r="N4941" s="372">
        <f t="shared" si="3426"/>
        <v>0</v>
      </c>
      <c r="O4941" s="1257">
        <f t="shared" si="3428"/>
        <v>1463000</v>
      </c>
      <c r="P4941" s="1257">
        <f t="shared" si="3428"/>
        <v>1609300.0000000002</v>
      </c>
      <c r="R4941" s="317"/>
      <c r="U4941" s="320"/>
    </row>
    <row r="4942" spans="1:21" s="344" customFormat="1" outlineLevel="3">
      <c r="A4942" s="345"/>
      <c r="B4942" s="345"/>
      <c r="C4942" s="1236">
        <v>2210301</v>
      </c>
      <c r="D4942" s="1237" t="s">
        <v>188</v>
      </c>
      <c r="E4942" s="1241">
        <f>580000-200000</f>
        <v>380000</v>
      </c>
      <c r="F4942" s="1239"/>
      <c r="G4942" s="1239"/>
      <c r="H4942" s="1239"/>
      <c r="I4942" s="324">
        <f t="shared" si="3399"/>
        <v>380000</v>
      </c>
      <c r="J4942" s="1239"/>
      <c r="K4942" s="1240"/>
      <c r="L4942" s="317">
        <f t="shared" si="3424"/>
        <v>380000</v>
      </c>
      <c r="M4942" s="317"/>
      <c r="N4942" s="372">
        <f t="shared" si="3426"/>
        <v>0</v>
      </c>
      <c r="O4942" s="336">
        <f t="shared" si="3409"/>
        <v>418000.00000000006</v>
      </c>
      <c r="P4942" s="319">
        <f t="shared" ref="P4942:P4944" si="3429">O4942*1.1</f>
        <v>459800.00000000012</v>
      </c>
      <c r="R4942" s="317"/>
      <c r="U4942" s="320"/>
    </row>
    <row r="4943" spans="1:21" s="344" customFormat="1" outlineLevel="3">
      <c r="A4943" s="345"/>
      <c r="B4943" s="345"/>
      <c r="C4943" s="1236">
        <v>2210302</v>
      </c>
      <c r="D4943" s="1237" t="s">
        <v>26</v>
      </c>
      <c r="E4943" s="1241">
        <f>1160000-260000-300000-200000</f>
        <v>400000</v>
      </c>
      <c r="F4943" s="1239"/>
      <c r="G4943" s="1239"/>
      <c r="H4943" s="1239"/>
      <c r="I4943" s="324">
        <f t="shared" si="3399"/>
        <v>400000</v>
      </c>
      <c r="J4943" s="1239"/>
      <c r="K4943" s="1240"/>
      <c r="L4943" s="317">
        <f t="shared" si="3424"/>
        <v>400000</v>
      </c>
      <c r="M4943" s="317"/>
      <c r="N4943" s="372">
        <f t="shared" si="3426"/>
        <v>0</v>
      </c>
      <c r="O4943" s="336">
        <f t="shared" si="3409"/>
        <v>440000.00000000006</v>
      </c>
      <c r="P4943" s="319">
        <f t="shared" si="3429"/>
        <v>484000.00000000012</v>
      </c>
      <c r="R4943" s="317"/>
      <c r="U4943" s="320"/>
    </row>
    <row r="4944" spans="1:21" s="344" customFormat="1" outlineLevel="3">
      <c r="A4944" s="345"/>
      <c r="B4944" s="345"/>
      <c r="C4944" s="1236">
        <v>2210303</v>
      </c>
      <c r="D4944" s="1237" t="s">
        <v>223</v>
      </c>
      <c r="E4944" s="1241">
        <f>800000-50000-200000</f>
        <v>550000</v>
      </c>
      <c r="F4944" s="1239"/>
      <c r="G4944" s="1239"/>
      <c r="H4944" s="1239"/>
      <c r="I4944" s="324">
        <f t="shared" si="3399"/>
        <v>550000</v>
      </c>
      <c r="J4944" s="1239"/>
      <c r="K4944" s="1240"/>
      <c r="L4944" s="317">
        <f t="shared" si="3424"/>
        <v>550000</v>
      </c>
      <c r="M4944" s="317"/>
      <c r="N4944" s="372">
        <f t="shared" si="3426"/>
        <v>0</v>
      </c>
      <c r="O4944" s="336">
        <f t="shared" si="3409"/>
        <v>605000</v>
      </c>
      <c r="P4944" s="319">
        <f t="shared" si="3429"/>
        <v>665500</v>
      </c>
      <c r="R4944" s="317"/>
      <c r="U4944" s="320"/>
    </row>
    <row r="4945" spans="1:21" s="344" customFormat="1" outlineLevel="3">
      <c r="A4945" s="345"/>
      <c r="B4945" s="345"/>
      <c r="C4945" s="1255">
        <v>2210500</v>
      </c>
      <c r="D4945" s="1256" t="s">
        <v>31</v>
      </c>
      <c r="E4945" s="1257">
        <f>SUM(E4946:E4948)</f>
        <v>625400</v>
      </c>
      <c r="F4945" s="1257">
        <f t="shared" ref="F4945:K4945" si="3430">SUM(F4946:F4948)</f>
        <v>0</v>
      </c>
      <c r="G4945" s="1257">
        <f t="shared" si="3430"/>
        <v>0</v>
      </c>
      <c r="H4945" s="1257">
        <f t="shared" si="3430"/>
        <v>0</v>
      </c>
      <c r="I4945" s="1257">
        <f t="shared" si="3430"/>
        <v>625400</v>
      </c>
      <c r="J4945" s="1257">
        <f t="shared" si="3430"/>
        <v>0</v>
      </c>
      <c r="K4945" s="1257">
        <f t="shared" si="3430"/>
        <v>-75000</v>
      </c>
      <c r="L4945" s="317">
        <f t="shared" si="3424"/>
        <v>550400</v>
      </c>
      <c r="M4945" s="317"/>
      <c r="N4945" s="372">
        <f t="shared" si="3426"/>
        <v>75000</v>
      </c>
      <c r="O4945" s="1257">
        <f t="shared" ref="O4945:P4945" si="3431">SUM(O4946:O4948)</f>
        <v>605440</v>
      </c>
      <c r="P4945" s="1257">
        <f t="shared" si="3431"/>
        <v>665984.00000000012</v>
      </c>
      <c r="R4945" s="317"/>
      <c r="U4945" s="320"/>
    </row>
    <row r="4946" spans="1:21" s="344" customFormat="1" outlineLevel="3">
      <c r="A4946" s="345"/>
      <c r="B4946" s="345"/>
      <c r="C4946" s="1236">
        <v>2210502</v>
      </c>
      <c r="D4946" s="1237" t="s">
        <v>105</v>
      </c>
      <c r="E4946" s="1241">
        <f>200000-50000</f>
        <v>150000</v>
      </c>
      <c r="F4946" s="1239"/>
      <c r="G4946" s="1239"/>
      <c r="H4946" s="1239"/>
      <c r="I4946" s="324">
        <f t="shared" si="3399"/>
        <v>150000</v>
      </c>
      <c r="J4946" s="1239"/>
      <c r="K4946" s="1240"/>
      <c r="L4946" s="317">
        <f t="shared" si="3424"/>
        <v>150000</v>
      </c>
      <c r="M4946" s="317"/>
      <c r="N4946" s="372">
        <f t="shared" si="3426"/>
        <v>0</v>
      </c>
      <c r="O4946" s="336">
        <f t="shared" si="3409"/>
        <v>165000</v>
      </c>
      <c r="P4946" s="319">
        <f t="shared" ref="P4946:P4948" si="3432">O4946*1.1</f>
        <v>181500.00000000003</v>
      </c>
      <c r="R4946" s="317"/>
      <c r="U4946" s="320"/>
    </row>
    <row r="4947" spans="1:21" s="344" customFormat="1" outlineLevel="3">
      <c r="A4947" s="345"/>
      <c r="B4947" s="345"/>
      <c r="C4947" s="1236">
        <v>2210503</v>
      </c>
      <c r="D4947" s="1237" t="s">
        <v>32</v>
      </c>
      <c r="E4947" s="1241">
        <v>75400</v>
      </c>
      <c r="F4947" s="1239"/>
      <c r="G4947" s="1239"/>
      <c r="H4947" s="1239"/>
      <c r="I4947" s="324">
        <f t="shared" si="3399"/>
        <v>75400</v>
      </c>
      <c r="J4947" s="1239"/>
      <c r="K4947" s="1240">
        <v>-75000</v>
      </c>
      <c r="L4947" s="317">
        <f t="shared" si="3424"/>
        <v>400</v>
      </c>
      <c r="M4947" s="317"/>
      <c r="N4947" s="372">
        <f t="shared" si="3426"/>
        <v>75000</v>
      </c>
      <c r="O4947" s="336">
        <f t="shared" si="3409"/>
        <v>440.00000000000006</v>
      </c>
      <c r="P4947" s="319">
        <f t="shared" si="3432"/>
        <v>484.00000000000011</v>
      </c>
      <c r="R4947" s="317"/>
      <c r="U4947" s="320"/>
    </row>
    <row r="4948" spans="1:21" s="344" customFormat="1" outlineLevel="3">
      <c r="A4948" s="345"/>
      <c r="B4948" s="345"/>
      <c r="C4948" s="1236">
        <v>2210504</v>
      </c>
      <c r="D4948" s="1237" t="s">
        <v>33</v>
      </c>
      <c r="E4948" s="1241">
        <f>580000-180000</f>
        <v>400000</v>
      </c>
      <c r="F4948" s="1239"/>
      <c r="G4948" s="1239"/>
      <c r="H4948" s="1239"/>
      <c r="I4948" s="324">
        <f t="shared" si="3399"/>
        <v>400000</v>
      </c>
      <c r="J4948" s="1239"/>
      <c r="K4948" s="1240"/>
      <c r="L4948" s="317">
        <f t="shared" si="3424"/>
        <v>400000</v>
      </c>
      <c r="M4948" s="317"/>
      <c r="N4948" s="372">
        <f t="shared" si="3426"/>
        <v>0</v>
      </c>
      <c r="O4948" s="336">
        <f t="shared" si="3409"/>
        <v>440000.00000000006</v>
      </c>
      <c r="P4948" s="319">
        <f t="shared" si="3432"/>
        <v>484000.00000000012</v>
      </c>
      <c r="R4948" s="317"/>
      <c r="U4948" s="320"/>
    </row>
    <row r="4949" spans="1:21" s="344" customFormat="1" outlineLevel="3">
      <c r="A4949" s="345"/>
      <c r="B4949" s="345"/>
      <c r="C4949" s="1255">
        <v>2210700</v>
      </c>
      <c r="D4949" s="1256" t="s">
        <v>35</v>
      </c>
      <c r="E4949" s="1257">
        <f>SUM(E4950:E4952)</f>
        <v>411000</v>
      </c>
      <c r="F4949" s="1257">
        <f t="shared" ref="F4949:K4949" si="3433">SUM(F4950:F4952)</f>
        <v>0</v>
      </c>
      <c r="G4949" s="1257">
        <f t="shared" si="3433"/>
        <v>0</v>
      </c>
      <c r="H4949" s="1257">
        <f t="shared" si="3433"/>
        <v>0</v>
      </c>
      <c r="I4949" s="1257">
        <f t="shared" si="3433"/>
        <v>411000</v>
      </c>
      <c r="J4949" s="1257">
        <f t="shared" si="3433"/>
        <v>0</v>
      </c>
      <c r="K4949" s="1257">
        <f t="shared" si="3433"/>
        <v>0</v>
      </c>
      <c r="L4949" s="317">
        <f t="shared" si="3424"/>
        <v>411000</v>
      </c>
      <c r="M4949" s="317"/>
      <c r="N4949" s="372">
        <f t="shared" si="3426"/>
        <v>0</v>
      </c>
      <c r="O4949" s="1257">
        <f t="shared" ref="O4949:P4949" si="3434">SUM(O4950:O4952)</f>
        <v>452100</v>
      </c>
      <c r="P4949" s="1257">
        <f t="shared" si="3434"/>
        <v>497310.00000000012</v>
      </c>
      <c r="R4949" s="317"/>
      <c r="U4949" s="320"/>
    </row>
    <row r="4950" spans="1:21" s="344" customFormat="1" outlineLevel="3">
      <c r="A4950" s="345"/>
      <c r="B4950" s="345"/>
      <c r="C4950" s="1236">
        <v>2210701</v>
      </c>
      <c r="D4950" s="1237" t="s">
        <v>190</v>
      </c>
      <c r="E4950" s="1241">
        <f>290000-140000</f>
        <v>150000</v>
      </c>
      <c r="F4950" s="1239"/>
      <c r="G4950" s="1239"/>
      <c r="H4950" s="1239"/>
      <c r="I4950" s="324">
        <f t="shared" si="3399"/>
        <v>150000</v>
      </c>
      <c r="J4950" s="1239"/>
      <c r="K4950" s="1240"/>
      <c r="L4950" s="317">
        <f t="shared" si="3424"/>
        <v>150000</v>
      </c>
      <c r="M4950" s="317"/>
      <c r="N4950" s="372">
        <f t="shared" si="3426"/>
        <v>0</v>
      </c>
      <c r="O4950" s="336">
        <f t="shared" si="3409"/>
        <v>165000</v>
      </c>
      <c r="P4950" s="319">
        <f t="shared" ref="P4950:P4952" si="3435">O4950*1.1</f>
        <v>181500.00000000003</v>
      </c>
      <c r="R4950" s="317"/>
      <c r="U4950" s="320"/>
    </row>
    <row r="4951" spans="1:21" s="344" customFormat="1" outlineLevel="3">
      <c r="A4951" s="345"/>
      <c r="B4951" s="345"/>
      <c r="C4951" s="1236">
        <v>2210704</v>
      </c>
      <c r="D4951" s="1237" t="s">
        <v>38</v>
      </c>
      <c r="E4951" s="1241">
        <v>58000</v>
      </c>
      <c r="F4951" s="1239"/>
      <c r="G4951" s="1239"/>
      <c r="H4951" s="1239"/>
      <c r="I4951" s="324">
        <f t="shared" si="3399"/>
        <v>58000</v>
      </c>
      <c r="J4951" s="1239"/>
      <c r="K4951" s="1240"/>
      <c r="L4951" s="317">
        <f t="shared" si="3424"/>
        <v>58000</v>
      </c>
      <c r="M4951" s="317"/>
      <c r="N4951" s="372">
        <f t="shared" si="3426"/>
        <v>0</v>
      </c>
      <c r="O4951" s="336">
        <f t="shared" si="3409"/>
        <v>63800.000000000007</v>
      </c>
      <c r="P4951" s="319">
        <f t="shared" si="3435"/>
        <v>70180.000000000015</v>
      </c>
      <c r="R4951" s="317"/>
      <c r="U4951" s="320"/>
    </row>
    <row r="4952" spans="1:21" s="344" customFormat="1" outlineLevel="3">
      <c r="A4952" s="345"/>
      <c r="B4952" s="345"/>
      <c r="C4952" s="1236">
        <v>2210710</v>
      </c>
      <c r="D4952" s="1237" t="s">
        <v>361</v>
      </c>
      <c r="E4952" s="1241">
        <v>203000</v>
      </c>
      <c r="F4952" s="1239"/>
      <c r="G4952" s="1239"/>
      <c r="H4952" s="1239"/>
      <c r="I4952" s="324">
        <f t="shared" si="3399"/>
        <v>203000</v>
      </c>
      <c r="J4952" s="1239"/>
      <c r="K4952" s="1240"/>
      <c r="L4952" s="317">
        <f t="shared" si="3424"/>
        <v>203000</v>
      </c>
      <c r="M4952" s="317"/>
      <c r="N4952" s="372">
        <f t="shared" si="3426"/>
        <v>0</v>
      </c>
      <c r="O4952" s="336">
        <f t="shared" si="3409"/>
        <v>223300.00000000003</v>
      </c>
      <c r="P4952" s="319">
        <f t="shared" si="3435"/>
        <v>245630.00000000006</v>
      </c>
      <c r="R4952" s="317"/>
      <c r="U4952" s="320"/>
    </row>
    <row r="4953" spans="1:21" s="344" customFormat="1" outlineLevel="3">
      <c r="A4953" s="345"/>
      <c r="B4953" s="345"/>
      <c r="C4953" s="1255">
        <v>2211100</v>
      </c>
      <c r="D4953" s="1256" t="s">
        <v>51</v>
      </c>
      <c r="E4953" s="1257">
        <f>SUM(E4954:E4956)</f>
        <v>295000</v>
      </c>
      <c r="F4953" s="1257">
        <f t="shared" ref="F4953:K4953" si="3436">SUM(F4954:F4956)</f>
        <v>0</v>
      </c>
      <c r="G4953" s="1257">
        <f t="shared" si="3436"/>
        <v>0</v>
      </c>
      <c r="H4953" s="1257">
        <f t="shared" si="3436"/>
        <v>0</v>
      </c>
      <c r="I4953" s="1257">
        <f t="shared" si="3436"/>
        <v>295000</v>
      </c>
      <c r="J4953" s="1257">
        <f t="shared" si="3436"/>
        <v>0</v>
      </c>
      <c r="K4953" s="1257">
        <f t="shared" si="3436"/>
        <v>0</v>
      </c>
      <c r="L4953" s="317">
        <f t="shared" si="3424"/>
        <v>295000</v>
      </c>
      <c r="M4953" s="317"/>
      <c r="N4953" s="372">
        <f t="shared" si="3426"/>
        <v>0</v>
      </c>
      <c r="O4953" s="1257">
        <f t="shared" ref="O4953:P4953" si="3437">SUM(O4954:O4956)</f>
        <v>324500</v>
      </c>
      <c r="P4953" s="1257">
        <f t="shared" si="3437"/>
        <v>356950.00000000012</v>
      </c>
      <c r="R4953" s="317"/>
      <c r="U4953" s="320"/>
    </row>
    <row r="4954" spans="1:21" s="344" customFormat="1" outlineLevel="3">
      <c r="A4954" s="345"/>
      <c r="B4954" s="345"/>
      <c r="C4954" s="1236">
        <v>2211101</v>
      </c>
      <c r="D4954" s="1237" t="s">
        <v>289</v>
      </c>
      <c r="E4954" s="1241">
        <v>58000</v>
      </c>
      <c r="F4954" s="1239"/>
      <c r="G4954" s="1239"/>
      <c r="H4954" s="1239"/>
      <c r="I4954" s="324">
        <f t="shared" si="3399"/>
        <v>58000</v>
      </c>
      <c r="J4954" s="1239"/>
      <c r="K4954" s="1240"/>
      <c r="L4954" s="317">
        <f t="shared" si="3424"/>
        <v>58000</v>
      </c>
      <c r="M4954" s="317"/>
      <c r="N4954" s="372">
        <f t="shared" si="3426"/>
        <v>0</v>
      </c>
      <c r="O4954" s="336">
        <f t="shared" si="3409"/>
        <v>63800.000000000007</v>
      </c>
      <c r="P4954" s="319">
        <f t="shared" ref="P4954:P4956" si="3438">O4954*1.1</f>
        <v>70180.000000000015</v>
      </c>
      <c r="R4954" s="317"/>
      <c r="U4954" s="320"/>
    </row>
    <row r="4955" spans="1:21" s="344" customFormat="1" outlineLevel="3">
      <c r="A4955" s="345"/>
      <c r="B4955" s="345"/>
      <c r="C4955" s="1236">
        <v>2211102</v>
      </c>
      <c r="D4955" s="1237" t="s">
        <v>53</v>
      </c>
      <c r="E4955" s="1241">
        <f>200000-50000</f>
        <v>150000</v>
      </c>
      <c r="F4955" s="1239"/>
      <c r="G4955" s="1239"/>
      <c r="H4955" s="1239"/>
      <c r="I4955" s="324">
        <f t="shared" ref="I4955:I5020" si="3439">E4955+F4955+G4955+H4955</f>
        <v>150000</v>
      </c>
      <c r="J4955" s="1239"/>
      <c r="K4955" s="1240"/>
      <c r="L4955" s="317">
        <f t="shared" si="3424"/>
        <v>150000</v>
      </c>
      <c r="M4955" s="317"/>
      <c r="N4955" s="372">
        <f t="shared" si="3426"/>
        <v>0</v>
      </c>
      <c r="O4955" s="336">
        <f t="shared" si="3409"/>
        <v>165000</v>
      </c>
      <c r="P4955" s="319">
        <f t="shared" si="3438"/>
        <v>181500.00000000003</v>
      </c>
      <c r="R4955" s="317"/>
      <c r="U4955" s="320"/>
    </row>
    <row r="4956" spans="1:21" s="344" customFormat="1" outlineLevel="3">
      <c r="A4956" s="345"/>
      <c r="B4956" s="345"/>
      <c r="C4956" s="1236">
        <v>2211103</v>
      </c>
      <c r="D4956" s="1237" t="s">
        <v>54</v>
      </c>
      <c r="E4956" s="1241">
        <v>87000</v>
      </c>
      <c r="F4956" s="1239"/>
      <c r="G4956" s="1239"/>
      <c r="H4956" s="1239"/>
      <c r="I4956" s="324">
        <f t="shared" si="3439"/>
        <v>87000</v>
      </c>
      <c r="J4956" s="1239"/>
      <c r="K4956" s="1240"/>
      <c r="L4956" s="317">
        <f t="shared" si="3424"/>
        <v>87000</v>
      </c>
      <c r="M4956" s="317"/>
      <c r="N4956" s="372">
        <f t="shared" si="3426"/>
        <v>0</v>
      </c>
      <c r="O4956" s="336">
        <f t="shared" si="3409"/>
        <v>95700.000000000015</v>
      </c>
      <c r="P4956" s="319">
        <f t="shared" si="3438"/>
        <v>105270.00000000003</v>
      </c>
      <c r="R4956" s="317"/>
      <c r="U4956" s="320"/>
    </row>
    <row r="4957" spans="1:21" s="344" customFormat="1" outlineLevel="3">
      <c r="A4957" s="345"/>
      <c r="B4957" s="345"/>
      <c r="C4957" s="1255">
        <v>2211300</v>
      </c>
      <c r="D4957" s="1256" t="s">
        <v>57</v>
      </c>
      <c r="E4957" s="1257">
        <f>SUM(E4958:E4958)</f>
        <v>50000</v>
      </c>
      <c r="F4957" s="1257">
        <f t="shared" ref="F4957:P4957" si="3440">SUM(F4958:F4958)</f>
        <v>0</v>
      </c>
      <c r="G4957" s="1257">
        <f t="shared" si="3440"/>
        <v>0</v>
      </c>
      <c r="H4957" s="1257">
        <f t="shared" si="3440"/>
        <v>0</v>
      </c>
      <c r="I4957" s="1257">
        <f t="shared" si="3440"/>
        <v>50000</v>
      </c>
      <c r="J4957" s="1257">
        <f t="shared" si="3440"/>
        <v>0</v>
      </c>
      <c r="K4957" s="1257">
        <f t="shared" si="3440"/>
        <v>0</v>
      </c>
      <c r="L4957" s="317">
        <f t="shared" si="3424"/>
        <v>50000</v>
      </c>
      <c r="M4957" s="317"/>
      <c r="N4957" s="372">
        <f t="shared" si="3426"/>
        <v>0</v>
      </c>
      <c r="O4957" s="1257">
        <f t="shared" si="3440"/>
        <v>55000.000000000007</v>
      </c>
      <c r="P4957" s="1257">
        <f t="shared" si="3440"/>
        <v>60500.000000000015</v>
      </c>
      <c r="R4957" s="317"/>
      <c r="U4957" s="320"/>
    </row>
    <row r="4958" spans="1:21" s="344" customFormat="1" outlineLevel="3">
      <c r="A4958" s="345"/>
      <c r="B4958" s="345"/>
      <c r="C4958" s="1236">
        <v>2211306</v>
      </c>
      <c r="D4958" s="1237" t="s">
        <v>58</v>
      </c>
      <c r="E4958" s="1241">
        <v>50000</v>
      </c>
      <c r="F4958" s="1239"/>
      <c r="G4958" s="1239"/>
      <c r="H4958" s="1239"/>
      <c r="I4958" s="324">
        <f t="shared" si="3439"/>
        <v>50000</v>
      </c>
      <c r="J4958" s="1239"/>
      <c r="K4958" s="1240"/>
      <c r="L4958" s="317">
        <f t="shared" si="3424"/>
        <v>50000</v>
      </c>
      <c r="M4958" s="317"/>
      <c r="N4958" s="372">
        <f t="shared" si="3426"/>
        <v>0</v>
      </c>
      <c r="O4958" s="336">
        <f t="shared" si="3409"/>
        <v>55000.000000000007</v>
      </c>
      <c r="P4958" s="319">
        <f t="shared" ref="P4958" si="3441">O4958*1.1</f>
        <v>60500.000000000015</v>
      </c>
      <c r="R4958" s="317"/>
      <c r="U4958" s="320"/>
    </row>
    <row r="4959" spans="1:21" s="344" customFormat="1" outlineLevel="3">
      <c r="A4959" s="345"/>
      <c r="B4959" s="345"/>
      <c r="C4959" s="1255">
        <v>2211200</v>
      </c>
      <c r="D4959" s="1256" t="s">
        <v>55</v>
      </c>
      <c r="E4959" s="1257">
        <f>E4960</f>
        <v>500000</v>
      </c>
      <c r="F4959" s="1257">
        <f t="shared" ref="F4959:K4959" si="3442">F4960</f>
        <v>0</v>
      </c>
      <c r="G4959" s="1257">
        <f t="shared" si="3442"/>
        <v>0</v>
      </c>
      <c r="H4959" s="1257">
        <f t="shared" si="3442"/>
        <v>0</v>
      </c>
      <c r="I4959" s="1257">
        <f t="shared" si="3442"/>
        <v>500000</v>
      </c>
      <c r="J4959" s="1257">
        <f t="shared" si="3442"/>
        <v>0</v>
      </c>
      <c r="K4959" s="1257">
        <f t="shared" si="3442"/>
        <v>0</v>
      </c>
      <c r="L4959" s="317">
        <f t="shared" si="3424"/>
        <v>500000</v>
      </c>
      <c r="M4959" s="317"/>
      <c r="N4959" s="372">
        <f t="shared" si="3426"/>
        <v>0</v>
      </c>
      <c r="O4959" s="1257">
        <f t="shared" ref="O4959:P4959" si="3443">O4960</f>
        <v>550000</v>
      </c>
      <c r="P4959" s="1257">
        <f t="shared" si="3443"/>
        <v>605000</v>
      </c>
      <c r="R4959" s="317"/>
      <c r="U4959" s="320"/>
    </row>
    <row r="4960" spans="1:21" s="344" customFormat="1" outlineLevel="3">
      <c r="A4960" s="345"/>
      <c r="B4960" s="345"/>
      <c r="C4960" s="1236">
        <v>2211201</v>
      </c>
      <c r="D4960" s="1237" t="s">
        <v>56</v>
      </c>
      <c r="E4960" s="1241">
        <f>300000+200000</f>
        <v>500000</v>
      </c>
      <c r="F4960" s="1239"/>
      <c r="G4960" s="1239"/>
      <c r="H4960" s="1239"/>
      <c r="I4960" s="324">
        <f t="shared" si="3439"/>
        <v>500000</v>
      </c>
      <c r="J4960" s="1239"/>
      <c r="K4960" s="1240"/>
      <c r="L4960" s="317">
        <f t="shared" si="3424"/>
        <v>500000</v>
      </c>
      <c r="M4960" s="317"/>
      <c r="N4960" s="372">
        <f t="shared" si="3426"/>
        <v>0</v>
      </c>
      <c r="O4960" s="336">
        <f t="shared" si="3409"/>
        <v>550000</v>
      </c>
      <c r="P4960" s="319">
        <f t="shared" ref="P4960" si="3444">O4960*1.1</f>
        <v>605000</v>
      </c>
      <c r="R4960" s="317"/>
      <c r="U4960" s="320"/>
    </row>
    <row r="4961" spans="1:21" s="344" customFormat="1" outlineLevel="3">
      <c r="A4961" s="345"/>
      <c r="B4961" s="345"/>
      <c r="C4961" s="1255">
        <v>2220100</v>
      </c>
      <c r="D4961" s="1256" t="s">
        <v>62</v>
      </c>
      <c r="E4961" s="1257">
        <f>SUM(E4962:E4963)</f>
        <v>495600</v>
      </c>
      <c r="F4961" s="1257">
        <f t="shared" ref="F4961:P4961" si="3445">SUM(F4962:F4963)</f>
        <v>0</v>
      </c>
      <c r="G4961" s="1257">
        <f t="shared" si="3445"/>
        <v>0</v>
      </c>
      <c r="H4961" s="1257">
        <f t="shared" si="3445"/>
        <v>0</v>
      </c>
      <c r="I4961" s="1257">
        <f t="shared" si="3445"/>
        <v>495600</v>
      </c>
      <c r="J4961" s="1257">
        <f t="shared" si="3445"/>
        <v>0</v>
      </c>
      <c r="K4961" s="1257">
        <f t="shared" si="3445"/>
        <v>-414500</v>
      </c>
      <c r="L4961" s="317">
        <f t="shared" si="3424"/>
        <v>81100</v>
      </c>
      <c r="M4961" s="317"/>
      <c r="N4961" s="372">
        <f t="shared" si="3426"/>
        <v>414500</v>
      </c>
      <c r="O4961" s="1257">
        <f t="shared" si="3445"/>
        <v>89210</v>
      </c>
      <c r="P4961" s="1257">
        <f t="shared" si="3445"/>
        <v>98131.000000000015</v>
      </c>
      <c r="R4961" s="317"/>
      <c r="U4961" s="320"/>
    </row>
    <row r="4962" spans="1:21" s="344" customFormat="1" outlineLevel="3">
      <c r="A4962" s="345"/>
      <c r="B4962" s="345"/>
      <c r="C4962" s="1236">
        <v>2220101</v>
      </c>
      <c r="D4962" s="1237" t="s">
        <v>366</v>
      </c>
      <c r="E4962" s="1241">
        <f>100000+192600</f>
        <v>292600</v>
      </c>
      <c r="F4962" s="1239"/>
      <c r="G4962" s="1239"/>
      <c r="H4962" s="1239"/>
      <c r="I4962" s="324">
        <f t="shared" si="3439"/>
        <v>292600</v>
      </c>
      <c r="J4962" s="1239"/>
      <c r="K4962" s="1240">
        <v>-211500</v>
      </c>
      <c r="L4962" s="317">
        <f t="shared" si="3424"/>
        <v>81100</v>
      </c>
      <c r="M4962" s="317"/>
      <c r="N4962" s="372">
        <f t="shared" si="3426"/>
        <v>211500</v>
      </c>
      <c r="O4962" s="336">
        <f t="shared" si="3409"/>
        <v>89210</v>
      </c>
      <c r="P4962" s="319">
        <f t="shared" ref="P4962:P4963" si="3446">O4962*1.1</f>
        <v>98131.000000000015</v>
      </c>
      <c r="R4962" s="317"/>
      <c r="U4962" s="320"/>
    </row>
    <row r="4963" spans="1:21" s="344" customFormat="1" outlineLevel="3">
      <c r="A4963" s="345"/>
      <c r="B4963" s="345"/>
      <c r="C4963" s="1236">
        <v>2220105</v>
      </c>
      <c r="D4963" s="1237" t="s">
        <v>200</v>
      </c>
      <c r="E4963" s="1241">
        <v>203000</v>
      </c>
      <c r="F4963" s="1239"/>
      <c r="G4963" s="1239"/>
      <c r="H4963" s="1239"/>
      <c r="I4963" s="324">
        <f t="shared" si="3439"/>
        <v>203000</v>
      </c>
      <c r="J4963" s="1239"/>
      <c r="K4963" s="1240">
        <v>-203000</v>
      </c>
      <c r="L4963" s="317">
        <f t="shared" si="3424"/>
        <v>0</v>
      </c>
      <c r="M4963" s="317"/>
      <c r="N4963" s="372">
        <f t="shared" si="3426"/>
        <v>203000</v>
      </c>
      <c r="O4963" s="336">
        <f t="shared" si="3409"/>
        <v>0</v>
      </c>
      <c r="P4963" s="319">
        <f t="shared" si="3446"/>
        <v>0</v>
      </c>
      <c r="R4963" s="317"/>
      <c r="U4963" s="320"/>
    </row>
    <row r="4964" spans="1:21" s="344" customFormat="1" outlineLevel="2">
      <c r="A4964" s="345"/>
      <c r="B4964" s="345"/>
      <c r="C4964" s="1249" t="s">
        <v>837</v>
      </c>
      <c r="D4964" s="1250"/>
      <c r="E4964" s="1228">
        <f>E4937+E4941+E4945+E4949+E4953+E4957+E4959+E4961</f>
        <v>3965000</v>
      </c>
      <c r="F4964" s="1228">
        <f t="shared" ref="F4964:P4964" si="3447">F4937+F4941+F4945+F4949+F4953+F4957+F4959+F4961</f>
        <v>0</v>
      </c>
      <c r="G4964" s="1228">
        <f t="shared" si="3447"/>
        <v>0</v>
      </c>
      <c r="H4964" s="1228">
        <f t="shared" si="3447"/>
        <v>-100000</v>
      </c>
      <c r="I4964" s="1228">
        <f t="shared" si="3447"/>
        <v>3865000</v>
      </c>
      <c r="J4964" s="1228">
        <f t="shared" si="3447"/>
        <v>0</v>
      </c>
      <c r="K4964" s="1228">
        <f t="shared" si="3447"/>
        <v>-589500</v>
      </c>
      <c r="L4964" s="317">
        <f t="shared" si="3424"/>
        <v>3275500</v>
      </c>
      <c r="M4964" s="317"/>
      <c r="N4964" s="372">
        <f t="shared" si="3426"/>
        <v>589500</v>
      </c>
      <c r="O4964" s="1228">
        <f t="shared" si="3447"/>
        <v>3603050</v>
      </c>
      <c r="P4964" s="1228">
        <f t="shared" si="3447"/>
        <v>3963355.0000000005</v>
      </c>
      <c r="R4964" s="317"/>
      <c r="U4964" s="320"/>
    </row>
    <row r="4965" spans="1:21" s="344" customFormat="1" outlineLevel="2">
      <c r="A4965" s="345"/>
      <c r="B4965" s="345"/>
      <c r="C4965" s="1234"/>
      <c r="D4965" s="1265"/>
      <c r="E4965" s="1235">
        <v>0</v>
      </c>
      <c r="F4965" s="1235"/>
      <c r="G4965" s="1235"/>
      <c r="H4965" s="1235"/>
      <c r="I4965" s="324">
        <f t="shared" si="3439"/>
        <v>0</v>
      </c>
      <c r="J4965" s="1235"/>
      <c r="K4965" s="1235"/>
      <c r="L4965" s="317">
        <f t="shared" si="3424"/>
        <v>0</v>
      </c>
      <c r="M4965" s="317"/>
      <c r="N4965" s="372">
        <f t="shared" si="3426"/>
        <v>0</v>
      </c>
      <c r="O4965" s="336">
        <f t="shared" si="3409"/>
        <v>0</v>
      </c>
      <c r="P4965" s="319">
        <f t="shared" ref="P4965:P4975" si="3448">O4965*1.1</f>
        <v>0</v>
      </c>
      <c r="R4965" s="317"/>
      <c r="U4965" s="320"/>
    </row>
    <row r="4966" spans="1:21" s="344" customFormat="1" outlineLevel="2">
      <c r="A4966" s="345"/>
      <c r="B4966" s="345"/>
      <c r="C4966" s="1249" t="s">
        <v>838</v>
      </c>
      <c r="D4966" s="1250"/>
      <c r="E4966" s="1260">
        <v>0</v>
      </c>
      <c r="F4966" s="1268"/>
      <c r="G4966" s="1268"/>
      <c r="H4966" s="1268"/>
      <c r="I4966" s="324">
        <f t="shared" si="3439"/>
        <v>0</v>
      </c>
      <c r="J4966" s="1268"/>
      <c r="K4966" s="1268"/>
      <c r="L4966" s="317">
        <f t="shared" si="3424"/>
        <v>0</v>
      </c>
      <c r="M4966" s="317"/>
      <c r="N4966" s="372">
        <f t="shared" si="3426"/>
        <v>0</v>
      </c>
      <c r="O4966" s="336">
        <f t="shared" si="3409"/>
        <v>0</v>
      </c>
      <c r="P4966" s="319">
        <f t="shared" si="3448"/>
        <v>0</v>
      </c>
      <c r="R4966" s="317"/>
      <c r="U4966" s="320"/>
    </row>
    <row r="4967" spans="1:21" s="344" customFormat="1" outlineLevel="3">
      <c r="A4967" s="345"/>
      <c r="B4967" s="345"/>
      <c r="C4967" s="1255">
        <v>3111400</v>
      </c>
      <c r="D4967" s="1256" t="s">
        <v>839</v>
      </c>
      <c r="E4967" s="1257">
        <f t="array" ref="E4967">SUM(E4968:E4968+E4969+E4970)</f>
        <v>4831598</v>
      </c>
      <c r="F4967" s="1257">
        <f t="array" ref="F4967">SUM(F4968:F4968+F4969+F4970)</f>
        <v>14651466</v>
      </c>
      <c r="G4967" s="1257">
        <f t="array" ref="G4967">SUM(G4968:G4968+G4969+G4970)</f>
        <v>0</v>
      </c>
      <c r="H4967" s="1257">
        <f t="array" ref="H4967">SUM(H4968:H4968+H4969+H4970)</f>
        <v>3532696</v>
      </c>
      <c r="I4967" s="1257">
        <f t="array" ref="I4967">SUM(I4968:I4968+I4969+I4970)</f>
        <v>23015760</v>
      </c>
      <c r="J4967" s="1257">
        <f t="array" ref="J4967">SUM(J4968:J4968+J4969+J4970)</f>
        <v>-1000000</v>
      </c>
      <c r="K4967" s="1257">
        <f t="array" ref="K4967">SUM(K4968:K4968+K4969+K4970)</f>
        <v>0</v>
      </c>
      <c r="L4967" s="317">
        <f t="shared" si="3424"/>
        <v>22015760</v>
      </c>
      <c r="M4967" s="317"/>
      <c r="N4967" s="372">
        <f t="shared" si="3426"/>
        <v>0</v>
      </c>
      <c r="O4967" s="1257">
        <f t="array" ref="O4967">SUM(O4968:O4968+O4969+O4970)</f>
        <v>24217336</v>
      </c>
      <c r="P4967" s="1257">
        <f t="array" ref="P4967">SUM(P4968:P4968+P4969+P4970)</f>
        <v>26639069.600000001</v>
      </c>
      <c r="R4967" s="317"/>
      <c r="U4967" s="320"/>
    </row>
    <row r="4968" spans="1:21" s="344" customFormat="1" outlineLevel="3">
      <c r="A4968" s="345"/>
      <c r="B4968" s="345"/>
      <c r="C4968" s="1236">
        <v>3111401</v>
      </c>
      <c r="D4968" s="345" t="s">
        <v>1399</v>
      </c>
      <c r="E4968" s="1241">
        <v>1000000</v>
      </c>
      <c r="F4968" s="406"/>
      <c r="G4968" s="406"/>
      <c r="H4968" s="1241"/>
      <c r="I4968" s="324">
        <f t="shared" si="3439"/>
        <v>1000000</v>
      </c>
      <c r="J4968" s="1241"/>
      <c r="K4968" s="1278"/>
      <c r="L4968" s="317">
        <f t="shared" si="3424"/>
        <v>1000000</v>
      </c>
      <c r="M4968" s="317"/>
      <c r="N4968" s="372">
        <f t="shared" si="3426"/>
        <v>0</v>
      </c>
      <c r="O4968" s="336">
        <f t="shared" si="3409"/>
        <v>1100000</v>
      </c>
      <c r="P4968" s="319">
        <f t="shared" si="3448"/>
        <v>1210000</v>
      </c>
      <c r="R4968" s="317"/>
      <c r="U4968" s="320"/>
    </row>
    <row r="4969" spans="1:21" s="344" customFormat="1" outlineLevel="3">
      <c r="A4969" s="345"/>
      <c r="B4969" s="345"/>
      <c r="C4969" s="1236">
        <v>3111402</v>
      </c>
      <c r="D4969" s="345" t="s">
        <v>1400</v>
      </c>
      <c r="E4969" s="1241">
        <v>2300000</v>
      </c>
      <c r="F4969" s="406"/>
      <c r="G4969" s="406"/>
      <c r="H4969" s="1241">
        <v>0</v>
      </c>
      <c r="I4969" s="324">
        <f t="shared" si="3439"/>
        <v>2300000</v>
      </c>
      <c r="J4969" s="1241"/>
      <c r="K4969" s="1241"/>
      <c r="L4969" s="317">
        <f t="shared" si="3424"/>
        <v>2300000</v>
      </c>
      <c r="M4969" s="317"/>
      <c r="N4969" s="372">
        <f t="shared" si="3426"/>
        <v>0</v>
      </c>
      <c r="O4969" s="336">
        <f t="shared" si="3409"/>
        <v>2530000</v>
      </c>
      <c r="P4969" s="319">
        <f t="shared" si="3448"/>
        <v>2783000</v>
      </c>
      <c r="R4969" s="317"/>
      <c r="U4969" s="320"/>
    </row>
    <row r="4970" spans="1:21" s="344" customFormat="1" outlineLevel="3">
      <c r="A4970" s="345"/>
      <c r="B4970" s="345"/>
      <c r="C4970" s="1236">
        <v>3110504</v>
      </c>
      <c r="D4970" s="345" t="s">
        <v>2425</v>
      </c>
      <c r="E4970" s="1241">
        <v>1531598</v>
      </c>
      <c r="F4970" s="406">
        <v>14651466</v>
      </c>
      <c r="G4970" s="406"/>
      <c r="H4970" s="1241">
        <v>3532696</v>
      </c>
      <c r="I4970" s="324">
        <f t="shared" si="3439"/>
        <v>19715760</v>
      </c>
      <c r="J4970" s="1241">
        <v>-1000000</v>
      </c>
      <c r="K4970" s="1241"/>
      <c r="L4970" s="317">
        <f t="shared" si="3424"/>
        <v>18715760</v>
      </c>
      <c r="M4970" s="317"/>
      <c r="N4970" s="372">
        <f t="shared" si="3426"/>
        <v>0</v>
      </c>
      <c r="O4970" s="336">
        <f t="shared" si="3409"/>
        <v>20587336</v>
      </c>
      <c r="P4970" s="319">
        <f t="shared" si="3448"/>
        <v>22646069.600000001</v>
      </c>
      <c r="R4970" s="317"/>
      <c r="U4970" s="320" t="s">
        <v>1803</v>
      </c>
    </row>
    <row r="4971" spans="1:21" s="344" customFormat="1" outlineLevel="2">
      <c r="A4971" s="345"/>
      <c r="B4971" s="345"/>
      <c r="C4971" s="1249" t="s">
        <v>840</v>
      </c>
      <c r="D4971" s="1250"/>
      <c r="E4971" s="1228">
        <f>E4967</f>
        <v>4831598</v>
      </c>
      <c r="F4971" s="1228">
        <f t="shared" ref="F4971:P4971" si="3449">F4967</f>
        <v>14651466</v>
      </c>
      <c r="G4971" s="1228">
        <f t="shared" si="3449"/>
        <v>0</v>
      </c>
      <c r="H4971" s="1228">
        <f t="shared" si="3449"/>
        <v>3532696</v>
      </c>
      <c r="I4971" s="1228">
        <f t="shared" si="3449"/>
        <v>23015760</v>
      </c>
      <c r="J4971" s="1228">
        <f t="shared" si="3449"/>
        <v>-1000000</v>
      </c>
      <c r="K4971" s="1228">
        <f t="shared" si="3449"/>
        <v>0</v>
      </c>
      <c r="L4971" s="317">
        <f t="shared" si="3424"/>
        <v>22015760</v>
      </c>
      <c r="M4971" s="317"/>
      <c r="N4971" s="372">
        <f t="shared" si="3426"/>
        <v>0</v>
      </c>
      <c r="O4971" s="1228">
        <f t="shared" si="3449"/>
        <v>24217336</v>
      </c>
      <c r="P4971" s="1228">
        <f t="shared" si="3449"/>
        <v>26639069.600000001</v>
      </c>
      <c r="R4971" s="317"/>
      <c r="U4971" s="320"/>
    </row>
    <row r="4972" spans="1:21" s="344" customFormat="1" outlineLevel="1">
      <c r="A4972" s="345"/>
      <c r="B4972" s="345"/>
      <c r="C4972" s="1249" t="s">
        <v>84</v>
      </c>
      <c r="D4972" s="1264"/>
      <c r="E4972" s="1228">
        <f>E4971+E4964</f>
        <v>8796598</v>
      </c>
      <c r="F4972" s="1228">
        <f t="shared" ref="F4972:P4972" si="3450">F4971+F4964</f>
        <v>14651466</v>
      </c>
      <c r="G4972" s="1228">
        <f t="shared" si="3450"/>
        <v>0</v>
      </c>
      <c r="H4972" s="1228">
        <f t="shared" si="3450"/>
        <v>3432696</v>
      </c>
      <c r="I4972" s="1228">
        <f t="shared" si="3450"/>
        <v>26880760</v>
      </c>
      <c r="J4972" s="1228">
        <f t="shared" si="3450"/>
        <v>-1000000</v>
      </c>
      <c r="K4972" s="1228">
        <f t="shared" si="3450"/>
        <v>-589500</v>
      </c>
      <c r="L4972" s="317">
        <f t="shared" si="3424"/>
        <v>25291260</v>
      </c>
      <c r="M4972" s="317"/>
      <c r="N4972" s="372">
        <f t="shared" si="3426"/>
        <v>589500</v>
      </c>
      <c r="O4972" s="1228">
        <f t="shared" si="3450"/>
        <v>27820386</v>
      </c>
      <c r="P4972" s="1228">
        <f t="shared" si="3450"/>
        <v>30602424.600000001</v>
      </c>
      <c r="R4972" s="317"/>
      <c r="U4972" s="320"/>
    </row>
    <row r="4973" spans="1:21" s="344" customFormat="1" outlineLevel="1">
      <c r="A4973" s="345"/>
      <c r="B4973" s="345"/>
      <c r="C4973" s="1249" t="s">
        <v>841</v>
      </c>
      <c r="D4973" s="1264"/>
      <c r="E4973" s="1228"/>
      <c r="F4973" s="1228"/>
      <c r="G4973" s="1228"/>
      <c r="H4973" s="1228"/>
      <c r="I4973" s="324">
        <f t="shared" si="3439"/>
        <v>0</v>
      </c>
      <c r="J4973" s="1228"/>
      <c r="K4973" s="1228"/>
      <c r="L4973" s="317">
        <f t="shared" si="3424"/>
        <v>0</v>
      </c>
      <c r="M4973" s="317"/>
      <c r="N4973" s="372">
        <f t="shared" si="3426"/>
        <v>0</v>
      </c>
      <c r="O4973" s="336">
        <f t="shared" si="3409"/>
        <v>0</v>
      </c>
      <c r="P4973" s="319">
        <f t="shared" si="3448"/>
        <v>0</v>
      </c>
      <c r="R4973" s="317"/>
      <c r="U4973" s="320"/>
    </row>
    <row r="4974" spans="1:21" s="344" customFormat="1" outlineLevel="1">
      <c r="A4974" s="345"/>
      <c r="B4974" s="345"/>
      <c r="C4974" s="1249"/>
      <c r="D4974" s="1264"/>
      <c r="E4974" s="1228"/>
      <c r="F4974" s="1228"/>
      <c r="G4974" s="1228"/>
      <c r="H4974" s="1228"/>
      <c r="I4974" s="324">
        <f t="shared" si="3439"/>
        <v>0</v>
      </c>
      <c r="J4974" s="1228"/>
      <c r="K4974" s="1228"/>
      <c r="L4974" s="317">
        <f t="shared" si="3424"/>
        <v>0</v>
      </c>
      <c r="M4974" s="317"/>
      <c r="N4974" s="372">
        <f t="shared" si="3426"/>
        <v>0</v>
      </c>
      <c r="O4974" s="336">
        <f t="shared" ref="O4974:O5028" si="3451">L4974*1.1</f>
        <v>0</v>
      </c>
      <c r="P4974" s="319">
        <f t="shared" si="3448"/>
        <v>0</v>
      </c>
      <c r="R4974" s="317"/>
      <c r="U4974" s="320"/>
    </row>
    <row r="4975" spans="1:21" s="344" customFormat="1" outlineLevel="1">
      <c r="A4975" s="345"/>
      <c r="B4975" s="345"/>
      <c r="C4975" s="1279" t="s">
        <v>842</v>
      </c>
      <c r="D4975" s="1280"/>
      <c r="E4975" s="389"/>
      <c r="F4975" s="518"/>
      <c r="G4975" s="518"/>
      <c r="H4975" s="518"/>
      <c r="I4975" s="324">
        <f t="shared" si="3439"/>
        <v>0</v>
      </c>
      <c r="J4975" s="518"/>
      <c r="K4975" s="518"/>
      <c r="L4975" s="317">
        <f t="shared" si="3424"/>
        <v>0</v>
      </c>
      <c r="M4975" s="317"/>
      <c r="N4975" s="372">
        <f t="shared" si="3426"/>
        <v>0</v>
      </c>
      <c r="O4975" s="336">
        <f t="shared" si="3451"/>
        <v>0</v>
      </c>
      <c r="P4975" s="319">
        <f t="shared" si="3448"/>
        <v>0</v>
      </c>
      <c r="R4975" s="317"/>
      <c r="U4975" s="320"/>
    </row>
    <row r="4976" spans="1:21" s="344" customFormat="1" outlineLevel="1">
      <c r="A4976" s="345"/>
      <c r="B4976" s="345"/>
      <c r="C4976" s="314" t="s">
        <v>843</v>
      </c>
      <c r="D4976" s="338"/>
      <c r="E4976" s="389"/>
      <c r="F4976" s="397"/>
      <c r="G4976" s="397"/>
      <c r="H4976" s="397"/>
      <c r="I4976" s="324">
        <f t="shared" si="3439"/>
        <v>0</v>
      </c>
      <c r="J4976" s="397"/>
      <c r="K4976" s="397"/>
      <c r="L4976" s="317">
        <f t="shared" si="3424"/>
        <v>0</v>
      </c>
      <c r="M4976" s="317"/>
      <c r="N4976" s="372">
        <f t="shared" si="3426"/>
        <v>0</v>
      </c>
      <c r="O4976" s="336">
        <f t="shared" si="3451"/>
        <v>0</v>
      </c>
      <c r="P4976" s="319">
        <f t="shared" ref="P4976:P5005" si="3452">O4976*1.1</f>
        <v>0</v>
      </c>
      <c r="R4976" s="317"/>
      <c r="U4976" s="320"/>
    </row>
    <row r="4977" spans="1:21" s="344" customFormat="1" outlineLevel="3">
      <c r="A4977" s="345"/>
      <c r="B4977" s="345"/>
      <c r="C4977" s="1255">
        <v>2210200</v>
      </c>
      <c r="D4977" s="1256" t="s">
        <v>20</v>
      </c>
      <c r="E4977" s="1257">
        <f>SUM(E4978:E4980)</f>
        <v>258000</v>
      </c>
      <c r="F4977" s="1257">
        <f t="shared" ref="F4977:P4977" si="3453">SUM(F4978:F4980)</f>
        <v>0</v>
      </c>
      <c r="G4977" s="1257">
        <f t="shared" si="3453"/>
        <v>0</v>
      </c>
      <c r="H4977" s="1257">
        <f t="shared" si="3453"/>
        <v>0</v>
      </c>
      <c r="I4977" s="1257">
        <f t="shared" si="3453"/>
        <v>258000</v>
      </c>
      <c r="J4977" s="1257">
        <f t="shared" si="3453"/>
        <v>0</v>
      </c>
      <c r="K4977" s="1257">
        <f t="shared" si="3453"/>
        <v>-258000</v>
      </c>
      <c r="L4977" s="317">
        <f t="shared" si="3424"/>
        <v>0</v>
      </c>
      <c r="M4977" s="317"/>
      <c r="N4977" s="372">
        <f t="shared" si="3426"/>
        <v>258000</v>
      </c>
      <c r="O4977" s="1257">
        <f t="shared" si="3453"/>
        <v>0</v>
      </c>
      <c r="P4977" s="1257">
        <f t="shared" si="3453"/>
        <v>0</v>
      </c>
      <c r="R4977" s="317"/>
      <c r="U4977" s="320"/>
    </row>
    <row r="4978" spans="1:21" s="344" customFormat="1" outlineLevel="3">
      <c r="A4978" s="345"/>
      <c r="B4978" s="345"/>
      <c r="C4978" s="1236">
        <v>2210201</v>
      </c>
      <c r="D4978" s="1237" t="s">
        <v>187</v>
      </c>
      <c r="E4978" s="1241">
        <v>100000</v>
      </c>
      <c r="F4978" s="1239"/>
      <c r="G4978" s="1239"/>
      <c r="H4978" s="1239"/>
      <c r="I4978" s="324">
        <f t="shared" si="3439"/>
        <v>100000</v>
      </c>
      <c r="J4978" s="1239"/>
      <c r="K4978" s="1240">
        <v>-100000</v>
      </c>
      <c r="L4978" s="317">
        <f t="shared" si="3424"/>
        <v>0</v>
      </c>
      <c r="M4978" s="317"/>
      <c r="N4978" s="372">
        <f t="shared" si="3426"/>
        <v>100000</v>
      </c>
      <c r="O4978" s="336">
        <f t="shared" si="3451"/>
        <v>0</v>
      </c>
      <c r="P4978" s="319">
        <f t="shared" si="3452"/>
        <v>0</v>
      </c>
      <c r="R4978" s="317"/>
      <c r="U4978" s="320"/>
    </row>
    <row r="4979" spans="1:21" s="344" customFormat="1" outlineLevel="3">
      <c r="A4979" s="345"/>
      <c r="B4979" s="345"/>
      <c r="C4979" s="1236">
        <v>2210202</v>
      </c>
      <c r="D4979" s="1237" t="s">
        <v>359</v>
      </c>
      <c r="E4979" s="1241">
        <v>100000</v>
      </c>
      <c r="F4979" s="1239"/>
      <c r="G4979" s="1239"/>
      <c r="H4979" s="1239"/>
      <c r="I4979" s="324">
        <f t="shared" si="3439"/>
        <v>100000</v>
      </c>
      <c r="J4979" s="1239"/>
      <c r="K4979" s="1240">
        <v>-100000</v>
      </c>
      <c r="L4979" s="317">
        <f t="shared" si="3424"/>
        <v>0</v>
      </c>
      <c r="M4979" s="317"/>
      <c r="N4979" s="372">
        <f t="shared" si="3426"/>
        <v>100000</v>
      </c>
      <c r="O4979" s="336">
        <f t="shared" si="3451"/>
        <v>0</v>
      </c>
      <c r="P4979" s="319">
        <f t="shared" si="3452"/>
        <v>0</v>
      </c>
      <c r="R4979" s="317"/>
      <c r="U4979" s="320"/>
    </row>
    <row r="4980" spans="1:21" s="344" customFormat="1" outlineLevel="3">
      <c r="A4980" s="345"/>
      <c r="B4980" s="345"/>
      <c r="C4980" s="1236">
        <v>2210203</v>
      </c>
      <c r="D4980" s="1237" t="s">
        <v>23</v>
      </c>
      <c r="E4980" s="1241">
        <v>58000</v>
      </c>
      <c r="F4980" s="1239"/>
      <c r="G4980" s="1239"/>
      <c r="H4980" s="1239"/>
      <c r="I4980" s="324">
        <f t="shared" si="3439"/>
        <v>58000</v>
      </c>
      <c r="J4980" s="1239"/>
      <c r="K4980" s="1240">
        <v>-58000</v>
      </c>
      <c r="L4980" s="317">
        <f t="shared" si="3424"/>
        <v>0</v>
      </c>
      <c r="M4980" s="317"/>
      <c r="N4980" s="372">
        <f t="shared" si="3426"/>
        <v>58000</v>
      </c>
      <c r="O4980" s="336">
        <f t="shared" si="3451"/>
        <v>0</v>
      </c>
      <c r="P4980" s="319">
        <f t="shared" si="3452"/>
        <v>0</v>
      </c>
      <c r="R4980" s="317"/>
      <c r="U4980" s="320"/>
    </row>
    <row r="4981" spans="1:21" s="344" customFormat="1" outlineLevel="3">
      <c r="A4981" s="345"/>
      <c r="B4981" s="345"/>
      <c r="C4981" s="1255">
        <v>2210300</v>
      </c>
      <c r="D4981" s="1256" t="s">
        <v>24</v>
      </c>
      <c r="E4981" s="1257">
        <f>SUM(E4982:E4984)</f>
        <v>1462709.5200023651</v>
      </c>
      <c r="F4981" s="1257">
        <f t="shared" ref="F4981:P4981" si="3454">SUM(F4982:F4984)</f>
        <v>0</v>
      </c>
      <c r="G4981" s="1257">
        <f t="shared" si="3454"/>
        <v>0</v>
      </c>
      <c r="H4981" s="1257">
        <f t="shared" si="3454"/>
        <v>2500000</v>
      </c>
      <c r="I4981" s="1257">
        <f t="shared" si="3454"/>
        <v>3962709.5200023651</v>
      </c>
      <c r="J4981" s="1257">
        <f t="shared" si="3454"/>
        <v>0</v>
      </c>
      <c r="K4981" s="1257">
        <f t="shared" si="3454"/>
        <v>0</v>
      </c>
      <c r="L4981" s="317">
        <f t="shared" si="3424"/>
        <v>3962709.5200023651</v>
      </c>
      <c r="M4981" s="317"/>
      <c r="N4981" s="372">
        <f t="shared" si="3426"/>
        <v>0</v>
      </c>
      <c r="O4981" s="1257">
        <f t="shared" si="3454"/>
        <v>4358980.4720026022</v>
      </c>
      <c r="P4981" s="1257">
        <f t="shared" si="3454"/>
        <v>4794878.5192028619</v>
      </c>
      <c r="R4981" s="317"/>
      <c r="U4981" s="320"/>
    </row>
    <row r="4982" spans="1:21" s="344" customFormat="1" outlineLevel="3">
      <c r="A4982" s="345"/>
      <c r="B4982" s="345"/>
      <c r="C4982" s="1236">
        <v>2210301</v>
      </c>
      <c r="D4982" s="1237" t="s">
        <v>188</v>
      </c>
      <c r="E4982" s="1241">
        <f>306530.520002365-100000</f>
        <v>206530.520002365</v>
      </c>
      <c r="F4982" s="1239"/>
      <c r="G4982" s="1239"/>
      <c r="H4982" s="1241">
        <v>1640000</v>
      </c>
      <c r="I4982" s="324">
        <f t="shared" si="3439"/>
        <v>1846530.5200023651</v>
      </c>
      <c r="J4982" s="1241"/>
      <c r="K4982" s="1281"/>
      <c r="L4982" s="317">
        <f t="shared" si="3424"/>
        <v>1846530.5200023651</v>
      </c>
      <c r="M4982" s="317"/>
      <c r="N4982" s="372">
        <f t="shared" si="3426"/>
        <v>0</v>
      </c>
      <c r="O4982" s="336">
        <f t="shared" si="3451"/>
        <v>2031183.5720026018</v>
      </c>
      <c r="P4982" s="319">
        <f t="shared" ref="P4982:P4984" si="3455">O4982*1.1</f>
        <v>2234301.9292028621</v>
      </c>
      <c r="R4982" s="317"/>
      <c r="U4982" s="320"/>
    </row>
    <row r="4983" spans="1:21" s="344" customFormat="1" outlineLevel="3">
      <c r="A4983" s="345"/>
      <c r="B4983" s="345"/>
      <c r="C4983" s="1236">
        <v>2210302</v>
      </c>
      <c r="D4983" s="1237" t="s">
        <v>26</v>
      </c>
      <c r="E4983" s="1241">
        <f>500000+200000-200000</f>
        <v>500000</v>
      </c>
      <c r="F4983" s="1239"/>
      <c r="G4983" s="1239"/>
      <c r="H4983" s="1241">
        <v>308000</v>
      </c>
      <c r="I4983" s="324">
        <f t="shared" si="3439"/>
        <v>808000</v>
      </c>
      <c r="J4983" s="1241"/>
      <c r="K4983" s="1281"/>
      <c r="L4983" s="317">
        <f t="shared" si="3424"/>
        <v>808000</v>
      </c>
      <c r="M4983" s="317"/>
      <c r="N4983" s="372">
        <f t="shared" si="3426"/>
        <v>0</v>
      </c>
      <c r="O4983" s="336">
        <f t="shared" si="3451"/>
        <v>888800.00000000012</v>
      </c>
      <c r="P4983" s="319">
        <f t="shared" si="3455"/>
        <v>977680.00000000023</v>
      </c>
      <c r="R4983" s="317"/>
      <c r="U4983" s="320"/>
    </row>
    <row r="4984" spans="1:21" s="344" customFormat="1" outlineLevel="3">
      <c r="A4984" s="345"/>
      <c r="B4984" s="345"/>
      <c r="C4984" s="1236">
        <v>2210303</v>
      </c>
      <c r="D4984" s="1237" t="s">
        <v>223</v>
      </c>
      <c r="E4984" s="1241">
        <f>756179+500000-200000-300000</f>
        <v>756179</v>
      </c>
      <c r="F4984" s="1239"/>
      <c r="G4984" s="1239"/>
      <c r="H4984" s="1241">
        <v>552000</v>
      </c>
      <c r="I4984" s="324">
        <f t="shared" si="3439"/>
        <v>1308179</v>
      </c>
      <c r="J4984" s="1241"/>
      <c r="K4984" s="1281"/>
      <c r="L4984" s="317">
        <f t="shared" si="3424"/>
        <v>1308179</v>
      </c>
      <c r="M4984" s="317"/>
      <c r="N4984" s="372">
        <f t="shared" si="3426"/>
        <v>0</v>
      </c>
      <c r="O4984" s="336">
        <f t="shared" si="3451"/>
        <v>1438996.9000000001</v>
      </c>
      <c r="P4984" s="319">
        <f t="shared" si="3455"/>
        <v>1582896.5900000003</v>
      </c>
      <c r="R4984" s="317"/>
      <c r="U4984" s="320"/>
    </row>
    <row r="4985" spans="1:21" s="344" customFormat="1" outlineLevel="3">
      <c r="A4985" s="345"/>
      <c r="B4985" s="345"/>
      <c r="C4985" s="1255">
        <v>2210500</v>
      </c>
      <c r="D4985" s="1256" t="s">
        <v>31</v>
      </c>
      <c r="E4985" s="1257">
        <f>SUM(E4986:E4988)</f>
        <v>415400</v>
      </c>
      <c r="F4985" s="1257">
        <f t="shared" ref="F4985:P4985" si="3456">SUM(F4986:F4988)</f>
        <v>0</v>
      </c>
      <c r="G4985" s="1257">
        <f t="shared" si="3456"/>
        <v>0</v>
      </c>
      <c r="H4985" s="1257">
        <f t="shared" si="3456"/>
        <v>0</v>
      </c>
      <c r="I4985" s="1257">
        <f t="shared" si="3456"/>
        <v>415400</v>
      </c>
      <c r="J4985" s="1257">
        <f t="shared" si="3456"/>
        <v>0</v>
      </c>
      <c r="K4985" s="1257">
        <f t="shared" si="3456"/>
        <v>-225400</v>
      </c>
      <c r="L4985" s="317">
        <f t="shared" si="3424"/>
        <v>190000</v>
      </c>
      <c r="M4985" s="317"/>
      <c r="N4985" s="372">
        <f t="shared" si="3426"/>
        <v>225400</v>
      </c>
      <c r="O4985" s="1257">
        <f t="shared" si="3456"/>
        <v>209000.00000000003</v>
      </c>
      <c r="P4985" s="1257">
        <f t="shared" si="3456"/>
        <v>229900.00000000006</v>
      </c>
      <c r="R4985" s="317"/>
      <c r="U4985" s="320"/>
    </row>
    <row r="4986" spans="1:21" s="344" customFormat="1" outlineLevel="3">
      <c r="A4986" s="345"/>
      <c r="B4986" s="345"/>
      <c r="C4986" s="1236">
        <v>2210502</v>
      </c>
      <c r="D4986" s="1237" t="s">
        <v>105</v>
      </c>
      <c r="E4986" s="1241">
        <v>190000</v>
      </c>
      <c r="F4986" s="1239"/>
      <c r="G4986" s="1239"/>
      <c r="H4986" s="1239"/>
      <c r="I4986" s="324">
        <f t="shared" si="3439"/>
        <v>190000</v>
      </c>
      <c r="J4986" s="1239"/>
      <c r="K4986" s="1240"/>
      <c r="L4986" s="317">
        <f t="shared" si="3424"/>
        <v>190000</v>
      </c>
      <c r="M4986" s="317"/>
      <c r="N4986" s="372">
        <f t="shared" si="3426"/>
        <v>0</v>
      </c>
      <c r="O4986" s="336">
        <f t="shared" si="3451"/>
        <v>209000.00000000003</v>
      </c>
      <c r="P4986" s="319">
        <f t="shared" ref="P4986:P4988" si="3457">O4986*1.1</f>
        <v>229900.00000000006</v>
      </c>
      <c r="R4986" s="317"/>
      <c r="U4986" s="320"/>
    </row>
    <row r="4987" spans="1:21" s="344" customFormat="1" outlineLevel="3">
      <c r="A4987" s="345"/>
      <c r="B4987" s="345"/>
      <c r="C4987" s="1236">
        <v>2210503</v>
      </c>
      <c r="D4987" s="1237" t="s">
        <v>32</v>
      </c>
      <c r="E4987" s="1241">
        <v>75400</v>
      </c>
      <c r="F4987" s="1239"/>
      <c r="G4987" s="1239"/>
      <c r="H4987" s="1239"/>
      <c r="I4987" s="324">
        <f t="shared" si="3439"/>
        <v>75400</v>
      </c>
      <c r="J4987" s="1239"/>
      <c r="K4987" s="1240">
        <v>-75400</v>
      </c>
      <c r="L4987" s="317">
        <f t="shared" si="3424"/>
        <v>0</v>
      </c>
      <c r="M4987" s="317"/>
      <c r="N4987" s="372">
        <f t="shared" si="3426"/>
        <v>75400</v>
      </c>
      <c r="O4987" s="336">
        <f t="shared" si="3451"/>
        <v>0</v>
      </c>
      <c r="P4987" s="319">
        <f t="shared" si="3457"/>
        <v>0</v>
      </c>
      <c r="R4987" s="317"/>
      <c r="U4987" s="320"/>
    </row>
    <row r="4988" spans="1:21" s="344" customFormat="1" outlineLevel="3">
      <c r="A4988" s="345"/>
      <c r="B4988" s="345"/>
      <c r="C4988" s="1236">
        <v>2210504</v>
      </c>
      <c r="D4988" s="1237" t="s">
        <v>33</v>
      </c>
      <c r="E4988" s="1241">
        <v>150000</v>
      </c>
      <c r="F4988" s="1239"/>
      <c r="G4988" s="1239"/>
      <c r="H4988" s="1239"/>
      <c r="I4988" s="324">
        <f t="shared" si="3439"/>
        <v>150000</v>
      </c>
      <c r="J4988" s="1239"/>
      <c r="K4988" s="1240">
        <v>-150000</v>
      </c>
      <c r="L4988" s="317">
        <f t="shared" si="3424"/>
        <v>0</v>
      </c>
      <c r="M4988" s="317"/>
      <c r="N4988" s="372">
        <f t="shared" si="3426"/>
        <v>150000</v>
      </c>
      <c r="O4988" s="336">
        <f t="shared" si="3451"/>
        <v>0</v>
      </c>
      <c r="P4988" s="319">
        <f t="shared" si="3457"/>
        <v>0</v>
      </c>
      <c r="R4988" s="317"/>
      <c r="U4988" s="320"/>
    </row>
    <row r="4989" spans="1:21" s="344" customFormat="1" outlineLevel="3">
      <c r="A4989" s="345"/>
      <c r="B4989" s="345"/>
      <c r="C4989" s="1255">
        <v>2210700</v>
      </c>
      <c r="D4989" s="1256" t="s">
        <v>35</v>
      </c>
      <c r="E4989" s="1257">
        <f>SUM(E4990:E4992)</f>
        <v>408000</v>
      </c>
      <c r="F4989" s="1257">
        <f t="shared" ref="F4989:K4989" si="3458">SUM(F4990:F4992)</f>
        <v>0</v>
      </c>
      <c r="G4989" s="1257">
        <f t="shared" si="3458"/>
        <v>0</v>
      </c>
      <c r="H4989" s="1257">
        <f t="shared" si="3458"/>
        <v>0</v>
      </c>
      <c r="I4989" s="1257">
        <f t="shared" si="3458"/>
        <v>408000</v>
      </c>
      <c r="J4989" s="1257">
        <f t="shared" si="3458"/>
        <v>0</v>
      </c>
      <c r="K4989" s="1257">
        <f t="shared" si="3458"/>
        <v>0</v>
      </c>
      <c r="L4989" s="317">
        <f t="shared" si="3424"/>
        <v>408000</v>
      </c>
      <c r="M4989" s="317"/>
      <c r="N4989" s="372">
        <f t="shared" si="3426"/>
        <v>0</v>
      </c>
      <c r="O4989" s="1257">
        <f t="shared" ref="O4989:P4989" si="3459">SUM(O4990:O4992)</f>
        <v>448800.00000000006</v>
      </c>
      <c r="P4989" s="1257">
        <f t="shared" si="3459"/>
        <v>493680.00000000012</v>
      </c>
      <c r="R4989" s="317"/>
      <c r="U4989" s="320"/>
    </row>
    <row r="4990" spans="1:21" s="344" customFormat="1" outlineLevel="3">
      <c r="A4990" s="345"/>
      <c r="B4990" s="345"/>
      <c r="C4990" s="1236">
        <v>2210701</v>
      </c>
      <c r="D4990" s="1237" t="s">
        <v>190</v>
      </c>
      <c r="E4990" s="1241">
        <v>200000</v>
      </c>
      <c r="F4990" s="1239"/>
      <c r="G4990" s="1239"/>
      <c r="H4990" s="1239"/>
      <c r="I4990" s="324">
        <f t="shared" si="3439"/>
        <v>200000</v>
      </c>
      <c r="J4990" s="1239"/>
      <c r="K4990" s="1240"/>
      <c r="L4990" s="317">
        <f t="shared" si="3424"/>
        <v>200000</v>
      </c>
      <c r="M4990" s="317"/>
      <c r="N4990" s="372">
        <f t="shared" si="3426"/>
        <v>0</v>
      </c>
      <c r="O4990" s="336">
        <f t="shared" si="3451"/>
        <v>220000.00000000003</v>
      </c>
      <c r="P4990" s="319">
        <f t="shared" ref="P4990:P4992" si="3460">O4990*1.1</f>
        <v>242000.00000000006</v>
      </c>
      <c r="R4990" s="317"/>
      <c r="U4990" s="320"/>
    </row>
    <row r="4991" spans="1:21" s="344" customFormat="1" outlineLevel="3">
      <c r="A4991" s="345"/>
      <c r="B4991" s="345"/>
      <c r="C4991" s="1236">
        <v>2210704</v>
      </c>
      <c r="D4991" s="1237" t="s">
        <v>38</v>
      </c>
      <c r="E4991" s="1241">
        <v>58000</v>
      </c>
      <c r="F4991" s="1239"/>
      <c r="G4991" s="1239"/>
      <c r="H4991" s="1239"/>
      <c r="I4991" s="324">
        <f t="shared" si="3439"/>
        <v>58000</v>
      </c>
      <c r="J4991" s="1239"/>
      <c r="K4991" s="1240"/>
      <c r="L4991" s="317">
        <f t="shared" si="3424"/>
        <v>58000</v>
      </c>
      <c r="M4991" s="317"/>
      <c r="N4991" s="372">
        <f t="shared" si="3426"/>
        <v>0</v>
      </c>
      <c r="O4991" s="336">
        <f t="shared" si="3451"/>
        <v>63800.000000000007</v>
      </c>
      <c r="P4991" s="319">
        <f t="shared" si="3460"/>
        <v>70180.000000000015</v>
      </c>
      <c r="R4991" s="317"/>
      <c r="U4991" s="320"/>
    </row>
    <row r="4992" spans="1:21" s="344" customFormat="1" outlineLevel="3">
      <c r="A4992" s="345"/>
      <c r="B4992" s="345"/>
      <c r="C4992" s="1236">
        <v>2210710</v>
      </c>
      <c r="D4992" s="1237" t="s">
        <v>361</v>
      </c>
      <c r="E4992" s="1241">
        <v>150000</v>
      </c>
      <c r="F4992" s="1239"/>
      <c r="G4992" s="1239"/>
      <c r="H4992" s="1239"/>
      <c r="I4992" s="324">
        <f t="shared" si="3439"/>
        <v>150000</v>
      </c>
      <c r="J4992" s="1239"/>
      <c r="K4992" s="1240"/>
      <c r="L4992" s="317">
        <f t="shared" si="3424"/>
        <v>150000</v>
      </c>
      <c r="M4992" s="317"/>
      <c r="N4992" s="372">
        <f t="shared" si="3426"/>
        <v>0</v>
      </c>
      <c r="O4992" s="336">
        <f t="shared" si="3451"/>
        <v>165000</v>
      </c>
      <c r="P4992" s="319">
        <f t="shared" si="3460"/>
        <v>181500.00000000003</v>
      </c>
      <c r="R4992" s="317"/>
      <c r="U4992" s="320"/>
    </row>
    <row r="4993" spans="1:21" s="344" customFormat="1" outlineLevel="3">
      <c r="A4993" s="345"/>
      <c r="B4993" s="345"/>
      <c r="C4993" s="1255">
        <v>2210800</v>
      </c>
      <c r="D4993" s="1256" t="s">
        <v>42</v>
      </c>
      <c r="E4993" s="1257">
        <f>E4994</f>
        <v>145000</v>
      </c>
      <c r="F4993" s="1257">
        <f t="shared" ref="F4993:P4993" si="3461">F4994</f>
        <v>0</v>
      </c>
      <c r="G4993" s="1257">
        <f t="shared" si="3461"/>
        <v>0</v>
      </c>
      <c r="H4993" s="1257">
        <f t="shared" si="3461"/>
        <v>0</v>
      </c>
      <c r="I4993" s="1257">
        <f t="shared" si="3461"/>
        <v>145000</v>
      </c>
      <c r="J4993" s="1257">
        <f t="shared" si="3461"/>
        <v>0</v>
      </c>
      <c r="K4993" s="1257">
        <f t="shared" si="3461"/>
        <v>0</v>
      </c>
      <c r="L4993" s="317">
        <f t="shared" si="3424"/>
        <v>145000</v>
      </c>
      <c r="M4993" s="317"/>
      <c r="N4993" s="372">
        <f t="shared" si="3426"/>
        <v>0</v>
      </c>
      <c r="O4993" s="1257">
        <f t="shared" si="3461"/>
        <v>159500</v>
      </c>
      <c r="P4993" s="1257">
        <f t="shared" si="3461"/>
        <v>175450</v>
      </c>
      <c r="R4993" s="317"/>
      <c r="U4993" s="320"/>
    </row>
    <row r="4994" spans="1:21" s="344" customFormat="1" outlineLevel="3">
      <c r="A4994" s="345"/>
      <c r="B4994" s="345"/>
      <c r="C4994" s="1236">
        <v>2210801</v>
      </c>
      <c r="D4994" s="1237" t="s">
        <v>2421</v>
      </c>
      <c r="E4994" s="1241">
        <v>145000</v>
      </c>
      <c r="F4994" s="1239"/>
      <c r="G4994" s="1239"/>
      <c r="H4994" s="1239"/>
      <c r="I4994" s="324">
        <f t="shared" si="3439"/>
        <v>145000</v>
      </c>
      <c r="J4994" s="1239"/>
      <c r="K4994" s="1240"/>
      <c r="L4994" s="317">
        <f t="shared" si="3424"/>
        <v>145000</v>
      </c>
      <c r="M4994" s="317"/>
      <c r="N4994" s="372">
        <f t="shared" si="3426"/>
        <v>0</v>
      </c>
      <c r="O4994" s="336">
        <f t="shared" si="3451"/>
        <v>159500</v>
      </c>
      <c r="P4994" s="319">
        <f t="shared" si="3452"/>
        <v>175450</v>
      </c>
      <c r="R4994" s="317"/>
      <c r="U4994" s="320"/>
    </row>
    <row r="4995" spans="1:21" s="344" customFormat="1" outlineLevel="3">
      <c r="A4995" s="345"/>
      <c r="B4995" s="345"/>
      <c r="C4995" s="1255">
        <v>2211100</v>
      </c>
      <c r="D4995" s="1256" t="s">
        <v>51</v>
      </c>
      <c r="E4995" s="1257">
        <f>SUM(E4996:E4998)</f>
        <v>747000</v>
      </c>
      <c r="F4995" s="1257">
        <f t="shared" ref="F4995:P4995" si="3462">SUM(F4996:F4998)</f>
        <v>0</v>
      </c>
      <c r="G4995" s="1257">
        <f t="shared" si="3462"/>
        <v>0</v>
      </c>
      <c r="H4995" s="1257">
        <f t="shared" si="3462"/>
        <v>0</v>
      </c>
      <c r="I4995" s="1257">
        <f t="shared" si="3462"/>
        <v>747000</v>
      </c>
      <c r="J4995" s="1257">
        <f t="shared" si="3462"/>
        <v>0</v>
      </c>
      <c r="K4995" s="1257">
        <f t="shared" si="3462"/>
        <v>0</v>
      </c>
      <c r="L4995" s="317">
        <f t="shared" si="3424"/>
        <v>747000</v>
      </c>
      <c r="M4995" s="317"/>
      <c r="N4995" s="372">
        <f t="shared" si="3426"/>
        <v>0</v>
      </c>
      <c r="O4995" s="1257">
        <f t="shared" si="3462"/>
        <v>821700</v>
      </c>
      <c r="P4995" s="1257">
        <f t="shared" si="3462"/>
        <v>903870</v>
      </c>
      <c r="R4995" s="317"/>
      <c r="U4995" s="320"/>
    </row>
    <row r="4996" spans="1:21" s="344" customFormat="1" outlineLevel="3">
      <c r="A4996" s="345"/>
      <c r="B4996" s="345"/>
      <c r="C4996" s="1236">
        <v>2211101</v>
      </c>
      <c r="D4996" s="1237" t="s">
        <v>289</v>
      </c>
      <c r="E4996" s="1241">
        <f>60000+300000-100000</f>
        <v>260000</v>
      </c>
      <c r="F4996" s="1239"/>
      <c r="G4996" s="1239"/>
      <c r="H4996" s="1239"/>
      <c r="I4996" s="324">
        <f t="shared" si="3439"/>
        <v>260000</v>
      </c>
      <c r="J4996" s="1239"/>
      <c r="K4996" s="1240"/>
      <c r="L4996" s="317">
        <f t="shared" si="3424"/>
        <v>260000</v>
      </c>
      <c r="M4996" s="317"/>
      <c r="N4996" s="372">
        <f t="shared" si="3426"/>
        <v>0</v>
      </c>
      <c r="O4996" s="336">
        <f t="shared" si="3451"/>
        <v>286000</v>
      </c>
      <c r="P4996" s="319">
        <f t="shared" si="3452"/>
        <v>314600</v>
      </c>
      <c r="R4996" s="317"/>
      <c r="U4996" s="320"/>
    </row>
    <row r="4997" spans="1:21" s="344" customFormat="1" outlineLevel="3">
      <c r="A4997" s="345"/>
      <c r="B4997" s="345"/>
      <c r="C4997" s="1236">
        <v>2211102</v>
      </c>
      <c r="D4997" s="1237" t="s">
        <v>53</v>
      </c>
      <c r="E4997" s="1241">
        <f>100000+200000-100000</f>
        <v>200000</v>
      </c>
      <c r="F4997" s="1239"/>
      <c r="G4997" s="1239"/>
      <c r="H4997" s="1239"/>
      <c r="I4997" s="324">
        <f t="shared" si="3439"/>
        <v>200000</v>
      </c>
      <c r="J4997" s="1239"/>
      <c r="K4997" s="1240"/>
      <c r="L4997" s="317">
        <f t="shared" ref="L4997:L5030" si="3463">I4997+J4997+K4997</f>
        <v>200000</v>
      </c>
      <c r="M4997" s="317"/>
      <c r="N4997" s="372">
        <f t="shared" si="3426"/>
        <v>0</v>
      </c>
      <c r="O4997" s="336">
        <f t="shared" si="3451"/>
        <v>220000.00000000003</v>
      </c>
      <c r="P4997" s="319">
        <f t="shared" si="3452"/>
        <v>242000.00000000006</v>
      </c>
      <c r="R4997" s="317"/>
      <c r="U4997" s="320"/>
    </row>
    <row r="4998" spans="1:21" s="344" customFormat="1" outlineLevel="3">
      <c r="A4998" s="345"/>
      <c r="B4998" s="345"/>
      <c r="C4998" s="1236">
        <v>2211103</v>
      </c>
      <c r="D4998" s="1237" t="s">
        <v>54</v>
      </c>
      <c r="E4998" s="1241">
        <f>87000+300000-100000</f>
        <v>287000</v>
      </c>
      <c r="F4998" s="1239"/>
      <c r="G4998" s="1239"/>
      <c r="H4998" s="1239"/>
      <c r="I4998" s="324">
        <f t="shared" si="3439"/>
        <v>287000</v>
      </c>
      <c r="J4998" s="1239"/>
      <c r="K4998" s="1240"/>
      <c r="L4998" s="317">
        <f t="shared" si="3463"/>
        <v>287000</v>
      </c>
      <c r="M4998" s="317"/>
      <c r="N4998" s="372">
        <f t="shared" si="3426"/>
        <v>0</v>
      </c>
      <c r="O4998" s="336">
        <f t="shared" si="3451"/>
        <v>315700</v>
      </c>
      <c r="P4998" s="319">
        <f t="shared" si="3452"/>
        <v>347270</v>
      </c>
      <c r="R4998" s="317"/>
      <c r="U4998" s="320"/>
    </row>
    <row r="4999" spans="1:21" s="344" customFormat="1" outlineLevel="3">
      <c r="A4999" s="345"/>
      <c r="B4999" s="345"/>
      <c r="C4999" s="1255">
        <v>2211300</v>
      </c>
      <c r="D4999" s="1256" t="s">
        <v>57</v>
      </c>
      <c r="E4999" s="1257">
        <f>SUM(E5000:E5000)</f>
        <v>232000</v>
      </c>
      <c r="F4999" s="1257">
        <f t="shared" ref="F4999:P4999" si="3464">SUM(F5000:F5000)</f>
        <v>0</v>
      </c>
      <c r="G4999" s="1257">
        <f t="shared" si="3464"/>
        <v>0</v>
      </c>
      <c r="H4999" s="1257">
        <f t="shared" si="3464"/>
        <v>0</v>
      </c>
      <c r="I4999" s="1257">
        <f t="shared" si="3464"/>
        <v>232000</v>
      </c>
      <c r="J4999" s="1257">
        <f t="shared" si="3464"/>
        <v>0</v>
      </c>
      <c r="K4999" s="1257">
        <f t="shared" si="3464"/>
        <v>-232000</v>
      </c>
      <c r="L4999" s="317">
        <f t="shared" si="3463"/>
        <v>0</v>
      </c>
      <c r="M4999" s="317"/>
      <c r="N4999" s="372">
        <f t="shared" si="3426"/>
        <v>232000</v>
      </c>
      <c r="O4999" s="1257">
        <f t="shared" si="3464"/>
        <v>0</v>
      </c>
      <c r="P4999" s="1257">
        <f t="shared" si="3464"/>
        <v>0</v>
      </c>
      <c r="R4999" s="317"/>
      <c r="U4999" s="320"/>
    </row>
    <row r="5000" spans="1:21" s="344" customFormat="1" outlineLevel="3">
      <c r="A5000" s="345"/>
      <c r="B5000" s="345"/>
      <c r="C5000" s="1236">
        <v>2211306</v>
      </c>
      <c r="D5000" s="1237" t="s">
        <v>58</v>
      </c>
      <c r="E5000" s="1241">
        <v>232000</v>
      </c>
      <c r="F5000" s="1239"/>
      <c r="G5000" s="1239"/>
      <c r="H5000" s="1239"/>
      <c r="I5000" s="324">
        <f t="shared" si="3439"/>
        <v>232000</v>
      </c>
      <c r="J5000" s="1239"/>
      <c r="K5000" s="1240">
        <v>-232000</v>
      </c>
      <c r="L5000" s="317">
        <f t="shared" si="3463"/>
        <v>0</v>
      </c>
      <c r="M5000" s="317"/>
      <c r="N5000" s="372">
        <f t="shared" si="3426"/>
        <v>232000</v>
      </c>
      <c r="O5000" s="336">
        <f t="shared" si="3451"/>
        <v>0</v>
      </c>
      <c r="P5000" s="319">
        <f t="shared" si="3452"/>
        <v>0</v>
      </c>
      <c r="R5000" s="317"/>
      <c r="U5000" s="320"/>
    </row>
    <row r="5001" spans="1:21" s="344" customFormat="1" outlineLevel="3">
      <c r="A5001" s="345"/>
      <c r="B5001" s="345"/>
      <c r="C5001" s="1255">
        <v>2211200</v>
      </c>
      <c r="D5001" s="1256" t="s">
        <v>55</v>
      </c>
      <c r="E5001" s="1257">
        <f>E5002</f>
        <v>1200000</v>
      </c>
      <c r="F5001" s="1257">
        <f t="shared" ref="F5001:K5001" si="3465">F5002</f>
        <v>0</v>
      </c>
      <c r="G5001" s="1257">
        <f t="shared" si="3465"/>
        <v>0</v>
      </c>
      <c r="H5001" s="1257">
        <f t="shared" si="3465"/>
        <v>0</v>
      </c>
      <c r="I5001" s="1257">
        <f t="shared" si="3465"/>
        <v>1200000</v>
      </c>
      <c r="J5001" s="1257">
        <f t="shared" si="3465"/>
        <v>0</v>
      </c>
      <c r="K5001" s="1257">
        <f t="shared" si="3465"/>
        <v>0</v>
      </c>
      <c r="L5001" s="317">
        <f t="shared" si="3463"/>
        <v>1200000</v>
      </c>
      <c r="M5001" s="317"/>
      <c r="N5001" s="372">
        <f t="shared" ref="N5001:N5064" si="3466">M5001-K5001</f>
        <v>0</v>
      </c>
      <c r="O5001" s="1257">
        <f t="shared" ref="O5001:P5001" si="3467">O5002</f>
        <v>1320000</v>
      </c>
      <c r="P5001" s="1257">
        <f t="shared" si="3467"/>
        <v>1452000.0000000002</v>
      </c>
      <c r="R5001" s="317"/>
      <c r="U5001" s="320"/>
    </row>
    <row r="5002" spans="1:21" s="344" customFormat="1" outlineLevel="3">
      <c r="A5002" s="345"/>
      <c r="B5002" s="345"/>
      <c r="C5002" s="1236">
        <v>2211201</v>
      </c>
      <c r="D5002" s="1237" t="s">
        <v>56</v>
      </c>
      <c r="E5002" s="1241">
        <f>600000+1000000-400000</f>
        <v>1200000</v>
      </c>
      <c r="F5002" s="1239"/>
      <c r="G5002" s="1239"/>
      <c r="H5002" s="1239"/>
      <c r="I5002" s="324">
        <f t="shared" si="3439"/>
        <v>1200000</v>
      </c>
      <c r="J5002" s="1239"/>
      <c r="K5002" s="1240"/>
      <c r="L5002" s="317">
        <f t="shared" si="3463"/>
        <v>1200000</v>
      </c>
      <c r="M5002" s="317"/>
      <c r="N5002" s="372">
        <f t="shared" si="3466"/>
        <v>0</v>
      </c>
      <c r="O5002" s="336">
        <f t="shared" si="3451"/>
        <v>1320000</v>
      </c>
      <c r="P5002" s="319">
        <f t="shared" si="3452"/>
        <v>1452000.0000000002</v>
      </c>
      <c r="R5002" s="317"/>
      <c r="U5002" s="320"/>
    </row>
    <row r="5003" spans="1:21" s="344" customFormat="1" outlineLevel="3">
      <c r="A5003" s="345"/>
      <c r="B5003" s="345"/>
      <c r="C5003" s="1255">
        <v>2220100</v>
      </c>
      <c r="D5003" s="1256" t="s">
        <v>62</v>
      </c>
      <c r="E5003" s="1257">
        <f>SUM(E5004:E5005)</f>
        <v>748000</v>
      </c>
      <c r="F5003" s="1257">
        <f t="shared" ref="F5003:P5003" si="3468">SUM(F5004:F5005)</f>
        <v>0</v>
      </c>
      <c r="G5003" s="1257">
        <f t="shared" si="3468"/>
        <v>0</v>
      </c>
      <c r="H5003" s="1257">
        <f t="shared" si="3468"/>
        <v>0</v>
      </c>
      <c r="I5003" s="1257">
        <f t="shared" si="3468"/>
        <v>748000</v>
      </c>
      <c r="J5003" s="1257">
        <f t="shared" si="3468"/>
        <v>0</v>
      </c>
      <c r="K5003" s="1257">
        <f t="shared" si="3468"/>
        <v>-545000</v>
      </c>
      <c r="L5003" s="317">
        <f t="shared" si="3463"/>
        <v>203000</v>
      </c>
      <c r="M5003" s="317"/>
      <c r="N5003" s="372">
        <f t="shared" si="3466"/>
        <v>545000</v>
      </c>
      <c r="O5003" s="1257">
        <f t="shared" si="3468"/>
        <v>223300.00000000003</v>
      </c>
      <c r="P5003" s="1257">
        <f t="shared" si="3468"/>
        <v>245630.00000000006</v>
      </c>
      <c r="R5003" s="317"/>
      <c r="U5003" s="320"/>
    </row>
    <row r="5004" spans="1:21" s="344" customFormat="1" outlineLevel="3">
      <c r="A5004" s="345"/>
      <c r="B5004" s="345"/>
      <c r="C5004" s="1236">
        <v>2220101</v>
      </c>
      <c r="D5004" s="1237" t="s">
        <v>366</v>
      </c>
      <c r="E5004" s="1241">
        <f>145000+400000+100000+100000+100000-300000</f>
        <v>545000</v>
      </c>
      <c r="F5004" s="1239"/>
      <c r="G5004" s="1239"/>
      <c r="H5004" s="1239"/>
      <c r="I5004" s="324">
        <f t="shared" si="3439"/>
        <v>545000</v>
      </c>
      <c r="J5004" s="1239"/>
      <c r="K5004" s="1240">
        <v>-545000</v>
      </c>
      <c r="L5004" s="317">
        <f t="shared" si="3463"/>
        <v>0</v>
      </c>
      <c r="M5004" s="317"/>
      <c r="N5004" s="372">
        <f t="shared" si="3466"/>
        <v>545000</v>
      </c>
      <c r="O5004" s="336">
        <f t="shared" si="3451"/>
        <v>0</v>
      </c>
      <c r="P5004" s="319">
        <f t="shared" si="3452"/>
        <v>0</v>
      </c>
      <c r="R5004" s="317"/>
      <c r="U5004" s="320"/>
    </row>
    <row r="5005" spans="1:21" s="325" customFormat="1" outlineLevel="3">
      <c r="A5005" s="345"/>
      <c r="B5005" s="345"/>
      <c r="C5005" s="1236">
        <v>2220105</v>
      </c>
      <c r="D5005" s="1237" t="s">
        <v>200</v>
      </c>
      <c r="E5005" s="1241">
        <v>203000</v>
      </c>
      <c r="F5005" s="1239"/>
      <c r="G5005" s="1239"/>
      <c r="H5005" s="1239"/>
      <c r="I5005" s="324">
        <f t="shared" si="3439"/>
        <v>203000</v>
      </c>
      <c r="J5005" s="1239"/>
      <c r="K5005" s="1240"/>
      <c r="L5005" s="317">
        <f t="shared" si="3463"/>
        <v>203000</v>
      </c>
      <c r="M5005" s="317"/>
      <c r="N5005" s="372">
        <f t="shared" si="3466"/>
        <v>0</v>
      </c>
      <c r="O5005" s="336">
        <f t="shared" si="3451"/>
        <v>223300.00000000003</v>
      </c>
      <c r="P5005" s="319">
        <f t="shared" si="3452"/>
        <v>245630.00000000006</v>
      </c>
      <c r="R5005" s="317"/>
      <c r="U5005" s="320"/>
    </row>
    <row r="5006" spans="1:21" s="344" customFormat="1" outlineLevel="2">
      <c r="A5006" s="313"/>
      <c r="B5006" s="313"/>
      <c r="C5006" s="655" t="s">
        <v>844</v>
      </c>
      <c r="D5006" s="779"/>
      <c r="E5006" s="438">
        <f>E4977+E4981+E4985+E4989+E4993+E4995+E4999+E5001+E5003</f>
        <v>5616109.5200023651</v>
      </c>
      <c r="F5006" s="438">
        <f t="shared" ref="F5006:K5006" si="3469">F4977+F4981+F4985+F4989+F4993+F4995+F4999+F5001+F5003</f>
        <v>0</v>
      </c>
      <c r="G5006" s="438">
        <f t="shared" si="3469"/>
        <v>0</v>
      </c>
      <c r="H5006" s="438">
        <f t="shared" si="3469"/>
        <v>2500000</v>
      </c>
      <c r="I5006" s="438">
        <f t="shared" si="3469"/>
        <v>8116109.5200023651</v>
      </c>
      <c r="J5006" s="438">
        <f t="shared" si="3469"/>
        <v>0</v>
      </c>
      <c r="K5006" s="438">
        <f t="shared" si="3469"/>
        <v>-1260400</v>
      </c>
      <c r="L5006" s="317">
        <f t="shared" si="3463"/>
        <v>6855709.5200023651</v>
      </c>
      <c r="M5006" s="317"/>
      <c r="N5006" s="372">
        <f t="shared" si="3466"/>
        <v>1260400</v>
      </c>
      <c r="O5006" s="438">
        <f t="shared" ref="O5006:P5006" si="3470">O4977+O4981+O4985+O4989+O4993+O4995+O4999+O5001+O5003</f>
        <v>7541280.4720026022</v>
      </c>
      <c r="P5006" s="438">
        <f t="shared" si="3470"/>
        <v>8295408.5192028619</v>
      </c>
      <c r="R5006" s="317"/>
      <c r="U5006" s="320"/>
    </row>
    <row r="5007" spans="1:21" s="344" customFormat="1" outlineLevel="2">
      <c r="A5007" s="345"/>
      <c r="B5007" s="345"/>
      <c r="C5007" s="451"/>
      <c r="D5007" s="527"/>
      <c r="E5007" s="397"/>
      <c r="F5007" s="518"/>
      <c r="G5007" s="518"/>
      <c r="H5007" s="518"/>
      <c r="I5007" s="324">
        <f t="shared" si="3439"/>
        <v>0</v>
      </c>
      <c r="J5007" s="518"/>
      <c r="K5007" s="518"/>
      <c r="L5007" s="317">
        <f t="shared" si="3463"/>
        <v>0</v>
      </c>
      <c r="M5007" s="317"/>
      <c r="N5007" s="372">
        <f t="shared" si="3466"/>
        <v>0</v>
      </c>
      <c r="O5007" s="336">
        <f t="shared" si="3451"/>
        <v>0</v>
      </c>
      <c r="P5007" s="319">
        <f t="shared" ref="P5007:P5028" si="3471">O5007*1.1</f>
        <v>0</v>
      </c>
      <c r="R5007" s="317"/>
      <c r="U5007" s="320"/>
    </row>
    <row r="5008" spans="1:21" s="344" customFormat="1" outlineLevel="2">
      <c r="A5008" s="345"/>
      <c r="B5008" s="345"/>
      <c r="C5008" s="1279" t="s">
        <v>842</v>
      </c>
      <c r="D5008" s="527"/>
      <c r="E5008" s="397"/>
      <c r="F5008" s="518"/>
      <c r="G5008" s="518"/>
      <c r="H5008" s="518"/>
      <c r="I5008" s="324">
        <f t="shared" si="3439"/>
        <v>0</v>
      </c>
      <c r="J5008" s="518"/>
      <c r="K5008" s="518"/>
      <c r="L5008" s="317">
        <f t="shared" si="3463"/>
        <v>0</v>
      </c>
      <c r="M5008" s="317"/>
      <c r="N5008" s="372">
        <f t="shared" si="3466"/>
        <v>0</v>
      </c>
      <c r="O5008" s="336">
        <f t="shared" si="3451"/>
        <v>0</v>
      </c>
      <c r="P5008" s="319">
        <f t="shared" si="3471"/>
        <v>0</v>
      </c>
      <c r="R5008" s="317"/>
      <c r="U5008" s="320"/>
    </row>
    <row r="5009" spans="1:21" s="344" customFormat="1" outlineLevel="3">
      <c r="A5009" s="345"/>
      <c r="B5009" s="345"/>
      <c r="C5009" s="451"/>
      <c r="D5009" s="779" t="s">
        <v>92</v>
      </c>
      <c r="E5009" s="397"/>
      <c r="F5009" s="515"/>
      <c r="G5009" s="515"/>
      <c r="H5009" s="515"/>
      <c r="I5009" s="324">
        <f t="shared" si="3439"/>
        <v>0</v>
      </c>
      <c r="J5009" s="515"/>
      <c r="K5009" s="515"/>
      <c r="L5009" s="317">
        <f t="shared" si="3463"/>
        <v>0</v>
      </c>
      <c r="M5009" s="317"/>
      <c r="N5009" s="372">
        <f t="shared" si="3466"/>
        <v>0</v>
      </c>
      <c r="O5009" s="336">
        <f t="shared" si="3451"/>
        <v>0</v>
      </c>
      <c r="P5009" s="319">
        <f t="shared" si="3471"/>
        <v>0</v>
      </c>
      <c r="R5009" s="317"/>
      <c r="U5009" s="320"/>
    </row>
    <row r="5010" spans="1:21" s="325" customFormat="1" outlineLevel="3">
      <c r="A5010" s="345"/>
      <c r="B5010" s="345"/>
      <c r="C5010" s="1255" t="s">
        <v>845</v>
      </c>
      <c r="D5010" s="497" t="s">
        <v>57</v>
      </c>
      <c r="E5010" s="896">
        <f>E5011</f>
        <v>2812127</v>
      </c>
      <c r="F5010" s="896">
        <f t="shared" ref="F5010:K5010" si="3472">F5011</f>
        <v>0</v>
      </c>
      <c r="G5010" s="896">
        <f t="shared" si="3472"/>
        <v>0</v>
      </c>
      <c r="H5010" s="896">
        <f t="shared" si="3472"/>
        <v>0</v>
      </c>
      <c r="I5010" s="896">
        <f t="shared" si="3472"/>
        <v>2812127</v>
      </c>
      <c r="J5010" s="896">
        <f t="shared" si="3472"/>
        <v>-2812127</v>
      </c>
      <c r="K5010" s="896">
        <f t="shared" si="3472"/>
        <v>0</v>
      </c>
      <c r="L5010" s="317">
        <f t="shared" si="3463"/>
        <v>0</v>
      </c>
      <c r="M5010" s="317"/>
      <c r="N5010" s="372">
        <f t="shared" si="3466"/>
        <v>0</v>
      </c>
      <c r="O5010" s="896">
        <f t="shared" ref="O5010:P5010" si="3473">O5011</f>
        <v>0</v>
      </c>
      <c r="P5010" s="896">
        <f t="shared" si="3473"/>
        <v>0</v>
      </c>
      <c r="R5010" s="317"/>
      <c r="U5010" s="320"/>
    </row>
    <row r="5011" spans="1:21" s="1282" customFormat="1" outlineLevel="3">
      <c r="A5011" s="1283"/>
      <c r="B5011" s="1283"/>
      <c r="C5011" s="1284" t="s">
        <v>846</v>
      </c>
      <c r="D5011" s="1283" t="s">
        <v>1402</v>
      </c>
      <c r="E5011" s="1285">
        <v>2812127</v>
      </c>
      <c r="F5011" s="1286"/>
      <c r="G5011" s="1286"/>
      <c r="H5011" s="1286"/>
      <c r="I5011" s="1287">
        <f t="shared" si="3439"/>
        <v>2812127</v>
      </c>
      <c r="J5011" s="1286">
        <v>-2812127</v>
      </c>
      <c r="K5011" s="1286"/>
      <c r="L5011" s="317">
        <f t="shared" si="3463"/>
        <v>0</v>
      </c>
      <c r="M5011" s="317"/>
      <c r="N5011" s="372">
        <f t="shared" si="3466"/>
        <v>0</v>
      </c>
      <c r="O5011" s="1288">
        <f t="shared" si="3451"/>
        <v>0</v>
      </c>
      <c r="P5011" s="1289">
        <f t="shared" si="3471"/>
        <v>0</v>
      </c>
      <c r="R5011" s="317"/>
      <c r="U5011" s="320" t="s">
        <v>1803</v>
      </c>
    </row>
    <row r="5012" spans="1:21" s="1290" customFormat="1" outlineLevel="3">
      <c r="A5012" s="1291"/>
      <c r="B5012" s="1291"/>
      <c r="C5012" s="1292">
        <v>2640500</v>
      </c>
      <c r="D5012" s="1291" t="s">
        <v>2573</v>
      </c>
      <c r="E5012" s="1293">
        <f>E5013</f>
        <v>0</v>
      </c>
      <c r="F5012" s="1293">
        <f t="shared" ref="F5012:P5012" si="3474">F5013</f>
        <v>0</v>
      </c>
      <c r="G5012" s="1293">
        <f t="shared" si="3474"/>
        <v>0</v>
      </c>
      <c r="H5012" s="1293">
        <f t="shared" si="3474"/>
        <v>0</v>
      </c>
      <c r="I5012" s="1293">
        <f t="shared" si="3474"/>
        <v>0</v>
      </c>
      <c r="J5012" s="1293">
        <f t="shared" si="3474"/>
        <v>41801769</v>
      </c>
      <c r="K5012" s="1293">
        <f t="shared" si="3474"/>
        <v>0</v>
      </c>
      <c r="L5012" s="317">
        <f t="shared" si="3463"/>
        <v>41801769</v>
      </c>
      <c r="M5012" s="317"/>
      <c r="N5012" s="372">
        <f t="shared" si="3466"/>
        <v>0</v>
      </c>
      <c r="O5012" s="1293">
        <f t="shared" si="3474"/>
        <v>0</v>
      </c>
      <c r="P5012" s="1293">
        <f t="shared" si="3474"/>
        <v>0</v>
      </c>
      <c r="R5012" s="317"/>
      <c r="U5012" s="320"/>
    </row>
    <row r="5013" spans="1:21" s="1282" customFormat="1" outlineLevel="3">
      <c r="A5013" s="1283"/>
      <c r="B5013" s="1283"/>
      <c r="C5013" s="1284">
        <v>2640599</v>
      </c>
      <c r="D5013" s="1283" t="s">
        <v>2574</v>
      </c>
      <c r="E5013" s="1285"/>
      <c r="F5013" s="1286"/>
      <c r="G5013" s="1286"/>
      <c r="H5013" s="1286"/>
      <c r="I5013" s="1287">
        <f t="shared" si="3439"/>
        <v>0</v>
      </c>
      <c r="J5013" s="1294">
        <v>41801769</v>
      </c>
      <c r="K5013" s="1286"/>
      <c r="L5013" s="317">
        <f t="shared" si="3463"/>
        <v>41801769</v>
      </c>
      <c r="M5013" s="317"/>
      <c r="N5013" s="372">
        <f t="shared" si="3466"/>
        <v>0</v>
      </c>
      <c r="O5013" s="1288"/>
      <c r="P5013" s="1289"/>
      <c r="R5013" s="317"/>
      <c r="U5013" s="320" t="s">
        <v>1803</v>
      </c>
    </row>
    <row r="5014" spans="1:21" s="1282" customFormat="1" outlineLevel="3">
      <c r="A5014" s="1291"/>
      <c r="B5014" s="1291"/>
      <c r="C5014" s="1295">
        <v>3111400</v>
      </c>
      <c r="D5014" s="1296" t="s">
        <v>300</v>
      </c>
      <c r="E5014" s="1297">
        <f>E5015+E5016</f>
        <v>8000000</v>
      </c>
      <c r="F5014" s="1297">
        <f t="shared" ref="F5014:P5014" si="3475">F5015+F5016</f>
        <v>249939</v>
      </c>
      <c r="G5014" s="1297">
        <f t="shared" si="3475"/>
        <v>0</v>
      </c>
      <c r="H5014" s="1297">
        <f t="shared" si="3475"/>
        <v>0</v>
      </c>
      <c r="I5014" s="1297">
        <f t="shared" si="3475"/>
        <v>8249939</v>
      </c>
      <c r="J5014" s="1297">
        <f t="shared" si="3475"/>
        <v>-7000000</v>
      </c>
      <c r="K5014" s="1297">
        <f t="shared" si="3475"/>
        <v>0</v>
      </c>
      <c r="L5014" s="317">
        <f t="shared" si="3463"/>
        <v>1249939</v>
      </c>
      <c r="M5014" s="317"/>
      <c r="N5014" s="372">
        <f t="shared" si="3466"/>
        <v>0</v>
      </c>
      <c r="O5014" s="1297">
        <f t="shared" si="3475"/>
        <v>1374932.9</v>
      </c>
      <c r="P5014" s="1297">
        <f t="shared" si="3475"/>
        <v>1210000</v>
      </c>
      <c r="R5014" s="317"/>
      <c r="U5014" s="320"/>
    </row>
    <row r="5015" spans="1:21" s="1282" customFormat="1" outlineLevel="3">
      <c r="A5015" s="1283"/>
      <c r="B5015" s="1283"/>
      <c r="C5015" s="1298">
        <v>3111401</v>
      </c>
      <c r="D5015" s="1283" t="s">
        <v>1403</v>
      </c>
      <c r="E5015" s="1285">
        <v>8000000</v>
      </c>
      <c r="F5015" s="1286"/>
      <c r="G5015" s="1286"/>
      <c r="H5015" s="1286"/>
      <c r="I5015" s="1287">
        <f t="shared" si="3439"/>
        <v>8000000</v>
      </c>
      <c r="J5015" s="1286">
        <v>-7000000</v>
      </c>
      <c r="K5015" s="1286"/>
      <c r="L5015" s="317">
        <f t="shared" si="3463"/>
        <v>1000000</v>
      </c>
      <c r="M5015" s="317"/>
      <c r="N5015" s="372">
        <f t="shared" si="3466"/>
        <v>0</v>
      </c>
      <c r="O5015" s="1288">
        <f t="shared" si="3451"/>
        <v>1100000</v>
      </c>
      <c r="P5015" s="1289">
        <f t="shared" si="3471"/>
        <v>1210000</v>
      </c>
      <c r="R5015" s="317"/>
      <c r="U5015" s="320" t="s">
        <v>1803</v>
      </c>
    </row>
    <row r="5016" spans="1:21" s="1282" customFormat="1" outlineLevel="3">
      <c r="A5016" s="1283"/>
      <c r="B5016" s="1283"/>
      <c r="C5016" s="1298">
        <v>3111402</v>
      </c>
      <c r="D5016" s="1283" t="s">
        <v>2099</v>
      </c>
      <c r="E5016" s="1285"/>
      <c r="F5016" s="1286">
        <v>249939</v>
      </c>
      <c r="G5016" s="1286"/>
      <c r="H5016" s="1286"/>
      <c r="I5016" s="1287">
        <f t="shared" si="3439"/>
        <v>249939</v>
      </c>
      <c r="J5016" s="1286"/>
      <c r="K5016" s="1286"/>
      <c r="L5016" s="317">
        <f t="shared" si="3463"/>
        <v>249939</v>
      </c>
      <c r="M5016" s="317"/>
      <c r="N5016" s="372">
        <f t="shared" si="3466"/>
        <v>0</v>
      </c>
      <c r="O5016" s="1288">
        <f t="shared" si="3451"/>
        <v>274932.90000000002</v>
      </c>
      <c r="P5016" s="1289"/>
      <c r="R5016" s="317"/>
      <c r="U5016" s="320"/>
    </row>
    <row r="5017" spans="1:21" s="1290" customFormat="1" outlineLevel="3">
      <c r="A5017" s="1291"/>
      <c r="B5017" s="1291"/>
      <c r="C5017" s="1295">
        <v>3110200</v>
      </c>
      <c r="D5017" s="1291" t="s">
        <v>282</v>
      </c>
      <c r="E5017" s="1293">
        <f>E5018</f>
        <v>15000000</v>
      </c>
      <c r="F5017" s="1293">
        <f t="shared" ref="F5017:P5017" si="3476">F5018</f>
        <v>0</v>
      </c>
      <c r="G5017" s="1293">
        <f t="shared" si="3476"/>
        <v>0</v>
      </c>
      <c r="H5017" s="1293">
        <f t="shared" si="3476"/>
        <v>0</v>
      </c>
      <c r="I5017" s="1293">
        <f t="shared" si="3476"/>
        <v>15000000</v>
      </c>
      <c r="J5017" s="1293">
        <f t="shared" si="3476"/>
        <v>0</v>
      </c>
      <c r="K5017" s="1293">
        <f t="shared" si="3476"/>
        <v>0</v>
      </c>
      <c r="L5017" s="317">
        <f t="shared" si="3463"/>
        <v>15000000</v>
      </c>
      <c r="M5017" s="317"/>
      <c r="N5017" s="372">
        <f t="shared" si="3466"/>
        <v>0</v>
      </c>
      <c r="O5017" s="1293">
        <f t="shared" si="3476"/>
        <v>16500000.000000002</v>
      </c>
      <c r="P5017" s="1293">
        <f t="shared" si="3476"/>
        <v>18150000.000000004</v>
      </c>
      <c r="R5017" s="317"/>
      <c r="U5017" s="320"/>
    </row>
    <row r="5018" spans="1:21" s="1282" customFormat="1" outlineLevel="3">
      <c r="A5018" s="1283"/>
      <c r="B5018" s="1283"/>
      <c r="C5018" s="1298">
        <v>3110202</v>
      </c>
      <c r="D5018" s="1283" t="s">
        <v>1820</v>
      </c>
      <c r="E5018" s="1285">
        <v>15000000</v>
      </c>
      <c r="F5018" s="1286"/>
      <c r="G5018" s="1286"/>
      <c r="H5018" s="1286"/>
      <c r="I5018" s="1287">
        <f t="shared" si="3439"/>
        <v>15000000</v>
      </c>
      <c r="J5018" s="1294"/>
      <c r="K5018" s="1286"/>
      <c r="L5018" s="317">
        <f t="shared" si="3463"/>
        <v>15000000</v>
      </c>
      <c r="M5018" s="317"/>
      <c r="N5018" s="372">
        <f t="shared" si="3466"/>
        <v>0</v>
      </c>
      <c r="O5018" s="1288">
        <f t="shared" si="3451"/>
        <v>16500000.000000002</v>
      </c>
      <c r="P5018" s="1289">
        <f t="shared" si="3471"/>
        <v>18150000.000000004</v>
      </c>
      <c r="R5018" s="317"/>
      <c r="U5018" s="320"/>
    </row>
    <row r="5019" spans="1:21" s="344" customFormat="1" outlineLevel="3">
      <c r="A5019" s="345"/>
      <c r="B5019" s="345"/>
      <c r="C5019" s="1255">
        <v>3110500</v>
      </c>
      <c r="D5019" s="1256" t="s">
        <v>260</v>
      </c>
      <c r="E5019" s="896">
        <f>SUM(E5020:E5028)</f>
        <v>227500000</v>
      </c>
      <c r="F5019" s="896">
        <f t="shared" ref="F5019:P5019" si="3477">SUM(F5020:F5028)</f>
        <v>6057245.8993930817</v>
      </c>
      <c r="G5019" s="896">
        <f t="shared" si="3477"/>
        <v>-45000000</v>
      </c>
      <c r="H5019" s="896">
        <f t="shared" si="3477"/>
        <v>-42684918</v>
      </c>
      <c r="I5019" s="896">
        <f t="shared" si="3477"/>
        <v>145872327.89939308</v>
      </c>
      <c r="J5019" s="896">
        <f t="shared" si="3477"/>
        <v>0</v>
      </c>
      <c r="K5019" s="896">
        <f t="shared" si="3477"/>
        <v>0</v>
      </c>
      <c r="L5019" s="317">
        <f t="shared" si="3463"/>
        <v>145872327.89939308</v>
      </c>
      <c r="M5019" s="317"/>
      <c r="N5019" s="372">
        <f t="shared" si="3466"/>
        <v>0</v>
      </c>
      <c r="O5019" s="896">
        <f t="shared" si="3477"/>
        <v>160459560.68933237</v>
      </c>
      <c r="P5019" s="896">
        <f t="shared" si="3477"/>
        <v>176505516.75826564</v>
      </c>
      <c r="R5019" s="317"/>
      <c r="U5019" s="320"/>
    </row>
    <row r="5020" spans="1:21" s="344" customFormat="1" outlineLevel="3">
      <c r="A5020" s="345"/>
      <c r="B5020" s="345"/>
      <c r="C5020" s="1236">
        <v>3110501</v>
      </c>
      <c r="D5020" s="345" t="s">
        <v>1404</v>
      </c>
      <c r="E5020" s="851">
        <v>5000000</v>
      </c>
      <c r="F5020" s="406"/>
      <c r="G5020" s="406"/>
      <c r="H5020" s="406"/>
      <c r="I5020" s="324">
        <f t="shared" si="3439"/>
        <v>5000000</v>
      </c>
      <c r="J5020" s="406"/>
      <c r="K5020" s="406"/>
      <c r="L5020" s="317">
        <f t="shared" si="3463"/>
        <v>5000000</v>
      </c>
      <c r="M5020" s="317"/>
      <c r="N5020" s="372">
        <f t="shared" si="3466"/>
        <v>0</v>
      </c>
      <c r="O5020" s="336">
        <f t="shared" si="3451"/>
        <v>5500000</v>
      </c>
      <c r="P5020" s="319">
        <f t="shared" si="3471"/>
        <v>6050000.0000000009</v>
      </c>
      <c r="R5020" s="317"/>
      <c r="U5020" s="320"/>
    </row>
    <row r="5021" spans="1:21" s="344" customFormat="1" outlineLevel="3">
      <c r="A5021" s="345"/>
      <c r="B5021" s="345"/>
      <c r="C5021" s="1236">
        <v>3110502</v>
      </c>
      <c r="D5021" s="345" t="s">
        <v>1405</v>
      </c>
      <c r="E5021" s="851">
        <v>5000000</v>
      </c>
      <c r="F5021" s="406"/>
      <c r="G5021" s="406"/>
      <c r="H5021" s="406"/>
      <c r="I5021" s="324">
        <f t="shared" ref="I5021:I5041" si="3478">E5021+F5021+G5021+H5021</f>
        <v>5000000</v>
      </c>
      <c r="J5021" s="406"/>
      <c r="K5021" s="406"/>
      <c r="L5021" s="317">
        <f t="shared" si="3463"/>
        <v>5000000</v>
      </c>
      <c r="M5021" s="317"/>
      <c r="N5021" s="372">
        <f t="shared" si="3466"/>
        <v>0</v>
      </c>
      <c r="O5021" s="336">
        <f t="shared" si="3451"/>
        <v>5500000</v>
      </c>
      <c r="P5021" s="319">
        <f t="shared" ref="P5021" si="3479">O5021*1.1</f>
        <v>6050000.0000000009</v>
      </c>
      <c r="R5021" s="317"/>
      <c r="U5021" s="320"/>
    </row>
    <row r="5022" spans="1:21" s="344" customFormat="1" outlineLevel="3">
      <c r="A5022" s="483"/>
      <c r="B5022" s="483"/>
      <c r="C5022" s="1299">
        <v>3110505</v>
      </c>
      <c r="D5022" s="483" t="s">
        <v>1406</v>
      </c>
      <c r="E5022" s="866">
        <f>33000000+12000000</f>
        <v>45000000</v>
      </c>
      <c r="F5022" s="1046">
        <f>3516412+269500.899393082</f>
        <v>3785912.8993930821</v>
      </c>
      <c r="G5022" s="1046"/>
      <c r="H5022" s="1046"/>
      <c r="I5022" s="324">
        <f t="shared" si="3478"/>
        <v>48785912.899393082</v>
      </c>
      <c r="J5022" s="1046"/>
      <c r="K5022" s="1046"/>
      <c r="L5022" s="317">
        <f t="shared" si="3463"/>
        <v>48785912.899393082</v>
      </c>
      <c r="M5022" s="317"/>
      <c r="N5022" s="372">
        <f t="shared" si="3466"/>
        <v>0</v>
      </c>
      <c r="O5022" s="336">
        <f t="shared" si="3451"/>
        <v>53664504.189332396</v>
      </c>
      <c r="P5022" s="319">
        <f t="shared" si="3471"/>
        <v>59030954.608265638</v>
      </c>
      <c r="R5022" s="317"/>
      <c r="U5022" s="320"/>
    </row>
    <row r="5023" spans="1:21" s="344" customFormat="1" outlineLevel="3">
      <c r="A5023" s="345"/>
      <c r="B5023" s="345"/>
      <c r="C5023" s="1236">
        <v>3110506</v>
      </c>
      <c r="D5023" s="345" t="s">
        <v>1407</v>
      </c>
      <c r="E5023" s="851">
        <f>100000000+10000000</f>
        <v>110000000</v>
      </c>
      <c r="F5023" s="406"/>
      <c r="G5023" s="1241">
        <v>-45000000</v>
      </c>
      <c r="H5023" s="406">
        <f>-65000000+34472778-10000000</f>
        <v>-40527222</v>
      </c>
      <c r="I5023" s="324">
        <f t="shared" si="3478"/>
        <v>24472778</v>
      </c>
      <c r="J5023" s="406"/>
      <c r="K5023" s="406"/>
      <c r="L5023" s="317">
        <f t="shared" si="3463"/>
        <v>24472778</v>
      </c>
      <c r="M5023" s="317"/>
      <c r="N5023" s="372">
        <f t="shared" si="3466"/>
        <v>0</v>
      </c>
      <c r="O5023" s="336">
        <f t="shared" si="3451"/>
        <v>26920055.800000001</v>
      </c>
      <c r="P5023" s="319">
        <f t="shared" ref="P5023:P5025" si="3480">O5023*1.1</f>
        <v>29612061.380000003</v>
      </c>
      <c r="R5023" s="317"/>
      <c r="U5023" s="320"/>
    </row>
    <row r="5024" spans="1:21" s="344" customFormat="1" outlineLevel="3">
      <c r="A5024" s="506"/>
      <c r="B5024" s="506"/>
      <c r="C5024" s="1274">
        <v>3110507</v>
      </c>
      <c r="D5024" s="506" t="s">
        <v>1408</v>
      </c>
      <c r="E5024" s="876">
        <f>10000000-2000000</f>
        <v>8000000</v>
      </c>
      <c r="F5024" s="496"/>
      <c r="G5024" s="496"/>
      <c r="H5024" s="496"/>
      <c r="I5024" s="324">
        <f t="shared" si="3478"/>
        <v>8000000</v>
      </c>
      <c r="J5024" s="496"/>
      <c r="K5024" s="496"/>
      <c r="L5024" s="317">
        <f t="shared" si="3463"/>
        <v>8000000</v>
      </c>
      <c r="M5024" s="317"/>
      <c r="N5024" s="372">
        <f t="shared" si="3466"/>
        <v>0</v>
      </c>
      <c r="O5024" s="336">
        <f t="shared" si="3451"/>
        <v>8800000</v>
      </c>
      <c r="P5024" s="319">
        <f t="shared" si="3480"/>
        <v>9680000</v>
      </c>
      <c r="R5024" s="317"/>
      <c r="U5024" s="320"/>
    </row>
    <row r="5025" spans="1:103" s="344" customFormat="1" outlineLevel="3">
      <c r="A5025" s="345"/>
      <c r="B5025" s="345"/>
      <c r="C5025" s="1236">
        <v>3110508</v>
      </c>
      <c r="D5025" s="345" t="s">
        <v>1409</v>
      </c>
      <c r="E5025" s="851">
        <f>5000000-1000000</f>
        <v>4000000</v>
      </c>
      <c r="F5025" s="406"/>
      <c r="G5025" s="406"/>
      <c r="H5025" s="406"/>
      <c r="I5025" s="324">
        <f t="shared" si="3478"/>
        <v>4000000</v>
      </c>
      <c r="J5025" s="406"/>
      <c r="K5025" s="406"/>
      <c r="L5025" s="317">
        <f t="shared" si="3463"/>
        <v>4000000</v>
      </c>
      <c r="M5025" s="317"/>
      <c r="N5025" s="372">
        <f t="shared" si="3466"/>
        <v>0</v>
      </c>
      <c r="O5025" s="336">
        <f t="shared" si="3451"/>
        <v>4400000</v>
      </c>
      <c r="P5025" s="319">
        <f t="shared" si="3480"/>
        <v>4840000</v>
      </c>
      <c r="R5025" s="317"/>
      <c r="U5025" s="320"/>
    </row>
    <row r="5026" spans="1:103" s="344" customFormat="1" outlineLevel="3">
      <c r="A5026" s="345"/>
      <c r="B5026" s="345"/>
      <c r="C5026" s="1236">
        <v>3110509</v>
      </c>
      <c r="D5026" s="345" t="s">
        <v>1410</v>
      </c>
      <c r="E5026" s="851">
        <v>4000000</v>
      </c>
      <c r="F5026" s="406"/>
      <c r="G5026" s="406"/>
      <c r="H5026" s="406"/>
      <c r="I5026" s="324">
        <f t="shared" si="3478"/>
        <v>4000000</v>
      </c>
      <c r="J5026" s="406"/>
      <c r="K5026" s="406"/>
      <c r="L5026" s="317">
        <f t="shared" si="3463"/>
        <v>4000000</v>
      </c>
      <c r="M5026" s="317"/>
      <c r="N5026" s="372">
        <f t="shared" si="3466"/>
        <v>0</v>
      </c>
      <c r="O5026" s="336">
        <f t="shared" si="3451"/>
        <v>4400000</v>
      </c>
      <c r="P5026" s="319">
        <f t="shared" si="3471"/>
        <v>4840000</v>
      </c>
      <c r="R5026" s="317"/>
      <c r="U5026" s="320"/>
      <c r="CY5026" s="1300"/>
    </row>
    <row r="5027" spans="1:103" s="344" customFormat="1" outlineLevel="3">
      <c r="A5027" s="345"/>
      <c r="B5027" s="345"/>
      <c r="C5027" s="1236">
        <v>3110504</v>
      </c>
      <c r="D5027" s="345" t="s">
        <v>1411</v>
      </c>
      <c r="E5027" s="851">
        <v>35000000</v>
      </c>
      <c r="F5027" s="406"/>
      <c r="G5027" s="406"/>
      <c r="H5027" s="406"/>
      <c r="I5027" s="324">
        <f t="shared" si="3478"/>
        <v>35000000</v>
      </c>
      <c r="J5027" s="406"/>
      <c r="K5027" s="406"/>
      <c r="L5027" s="317">
        <f t="shared" si="3463"/>
        <v>35000000</v>
      </c>
      <c r="M5027" s="317"/>
      <c r="N5027" s="372">
        <f t="shared" si="3466"/>
        <v>0</v>
      </c>
      <c r="O5027" s="336">
        <f t="shared" si="3451"/>
        <v>38500000</v>
      </c>
      <c r="P5027" s="319">
        <f t="shared" si="3471"/>
        <v>42350000</v>
      </c>
      <c r="R5027" s="317"/>
      <c r="U5027" s="320"/>
    </row>
    <row r="5028" spans="1:103" s="344" customFormat="1" outlineLevel="3">
      <c r="A5028" s="345"/>
      <c r="B5028" s="345"/>
      <c r="C5028" s="1236">
        <v>3110699</v>
      </c>
      <c r="D5028" s="345" t="s">
        <v>1412</v>
      </c>
      <c r="E5028" s="851">
        <v>11500000</v>
      </c>
      <c r="F5028" s="406">
        <v>2271333</v>
      </c>
      <c r="G5028" s="406"/>
      <c r="H5028" s="406">
        <v>-2157696</v>
      </c>
      <c r="I5028" s="324">
        <f t="shared" si="3478"/>
        <v>11613637</v>
      </c>
      <c r="J5028" s="406"/>
      <c r="K5028" s="406"/>
      <c r="L5028" s="317">
        <f t="shared" si="3463"/>
        <v>11613637</v>
      </c>
      <c r="M5028" s="317"/>
      <c r="N5028" s="372">
        <f t="shared" si="3466"/>
        <v>0</v>
      </c>
      <c r="O5028" s="336">
        <f t="shared" si="3451"/>
        <v>12775000.700000001</v>
      </c>
      <c r="P5028" s="319">
        <f t="shared" si="3471"/>
        <v>14052500.770000003</v>
      </c>
      <c r="R5028" s="317"/>
      <c r="U5028" s="320"/>
    </row>
    <row r="5029" spans="1:103" s="344" customFormat="1" outlineLevel="2">
      <c r="A5029" s="345"/>
      <c r="B5029" s="345"/>
      <c r="C5029" s="1249"/>
      <c r="D5029" s="1249" t="s">
        <v>175</v>
      </c>
      <c r="E5029" s="1228">
        <f>E5010+E5019+E5014+E5017+E5012</f>
        <v>253312127</v>
      </c>
      <c r="F5029" s="1228">
        <f t="shared" ref="F5029:P5029" si="3481">F5010+F5019+F5014+F5017+F5012</f>
        <v>6307184.8993930817</v>
      </c>
      <c r="G5029" s="1228">
        <f t="shared" si="3481"/>
        <v>-45000000</v>
      </c>
      <c r="H5029" s="1228">
        <f t="shared" si="3481"/>
        <v>-42684918</v>
      </c>
      <c r="I5029" s="1228">
        <f t="shared" si="3481"/>
        <v>171934393.89939308</v>
      </c>
      <c r="J5029" s="1228">
        <f t="shared" si="3481"/>
        <v>31989642</v>
      </c>
      <c r="K5029" s="1228">
        <f t="shared" si="3481"/>
        <v>0</v>
      </c>
      <c r="L5029" s="317">
        <f t="shared" si="3463"/>
        <v>203924035.89939308</v>
      </c>
      <c r="M5029" s="317"/>
      <c r="N5029" s="372">
        <f t="shared" si="3466"/>
        <v>0</v>
      </c>
      <c r="O5029" s="1228">
        <f t="shared" si="3481"/>
        <v>178334493.58933237</v>
      </c>
      <c r="P5029" s="1228">
        <f t="shared" si="3481"/>
        <v>195865516.75826564</v>
      </c>
      <c r="R5029" s="317"/>
      <c r="U5029" s="320"/>
    </row>
    <row r="5030" spans="1:103" s="344" customFormat="1" outlineLevel="1">
      <c r="A5030" s="345"/>
      <c r="B5030" s="345"/>
      <c r="C5030" s="1234"/>
      <c r="D5030" s="1249" t="s">
        <v>84</v>
      </c>
      <c r="E5030" s="1228">
        <f>E5029+E5006</f>
        <v>258928236.52000237</v>
      </c>
      <c r="F5030" s="1228">
        <f t="shared" ref="F5030:K5030" si="3482">F5029+F5006</f>
        <v>6307184.8993930817</v>
      </c>
      <c r="G5030" s="1228">
        <f t="shared" si="3482"/>
        <v>-45000000</v>
      </c>
      <c r="H5030" s="1228">
        <f t="shared" si="3482"/>
        <v>-40184918</v>
      </c>
      <c r="I5030" s="1228">
        <f t="shared" si="3482"/>
        <v>180050503.41939545</v>
      </c>
      <c r="J5030" s="1228">
        <f t="shared" si="3482"/>
        <v>31989642</v>
      </c>
      <c r="K5030" s="1228">
        <f t="shared" si="3482"/>
        <v>-1260400</v>
      </c>
      <c r="L5030" s="317">
        <f t="shared" si="3463"/>
        <v>210779745.41939545</v>
      </c>
      <c r="M5030" s="317"/>
      <c r="N5030" s="372">
        <f t="shared" si="3466"/>
        <v>1260400</v>
      </c>
      <c r="O5030" s="1228">
        <f t="shared" ref="O5030:P5030" si="3483">O5029+O5006</f>
        <v>185875774.06133497</v>
      </c>
      <c r="P5030" s="1228">
        <f t="shared" si="3483"/>
        <v>204160925.2774685</v>
      </c>
      <c r="R5030" s="317"/>
      <c r="U5030" s="320"/>
    </row>
    <row r="5031" spans="1:103" s="344" customFormat="1">
      <c r="A5031" s="345"/>
      <c r="B5031" s="345"/>
      <c r="C5031" s="439"/>
      <c r="D5031" s="439" t="s">
        <v>313</v>
      </c>
      <c r="E5031" s="1228">
        <f t="shared" ref="E5031" si="3484">E4919+E4882+E4964+E4806+E4832+E5006</f>
        <v>87575633.500002369</v>
      </c>
      <c r="F5031" s="1228">
        <f t="shared" ref="F5031:P5031" si="3485">F4919+F4882+F4964+F4806+F4832+F5006</f>
        <v>12858430</v>
      </c>
      <c r="G5031" s="1228">
        <f t="shared" si="3485"/>
        <v>0</v>
      </c>
      <c r="H5031" s="1228">
        <f t="shared" si="3485"/>
        <v>1800000</v>
      </c>
      <c r="I5031" s="1228">
        <f t="shared" si="3485"/>
        <v>102234063.50000237</v>
      </c>
      <c r="J5031" s="1228">
        <f t="shared" si="3485"/>
        <v>0</v>
      </c>
      <c r="K5031" s="1228">
        <f t="shared" si="3485"/>
        <v>0</v>
      </c>
      <c r="L5031" s="1228">
        <f t="shared" si="3485"/>
        <v>102234063.50000237</v>
      </c>
      <c r="M5031" s="1228"/>
      <c r="N5031" s="372">
        <f t="shared" si="3466"/>
        <v>0</v>
      </c>
      <c r="O5031" s="1228">
        <f t="shared" si="3485"/>
        <v>112457469.85000262</v>
      </c>
      <c r="P5031" s="1228">
        <f t="shared" si="3485"/>
        <v>123703216.83500287</v>
      </c>
      <c r="R5031" s="1228"/>
      <c r="U5031" s="1301"/>
    </row>
    <row r="5032" spans="1:103">
      <c r="A5032" s="345"/>
      <c r="B5032" s="345"/>
      <c r="C5032" s="439"/>
      <c r="D5032" s="439" t="s">
        <v>175</v>
      </c>
      <c r="E5032" s="1228">
        <f t="shared" ref="E5032" si="3486">E5029+E4971+E4930+E4842</f>
        <v>273943725</v>
      </c>
      <c r="F5032" s="1228">
        <f t="shared" ref="F5032:P5032" si="3487">F5029+F4971+F4930+F4842</f>
        <v>31158650.899393082</v>
      </c>
      <c r="G5032" s="1228">
        <f t="shared" si="3487"/>
        <v>-30000000</v>
      </c>
      <c r="H5032" s="1228">
        <f t="shared" si="3487"/>
        <v>-39827222</v>
      </c>
      <c r="I5032" s="1228">
        <f t="shared" si="3487"/>
        <v>235275153.89939308</v>
      </c>
      <c r="J5032" s="1228">
        <f t="shared" si="3487"/>
        <v>30350770</v>
      </c>
      <c r="K5032" s="1228">
        <f t="shared" si="3487"/>
        <v>0</v>
      </c>
      <c r="L5032" s="1228">
        <f t="shared" si="3487"/>
        <v>265625923.89939308</v>
      </c>
      <c r="M5032" s="1228"/>
      <c r="N5032" s="372">
        <f t="shared" si="3466"/>
        <v>0</v>
      </c>
      <c r="O5032" s="1228">
        <f t="shared" si="3487"/>
        <v>246206570.38933235</v>
      </c>
      <c r="P5032" s="1228">
        <f t="shared" si="3487"/>
        <v>252374801.23826563</v>
      </c>
      <c r="R5032" s="1228"/>
      <c r="U5032" s="1301"/>
    </row>
    <row r="5033" spans="1:103">
      <c r="A5033" s="345"/>
      <c r="B5033" s="345"/>
      <c r="C5033" s="1224" t="s">
        <v>1276</v>
      </c>
      <c r="D5033" s="1225"/>
      <c r="E5033" s="1228">
        <f>E5031+E5032</f>
        <v>361519358.50000238</v>
      </c>
      <c r="F5033" s="1228">
        <f t="shared" ref="F5033:P5033" si="3488">F5031+F5032</f>
        <v>44017080.899393082</v>
      </c>
      <c r="G5033" s="1228">
        <f t="shared" si="3488"/>
        <v>-30000000</v>
      </c>
      <c r="H5033" s="1228">
        <f t="shared" si="3488"/>
        <v>-38027222</v>
      </c>
      <c r="I5033" s="1228">
        <f t="shared" si="3488"/>
        <v>337509217.39939547</v>
      </c>
      <c r="J5033" s="1228">
        <f t="shared" si="3488"/>
        <v>30350770</v>
      </c>
      <c r="K5033" s="1228">
        <f t="shared" si="3488"/>
        <v>0</v>
      </c>
      <c r="L5033" s="1228">
        <f t="shared" si="3488"/>
        <v>367859987.39939547</v>
      </c>
      <c r="M5033" s="1228"/>
      <c r="N5033" s="372">
        <f t="shared" si="3466"/>
        <v>0</v>
      </c>
      <c r="O5033" s="1228">
        <f t="shared" si="3488"/>
        <v>358664040.23933494</v>
      </c>
      <c r="P5033" s="1228">
        <f t="shared" si="3488"/>
        <v>376078018.07326853</v>
      </c>
      <c r="R5033" s="1228"/>
      <c r="U5033" s="1301" t="s">
        <v>1803</v>
      </c>
    </row>
    <row r="5034" spans="1:103" s="344" customFormat="1">
      <c r="A5034" s="295"/>
      <c r="B5034" s="295"/>
      <c r="C5034" s="296"/>
      <c r="D5034" s="297"/>
      <c r="E5034" s="298"/>
      <c r="F5034" s="299"/>
      <c r="G5034" s="299"/>
      <c r="H5034" s="299"/>
      <c r="I5034" s="299"/>
      <c r="J5034" s="299"/>
      <c r="K5034" s="299"/>
      <c r="L5034" s="299"/>
      <c r="M5034" s="299"/>
      <c r="N5034" s="372">
        <f t="shared" si="3466"/>
        <v>0</v>
      </c>
      <c r="O5034" s="1302"/>
      <c r="P5034" s="1303"/>
      <c r="R5034" s="299"/>
      <c r="U5034" s="1304"/>
    </row>
    <row r="5035" spans="1:103" s="344" customFormat="1">
      <c r="A5035" s="295"/>
      <c r="B5035" s="295"/>
      <c r="C5035" s="296"/>
      <c r="D5035" s="297"/>
      <c r="E5035" s="298"/>
      <c r="F5035" s="299"/>
      <c r="G5035" s="299"/>
      <c r="H5035" s="299"/>
      <c r="I5035" s="299"/>
      <c r="J5035" s="299"/>
      <c r="K5035" s="299"/>
      <c r="L5035" s="299"/>
      <c r="M5035" s="299"/>
      <c r="N5035" s="372">
        <f t="shared" si="3466"/>
        <v>0</v>
      </c>
      <c r="O5035" s="1302"/>
      <c r="P5035" s="1303"/>
      <c r="R5035" s="299"/>
      <c r="U5035" s="1304"/>
    </row>
    <row r="5036" spans="1:103" s="344" customFormat="1">
      <c r="C5036" s="1305"/>
      <c r="D5036" s="1306" t="s">
        <v>847</v>
      </c>
      <c r="E5036" s="1228">
        <f>E841+E1197+E1415+E1610+E1839+E2246+E2517+E2861+E3207+E3542+E3757+E4125+E4359+E4760+E5031</f>
        <v>7762492748.5961361</v>
      </c>
      <c r="F5036" s="1228">
        <f t="shared" ref="F5036:L5036" si="3489">F841+F1197+F1415+F1610+F1839+F2246+F2517+F2861+F3207+F3542+F3757+F4125+F4359+F4760+F5031</f>
        <v>40475781.367190398</v>
      </c>
      <c r="G5036" s="1228">
        <f t="shared" si="3489"/>
        <v>424062205.75816536</v>
      </c>
      <c r="H5036" s="1228">
        <f t="shared" si="3489"/>
        <v>57043745</v>
      </c>
      <c r="I5036" s="1228">
        <f t="shared" si="3489"/>
        <v>8284074480.7214928</v>
      </c>
      <c r="J5036" s="1228">
        <f t="shared" si="3489"/>
        <v>124749396.87</v>
      </c>
      <c r="K5036" s="1228">
        <f t="shared" si="3489"/>
        <v>7308233</v>
      </c>
      <c r="L5036" s="1228">
        <f t="shared" si="3489"/>
        <v>8416132110.5914917</v>
      </c>
      <c r="M5036" s="1228"/>
      <c r="N5036" s="372">
        <f t="shared" si="3466"/>
        <v>-7308233</v>
      </c>
      <c r="O5036" s="1228">
        <f t="shared" ref="O5036:P5036" si="3490">O841+O1197+O1415+O1610+O1839+O2246+O2517+O2861+O3207+O3542+O3757+O4125+O4359+O4760+O5031</f>
        <v>7876286573.1589842</v>
      </c>
      <c r="P5036" s="1228">
        <f t="shared" si="3490"/>
        <v>8617180111.134882</v>
      </c>
      <c r="R5036" s="1228"/>
      <c r="U5036" s="1301" t="s">
        <v>1803</v>
      </c>
    </row>
    <row r="5037" spans="1:103" s="344" customFormat="1">
      <c r="C5037" s="1305"/>
      <c r="D5037" s="1306" t="s">
        <v>848</v>
      </c>
      <c r="E5037" s="1228">
        <f>E842+E1198+E1416+E1611+E1840+E2247+E2518+E2862+E3208+E3543+E3758+E4126+E4360+E4761+E5032</f>
        <v>4093154689.4238629</v>
      </c>
      <c r="F5037" s="1228">
        <f t="shared" ref="F5037:L5037" si="3491">F842+F1198+F1416+F1611+F1840+F2247+F2518+F2862+F3208+F3543+F3758+F4126+F4360+F4761+F5032</f>
        <v>1067706037.9047312</v>
      </c>
      <c r="G5037" s="1228">
        <f t="shared" si="3491"/>
        <v>97286667.758168995</v>
      </c>
      <c r="H5037" s="1228">
        <f t="shared" si="3491"/>
        <v>-83085752.758167148</v>
      </c>
      <c r="I5037" s="1228">
        <f t="shared" si="3491"/>
        <v>5175061642.3285952</v>
      </c>
      <c r="J5037" s="1228">
        <f t="shared" si="3491"/>
        <v>-556900397.88999999</v>
      </c>
      <c r="K5037" s="1228">
        <f t="shared" si="3491"/>
        <v>-7308233</v>
      </c>
      <c r="L5037" s="1228">
        <f t="shared" si="3491"/>
        <v>4610853011.4385958</v>
      </c>
      <c r="M5037" s="1228"/>
      <c r="N5037" s="372">
        <f t="shared" si="3466"/>
        <v>7308233</v>
      </c>
      <c r="O5037" s="1228">
        <f t="shared" ref="O5037:P5037" si="3492">O842+O1198+O1416+O1611+O1840+O2247+O2518+O2862+O3208+O3543+O3758+O4126+O4360+O4761+O5032</f>
        <v>4697796560.0670319</v>
      </c>
      <c r="P5037" s="1228">
        <f t="shared" si="3492"/>
        <v>4866117233.886735</v>
      </c>
      <c r="R5037" s="1228"/>
      <c r="U5037" s="1301" t="s">
        <v>1803</v>
      </c>
    </row>
    <row r="5038" spans="1:103" s="344" customFormat="1">
      <c r="C5038" s="1305"/>
      <c r="D5038" s="1306" t="s">
        <v>849</v>
      </c>
      <c r="E5038" s="1228">
        <f t="shared" ref="E5038:P5038" si="3493">E843+E1199+E1417+E1612+E1841+E2248+E2519+E2863+E3209+E3544+E3759+E4127+E4361+E4762+E5033</f>
        <v>11855647438.02</v>
      </c>
      <c r="F5038" s="1228">
        <f t="shared" ref="F5038:L5038" si="3494">F843+F1199+F1417+F1612+F1841+F2248+F2519+F2863+F3209+F3544+F3759+F4127+F4361+F4762+F5033</f>
        <v>1108181819.2719216</v>
      </c>
      <c r="G5038" s="1228">
        <f t="shared" si="3494"/>
        <v>521348873.51633441</v>
      </c>
      <c r="H5038" s="1228">
        <f t="shared" si="3494"/>
        <v>-26042007.758167148</v>
      </c>
      <c r="I5038" s="1228">
        <f t="shared" si="3494"/>
        <v>13459136123.050087</v>
      </c>
      <c r="J5038" s="1228">
        <f t="shared" si="3494"/>
        <v>-432151001.01999998</v>
      </c>
      <c r="K5038" s="1228">
        <f t="shared" si="3494"/>
        <v>0</v>
      </c>
      <c r="L5038" s="1228">
        <f t="shared" si="3494"/>
        <v>13026985122.030087</v>
      </c>
      <c r="M5038" s="1228"/>
      <c r="N5038" s="372">
        <f t="shared" si="3466"/>
        <v>0</v>
      </c>
      <c r="O5038" s="1228">
        <f t="shared" si="3493"/>
        <v>12574083133.226011</v>
      </c>
      <c r="P5038" s="1228">
        <f t="shared" si="3493"/>
        <v>13483297345.021618</v>
      </c>
      <c r="R5038" s="1228"/>
      <c r="U5038" s="1301" t="s">
        <v>1803</v>
      </c>
    </row>
    <row r="5039" spans="1:103" s="344" customFormat="1">
      <c r="C5039" s="1305"/>
      <c r="D5039" s="1306" t="s">
        <v>850</v>
      </c>
      <c r="E5039" s="1228">
        <f>E3928</f>
        <v>1100630000</v>
      </c>
      <c r="F5039" s="1228">
        <f t="shared" ref="F5039:L5039" si="3495">F3928</f>
        <v>386911550</v>
      </c>
      <c r="G5039" s="1228">
        <f t="shared" si="3495"/>
        <v>-133042008</v>
      </c>
      <c r="H5039" s="1228">
        <f t="shared" si="3495"/>
        <v>33042008</v>
      </c>
      <c r="I5039" s="1228">
        <f t="shared" si="3495"/>
        <v>1387541550</v>
      </c>
      <c r="J5039" s="1228">
        <f t="shared" si="3495"/>
        <v>-116510437</v>
      </c>
      <c r="K5039" s="1228">
        <f t="shared" si="3495"/>
        <v>0</v>
      </c>
      <c r="L5039" s="1228">
        <f t="shared" si="3495"/>
        <v>1271031113</v>
      </c>
      <c r="M5039" s="1228"/>
      <c r="N5039" s="372">
        <f t="shared" si="3466"/>
        <v>0</v>
      </c>
      <c r="O5039" s="1228">
        <f>O3928</f>
        <v>1398134224.3000002</v>
      </c>
      <c r="P5039" s="1228">
        <f>P3928</f>
        <v>1534801646.73</v>
      </c>
      <c r="R5039" s="1228"/>
      <c r="U5039" s="1301" t="s">
        <v>1803</v>
      </c>
    </row>
    <row r="5040" spans="1:103" s="344" customFormat="1">
      <c r="C5040" s="1305"/>
      <c r="D5040" s="1306" t="s">
        <v>851</v>
      </c>
      <c r="E5040" s="1228">
        <f>E5038+E5039</f>
        <v>12956277438.02</v>
      </c>
      <c r="F5040" s="1228">
        <f t="shared" ref="F5040:L5040" si="3496">F5038+F5039</f>
        <v>1495093369.2719216</v>
      </c>
      <c r="G5040" s="1228">
        <f t="shared" si="3496"/>
        <v>388306865.51633441</v>
      </c>
      <c r="H5040" s="1228">
        <f t="shared" si="3496"/>
        <v>7000000.2418328524</v>
      </c>
      <c r="I5040" s="1228">
        <f t="shared" si="3496"/>
        <v>14846677673.050087</v>
      </c>
      <c r="J5040" s="1228">
        <f t="shared" si="3496"/>
        <v>-548661438.01999998</v>
      </c>
      <c r="K5040" s="1228">
        <f t="shared" si="3496"/>
        <v>0</v>
      </c>
      <c r="L5040" s="1228">
        <f t="shared" si="3496"/>
        <v>14298016235.030087</v>
      </c>
      <c r="M5040" s="1228"/>
      <c r="N5040" s="372">
        <f t="shared" si="3466"/>
        <v>0</v>
      </c>
      <c r="O5040" s="1228">
        <f t="shared" ref="O5040:P5040" si="3497">O5038+O5039</f>
        <v>13972217357.526012</v>
      </c>
      <c r="P5040" s="1228">
        <f t="shared" si="3497"/>
        <v>15018098991.751617</v>
      </c>
      <c r="R5040" s="1228"/>
      <c r="U5040" s="1301" t="s">
        <v>1803</v>
      </c>
    </row>
    <row r="5041" spans="1:21">
      <c r="A5041" s="344"/>
      <c r="B5041" s="344"/>
      <c r="C5041" s="1305"/>
      <c r="D5041" s="1306" t="s">
        <v>852</v>
      </c>
      <c r="E5041" s="1228">
        <v>12956277438.02</v>
      </c>
      <c r="F5041" s="1228">
        <f>'WRONG&gt;&gt;&gt;Revenue Projections'!D61</f>
        <v>1495093369.030086</v>
      </c>
      <c r="G5041" s="1228">
        <f>'WRONG&gt;&gt;&gt;Revenue Projections'!D59-600000000</f>
        <v>388645941.00000012</v>
      </c>
      <c r="H5041" s="1228">
        <v>0</v>
      </c>
      <c r="I5041" s="1307">
        <f t="shared" si="3478"/>
        <v>14840016748.050087</v>
      </c>
      <c r="J5041" s="1228"/>
      <c r="K5041" s="1228"/>
      <c r="L5041" s="1308" t="e">
        <f>FINAL RESOURCE [2]!_Hlk195011477</f>
        <v>#NAME?</v>
      </c>
      <c r="M5041" s="1308"/>
      <c r="N5041" s="372">
        <f t="shared" si="3466"/>
        <v>0</v>
      </c>
      <c r="O5041" s="1264">
        <f>I5041*1.1</f>
        <v>16324018422.855097</v>
      </c>
      <c r="P5041" s="1228">
        <f>O5041*1.1</f>
        <v>17956420265.14061</v>
      </c>
      <c r="R5041" s="1308"/>
      <c r="U5041" s="1309" t="s">
        <v>1803</v>
      </c>
    </row>
    <row r="5042" spans="1:21">
      <c r="A5042" s="344"/>
      <c r="B5042" s="344"/>
      <c r="C5042" s="1305"/>
      <c r="D5042" s="1306" t="s">
        <v>853</v>
      </c>
      <c r="E5042" s="1228">
        <f>E5041-E5040</f>
        <v>0</v>
      </c>
      <c r="F5042" s="1228">
        <f t="shared" ref="F5042:L5042" si="3498">F5041-F5040</f>
        <v>-0.24183559417724609</v>
      </c>
      <c r="G5042" s="1228">
        <f t="shared" si="3498"/>
        <v>339075.48366570473</v>
      </c>
      <c r="H5042" s="1228">
        <f t="shared" si="3498"/>
        <v>-7000000.2418328524</v>
      </c>
      <c r="I5042" s="1228">
        <f t="shared" si="3498"/>
        <v>-6660925</v>
      </c>
      <c r="J5042" s="1228">
        <f t="shared" si="3498"/>
        <v>548661438.01999998</v>
      </c>
      <c r="K5042" s="1228">
        <f t="shared" si="3498"/>
        <v>0</v>
      </c>
      <c r="L5042" s="1228" t="e">
        <f t="shared" si="3498"/>
        <v>#NAME?</v>
      </c>
      <c r="M5042" s="1228"/>
      <c r="N5042" s="372">
        <f t="shared" si="3466"/>
        <v>0</v>
      </c>
      <c r="O5042" s="1228">
        <f t="shared" ref="O5042:P5042" si="3499">O5041-O5040</f>
        <v>2351801065.3290844</v>
      </c>
      <c r="P5042" s="1228">
        <f t="shared" si="3499"/>
        <v>2938321273.3889923</v>
      </c>
      <c r="R5042" s="1228"/>
      <c r="U5042" s="1301" t="s">
        <v>1803</v>
      </c>
    </row>
    <row r="5043" spans="1:21">
      <c r="N5043" s="372">
        <f t="shared" si="3466"/>
        <v>0</v>
      </c>
    </row>
    <row r="5044" spans="1:21">
      <c r="N5044" s="372">
        <f t="shared" si="3466"/>
        <v>0</v>
      </c>
    </row>
    <row r="5045" spans="1:21">
      <c r="N5045" s="372">
        <f t="shared" si="3466"/>
        <v>0</v>
      </c>
    </row>
    <row r="5046" spans="1:21">
      <c r="N5046" s="372">
        <f t="shared" si="3466"/>
        <v>0</v>
      </c>
    </row>
    <row r="5047" spans="1:21">
      <c r="N5047" s="372">
        <f t="shared" si="3466"/>
        <v>0</v>
      </c>
    </row>
    <row r="5048" spans="1:21">
      <c r="N5048" s="372">
        <f t="shared" si="3466"/>
        <v>0</v>
      </c>
    </row>
    <row r="5049" spans="1:21">
      <c r="N5049" s="372">
        <f t="shared" si="3466"/>
        <v>0</v>
      </c>
    </row>
    <row r="5050" spans="1:21">
      <c r="N5050" s="372">
        <f t="shared" si="3466"/>
        <v>0</v>
      </c>
    </row>
    <row r="5051" spans="1:21">
      <c r="N5051" s="372">
        <f t="shared" si="3466"/>
        <v>0</v>
      </c>
    </row>
    <row r="5052" spans="1:21">
      <c r="N5052" s="372">
        <f t="shared" si="3466"/>
        <v>0</v>
      </c>
    </row>
    <row r="5053" spans="1:21">
      <c r="N5053" s="372">
        <f t="shared" si="3466"/>
        <v>0</v>
      </c>
    </row>
    <row r="5054" spans="1:21">
      <c r="N5054" s="372">
        <f t="shared" si="3466"/>
        <v>0</v>
      </c>
    </row>
    <row r="5055" spans="1:21">
      <c r="N5055" s="372">
        <f t="shared" si="3466"/>
        <v>0</v>
      </c>
    </row>
    <row r="5056" spans="1:21">
      <c r="N5056" s="372">
        <f t="shared" si="3466"/>
        <v>0</v>
      </c>
    </row>
    <row r="5057" spans="14:14">
      <c r="N5057" s="372">
        <f t="shared" si="3466"/>
        <v>0</v>
      </c>
    </row>
    <row r="5058" spans="14:14">
      <c r="N5058" s="372">
        <f t="shared" si="3466"/>
        <v>0</v>
      </c>
    </row>
    <row r="5059" spans="14:14">
      <c r="N5059" s="372">
        <f t="shared" si="3466"/>
        <v>0</v>
      </c>
    </row>
    <row r="5060" spans="14:14">
      <c r="N5060" s="372">
        <f t="shared" si="3466"/>
        <v>0</v>
      </c>
    </row>
    <row r="5061" spans="14:14">
      <c r="N5061" s="372">
        <f t="shared" si="3466"/>
        <v>0</v>
      </c>
    </row>
    <row r="5062" spans="14:14">
      <c r="N5062" s="372">
        <f t="shared" si="3466"/>
        <v>0</v>
      </c>
    </row>
    <row r="5063" spans="14:14">
      <c r="N5063" s="372">
        <f t="shared" si="3466"/>
        <v>0</v>
      </c>
    </row>
    <row r="5064" spans="14:14">
      <c r="N5064" s="372">
        <f t="shared" si="3466"/>
        <v>0</v>
      </c>
    </row>
  </sheetData>
  <mergeCells count="2">
    <mergeCell ref="A1:L1"/>
    <mergeCell ref="Q4632:Q4634"/>
  </mergeCells>
  <pageMargins left="0.43307086614173229" right="0.43307086614173229" top="0.51181102362204722" bottom="0.51181102362204722" header="0.31496062992125984" footer="0.31496062992125984"/>
  <pageSetup paperSize="9" scale="55" fitToHeight="0" pageOrder="overThenDown" orientation="landscape" r:id="rId1"/>
  <headerFooter alignWithMargins="0">
    <oddHeader>&amp;F</oddHeader>
    <oddFooter>&amp;CPage &amp;P</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B2:G61"/>
  <sheetViews>
    <sheetView zoomScale="70" zoomScaleNormal="70" workbookViewId="0">
      <pane ySplit="1" topLeftCell="A31" activePane="bottomLeft" state="frozen"/>
      <selection pane="bottomLeft" activeCell="G27" sqref="G27"/>
    </sheetView>
  </sheetViews>
  <sheetFormatPr defaultColWidth="10" defaultRowHeight="14.4"/>
  <cols>
    <col min="2" max="2" width="9.5546875" bestFit="1" customWidth="1"/>
    <col min="3" max="3" width="53.88671875" style="1310" customWidth="1"/>
    <col min="4" max="4" width="43.5546875" customWidth="1"/>
    <col min="5" max="5" width="29.33203125" customWidth="1"/>
    <col min="6" max="6" width="33.33203125" customWidth="1"/>
    <col min="7" max="7" width="19.88671875" bestFit="1" customWidth="1"/>
  </cols>
  <sheetData>
    <row r="2" spans="2:7" s="1311" customFormat="1" ht="69.599999999999994">
      <c r="B2" s="1312" t="s">
        <v>1201</v>
      </c>
      <c r="C2" s="1312" t="s">
        <v>1202</v>
      </c>
      <c r="D2" s="1312" t="s">
        <v>2585</v>
      </c>
      <c r="E2" s="1312" t="s">
        <v>2586</v>
      </c>
      <c r="F2" s="1312" t="s">
        <v>2580</v>
      </c>
      <c r="G2" s="1312" t="s">
        <v>2587</v>
      </c>
    </row>
    <row r="3" spans="2:7" ht="18">
      <c r="B3" s="1313">
        <v>1</v>
      </c>
      <c r="C3" s="1314" t="s">
        <v>1203</v>
      </c>
      <c r="D3" s="1315"/>
      <c r="E3" s="1315"/>
      <c r="F3" s="1315"/>
      <c r="G3" s="1315"/>
    </row>
    <row r="4" spans="2:7" ht="18">
      <c r="B4" s="1315"/>
      <c r="C4" s="1316" t="s">
        <v>1203</v>
      </c>
      <c r="D4" s="1317">
        <v>11244322462</v>
      </c>
      <c r="E4" s="1317">
        <v>11244322462</v>
      </c>
      <c r="F4" s="1317">
        <v>10885968099</v>
      </c>
      <c r="G4" s="1317">
        <f>F4-E4</f>
        <v>-358354363</v>
      </c>
    </row>
    <row r="5" spans="2:7" ht="18">
      <c r="B5" s="1315"/>
      <c r="C5" s="1316" t="s">
        <v>1204</v>
      </c>
      <c r="D5" s="1318">
        <v>0</v>
      </c>
      <c r="E5" s="1318">
        <v>0</v>
      </c>
      <c r="F5" s="1319"/>
      <c r="G5" s="1319"/>
    </row>
    <row r="6" spans="2:7" ht="18">
      <c r="B6" s="1315"/>
      <c r="C6" s="1314" t="s">
        <v>1205</v>
      </c>
      <c r="D6" s="1320">
        <f>D4+D5</f>
        <v>11244322462</v>
      </c>
      <c r="E6" s="1320">
        <f t="shared" ref="E6:F6" si="0">E4+E5</f>
        <v>11244322462</v>
      </c>
      <c r="F6" s="1320">
        <f t="shared" si="0"/>
        <v>10885968099</v>
      </c>
      <c r="G6" s="1320">
        <f t="shared" ref="G6:G32" si="1">F6-E6</f>
        <v>-358354363</v>
      </c>
    </row>
    <row r="7" spans="2:7" ht="18">
      <c r="B7" s="1315"/>
      <c r="C7" s="1321"/>
      <c r="D7" s="1319"/>
      <c r="E7" s="1319"/>
      <c r="F7" s="1319"/>
      <c r="G7" s="1319"/>
    </row>
    <row r="8" spans="2:7" ht="18">
      <c r="B8" s="1322">
        <v>2</v>
      </c>
      <c r="C8" s="1314" t="s">
        <v>1206</v>
      </c>
      <c r="D8" s="1319"/>
      <c r="E8" s="1319"/>
      <c r="F8" s="1319"/>
      <c r="G8" s="1319">
        <f t="shared" si="1"/>
        <v>0</v>
      </c>
    </row>
    <row r="9" spans="2:7" ht="18">
      <c r="B9" s="1315"/>
      <c r="C9" s="1316" t="s">
        <v>1209</v>
      </c>
      <c r="D9" s="1317">
        <v>445098850</v>
      </c>
      <c r="E9" s="1317">
        <v>445098850</v>
      </c>
      <c r="F9" s="1318">
        <v>0</v>
      </c>
      <c r="G9" s="1317">
        <f t="shared" si="1"/>
        <v>-445098850</v>
      </c>
    </row>
    <row r="10" spans="2:7" ht="34.799999999999997">
      <c r="B10" s="1315"/>
      <c r="C10" s="1316" t="s">
        <v>2588</v>
      </c>
      <c r="D10" s="1317">
        <v>37500000</v>
      </c>
      <c r="E10" s="1317">
        <v>37500000</v>
      </c>
      <c r="F10" s="1317">
        <v>37500000</v>
      </c>
      <c r="G10" s="1318">
        <f t="shared" si="1"/>
        <v>0</v>
      </c>
    </row>
    <row r="11" spans="2:7" ht="34.799999999999997">
      <c r="B11" s="1315"/>
      <c r="C11" s="1316" t="s">
        <v>2589</v>
      </c>
      <c r="D11" s="1317">
        <v>121025000</v>
      </c>
      <c r="E11" s="1317">
        <v>121025000</v>
      </c>
      <c r="F11" s="1323">
        <v>121025000</v>
      </c>
      <c r="G11" s="1318">
        <f t="shared" si="1"/>
        <v>0</v>
      </c>
    </row>
    <row r="12" spans="2:7" ht="52.2">
      <c r="B12" s="1315"/>
      <c r="C12" s="1316" t="s">
        <v>2590</v>
      </c>
      <c r="D12" s="1317">
        <v>151515152</v>
      </c>
      <c r="E12" s="1317">
        <v>151515152</v>
      </c>
      <c r="F12" s="1323">
        <v>151515152</v>
      </c>
      <c r="G12" s="1318">
        <f t="shared" si="1"/>
        <v>0</v>
      </c>
    </row>
    <row r="13" spans="2:7" ht="34.799999999999997">
      <c r="B13" s="1315"/>
      <c r="C13" s="1316" t="s">
        <v>2591</v>
      </c>
      <c r="D13" s="1317">
        <v>13601250</v>
      </c>
      <c r="E13" s="1317">
        <v>13601250</v>
      </c>
      <c r="F13" s="1323">
        <v>13601250</v>
      </c>
      <c r="G13" s="1318">
        <f t="shared" si="1"/>
        <v>0</v>
      </c>
    </row>
    <row r="14" spans="2:7" ht="34.799999999999997">
      <c r="B14" s="1315"/>
      <c r="C14" s="1316" t="s">
        <v>2592</v>
      </c>
      <c r="D14" s="1318">
        <v>0</v>
      </c>
      <c r="E14" s="1318">
        <v>0</v>
      </c>
      <c r="F14" s="1323">
        <v>10918919</v>
      </c>
      <c r="G14" s="1317">
        <f t="shared" si="1"/>
        <v>10918919</v>
      </c>
    </row>
    <row r="15" spans="2:7" ht="34.799999999999997">
      <c r="B15" s="1315"/>
      <c r="C15" s="1316" t="s">
        <v>2593</v>
      </c>
      <c r="D15" s="1317">
        <v>250000000</v>
      </c>
      <c r="E15" s="1317">
        <v>250000000</v>
      </c>
      <c r="F15" s="1317">
        <v>250000000</v>
      </c>
      <c r="G15" s="1317">
        <f t="shared" si="1"/>
        <v>0</v>
      </c>
    </row>
    <row r="16" spans="2:7" ht="18">
      <c r="B16" s="1315"/>
      <c r="C16" s="1316" t="s">
        <v>2594</v>
      </c>
      <c r="D16" s="1317">
        <v>58050445</v>
      </c>
      <c r="E16" s="1317">
        <v>58050445</v>
      </c>
      <c r="F16" s="1323">
        <v>74100000</v>
      </c>
      <c r="G16" s="1317">
        <f t="shared" si="1"/>
        <v>16049555</v>
      </c>
    </row>
    <row r="17" spans="2:7" ht="34.799999999999997">
      <c r="B17" s="1315"/>
      <c r="C17" s="1316" t="s">
        <v>2595</v>
      </c>
      <c r="D17" s="1319"/>
      <c r="E17" s="1319"/>
      <c r="F17" s="1323">
        <v>43756694</v>
      </c>
      <c r="G17" s="1317">
        <f t="shared" si="1"/>
        <v>43756694</v>
      </c>
    </row>
    <row r="18" spans="2:7" ht="52.2">
      <c r="B18" s="1315"/>
      <c r="C18" s="1316" t="s">
        <v>2596</v>
      </c>
      <c r="D18" s="1317">
        <v>35000000</v>
      </c>
      <c r="E18" s="1317">
        <v>35000000</v>
      </c>
      <c r="F18" s="1323">
        <v>35000000</v>
      </c>
      <c r="G18" s="1318">
        <f t="shared" si="1"/>
        <v>0</v>
      </c>
    </row>
    <row r="19" spans="2:7" ht="52.2">
      <c r="B19" s="1315"/>
      <c r="C19" s="1316" t="s">
        <v>2597</v>
      </c>
      <c r="D19" s="1319"/>
      <c r="E19" s="1319"/>
      <c r="F19" s="1323">
        <v>41801769</v>
      </c>
      <c r="G19" s="1317">
        <f t="shared" si="1"/>
        <v>41801769</v>
      </c>
    </row>
    <row r="20" spans="2:7" ht="18">
      <c r="B20" s="1315"/>
      <c r="C20" s="1316" t="s">
        <v>1314</v>
      </c>
      <c r="D20" s="1317">
        <v>50000</v>
      </c>
      <c r="E20" s="1317">
        <v>50000</v>
      </c>
      <c r="F20" s="1323">
        <v>50000</v>
      </c>
      <c r="G20" s="1318">
        <f t="shared" si="1"/>
        <v>0</v>
      </c>
    </row>
    <row r="21" spans="2:7" ht="18">
      <c r="B21" s="1315"/>
      <c r="C21" s="1316" t="s">
        <v>1315</v>
      </c>
      <c r="D21" s="1317">
        <v>114279</v>
      </c>
      <c r="E21" s="1317">
        <v>114279</v>
      </c>
      <c r="F21" s="1318">
        <v>0</v>
      </c>
      <c r="G21" s="1317">
        <f t="shared" si="1"/>
        <v>-114279</v>
      </c>
    </row>
    <row r="22" spans="2:7" ht="18">
      <c r="B22" s="1315"/>
      <c r="C22" s="1314" t="s">
        <v>1229</v>
      </c>
      <c r="D22" s="1320">
        <f>SUM(D9:D21)</f>
        <v>1111954976</v>
      </c>
      <c r="E22" s="1320">
        <f t="shared" ref="E22:F22" si="2">SUM(E9:E21)</f>
        <v>1111954976</v>
      </c>
      <c r="F22" s="1320">
        <f t="shared" si="2"/>
        <v>779268784</v>
      </c>
      <c r="G22" s="1320">
        <f t="shared" si="1"/>
        <v>-332686192</v>
      </c>
    </row>
    <row r="23" spans="2:7" ht="18">
      <c r="B23" s="1315"/>
      <c r="C23" s="1321"/>
      <c r="D23" s="1320"/>
      <c r="E23" s="1320"/>
      <c r="F23" s="1320"/>
      <c r="G23" s="1320">
        <f t="shared" si="1"/>
        <v>0</v>
      </c>
    </row>
    <row r="24" spans="2:7" ht="18">
      <c r="B24" s="2268">
        <v>3</v>
      </c>
      <c r="C24" s="1314" t="s">
        <v>1230</v>
      </c>
      <c r="D24" s="1319"/>
      <c r="E24" s="1319"/>
      <c r="F24" s="1319"/>
      <c r="G24" s="1319">
        <f t="shared" si="1"/>
        <v>0</v>
      </c>
    </row>
    <row r="25" spans="2:7" ht="18">
      <c r="B25" s="2268"/>
      <c r="C25" s="1314" t="s">
        <v>1231</v>
      </c>
      <c r="D25" s="1319"/>
      <c r="E25" s="1319"/>
      <c r="F25" s="1319"/>
      <c r="G25" s="1319">
        <f t="shared" si="1"/>
        <v>0</v>
      </c>
    </row>
    <row r="26" spans="2:7" ht="17.399999999999999">
      <c r="B26" s="1324"/>
      <c r="C26" s="1314" t="s">
        <v>2598</v>
      </c>
      <c r="D26" s="1320">
        <v>600000000</v>
      </c>
      <c r="E26" s="1320">
        <v>825277630</v>
      </c>
      <c r="F26" s="1320">
        <v>825277630</v>
      </c>
      <c r="G26" s="1325">
        <f t="shared" si="1"/>
        <v>0</v>
      </c>
    </row>
    <row r="27" spans="2:7" ht="69.599999999999994">
      <c r="B27" s="1315"/>
      <c r="C27" s="1316" t="s">
        <v>2163</v>
      </c>
      <c r="D27" s="1319"/>
      <c r="E27" s="1317">
        <v>121742201</v>
      </c>
      <c r="F27" s="1317">
        <v>121742201</v>
      </c>
      <c r="G27" s="1318">
        <f t="shared" si="1"/>
        <v>0</v>
      </c>
    </row>
    <row r="28" spans="2:7" ht="34.799999999999997">
      <c r="B28" s="1315"/>
      <c r="C28" s="1316" t="s">
        <v>2600</v>
      </c>
      <c r="D28" s="1319"/>
      <c r="E28" s="1317">
        <v>41626110</v>
      </c>
      <c r="F28" s="1317">
        <v>41626110</v>
      </c>
      <c r="G28" s="1318">
        <f t="shared" si="1"/>
        <v>0</v>
      </c>
    </row>
    <row r="29" spans="2:7" ht="69.599999999999994">
      <c r="B29" s="1315"/>
      <c r="C29" s="1316" t="s">
        <v>2607</v>
      </c>
      <c r="D29" s="1319"/>
      <c r="E29" s="1317"/>
      <c r="F29" s="1317">
        <v>156379117</v>
      </c>
      <c r="G29" s="1318">
        <f t="shared" si="1"/>
        <v>156379117</v>
      </c>
    </row>
    <row r="30" spans="2:7" ht="18">
      <c r="B30" s="1315"/>
      <c r="C30" s="1314" t="s">
        <v>1229</v>
      </c>
      <c r="D30" s="1320">
        <v>600000000</v>
      </c>
      <c r="E30" s="1320">
        <v>988645941</v>
      </c>
      <c r="F30" s="1320">
        <f>SUM(F26:F29)</f>
        <v>1145025058</v>
      </c>
      <c r="G30" s="1325">
        <f t="shared" si="1"/>
        <v>156379117</v>
      </c>
    </row>
    <row r="31" spans="2:7" ht="18">
      <c r="B31" s="1315"/>
      <c r="C31" s="1314" t="s">
        <v>929</v>
      </c>
      <c r="D31" s="1320">
        <f>D30+D22+D6</f>
        <v>12956277438</v>
      </c>
      <c r="E31" s="1320">
        <f t="shared" ref="E31:F31" si="3">E30+E22+E6</f>
        <v>13344923379</v>
      </c>
      <c r="F31" s="1320">
        <f t="shared" si="3"/>
        <v>12810261941</v>
      </c>
      <c r="G31" s="1320">
        <f>F31-E31</f>
        <v>-534661438</v>
      </c>
    </row>
    <row r="32" spans="2:7" ht="34.799999999999997">
      <c r="B32" s="1315"/>
      <c r="C32" s="1314" t="s">
        <v>2599</v>
      </c>
      <c r="D32" s="1325">
        <v>0</v>
      </c>
      <c r="E32" s="1320">
        <v>1495093369</v>
      </c>
      <c r="F32" s="1320">
        <v>1495093369</v>
      </c>
      <c r="G32" s="1318">
        <f t="shared" si="1"/>
        <v>0</v>
      </c>
    </row>
    <row r="33" spans="2:7" ht="18">
      <c r="B33" s="1315"/>
      <c r="C33" s="1316" t="s">
        <v>1235</v>
      </c>
      <c r="D33" s="1326">
        <f>D6/D$38</f>
        <v>0.86786675538616231</v>
      </c>
      <c r="E33" s="1326">
        <f t="shared" ref="E33:F33" si="4">E6/E$38</f>
        <v>0.75770281482434354</v>
      </c>
      <c r="F33" s="1326">
        <f t="shared" si="4"/>
        <v>0.76097152871066998</v>
      </c>
      <c r="G33" s="1315"/>
    </row>
    <row r="34" spans="2:7" ht="18">
      <c r="B34" s="1315"/>
      <c r="C34" s="1316" t="s">
        <v>1236</v>
      </c>
      <c r="D34" s="1326">
        <f>D30/D$38</f>
        <v>4.6309598020820027E-2</v>
      </c>
      <c r="E34" s="1326">
        <f t="shared" ref="E34:F34" si="5">E30/E$38</f>
        <v>6.6620271242836746E-2</v>
      </c>
      <c r="F34" s="1326">
        <f t="shared" si="5"/>
        <v>8.004170698225041E-2</v>
      </c>
      <c r="G34" s="1315"/>
    </row>
    <row r="35" spans="2:7" ht="18">
      <c r="B35" s="1315"/>
      <c r="C35" s="1316" t="s">
        <v>1237</v>
      </c>
      <c r="D35" s="1326">
        <f>D22/D$38</f>
        <v>8.5823646593017638E-2</v>
      </c>
      <c r="E35" s="1326">
        <f t="shared" ref="E35:F35" si="6">E22/E$38</f>
        <v>7.4929496029703543E-2</v>
      </c>
      <c r="F35" s="1326">
        <f t="shared" si="6"/>
        <v>5.4473920228689514E-2</v>
      </c>
      <c r="G35" s="1315"/>
    </row>
    <row r="36" spans="2:7" ht="18">
      <c r="B36" s="1315"/>
      <c r="C36" s="1316" t="s">
        <v>2461</v>
      </c>
      <c r="D36" s="1326">
        <f>D32/D$38</f>
        <v>0</v>
      </c>
      <c r="E36" s="1326">
        <f t="shared" ref="E36:F36" si="7">E32/E$38</f>
        <v>0.10074741790311624</v>
      </c>
      <c r="F36" s="1326">
        <f t="shared" si="7"/>
        <v>0.10451284407839011</v>
      </c>
      <c r="G36" s="1315"/>
    </row>
    <row r="37" spans="2:7" ht="18">
      <c r="B37" s="1315"/>
      <c r="C37" s="1321"/>
      <c r="D37" s="1327">
        <v>1</v>
      </c>
      <c r="E37" s="1327">
        <v>1</v>
      </c>
      <c r="F37" s="1327">
        <v>1</v>
      </c>
      <c r="G37" s="1315"/>
    </row>
    <row r="38" spans="2:7" ht="18">
      <c r="B38" s="1315"/>
      <c r="C38" s="1328" t="s">
        <v>1239</v>
      </c>
      <c r="D38" s="1329">
        <f>D32+D31</f>
        <v>12956277438</v>
      </c>
      <c r="E38" s="1329">
        <f t="shared" ref="E38:G38" si="8">E32+E31</f>
        <v>14840016748</v>
      </c>
      <c r="F38" s="1329">
        <f>F32+F31</f>
        <v>14305355310</v>
      </c>
      <c r="G38" s="1329">
        <f t="shared" si="8"/>
        <v>-534661438</v>
      </c>
    </row>
    <row r="41" spans="2:7" ht="17.399999999999999">
      <c r="C41" s="1328"/>
      <c r="D41" s="1329"/>
      <c r="E41" s="1329"/>
      <c r="F41" s="1329"/>
      <c r="G41" s="1329"/>
    </row>
    <row r="45" spans="2:7">
      <c r="D45" s="1330"/>
      <c r="E45" s="1330"/>
      <c r="F45" s="1330"/>
      <c r="G45" s="1330"/>
    </row>
    <row r="49" spans="4:6">
      <c r="D49" s="1331"/>
      <c r="E49" s="1331"/>
      <c r="F49" s="1331"/>
    </row>
    <row r="50" spans="4:6">
      <c r="D50" s="1331"/>
      <c r="E50" s="1331"/>
      <c r="F50" s="1331"/>
    </row>
    <row r="51" spans="4:6">
      <c r="D51" s="1331"/>
      <c r="E51" s="1331"/>
      <c r="F51" s="1331"/>
    </row>
    <row r="52" spans="4:6">
      <c r="D52" s="1331"/>
      <c r="E52" s="1331"/>
      <c r="F52" s="1331"/>
    </row>
    <row r="57" spans="4:6">
      <c r="D57" s="1332"/>
      <c r="E57" s="1332"/>
      <c r="F57" s="1332"/>
    </row>
    <row r="58" spans="4:6">
      <c r="D58" s="1332"/>
      <c r="E58" s="1332"/>
      <c r="F58" s="1332"/>
    </row>
    <row r="59" spans="4:6">
      <c r="D59" s="1332"/>
      <c r="E59" s="1332"/>
      <c r="F59" s="1332"/>
    </row>
    <row r="60" spans="4:6">
      <c r="D60" s="1332"/>
      <c r="E60" s="1332"/>
      <c r="F60" s="1332"/>
    </row>
    <row r="61" spans="4:6">
      <c r="D61" s="1332"/>
      <c r="E61" s="1332"/>
      <c r="F61" s="1332"/>
    </row>
  </sheetData>
  <mergeCells count="1">
    <mergeCell ref="B24:B2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U26"/>
  <sheetViews>
    <sheetView showGridLines="0" zoomScale="98" workbookViewId="0">
      <selection activeCell="A11" sqref="A11"/>
    </sheetView>
  </sheetViews>
  <sheetFormatPr defaultColWidth="8.5546875" defaultRowHeight="13.8"/>
  <cols>
    <col min="1" max="1" width="52.44140625" style="1333" customWidth="1"/>
    <col min="2" max="3" width="15.88671875" style="1334" bestFit="1" customWidth="1"/>
    <col min="4" max="4" width="17.5546875" style="1334" customWidth="1"/>
    <col min="5" max="5" width="19.44140625" style="1334" customWidth="1"/>
    <col min="6" max="6" width="19.5546875" style="1334" customWidth="1"/>
    <col min="7" max="7" width="11.109375" style="1335" customWidth="1"/>
    <col min="8" max="8" width="11.109375" style="1335" hidden="1" customWidth="1"/>
    <col min="9" max="9" width="18.44140625" style="1336" hidden="1" customWidth="1"/>
    <col min="10" max="10" width="14.44140625" style="1335" hidden="1" customWidth="1"/>
    <col min="11" max="11" width="17.44140625" style="1335" hidden="1" customWidth="1"/>
    <col min="12" max="15" width="0" style="1335" hidden="1" customWidth="1"/>
    <col min="16" max="16" width="15.5546875" style="1336" bestFit="1" customWidth="1"/>
    <col min="17" max="17" width="15.44140625" style="1336" customWidth="1"/>
    <col min="18" max="18" width="19.5546875" style="1336" bestFit="1" customWidth="1"/>
    <col min="19" max="19" width="14.33203125" style="1335" bestFit="1" customWidth="1"/>
    <col min="20" max="20" width="12.44140625" style="1335" bestFit="1" customWidth="1"/>
    <col min="21" max="21" width="13.44140625" style="1335" bestFit="1" customWidth="1"/>
    <col min="22" max="16384" width="8.5546875" style="1335"/>
  </cols>
  <sheetData>
    <row r="1" spans="1:21">
      <c r="A1" s="1333" t="s">
        <v>2609</v>
      </c>
    </row>
    <row r="2" spans="1:21" ht="22.2">
      <c r="A2" s="2269" t="s">
        <v>2483</v>
      </c>
      <c r="B2" s="2269"/>
      <c r="C2" s="2269"/>
      <c r="D2" s="2269"/>
      <c r="E2" s="2269"/>
      <c r="F2" s="2269"/>
      <c r="G2" s="2269"/>
      <c r="H2" s="1337"/>
      <c r="I2" s="1338"/>
      <c r="J2" s="1339"/>
      <c r="K2" s="1339"/>
      <c r="L2" s="1339"/>
      <c r="M2" s="1339"/>
      <c r="N2" s="1339"/>
    </row>
    <row r="3" spans="1:21">
      <c r="A3" s="2271" t="s">
        <v>0</v>
      </c>
      <c r="B3" s="2270" t="s">
        <v>1</v>
      </c>
      <c r="C3" s="2270"/>
      <c r="D3" s="2270" t="s">
        <v>2</v>
      </c>
      <c r="E3" s="2270" t="s">
        <v>1178</v>
      </c>
      <c r="F3" s="2270" t="s">
        <v>1179</v>
      </c>
      <c r="G3" s="2272" t="s">
        <v>1180</v>
      </c>
      <c r="H3" s="1341"/>
      <c r="I3" s="1338"/>
      <c r="J3" s="1339"/>
      <c r="K3" s="1339"/>
      <c r="L3" s="1339"/>
      <c r="M3" s="1339"/>
      <c r="N3" s="1339"/>
    </row>
    <row r="4" spans="1:21">
      <c r="A4" s="2271"/>
      <c r="B4" s="1340" t="s">
        <v>1181</v>
      </c>
      <c r="C4" s="1340" t="s">
        <v>1182</v>
      </c>
      <c r="D4" s="2270"/>
      <c r="E4" s="2270"/>
      <c r="F4" s="2270"/>
      <c r="G4" s="2272"/>
      <c r="H4" s="1341"/>
      <c r="I4" s="1338"/>
      <c r="J4" s="1339"/>
      <c r="K4" s="1339"/>
      <c r="L4" s="1339"/>
      <c r="M4" s="1339"/>
      <c r="N4" s="1339"/>
    </row>
    <row r="5" spans="1:21">
      <c r="A5" s="1342" t="s">
        <v>1183</v>
      </c>
      <c r="B5" s="1343">
        <f>Tables!C56</f>
        <v>508750023</v>
      </c>
      <c r="C5" s="1343">
        <f>Tables!C57+Tables!C58</f>
        <v>860318183.22993016</v>
      </c>
      <c r="D5" s="1343">
        <f>B5+C5</f>
        <v>1369068206.2299302</v>
      </c>
      <c r="E5" s="1343">
        <f>Tables!C59</f>
        <v>1088098782.1231112</v>
      </c>
      <c r="F5" s="1343">
        <f>SUM(D5,E5)</f>
        <v>2457166988.3530416</v>
      </c>
      <c r="G5" s="1344">
        <f t="shared" ref="G5:G20" si="0">F5/$F$21</f>
        <v>0.17185369969947242</v>
      </c>
      <c r="H5" s="1345">
        <f>F5-Votes!D4</f>
        <v>0</v>
      </c>
      <c r="I5" s="1338">
        <v>1984644129.45</v>
      </c>
      <c r="J5" s="1346">
        <f>F5-I5</f>
        <v>472522858.9030416</v>
      </c>
      <c r="K5" s="1338">
        <v>578217887.07000005</v>
      </c>
      <c r="L5" s="1346">
        <f>B5-K5</f>
        <v>-69467864.070000052</v>
      </c>
      <c r="M5" s="1339"/>
      <c r="N5" s="1339"/>
      <c r="P5" s="1336">
        <f>F5-'Itemized Budget 2024-25'!L843</f>
        <v>0</v>
      </c>
      <c r="S5" s="1347"/>
      <c r="T5" s="1347"/>
    </row>
    <row r="6" spans="1:21">
      <c r="A6" s="1342" t="s">
        <v>1184</v>
      </c>
      <c r="B6" s="1343">
        <f>Tables!C381</f>
        <v>67995241.010000005</v>
      </c>
      <c r="C6" s="1343">
        <f>Tables!C382+Tables!C383</f>
        <v>89375969.991999999</v>
      </c>
      <c r="D6" s="1343">
        <f>B6+C6</f>
        <v>157371211.002</v>
      </c>
      <c r="E6" s="1343">
        <f>Tables!C384</f>
        <v>29323991</v>
      </c>
      <c r="F6" s="1343">
        <f>SUM(D6,E6)</f>
        <v>186695202.002</v>
      </c>
      <c r="G6" s="1344">
        <f t="shared" si="0"/>
        <v>1.3057419919876538E-2</v>
      </c>
      <c r="H6" s="1345">
        <f>F6-Votes!D5</f>
        <v>0</v>
      </c>
      <c r="I6" s="1338">
        <v>190357185.64300799</v>
      </c>
      <c r="J6" s="1346">
        <f t="shared" ref="J6:J16" si="1">F6-I6</f>
        <v>-3661983.6410079896</v>
      </c>
      <c r="K6" s="1338">
        <v>61710454</v>
      </c>
      <c r="L6" s="1346">
        <f>B6-K6</f>
        <v>6284787.0100000054</v>
      </c>
      <c r="M6" s="1339">
        <v>4699696.2569917096</v>
      </c>
      <c r="N6" s="1346">
        <f>L6-M6</f>
        <v>1585090.7530082958</v>
      </c>
      <c r="P6" s="1336">
        <f>F6-'Itemized Budget 2024-25'!L1199</f>
        <v>0</v>
      </c>
    </row>
    <row r="7" spans="1:21">
      <c r="A7" s="1342" t="s">
        <v>1185</v>
      </c>
      <c r="B7" s="1343">
        <f>Tables!C490</f>
        <v>92191299</v>
      </c>
      <c r="C7" s="1343">
        <f>Tables!C491+Tables!C492</f>
        <v>47255495</v>
      </c>
      <c r="D7" s="1343">
        <f>B7+C7</f>
        <v>139446794</v>
      </c>
      <c r="E7" s="1343">
        <f>Tables!C493</f>
        <v>592511933</v>
      </c>
      <c r="F7" s="1343">
        <f t="shared" ref="F7:F16" si="2">SUM(D7,E7)</f>
        <v>731958727</v>
      </c>
      <c r="G7" s="1344">
        <f t="shared" si="0"/>
        <v>5.1193026708607578E-2</v>
      </c>
      <c r="H7" s="1345">
        <f>F7-Votes!D6</f>
        <v>0</v>
      </c>
      <c r="I7" s="1338">
        <v>585959519.37030697</v>
      </c>
      <c r="J7" s="1346">
        <f t="shared" si="1"/>
        <v>145999207.62969303</v>
      </c>
      <c r="K7" s="1338">
        <v>58194465.960000001</v>
      </c>
      <c r="L7" s="1346">
        <f t="shared" ref="L7:L16" si="3">B7-K7</f>
        <v>33996833.039999999</v>
      </c>
      <c r="M7" s="1339"/>
      <c r="N7" s="1339"/>
      <c r="P7" s="1336">
        <f>F7-'Itemized Budget 2024-25'!L1417</f>
        <v>0</v>
      </c>
    </row>
    <row r="8" spans="1:21">
      <c r="A8" s="1342" t="s">
        <v>1186</v>
      </c>
      <c r="B8" s="1343">
        <f>Tables!C591</f>
        <v>792641583</v>
      </c>
      <c r="C8" s="1343">
        <f>Tables!C592+Tables!C593</f>
        <v>148826190.00659648</v>
      </c>
      <c r="D8" s="1343">
        <f t="shared" ref="D8:D16" si="4">B8+C8</f>
        <v>941467773.00659645</v>
      </c>
      <c r="E8" s="1343">
        <f>Tables!C594</f>
        <v>126319062.20881447</v>
      </c>
      <c r="F8" s="1343">
        <f t="shared" si="2"/>
        <v>1067786835.2154109</v>
      </c>
      <c r="G8" s="1344">
        <f t="shared" si="0"/>
        <v>7.4680768133367839E-2</v>
      </c>
      <c r="H8" s="1345">
        <f>F8-Votes!D7</f>
        <v>0</v>
      </c>
      <c r="I8" s="1338">
        <v>898981725.67970097</v>
      </c>
      <c r="J8" s="1346">
        <f t="shared" si="1"/>
        <v>168805109.53570998</v>
      </c>
      <c r="K8" s="1338">
        <v>612571217.50999999</v>
      </c>
      <c r="L8" s="1346">
        <f t="shared" si="3"/>
        <v>180070365.49000001</v>
      </c>
      <c r="M8" s="1339"/>
      <c r="N8" s="1339"/>
      <c r="P8" s="1336">
        <f>F8-'Itemized Budget 2024-25'!L1612</f>
        <v>0</v>
      </c>
      <c r="R8" s="1336">
        <v>788141583</v>
      </c>
      <c r="S8" s="1347">
        <f>R8-B8</f>
        <v>-4500000</v>
      </c>
    </row>
    <row r="9" spans="1:21">
      <c r="A9" s="1342" t="s">
        <v>1187</v>
      </c>
      <c r="B9" s="1343">
        <f>Tables!C673</f>
        <v>155338312</v>
      </c>
      <c r="C9" s="1343">
        <f>Tables!C674+Tables!C675</f>
        <v>58922011</v>
      </c>
      <c r="D9" s="1343">
        <f t="shared" si="4"/>
        <v>214260323</v>
      </c>
      <c r="E9" s="1343">
        <f>Tables!C676</f>
        <v>285970041.5739609</v>
      </c>
      <c r="F9" s="1343">
        <f t="shared" si="2"/>
        <v>500230364.5739609</v>
      </c>
      <c r="G9" s="1344">
        <f t="shared" si="0"/>
        <v>3.4985997802156527E-2</v>
      </c>
      <c r="H9" s="1345">
        <f>F9-Votes!D8</f>
        <v>0</v>
      </c>
      <c r="I9" s="1338">
        <v>722559699.17155898</v>
      </c>
      <c r="J9" s="1346">
        <f t="shared" si="1"/>
        <v>-222329334.59759808</v>
      </c>
      <c r="K9" s="1338">
        <v>99203247.290000007</v>
      </c>
      <c r="L9" s="1346">
        <f t="shared" si="3"/>
        <v>56135064.709999993</v>
      </c>
      <c r="M9" s="1339"/>
      <c r="N9" s="1339"/>
      <c r="P9" s="1336">
        <f>F9-'Itemized Budget 2024-25'!L1841</f>
        <v>0</v>
      </c>
    </row>
    <row r="10" spans="1:21">
      <c r="A10" s="1342" t="s">
        <v>1188</v>
      </c>
      <c r="B10" s="1343">
        <f>Tables!C766</f>
        <v>2677992382.7581654</v>
      </c>
      <c r="C10" s="1343">
        <f>Tables!C767+Tables!C768</f>
        <v>1301520878.5392945</v>
      </c>
      <c r="D10" s="1343">
        <f t="shared" si="4"/>
        <v>3979513261.2974596</v>
      </c>
      <c r="E10" s="1343">
        <f>Tables!C769</f>
        <v>385137009.30000186</v>
      </c>
      <c r="F10" s="1343">
        <f t="shared" si="2"/>
        <v>4364650270.5974617</v>
      </c>
      <c r="G10" s="1344">
        <f t="shared" si="0"/>
        <v>0.3052626461497564</v>
      </c>
      <c r="H10" s="1345">
        <f>F10-Votes!D9</f>
        <v>0</v>
      </c>
      <c r="I10" s="1338">
        <v>3621709874.6199999</v>
      </c>
      <c r="J10" s="1346">
        <f t="shared" si="1"/>
        <v>742940395.97746181</v>
      </c>
      <c r="K10" s="1338">
        <v>2497270314.6199999</v>
      </c>
      <c r="L10" s="1346">
        <f t="shared" si="3"/>
        <v>180722068.13816547</v>
      </c>
      <c r="M10" s="1339"/>
      <c r="N10" s="1339"/>
      <c r="P10" s="1336">
        <f>F10-'Itemized Budget 2024-25'!L2248</f>
        <v>0</v>
      </c>
      <c r="R10" s="1336">
        <v>2634866339</v>
      </c>
      <c r="S10" s="1347">
        <f>R10-B10</f>
        <v>-43126043.758165359</v>
      </c>
      <c r="T10" s="1335">
        <v>4255472897.9692965</v>
      </c>
      <c r="U10" s="1347">
        <f>T10-F10</f>
        <v>-109177372.62816525</v>
      </c>
    </row>
    <row r="11" spans="1:21" ht="26.4">
      <c r="A11" s="1342" t="s">
        <v>1189</v>
      </c>
      <c r="B11" s="1343">
        <f>Tables!C1019</f>
        <v>85147508</v>
      </c>
      <c r="C11" s="1348">
        <f>Tables!C1020+Tables!C1021</f>
        <v>109259458</v>
      </c>
      <c r="D11" s="1343">
        <f t="shared" si="4"/>
        <v>194406966</v>
      </c>
      <c r="E11" s="1343">
        <f>Tables!C1022</f>
        <v>631896664.94775796</v>
      </c>
      <c r="F11" s="1343">
        <f t="shared" si="2"/>
        <v>826303630.94775796</v>
      </c>
      <c r="G11" s="1344">
        <f t="shared" si="0"/>
        <v>5.7791487809568796E-2</v>
      </c>
      <c r="H11" s="1345">
        <f>F11-Votes!D10</f>
        <v>0</v>
      </c>
      <c r="I11" s="1338">
        <v>415902998.09891301</v>
      </c>
      <c r="J11" s="1346">
        <f t="shared" si="1"/>
        <v>410400632.84884495</v>
      </c>
      <c r="K11" s="1338">
        <v>77217227.25</v>
      </c>
      <c r="L11" s="1346">
        <f t="shared" si="3"/>
        <v>7930280.75</v>
      </c>
      <c r="M11" s="1339"/>
      <c r="N11" s="1339"/>
      <c r="P11" s="1336">
        <f>F11-'Itemized Budget 2024-25'!L2519</f>
        <v>0</v>
      </c>
    </row>
    <row r="12" spans="1:21" ht="26.4">
      <c r="A12" s="1342" t="s">
        <v>1190</v>
      </c>
      <c r="B12" s="1343">
        <f>Tables!C1122</f>
        <v>51627212.999999985</v>
      </c>
      <c r="C12" s="1343">
        <f>Tables!C1123+Tables!C1124</f>
        <v>69049648</v>
      </c>
      <c r="D12" s="1343">
        <f t="shared" si="4"/>
        <v>120676860.99999999</v>
      </c>
      <c r="E12" s="1343">
        <f>Tables!C1125</f>
        <v>364715801.19567716</v>
      </c>
      <c r="F12" s="1343">
        <f t="shared" si="2"/>
        <v>485392662.19567716</v>
      </c>
      <c r="G12" s="1344">
        <f t="shared" si="0"/>
        <v>3.3948252276177093E-2</v>
      </c>
      <c r="H12" s="1345">
        <f>F12-Votes!D11</f>
        <v>0</v>
      </c>
      <c r="I12" s="1338">
        <v>248649157.49612901</v>
      </c>
      <c r="J12" s="1346">
        <f t="shared" si="1"/>
        <v>236743504.69954816</v>
      </c>
      <c r="K12" s="1338">
        <v>77413542.560000002</v>
      </c>
      <c r="L12" s="1346">
        <f t="shared" si="3"/>
        <v>-25786329.560000017</v>
      </c>
      <c r="M12" s="1339"/>
      <c r="N12" s="1339"/>
      <c r="P12" s="1336">
        <f>F12-'Itemized Budget 2024-25'!L2863</f>
        <v>0</v>
      </c>
    </row>
    <row r="13" spans="1:21" ht="18.600000000000001" customHeight="1">
      <c r="A13" s="1342" t="s">
        <v>1191</v>
      </c>
      <c r="B13" s="1343">
        <f>Tables!C1322</f>
        <v>69159768</v>
      </c>
      <c r="C13" s="1343">
        <f>Tables!C1323+Tables!C1324</f>
        <v>100969019.73999999</v>
      </c>
      <c r="D13" s="1343">
        <f t="shared" si="4"/>
        <v>170128787.74000001</v>
      </c>
      <c r="E13" s="1343">
        <f>Tables!C1325</f>
        <v>43956563.476212204</v>
      </c>
      <c r="F13" s="1343">
        <f t="shared" si="2"/>
        <v>214085351.21621221</v>
      </c>
      <c r="G13" s="1344">
        <f t="shared" si="0"/>
        <v>1.4973080719526945E-2</v>
      </c>
      <c r="H13" s="1345">
        <f>F13-Votes!D12</f>
        <v>0</v>
      </c>
      <c r="I13" s="1338">
        <v>193203936.31304699</v>
      </c>
      <c r="J13" s="1346">
        <f t="shared" si="1"/>
        <v>20881414.903165221</v>
      </c>
      <c r="K13" s="1338">
        <v>22123713</v>
      </c>
      <c r="L13" s="1346">
        <f t="shared" si="3"/>
        <v>47036055</v>
      </c>
      <c r="M13" s="1339"/>
      <c r="N13" s="1339"/>
      <c r="P13" s="1336">
        <f>F13-'Itemized Budget 2024-25'!L3209</f>
        <v>0</v>
      </c>
    </row>
    <row r="14" spans="1:21" ht="26.4">
      <c r="A14" s="1342" t="s">
        <v>1192</v>
      </c>
      <c r="B14" s="1343">
        <f>Tables!C1472</f>
        <v>221304940.5</v>
      </c>
      <c r="C14" s="1343">
        <f>Tables!C1473+Tables!C1474</f>
        <v>222348431.86719039</v>
      </c>
      <c r="D14" s="1343">
        <f t="shared" si="4"/>
        <v>443653372.36719036</v>
      </c>
      <c r="E14" s="1343">
        <f>Tables!C1475</f>
        <v>94723298.549999997</v>
      </c>
      <c r="F14" s="1343">
        <f t="shared" si="2"/>
        <v>538376670.91719031</v>
      </c>
      <c r="G14" s="1344">
        <f t="shared" si="0"/>
        <v>3.7653941782369048E-2</v>
      </c>
      <c r="H14" s="1345">
        <f>F14-Votes!D13</f>
        <v>0</v>
      </c>
      <c r="I14" s="1338">
        <v>571122272.55025196</v>
      </c>
      <c r="J14" s="1346">
        <f t="shared" si="1"/>
        <v>-32745601.633061647</v>
      </c>
      <c r="K14" s="1338">
        <v>323189953.20999998</v>
      </c>
      <c r="L14" s="1346">
        <f t="shared" si="3"/>
        <v>-101885012.70999998</v>
      </c>
      <c r="M14" s="1339"/>
      <c r="N14" s="1339"/>
      <c r="P14" s="1336">
        <f>F14-'Itemized Budget 2024-25'!L3544</f>
        <v>0</v>
      </c>
    </row>
    <row r="15" spans="1:21">
      <c r="A15" s="1342" t="s">
        <v>1193</v>
      </c>
      <c r="B15" s="1343">
        <f>Tables!C1991</f>
        <v>260189069</v>
      </c>
      <c r="C15" s="1343">
        <f>Tables!C1992+Tables!C1993</f>
        <v>98207238</v>
      </c>
      <c r="D15" s="1343">
        <f>B15+C15</f>
        <v>358396307</v>
      </c>
      <c r="E15" s="1343">
        <f>Tables!C1994</f>
        <v>580217670.67609525</v>
      </c>
      <c r="F15" s="1343">
        <f t="shared" si="2"/>
        <v>938613977.67609525</v>
      </c>
      <c r="G15" s="1344">
        <f t="shared" si="0"/>
        <v>6.5646447888098938E-2</v>
      </c>
      <c r="H15" s="1345">
        <f>F15-Votes!D14</f>
        <v>0</v>
      </c>
      <c r="I15" s="1338">
        <v>803447719.65233696</v>
      </c>
      <c r="J15" s="1346">
        <f t="shared" si="1"/>
        <v>135166258.02375829</v>
      </c>
      <c r="K15" s="1338">
        <v>264931809.06</v>
      </c>
      <c r="L15" s="1346">
        <f t="shared" si="3"/>
        <v>-4742740.0600000024</v>
      </c>
      <c r="M15" s="1339"/>
      <c r="N15" s="1339"/>
      <c r="P15" s="1336">
        <f>F15-'Itemized Budget 2024-25'!L4762</f>
        <v>0</v>
      </c>
      <c r="R15" s="1336">
        <f>D15-'Itemized Budget 2024-25'!L4760</f>
        <v>0</v>
      </c>
      <c r="S15" s="1347">
        <f>E15-'Itemized Budget 2024-25'!L4761</f>
        <v>0</v>
      </c>
      <c r="U15" s="1347"/>
    </row>
    <row r="16" spans="1:21">
      <c r="A16" s="1342" t="s">
        <v>1194</v>
      </c>
      <c r="B16" s="1343">
        <f>Tables!C2135</f>
        <v>56983440</v>
      </c>
      <c r="C16" s="1343">
        <f>Tables!C2136+Tables!C2137</f>
        <v>45250623.500002369</v>
      </c>
      <c r="D16" s="1343">
        <f t="shared" si="4"/>
        <v>102234063.50000237</v>
      </c>
      <c r="E16" s="1343">
        <f>Tables!C2138</f>
        <v>265625923.89939308</v>
      </c>
      <c r="F16" s="1343">
        <f t="shared" si="2"/>
        <v>367859987.39939547</v>
      </c>
      <c r="G16" s="1344">
        <f t="shared" si="0"/>
        <v>2.5728043761633162E-2</v>
      </c>
      <c r="H16" s="1345">
        <f>F16-Votes!D15</f>
        <v>0</v>
      </c>
      <c r="I16" s="1338">
        <v>152988034.35808301</v>
      </c>
      <c r="J16" s="1346">
        <f t="shared" si="1"/>
        <v>214871953.04131246</v>
      </c>
      <c r="K16" s="1338">
        <v>42657551.359999999</v>
      </c>
      <c r="L16" s="1346">
        <f t="shared" si="3"/>
        <v>14325888.640000001</v>
      </c>
      <c r="M16" s="1339"/>
      <c r="N16" s="1339"/>
      <c r="P16" s="1336">
        <f>F16-'Itemized Budget 2024-25'!L5033</f>
        <v>0</v>
      </c>
    </row>
    <row r="17" spans="1:18">
      <c r="A17" s="1342" t="s">
        <v>1167</v>
      </c>
      <c r="B17" s="1343">
        <f>Tables!C1744</f>
        <v>33636755</v>
      </c>
      <c r="C17" s="1343">
        <f>Tables!C1745+Tables!C1746</f>
        <v>58101548</v>
      </c>
      <c r="D17" s="1343">
        <f>B17+C17</f>
        <v>91738303</v>
      </c>
      <c r="E17" s="1343">
        <f>Tables!C1747</f>
        <v>68177733.0650886</v>
      </c>
      <c r="F17" s="1343">
        <f>SUM(D17,E17)</f>
        <v>159916036.0650886</v>
      </c>
      <c r="G17" s="1344">
        <f t="shared" si="0"/>
        <v>1.1184491151527365E-2</v>
      </c>
      <c r="H17" s="1345">
        <f>F17-Votes!D16</f>
        <v>0</v>
      </c>
      <c r="I17" s="1338">
        <v>178448398.83841601</v>
      </c>
      <c r="J17" s="1346">
        <f>F17-I17</f>
        <v>-18532362.77332741</v>
      </c>
      <c r="K17" s="1338">
        <v>28644300.800000001</v>
      </c>
      <c r="L17" s="1346">
        <f>B17-K17</f>
        <v>4992454.1999999993</v>
      </c>
      <c r="M17" s="1339"/>
      <c r="N17" s="1339"/>
      <c r="P17" s="1336">
        <f>F17-'Itemized Budget 2024-25'!L4127</f>
        <v>0</v>
      </c>
    </row>
    <row r="18" spans="1:18">
      <c r="A18" s="1342" t="s">
        <v>2601</v>
      </c>
      <c r="B18" s="1343">
        <f>Tables!C1862</f>
        <v>31360891</v>
      </c>
      <c r="C18" s="1343">
        <f>Tables!C1863+Tables!C1864</f>
        <v>38430926.399999999</v>
      </c>
      <c r="D18" s="1343">
        <f>B18+C18</f>
        <v>69791817.400000006</v>
      </c>
      <c r="E18" s="1343">
        <f>Tables!C1865</f>
        <v>29444468</v>
      </c>
      <c r="F18" s="1343">
        <f>SUM(D18,E18)</f>
        <v>99236285.400000006</v>
      </c>
      <c r="G18" s="1344">
        <f t="shared" si="0"/>
        <v>6.940563206025146E-3</v>
      </c>
      <c r="H18" s="1345">
        <f>F18-Votes!D17</f>
        <v>0</v>
      </c>
      <c r="I18" s="1338">
        <v>87362468.501111999</v>
      </c>
      <c r="J18" s="1346">
        <f>F18-I18</f>
        <v>11873816.898888007</v>
      </c>
      <c r="K18" s="1338">
        <v>25850142.760000002</v>
      </c>
      <c r="L18" s="1346">
        <f>B18-K18</f>
        <v>5510748.2399999984</v>
      </c>
      <c r="M18" s="1339"/>
      <c r="N18" s="1339"/>
      <c r="P18" s="1336">
        <f>F18-'Itemized Budget 2024-25'!L4361</f>
        <v>0</v>
      </c>
    </row>
    <row r="19" spans="1:18">
      <c r="A19" s="1342" t="s">
        <v>1161</v>
      </c>
      <c r="B19" s="1343">
        <f>Tables!C1607</f>
        <v>29665152.04831427</v>
      </c>
      <c r="C19" s="1343">
        <f>Tables!C1608+Tables!C1609</f>
        <v>34312912</v>
      </c>
      <c r="D19" s="1343">
        <f>B19+C19</f>
        <v>63978064.048314273</v>
      </c>
      <c r="E19" s="1343">
        <f>Tables!C1610</f>
        <v>24734068.422483109</v>
      </c>
      <c r="F19" s="1343">
        <f>SUM(D19,E19)</f>
        <v>88712132.47079739</v>
      </c>
      <c r="G19" s="1344">
        <f t="shared" si="0"/>
        <v>6.2045063463736314E-3</v>
      </c>
      <c r="H19" s="1345">
        <f>F19-Votes!D18</f>
        <v>0</v>
      </c>
      <c r="I19" s="1338">
        <v>81252042.899776205</v>
      </c>
      <c r="J19" s="1346">
        <f>F19-I19</f>
        <v>7460089.5710211843</v>
      </c>
      <c r="K19" s="1338">
        <v>31847495.829999998</v>
      </c>
      <c r="L19" s="1346">
        <f>B19-K19</f>
        <v>-2182343.7816857286</v>
      </c>
      <c r="M19" s="1339"/>
      <c r="N19" s="1339"/>
      <c r="P19" s="1336">
        <f>F19-'Itemized Budget 2024-25'!L3759</f>
        <v>0</v>
      </c>
    </row>
    <row r="20" spans="1:18">
      <c r="A20" s="1342" t="s">
        <v>1164</v>
      </c>
      <c r="B20" s="1343">
        <f>Tables!C1683</f>
        <v>425641295</v>
      </c>
      <c r="C20" s="1343">
        <f>Tables!C1684+Tables!C1685</f>
        <v>704489257</v>
      </c>
      <c r="D20" s="1343">
        <f>B20+C20</f>
        <v>1130130552</v>
      </c>
      <c r="E20" s="1343">
        <f>Tables!C1686</f>
        <v>140900561</v>
      </c>
      <c r="F20" s="1343">
        <f>SUM(D20,E20)</f>
        <v>1271031113</v>
      </c>
      <c r="G20" s="1344">
        <f t="shared" si="0"/>
        <v>8.8895626645462786E-2</v>
      </c>
      <c r="H20" s="1345">
        <f>F20-Votes!D19</f>
        <v>0</v>
      </c>
      <c r="I20" s="1338">
        <v>909689957</v>
      </c>
      <c r="J20" s="1346">
        <f>F20-I20</f>
        <v>361341156</v>
      </c>
      <c r="K20" s="1338">
        <v>478403137</v>
      </c>
      <c r="L20" s="1346">
        <f>B20-K20</f>
        <v>-52761842</v>
      </c>
      <c r="M20" s="1339"/>
      <c r="N20" s="1339"/>
      <c r="P20" s="1336">
        <f>F20-'Itemized Budget 2024-25'!L3928</f>
        <v>0</v>
      </c>
    </row>
    <row r="21" spans="1:18" s="1349" customFormat="1">
      <c r="A21" s="1350" t="s">
        <v>1195</v>
      </c>
      <c r="B21" s="1351">
        <f>SUM(B5:B20)</f>
        <v>5559624872.3164797</v>
      </c>
      <c r="C21" s="1351">
        <f t="shared" ref="C21:E21" si="5">SUM(C5:C20)</f>
        <v>3986637790.2750139</v>
      </c>
      <c r="D21" s="1351">
        <f t="shared" si="5"/>
        <v>9546262662.5914917</v>
      </c>
      <c r="E21" s="1351">
        <f t="shared" si="5"/>
        <v>4751753572.4385958</v>
      </c>
      <c r="F21" s="1351">
        <f>SUM(F5:F20)</f>
        <v>14298016235.030087</v>
      </c>
      <c r="G21" s="1352">
        <f>SUM(G5:G20)</f>
        <v>1.0000000000000002</v>
      </c>
      <c r="H21" s="1351"/>
      <c r="I21" s="1353">
        <f>SUM(I5:I16)</f>
        <v>10389526252.403337</v>
      </c>
      <c r="J21" s="1353">
        <f>SUM(J5:J16)</f>
        <v>2289594415.6908674</v>
      </c>
      <c r="K21" s="1354">
        <f>SUM(K5:K16)</f>
        <v>4714701382.8899994</v>
      </c>
      <c r="L21" s="1354">
        <f>SUM(L5:L16)</f>
        <v>324619396.37816542</v>
      </c>
      <c r="M21" s="1355"/>
      <c r="N21" s="1355"/>
      <c r="P21" s="1336"/>
      <c r="Q21" s="1336"/>
      <c r="R21" s="1336"/>
    </row>
    <row r="22" spans="1:18" s="1356" customFormat="1">
      <c r="A22" s="1357" t="s">
        <v>1823</v>
      </c>
      <c r="B22" s="1358">
        <f>B21/$F$21*100</f>
        <v>38.883889771333592</v>
      </c>
      <c r="C22" s="1358">
        <f>C21/$F$21*100</f>
        <v>27.882453934467961</v>
      </c>
      <c r="D22" s="1358">
        <f>D21/$F$21*100</f>
        <v>66.766343705801532</v>
      </c>
      <c r="E22" s="1358">
        <f>E21/$F$21*100</f>
        <v>33.233656294198468</v>
      </c>
      <c r="F22" s="1358">
        <f>F21/$F$21*100</f>
        <v>100</v>
      </c>
      <c r="G22" s="1359"/>
      <c r="H22" s="1360"/>
      <c r="I22" s="1360"/>
      <c r="J22" s="1360"/>
      <c r="K22" s="1360"/>
      <c r="L22" s="1360"/>
      <c r="M22" s="1360"/>
      <c r="N22" s="1360"/>
      <c r="P22" s="1336"/>
      <c r="Q22" s="1336"/>
      <c r="R22" s="1336"/>
    </row>
    <row r="24" spans="1:18">
      <c r="F24" s="1334" t="e">
        <f>F21-'Itemized Budget 2024-25'!L5041</f>
        <v>#NAME?</v>
      </c>
      <c r="I24" s="1361"/>
    </row>
    <row r="25" spans="1:18">
      <c r="F25" s="1334" t="e">
        <f>F24+'Itemized Budget 2024-25'!L5042</f>
        <v>#NAME?</v>
      </c>
    </row>
    <row r="26" spans="1:18">
      <c r="F26" s="1362"/>
    </row>
  </sheetData>
  <mergeCells count="7">
    <mergeCell ref="A2:G2"/>
    <mergeCell ref="B3:C3"/>
    <mergeCell ref="A3:A4"/>
    <mergeCell ref="D3:D4"/>
    <mergeCell ref="E3:E4"/>
    <mergeCell ref="F3:F4"/>
    <mergeCell ref="G3:G4"/>
  </mergeCells>
  <conditionalFormatting sqref="E22">
    <cfRule type="cellIs" dxfId="2" priority="1" operator="greaterThan">
      <formula>0.3</formula>
    </cfRule>
  </conditionalFormatting>
  <pageMargins left="0.7" right="0.7" top="0.75" bottom="0.75" header="0.3" footer="0.3"/>
  <pageSetup paperSize="9" scale="86"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G2224"/>
  <sheetViews>
    <sheetView topLeftCell="A1703" zoomScale="70" workbookViewId="0">
      <selection activeCell="C1711" sqref="C1711"/>
    </sheetView>
  </sheetViews>
  <sheetFormatPr defaultColWidth="8.5546875" defaultRowHeight="21.9" customHeight="1" outlineLevelRow="1"/>
  <cols>
    <col min="1" max="1" width="62" style="1363" customWidth="1"/>
    <col min="2" max="2" width="22.109375" style="1364" customWidth="1"/>
    <col min="3" max="3" width="23.109375" style="1364" customWidth="1"/>
    <col min="4" max="4" width="21.44140625" style="1364" customWidth="1"/>
    <col min="5" max="5" width="22.44140625" style="1364" customWidth="1"/>
    <col min="6" max="6" width="17.5546875" style="1363" bestFit="1" customWidth="1"/>
    <col min="7" max="7" width="8.88671875" style="1363" bestFit="1" customWidth="1"/>
    <col min="8" max="16384" width="8.5546875" style="1363"/>
  </cols>
  <sheetData>
    <row r="1" spans="1:5" ht="21.9" customHeight="1">
      <c r="A1" s="1365" t="s">
        <v>854</v>
      </c>
      <c r="B1" s="1365"/>
      <c r="C1" s="1365"/>
      <c r="D1" s="1366"/>
      <c r="E1" s="1366"/>
    </row>
    <row r="2" spans="1:5" ht="21.9" customHeight="1">
      <c r="A2" s="1365" t="s">
        <v>2483</v>
      </c>
      <c r="B2" s="1365"/>
      <c r="C2" s="1365"/>
      <c r="D2" s="1366"/>
      <c r="E2" s="1366"/>
    </row>
    <row r="3" spans="1:5" ht="21.9" customHeight="1">
      <c r="A3" s="1366" t="s">
        <v>8</v>
      </c>
      <c r="B3" s="1367"/>
      <c r="C3" s="1367"/>
    </row>
    <row r="4" spans="1:5" ht="21.9" hidden="1" customHeight="1" outlineLevel="1">
      <c r="A4" s="1366" t="s">
        <v>1707</v>
      </c>
      <c r="B4" s="1368"/>
      <c r="C4" s="1368"/>
      <c r="D4" s="1368"/>
      <c r="E4" s="1368"/>
    </row>
    <row r="5" spans="1:5" ht="21.9" hidden="1" customHeight="1" outlineLevel="1">
      <c r="A5" s="1369" t="s">
        <v>856</v>
      </c>
      <c r="B5" s="1370" t="s">
        <v>1671</v>
      </c>
      <c r="C5" s="1370" t="s">
        <v>1670</v>
      </c>
      <c r="D5" s="1371" t="s">
        <v>859</v>
      </c>
      <c r="E5" s="1372"/>
    </row>
    <row r="6" spans="1:5" ht="21.9" hidden="1" customHeight="1" outlineLevel="1">
      <c r="A6" s="1373"/>
      <c r="B6" s="1374"/>
      <c r="C6" s="1374"/>
      <c r="D6" s="1375" t="s">
        <v>861</v>
      </c>
      <c r="E6" s="1375" t="s">
        <v>1672</v>
      </c>
    </row>
    <row r="7" spans="1:5" ht="21.9" hidden="1" customHeight="1" outlineLevel="1">
      <c r="A7" s="1376" t="s">
        <v>862</v>
      </c>
      <c r="B7" s="1377">
        <f>'[3]Itemized Budget 2023-24'!$J$89</f>
        <v>1939808739.26</v>
      </c>
      <c r="C7" s="1377">
        <f>C76</f>
        <v>1886964655.5</v>
      </c>
      <c r="D7" s="1377">
        <f>'Itemized Budget 2024-25'!O87</f>
        <v>2073467621.0500002</v>
      </c>
      <c r="E7" s="1377">
        <f>'Itemized Budget 2024-25'!P87</f>
        <v>2280408383.1550002</v>
      </c>
    </row>
    <row r="8" spans="1:5" ht="21.9" hidden="1" customHeight="1" outlineLevel="1">
      <c r="A8" s="1378" t="s">
        <v>863</v>
      </c>
      <c r="B8" s="1379">
        <f>B7</f>
        <v>1939808739.26</v>
      </c>
      <c r="C8" s="1379">
        <f>SUM(C7)</f>
        <v>1886964655.5</v>
      </c>
      <c r="D8" s="1379">
        <f>SUM(D7)</f>
        <v>2073467621.0500002</v>
      </c>
      <c r="E8" s="1379">
        <f>SUM(E7)</f>
        <v>2280408383.1550002</v>
      </c>
    </row>
    <row r="9" spans="1:5" s="1366" customFormat="1" ht="21.9" hidden="1" customHeight="1" outlineLevel="1">
      <c r="A9" s="1380" t="s">
        <v>94</v>
      </c>
      <c r="B9" s="1381">
        <f>'[3]Itemized Budget 2023-24'!$J$427</f>
        <v>53360000</v>
      </c>
      <c r="C9" s="1381">
        <f>C90</f>
        <v>13667516</v>
      </c>
      <c r="D9" s="1381">
        <f>'Itemized Budget 2024-25'!O135</f>
        <v>15034267.6</v>
      </c>
      <c r="E9" s="1381">
        <f>'Itemized Budget 2024-25'!P135</f>
        <v>16537694.360000001</v>
      </c>
    </row>
    <row r="10" spans="1:5" s="1366" customFormat="1" ht="21.9" hidden="1" customHeight="1" outlineLevel="1">
      <c r="A10" s="1382" t="s">
        <v>93</v>
      </c>
      <c r="B10" s="1379">
        <f>B9</f>
        <v>53360000</v>
      </c>
      <c r="C10" s="1379">
        <f>C9</f>
        <v>13667516</v>
      </c>
      <c r="D10" s="1379">
        <f t="shared" ref="D10:E10" si="0">D9</f>
        <v>15034267.6</v>
      </c>
      <c r="E10" s="1379">
        <f t="shared" si="0"/>
        <v>16537694.360000001</v>
      </c>
    </row>
    <row r="11" spans="1:5" s="1366" customFormat="1" ht="21.9" hidden="1" customHeight="1" outlineLevel="1">
      <c r="A11" s="1383" t="s">
        <v>1547</v>
      </c>
      <c r="B11" s="1384">
        <v>18000000</v>
      </c>
      <c r="C11" s="1383">
        <f>C104</f>
        <v>16566710</v>
      </c>
      <c r="D11" s="1383">
        <f>'Itemized Budget 2024-25'!O178</f>
        <v>18223381</v>
      </c>
      <c r="E11" s="1383">
        <f>'Itemized Budget 2024-25'!P178</f>
        <v>20045719.100000001</v>
      </c>
    </row>
    <row r="12" spans="1:5" s="1366" customFormat="1" ht="21.9" hidden="1" customHeight="1" outlineLevel="1">
      <c r="A12" s="1385" t="s">
        <v>1676</v>
      </c>
      <c r="B12" s="1386">
        <f>B11</f>
        <v>18000000</v>
      </c>
      <c r="C12" s="1379">
        <f>C11</f>
        <v>16566710</v>
      </c>
      <c r="D12" s="1379">
        <f t="shared" ref="D12:E12" si="1">D11</f>
        <v>18223381</v>
      </c>
      <c r="E12" s="1379">
        <f t="shared" si="1"/>
        <v>20045719.100000001</v>
      </c>
    </row>
    <row r="13" spans="1:5" s="1366" customFormat="1" ht="21.9" hidden="1" customHeight="1" outlineLevel="1">
      <c r="A13" s="1380" t="s">
        <v>1550</v>
      </c>
      <c r="B13" s="1384">
        <v>8500000</v>
      </c>
      <c r="C13" s="1380">
        <f>C118</f>
        <v>9050000</v>
      </c>
      <c r="D13" s="1380">
        <f>'Itemized Budget 2024-25'!O218</f>
        <v>9955000</v>
      </c>
      <c r="E13" s="1380">
        <f>'Itemized Budget 2024-25'!P218</f>
        <v>10950500</v>
      </c>
    </row>
    <row r="14" spans="1:5" s="1366" customFormat="1" ht="21.9" hidden="1" customHeight="1" outlineLevel="1">
      <c r="A14" s="1387" t="s">
        <v>1677</v>
      </c>
      <c r="B14" s="1386">
        <f>B13</f>
        <v>8500000</v>
      </c>
      <c r="C14" s="1387">
        <f>C13</f>
        <v>9050000</v>
      </c>
      <c r="D14" s="1387">
        <f t="shared" ref="D14:E14" si="2">D13</f>
        <v>9955000</v>
      </c>
      <c r="E14" s="1387">
        <f t="shared" si="2"/>
        <v>10950500</v>
      </c>
    </row>
    <row r="15" spans="1:5" s="1366" customFormat="1" ht="21.9" hidden="1" customHeight="1" outlineLevel="1">
      <c r="A15" s="1383" t="s">
        <v>1556</v>
      </c>
      <c r="B15" s="1384">
        <v>11000000</v>
      </c>
      <c r="C15" s="1383">
        <f>C131</f>
        <v>10119545</v>
      </c>
      <c r="D15" s="1383">
        <f>'Itemized Budget 2024-25'!O261</f>
        <v>11131499.5</v>
      </c>
      <c r="E15" s="1383">
        <f>'Itemized Budget 2024-25'!P261</f>
        <v>12244649.450000001</v>
      </c>
    </row>
    <row r="16" spans="1:5" s="1366" customFormat="1" ht="21.9" hidden="1" customHeight="1" outlineLevel="1">
      <c r="A16" s="1385" t="s">
        <v>1678</v>
      </c>
      <c r="B16" s="1386">
        <f>B15</f>
        <v>11000000</v>
      </c>
      <c r="C16" s="1385">
        <f>C15</f>
        <v>10119545</v>
      </c>
      <c r="D16" s="1385">
        <f t="shared" ref="D16:E16" si="3">D15</f>
        <v>11131499.5</v>
      </c>
      <c r="E16" s="1385">
        <f t="shared" si="3"/>
        <v>12244649.450000001</v>
      </c>
    </row>
    <row r="17" spans="1:5" s="1366" customFormat="1" ht="21.9" hidden="1" customHeight="1" outlineLevel="1">
      <c r="A17" s="1383" t="s">
        <v>1551</v>
      </c>
      <c r="B17" s="1383">
        <v>5400000</v>
      </c>
      <c r="C17" s="1388">
        <f>C144</f>
        <v>7250000</v>
      </c>
      <c r="D17" s="1388">
        <f>'Itemized Budget 2024-25'!O300</f>
        <v>7975000</v>
      </c>
      <c r="E17" s="1388">
        <f>'Itemized Budget 2024-25'!P300</f>
        <v>8772500</v>
      </c>
    </row>
    <row r="18" spans="1:5" s="1366" customFormat="1" ht="21.9" hidden="1" customHeight="1" outlineLevel="1">
      <c r="A18" s="1385" t="s">
        <v>1679</v>
      </c>
      <c r="B18" s="1389">
        <f>B17</f>
        <v>5400000</v>
      </c>
      <c r="C18" s="1390">
        <f>C17</f>
        <v>7250000</v>
      </c>
      <c r="D18" s="1390">
        <f t="shared" ref="D18:E18" si="4">D17</f>
        <v>7975000</v>
      </c>
      <c r="E18" s="1390">
        <f t="shared" si="4"/>
        <v>8772500</v>
      </c>
    </row>
    <row r="19" spans="1:5" ht="21.9" hidden="1" customHeight="1" outlineLevel="1">
      <c r="A19" s="1391" t="s">
        <v>1674</v>
      </c>
      <c r="B19" s="1381">
        <f>'[3]Itemized Budget 2023-24'!$J$213</f>
        <v>14303410</v>
      </c>
      <c r="C19" s="1381">
        <f>C158</f>
        <v>22725500</v>
      </c>
      <c r="D19" s="1381">
        <f>'Itemized Budget 2024-25'!O348</f>
        <v>24998050</v>
      </c>
      <c r="E19" s="1381">
        <f>'Itemized Budget 2024-25'!P348</f>
        <v>27497855</v>
      </c>
    </row>
    <row r="20" spans="1:5" ht="21.9" hidden="1" customHeight="1" outlineLevel="1">
      <c r="A20" s="1380" t="s">
        <v>1562</v>
      </c>
      <c r="B20" s="1381">
        <v>0</v>
      </c>
      <c r="C20" s="1381">
        <f>C172</f>
        <v>16016288</v>
      </c>
      <c r="D20" s="1381">
        <f>'Itemized Budget 2024-25'!O382</f>
        <v>16517916.800000001</v>
      </c>
      <c r="E20" s="1381">
        <f>'Itemized Budget 2024-25'!P382</f>
        <v>18169708.480000004</v>
      </c>
    </row>
    <row r="21" spans="1:5" s="1366" customFormat="1" ht="21.9" hidden="1" customHeight="1" outlineLevel="1">
      <c r="A21" s="1392" t="s">
        <v>1673</v>
      </c>
      <c r="B21" s="1379">
        <f>B19+B20</f>
        <v>14303410</v>
      </c>
      <c r="C21" s="1379">
        <f>C19+C20</f>
        <v>38741788</v>
      </c>
      <c r="D21" s="1379">
        <f t="shared" ref="D21:E21" si="5">D19+D20</f>
        <v>41515966.799999997</v>
      </c>
      <c r="E21" s="1379">
        <f t="shared" si="5"/>
        <v>45667563.480000004</v>
      </c>
    </row>
    <row r="22" spans="1:5" ht="21.9" hidden="1" customHeight="1" outlineLevel="1">
      <c r="A22" s="1380" t="s">
        <v>1675</v>
      </c>
      <c r="B22" s="1381">
        <f>'[3]Itemized Budget 2023-24'!$J$263</f>
        <v>45862672.140000001</v>
      </c>
      <c r="C22" s="1381">
        <f>C186</f>
        <v>7216429.674643755</v>
      </c>
      <c r="D22" s="1381">
        <f>'Itemized Budget 2024-25'!O441</f>
        <v>0</v>
      </c>
      <c r="E22" s="1381">
        <f>'Itemized Budget 2024-25'!P441</f>
        <v>0</v>
      </c>
    </row>
    <row r="23" spans="1:5" s="1366" customFormat="1" ht="21.9" hidden="1" customHeight="1" outlineLevel="1">
      <c r="A23" s="1387" t="s">
        <v>1266</v>
      </c>
      <c r="B23" s="1379">
        <f>B22</f>
        <v>45862672.140000001</v>
      </c>
      <c r="C23" s="1379">
        <f>C22</f>
        <v>7216429.674643755</v>
      </c>
      <c r="D23" s="1379">
        <f t="shared" ref="D23:E23" si="6">D22</f>
        <v>0</v>
      </c>
      <c r="E23" s="1379">
        <f t="shared" si="6"/>
        <v>0</v>
      </c>
    </row>
    <row r="24" spans="1:5" s="1366" customFormat="1" ht="21.9" hidden="1" customHeight="1" outlineLevel="1">
      <c r="A24" s="1380" t="s">
        <v>109</v>
      </c>
      <c r="B24" s="1381">
        <f>'[3]Itemized Budget 2023-24'!$J$306</f>
        <v>9776852.1400000006</v>
      </c>
      <c r="C24" s="1381">
        <f>C200</f>
        <v>3568000</v>
      </c>
      <c r="D24" s="1381">
        <f>'Itemized Budget 2024-25'!O486</f>
        <v>0</v>
      </c>
      <c r="E24" s="1381">
        <f>'Itemized Budget 2024-25'!P486</f>
        <v>0</v>
      </c>
    </row>
    <row r="25" spans="1:5" s="1366" customFormat="1" ht="21.9" hidden="1" customHeight="1" outlineLevel="1">
      <c r="A25" s="1387" t="s">
        <v>109</v>
      </c>
      <c r="B25" s="1379">
        <f>B24</f>
        <v>9776852.1400000006</v>
      </c>
      <c r="C25" s="1379">
        <f>C24</f>
        <v>3568000</v>
      </c>
      <c r="D25" s="1379">
        <f t="shared" ref="D25:E25" si="7">D24</f>
        <v>0</v>
      </c>
      <c r="E25" s="1379">
        <f t="shared" si="7"/>
        <v>0</v>
      </c>
    </row>
    <row r="26" spans="1:5" s="1366" customFormat="1" ht="21.9" hidden="1" customHeight="1" outlineLevel="1">
      <c r="A26" s="1393" t="s">
        <v>1577</v>
      </c>
      <c r="B26" s="1379"/>
      <c r="C26" s="1364">
        <f>C214</f>
        <v>37695473.755286314</v>
      </c>
      <c r="D26" s="1364">
        <f>'Itemized Budget 2024-25'!O523</f>
        <v>0</v>
      </c>
      <c r="E26" s="1364">
        <f>'Itemized Budget 2024-25'!P523</f>
        <v>0</v>
      </c>
    </row>
    <row r="27" spans="1:5" s="1366" customFormat="1" ht="21.9" hidden="1" customHeight="1" outlineLevel="1">
      <c r="A27" s="1382" t="s">
        <v>1577</v>
      </c>
      <c r="B27" s="1379"/>
      <c r="C27" s="1367">
        <f>C26</f>
        <v>37695473.755286314</v>
      </c>
      <c r="D27" s="1367">
        <f>D26</f>
        <v>0</v>
      </c>
      <c r="E27" s="1367">
        <f>E26</f>
        <v>0</v>
      </c>
    </row>
    <row r="28" spans="1:5" ht="21.9" hidden="1" customHeight="1" outlineLevel="1">
      <c r="A28" s="1376" t="s">
        <v>112</v>
      </c>
      <c r="B28" s="1381">
        <f>'[3]Itemized Budget 2023-24'!$J$389</f>
        <v>21951280.359999999</v>
      </c>
      <c r="C28" s="1381">
        <f>C228</f>
        <v>12878022.699999999</v>
      </c>
      <c r="D28" s="1381">
        <f>'Itemized Budget 2024-25'!O582</f>
        <v>0</v>
      </c>
      <c r="E28" s="1381">
        <f>'Itemized Budget 2024-25'!P582</f>
        <v>0</v>
      </c>
    </row>
    <row r="29" spans="1:5" s="1366" customFormat="1" ht="21.9" hidden="1" customHeight="1" outlineLevel="1">
      <c r="A29" s="1378" t="s">
        <v>111</v>
      </c>
      <c r="B29" s="1379">
        <f>B28</f>
        <v>21951280.359999999</v>
      </c>
      <c r="C29" s="1379">
        <f>C28</f>
        <v>12878022.699999999</v>
      </c>
      <c r="D29" s="1379">
        <f t="shared" ref="D29:E29" si="8">D28</f>
        <v>0</v>
      </c>
      <c r="E29" s="1379">
        <f t="shared" si="8"/>
        <v>0</v>
      </c>
    </row>
    <row r="30" spans="1:5" s="1366" customFormat="1" ht="21.9" hidden="1" customHeight="1" outlineLevel="1">
      <c r="A30" s="1382" t="s">
        <v>1669</v>
      </c>
      <c r="B30" s="1379"/>
      <c r="C30" s="1364">
        <f>C241</f>
        <v>5725053.5999999996</v>
      </c>
      <c r="D30" s="1364">
        <f>'Itemized Budget 2024-25'!O617</f>
        <v>0</v>
      </c>
      <c r="E30" s="1364">
        <f>'Itemized Budget 2024-25'!P617</f>
        <v>0</v>
      </c>
    </row>
    <row r="31" spans="1:5" s="1366" customFormat="1" ht="21.9" hidden="1" customHeight="1" outlineLevel="1">
      <c r="A31" s="1382" t="s">
        <v>1669</v>
      </c>
      <c r="B31" s="1367">
        <f>B30</f>
        <v>0</v>
      </c>
      <c r="C31" s="1367">
        <f>C30</f>
        <v>5725053.5999999996</v>
      </c>
      <c r="D31" s="1367">
        <f t="shared" ref="D31:E31" si="9">D30</f>
        <v>0</v>
      </c>
      <c r="E31" s="1367">
        <f t="shared" si="9"/>
        <v>0</v>
      </c>
    </row>
    <row r="32" spans="1:5" ht="21.9" hidden="1" customHeight="1" outlineLevel="1">
      <c r="A32" s="1393" t="s">
        <v>872</v>
      </c>
      <c r="B32" s="1381">
        <f>'[3]Itemized Budget 2023-24'!$J$468</f>
        <v>50875866</v>
      </c>
      <c r="C32" s="1381">
        <f>C254</f>
        <v>147790000</v>
      </c>
      <c r="D32" s="1381">
        <f>'Itemized Budget 2024-25'!O662</f>
        <v>0</v>
      </c>
      <c r="E32" s="1381">
        <f>'Itemized Budget 2024-25'!P662</f>
        <v>0</v>
      </c>
    </row>
    <row r="33" spans="1:5" s="1366" customFormat="1" ht="21.9" hidden="1" customHeight="1" outlineLevel="1">
      <c r="A33" s="1382" t="s">
        <v>872</v>
      </c>
      <c r="B33" s="1379">
        <f>B32</f>
        <v>50875866</v>
      </c>
      <c r="C33" s="1379">
        <f>C32</f>
        <v>147790000</v>
      </c>
      <c r="D33" s="1379">
        <f t="shared" ref="D33:E33" si="10">D32</f>
        <v>0</v>
      </c>
      <c r="E33" s="1379">
        <f t="shared" si="10"/>
        <v>0</v>
      </c>
    </row>
    <row r="34" spans="1:5" ht="21.9" hidden="1" customHeight="1" outlineLevel="1">
      <c r="A34" s="1393" t="s">
        <v>138</v>
      </c>
      <c r="B34" s="1381">
        <f>'[3]Itemized Budget 2023-24'!$J$506</f>
        <v>31958000</v>
      </c>
      <c r="C34" s="1381">
        <f>C267</f>
        <v>40529000</v>
      </c>
      <c r="D34" s="1381">
        <f>'Itemized Budget 2024-25'!O701</f>
        <v>44581900</v>
      </c>
      <c r="E34" s="1381">
        <f>'Itemized Budget 2024-25'!P701</f>
        <v>49040090</v>
      </c>
    </row>
    <row r="35" spans="1:5" s="1366" customFormat="1" ht="21.9" hidden="1" customHeight="1" outlineLevel="1">
      <c r="A35" s="1382" t="s">
        <v>138</v>
      </c>
      <c r="B35" s="1379">
        <f>B34</f>
        <v>31958000</v>
      </c>
      <c r="C35" s="1379">
        <f>C34</f>
        <v>40529000</v>
      </c>
      <c r="D35" s="1379">
        <f t="shared" ref="D35:E35" si="11">D34</f>
        <v>44581900</v>
      </c>
      <c r="E35" s="1379">
        <f t="shared" si="11"/>
        <v>49040090</v>
      </c>
    </row>
    <row r="36" spans="1:5" s="1366" customFormat="1" ht="21.9" hidden="1" customHeight="1" outlineLevel="1">
      <c r="A36" s="1393" t="s">
        <v>1746</v>
      </c>
      <c r="B36" s="1381">
        <f>'[3]Itemized Budget 2023-24'!$J$580</f>
        <v>212395671.13002402</v>
      </c>
      <c r="C36" s="1381">
        <f>Tables!C280</f>
        <v>201747567.12311122</v>
      </c>
      <c r="D36" s="1381">
        <f>'Itemized Budget 2024-25'!O780</f>
        <v>11748000</v>
      </c>
      <c r="E36" s="1381">
        <f>'Itemized Budget 2024-25'!P780</f>
        <v>12922800.000000002</v>
      </c>
    </row>
    <row r="37" spans="1:5" ht="21.9" hidden="1" customHeight="1" outlineLevel="1">
      <c r="A37" s="1394" t="s">
        <v>1757</v>
      </c>
      <c r="B37" s="1379">
        <f>B36</f>
        <v>212395671.13002402</v>
      </c>
      <c r="C37" s="1379">
        <f>C36</f>
        <v>201747567.12311122</v>
      </c>
      <c r="D37" s="1379">
        <f t="shared" ref="D37:E37" si="12">D36</f>
        <v>11748000</v>
      </c>
      <c r="E37" s="1379">
        <f t="shared" si="12"/>
        <v>12922800.000000002</v>
      </c>
    </row>
    <row r="38" spans="1:5" ht="21.9" hidden="1" customHeight="1" outlineLevel="1">
      <c r="A38" s="1376" t="s">
        <v>874</v>
      </c>
      <c r="B38" s="1381">
        <f>'[3]Itemized Budget 2023-24'!$J$631</f>
        <v>20744144.700000003</v>
      </c>
      <c r="C38" s="1381">
        <f>C293</f>
        <v>17657227</v>
      </c>
      <c r="D38" s="1381">
        <f>'Itemized Budget 2024-25'!O839</f>
        <v>56828904</v>
      </c>
      <c r="E38" s="1381">
        <f>'Itemized Budget 2024-25'!P839</f>
        <v>62511794.400000006</v>
      </c>
    </row>
    <row r="39" spans="1:5" ht="21.9" hidden="1" customHeight="1" outlineLevel="1">
      <c r="A39" s="1378" t="s">
        <v>875</v>
      </c>
      <c r="B39" s="1379">
        <f>B38</f>
        <v>20744144.700000003</v>
      </c>
      <c r="C39" s="1379">
        <f>C38</f>
        <v>17657227</v>
      </c>
      <c r="D39" s="1379">
        <f t="shared" ref="D39:E39" si="13">D38</f>
        <v>56828904</v>
      </c>
      <c r="E39" s="1379">
        <f t="shared" si="13"/>
        <v>62511794.400000006</v>
      </c>
    </row>
    <row r="40" spans="1:5" ht="21.9" hidden="1" customHeight="1" outlineLevel="1">
      <c r="A40" s="1393" t="s">
        <v>864</v>
      </c>
      <c r="B40" s="1381">
        <f>'[3]Itemized Budget 2023-24'!$J$128</f>
        <v>160161617</v>
      </c>
      <c r="C40" s="1363">
        <v>0</v>
      </c>
      <c r="D40" s="1363">
        <v>0</v>
      </c>
      <c r="E40" s="1363">
        <v>0</v>
      </c>
    </row>
    <row r="41" spans="1:5" ht="21.9" hidden="1" customHeight="1" outlineLevel="1">
      <c r="A41" s="1382" t="s">
        <v>865</v>
      </c>
      <c r="B41" s="1379">
        <f>B40</f>
        <v>160161617</v>
      </c>
      <c r="C41" s="1379">
        <f>C40</f>
        <v>0</v>
      </c>
      <c r="D41" s="1379">
        <f t="shared" ref="D41:E41" si="14">D40</f>
        <v>0</v>
      </c>
      <c r="E41" s="1379">
        <f t="shared" si="14"/>
        <v>0</v>
      </c>
    </row>
    <row r="42" spans="1:5" s="1366" customFormat="1" ht="21.9" hidden="1" customHeight="1" outlineLevel="1">
      <c r="A42" s="1363" t="s">
        <v>868</v>
      </c>
      <c r="B42" s="1381"/>
      <c r="C42" s="1381"/>
      <c r="D42" s="1381"/>
      <c r="E42" s="1381"/>
    </row>
    <row r="43" spans="1:5" ht="21.9" hidden="1" customHeight="1" outlineLevel="1">
      <c r="A43" s="1382" t="s">
        <v>869</v>
      </c>
      <c r="B43" s="1379"/>
      <c r="C43" s="1379"/>
      <c r="D43" s="1379"/>
      <c r="E43" s="1379"/>
    </row>
    <row r="44" spans="1:5" ht="21.9" hidden="1" customHeight="1" outlineLevel="1">
      <c r="A44" s="1393" t="s">
        <v>866</v>
      </c>
      <c r="B44" s="1381"/>
      <c r="C44" s="1381"/>
      <c r="D44" s="1381"/>
      <c r="E44" s="1381"/>
    </row>
    <row r="45" spans="1:5" ht="21.9" hidden="1" customHeight="1" outlineLevel="1">
      <c r="A45" s="1382" t="s">
        <v>867</v>
      </c>
      <c r="B45" s="1379"/>
      <c r="C45" s="1379"/>
      <c r="D45" s="1379"/>
      <c r="E45" s="1379"/>
    </row>
    <row r="46" spans="1:5" ht="21.9" hidden="1" customHeight="1" outlineLevel="1">
      <c r="A46" s="1393" t="s">
        <v>94</v>
      </c>
      <c r="B46" s="1379"/>
      <c r="C46" s="1379"/>
      <c r="D46" s="1379"/>
      <c r="E46" s="1379"/>
    </row>
    <row r="47" spans="1:5" ht="21.9" hidden="1" customHeight="1" outlineLevel="1">
      <c r="A47" s="1382" t="s">
        <v>869</v>
      </c>
      <c r="B47" s="1379"/>
      <c r="C47" s="1379"/>
      <c r="D47" s="1379"/>
      <c r="E47" s="1379"/>
    </row>
    <row r="48" spans="1:5" ht="21.9" hidden="1" customHeight="1" outlineLevel="1">
      <c r="A48" s="1376" t="s">
        <v>870</v>
      </c>
      <c r="B48" s="1381"/>
      <c r="C48" s="1381"/>
      <c r="D48" s="1381"/>
      <c r="E48" s="1381"/>
    </row>
    <row r="49" spans="1:5" s="1366" customFormat="1" ht="21.9" hidden="1" customHeight="1" outlineLevel="1">
      <c r="A49" s="1382" t="s">
        <v>871</v>
      </c>
      <c r="B49" s="1379"/>
      <c r="C49" s="1379"/>
      <c r="D49" s="1379"/>
      <c r="E49" s="1379"/>
    </row>
    <row r="50" spans="1:5" ht="21.9" hidden="1" customHeight="1" outlineLevel="1">
      <c r="A50" s="1378" t="s">
        <v>876</v>
      </c>
      <c r="B50" s="1379">
        <f>B39+B37+B35+B33+B10+B29+B25+B23+B21+B41+B8</f>
        <v>2561198252.7300239</v>
      </c>
      <c r="C50" s="1379">
        <f>C39+C37+C35+C33+C10+C29+C25+C23+C21+C41+C8+C31+C27+C18+C16+C14+C12</f>
        <v>2457166988.3530412</v>
      </c>
      <c r="D50" s="1379">
        <f t="shared" ref="D50:E50" si="15">D39+D37+D35+D33+D10+D29+D25+D23+D21+D41+D8+D31+D27+D18+D16+D14+D12</f>
        <v>2290461539.9500003</v>
      </c>
      <c r="E50" s="1379">
        <f t="shared" si="15"/>
        <v>2519101693.9450002</v>
      </c>
    </row>
    <row r="51" spans="1:5" ht="21.9" hidden="1" customHeight="1" outlineLevel="1"/>
    <row r="52" spans="1:5" ht="21.9" hidden="1" customHeight="1" outlineLevel="1">
      <c r="A52" s="1366" t="s">
        <v>877</v>
      </c>
    </row>
    <row r="53" spans="1:5" ht="21.9" hidden="1" customHeight="1" outlineLevel="1">
      <c r="A53" s="1369" t="s">
        <v>878</v>
      </c>
      <c r="B53" s="1370" t="s">
        <v>1671</v>
      </c>
      <c r="C53" s="1370" t="s">
        <v>1680</v>
      </c>
      <c r="D53" s="1371" t="s">
        <v>859</v>
      </c>
      <c r="E53" s="1372"/>
    </row>
    <row r="54" spans="1:5" s="1366" customFormat="1" ht="21.9" hidden="1" customHeight="1" outlineLevel="1">
      <c r="A54" s="1373"/>
      <c r="B54" s="1374"/>
      <c r="C54" s="1374"/>
      <c r="D54" s="1375" t="s">
        <v>861</v>
      </c>
      <c r="E54" s="1375" t="s">
        <v>1672</v>
      </c>
    </row>
    <row r="55" spans="1:5" s="1366" customFormat="1" ht="21.9" hidden="1" customHeight="1" outlineLevel="1">
      <c r="A55" s="1382" t="s">
        <v>879</v>
      </c>
      <c r="B55" s="1395">
        <v>1275451665.7300241</v>
      </c>
      <c r="C55" s="1395">
        <f>C56+C57+C58</f>
        <v>1369068206.2299302</v>
      </c>
      <c r="D55" s="1395">
        <f>SUM(D56:D58)</f>
        <v>1194868669.4763517</v>
      </c>
      <c r="E55" s="1395">
        <f>SUM(E56:E58)</f>
        <v>1310105099.7589569</v>
      </c>
    </row>
    <row r="56" spans="1:5" ht="21.9" hidden="1" customHeight="1" outlineLevel="1">
      <c r="A56" s="1393" t="s">
        <v>880</v>
      </c>
      <c r="B56" s="1363">
        <v>548817887</v>
      </c>
      <c r="C56" s="1381">
        <f>C70+C84+C98+C112+C125+C138+C152+C166+C180+C194+C208+C222+C235+C248+C261+C274+C287</f>
        <v>508750023</v>
      </c>
      <c r="D56" s="1381">
        <f t="shared" ref="D56:E58" si="16">D70+D84+D152+D112+D194+D208+D138+D180+D166+D98+D125</f>
        <v>573783060.97356689</v>
      </c>
      <c r="E56" s="1381">
        <f t="shared" si="16"/>
        <v>629092345.59898853</v>
      </c>
    </row>
    <row r="57" spans="1:5" s="1366" customFormat="1" ht="21.9" hidden="1" customHeight="1" outlineLevel="1">
      <c r="A57" s="1393" t="s">
        <v>881</v>
      </c>
      <c r="B57" s="1363">
        <v>553679386.27002406</v>
      </c>
      <c r="C57" s="1381">
        <f>C71+C85+C99+C113+C126+C139+C153+C167+C181+C195+C209+C223+C236+C249+C262+C275+C288</f>
        <v>797442540.22993016</v>
      </c>
      <c r="D57" s="1381">
        <f t="shared" si="16"/>
        <v>576556486.34929335</v>
      </c>
      <c r="E57" s="1381">
        <f t="shared" si="16"/>
        <v>632191288.68227911</v>
      </c>
    </row>
    <row r="58" spans="1:5" ht="21.9" hidden="1" customHeight="1" outlineLevel="1">
      <c r="A58" s="1393" t="s">
        <v>882</v>
      </c>
      <c r="B58" s="1363">
        <v>172954392.46000001</v>
      </c>
      <c r="C58" s="1381">
        <f>C72+C86+C100+C114+C127+C140+C154+C168+C182+C196+C210+C224+C237+C250+C263+C276+C289</f>
        <v>62875643</v>
      </c>
      <c r="D58" s="1381">
        <f t="shared" si="16"/>
        <v>44529122.153491534</v>
      </c>
      <c r="E58" s="1381">
        <f t="shared" si="16"/>
        <v>48821465.477689266</v>
      </c>
    </row>
    <row r="59" spans="1:5" ht="21.9" hidden="1" customHeight="1" outlineLevel="1">
      <c r="A59" s="1382" t="s">
        <v>883</v>
      </c>
      <c r="B59" s="1379">
        <v>1285746587</v>
      </c>
      <c r="C59" s="1379">
        <f>C60+C61</f>
        <v>1088098782.1231112</v>
      </c>
      <c r="D59" s="1379">
        <f>SUM(D60:D61)</f>
        <v>1047524479.6656401</v>
      </c>
      <c r="E59" s="1379">
        <f>SUM(E60:E61)</f>
        <v>1148499627.8333423</v>
      </c>
    </row>
    <row r="60" spans="1:5" s="1366" customFormat="1" ht="21.9" hidden="1" customHeight="1" outlineLevel="1">
      <c r="A60" s="1393" t="s">
        <v>884</v>
      </c>
      <c r="B60" s="1381">
        <v>1285746587</v>
      </c>
      <c r="C60" s="1381">
        <f>C74+C88+C102+C116+C129+C142+C156+C170+C184+C198+C212+C226+C239+C252+C265+C278+C291</f>
        <v>1088098782.1231112</v>
      </c>
      <c r="D60" s="1381">
        <f>D74+D88+D156+D116+D198+D212+D142+D184+D170+D102+D129</f>
        <v>1047524479.6656401</v>
      </c>
      <c r="E60" s="1381">
        <f>E74+E88+E156+E116+E198+E212+E142+E184+E170+E102+E129</f>
        <v>1148499627.8333423</v>
      </c>
    </row>
    <row r="61" spans="1:5" ht="21.9" hidden="1" customHeight="1" outlineLevel="1">
      <c r="A61" s="1393" t="s">
        <v>885</v>
      </c>
      <c r="B61" s="1381">
        <v>0</v>
      </c>
      <c r="C61" s="1381">
        <f>C75+C89+C157+C117+C199+C213+C143+C185+C171+C103+C130</f>
        <v>0</v>
      </c>
      <c r="D61" s="1381">
        <f>D75+D89+D157+D117+D199+D213+D143+D185+D171+D103+D130</f>
        <v>0</v>
      </c>
      <c r="E61" s="1381">
        <f>E75+E89+E157+E117+E199+E213+E143+E185+E171+E103+E130</f>
        <v>0</v>
      </c>
    </row>
    <row r="62" spans="1:5" ht="21.9" hidden="1" customHeight="1" outlineLevel="1">
      <c r="A62" s="1382" t="s">
        <v>886</v>
      </c>
      <c r="B62" s="1379">
        <v>2561198252.7300243</v>
      </c>
      <c r="C62" s="1379">
        <f>C59+C55</f>
        <v>2457166988.3530416</v>
      </c>
      <c r="D62" s="1379">
        <f>D59+D55</f>
        <v>2242393149.1419916</v>
      </c>
      <c r="E62" s="1379">
        <f>E59+E55</f>
        <v>2458604727.5922995</v>
      </c>
    </row>
    <row r="63" spans="1:5" ht="21.9" hidden="1" customHeight="1" outlineLevel="1"/>
    <row r="64" spans="1:5" s="1366" customFormat="1" ht="21.9" hidden="1" customHeight="1" outlineLevel="1">
      <c r="A64" s="1366" t="s">
        <v>887</v>
      </c>
      <c r="B64" s="1367"/>
      <c r="C64" s="1367"/>
      <c r="D64" s="1367"/>
      <c r="E64" s="1367"/>
    </row>
    <row r="65" spans="1:5" ht="21.9" hidden="1" customHeight="1" outlineLevel="1">
      <c r="A65" s="1366" t="s">
        <v>888</v>
      </c>
    </row>
    <row r="66" spans="1:5" ht="21.9" hidden="1" customHeight="1" outlineLevel="1">
      <c r="A66" s="1363" t="s">
        <v>889</v>
      </c>
    </row>
    <row r="67" spans="1:5" s="1366" customFormat="1" ht="21.9" hidden="1" customHeight="1" outlineLevel="1">
      <c r="A67" s="1369" t="s">
        <v>878</v>
      </c>
      <c r="B67" s="1370" t="s">
        <v>1671</v>
      </c>
      <c r="C67" s="1370" t="s">
        <v>1680</v>
      </c>
      <c r="D67" s="1371" t="s">
        <v>859</v>
      </c>
      <c r="E67" s="1372"/>
    </row>
    <row r="68" spans="1:5" ht="21.9" hidden="1" customHeight="1" outlineLevel="1">
      <c r="A68" s="1373"/>
      <c r="B68" s="1374"/>
      <c r="C68" s="1374"/>
      <c r="D68" s="1375" t="s">
        <v>861</v>
      </c>
      <c r="E68" s="1375" t="s">
        <v>1672</v>
      </c>
    </row>
    <row r="69" spans="1:5" ht="21.9" hidden="1" customHeight="1" outlineLevel="1">
      <c r="A69" s="1396" t="s">
        <v>890</v>
      </c>
      <c r="B69" s="1379">
        <v>855403200.25999999</v>
      </c>
      <c r="C69" s="1379">
        <f>SUM(C70:C72)</f>
        <v>931391188</v>
      </c>
      <c r="D69" s="1379">
        <f>SUM(D70:D72)</f>
        <v>1021015236.1465209</v>
      </c>
      <c r="E69" s="1379">
        <f>SUM(E70:E72)</f>
        <v>1119435050.4350462</v>
      </c>
    </row>
    <row r="70" spans="1:5" ht="21.9" hidden="1" customHeight="1" outlineLevel="1">
      <c r="A70" s="1393" t="s">
        <v>880</v>
      </c>
      <c r="B70" s="1381">
        <v>508217887</v>
      </c>
      <c r="C70" s="1381">
        <f>'Itemized Budget 2024-25'!L7</f>
        <v>508750023</v>
      </c>
      <c r="D70" s="1381">
        <f>C70*1.0962259996672</f>
        <v>557705002.54388595</v>
      </c>
      <c r="E70" s="1381">
        <f>D70*1.09639407014138</f>
        <v>611464457.67729974</v>
      </c>
    </row>
    <row r="71" spans="1:5" ht="21.9" hidden="1" customHeight="1" outlineLevel="1">
      <c r="A71" s="1393" t="s">
        <v>881</v>
      </c>
      <c r="B71" s="1381">
        <v>309124351.25999999</v>
      </c>
      <c r="C71" s="1381">
        <f>'Itemized Budget 2024-25'!L72-'Itemized Budget 2024-25'!L68-'Itemized Budget 2024-25'!L65-'Itemized Budget 2024-25'!L63-'Itemized Budget 2024-25'!L7</f>
        <v>398291165</v>
      </c>
      <c r="D71" s="1381">
        <f>C71*1.0962259996672</f>
        <v>436617130.51073867</v>
      </c>
      <c r="E71" s="1381">
        <f>D71*1.09639407014138</f>
        <v>478704432.81411886</v>
      </c>
    </row>
    <row r="72" spans="1:5" ht="21.9" hidden="1" customHeight="1" outlineLevel="1">
      <c r="A72" s="1393" t="s">
        <v>882</v>
      </c>
      <c r="B72" s="1381">
        <v>38060962</v>
      </c>
      <c r="C72" s="1381">
        <f>'Itemized Budget 2024-25'!L70+'Itemized Budget 2024-25'!L68+'Itemized Budget 2024-25'!L65+'Itemized Budget 2024-25'!L63</f>
        <v>24350000</v>
      </c>
      <c r="D72" s="1381">
        <f>C72*1.0962259996672</f>
        <v>26693103.091896318</v>
      </c>
      <c r="E72" s="1381">
        <f>D72*1.09639407014138</f>
        <v>29266159.943627656</v>
      </c>
    </row>
    <row r="73" spans="1:5" s="1366" customFormat="1" ht="21.9" hidden="1" customHeight="1" outlineLevel="1">
      <c r="A73" s="1382" t="s">
        <v>883</v>
      </c>
      <c r="B73" s="1379">
        <v>1084405539</v>
      </c>
      <c r="C73" s="1379">
        <f>SUM(C74:C75)</f>
        <v>955573467.5</v>
      </c>
      <c r="D73" s="1379">
        <f>SUM(D74:D75)</f>
        <v>1047524479.6656401</v>
      </c>
      <c r="E73" s="1379">
        <f>SUM(E74:E75)</f>
        <v>1148499627.8333423</v>
      </c>
    </row>
    <row r="74" spans="1:5" ht="21.9" hidden="1" customHeight="1" outlineLevel="1">
      <c r="A74" s="1393" t="s">
        <v>891</v>
      </c>
      <c r="B74" s="1381">
        <v>1084405539</v>
      </c>
      <c r="C74" s="1381">
        <f>'Itemized Budget 2024-25'!L86</f>
        <v>955573467.5</v>
      </c>
      <c r="D74" s="1381">
        <f>C74*1.0962259996672</f>
        <v>1047524479.6656401</v>
      </c>
      <c r="E74" s="1381">
        <f>D74*1.09639407014138</f>
        <v>1148499627.8333423</v>
      </c>
    </row>
    <row r="75" spans="1:5" ht="21.9" hidden="1" customHeight="1" outlineLevel="1">
      <c r="A75" s="1393" t="s">
        <v>892</v>
      </c>
      <c r="B75" s="1381"/>
      <c r="C75" s="1381"/>
      <c r="D75" s="1381">
        <f>C75*1.0962259996672</f>
        <v>0</v>
      </c>
      <c r="E75" s="1381">
        <f>D75*1.09639407014138</f>
        <v>0</v>
      </c>
    </row>
    <row r="76" spans="1:5" ht="21.9" hidden="1" customHeight="1" outlineLevel="1">
      <c r="A76" s="1382" t="s">
        <v>893</v>
      </c>
      <c r="B76" s="1379">
        <v>1939808739.26</v>
      </c>
      <c r="C76" s="1379">
        <f>C73+C69</f>
        <v>1886964655.5</v>
      </c>
      <c r="D76" s="1379">
        <f>D73+D69</f>
        <v>2068539715.812161</v>
      </c>
      <c r="E76" s="1379">
        <f>E73+E69</f>
        <v>2267934678.2683887</v>
      </c>
    </row>
    <row r="77" spans="1:5" ht="21.9" hidden="1" customHeight="1" outlineLevel="1"/>
    <row r="78" spans="1:5" ht="21.9" hidden="1" customHeight="1" outlineLevel="1"/>
    <row r="79" spans="1:5" s="1366" customFormat="1" ht="21.9" hidden="1" customHeight="1" outlineLevel="1">
      <c r="A79" s="1387" t="s">
        <v>93</v>
      </c>
      <c r="B79" s="1367"/>
      <c r="C79" s="1367"/>
      <c r="D79" s="1367"/>
      <c r="E79" s="1367"/>
    </row>
    <row r="80" spans="1:5" ht="21.9" hidden="1" customHeight="1" outlineLevel="1">
      <c r="A80" s="1387" t="s">
        <v>94</v>
      </c>
    </row>
    <row r="81" spans="1:5" ht="21.9" hidden="1" customHeight="1" outlineLevel="1">
      <c r="A81" s="1369" t="s">
        <v>878</v>
      </c>
      <c r="B81" s="1370" t="s">
        <v>1671</v>
      </c>
      <c r="C81" s="1370" t="s">
        <v>1680</v>
      </c>
      <c r="D81" s="1371" t="s">
        <v>859</v>
      </c>
      <c r="E81" s="1372"/>
    </row>
    <row r="82" spans="1:5" ht="21.9" hidden="1" customHeight="1" outlineLevel="1">
      <c r="A82" s="1373"/>
      <c r="B82" s="1374"/>
      <c r="C82" s="1374"/>
      <c r="D82" s="1375" t="s">
        <v>861</v>
      </c>
      <c r="E82" s="1375" t="s">
        <v>1672</v>
      </c>
    </row>
    <row r="83" spans="1:5" ht="21.9" hidden="1" customHeight="1" outlineLevel="1">
      <c r="A83" s="1396" t="s">
        <v>890</v>
      </c>
      <c r="B83" s="1379">
        <v>104977143</v>
      </c>
      <c r="C83" s="1379">
        <f>SUM(C84:C86)</f>
        <v>13667516</v>
      </c>
      <c r="D83" s="1379">
        <f>SUM(D84:D86)</f>
        <v>14982686.390067449</v>
      </c>
      <c r="E83" s="1379">
        <f>SUM(E84:E86)</f>
        <v>16426928.512857908</v>
      </c>
    </row>
    <row r="84" spans="1:5" ht="21.9" hidden="1" customHeight="1" outlineLevel="1">
      <c r="A84" s="1393" t="s">
        <v>880</v>
      </c>
      <c r="B84" s="1364">
        <v>0</v>
      </c>
      <c r="D84" s="1381">
        <f>C84*1.0962259996672</f>
        <v>0</v>
      </c>
      <c r="E84" s="1381">
        <f>D84*1.09639407014138</f>
        <v>0</v>
      </c>
    </row>
    <row r="85" spans="1:5" ht="21.9" hidden="1" customHeight="1" outlineLevel="1">
      <c r="A85" s="1393" t="s">
        <v>881</v>
      </c>
      <c r="B85" s="1381">
        <v>13527143</v>
      </c>
      <c r="C85" s="1381">
        <f>'Itemized Budget 2024-25'!L134-'Itemized Budget 2024-25'!L132-'Itemized Budget 2024-25'!L130-'Itemized Budget 2024-25'!L127</f>
        <v>12067516</v>
      </c>
      <c r="D85" s="1381">
        <f>C85*1.0962259996672</f>
        <v>13228724.790599929</v>
      </c>
      <c r="E85" s="1381">
        <f>D85*1.09639407014138</f>
        <v>14503895.415946029</v>
      </c>
    </row>
    <row r="86" spans="1:5" ht="21.9" hidden="1" customHeight="1" outlineLevel="1">
      <c r="A86" s="1393" t="s">
        <v>882</v>
      </c>
      <c r="B86" s="1381">
        <v>91450000</v>
      </c>
      <c r="C86" s="1381">
        <f>'Itemized Budget 2024-25'!L132+'Itemized Budget 2024-25'!L130+'Itemized Budget 2024-25'!L127</f>
        <v>1600000</v>
      </c>
      <c r="D86" s="1381">
        <f>C86*1.0962259996672</f>
        <v>1753961.5994675199</v>
      </c>
      <c r="E86" s="1381">
        <f>D86*1.09639407014138</f>
        <v>1923033.0969118788</v>
      </c>
    </row>
    <row r="87" spans="1:5" ht="21.9" hidden="1" customHeight="1" outlineLevel="1">
      <c r="A87" s="1382" t="s">
        <v>883</v>
      </c>
      <c r="B87" s="1379">
        <v>55184474</v>
      </c>
      <c r="C87" s="1379">
        <f>SUM(C88:C89)</f>
        <v>0</v>
      </c>
      <c r="D87" s="1379">
        <f>SUM(D88:D89)</f>
        <v>0</v>
      </c>
      <c r="E87" s="1379">
        <f>SUM(E88:E89)</f>
        <v>0</v>
      </c>
    </row>
    <row r="88" spans="1:5" ht="21.9" hidden="1" customHeight="1" outlineLevel="1">
      <c r="A88" s="1393" t="s">
        <v>891</v>
      </c>
      <c r="B88" s="1381">
        <v>55184474</v>
      </c>
      <c r="C88" s="1381">
        <v>0</v>
      </c>
      <c r="D88" s="1381">
        <f>C88*1.0962259996672</f>
        <v>0</v>
      </c>
      <c r="E88" s="1381">
        <f>D88*1.09639407014138</f>
        <v>0</v>
      </c>
    </row>
    <row r="89" spans="1:5" ht="21.9" hidden="1" customHeight="1" outlineLevel="1">
      <c r="A89" s="1393" t="s">
        <v>892</v>
      </c>
      <c r="B89" s="1381">
        <v>0</v>
      </c>
      <c r="C89" s="1381">
        <v>0</v>
      </c>
      <c r="D89" s="1381">
        <f>C89*1.0962259996672</f>
        <v>0</v>
      </c>
      <c r="E89" s="1381">
        <f>D89*1.09639407014138</f>
        <v>0</v>
      </c>
    </row>
    <row r="90" spans="1:5" s="1366" customFormat="1" ht="21.9" hidden="1" customHeight="1" outlineLevel="1">
      <c r="A90" s="1382" t="s">
        <v>893</v>
      </c>
      <c r="B90" s="1379">
        <v>160161617</v>
      </c>
      <c r="C90" s="1379">
        <f>C87+C83</f>
        <v>13667516</v>
      </c>
      <c r="D90" s="1379">
        <f>D87+D83</f>
        <v>14982686.390067449</v>
      </c>
      <c r="E90" s="1379">
        <f>E87+E83</f>
        <v>16426928.512857908</v>
      </c>
    </row>
    <row r="91" spans="1:5" ht="21.9" hidden="1" customHeight="1" outlineLevel="1"/>
    <row r="92" spans="1:5" ht="21.9" hidden="1" customHeight="1" outlineLevel="1"/>
    <row r="93" spans="1:5" s="1366" customFormat="1" ht="21.9" hidden="1" customHeight="1" outlineLevel="1">
      <c r="A93" s="1397" t="s">
        <v>1696</v>
      </c>
      <c r="B93" s="1367"/>
      <c r="C93" s="1367"/>
      <c r="D93" s="1367"/>
      <c r="E93" s="1367"/>
    </row>
    <row r="94" spans="1:5" ht="21.9" hidden="1" customHeight="1" outlineLevel="1">
      <c r="A94" s="1397" t="s">
        <v>1547</v>
      </c>
    </row>
    <row r="95" spans="1:5" ht="21.9" hidden="1" customHeight="1" outlineLevel="1">
      <c r="A95" s="1369" t="s">
        <v>878</v>
      </c>
      <c r="B95" s="1370" t="s">
        <v>1671</v>
      </c>
      <c r="C95" s="1370" t="s">
        <v>1680</v>
      </c>
      <c r="D95" s="1371" t="s">
        <v>859</v>
      </c>
      <c r="E95" s="1372"/>
    </row>
    <row r="96" spans="1:5" ht="21.9" hidden="1" customHeight="1" outlineLevel="1">
      <c r="A96" s="1373"/>
      <c r="B96" s="1374"/>
      <c r="C96" s="1374"/>
      <c r="D96" s="1375" t="s">
        <v>861</v>
      </c>
      <c r="E96" s="1375" t="s">
        <v>1672</v>
      </c>
    </row>
    <row r="97" spans="1:5" ht="21.9" hidden="1" customHeight="1" outlineLevel="1">
      <c r="A97" s="1396" t="s">
        <v>890</v>
      </c>
      <c r="B97" s="1379">
        <v>0</v>
      </c>
      <c r="C97" s="1379">
        <f>SUM(C99:C100)</f>
        <v>16566710</v>
      </c>
      <c r="D97" s="1379">
        <f>SUM(D98:D100)</f>
        <v>34294268.930946596</v>
      </c>
      <c r="E97" s="1379">
        <f>SUM(E98:E100)</f>
        <v>37658209.043088123</v>
      </c>
    </row>
    <row r="98" spans="1:5" ht="21.9" hidden="1" customHeight="1" outlineLevel="1">
      <c r="A98" s="1393" t="s">
        <v>880</v>
      </c>
      <c r="B98" s="1379">
        <v>0</v>
      </c>
      <c r="C98" s="1363"/>
      <c r="D98" s="1381">
        <f>C99*1.0962259996672</f>
        <v>16078058.429680908</v>
      </c>
      <c r="E98" s="1381">
        <f>D98*1.09639407014138</f>
        <v>17627887.921688773</v>
      </c>
    </row>
    <row r="99" spans="1:5" ht="21.9" hidden="1" customHeight="1" outlineLevel="1">
      <c r="A99" s="1393" t="s">
        <v>881</v>
      </c>
      <c r="B99" s="1379">
        <v>0</v>
      </c>
      <c r="C99" s="1364">
        <f>'Itemized Budget 2024-25'!L177-'Itemized Budget 2024-25'!L175-'Itemized Budget 2024-25'!L173-'Itemized Budget 2024-25'!L170</f>
        <v>14666737</v>
      </c>
      <c r="D99" s="1364">
        <f>'Itemized Budget 2024-25'!O138+'Itemized Budget 2024-25'!O141+'Itemized Budget 2024-25'!O144+'Itemized Budget 2024-25'!O148+'Itemized Budget 2024-25'!O156+'Itemized Budget 2024-25'!O159+'Itemized Budget 2024-25'!O163+'Itemized Budget 2024-25'!O165+'Itemized Budget 2024-25'!O168</f>
        <v>16133410.700000001</v>
      </c>
      <c r="E99" s="1364">
        <f>'Itemized Budget 2024-25'!P138+'Itemized Budget 2024-25'!P141+'Itemized Budget 2024-25'!P144+'Itemized Budget 2024-25'!P148+'Itemized Budget 2024-25'!P156+'Itemized Budget 2024-25'!P159+'Itemized Budget 2024-25'!P163+'Itemized Budget 2024-25'!P165+'Itemized Budget 2024-25'!P168</f>
        <v>17746751.77</v>
      </c>
    </row>
    <row r="100" spans="1:5" ht="21.9" hidden="1" customHeight="1" outlineLevel="1">
      <c r="A100" s="1393" t="s">
        <v>882</v>
      </c>
      <c r="B100" s="1379">
        <v>0</v>
      </c>
      <c r="C100" s="1381">
        <f>'Itemized Budget 2024-25'!L175+'Itemized Budget 2024-25'!L173+'Itemized Budget 2024-25'!L170</f>
        <v>1899973</v>
      </c>
      <c r="D100" s="1381">
        <f>C100*1.0962259996672</f>
        <v>2082799.8012656888</v>
      </c>
      <c r="E100" s="1381">
        <f>D100*1.09639407014138</f>
        <v>2283569.3513993458</v>
      </c>
    </row>
    <row r="101" spans="1:5" ht="21.9" hidden="1" customHeight="1" outlineLevel="1">
      <c r="A101" s="1382" t="s">
        <v>883</v>
      </c>
      <c r="B101" s="1379">
        <v>0</v>
      </c>
      <c r="C101" s="1379">
        <f>SUM(C102:C103)</f>
        <v>0</v>
      </c>
      <c r="D101" s="1379">
        <f>SUM(D102:D103)</f>
        <v>0</v>
      </c>
      <c r="E101" s="1379">
        <f>SUM(E102:E103)</f>
        <v>0</v>
      </c>
    </row>
    <row r="102" spans="1:5" ht="21.9" hidden="1" customHeight="1" outlineLevel="1">
      <c r="A102" s="1393" t="s">
        <v>891</v>
      </c>
      <c r="B102" s="1379">
        <v>0</v>
      </c>
      <c r="C102" s="1381"/>
      <c r="D102" s="1381">
        <f>C102*1.0962259996672</f>
        <v>0</v>
      </c>
      <c r="E102" s="1381">
        <f>D102*1.09639407014138</f>
        <v>0</v>
      </c>
    </row>
    <row r="103" spans="1:5" ht="21.9" hidden="1" customHeight="1" outlineLevel="1">
      <c r="A103" s="1393" t="s">
        <v>892</v>
      </c>
      <c r="B103" s="1379">
        <v>0</v>
      </c>
      <c r="C103" s="1381">
        <v>0</v>
      </c>
      <c r="D103" s="1381">
        <f>C103*1.0962259996672</f>
        <v>0</v>
      </c>
      <c r="E103" s="1381">
        <f>D103*1.09639407014138</f>
        <v>0</v>
      </c>
    </row>
    <row r="104" spans="1:5" s="1366" customFormat="1" ht="21.9" hidden="1" customHeight="1" outlineLevel="1">
      <c r="A104" s="1382" t="s">
        <v>893</v>
      </c>
      <c r="B104" s="1379">
        <v>0</v>
      </c>
      <c r="C104" s="1379">
        <f>C101+C97</f>
        <v>16566710</v>
      </c>
      <c r="D104" s="1379">
        <f>D101+D97</f>
        <v>34294268.930946596</v>
      </c>
      <c r="E104" s="1379">
        <f>E101+E97</f>
        <v>37658209.043088123</v>
      </c>
    </row>
    <row r="105" spans="1:5" s="1366" customFormat="1" ht="21.9" hidden="1" customHeight="1" outlineLevel="1">
      <c r="B105" s="1367"/>
      <c r="C105" s="1367"/>
      <c r="D105" s="1367"/>
      <c r="E105" s="1367"/>
    </row>
    <row r="106" spans="1:5" s="1366" customFormat="1" ht="21.9" hidden="1" customHeight="1" outlineLevel="1">
      <c r="B106" s="1367"/>
      <c r="C106" s="1367"/>
      <c r="D106" s="1367"/>
      <c r="E106" s="1367"/>
    </row>
    <row r="107" spans="1:5" s="1366" customFormat="1" ht="21.9" hidden="1" customHeight="1" outlineLevel="1">
      <c r="A107" s="1398" t="s">
        <v>1697</v>
      </c>
      <c r="B107" s="1398"/>
      <c r="C107" s="1367"/>
      <c r="D107" s="1367"/>
      <c r="E107" s="1367"/>
    </row>
    <row r="108" spans="1:5" ht="21.9" hidden="1" customHeight="1" outlineLevel="1">
      <c r="A108" s="1398" t="s">
        <v>1550</v>
      </c>
      <c r="B108" s="1398"/>
    </row>
    <row r="109" spans="1:5" ht="21.9" hidden="1" customHeight="1" outlineLevel="1">
      <c r="A109" s="1369" t="s">
        <v>878</v>
      </c>
      <c r="B109" s="1370" t="s">
        <v>1671</v>
      </c>
      <c r="C109" s="1370" t="s">
        <v>1680</v>
      </c>
      <c r="D109" s="1371" t="s">
        <v>859</v>
      </c>
      <c r="E109" s="1372"/>
    </row>
    <row r="110" spans="1:5" s="1366" customFormat="1" ht="21.9" hidden="1" customHeight="1" outlineLevel="1">
      <c r="A110" s="1373"/>
      <c r="B110" s="1374"/>
      <c r="C110" s="1374"/>
      <c r="D110" s="1375" t="s">
        <v>861</v>
      </c>
      <c r="E110" s="1375" t="s">
        <v>1672</v>
      </c>
    </row>
    <row r="111" spans="1:5" ht="21.9" hidden="1" customHeight="1" outlineLevel="1">
      <c r="A111" s="1382" t="s">
        <v>890</v>
      </c>
      <c r="B111" s="1379"/>
      <c r="C111" s="1379">
        <f>SUM(C112:C114)</f>
        <v>9050000</v>
      </c>
      <c r="D111" s="1379">
        <f>SUM(D112:D114)</f>
        <v>9920845.2969881594</v>
      </c>
      <c r="E111" s="1379">
        <f>SUM(E112:E114)</f>
        <v>10877155.954407815</v>
      </c>
    </row>
    <row r="112" spans="1:5" ht="21.9" hidden="1" customHeight="1" outlineLevel="1">
      <c r="A112" s="1393" t="s">
        <v>880</v>
      </c>
      <c r="B112" s="1381"/>
      <c r="C112" s="1381"/>
      <c r="D112" s="1381">
        <f>C112*1.0962259996672</f>
        <v>0</v>
      </c>
      <c r="E112" s="1381">
        <f>D112*1.09639407014138</f>
        <v>0</v>
      </c>
    </row>
    <row r="113" spans="1:5" ht="21.9" hidden="1" customHeight="1" outlineLevel="1">
      <c r="A113" s="1393" t="s">
        <v>881</v>
      </c>
      <c r="B113" s="1381"/>
      <c r="C113" s="1381">
        <f>'Itemized Budget 2024-25'!L217-'Itemized Budget 2024-25'!L215-'Itemized Budget 2024-25'!L212</f>
        <v>8050000</v>
      </c>
      <c r="D113" s="1381">
        <f>C113*1.0962259996672</f>
        <v>8824619.2973209601</v>
      </c>
      <c r="E113" s="1381">
        <f>D113*1.09639407014138</f>
        <v>9675260.2688378915</v>
      </c>
    </row>
    <row r="114" spans="1:5" ht="21.9" hidden="1" customHeight="1" outlineLevel="1">
      <c r="A114" s="1393" t="s">
        <v>882</v>
      </c>
      <c r="B114" s="1381"/>
      <c r="C114" s="1381">
        <f>'Itemized Budget 2024-25'!L215+'Itemized Budget 2024-25'!L212</f>
        <v>1000000</v>
      </c>
      <c r="D114" s="1381">
        <f>C114*1.0962259996672</f>
        <v>1096225.9996672</v>
      </c>
      <c r="E114" s="1381">
        <f>D114*1.09639407014138</f>
        <v>1201895.6855699243</v>
      </c>
    </row>
    <row r="115" spans="1:5" ht="21.9" hidden="1" customHeight="1" outlineLevel="1">
      <c r="A115" s="1382" t="s">
        <v>883</v>
      </c>
      <c r="B115" s="1379">
        <v>0</v>
      </c>
      <c r="C115" s="1379">
        <f>SUM(C116:C117)</f>
        <v>0</v>
      </c>
      <c r="D115" s="1379">
        <f>SUM(D116:D117)</f>
        <v>0</v>
      </c>
      <c r="E115" s="1379">
        <f>SUM(E116:E117)</f>
        <v>0</v>
      </c>
    </row>
    <row r="116" spans="1:5" s="1366" customFormat="1" ht="21.9" hidden="1" customHeight="1" outlineLevel="1">
      <c r="A116" s="1393" t="s">
        <v>891</v>
      </c>
      <c r="B116" s="1381">
        <v>0</v>
      </c>
      <c r="C116" s="1381">
        <v>0</v>
      </c>
      <c r="D116" s="1381">
        <f>C116*1.0962259996672</f>
        <v>0</v>
      </c>
      <c r="E116" s="1381">
        <f>D116*1.09639407014138</f>
        <v>0</v>
      </c>
    </row>
    <row r="117" spans="1:5" ht="21.9" hidden="1" customHeight="1" outlineLevel="1">
      <c r="A117" s="1393" t="s">
        <v>892</v>
      </c>
      <c r="B117" s="1381">
        <v>0</v>
      </c>
      <c r="C117" s="1381">
        <v>0</v>
      </c>
      <c r="D117" s="1381">
        <f>C117*1.0962259996672</f>
        <v>0</v>
      </c>
      <c r="E117" s="1381">
        <f>D117*1.09639407014138</f>
        <v>0</v>
      </c>
    </row>
    <row r="118" spans="1:5" s="1366" customFormat="1" ht="21.9" hidden="1" customHeight="1" outlineLevel="1">
      <c r="A118" s="1382" t="s">
        <v>893</v>
      </c>
      <c r="B118" s="1379"/>
      <c r="C118" s="1379">
        <f>C115+C111</f>
        <v>9050000</v>
      </c>
      <c r="D118" s="1379">
        <f>D115+D111</f>
        <v>9920845.2969881594</v>
      </c>
      <c r="E118" s="1379">
        <f>E115+E111</f>
        <v>10877155.954407815</v>
      </c>
    </row>
    <row r="119" spans="1:5" s="1366" customFormat="1" ht="21.9" hidden="1" customHeight="1" outlineLevel="1">
      <c r="B119" s="1367"/>
      <c r="C119" s="1367"/>
      <c r="D119" s="1367"/>
      <c r="E119" s="1367"/>
    </row>
    <row r="120" spans="1:5" s="1366" customFormat="1" ht="21.9" hidden="1" customHeight="1" outlineLevel="1">
      <c r="B120" s="1367"/>
      <c r="C120" s="1367"/>
      <c r="D120" s="1367"/>
      <c r="E120" s="1367"/>
    </row>
    <row r="121" spans="1:5" s="1366" customFormat="1" ht="21.9" hidden="1" customHeight="1" outlineLevel="1">
      <c r="A121" s="1399" t="s">
        <v>1556</v>
      </c>
      <c r="B121" s="1399"/>
      <c r="C121" s="1367"/>
      <c r="D121" s="1367"/>
      <c r="E121" s="1367"/>
    </row>
    <row r="122" spans="1:5" ht="21.9" hidden="1" customHeight="1" outlineLevel="1">
      <c r="A122" s="1369" t="s">
        <v>878</v>
      </c>
      <c r="B122" s="1370" t="s">
        <v>1671</v>
      </c>
      <c r="C122" s="1370" t="s">
        <v>1680</v>
      </c>
      <c r="D122" s="1371" t="s">
        <v>859</v>
      </c>
      <c r="E122" s="1372"/>
    </row>
    <row r="123" spans="1:5" s="1366" customFormat="1" ht="21.9" hidden="1" customHeight="1" outlineLevel="1">
      <c r="A123" s="1373"/>
      <c r="B123" s="1374"/>
      <c r="C123" s="1374"/>
      <c r="D123" s="1375" t="s">
        <v>861</v>
      </c>
      <c r="E123" s="1375" t="s">
        <v>1672</v>
      </c>
    </row>
    <row r="124" spans="1:5" ht="21.9" hidden="1" customHeight="1" outlineLevel="1">
      <c r="A124" s="1382" t="s">
        <v>890</v>
      </c>
      <c r="B124" s="1379"/>
      <c r="C124" s="1379">
        <f>SUM(C125:C127)</f>
        <v>10119545</v>
      </c>
      <c r="D124" s="1379">
        <f>SUM(D125:D127)</f>
        <v>11093308.333802214</v>
      </c>
      <c r="E124" s="1379">
        <f>SUM(E125:E127)</f>
        <v>12162637.475430699</v>
      </c>
    </row>
    <row r="125" spans="1:5" ht="21.9" hidden="1" customHeight="1" outlineLevel="1">
      <c r="A125" s="1393" t="s">
        <v>880</v>
      </c>
      <c r="B125" s="1381"/>
      <c r="C125" s="1381"/>
      <c r="D125" s="1381">
        <f>C125*1.0962259996672</f>
        <v>0</v>
      </c>
      <c r="E125" s="1381">
        <f>D125*1.09639407014138</f>
        <v>0</v>
      </c>
    </row>
    <row r="126" spans="1:5" ht="21.9" hidden="1" customHeight="1" outlineLevel="1">
      <c r="A126" s="1393" t="s">
        <v>881</v>
      </c>
      <c r="B126" s="1381"/>
      <c r="C126" s="1381">
        <f>'Itemized Budget 2024-25'!L260-'Itemized Budget 2024-25'!L254</f>
        <v>8919633</v>
      </c>
      <c r="D126" s="1381">
        <f>C126*1.0962259996672</f>
        <v>9777933.6020895448</v>
      </c>
      <c r="E126" s="1381">
        <f>D126*1.09639407014138</f>
        <v>10720468.419567119</v>
      </c>
    </row>
    <row r="127" spans="1:5" ht="21.9" hidden="1" customHeight="1" outlineLevel="1">
      <c r="A127" s="1393" t="s">
        <v>882</v>
      </c>
      <c r="B127" s="1381"/>
      <c r="C127" s="1381">
        <f>'Itemized Budget 2024-25'!L254</f>
        <v>1199912</v>
      </c>
      <c r="D127" s="1381">
        <f>C127*1.0962259996672</f>
        <v>1315374.7317126691</v>
      </c>
      <c r="E127" s="1381">
        <f>D127*1.09639407014138</f>
        <v>1442169.055863579</v>
      </c>
    </row>
    <row r="128" spans="1:5" ht="21.9" hidden="1" customHeight="1" outlineLevel="1">
      <c r="A128" s="1382" t="s">
        <v>883</v>
      </c>
      <c r="B128" s="1379">
        <v>0</v>
      </c>
      <c r="C128" s="1379">
        <f>SUM(C129:C130)</f>
        <v>0</v>
      </c>
      <c r="D128" s="1379">
        <f>SUM(D129:D130)</f>
        <v>0</v>
      </c>
      <c r="E128" s="1379">
        <f>SUM(E129:E130)</f>
        <v>0</v>
      </c>
    </row>
    <row r="129" spans="1:5" s="1366" customFormat="1" ht="21.9" hidden="1" customHeight="1" outlineLevel="1">
      <c r="A129" s="1393" t="s">
        <v>891</v>
      </c>
      <c r="B129" s="1381">
        <v>0</v>
      </c>
      <c r="C129" s="1381">
        <v>0</v>
      </c>
      <c r="D129" s="1381">
        <f>C129*1.0962259996672</f>
        <v>0</v>
      </c>
      <c r="E129" s="1381">
        <f>D129*1.09639407014138</f>
        <v>0</v>
      </c>
    </row>
    <row r="130" spans="1:5" ht="21.9" hidden="1" customHeight="1" outlineLevel="1">
      <c r="A130" s="1393" t="s">
        <v>892</v>
      </c>
      <c r="B130" s="1381">
        <v>0</v>
      </c>
      <c r="C130" s="1381">
        <v>0</v>
      </c>
      <c r="D130" s="1381">
        <f>C130*1.0962259996672</f>
        <v>0</v>
      </c>
      <c r="E130" s="1381">
        <f>D130*1.09639407014138</f>
        <v>0</v>
      </c>
    </row>
    <row r="131" spans="1:5" s="1366" customFormat="1" ht="21.9" hidden="1" customHeight="1" outlineLevel="1">
      <c r="A131" s="1382" t="s">
        <v>893</v>
      </c>
      <c r="B131" s="1379"/>
      <c r="C131" s="1379">
        <f>C128+C124</f>
        <v>10119545</v>
      </c>
      <c r="D131" s="1379">
        <f>D128+D124</f>
        <v>11093308.333802214</v>
      </c>
      <c r="E131" s="1379">
        <f>E128+E124</f>
        <v>12162637.475430699</v>
      </c>
    </row>
    <row r="132" spans="1:5" s="1366" customFormat="1" ht="21.9" hidden="1" customHeight="1" outlineLevel="1">
      <c r="B132" s="1367"/>
      <c r="C132" s="1367"/>
      <c r="D132" s="1367"/>
      <c r="E132" s="1367"/>
    </row>
    <row r="133" spans="1:5" s="1366" customFormat="1" ht="21.9" hidden="1" customHeight="1" outlineLevel="1">
      <c r="B133" s="1367"/>
      <c r="C133" s="1367"/>
      <c r="D133" s="1367"/>
      <c r="E133" s="1367"/>
    </row>
    <row r="134" spans="1:5" s="1366" customFormat="1" ht="21.9" hidden="1" customHeight="1" outlineLevel="1">
      <c r="A134" s="1399" t="s">
        <v>1551</v>
      </c>
      <c r="B134" s="1399"/>
      <c r="C134" s="1364"/>
      <c r="D134" s="1364"/>
      <c r="E134" s="1364"/>
    </row>
    <row r="135" spans="1:5" s="1366" customFormat="1" ht="21.9" hidden="1" customHeight="1" outlineLevel="1">
      <c r="A135" s="1369" t="s">
        <v>878</v>
      </c>
      <c r="B135" s="1370" t="s">
        <v>1671</v>
      </c>
      <c r="C135" s="1370" t="s">
        <v>1680</v>
      </c>
      <c r="D135" s="1371" t="s">
        <v>859</v>
      </c>
      <c r="E135" s="1372"/>
    </row>
    <row r="136" spans="1:5" s="1366" customFormat="1" ht="21.9" hidden="1" customHeight="1" outlineLevel="1">
      <c r="A136" s="1373"/>
      <c r="B136" s="1374"/>
      <c r="C136" s="1374"/>
      <c r="D136" s="1375" t="s">
        <v>861</v>
      </c>
      <c r="E136" s="1375" t="s">
        <v>1672</v>
      </c>
    </row>
    <row r="137" spans="1:5" s="1366" customFormat="1" ht="21.9" hidden="1" customHeight="1" outlineLevel="1">
      <c r="A137" s="1382" t="s">
        <v>890</v>
      </c>
      <c r="B137" s="1379">
        <v>0</v>
      </c>
      <c r="C137" s="1379">
        <f>SUM(C138:C140)</f>
        <v>7250000</v>
      </c>
      <c r="D137" s="1379">
        <f>SUM(D138:D140)</f>
        <v>7947638.4975871993</v>
      </c>
      <c r="E137" s="1379">
        <f>SUM(E138:E140)</f>
        <v>8713743.720381951</v>
      </c>
    </row>
    <row r="138" spans="1:5" s="1366" customFormat="1" ht="21.9" hidden="1" customHeight="1" outlineLevel="1">
      <c r="A138" s="1393" t="s">
        <v>880</v>
      </c>
      <c r="B138" s="1379">
        <v>0</v>
      </c>
      <c r="C138" s="1381"/>
      <c r="D138" s="1381">
        <f>C138*1.0962259996672</f>
        <v>0</v>
      </c>
      <c r="E138" s="1381">
        <f>D138*1.09639407014138</f>
        <v>0</v>
      </c>
    </row>
    <row r="139" spans="1:5" s="1366" customFormat="1" ht="21.9" hidden="1" customHeight="1" outlineLevel="1">
      <c r="A139" s="1393" t="s">
        <v>881</v>
      </c>
      <c r="B139" s="1379">
        <v>0</v>
      </c>
      <c r="C139" s="1381">
        <f>'Itemized Budget 2024-25'!L299-'Itemized Budget 2024-25'!L297-'Itemized Budget 2024-25'!L295-'Itemized Budget 2024-25'!L292</f>
        <v>6550000</v>
      </c>
      <c r="D139" s="1381">
        <f>C139*1.0962259996672</f>
        <v>7180280.2978201592</v>
      </c>
      <c r="E139" s="1381">
        <f>D139*1.09639407014138</f>
        <v>7872416.7404830037</v>
      </c>
    </row>
    <row r="140" spans="1:5" s="1366" customFormat="1" ht="21.9" hidden="1" customHeight="1" outlineLevel="1">
      <c r="A140" s="1393" t="s">
        <v>882</v>
      </c>
      <c r="B140" s="1379">
        <v>0</v>
      </c>
      <c r="C140" s="1381">
        <f>'Itemized Budget 2024-25'!L297+'Itemized Budget 2024-25'!L295+'Itemized Budget 2024-25'!L292</f>
        <v>700000</v>
      </c>
      <c r="D140" s="1381">
        <f>C140*1.0962259996672</f>
        <v>767358.19976703997</v>
      </c>
      <c r="E140" s="1381">
        <f>D140*1.09639407014138</f>
        <v>841326.97989894706</v>
      </c>
    </row>
    <row r="141" spans="1:5" s="1366" customFormat="1" ht="21.9" hidden="1" customHeight="1" outlineLevel="1">
      <c r="A141" s="1382" t="s">
        <v>883</v>
      </c>
      <c r="B141" s="1379">
        <v>0</v>
      </c>
      <c r="C141" s="1379">
        <f>SUM(C142:C143)</f>
        <v>0</v>
      </c>
      <c r="D141" s="1379">
        <f>SUM(D142:D143)</f>
        <v>0</v>
      </c>
      <c r="E141" s="1379">
        <f>SUM(E142:E143)</f>
        <v>0</v>
      </c>
    </row>
    <row r="142" spans="1:5" s="1366" customFormat="1" ht="21.9" hidden="1" customHeight="1" outlineLevel="1">
      <c r="A142" s="1393" t="s">
        <v>891</v>
      </c>
      <c r="B142" s="1379">
        <v>0</v>
      </c>
      <c r="C142" s="1381">
        <v>0</v>
      </c>
      <c r="D142" s="1381">
        <f>C142*1.0962259996672</f>
        <v>0</v>
      </c>
      <c r="E142" s="1381">
        <f>D142*1.09639407014138</f>
        <v>0</v>
      </c>
    </row>
    <row r="143" spans="1:5" s="1366" customFormat="1" ht="21.9" hidden="1" customHeight="1" outlineLevel="1">
      <c r="A143" s="1393" t="s">
        <v>892</v>
      </c>
      <c r="B143" s="1379">
        <v>0</v>
      </c>
      <c r="C143" s="1381">
        <v>0</v>
      </c>
      <c r="D143" s="1381">
        <f>C143*1.0962259996672</f>
        <v>0</v>
      </c>
      <c r="E143" s="1381">
        <f>D143*1.09639407014138</f>
        <v>0</v>
      </c>
    </row>
    <row r="144" spans="1:5" s="1366" customFormat="1" ht="21.9" hidden="1" customHeight="1" outlineLevel="1">
      <c r="A144" s="1382" t="s">
        <v>893</v>
      </c>
      <c r="B144" s="1379">
        <v>0</v>
      </c>
      <c r="C144" s="1379">
        <f>C137+C141</f>
        <v>7250000</v>
      </c>
      <c r="D144" s="1379">
        <f>D137+D141</f>
        <v>7947638.4975871993</v>
      </c>
      <c r="E144" s="1379">
        <f>E137+E141</f>
        <v>8713743.720381951</v>
      </c>
    </row>
    <row r="145" spans="1:5" s="1366" customFormat="1" ht="21.9" hidden="1" customHeight="1" outlineLevel="1">
      <c r="A145" s="1373"/>
      <c r="B145" s="1400"/>
      <c r="C145" s="1400"/>
      <c r="D145" s="1367"/>
      <c r="E145" s="1367"/>
    </row>
    <row r="146" spans="1:5" s="1366" customFormat="1" ht="21.9" hidden="1" customHeight="1" outlineLevel="1">
      <c r="A146" s="1373"/>
      <c r="B146" s="1400"/>
      <c r="C146" s="1400"/>
      <c r="D146" s="1367"/>
      <c r="E146" s="1367"/>
    </row>
    <row r="147" spans="1:5" ht="21.9" hidden="1" customHeight="1" outlineLevel="1">
      <c r="A147" s="1387" t="s">
        <v>1559</v>
      </c>
      <c r="B147" s="1400"/>
      <c r="C147" s="1400"/>
      <c r="D147" s="1367"/>
      <c r="E147" s="1367"/>
    </row>
    <row r="148" spans="1:5" s="1366" customFormat="1" ht="21.9" hidden="1" customHeight="1" outlineLevel="1">
      <c r="A148" s="1387" t="s">
        <v>1560</v>
      </c>
      <c r="B148" s="1379"/>
      <c r="C148" s="1379"/>
      <c r="D148" s="1364"/>
      <c r="E148" s="1364"/>
    </row>
    <row r="149" spans="1:5" s="1366" customFormat="1" ht="21.9" hidden="1" customHeight="1" outlineLevel="1">
      <c r="A149" s="1369" t="s">
        <v>878</v>
      </c>
      <c r="B149" s="1370" t="s">
        <v>1671</v>
      </c>
      <c r="C149" s="1370" t="s">
        <v>1680</v>
      </c>
      <c r="D149" s="1371" t="s">
        <v>859</v>
      </c>
      <c r="E149" s="1372"/>
    </row>
    <row r="150" spans="1:5" ht="21.9" hidden="1" customHeight="1" outlineLevel="1">
      <c r="A150" s="1373"/>
      <c r="B150" s="1374"/>
      <c r="C150" s="1374"/>
      <c r="D150" s="1375" t="s">
        <v>861</v>
      </c>
      <c r="E150" s="1375" t="s">
        <v>1672</v>
      </c>
    </row>
    <row r="151" spans="1:5" s="1366" customFormat="1" ht="21.9" hidden="1" customHeight="1" outlineLevel="1">
      <c r="A151" s="1382" t="s">
        <v>890</v>
      </c>
      <c r="B151" s="1379">
        <v>0</v>
      </c>
      <c r="C151" s="1379">
        <f>SUM(C152:C154)</f>
        <v>22725500</v>
      </c>
      <c r="D151" s="1379">
        <f>SUM(D152:D154)</f>
        <v>24912283.955436952</v>
      </c>
      <c r="E151" s="1379">
        <f>SUM(E152:E154)</f>
        <v>27313680.402419318</v>
      </c>
    </row>
    <row r="152" spans="1:5" ht="21.9" hidden="1" customHeight="1" outlineLevel="1">
      <c r="A152" s="1393" t="s">
        <v>880</v>
      </c>
      <c r="B152" s="1379">
        <v>0</v>
      </c>
      <c r="D152" s="1381">
        <f>C152*1.0962259996672</f>
        <v>0</v>
      </c>
      <c r="E152" s="1381">
        <f>D152*1.09639407014138</f>
        <v>0</v>
      </c>
    </row>
    <row r="153" spans="1:5" ht="21.9" hidden="1" customHeight="1" outlineLevel="1">
      <c r="A153" s="1393" t="s">
        <v>881</v>
      </c>
      <c r="B153" s="1379">
        <v>0</v>
      </c>
      <c r="C153" s="1381">
        <f>'Itemized Budget 2024-25'!L347-'Itemized Budget 2024-25'!L345-'Itemized Budget 2024-25'!L342-'Itemized Budget 2024-25'!L340</f>
        <v>21225500</v>
      </c>
      <c r="D153" s="1381">
        <f>C153*1.0962259996672</f>
        <v>23267944.955936152</v>
      </c>
      <c r="E153" s="1381">
        <f>D153*1.09639407014138</f>
        <v>25510836.874064431</v>
      </c>
    </row>
    <row r="154" spans="1:5" ht="21.9" hidden="1" customHeight="1" outlineLevel="1">
      <c r="A154" s="1393" t="s">
        <v>882</v>
      </c>
      <c r="B154" s="1379">
        <v>0</v>
      </c>
      <c r="C154" s="1381">
        <f>'Itemized Budget 2024-25'!L345+'Itemized Budget 2024-25'!L342+'Itemized Budget 2024-25'!L340</f>
        <v>1500000</v>
      </c>
      <c r="D154" s="1381">
        <f>C154*1.0962259996672</f>
        <v>1644338.9995007999</v>
      </c>
      <c r="E154" s="1381">
        <f>D154*1.09639407014138</f>
        <v>1802843.5283548865</v>
      </c>
    </row>
    <row r="155" spans="1:5" s="1366" customFormat="1" ht="21.9" hidden="1" customHeight="1" outlineLevel="1">
      <c r="A155" s="1382" t="s">
        <v>883</v>
      </c>
      <c r="B155" s="1379">
        <v>0</v>
      </c>
      <c r="C155" s="1379">
        <f>SUM(C156:C157)</f>
        <v>0</v>
      </c>
      <c r="D155" s="1379">
        <f>SUM(D156:D157)</f>
        <v>0</v>
      </c>
      <c r="E155" s="1379">
        <f>SUM(E156:E157)</f>
        <v>0</v>
      </c>
    </row>
    <row r="156" spans="1:5" ht="21.9" hidden="1" customHeight="1" outlineLevel="1">
      <c r="A156" s="1393" t="s">
        <v>891</v>
      </c>
      <c r="B156" s="1379">
        <v>0</v>
      </c>
      <c r="C156" s="1381"/>
      <c r="D156" s="1381">
        <f>C156*1.0962259996672</f>
        <v>0</v>
      </c>
      <c r="E156" s="1381">
        <f>D156*1.09639407014138</f>
        <v>0</v>
      </c>
    </row>
    <row r="157" spans="1:5" ht="21.9" hidden="1" customHeight="1" outlineLevel="1">
      <c r="A157" s="1393" t="s">
        <v>892</v>
      </c>
      <c r="B157" s="1379">
        <v>0</v>
      </c>
      <c r="C157" s="1381">
        <v>0</v>
      </c>
      <c r="D157" s="1381">
        <f>C157*1.0962259996672</f>
        <v>0</v>
      </c>
      <c r="E157" s="1381">
        <f>D157*1.09639407014138</f>
        <v>0</v>
      </c>
    </row>
    <row r="158" spans="1:5" s="1366" customFormat="1" ht="21.9" hidden="1" customHeight="1" outlineLevel="1">
      <c r="A158" s="1382" t="s">
        <v>893</v>
      </c>
      <c r="B158" s="1379">
        <v>0</v>
      </c>
      <c r="C158" s="1379">
        <f>C155+C151</f>
        <v>22725500</v>
      </c>
      <c r="D158" s="1379">
        <f>D155+D151</f>
        <v>24912283.955436952</v>
      </c>
      <c r="E158" s="1379">
        <f>E155+E151</f>
        <v>27313680.402419318</v>
      </c>
    </row>
    <row r="159" spans="1:5" s="1366" customFormat="1" ht="21.9" hidden="1" customHeight="1" outlineLevel="1">
      <c r="B159" s="1367"/>
      <c r="C159" s="1367"/>
      <c r="D159" s="1367"/>
      <c r="E159" s="1367"/>
    </row>
    <row r="160" spans="1:5" s="1366" customFormat="1" ht="21.9" hidden="1" customHeight="1" outlineLevel="1">
      <c r="A160" s="1382"/>
      <c r="B160" s="1367"/>
      <c r="C160" s="1367"/>
      <c r="D160" s="1367"/>
      <c r="E160" s="1367"/>
    </row>
    <row r="161" spans="1:5" s="1366" customFormat="1" ht="21.9" hidden="1" customHeight="1" outlineLevel="1">
      <c r="A161" s="1387" t="s">
        <v>1561</v>
      </c>
      <c r="B161" s="1367"/>
      <c r="C161" s="1367"/>
      <c r="D161" s="1367"/>
      <c r="E161" s="1367"/>
    </row>
    <row r="162" spans="1:5" s="1366" customFormat="1" ht="21.9" hidden="1" customHeight="1" outlineLevel="1">
      <c r="A162" s="1387" t="s">
        <v>1562</v>
      </c>
      <c r="B162" s="1364"/>
      <c r="C162" s="1364"/>
      <c r="D162" s="1364"/>
      <c r="E162" s="1364"/>
    </row>
    <row r="163" spans="1:5" s="1366" customFormat="1" ht="21.9" hidden="1" customHeight="1" outlineLevel="1">
      <c r="A163" s="1369" t="s">
        <v>878</v>
      </c>
      <c r="B163" s="1370" t="s">
        <v>1671</v>
      </c>
      <c r="C163" s="1370" t="s">
        <v>1680</v>
      </c>
      <c r="D163" s="1371" t="s">
        <v>859</v>
      </c>
      <c r="E163" s="1372"/>
    </row>
    <row r="164" spans="1:5" s="1366" customFormat="1" ht="21.9" hidden="1" customHeight="1" outlineLevel="1">
      <c r="A164" s="1373"/>
      <c r="B164" s="1374"/>
      <c r="C164" s="1374"/>
      <c r="D164" s="1375" t="s">
        <v>861</v>
      </c>
      <c r="E164" s="1375" t="s">
        <v>1672</v>
      </c>
    </row>
    <row r="165" spans="1:5" s="1366" customFormat="1" ht="21.9" hidden="1" customHeight="1" outlineLevel="1">
      <c r="A165" s="1382" t="s">
        <v>890</v>
      </c>
      <c r="B165" s="1379">
        <v>14303410</v>
      </c>
      <c r="C165" s="1379">
        <f>SUM(C166:C168)</f>
        <v>16016288</v>
      </c>
      <c r="D165" s="1379">
        <f>SUM(D166:D168)</f>
        <v>17557471.323757775</v>
      </c>
      <c r="E165" s="1379">
        <f>SUM(E166:E168)</f>
        <v>19249907.44604535</v>
      </c>
    </row>
    <row r="166" spans="1:5" s="1366" customFormat="1" ht="21.9" hidden="1" customHeight="1" outlineLevel="1">
      <c r="A166" s="1393" t="s">
        <v>880</v>
      </c>
      <c r="B166" s="1364"/>
      <c r="C166" s="1381"/>
      <c r="D166" s="1381">
        <f>C166*1.0962259996672</f>
        <v>0</v>
      </c>
      <c r="E166" s="1381">
        <f>D166*1.09639407014138</f>
        <v>0</v>
      </c>
    </row>
    <row r="167" spans="1:5" s="1366" customFormat="1" ht="21.9" hidden="1" customHeight="1" outlineLevel="1">
      <c r="A167" s="1393" t="s">
        <v>881</v>
      </c>
      <c r="B167" s="1381">
        <v>11033410</v>
      </c>
      <c r="C167" s="1381">
        <f>'Itemized Budget 2024-25'!L381-'Itemized Budget 2024-25'!L379-'Itemized Budget 2024-25'!L376</f>
        <v>15616288</v>
      </c>
      <c r="D167" s="1381">
        <f>C167*1.0962259996672</f>
        <v>17118980.923890896</v>
      </c>
      <c r="E167" s="1381">
        <f>D167*1.09639407014138</f>
        <v>18769149.171817381</v>
      </c>
    </row>
    <row r="168" spans="1:5" s="1366" customFormat="1" ht="21.9" hidden="1" customHeight="1" outlineLevel="1">
      <c r="A168" s="1393" t="s">
        <v>882</v>
      </c>
      <c r="B168" s="1381">
        <v>3270000</v>
      </c>
      <c r="C168" s="1381">
        <f>'Itemized Budget 2024-25'!L379+'Itemized Budget 2024-25'!L376</f>
        <v>400000</v>
      </c>
      <c r="D168" s="1381">
        <f>C168*1.0962259996672</f>
        <v>438490.39986687998</v>
      </c>
      <c r="E168" s="1381">
        <f>D168*1.09639407014138</f>
        <v>480758.2742279697</v>
      </c>
    </row>
    <row r="169" spans="1:5" s="1366" customFormat="1" ht="21.9" hidden="1" customHeight="1" outlineLevel="1">
      <c r="A169" s="1382" t="s">
        <v>883</v>
      </c>
      <c r="B169" s="1379">
        <v>0</v>
      </c>
      <c r="C169" s="1379">
        <f>SUM(C170:C171)</f>
        <v>0</v>
      </c>
      <c r="D169" s="1379">
        <f>SUM(D170:D171)</f>
        <v>0</v>
      </c>
      <c r="E169" s="1379">
        <f>SUM(E170:E171)</f>
        <v>0</v>
      </c>
    </row>
    <row r="170" spans="1:5" s="1366" customFormat="1" ht="21.9" hidden="1" customHeight="1" outlineLevel="1">
      <c r="A170" s="1393" t="s">
        <v>891</v>
      </c>
      <c r="B170" s="1381"/>
      <c r="C170" s="1381">
        <v>0</v>
      </c>
      <c r="D170" s="1381">
        <f>C170*1.0962259996672</f>
        <v>0</v>
      </c>
      <c r="E170" s="1381">
        <f>D170*1.09639407014138</f>
        <v>0</v>
      </c>
    </row>
    <row r="171" spans="1:5" s="1366" customFormat="1" ht="21.9" hidden="1" customHeight="1" outlineLevel="1">
      <c r="A171" s="1393" t="s">
        <v>892</v>
      </c>
      <c r="B171" s="1381">
        <v>0</v>
      </c>
      <c r="C171" s="1381">
        <v>0</v>
      </c>
      <c r="D171" s="1381">
        <f>C171*1.0962259996672</f>
        <v>0</v>
      </c>
      <c r="E171" s="1381">
        <f>D171*1.09639407014138</f>
        <v>0</v>
      </c>
    </row>
    <row r="172" spans="1:5" s="1366" customFormat="1" ht="21.9" hidden="1" customHeight="1" outlineLevel="1">
      <c r="A172" s="1382" t="s">
        <v>893</v>
      </c>
      <c r="B172" s="1379">
        <v>14303410</v>
      </c>
      <c r="C172" s="1379">
        <f>C165+C169</f>
        <v>16016288</v>
      </c>
      <c r="D172" s="1379">
        <f>D165+D169</f>
        <v>17557471.323757775</v>
      </c>
      <c r="E172" s="1379">
        <f>E165+E169</f>
        <v>19249907.44604535</v>
      </c>
    </row>
    <row r="173" spans="1:5" s="1366" customFormat="1" ht="21.9" hidden="1" customHeight="1" outlineLevel="1">
      <c r="A173" s="1382"/>
      <c r="B173" s="1367"/>
      <c r="C173" s="1367"/>
      <c r="D173" s="1367"/>
      <c r="E173" s="1367"/>
    </row>
    <row r="174" spans="1:5" s="1366" customFormat="1" ht="21.9" hidden="1" customHeight="1" outlineLevel="1">
      <c r="A174" s="1382"/>
      <c r="B174" s="1367"/>
      <c r="C174" s="1367"/>
      <c r="D174" s="1367"/>
      <c r="E174" s="1367"/>
    </row>
    <row r="175" spans="1:5" s="1366" customFormat="1" ht="21.9" hidden="1" customHeight="1" outlineLevel="1">
      <c r="A175" s="1387" t="s">
        <v>101</v>
      </c>
      <c r="B175" s="1367"/>
      <c r="C175" s="1367"/>
      <c r="D175" s="1367"/>
      <c r="E175" s="1367"/>
    </row>
    <row r="176" spans="1:5" s="1366" customFormat="1" ht="21.9" hidden="1" customHeight="1" outlineLevel="1">
      <c r="A176" s="1387" t="s">
        <v>1266</v>
      </c>
      <c r="B176" s="1364"/>
      <c r="C176" s="1364"/>
      <c r="D176" s="1364"/>
      <c r="E176" s="1364"/>
    </row>
    <row r="177" spans="1:5" s="1366" customFormat="1" ht="21.9" hidden="1" customHeight="1" outlineLevel="1">
      <c r="A177" s="1369" t="s">
        <v>878</v>
      </c>
      <c r="B177" s="1370" t="s">
        <v>1671</v>
      </c>
      <c r="C177" s="1370" t="s">
        <v>1680</v>
      </c>
      <c r="D177" s="1371" t="s">
        <v>859</v>
      </c>
      <c r="E177" s="1372"/>
    </row>
    <row r="178" spans="1:5" s="1366" customFormat="1" ht="21.9" hidden="1" customHeight="1" outlineLevel="1">
      <c r="A178" s="1373"/>
      <c r="B178" s="1374"/>
      <c r="C178" s="1374"/>
      <c r="D178" s="1375" t="s">
        <v>861</v>
      </c>
      <c r="E178" s="1375" t="s">
        <v>1672</v>
      </c>
    </row>
    <row r="179" spans="1:5" s="1366" customFormat="1" ht="21.9" hidden="1" customHeight="1" outlineLevel="1">
      <c r="A179" s="1382" t="s">
        <v>890</v>
      </c>
      <c r="B179" s="1379">
        <v>45862672.140000001</v>
      </c>
      <c r="C179" s="1379">
        <f>SUM(C180:C182)</f>
        <v>7216429.674643755</v>
      </c>
      <c r="D179" s="1379">
        <f>SUM(D180:D182)</f>
        <v>7910837.8341143969</v>
      </c>
      <c r="E179" s="1379">
        <f>SUM(E180:E182)</f>
        <v>8673395.6911731008</v>
      </c>
    </row>
    <row r="180" spans="1:5" s="1366" customFormat="1" ht="21.9" hidden="1" customHeight="1" outlineLevel="1">
      <c r="A180" s="1393" t="s">
        <v>880</v>
      </c>
      <c r="B180" s="1381"/>
      <c r="C180" s="1381"/>
      <c r="D180" s="1381">
        <f>C180*1.0962259996672</f>
        <v>0</v>
      </c>
      <c r="E180" s="1381">
        <f>D180*1.09639407014138</f>
        <v>0</v>
      </c>
    </row>
    <row r="181" spans="1:5" s="1366" customFormat="1" ht="21.9" hidden="1" customHeight="1" outlineLevel="1">
      <c r="A181" s="1393" t="s">
        <v>881</v>
      </c>
      <c r="B181" s="1381">
        <v>39499145.740000002</v>
      </c>
      <c r="C181" s="1381">
        <f>'Itemized Budget 2024-25'!L442-'Itemized Budget 2024-25'!L440-'Itemized Budget 2024-25'!L436</f>
        <v>6948429.674643755</v>
      </c>
      <c r="D181" s="1381">
        <f>C181*1.0962259996672</f>
        <v>7617049.2662035869</v>
      </c>
      <c r="E181" s="1381">
        <f>D181*1.09639407014138</f>
        <v>8351287.6474403618</v>
      </c>
    </row>
    <row r="182" spans="1:5" s="1366" customFormat="1" ht="21.9" hidden="1" customHeight="1" outlineLevel="1">
      <c r="A182" s="1393" t="s">
        <v>882</v>
      </c>
      <c r="B182" s="1381">
        <v>6363526.4000000004</v>
      </c>
      <c r="C182" s="1381">
        <f>'Itemized Budget 2024-25'!L436+'Itemized Budget 2024-25'!L440</f>
        <v>268000</v>
      </c>
      <c r="D182" s="1381">
        <f>C182*1.0962259996672</f>
        <v>293788.56791080959</v>
      </c>
      <c r="E182" s="1381">
        <f>D182*1.09639407014138</f>
        <v>322108.04373273975</v>
      </c>
    </row>
    <row r="183" spans="1:5" s="1366" customFormat="1" ht="21.9" hidden="1" customHeight="1" outlineLevel="1">
      <c r="A183" s="1382" t="s">
        <v>883</v>
      </c>
      <c r="B183" s="1379">
        <v>0</v>
      </c>
      <c r="C183" s="1379">
        <f>SUM(C184:C185)</f>
        <v>0</v>
      </c>
      <c r="D183" s="1379">
        <f>SUM(D184:D185)</f>
        <v>0</v>
      </c>
      <c r="E183" s="1379">
        <f>SUM(E184:E185)</f>
        <v>0</v>
      </c>
    </row>
    <row r="184" spans="1:5" s="1366" customFormat="1" ht="21.9" hidden="1" customHeight="1" outlineLevel="1">
      <c r="A184" s="1393" t="s">
        <v>891</v>
      </c>
      <c r="B184" s="1381">
        <v>0</v>
      </c>
      <c r="C184" s="1381">
        <v>0</v>
      </c>
      <c r="D184" s="1381">
        <f>C184*1.0962259996672</f>
        <v>0</v>
      </c>
      <c r="E184" s="1381">
        <f>D184*1.09639407014138</f>
        <v>0</v>
      </c>
    </row>
    <row r="185" spans="1:5" s="1366" customFormat="1" ht="21.9" hidden="1" customHeight="1" outlineLevel="1">
      <c r="A185" s="1393" t="s">
        <v>892</v>
      </c>
      <c r="B185" s="1381">
        <v>0</v>
      </c>
      <c r="C185" s="1381">
        <v>0</v>
      </c>
      <c r="D185" s="1381">
        <f>C185*1.0962259996672</f>
        <v>0</v>
      </c>
      <c r="E185" s="1381">
        <f>D185*1.09639407014138</f>
        <v>0</v>
      </c>
    </row>
    <row r="186" spans="1:5" s="1366" customFormat="1" ht="21.9" hidden="1" customHeight="1" outlineLevel="1">
      <c r="A186" s="1382" t="s">
        <v>893</v>
      </c>
      <c r="B186" s="1379">
        <v>45862672.140000001</v>
      </c>
      <c r="C186" s="1379">
        <f>C179+C183</f>
        <v>7216429.674643755</v>
      </c>
      <c r="D186" s="1379">
        <f>D179+D183</f>
        <v>7910837.8341143969</v>
      </c>
      <c r="E186" s="1379">
        <f>E179+E183</f>
        <v>8673395.6911731008</v>
      </c>
    </row>
    <row r="187" spans="1:5" s="1366" customFormat="1" ht="21.9" hidden="1" customHeight="1" outlineLevel="1">
      <c r="B187" s="1367"/>
      <c r="C187" s="1367"/>
      <c r="D187" s="1367"/>
      <c r="E187" s="1367"/>
    </row>
    <row r="188" spans="1:5" s="1366" customFormat="1" ht="21.9" hidden="1" customHeight="1" outlineLevel="1">
      <c r="B188" s="1367"/>
      <c r="C188" s="1367"/>
      <c r="D188" s="1367"/>
      <c r="E188" s="1367"/>
    </row>
    <row r="189" spans="1:5" ht="21.9" hidden="1" customHeight="1" outlineLevel="1">
      <c r="A189" s="1387" t="s">
        <v>109</v>
      </c>
      <c r="B189" s="1367"/>
      <c r="C189" s="1367"/>
    </row>
    <row r="190" spans="1:5" ht="21.9" hidden="1" customHeight="1" outlineLevel="1">
      <c r="A190" s="1387" t="s">
        <v>109</v>
      </c>
    </row>
    <row r="191" spans="1:5" s="1366" customFormat="1" ht="21.9" hidden="1" customHeight="1" outlineLevel="1">
      <c r="A191" s="1369" t="s">
        <v>878</v>
      </c>
      <c r="B191" s="1370" t="s">
        <v>1671</v>
      </c>
      <c r="C191" s="1370" t="s">
        <v>1680</v>
      </c>
      <c r="D191" s="1371" t="s">
        <v>859</v>
      </c>
      <c r="E191" s="1372"/>
    </row>
    <row r="192" spans="1:5" ht="21.9" hidden="1" customHeight="1" outlineLevel="1">
      <c r="A192" s="1373"/>
      <c r="B192" s="1374"/>
      <c r="C192" s="1374"/>
      <c r="D192" s="1375" t="s">
        <v>861</v>
      </c>
      <c r="E192" s="1375" t="s">
        <v>1672</v>
      </c>
    </row>
    <row r="193" spans="1:5" ht="21.9" hidden="1" customHeight="1" outlineLevel="1">
      <c r="A193" s="1382" t="s">
        <v>890</v>
      </c>
      <c r="B193" s="1379">
        <v>9776852.1400000006</v>
      </c>
      <c r="C193" s="1379">
        <f>SUM(C194:C196)</f>
        <v>3568000</v>
      </c>
      <c r="D193" s="1379">
        <f>SUM(D194:D196)</f>
        <v>3911334.3668125696</v>
      </c>
      <c r="E193" s="1379">
        <f>SUM(E194:E196)</f>
        <v>4288363.8061134908</v>
      </c>
    </row>
    <row r="194" spans="1:5" ht="21.9" hidden="1" customHeight="1" outlineLevel="1">
      <c r="A194" s="1393" t="s">
        <v>880</v>
      </c>
      <c r="B194" s="1381"/>
      <c r="C194" s="1381"/>
      <c r="D194" s="1381">
        <f>C194*1.0962259996672</f>
        <v>0</v>
      </c>
      <c r="E194" s="1381">
        <f>D194*1.09639407014138</f>
        <v>0</v>
      </c>
    </row>
    <row r="195" spans="1:5" ht="21.9" hidden="1" customHeight="1" outlineLevel="1">
      <c r="A195" s="1393" t="s">
        <v>881</v>
      </c>
      <c r="B195" s="1381">
        <v>8326852.1400000006</v>
      </c>
      <c r="C195" s="1381">
        <f>'Itemized Budget 2024-25'!L487-'Itemized Budget 2024-25'!L485-'Itemized Budget 2024-25'!L482</f>
        <v>3545500</v>
      </c>
      <c r="D195" s="1381">
        <f>C195*1.0962259996672</f>
        <v>3886669.2818200574</v>
      </c>
      <c r="E195" s="1381">
        <f>D195*1.09639407014138</f>
        <v>4261321.1531881671</v>
      </c>
    </row>
    <row r="196" spans="1:5" ht="21.9" hidden="1" customHeight="1" outlineLevel="1">
      <c r="A196" s="1393" t="s">
        <v>882</v>
      </c>
      <c r="B196" s="1381">
        <v>1450000</v>
      </c>
      <c r="C196" s="1381">
        <f>'Itemized Budget 2024-25'!L485+'Itemized Budget 2024-25'!L482</f>
        <v>22500</v>
      </c>
      <c r="D196" s="1381">
        <f>C196*1.0962259996672</f>
        <v>24665.084992511998</v>
      </c>
      <c r="E196" s="1381">
        <f>D196*1.09639407014138</f>
        <v>27042.652925323298</v>
      </c>
    </row>
    <row r="197" spans="1:5" s="1366" customFormat="1" ht="21.9" hidden="1" customHeight="1" outlineLevel="1">
      <c r="A197" s="1382" t="s">
        <v>883</v>
      </c>
      <c r="B197" s="1379">
        <v>0</v>
      </c>
      <c r="C197" s="1379">
        <f>SUM(C198:C199)</f>
        <v>0</v>
      </c>
      <c r="D197" s="1379">
        <f>SUM(D198:D199)</f>
        <v>0</v>
      </c>
      <c r="E197" s="1379">
        <f>SUM(E198:E199)</f>
        <v>0</v>
      </c>
    </row>
    <row r="198" spans="1:5" ht="21.9" hidden="1" customHeight="1" outlineLevel="1">
      <c r="A198" s="1393" t="s">
        <v>891</v>
      </c>
      <c r="B198" s="1381">
        <v>0</v>
      </c>
      <c r="C198" s="1381"/>
      <c r="D198" s="1381">
        <f>C198*1.0962259996672</f>
        <v>0</v>
      </c>
      <c r="E198" s="1381">
        <f>D198*1.09639407014138</f>
        <v>0</v>
      </c>
    </row>
    <row r="199" spans="1:5" ht="21.9" hidden="1" customHeight="1" outlineLevel="1">
      <c r="A199" s="1393" t="s">
        <v>892</v>
      </c>
      <c r="B199" s="1381">
        <v>0</v>
      </c>
      <c r="C199" s="1381">
        <v>0</v>
      </c>
      <c r="D199" s="1381">
        <f>C199*1.0962259996672</f>
        <v>0</v>
      </c>
      <c r="E199" s="1381">
        <f>D199*1.09639407014138</f>
        <v>0</v>
      </c>
    </row>
    <row r="200" spans="1:5" ht="21.9" hidden="1" customHeight="1" outlineLevel="1">
      <c r="A200" s="1382" t="s">
        <v>893</v>
      </c>
      <c r="B200" s="1379">
        <v>9776852.1400000006</v>
      </c>
      <c r="C200" s="1379">
        <f>C193+C197</f>
        <v>3568000</v>
      </c>
      <c r="D200" s="1379">
        <f>D193+D197</f>
        <v>3911334.3668125696</v>
      </c>
      <c r="E200" s="1379">
        <f>E193+E197</f>
        <v>4288363.8061134908</v>
      </c>
    </row>
    <row r="201" spans="1:5" ht="21.9" hidden="1" customHeight="1" outlineLevel="1"/>
    <row r="202" spans="1:5" s="1366" customFormat="1" ht="21.9" hidden="1" customHeight="1" outlineLevel="1">
      <c r="B202" s="1367"/>
      <c r="C202" s="1367"/>
      <c r="D202" s="1367"/>
      <c r="E202" s="1367"/>
    </row>
    <row r="203" spans="1:5" ht="21.9" hidden="1" customHeight="1" outlineLevel="1">
      <c r="A203" s="1382" t="s">
        <v>1577</v>
      </c>
    </row>
    <row r="204" spans="1:5" ht="21.9" hidden="1" customHeight="1" outlineLevel="1">
      <c r="A204" s="1382" t="s">
        <v>1577</v>
      </c>
    </row>
    <row r="205" spans="1:5" ht="36.9" hidden="1" customHeight="1" outlineLevel="1">
      <c r="A205" s="1369" t="s">
        <v>878</v>
      </c>
      <c r="B205" s="1370" t="s">
        <v>1671</v>
      </c>
      <c r="C205" s="1370" t="s">
        <v>1680</v>
      </c>
      <c r="D205" s="1371" t="s">
        <v>859</v>
      </c>
      <c r="E205" s="1372"/>
    </row>
    <row r="206" spans="1:5" s="1366" customFormat="1" ht="21.9" hidden="1" customHeight="1" outlineLevel="1">
      <c r="A206" s="1373"/>
      <c r="B206" s="1374"/>
      <c r="C206" s="1374"/>
      <c r="D206" s="1375" t="s">
        <v>861</v>
      </c>
      <c r="E206" s="1375" t="s">
        <v>1672</v>
      </c>
    </row>
    <row r="207" spans="1:5" ht="21.9" hidden="1" customHeight="1" outlineLevel="1">
      <c r="A207" s="1382" t="s">
        <v>890</v>
      </c>
      <c r="B207" s="1379">
        <v>0</v>
      </c>
      <c r="C207" s="1379">
        <f>SUM(C208:C210)</f>
        <v>37695473.755286314</v>
      </c>
      <c r="D207" s="1379">
        <f>SUM(D208:D210)</f>
        <v>41322758.400317438</v>
      </c>
      <c r="E207" s="1379">
        <f>SUM(E208:E210)</f>
        <v>45306027.271992937</v>
      </c>
    </row>
    <row r="208" spans="1:5" ht="21.9" hidden="1" customHeight="1" outlineLevel="1">
      <c r="A208" s="1393" t="s">
        <v>880</v>
      </c>
      <c r="B208" s="1379">
        <v>0</v>
      </c>
      <c r="C208" s="1381"/>
      <c r="D208" s="1381">
        <f>C208*1.0962259996672</f>
        <v>0</v>
      </c>
      <c r="E208" s="1381">
        <f>D208*1.09639407014138</f>
        <v>0</v>
      </c>
    </row>
    <row r="209" spans="1:5" ht="21.9" hidden="1" customHeight="1" outlineLevel="1">
      <c r="A209" s="1393" t="s">
        <v>881</v>
      </c>
      <c r="B209" s="1379">
        <v>0</v>
      </c>
      <c r="C209" s="1381">
        <f>'Itemized Budget 2024-25'!L525-'Itemized Budget 2024-25'!L520-'Itemized Budget 2024-25'!L523</f>
        <v>30015473.755286314</v>
      </c>
      <c r="D209" s="1381">
        <f>C209*1.0962259996672</f>
        <v>32903742.722873341</v>
      </c>
      <c r="E209" s="1381">
        <f>D209*1.09639407014138</f>
        <v>36075468.406815916</v>
      </c>
    </row>
    <row r="210" spans="1:5" ht="21.9" hidden="1" customHeight="1" outlineLevel="1">
      <c r="A210" s="1393" t="s">
        <v>882</v>
      </c>
      <c r="B210" s="1379">
        <v>0</v>
      </c>
      <c r="C210" s="1381">
        <f>'Itemized Budget 2024-25'!L523+'Itemized Budget 2024-25'!L520</f>
        <v>7680000</v>
      </c>
      <c r="D210" s="1381">
        <f>C210*1.0962259996672</f>
        <v>8419015.6774440948</v>
      </c>
      <c r="E210" s="1381">
        <f>D210*1.09639407014138</f>
        <v>9230558.8651770186</v>
      </c>
    </row>
    <row r="211" spans="1:5" s="1366" customFormat="1" ht="21.9" hidden="1" customHeight="1" outlineLevel="1">
      <c r="A211" s="1382" t="s">
        <v>883</v>
      </c>
      <c r="B211" s="1379">
        <v>0</v>
      </c>
      <c r="C211" s="1379">
        <f>SUM(C212:C213)</f>
        <v>0</v>
      </c>
      <c r="D211" s="1379">
        <f>SUM(D212:D213)</f>
        <v>0</v>
      </c>
      <c r="E211" s="1379">
        <f>SUM(E212:E213)</f>
        <v>0</v>
      </c>
    </row>
    <row r="212" spans="1:5" ht="21.9" hidden="1" customHeight="1" outlineLevel="1">
      <c r="A212" s="1393" t="s">
        <v>891</v>
      </c>
      <c r="B212" s="1379">
        <v>0</v>
      </c>
      <c r="C212" s="1381">
        <v>0</v>
      </c>
      <c r="D212" s="1381">
        <f>C212*1.0962259996672</f>
        <v>0</v>
      </c>
      <c r="E212" s="1381">
        <f>D212*1.09639407014138</f>
        <v>0</v>
      </c>
    </row>
    <row r="213" spans="1:5" ht="21.9" hidden="1" customHeight="1" outlineLevel="1">
      <c r="A213" s="1393" t="s">
        <v>892</v>
      </c>
      <c r="B213" s="1379">
        <v>0</v>
      </c>
      <c r="C213" s="1381">
        <v>0</v>
      </c>
      <c r="D213" s="1381">
        <f>C213*1.0962259996672</f>
        <v>0</v>
      </c>
      <c r="E213" s="1381">
        <f>D213*1.09639407014138</f>
        <v>0</v>
      </c>
    </row>
    <row r="214" spans="1:5" s="1366" customFormat="1" ht="21.9" hidden="1" customHeight="1" outlineLevel="1">
      <c r="A214" s="1382" t="s">
        <v>893</v>
      </c>
      <c r="B214" s="1379">
        <v>0</v>
      </c>
      <c r="C214" s="1379">
        <f>C207+C211</f>
        <v>37695473.755286314</v>
      </c>
      <c r="D214" s="1379">
        <f>D207+D211</f>
        <v>41322758.400317438</v>
      </c>
      <c r="E214" s="1379">
        <f>E207+E211</f>
        <v>45306027.271992937</v>
      </c>
    </row>
    <row r="215" spans="1:5" s="1366" customFormat="1" ht="21.9" hidden="1" customHeight="1" outlineLevel="1">
      <c r="B215" s="1367"/>
      <c r="C215" s="1367"/>
      <c r="D215" s="1367"/>
      <c r="E215" s="1367"/>
    </row>
    <row r="216" spans="1:5" s="1366" customFormat="1" ht="21.9" hidden="1" customHeight="1" outlineLevel="1">
      <c r="B216" s="1367"/>
      <c r="C216" s="1367"/>
      <c r="D216" s="1367"/>
      <c r="E216" s="1367"/>
    </row>
    <row r="217" spans="1:5" ht="21.9" hidden="1" customHeight="1" outlineLevel="1">
      <c r="A217" s="1382" t="s">
        <v>111</v>
      </c>
    </row>
    <row r="218" spans="1:5" ht="21.9" hidden="1" customHeight="1" outlineLevel="1">
      <c r="A218" s="1382" t="s">
        <v>112</v>
      </c>
    </row>
    <row r="219" spans="1:5" ht="21.9" hidden="1" customHeight="1" outlineLevel="1">
      <c r="A219" s="1369" t="s">
        <v>878</v>
      </c>
      <c r="B219" s="1370" t="s">
        <v>1671</v>
      </c>
      <c r="C219" s="1370" t="s">
        <v>1680</v>
      </c>
      <c r="D219" s="1371" t="s">
        <v>859</v>
      </c>
      <c r="E219" s="1372"/>
    </row>
    <row r="220" spans="1:5" s="1366" customFormat="1" ht="21.9" hidden="1" customHeight="1" outlineLevel="1">
      <c r="A220" s="1373"/>
      <c r="B220" s="1374"/>
      <c r="C220" s="1374"/>
      <c r="D220" s="1375" t="s">
        <v>861</v>
      </c>
      <c r="E220" s="1375" t="s">
        <v>1672</v>
      </c>
    </row>
    <row r="221" spans="1:5" ht="21.9" hidden="1" customHeight="1" outlineLevel="1">
      <c r="A221" s="1382" t="s">
        <v>890</v>
      </c>
      <c r="B221" s="1379">
        <v>0</v>
      </c>
      <c r="C221" s="1379">
        <f>SUM(C222:C224)</f>
        <v>12878022.699999999</v>
      </c>
      <c r="D221" s="1379">
        <f>SUM(D222:D224)</f>
        <v>14117223.308044393</v>
      </c>
      <c r="E221" s="1379">
        <f>SUM(E222:E224)</f>
        <v>15478039.921801547</v>
      </c>
    </row>
    <row r="222" spans="1:5" ht="21.9" hidden="1" customHeight="1" outlineLevel="1">
      <c r="A222" s="1393" t="s">
        <v>880</v>
      </c>
      <c r="B222" s="1379">
        <v>0</v>
      </c>
      <c r="C222" s="1381"/>
      <c r="D222" s="1381">
        <f>C222*1.0962259996672</f>
        <v>0</v>
      </c>
      <c r="E222" s="1381">
        <f>D222*1.09639407014138</f>
        <v>0</v>
      </c>
    </row>
    <row r="223" spans="1:5" ht="21.9" hidden="1" customHeight="1" outlineLevel="1">
      <c r="A223" s="1393" t="s">
        <v>881</v>
      </c>
      <c r="B223" s="1379">
        <v>0</v>
      </c>
      <c r="C223" s="1381">
        <f>'Itemized Budget 2024-25'!L585-'Itemized Budget 2024-25'!L583-'Itemized Budget 2024-25'!L579-'Itemized Budget 2024-25'!L576</f>
        <v>12588022.699999999</v>
      </c>
      <c r="D223" s="1381">
        <f>C223*1.0962259996672</f>
        <v>13799317.768140905</v>
      </c>
      <c r="E223" s="1381">
        <f>D223*1.09639407014138</f>
        <v>15129490.172986269</v>
      </c>
    </row>
    <row r="224" spans="1:5" ht="21.9" hidden="1" customHeight="1" outlineLevel="1">
      <c r="A224" s="1393" t="s">
        <v>882</v>
      </c>
      <c r="B224" s="1379">
        <v>0</v>
      </c>
      <c r="C224" s="1381">
        <f>'Itemized Budget 2024-25'!L583+'Itemized Budget 2024-25'!L579+'Itemized Budget 2024-25'!L576</f>
        <v>290000</v>
      </c>
      <c r="D224" s="1381">
        <f>C224*1.0962259996672</f>
        <v>317905.53990348795</v>
      </c>
      <c r="E224" s="1381">
        <f>D224*1.09639407014138</f>
        <v>348549.748815278</v>
      </c>
    </row>
    <row r="225" spans="1:5" s="1366" customFormat="1" ht="21.9" hidden="1" customHeight="1" outlineLevel="1">
      <c r="A225" s="1382" t="s">
        <v>883</v>
      </c>
      <c r="B225" s="1379">
        <v>0</v>
      </c>
      <c r="C225" s="1379">
        <f>SUM(C226:C227)</f>
        <v>0</v>
      </c>
      <c r="D225" s="1379">
        <f>SUM(D226:D227)</f>
        <v>0</v>
      </c>
      <c r="E225" s="1379">
        <f>SUM(E226:E227)</f>
        <v>0</v>
      </c>
    </row>
    <row r="226" spans="1:5" ht="21.9" hidden="1" customHeight="1" outlineLevel="1">
      <c r="A226" s="1393" t="s">
        <v>891</v>
      </c>
      <c r="B226" s="1379">
        <v>0</v>
      </c>
      <c r="C226" s="1381">
        <v>0</v>
      </c>
      <c r="D226" s="1381">
        <f>C226*1.0962259996672</f>
        <v>0</v>
      </c>
      <c r="E226" s="1381">
        <f>D226*1.09639407014138</f>
        <v>0</v>
      </c>
    </row>
    <row r="227" spans="1:5" ht="21.9" hidden="1" customHeight="1" outlineLevel="1">
      <c r="A227" s="1393" t="s">
        <v>892</v>
      </c>
      <c r="B227" s="1379">
        <v>0</v>
      </c>
      <c r="C227" s="1381">
        <v>0</v>
      </c>
      <c r="D227" s="1381">
        <f>C227*1.0962259996672</f>
        <v>0</v>
      </c>
      <c r="E227" s="1381">
        <f>D227*1.09639407014138</f>
        <v>0</v>
      </c>
    </row>
    <row r="228" spans="1:5" s="1366" customFormat="1" ht="21.9" hidden="1" customHeight="1" outlineLevel="1">
      <c r="A228" s="1382" t="s">
        <v>893</v>
      </c>
      <c r="B228" s="1379">
        <v>0</v>
      </c>
      <c r="C228" s="1379">
        <f>C221+C225</f>
        <v>12878022.699999999</v>
      </c>
      <c r="D228" s="1379">
        <f>D221+D225</f>
        <v>14117223.308044393</v>
      </c>
      <c r="E228" s="1379">
        <f>E221+E225</f>
        <v>15478039.921801547</v>
      </c>
    </row>
    <row r="229" spans="1:5" s="1366" customFormat="1" ht="21.9" hidden="1" customHeight="1" outlineLevel="1">
      <c r="B229" s="1367"/>
      <c r="C229" s="1367"/>
      <c r="D229" s="1367"/>
      <c r="E229" s="1367"/>
    </row>
    <row r="230" spans="1:5" ht="21.9" hidden="1" customHeight="1" outlineLevel="1">
      <c r="A230" s="1382" t="s">
        <v>1740</v>
      </c>
    </row>
    <row r="231" spans="1:5" ht="21.9" hidden="1" customHeight="1" outlineLevel="1">
      <c r="A231" s="1382" t="s">
        <v>1745</v>
      </c>
    </row>
    <row r="232" spans="1:5" ht="21.9" hidden="1" customHeight="1" outlineLevel="1">
      <c r="A232" s="1369" t="s">
        <v>878</v>
      </c>
      <c r="B232" s="1370" t="s">
        <v>1671</v>
      </c>
      <c r="C232" s="1370" t="s">
        <v>1680</v>
      </c>
      <c r="D232" s="1371" t="s">
        <v>859</v>
      </c>
      <c r="E232" s="1372"/>
    </row>
    <row r="233" spans="1:5" s="1366" customFormat="1" ht="21.9" hidden="1" customHeight="1" outlineLevel="1">
      <c r="A233" s="1373"/>
      <c r="B233" s="1374"/>
      <c r="C233" s="1374"/>
      <c r="D233" s="1375" t="s">
        <v>861</v>
      </c>
      <c r="E233" s="1375" t="s">
        <v>1672</v>
      </c>
    </row>
    <row r="234" spans="1:5" ht="21.9" hidden="1" customHeight="1" outlineLevel="1">
      <c r="A234" s="1382" t="s">
        <v>890</v>
      </c>
      <c r="B234" s="1379">
        <v>0</v>
      </c>
      <c r="C234" s="1379">
        <f>SUM(C235:C237)</f>
        <v>5725053.5999999996</v>
      </c>
      <c r="D234" s="1379">
        <f>SUM(D235:D237)</f>
        <v>6275952.6058083009</v>
      </c>
      <c r="E234" s="1379">
        <f>SUM(E235:E237)</f>
        <v>6880917.2214965615</v>
      </c>
    </row>
    <row r="235" spans="1:5" ht="21.9" hidden="1" customHeight="1" outlineLevel="1">
      <c r="A235" s="1393" t="s">
        <v>880</v>
      </c>
      <c r="B235" s="1379">
        <v>0</v>
      </c>
      <c r="C235" s="1381"/>
      <c r="D235" s="1381">
        <f>C235*1.0962259996672</f>
        <v>0</v>
      </c>
      <c r="E235" s="1381">
        <f>D235*1.09639407014138</f>
        <v>0</v>
      </c>
    </row>
    <row r="236" spans="1:5" ht="21.9" hidden="1" customHeight="1" outlineLevel="1">
      <c r="A236" s="1393" t="s">
        <v>881</v>
      </c>
      <c r="B236" s="1379">
        <v>0</v>
      </c>
      <c r="C236" s="1381">
        <f>'Itemized Budget 2024-25'!L619-'Itemized Budget 2024-25'!L617-'Itemized Budget 2024-25'!L614</f>
        <v>5060053.5999999996</v>
      </c>
      <c r="D236" s="1381">
        <f>C236*1.0962259996672</f>
        <v>5546962.3160296129</v>
      </c>
      <c r="E236" s="1381">
        <f>D236*1.09639407014138</f>
        <v>6081656.5905925622</v>
      </c>
    </row>
    <row r="237" spans="1:5" ht="21.9" hidden="1" customHeight="1" outlineLevel="1">
      <c r="A237" s="1393" t="s">
        <v>882</v>
      </c>
      <c r="B237" s="1379">
        <v>0</v>
      </c>
      <c r="C237" s="1381">
        <f>'Itemized Budget 2024-25'!L617+'Itemized Budget 2024-25'!L614</f>
        <v>665000</v>
      </c>
      <c r="D237" s="1381">
        <f>C237*1.0962259996672</f>
        <v>728990.28977868799</v>
      </c>
      <c r="E237" s="1381">
        <f>D237*1.09639407014138</f>
        <v>799260.63090399967</v>
      </c>
    </row>
    <row r="238" spans="1:5" s="1366" customFormat="1" ht="21.9" hidden="1" customHeight="1" outlineLevel="1">
      <c r="A238" s="1382" t="s">
        <v>883</v>
      </c>
      <c r="B238" s="1379">
        <v>0</v>
      </c>
      <c r="C238" s="1379">
        <f>SUM(C239:C240)</f>
        <v>0</v>
      </c>
      <c r="D238" s="1379">
        <f>SUM(D239:D240)</f>
        <v>0</v>
      </c>
      <c r="E238" s="1379">
        <f>SUM(E239:E240)</f>
        <v>0</v>
      </c>
    </row>
    <row r="239" spans="1:5" ht="21.9" hidden="1" customHeight="1" outlineLevel="1">
      <c r="A239" s="1393" t="s">
        <v>891</v>
      </c>
      <c r="B239" s="1379">
        <v>0</v>
      </c>
      <c r="C239" s="1381">
        <v>0</v>
      </c>
      <c r="D239" s="1381">
        <f>C239*1.0962259996672</f>
        <v>0</v>
      </c>
      <c r="E239" s="1381">
        <f>D239*1.09639407014138</f>
        <v>0</v>
      </c>
    </row>
    <row r="240" spans="1:5" ht="21.9" hidden="1" customHeight="1" outlineLevel="1">
      <c r="A240" s="1393" t="s">
        <v>892</v>
      </c>
      <c r="B240" s="1379">
        <v>0</v>
      </c>
      <c r="C240" s="1381">
        <v>0</v>
      </c>
      <c r="D240" s="1381">
        <f>C240*1.0962259996672</f>
        <v>0</v>
      </c>
      <c r="E240" s="1381">
        <f>D240*1.09639407014138</f>
        <v>0</v>
      </c>
    </row>
    <row r="241" spans="1:5" s="1366" customFormat="1" ht="21.9" hidden="1" customHeight="1" outlineLevel="1">
      <c r="A241" s="1382" t="s">
        <v>893</v>
      </c>
      <c r="B241" s="1379">
        <v>0</v>
      </c>
      <c r="C241" s="1379">
        <f>C234+C238</f>
        <v>5725053.5999999996</v>
      </c>
      <c r="D241" s="1379">
        <f>D234+D238</f>
        <v>6275952.6058083009</v>
      </c>
      <c r="E241" s="1379">
        <f>E234+E238</f>
        <v>6880917.2214965615</v>
      </c>
    </row>
    <row r="242" spans="1:5" s="1366" customFormat="1" ht="21.9" hidden="1" customHeight="1" outlineLevel="1">
      <c r="B242" s="1367"/>
      <c r="C242" s="1367"/>
      <c r="D242" s="1367"/>
      <c r="E242" s="1367"/>
    </row>
    <row r="243" spans="1:5" ht="21.9" hidden="1" customHeight="1" outlineLevel="1">
      <c r="A243" s="1382" t="s">
        <v>1741</v>
      </c>
    </row>
    <row r="244" spans="1:5" ht="21.9" hidden="1" customHeight="1" outlineLevel="1">
      <c r="A244" s="1382" t="s">
        <v>1744</v>
      </c>
    </row>
    <row r="245" spans="1:5" ht="21.9" hidden="1" customHeight="1" outlineLevel="1">
      <c r="A245" s="1369" t="s">
        <v>878</v>
      </c>
      <c r="B245" s="1370" t="s">
        <v>1671</v>
      </c>
      <c r="C245" s="1370" t="s">
        <v>1680</v>
      </c>
      <c r="D245" s="1371" t="s">
        <v>859</v>
      </c>
      <c r="E245" s="1372"/>
    </row>
    <row r="246" spans="1:5" s="1366" customFormat="1" ht="21.9" hidden="1" customHeight="1" outlineLevel="1">
      <c r="A246" s="1373"/>
      <c r="B246" s="1374"/>
      <c r="C246" s="1374"/>
      <c r="D246" s="1375" t="s">
        <v>861</v>
      </c>
      <c r="E246" s="1375" t="s">
        <v>1672</v>
      </c>
    </row>
    <row r="247" spans="1:5" ht="21.9" hidden="1" customHeight="1" outlineLevel="1">
      <c r="A247" s="1382" t="s">
        <v>890</v>
      </c>
      <c r="B247" s="1379">
        <v>0</v>
      </c>
      <c r="C247" s="1379">
        <f>SUM(C248:C250)</f>
        <v>147790000</v>
      </c>
      <c r="D247" s="1379">
        <f>SUM(D248:D250)</f>
        <v>162011240.49081549</v>
      </c>
      <c r="E247" s="1379">
        <f>SUM(E248:E250)</f>
        <v>177628163.37037912</v>
      </c>
    </row>
    <row r="248" spans="1:5" ht="21.9" hidden="1" customHeight="1" outlineLevel="1">
      <c r="A248" s="1393" t="s">
        <v>880</v>
      </c>
      <c r="B248" s="1379">
        <v>0</v>
      </c>
      <c r="C248" s="1381"/>
      <c r="D248" s="1381">
        <f>C248*1.0962259996672</f>
        <v>0</v>
      </c>
      <c r="E248" s="1381">
        <f>D248*1.09639407014138</f>
        <v>0</v>
      </c>
    </row>
    <row r="249" spans="1:5" ht="21.9" hidden="1" customHeight="1" outlineLevel="1">
      <c r="A249" s="1393" t="s">
        <v>881</v>
      </c>
      <c r="B249" s="1379">
        <v>0</v>
      </c>
      <c r="C249" s="1381">
        <f>'Itemized Budget 2024-25'!L664-'Itemized Budget 2024-25'!L662-'Itemized Budget 2024-25'!L659-'Itemized Budget 2024-25'!L657</f>
        <v>147690000</v>
      </c>
      <c r="D249" s="1381">
        <f>C249*1.0962259996672</f>
        <v>161901617.89084876</v>
      </c>
      <c r="E249" s="1381">
        <f>D249*1.09639407014138</f>
        <v>177507973.80182213</v>
      </c>
    </row>
    <row r="250" spans="1:5" ht="21.9" hidden="1" customHeight="1" outlineLevel="1">
      <c r="A250" s="1393" t="s">
        <v>882</v>
      </c>
      <c r="B250" s="1379">
        <v>0</v>
      </c>
      <c r="C250" s="1381">
        <f>'Itemized Budget 2024-25'!L662+'Itemized Budget 2024-25'!L659+'Itemized Budget 2024-25'!L657</f>
        <v>100000</v>
      </c>
      <c r="D250" s="1381">
        <f>C250*1.0962259996672</f>
        <v>109622.59996671999</v>
      </c>
      <c r="E250" s="1381">
        <f>D250*1.09639407014138</f>
        <v>120189.56855699242</v>
      </c>
    </row>
    <row r="251" spans="1:5" s="1366" customFormat="1" ht="21.9" hidden="1" customHeight="1" outlineLevel="1">
      <c r="A251" s="1382" t="s">
        <v>883</v>
      </c>
      <c r="B251" s="1379">
        <v>0</v>
      </c>
      <c r="C251" s="1379">
        <f>SUM(C252:C253)</f>
        <v>0</v>
      </c>
      <c r="D251" s="1379">
        <f>SUM(D252:D253)</f>
        <v>0</v>
      </c>
      <c r="E251" s="1379">
        <f>SUM(E252:E253)</f>
        <v>0</v>
      </c>
    </row>
    <row r="252" spans="1:5" ht="21.9" hidden="1" customHeight="1" outlineLevel="1">
      <c r="A252" s="1393" t="s">
        <v>891</v>
      </c>
      <c r="B252" s="1379">
        <v>0</v>
      </c>
      <c r="C252" s="1381">
        <v>0</v>
      </c>
      <c r="D252" s="1381">
        <f>C252*1.0962259996672</f>
        <v>0</v>
      </c>
      <c r="E252" s="1381">
        <f>D252*1.09639407014138</f>
        <v>0</v>
      </c>
    </row>
    <row r="253" spans="1:5" ht="21.9" hidden="1" customHeight="1" outlineLevel="1">
      <c r="A253" s="1393" t="s">
        <v>892</v>
      </c>
      <c r="B253" s="1379">
        <v>0</v>
      </c>
      <c r="C253" s="1381">
        <v>0</v>
      </c>
      <c r="D253" s="1381">
        <f>C253*1.0962259996672</f>
        <v>0</v>
      </c>
      <c r="E253" s="1381">
        <f>D253*1.09639407014138</f>
        <v>0</v>
      </c>
    </row>
    <row r="254" spans="1:5" s="1366" customFormat="1" ht="21.9" hidden="1" customHeight="1" outlineLevel="1">
      <c r="A254" s="1382" t="s">
        <v>893</v>
      </c>
      <c r="B254" s="1379">
        <v>0</v>
      </c>
      <c r="C254" s="1379">
        <f>C247+C251</f>
        <v>147790000</v>
      </c>
      <c r="D254" s="1379">
        <f>D247+D251</f>
        <v>162011240.49081549</v>
      </c>
      <c r="E254" s="1379">
        <f>E247+E251</f>
        <v>177628163.37037912</v>
      </c>
    </row>
    <row r="255" spans="1:5" s="1366" customFormat="1" ht="21.9" hidden="1" customHeight="1" outlineLevel="1">
      <c r="B255" s="1367"/>
      <c r="C255" s="1367"/>
      <c r="D255" s="1367"/>
      <c r="E255" s="1367"/>
    </row>
    <row r="256" spans="1:5" ht="21.9" hidden="1" customHeight="1" outlineLevel="1">
      <c r="A256" s="1382" t="s">
        <v>1742</v>
      </c>
    </row>
    <row r="257" spans="1:5" ht="21.9" hidden="1" customHeight="1" outlineLevel="1">
      <c r="A257" s="1382" t="s">
        <v>1743</v>
      </c>
    </row>
    <row r="258" spans="1:5" ht="21.9" hidden="1" customHeight="1" outlineLevel="1">
      <c r="A258" s="1369" t="s">
        <v>878</v>
      </c>
      <c r="B258" s="1370" t="s">
        <v>1671</v>
      </c>
      <c r="C258" s="1370" t="s">
        <v>1680</v>
      </c>
      <c r="D258" s="1371" t="s">
        <v>859</v>
      </c>
      <c r="E258" s="1372"/>
    </row>
    <row r="259" spans="1:5" s="1366" customFormat="1" ht="21.9" hidden="1" customHeight="1" outlineLevel="1">
      <c r="A259" s="1373"/>
      <c r="B259" s="1374"/>
      <c r="C259" s="1374"/>
      <c r="D259" s="1375" t="s">
        <v>861</v>
      </c>
      <c r="E259" s="1375" t="s">
        <v>1672</v>
      </c>
    </row>
    <row r="260" spans="1:5" ht="21.9" hidden="1" customHeight="1" outlineLevel="1">
      <c r="A260" s="1382" t="s">
        <v>890</v>
      </c>
      <c r="B260" s="1379">
        <v>0</v>
      </c>
      <c r="C260" s="1379">
        <f>SUM(C261:C263)</f>
        <v>40529000</v>
      </c>
      <c r="D260" s="1379">
        <f>SUM(D261:D263)</f>
        <v>44428943.540511951</v>
      </c>
      <c r="E260" s="1379">
        <f>SUM(E261:E263)</f>
        <v>48711630.240463465</v>
      </c>
    </row>
    <row r="261" spans="1:5" ht="21.9" hidden="1" customHeight="1" outlineLevel="1">
      <c r="A261" s="1393" t="s">
        <v>880</v>
      </c>
      <c r="B261" s="1379">
        <v>0</v>
      </c>
      <c r="C261" s="1381"/>
      <c r="D261" s="1381">
        <f>C261*1.0962259996672</f>
        <v>0</v>
      </c>
      <c r="E261" s="1381">
        <f>D261*1.09639407014138</f>
        <v>0</v>
      </c>
    </row>
    <row r="262" spans="1:5" ht="21.9" hidden="1" customHeight="1" outlineLevel="1">
      <c r="A262" s="1393" t="s">
        <v>881</v>
      </c>
      <c r="B262" s="1379">
        <v>0</v>
      </c>
      <c r="C262" s="1381">
        <f>'Itemized Budget 2024-25'!L701-'Itemized Budget 2024-25'!L699-'Itemized Budget 2024-25'!L696</f>
        <v>40433000</v>
      </c>
      <c r="D262" s="1381">
        <f>C262*1.0962259996672</f>
        <v>44323705.844543897</v>
      </c>
      <c r="E262" s="1381">
        <f>D262*1.09639407014138</f>
        <v>48596248.254648753</v>
      </c>
    </row>
    <row r="263" spans="1:5" ht="21.9" hidden="1" customHeight="1" outlineLevel="1">
      <c r="A263" s="1393" t="s">
        <v>882</v>
      </c>
      <c r="B263" s="1379">
        <v>0</v>
      </c>
      <c r="C263" s="1381">
        <f>'Itemized Budget 2024-25'!L699+'Itemized Budget 2024-25'!L696</f>
        <v>96000</v>
      </c>
      <c r="D263" s="1381">
        <f>C263*1.0962259996672</f>
        <v>105237.69596805119</v>
      </c>
      <c r="E263" s="1381">
        <f>D263*1.09639407014138</f>
        <v>115381.98581471274</v>
      </c>
    </row>
    <row r="264" spans="1:5" s="1366" customFormat="1" ht="21.9" hidden="1" customHeight="1" outlineLevel="1">
      <c r="A264" s="1382" t="s">
        <v>883</v>
      </c>
      <c r="B264" s="1379">
        <v>0</v>
      </c>
      <c r="C264" s="1379">
        <f>SUM(C265:C266)</f>
        <v>0</v>
      </c>
      <c r="D264" s="1379">
        <f>SUM(D265:D266)</f>
        <v>0</v>
      </c>
      <c r="E264" s="1379">
        <f>SUM(E265:E266)</f>
        <v>0</v>
      </c>
    </row>
    <row r="265" spans="1:5" ht="21.9" hidden="1" customHeight="1" outlineLevel="1">
      <c r="A265" s="1393" t="s">
        <v>891</v>
      </c>
      <c r="B265" s="1379">
        <v>0</v>
      </c>
      <c r="C265" s="1381">
        <v>0</v>
      </c>
      <c r="D265" s="1381">
        <f>C265*1.0962259996672</f>
        <v>0</v>
      </c>
      <c r="E265" s="1381">
        <f>D265*1.09639407014138</f>
        <v>0</v>
      </c>
    </row>
    <row r="266" spans="1:5" ht="21.9" hidden="1" customHeight="1" outlineLevel="1">
      <c r="A266" s="1393" t="s">
        <v>892</v>
      </c>
      <c r="B266" s="1379">
        <v>0</v>
      </c>
      <c r="C266" s="1381">
        <v>0</v>
      </c>
      <c r="D266" s="1381">
        <f>C266*1.0962259996672</f>
        <v>0</v>
      </c>
      <c r="E266" s="1381">
        <f>D266*1.09639407014138</f>
        <v>0</v>
      </c>
    </row>
    <row r="267" spans="1:5" s="1366" customFormat="1" ht="21.9" hidden="1" customHeight="1" outlineLevel="1">
      <c r="A267" s="1382" t="s">
        <v>893</v>
      </c>
      <c r="B267" s="1379">
        <v>0</v>
      </c>
      <c r="C267" s="1379">
        <f>C260+C264</f>
        <v>40529000</v>
      </c>
      <c r="D267" s="1379">
        <f>D260+D264</f>
        <v>44428943.540511951</v>
      </c>
      <c r="E267" s="1379">
        <f>E260+E264</f>
        <v>48711630.240463465</v>
      </c>
    </row>
    <row r="268" spans="1:5" s="1366" customFormat="1" ht="21.9" hidden="1" customHeight="1" outlineLevel="1">
      <c r="B268" s="1367"/>
      <c r="C268" s="1367"/>
      <c r="D268" s="1367"/>
      <c r="E268" s="1367"/>
    </row>
    <row r="269" spans="1:5" ht="21.9" hidden="1" customHeight="1" outlineLevel="1">
      <c r="A269" s="1401" t="s">
        <v>1746</v>
      </c>
    </row>
    <row r="270" spans="1:5" ht="21.9" hidden="1" customHeight="1" outlineLevel="1">
      <c r="A270" s="1382" t="s">
        <v>1747</v>
      </c>
    </row>
    <row r="271" spans="1:5" ht="21.9" hidden="1" customHeight="1" outlineLevel="1">
      <c r="A271" s="1369" t="s">
        <v>878</v>
      </c>
      <c r="B271" s="1370" t="s">
        <v>1671</v>
      </c>
      <c r="C271" s="1370" t="s">
        <v>1680</v>
      </c>
      <c r="D271" s="1371" t="s">
        <v>859</v>
      </c>
      <c r="E271" s="1372"/>
    </row>
    <row r="272" spans="1:5" s="1366" customFormat="1" ht="21.9" hidden="1" customHeight="1" outlineLevel="1">
      <c r="A272" s="1373"/>
      <c r="B272" s="1374"/>
      <c r="C272" s="1374"/>
      <c r="D272" s="1375" t="s">
        <v>861</v>
      </c>
      <c r="E272" s="1375" t="s">
        <v>1672</v>
      </c>
    </row>
    <row r="273" spans="1:5" ht="21.9" hidden="1" customHeight="1" outlineLevel="1">
      <c r="A273" s="1382" t="s">
        <v>890</v>
      </c>
      <c r="B273" s="1379">
        <v>0</v>
      </c>
      <c r="C273" s="1379">
        <f>SUM(C274:C276)</f>
        <v>69222252.5</v>
      </c>
      <c r="D273" s="1379">
        <f>SUM(D274:D276)</f>
        <v>75883232.94602783</v>
      </c>
      <c r="E273" s="1379">
        <f>SUM(E274:E276)</f>
        <v>83197926.625181898</v>
      </c>
    </row>
    <row r="274" spans="1:5" ht="21.9" hidden="1" customHeight="1" outlineLevel="1">
      <c r="A274" s="1393" t="s">
        <v>880</v>
      </c>
      <c r="B274" s="1379">
        <v>0</v>
      </c>
      <c r="C274" s="1381">
        <f>0</f>
        <v>0</v>
      </c>
      <c r="D274" s="1381">
        <f>C274*1.0962259996672</f>
        <v>0</v>
      </c>
      <c r="E274" s="1381">
        <f>D274*1.09639407014138</f>
        <v>0</v>
      </c>
    </row>
    <row r="275" spans="1:5" ht="21.9" hidden="1" customHeight="1" outlineLevel="1">
      <c r="A275" s="1393" t="s">
        <v>881</v>
      </c>
      <c r="B275" s="1379">
        <v>0</v>
      </c>
      <c r="C275" s="1381">
        <f>'Itemized Budget 2024-25'!L773-'Itemized Budget 2024-25'!L771-'Itemized Budget 2024-25'!L768-'Itemized Budget 2024-25'!L765-'Itemized Budget 2024-25'!L763</f>
        <v>53717994.5</v>
      </c>
      <c r="D275" s="1381">
        <f>C275*1.0962259996672</f>
        <v>58887062.220879644</v>
      </c>
      <c r="E275" s="1381">
        <f>D275*1.09639407014138</f>
        <v>64563425.827018917</v>
      </c>
    </row>
    <row r="276" spans="1:5" ht="21.9" hidden="1" customHeight="1" outlineLevel="1">
      <c r="A276" s="1393" t="s">
        <v>882</v>
      </c>
      <c r="B276" s="1379">
        <v>0</v>
      </c>
      <c r="C276" s="1381">
        <f>'Itemized Budget 2024-25'!L771+'Itemized Budget 2024-25'!L768+'Itemized Budget 2024-25'!L765+'Itemized Budget 2024-25'!L764</f>
        <v>15504258</v>
      </c>
      <c r="D276" s="1381">
        <f>C276*1.0962259996672</f>
        <v>16996170.725148182</v>
      </c>
      <c r="E276" s="1381">
        <f>D276*1.09639407014138</f>
        <v>18634500.798162986</v>
      </c>
    </row>
    <row r="277" spans="1:5" s="1366" customFormat="1" ht="21.9" hidden="1" customHeight="1" outlineLevel="1">
      <c r="A277" s="1382" t="s">
        <v>883</v>
      </c>
      <c r="B277" s="1379">
        <v>0</v>
      </c>
      <c r="C277" s="1379">
        <f>SUM(C278:C279)</f>
        <v>132525314.62311122</v>
      </c>
      <c r="D277" s="1379">
        <f>SUM(D278:D279)</f>
        <v>145277695.50393027</v>
      </c>
      <c r="E277" s="1379">
        <f>SUM(E278:E279)</f>
        <v>159281603.87431416</v>
      </c>
    </row>
    <row r="278" spans="1:5" ht="21.9" hidden="1" customHeight="1" outlineLevel="1">
      <c r="A278" s="1393" t="s">
        <v>891</v>
      </c>
      <c r="B278" s="1379">
        <v>0</v>
      </c>
      <c r="C278" s="1381">
        <f>'Itemized Budget 2024-25'!L783</f>
        <v>132525314.62311122</v>
      </c>
      <c r="D278" s="1381">
        <f>C278*1.0962259996672</f>
        <v>145277695.50393027</v>
      </c>
      <c r="E278" s="1381">
        <f>D278*1.09639407014138</f>
        <v>159281603.87431416</v>
      </c>
    </row>
    <row r="279" spans="1:5" ht="21.9" hidden="1" customHeight="1" outlineLevel="1">
      <c r="A279" s="1393" t="s">
        <v>892</v>
      </c>
      <c r="B279" s="1379">
        <v>0</v>
      </c>
      <c r="C279" s="1381">
        <v>0</v>
      </c>
      <c r="D279" s="1381">
        <f>C279*1.0962259996672</f>
        <v>0</v>
      </c>
      <c r="E279" s="1381">
        <f>D279*1.09639407014138</f>
        <v>0</v>
      </c>
    </row>
    <row r="280" spans="1:5" s="1366" customFormat="1" ht="21.9" hidden="1" customHeight="1" outlineLevel="1">
      <c r="A280" s="1382" t="s">
        <v>893</v>
      </c>
      <c r="B280" s="1379">
        <v>0</v>
      </c>
      <c r="C280" s="1379">
        <f>C273+C277</f>
        <v>201747567.12311122</v>
      </c>
      <c r="D280" s="1379">
        <f>D273+D277</f>
        <v>221160928.44995809</v>
      </c>
      <c r="E280" s="1379">
        <f>E273+E277</f>
        <v>242479530.49949604</v>
      </c>
    </row>
    <row r="281" spans="1:5" s="1366" customFormat="1" ht="21.9" hidden="1" customHeight="1" outlineLevel="1">
      <c r="B281" s="1367"/>
      <c r="C281" s="1367"/>
      <c r="D281" s="1367"/>
      <c r="E281" s="1367"/>
    </row>
    <row r="282" spans="1:5" ht="21.9" hidden="1" customHeight="1" outlineLevel="1">
      <c r="A282" s="1382" t="s">
        <v>169</v>
      </c>
    </row>
    <row r="283" spans="1:5" ht="21.9" hidden="1" customHeight="1" outlineLevel="1">
      <c r="A283" s="1382" t="s">
        <v>170</v>
      </c>
    </row>
    <row r="284" spans="1:5" ht="21.9" hidden="1" customHeight="1" outlineLevel="1">
      <c r="A284" s="1369" t="s">
        <v>878</v>
      </c>
      <c r="B284" s="1370" t="s">
        <v>1671</v>
      </c>
      <c r="C284" s="1370" t="s">
        <v>1680</v>
      </c>
      <c r="D284" s="1371" t="s">
        <v>859</v>
      </c>
      <c r="E284" s="1372"/>
    </row>
    <row r="285" spans="1:5" s="1366" customFormat="1" ht="21.9" hidden="1" customHeight="1" outlineLevel="1">
      <c r="A285" s="1373"/>
      <c r="B285" s="1374"/>
      <c r="C285" s="1374"/>
      <c r="D285" s="1375" t="s">
        <v>861</v>
      </c>
      <c r="E285" s="1375" t="s">
        <v>1672</v>
      </c>
    </row>
    <row r="286" spans="1:5" ht="21.9" hidden="1" customHeight="1" outlineLevel="1">
      <c r="A286" s="1382" t="s">
        <v>890</v>
      </c>
      <c r="B286" s="1379">
        <v>0</v>
      </c>
      <c r="C286" s="1379">
        <f>SUM(C287:C289)</f>
        <v>17657227</v>
      </c>
      <c r="D286" s="1379">
        <f>SUM(D287:D289)</f>
        <v>19356311.319425672</v>
      </c>
      <c r="E286" s="1379">
        <f>SUM(E287:E289)</f>
        <v>21222144.950428776</v>
      </c>
    </row>
    <row r="287" spans="1:5" ht="21.9" hidden="1" customHeight="1" outlineLevel="1">
      <c r="A287" s="1393" t="s">
        <v>880</v>
      </c>
      <c r="B287" s="1379">
        <v>0</v>
      </c>
      <c r="C287" s="1381">
        <v>0</v>
      </c>
      <c r="D287" s="1381">
        <f>C287*1.0962259996672</f>
        <v>0</v>
      </c>
      <c r="E287" s="1381">
        <f>D287*1.09639407014138</f>
        <v>0</v>
      </c>
    </row>
    <row r="288" spans="1:5" ht="21.9" hidden="1" customHeight="1" outlineLevel="1">
      <c r="A288" s="1393" t="s">
        <v>881</v>
      </c>
      <c r="B288" s="1379">
        <v>0</v>
      </c>
      <c r="C288" s="1381">
        <f>'Itemized Budget 2024-25'!L836-'Itemized Budget 2024-25'!L833-'Itemized Budget 2024-25'!L830</f>
        <v>12057227</v>
      </c>
      <c r="D288" s="1381">
        <f>C288*1.0962259996672</f>
        <v>13217445.721289353</v>
      </c>
      <c r="E288" s="1381">
        <f>D288*1.09639407014138</f>
        <v>14491529.111237202</v>
      </c>
    </row>
    <row r="289" spans="1:5" ht="21.9" hidden="1" customHeight="1" outlineLevel="1">
      <c r="A289" s="1393" t="s">
        <v>882</v>
      </c>
      <c r="B289" s="1379">
        <v>0</v>
      </c>
      <c r="C289" s="1381">
        <f>'Itemized Budget 2024-25'!L833+'Itemized Budget 2024-25'!L830</f>
        <v>5600000</v>
      </c>
      <c r="D289" s="1381">
        <f>C289*1.0962259996672</f>
        <v>6138865.5981363198</v>
      </c>
      <c r="E289" s="1381">
        <f>D289*1.09639407014138</f>
        <v>6730615.8391915765</v>
      </c>
    </row>
    <row r="290" spans="1:5" s="1366" customFormat="1" ht="21.9" hidden="1" customHeight="1" outlineLevel="1">
      <c r="A290" s="1382" t="s">
        <v>883</v>
      </c>
      <c r="B290" s="1379">
        <v>0</v>
      </c>
      <c r="C290" s="1379">
        <f>SUM(C291:C292)</f>
        <v>0</v>
      </c>
      <c r="D290" s="1379">
        <f>SUM(D291:D292)</f>
        <v>0</v>
      </c>
      <c r="E290" s="1379">
        <f>SUM(E291:E292)</f>
        <v>0</v>
      </c>
    </row>
    <row r="291" spans="1:5" ht="21.9" hidden="1" customHeight="1" outlineLevel="1">
      <c r="A291" s="1393" t="s">
        <v>891</v>
      </c>
      <c r="B291" s="1379">
        <v>0</v>
      </c>
      <c r="C291" s="1381">
        <v>0</v>
      </c>
      <c r="D291" s="1381">
        <f>C291*1.0962259996672</f>
        <v>0</v>
      </c>
      <c r="E291" s="1381">
        <f>D291*1.09639407014138</f>
        <v>0</v>
      </c>
    </row>
    <row r="292" spans="1:5" ht="21.9" hidden="1" customHeight="1" outlineLevel="1">
      <c r="A292" s="1393" t="s">
        <v>892</v>
      </c>
      <c r="B292" s="1379">
        <v>0</v>
      </c>
      <c r="C292" s="1381">
        <v>0</v>
      </c>
      <c r="D292" s="1381">
        <f>C292*1.0962259996672</f>
        <v>0</v>
      </c>
      <c r="E292" s="1381">
        <f>D292*1.09639407014138</f>
        <v>0</v>
      </c>
    </row>
    <row r="293" spans="1:5" s="1366" customFormat="1" ht="21.9" hidden="1" customHeight="1" outlineLevel="1">
      <c r="A293" s="1382" t="s">
        <v>893</v>
      </c>
      <c r="B293" s="1379">
        <v>0</v>
      </c>
      <c r="C293" s="1379">
        <f>C286+C290</f>
        <v>17657227</v>
      </c>
      <c r="D293" s="1379">
        <f>D286+D290</f>
        <v>19356311.319425672</v>
      </c>
      <c r="E293" s="1379">
        <f>E286+E290</f>
        <v>21222144.950428776</v>
      </c>
    </row>
    <row r="294" spans="1:5" s="1366" customFormat="1" ht="21.9" hidden="1" customHeight="1" outlineLevel="1">
      <c r="B294" s="1367"/>
      <c r="C294" s="1367"/>
      <c r="D294" s="1367"/>
      <c r="E294" s="1367"/>
    </row>
    <row r="295" spans="1:5" s="1366" customFormat="1" ht="21.9" hidden="1" customHeight="1" outlineLevel="1">
      <c r="B295" s="1367"/>
      <c r="C295" s="1367"/>
      <c r="D295" s="1367"/>
      <c r="E295" s="1367"/>
    </row>
    <row r="296" spans="1:5" ht="21.9" hidden="1" customHeight="1" outlineLevel="1">
      <c r="A296" s="1382" t="s">
        <v>1669</v>
      </c>
    </row>
    <row r="297" spans="1:5" ht="21.9" hidden="1" customHeight="1" outlineLevel="1">
      <c r="A297" s="1369" t="s">
        <v>878</v>
      </c>
      <c r="B297" s="1370" t="s">
        <v>857</v>
      </c>
      <c r="C297" s="1370" t="s">
        <v>858</v>
      </c>
      <c r="D297" s="1371" t="s">
        <v>859</v>
      </c>
      <c r="E297" s="1372"/>
    </row>
    <row r="298" spans="1:5" s="1366" customFormat="1" ht="21.9" hidden="1" customHeight="1" outlineLevel="1">
      <c r="A298" s="1373"/>
      <c r="B298" s="1374"/>
      <c r="C298" s="1374"/>
      <c r="D298" s="1375" t="s">
        <v>860</v>
      </c>
      <c r="E298" s="1375" t="s">
        <v>861</v>
      </c>
    </row>
    <row r="299" spans="1:5" ht="21.9" hidden="1" customHeight="1" outlineLevel="1">
      <c r="A299" s="1382" t="s">
        <v>890</v>
      </c>
      <c r="B299" s="1379">
        <v>0</v>
      </c>
      <c r="C299" s="1379">
        <f>SUM(C300:C302)</f>
        <v>16432082.699999999</v>
      </c>
      <c r="D299" s="1379">
        <f>SUM(D300:D302)</f>
        <v>18013276.2844216</v>
      </c>
      <c r="E299" s="1379">
        <f>SUM(E300:E302)</f>
        <v>19749649.30205819</v>
      </c>
    </row>
    <row r="300" spans="1:5" ht="21.9" hidden="1" customHeight="1" outlineLevel="1">
      <c r="A300" s="1393" t="s">
        <v>880</v>
      </c>
      <c r="B300" s="1379">
        <v>0</v>
      </c>
      <c r="C300" s="1381"/>
      <c r="D300" s="1381">
        <f>C300*1.0962259996672</f>
        <v>0</v>
      </c>
      <c r="E300" s="1381">
        <f>D300*1.09639407014138</f>
        <v>0</v>
      </c>
    </row>
    <row r="301" spans="1:5" ht="21.9" hidden="1" customHeight="1" outlineLevel="1">
      <c r="A301" s="1393" t="s">
        <v>881</v>
      </c>
      <c r="B301" s="1379">
        <v>0</v>
      </c>
      <c r="C301" s="1381">
        <f>'Itemized Budget 2024-25'!L586+'Itemized Budget 2024-25'!L589+'Itemized Budget 2024-25'!L592+'Itemized Budget 2024-25'!L596+'Itemized Budget 2024-25'!L598+'Itemized Budget 2024-25'!L601+'Itemized Budget 2024-25'!L603+'Itemized Budget 2024-25'!L607+'Itemized Budget 2024-25'!L609</f>
        <v>15267082.699999999</v>
      </c>
      <c r="D301" s="1381">
        <f>C301*1.0962259996672</f>
        <v>16736172.994809313</v>
      </c>
      <c r="E301" s="1381">
        <f>D301*1.09639407014138</f>
        <v>18349440.82836923</v>
      </c>
    </row>
    <row r="302" spans="1:5" ht="21.9" hidden="1" customHeight="1" outlineLevel="1">
      <c r="A302" s="1393" t="s">
        <v>882</v>
      </c>
      <c r="B302" s="1379">
        <v>0</v>
      </c>
      <c r="C302" s="1381">
        <f>'Itemized Budget 2024-25'!L611+'Itemized Budget 2024-25'!L614</f>
        <v>1165000</v>
      </c>
      <c r="D302" s="1381">
        <f>C302*1.0962259996672</f>
        <v>1277103.2896122879</v>
      </c>
      <c r="E302" s="1381">
        <f>D302*1.09639407014138</f>
        <v>1400208.4736889617</v>
      </c>
    </row>
    <row r="303" spans="1:5" s="1366" customFormat="1" ht="21.9" hidden="1" customHeight="1" outlineLevel="1">
      <c r="A303" s="1382" t="s">
        <v>883</v>
      </c>
      <c r="B303" s="1379">
        <v>0</v>
      </c>
      <c r="C303" s="1379">
        <f>SUM(C304:C305)</f>
        <v>0</v>
      </c>
      <c r="D303" s="1379">
        <f>SUM(D304:D305)</f>
        <v>0</v>
      </c>
      <c r="E303" s="1379">
        <f>SUM(E304:E305)</f>
        <v>0</v>
      </c>
    </row>
    <row r="304" spans="1:5" ht="21.9" hidden="1" customHeight="1" outlineLevel="1">
      <c r="A304" s="1393" t="s">
        <v>891</v>
      </c>
      <c r="B304" s="1379">
        <v>0</v>
      </c>
      <c r="C304" s="1381">
        <v>0</v>
      </c>
      <c r="D304" s="1381">
        <f>C304*1.0962259996672</f>
        <v>0</v>
      </c>
      <c r="E304" s="1381">
        <f>D304*1.09639407014138</f>
        <v>0</v>
      </c>
    </row>
    <row r="305" spans="1:5" ht="21.9" hidden="1" customHeight="1" outlineLevel="1">
      <c r="A305" s="1393" t="s">
        <v>892</v>
      </c>
      <c r="B305" s="1379">
        <v>0</v>
      </c>
      <c r="C305" s="1381">
        <v>0</v>
      </c>
      <c r="D305" s="1381">
        <f>C305*1.0962259996672</f>
        <v>0</v>
      </c>
      <c r="E305" s="1381">
        <f>D305*1.09639407014138</f>
        <v>0</v>
      </c>
    </row>
    <row r="306" spans="1:5" s="1366" customFormat="1" ht="21.9" hidden="1" customHeight="1" outlineLevel="1">
      <c r="A306" s="1382" t="s">
        <v>893</v>
      </c>
      <c r="B306" s="1379">
        <v>0</v>
      </c>
      <c r="C306" s="1379">
        <f>C299+C303</f>
        <v>16432082.699999999</v>
      </c>
      <c r="D306" s="1379">
        <f>D299+D303</f>
        <v>18013276.2844216</v>
      </c>
      <c r="E306" s="1379">
        <f>E299+E303</f>
        <v>19749649.30205819</v>
      </c>
    </row>
    <row r="307" spans="1:5" s="1366" customFormat="1" ht="21.9" hidden="1" customHeight="1" outlineLevel="1">
      <c r="B307" s="1367"/>
      <c r="C307" s="1367"/>
      <c r="D307" s="1367"/>
      <c r="E307" s="1367"/>
    </row>
    <row r="308" spans="1:5" s="1366" customFormat="1" ht="21.9" hidden="1" customHeight="1" outlineLevel="1">
      <c r="B308" s="1367"/>
      <c r="C308" s="1367"/>
      <c r="D308" s="1367"/>
      <c r="E308" s="1367"/>
    </row>
    <row r="309" spans="1:5" ht="21.9" hidden="1" customHeight="1" outlineLevel="1">
      <c r="A309" s="1387" t="s">
        <v>132</v>
      </c>
    </row>
    <row r="310" spans="1:5" ht="21.9" hidden="1" customHeight="1" outlineLevel="1">
      <c r="A310" s="1369" t="s">
        <v>878</v>
      </c>
      <c r="B310" s="1370" t="s">
        <v>857</v>
      </c>
      <c r="C310" s="1370" t="s">
        <v>858</v>
      </c>
      <c r="D310" s="1371" t="s">
        <v>859</v>
      </c>
      <c r="E310" s="1372"/>
    </row>
    <row r="311" spans="1:5" s="1366" customFormat="1" ht="21.9" hidden="1" customHeight="1" outlineLevel="1">
      <c r="A311" s="1373"/>
      <c r="B311" s="1374"/>
      <c r="C311" s="1374"/>
      <c r="D311" s="1375" t="s">
        <v>860</v>
      </c>
      <c r="E311" s="1375" t="s">
        <v>861</v>
      </c>
    </row>
    <row r="312" spans="1:5" ht="21.9" hidden="1" customHeight="1" outlineLevel="1">
      <c r="A312" s="1382" t="s">
        <v>890</v>
      </c>
      <c r="B312" s="1379">
        <v>50875866</v>
      </c>
      <c r="C312" s="1379">
        <f>SUM(C313:C315)</f>
        <v>168390053.59999999</v>
      </c>
      <c r="D312" s="1379">
        <f>SUM(D313:D315)</f>
        <v>184593554.84167337</v>
      </c>
      <c r="E312" s="1379">
        <f>SUM(E313:E315)</f>
        <v>202387278.91472828</v>
      </c>
    </row>
    <row r="313" spans="1:5" ht="21.9" hidden="1" customHeight="1" outlineLevel="1">
      <c r="A313" s="1393" t="s">
        <v>880</v>
      </c>
      <c r="B313" s="1381"/>
      <c r="C313" s="1381"/>
      <c r="D313" s="1381">
        <f>C313*1.0962259996672</f>
        <v>0</v>
      </c>
      <c r="E313" s="1381">
        <f>D313*1.09639407014138</f>
        <v>0</v>
      </c>
    </row>
    <row r="314" spans="1:5" ht="21.9" hidden="1" customHeight="1" outlineLevel="1">
      <c r="A314" s="1393" t="s">
        <v>881</v>
      </c>
      <c r="B314" s="1381">
        <v>47598866</v>
      </c>
      <c r="C314" s="1381">
        <f>'Itemized Budget 2024-25'!L620+'Itemized Budget 2024-25'!L623+'Itemized Budget 2024-25'!L626+'Itemized Budget 2024-25'!L630+'Itemized Budget 2024-25'!L634+'Itemized Budget 2024-25'!L636+'Itemized Budget 2024-25'!L639+'Itemized Budget 2024-25'!L641+'Itemized Budget 2024-25'!L645+'Itemized Budget 2024-25'!L647+'Itemized Budget 2024-25'!L649+'Itemized Budget 2024-25'!L651</f>
        <v>8016053.5999999996</v>
      </c>
      <c r="D314" s="1381">
        <f>C314*1.0962259996672</f>
        <v>8787406.3710458558</v>
      </c>
      <c r="E314" s="1381">
        <f>D314*1.09639407014138</f>
        <v>9634460.2371372581</v>
      </c>
    </row>
    <row r="315" spans="1:5" ht="21.9" hidden="1" customHeight="1" outlineLevel="1">
      <c r="A315" s="1393" t="s">
        <v>882</v>
      </c>
      <c r="B315" s="1381">
        <v>3277000</v>
      </c>
      <c r="C315" s="1381">
        <f>'Itemized Budget 2024-25'!L654+'Itemized Budget 2024-25'!L656+'Itemized Budget 2024-25'!L659</f>
        <v>160374000</v>
      </c>
      <c r="D315" s="1381">
        <f>C315*1.0962259996672</f>
        <v>175806148.47062752</v>
      </c>
      <c r="E315" s="1381">
        <f>D315*1.09639407014138</f>
        <v>192752818.67759103</v>
      </c>
    </row>
    <row r="316" spans="1:5" s="1366" customFormat="1" ht="21.9" hidden="1" customHeight="1" outlineLevel="1">
      <c r="A316" s="1382" t="s">
        <v>883</v>
      </c>
      <c r="B316" s="1379">
        <v>0</v>
      </c>
      <c r="C316" s="1379">
        <f>SUM(C317:C318)</f>
        <v>0</v>
      </c>
      <c r="D316" s="1379">
        <f>SUM(D317:D318)</f>
        <v>0</v>
      </c>
      <c r="E316" s="1379">
        <f>SUM(E317:E318)</f>
        <v>0</v>
      </c>
    </row>
    <row r="317" spans="1:5" ht="21.9" hidden="1" customHeight="1" outlineLevel="1">
      <c r="A317" s="1393" t="s">
        <v>891</v>
      </c>
      <c r="B317" s="1381">
        <v>0</v>
      </c>
      <c r="C317" s="1381">
        <v>0</v>
      </c>
      <c r="D317" s="1381">
        <f>C317*1.0962259996672</f>
        <v>0</v>
      </c>
      <c r="E317" s="1381">
        <f>D317*1.09639407014138</f>
        <v>0</v>
      </c>
    </row>
    <row r="318" spans="1:5" ht="21.9" hidden="1" customHeight="1" outlineLevel="1">
      <c r="A318" s="1393" t="s">
        <v>892</v>
      </c>
      <c r="B318" s="1381">
        <v>0</v>
      </c>
      <c r="C318" s="1381">
        <v>0</v>
      </c>
      <c r="D318" s="1381">
        <f>C318*1.0962259996672</f>
        <v>0</v>
      </c>
      <c r="E318" s="1381">
        <f>D318*1.09639407014138</f>
        <v>0</v>
      </c>
    </row>
    <row r="319" spans="1:5" s="1366" customFormat="1" ht="21.9" hidden="1" customHeight="1" outlineLevel="1">
      <c r="A319" s="1382" t="s">
        <v>893</v>
      </c>
      <c r="B319" s="1379">
        <v>50875866</v>
      </c>
      <c r="C319" s="1379">
        <f>C312+C316</f>
        <v>168390053.59999999</v>
      </c>
      <c r="D319" s="1379">
        <f>D312+D316</f>
        <v>184593554.84167337</v>
      </c>
      <c r="E319" s="1379">
        <f>E312+E316</f>
        <v>202387278.91472828</v>
      </c>
    </row>
    <row r="320" spans="1:5" s="1366" customFormat="1" ht="21.9" hidden="1" customHeight="1" outlineLevel="1">
      <c r="B320" s="1367"/>
      <c r="C320" s="1367"/>
      <c r="D320" s="1367"/>
      <c r="E320" s="1367"/>
    </row>
    <row r="321" spans="1:5" s="1366" customFormat="1" ht="21.9" hidden="1" customHeight="1" outlineLevel="1">
      <c r="B321" s="1367"/>
      <c r="C321" s="1367"/>
      <c r="D321" s="1367"/>
      <c r="E321" s="1367"/>
    </row>
    <row r="322" spans="1:5" ht="21.9" hidden="1" customHeight="1" outlineLevel="1">
      <c r="A322" s="1387" t="s">
        <v>138</v>
      </c>
    </row>
    <row r="323" spans="1:5" ht="21.9" hidden="1" customHeight="1" outlineLevel="1">
      <c r="A323" s="1369" t="s">
        <v>878</v>
      </c>
      <c r="B323" s="1370" t="s">
        <v>857</v>
      </c>
      <c r="C323" s="1370" t="s">
        <v>858</v>
      </c>
      <c r="D323" s="1371" t="s">
        <v>859</v>
      </c>
      <c r="E323" s="1372"/>
    </row>
    <row r="324" spans="1:5" s="1366" customFormat="1" ht="21.9" hidden="1" customHeight="1" outlineLevel="1">
      <c r="A324" s="1373"/>
      <c r="B324" s="1374"/>
      <c r="C324" s="1374"/>
      <c r="D324" s="1375" t="s">
        <v>860</v>
      </c>
      <c r="E324" s="1375" t="s">
        <v>861</v>
      </c>
    </row>
    <row r="325" spans="1:5" ht="21.9" hidden="1" customHeight="1" outlineLevel="1">
      <c r="A325" s="1382" t="s">
        <v>890</v>
      </c>
      <c r="B325" s="1379">
        <v>31958000</v>
      </c>
      <c r="C325" s="1379">
        <f>SUM(C326:C328)</f>
        <v>185717000</v>
      </c>
      <c r="D325" s="1379">
        <f>SUM(D326:D328)</f>
        <v>203587803.98019338</v>
      </c>
      <c r="E325" s="1379">
        <f>SUM(E326:E328)</f>
        <v>223212461.03698963</v>
      </c>
    </row>
    <row r="326" spans="1:5" ht="21.9" hidden="1" customHeight="1" outlineLevel="1">
      <c r="A326" s="1393" t="s">
        <v>880</v>
      </c>
      <c r="B326" s="1381"/>
      <c r="C326" s="1381"/>
      <c r="D326" s="1381">
        <f>C326*1.0962259996672</f>
        <v>0</v>
      </c>
      <c r="E326" s="1381">
        <f>D326*1.09639407014138</f>
        <v>0</v>
      </c>
    </row>
    <row r="327" spans="1:5" ht="21.9" hidden="1" customHeight="1" outlineLevel="1">
      <c r="A327" s="1393" t="s">
        <v>881</v>
      </c>
      <c r="B327" s="1381">
        <v>22533000</v>
      </c>
      <c r="C327" s="1381">
        <f>'Itemized Budget 2024-25'!L665+'Itemized Budget 2024-25'!L668+'Itemized Budget 2024-25'!L672+'Itemized Budget 2024-25'!L676+'Itemized Budget 2024-25'!L678+'Itemized Budget 2024-25'!L682+'Itemized Budget 2024-25'!L686+'Itemized Budget 2024-25'!L688+'Itemized Budget 2024-25'!L691</f>
        <v>184361000</v>
      </c>
      <c r="D327" s="1381">
        <f>C327*1.0962259996672</f>
        <v>202101321.52464464</v>
      </c>
      <c r="E327" s="1381">
        <f>D327*1.09639407014138</f>
        <v>221582690.48735681</v>
      </c>
    </row>
    <row r="328" spans="1:5" ht="21.9" hidden="1" customHeight="1" outlineLevel="1">
      <c r="A328" s="1393" t="s">
        <v>882</v>
      </c>
      <c r="B328" s="1381">
        <v>9425000</v>
      </c>
      <c r="C328" s="1381">
        <f>'Itemized Budget 2024-25'!L693+'Itemized Budget 2024-25'!L696</f>
        <v>1356000</v>
      </c>
      <c r="D328" s="1381">
        <f>C328*1.0962259996672</f>
        <v>1486482.455548723</v>
      </c>
      <c r="E328" s="1381">
        <f>D328*1.09639407014138</f>
        <v>1629770.5496328173</v>
      </c>
    </row>
    <row r="329" spans="1:5" s="1366" customFormat="1" ht="21.9" hidden="1" customHeight="1" outlineLevel="1">
      <c r="A329" s="1382" t="s">
        <v>883</v>
      </c>
      <c r="B329" s="1379">
        <v>0</v>
      </c>
      <c r="C329" s="1379">
        <f>SUM(C330:C331)</f>
        <v>0</v>
      </c>
      <c r="D329" s="1379">
        <f>SUM(D330:D331)</f>
        <v>0</v>
      </c>
      <c r="E329" s="1379">
        <f>SUM(E330:E331)</f>
        <v>0</v>
      </c>
    </row>
    <row r="330" spans="1:5" ht="21.9" hidden="1" customHeight="1" outlineLevel="1">
      <c r="A330" s="1393" t="s">
        <v>891</v>
      </c>
      <c r="B330" s="1381">
        <v>0</v>
      </c>
      <c r="C330" s="1381">
        <v>0</v>
      </c>
      <c r="D330" s="1381">
        <f>C330*1.0962259996672</f>
        <v>0</v>
      </c>
      <c r="E330" s="1381">
        <f>D330*1.09639407014138</f>
        <v>0</v>
      </c>
    </row>
    <row r="331" spans="1:5" ht="21.9" hidden="1" customHeight="1" outlineLevel="1">
      <c r="A331" s="1393" t="s">
        <v>892</v>
      </c>
      <c r="B331" s="1381">
        <v>0</v>
      </c>
      <c r="C331" s="1381">
        <v>0</v>
      </c>
      <c r="D331" s="1381">
        <f>C331*1.0962259996672</f>
        <v>0</v>
      </c>
      <c r="E331" s="1381">
        <f>D331*1.09639407014138</f>
        <v>0</v>
      </c>
    </row>
    <row r="332" spans="1:5" s="1366" customFormat="1" ht="21.9" hidden="1" customHeight="1" outlineLevel="1">
      <c r="A332" s="1382" t="s">
        <v>893</v>
      </c>
      <c r="B332" s="1379">
        <v>31958000</v>
      </c>
      <c r="C332" s="1379">
        <f>C325+C329</f>
        <v>185717000</v>
      </c>
      <c r="D332" s="1379">
        <f>D325+D329</f>
        <v>203587803.98019338</v>
      </c>
      <c r="E332" s="1379">
        <f>E325+E329</f>
        <v>223212461.03698963</v>
      </c>
    </row>
    <row r="333" spans="1:5" s="1366" customFormat="1" ht="21.9" hidden="1" customHeight="1" outlineLevel="1">
      <c r="B333" s="1367"/>
      <c r="C333" s="1367"/>
      <c r="D333" s="1367"/>
      <c r="E333" s="1367"/>
    </row>
    <row r="334" spans="1:5" s="1366" customFormat="1" ht="21.9" hidden="1" customHeight="1" outlineLevel="1">
      <c r="B334" s="1367"/>
      <c r="C334" s="1367"/>
      <c r="D334" s="1367"/>
      <c r="E334" s="1367"/>
    </row>
    <row r="335" spans="1:5" ht="21.9" hidden="1" customHeight="1" outlineLevel="1">
      <c r="A335" s="1382" t="s">
        <v>145</v>
      </c>
    </row>
    <row r="336" spans="1:5" ht="21.9" hidden="1" customHeight="1" outlineLevel="1">
      <c r="A336" s="1382" t="s">
        <v>147</v>
      </c>
    </row>
    <row r="337" spans="1:5" ht="21.9" hidden="1" customHeight="1" outlineLevel="1">
      <c r="A337" s="1369" t="s">
        <v>878</v>
      </c>
      <c r="B337" s="1370" t="s">
        <v>857</v>
      </c>
      <c r="C337" s="1370" t="s">
        <v>858</v>
      </c>
      <c r="D337" s="1371" t="s">
        <v>859</v>
      </c>
      <c r="E337" s="1372"/>
    </row>
    <row r="338" spans="1:5" s="1366" customFormat="1" ht="21.9" hidden="1" customHeight="1" outlineLevel="1">
      <c r="A338" s="1373"/>
      <c r="B338" s="1374"/>
      <c r="C338" s="1374"/>
      <c r="D338" s="1375" t="s">
        <v>860</v>
      </c>
      <c r="E338" s="1375" t="s">
        <v>861</v>
      </c>
    </row>
    <row r="339" spans="1:5" ht="21.9" hidden="1" customHeight="1" outlineLevel="1">
      <c r="A339" s="1382" t="s">
        <v>890</v>
      </c>
      <c r="B339" s="1379">
        <v>66239097.130024008</v>
      </c>
      <c r="C339" s="1379">
        <f>SUM(C340:C342)</f>
        <v>67894752.5</v>
      </c>
      <c r="D339" s="1379">
        <f>SUM(D340:D342)</f>
        <v>74427992.931469619</v>
      </c>
      <c r="E339" s="1379">
        <f>SUM(E340:E342)</f>
        <v>81602410.102587819</v>
      </c>
    </row>
    <row r="340" spans="1:5" ht="21.9" hidden="1" customHeight="1" outlineLevel="1">
      <c r="A340" s="1393" t="s">
        <v>880</v>
      </c>
      <c r="B340" s="1381"/>
      <c r="C340" s="1381">
        <f>'Itemized Budget 2024-25'!L709</f>
        <v>25024967.5</v>
      </c>
      <c r="D340" s="1381">
        <f>C340*1.0962259996672</f>
        <v>27433020.014326688</v>
      </c>
      <c r="E340" s="1381">
        <f>D340*1.09639407014138</f>
        <v>30077400.469777573</v>
      </c>
    </row>
    <row r="341" spans="1:5" ht="21.9" hidden="1" customHeight="1" outlineLevel="1">
      <c r="A341" s="1393" t="s">
        <v>881</v>
      </c>
      <c r="B341" s="1381">
        <v>58005397.130024008</v>
      </c>
      <c r="C341" s="1381">
        <f>'Itemized Budget 2024-25'!L711+'Itemized Budget 2024-25'!L714+'Itemized Budget 2024-25'!L718+'Itemized Budget 2024-25'!L723+'Itemized Budget 2024-25'!L728+'Itemized Budget 2024-25'!L730+'Itemized Budget 2024-25'!L737+'Itemized Budget 2024-25'!L742+'Itemized Budget 2024-25'!L745+'Itemized Budget 2024-25'!L749+'Itemized Budget 2024-25'!L753+'Itemized Budget 2024-25'!L755+'Itemized Budget 2024-25'!L757+'Itemized Budget 2024-25'!L760</f>
        <v>28693027</v>
      </c>
      <c r="D341" s="1381">
        <f>C341*1.0962259996672</f>
        <v>31454042.20655296</v>
      </c>
      <c r="E341" s="1381">
        <f>D341*1.09639407014138</f>
        <v>34486025.357241347</v>
      </c>
    </row>
    <row r="342" spans="1:5" ht="21.9" hidden="1" customHeight="1" outlineLevel="1">
      <c r="A342" s="1393" t="s">
        <v>882</v>
      </c>
      <c r="B342" s="1381">
        <v>8233700</v>
      </c>
      <c r="C342" s="1381">
        <f>'Itemized Budget 2024-25'!L763+'Itemized Budget 2024-25'!L766+'Itemized Budget 2024-25'!L769</f>
        <v>14176758</v>
      </c>
      <c r="D342" s="1381">
        <f>C342*1.0962259996672</f>
        <v>15540930.710589973</v>
      </c>
      <c r="E342" s="1381">
        <f>D342*1.09639407014138</f>
        <v>17038984.27556891</v>
      </c>
    </row>
    <row r="343" spans="1:5" s="1366" customFormat="1" ht="21.9" hidden="1" customHeight="1" outlineLevel="1">
      <c r="A343" s="1382" t="s">
        <v>883</v>
      </c>
      <c r="B343" s="1379">
        <v>146156574</v>
      </c>
      <c r="C343" s="1379">
        <f>SUM(C344:C345)</f>
        <v>10000000</v>
      </c>
      <c r="D343" s="1379">
        <f>SUM(D344:D345)</f>
        <v>10962259.996671999</v>
      </c>
      <c r="E343" s="1379">
        <f>SUM(E344:E345)</f>
        <v>12018956.855699243</v>
      </c>
    </row>
    <row r="344" spans="1:5" ht="21.9" hidden="1" customHeight="1" outlineLevel="1">
      <c r="A344" s="1393" t="s">
        <v>891</v>
      </c>
      <c r="B344" s="1381">
        <v>146156574</v>
      </c>
      <c r="C344" s="1381">
        <f>'Itemized Budget 2024-25'!L779</f>
        <v>10000000</v>
      </c>
      <c r="D344" s="1381">
        <f>C344*1.0962259996672</f>
        <v>10962259.996671999</v>
      </c>
      <c r="E344" s="1381">
        <f>D344*1.09639407014138</f>
        <v>12018956.855699243</v>
      </c>
    </row>
    <row r="345" spans="1:5" ht="21.9" hidden="1" customHeight="1" outlineLevel="1">
      <c r="A345" s="1393" t="s">
        <v>892</v>
      </c>
      <c r="B345" s="1381">
        <v>0</v>
      </c>
      <c r="C345" s="1381">
        <v>0</v>
      </c>
      <c r="D345" s="1381">
        <f>C345*1.0962259996672</f>
        <v>0</v>
      </c>
      <c r="E345" s="1381">
        <f>D345*1.09639407014138</f>
        <v>0</v>
      </c>
    </row>
    <row r="346" spans="1:5" s="1366" customFormat="1" ht="21.9" hidden="1" customHeight="1" outlineLevel="1">
      <c r="A346" s="1382" t="s">
        <v>893</v>
      </c>
      <c r="B346" s="1379">
        <v>212395671.13002402</v>
      </c>
      <c r="C346" s="1379">
        <f>C339+C343</f>
        <v>77894752.5</v>
      </c>
      <c r="D346" s="1379">
        <f>D339+D343</f>
        <v>85390252.928141624</v>
      </c>
      <c r="E346" s="1379">
        <f>E339+E343</f>
        <v>93621366.95828706</v>
      </c>
    </row>
    <row r="347" spans="1:5" s="1366" customFormat="1" ht="21.9" hidden="1" customHeight="1" outlineLevel="1">
      <c r="B347" s="1367"/>
      <c r="C347" s="1367"/>
      <c r="D347" s="1367"/>
      <c r="E347" s="1367"/>
    </row>
    <row r="348" spans="1:5" s="1366" customFormat="1" ht="21.9" hidden="1" customHeight="1" outlineLevel="1">
      <c r="B348" s="1367"/>
      <c r="C348" s="1367"/>
      <c r="D348" s="1367"/>
      <c r="E348" s="1367"/>
    </row>
    <row r="349" spans="1:5" ht="21.9" hidden="1" customHeight="1" outlineLevel="1">
      <c r="A349" s="1382" t="s">
        <v>169</v>
      </c>
    </row>
    <row r="350" spans="1:5" ht="21.9" hidden="1" customHeight="1" outlineLevel="1">
      <c r="A350" s="1393" t="s">
        <v>170</v>
      </c>
    </row>
    <row r="351" spans="1:5" ht="21.9" hidden="1" customHeight="1" outlineLevel="1">
      <c r="A351" s="1369" t="s">
        <v>878</v>
      </c>
      <c r="B351" s="1370" t="s">
        <v>857</v>
      </c>
      <c r="C351" s="1370" t="s">
        <v>858</v>
      </c>
      <c r="D351" s="1371" t="s">
        <v>859</v>
      </c>
      <c r="E351" s="1372"/>
    </row>
    <row r="352" spans="1:5" s="1366" customFormat="1" ht="21.9" hidden="1" customHeight="1" outlineLevel="1">
      <c r="A352" s="1373"/>
      <c r="B352" s="1374"/>
      <c r="C352" s="1374"/>
      <c r="D352" s="1375" t="s">
        <v>860</v>
      </c>
      <c r="E352" s="1375" t="s">
        <v>861</v>
      </c>
    </row>
    <row r="353" spans="1:5" ht="21.9" hidden="1" customHeight="1" outlineLevel="1">
      <c r="A353" s="1382" t="s">
        <v>890</v>
      </c>
      <c r="B353" s="1379">
        <v>20744144.700000003</v>
      </c>
      <c r="C353" s="1379">
        <f>SUM(C354:C356)</f>
        <v>206780094.12311122</v>
      </c>
      <c r="D353" s="1379">
        <f>SUM(D354:D356)</f>
        <v>226677715.39138529</v>
      </c>
      <c r="E353" s="1379">
        <f>SUM(E354:E356)</f>
        <v>248528102.98831022</v>
      </c>
    </row>
    <row r="354" spans="1:5" ht="21.9" hidden="1" customHeight="1" outlineLevel="1">
      <c r="A354" s="1393" t="s">
        <v>880</v>
      </c>
      <c r="B354" s="1381"/>
      <c r="C354" s="1381"/>
      <c r="D354" s="1381">
        <f>C354*1.0962259996672</f>
        <v>0</v>
      </c>
      <c r="E354" s="1381">
        <f>D354*1.09639407014138</f>
        <v>0</v>
      </c>
    </row>
    <row r="355" spans="1:5" ht="21.9" hidden="1" customHeight="1" outlineLevel="1">
      <c r="A355" s="1393" t="s">
        <v>881</v>
      </c>
      <c r="B355" s="1381">
        <v>14944144.700000003</v>
      </c>
      <c r="C355" s="1381">
        <f>'Itemized Budget 2024-25'!L784+'Itemized Budget 2024-25'!L787+'Itemized Budget 2024-25'!L790+'Itemized Budget 2024-25'!L794+'Itemized Budget 2024-25'!L798+'Itemized Budget 2024-25'!L805+'Itemized Budget 2024-25'!L810+'Itemized Budget 2024-25'!L812+'Itemized Budget 2024-25'!L816+'Itemized Budget 2024-25'!L818+'Itemized Budget 2024-25'!L831</f>
        <v>206780094.12311122</v>
      </c>
      <c r="D355" s="1381">
        <f>C355*1.0962259996672</f>
        <v>226677715.39138529</v>
      </c>
      <c r="E355" s="1381">
        <f>D355*1.09639407014138</f>
        <v>248528102.98831022</v>
      </c>
    </row>
    <row r="356" spans="1:5" ht="21.9" hidden="1" customHeight="1" outlineLevel="1">
      <c r="A356" s="1393" t="s">
        <v>882</v>
      </c>
      <c r="B356" s="1381">
        <v>5800000</v>
      </c>
      <c r="C356" s="1381">
        <f>'Itemized Budget 2024-25'!L837</f>
        <v>0</v>
      </c>
      <c r="D356" s="1381">
        <f>C356*1.0962259996672</f>
        <v>0</v>
      </c>
      <c r="E356" s="1381">
        <f>D356*1.09639407014138</f>
        <v>0</v>
      </c>
    </row>
    <row r="357" spans="1:5" s="1366" customFormat="1" ht="21.9" hidden="1" customHeight="1" outlineLevel="1">
      <c r="A357" s="1382" t="s">
        <v>883</v>
      </c>
      <c r="B357" s="1379">
        <v>0</v>
      </c>
      <c r="C357" s="1379">
        <f>SUM(C358:C359)</f>
        <v>0</v>
      </c>
      <c r="D357" s="1379">
        <f>SUM(D358:D359)</f>
        <v>0</v>
      </c>
      <c r="E357" s="1379">
        <f>SUM(E358:E359)</f>
        <v>0</v>
      </c>
    </row>
    <row r="358" spans="1:5" ht="21.9" hidden="1" customHeight="1" outlineLevel="1">
      <c r="A358" s="1393" t="s">
        <v>891</v>
      </c>
      <c r="B358" s="1381">
        <v>0</v>
      </c>
      <c r="C358" s="1381">
        <v>0</v>
      </c>
      <c r="D358" s="1381">
        <f>C358*1.0962259996672</f>
        <v>0</v>
      </c>
      <c r="E358" s="1381">
        <f>D358*1.09639407014138</f>
        <v>0</v>
      </c>
    </row>
    <row r="359" spans="1:5" ht="21.9" hidden="1" customHeight="1" outlineLevel="1">
      <c r="A359" s="1393" t="s">
        <v>892</v>
      </c>
      <c r="B359" s="1381">
        <v>0</v>
      </c>
      <c r="C359" s="1381">
        <v>0</v>
      </c>
      <c r="D359" s="1381">
        <f>C359*1.0962259996672</f>
        <v>0</v>
      </c>
      <c r="E359" s="1381">
        <f>D359*1.09639407014138</f>
        <v>0</v>
      </c>
    </row>
    <row r="360" spans="1:5" s="1366" customFormat="1" ht="21.9" hidden="1" customHeight="1" outlineLevel="1">
      <c r="A360" s="1382" t="s">
        <v>893</v>
      </c>
      <c r="B360" s="1379">
        <v>20744144.700000003</v>
      </c>
      <c r="C360" s="1379">
        <f>C353+C357</f>
        <v>206780094.12311122</v>
      </c>
      <c r="D360" s="1379">
        <f>D353+D357</f>
        <v>226677715.39138529</v>
      </c>
      <c r="E360" s="1379">
        <f>E353+E357</f>
        <v>248528102.98831022</v>
      </c>
    </row>
    <row r="361" spans="1:5" s="1366" customFormat="1" ht="21.9" customHeight="1" collapsed="1">
      <c r="B361" s="1367"/>
      <c r="C361" s="1367"/>
      <c r="D361" s="1367"/>
      <c r="E361" s="1367"/>
    </row>
    <row r="362" spans="1:5" ht="21.9" customHeight="1">
      <c r="A362" s="1366" t="s">
        <v>894</v>
      </c>
    </row>
    <row r="363" spans="1:5" ht="21.9" hidden="1" customHeight="1" outlineLevel="1">
      <c r="A363" s="1366" t="s">
        <v>855</v>
      </c>
      <c r="B363" s="1368"/>
      <c r="C363" s="1368"/>
      <c r="D363" s="1368"/>
      <c r="E363" s="1368"/>
    </row>
    <row r="364" spans="1:5" s="1366" customFormat="1" ht="21.9" hidden="1" customHeight="1" outlineLevel="1">
      <c r="A364" s="1369" t="s">
        <v>856</v>
      </c>
      <c r="B364" s="1370" t="s">
        <v>1671</v>
      </c>
      <c r="C364" s="1370" t="s">
        <v>1680</v>
      </c>
      <c r="D364" s="1371" t="s">
        <v>859</v>
      </c>
      <c r="E364" s="1372"/>
    </row>
    <row r="365" spans="1:5" ht="21.9" hidden="1" customHeight="1" outlineLevel="1">
      <c r="A365" s="1373"/>
      <c r="B365" s="1374"/>
      <c r="C365" s="1374"/>
      <c r="D365" s="1375" t="s">
        <v>861</v>
      </c>
      <c r="E365" s="1375" t="s">
        <v>1672</v>
      </c>
    </row>
    <row r="366" spans="1:5" ht="21.9" hidden="1" customHeight="1" outlineLevel="1">
      <c r="A366" s="1376" t="s">
        <v>889</v>
      </c>
      <c r="B366" s="1377">
        <v>39102140.759999998</v>
      </c>
      <c r="C366" s="1377">
        <f>'Itemized Budget 2024-25'!L907</f>
        <v>27337483.002</v>
      </c>
      <c r="D366" s="1377">
        <f>D401</f>
        <v>29968059.632252537</v>
      </c>
      <c r="E366" s="1377">
        <f>E401</f>
        <v>32856802.874444939</v>
      </c>
    </row>
    <row r="367" spans="1:5" ht="21.9" hidden="1" customHeight="1" outlineLevel="1">
      <c r="A367" s="1378" t="s">
        <v>895</v>
      </c>
      <c r="B367" s="1379">
        <v>39102140.759999998</v>
      </c>
      <c r="C367" s="1379">
        <f>SUM(C366)</f>
        <v>27337483.002</v>
      </c>
      <c r="D367" s="1379">
        <f>SUM(D366)</f>
        <v>29968059.632252537</v>
      </c>
      <c r="E367" s="1379">
        <f>SUM(E366)</f>
        <v>32856802.874444939</v>
      </c>
    </row>
    <row r="368" spans="1:5" ht="21.9" hidden="1" customHeight="1" outlineLevel="1">
      <c r="A368" s="1402" t="s">
        <v>898</v>
      </c>
      <c r="B368" s="1381">
        <v>48506283.740000002</v>
      </c>
      <c r="C368" s="1381">
        <f>'Itemized Budget 2024-25'!L967</f>
        <v>25554277.34</v>
      </c>
      <c r="D368" s="1381">
        <f>D440</f>
        <v>29810738.756942742</v>
      </c>
      <c r="E368" s="1381">
        <f>E440</f>
        <v>32684317.199645832</v>
      </c>
    </row>
    <row r="369" spans="1:6" ht="21.9" hidden="1" customHeight="1" outlineLevel="1">
      <c r="A369" s="1376" t="s">
        <v>896</v>
      </c>
      <c r="B369" s="1381">
        <v>43348045.950000003</v>
      </c>
      <c r="C369" s="1381">
        <f>'Itemized Budget 2024-25'!L1012</f>
        <v>39114246.009999998</v>
      </c>
      <c r="D369" s="1381">
        <f>D414</f>
        <v>28013263.222814374</v>
      </c>
      <c r="E369" s="1381">
        <f>E414</f>
        <v>30713575.682803284</v>
      </c>
    </row>
    <row r="370" spans="1:6" ht="21.9" hidden="1" customHeight="1" outlineLevel="1">
      <c r="A370" s="1376" t="s">
        <v>897</v>
      </c>
      <c r="B370" s="1381">
        <v>20367115.670000002</v>
      </c>
      <c r="C370" s="1381">
        <f>'Itemized Budget 2024-25'!L1056</f>
        <v>27193971.649999999</v>
      </c>
      <c r="D370" s="1381">
        <f>'Itemized Budget 2024-25'!O1056</f>
        <v>17263368.815000001</v>
      </c>
      <c r="E370" s="1381">
        <f>'Itemized Budget 2024-25'!P1056</f>
        <v>18989705.696500003</v>
      </c>
    </row>
    <row r="371" spans="1:6" ht="21.9" hidden="1" customHeight="1" outlineLevel="1">
      <c r="A371" s="1378" t="s">
        <v>899</v>
      </c>
      <c r="B371" s="1395">
        <v>112221445.36000001</v>
      </c>
      <c r="C371" s="1395">
        <f>C369+C370+C368</f>
        <v>91862495</v>
      </c>
      <c r="D371" s="1395">
        <f>D369+D370+D368</f>
        <v>75087370.794757128</v>
      </c>
      <c r="E371" s="1395">
        <f>E369+E370+E368</f>
        <v>82387598.578949124</v>
      </c>
      <c r="F371" s="1403">
        <f>C371+C367</f>
        <v>119199978.002</v>
      </c>
    </row>
    <row r="372" spans="1:6" ht="21.9" hidden="1" customHeight="1" outlineLevel="1">
      <c r="A372" s="1393" t="s">
        <v>900</v>
      </c>
      <c r="B372" s="1377">
        <v>36465478.166666672</v>
      </c>
      <c r="C372" s="1377">
        <f>'Itemized Budget 2024-25'!L1123</f>
        <v>41811575</v>
      </c>
      <c r="D372" s="1395">
        <f>D453</f>
        <v>46449293.539028585</v>
      </c>
      <c r="E372" s="1395">
        <f>E453</f>
        <v>50926729.998447254</v>
      </c>
    </row>
    <row r="373" spans="1:6" ht="21.9" hidden="1" customHeight="1" outlineLevel="1">
      <c r="A373" s="1404" t="s">
        <v>901</v>
      </c>
      <c r="B373" s="1395">
        <v>47470194.25</v>
      </c>
      <c r="C373" s="1377">
        <f>'Itemized Budget 2024-25'!L1195</f>
        <v>25683649</v>
      </c>
      <c r="D373" s="1395">
        <f>D466</f>
        <v>28155083.800126478</v>
      </c>
      <c r="E373" s="1395">
        <f>E466</f>
        <v>30869066.922792301</v>
      </c>
    </row>
    <row r="374" spans="1:6" s="1366" customFormat="1" ht="21.9" hidden="1" customHeight="1" outlineLevel="1">
      <c r="A374" s="1378" t="s">
        <v>902</v>
      </c>
      <c r="B374" s="1395">
        <v>83935672.416666672</v>
      </c>
      <c r="C374" s="1395">
        <f>SUM(C372:C373)</f>
        <v>67495224</v>
      </c>
      <c r="D374" s="1395">
        <f>SUM(D372:D373)</f>
        <v>74604377.339155063</v>
      </c>
      <c r="E374" s="1395">
        <f>SUM(E372:E373)</f>
        <v>81795796.921239555</v>
      </c>
    </row>
    <row r="375" spans="1:6" ht="21.9" hidden="1" customHeight="1" outlineLevel="1">
      <c r="A375" s="1378" t="s">
        <v>876</v>
      </c>
      <c r="B375" s="1379">
        <v>235259258.53666669</v>
      </c>
      <c r="C375" s="1379">
        <f>C371+C367+C374</f>
        <v>186695202.002</v>
      </c>
      <c r="D375" s="1379">
        <f>D371+D367+D374</f>
        <v>179659807.76616472</v>
      </c>
      <c r="E375" s="1379">
        <f>E371+E367+E374</f>
        <v>197040198.37463361</v>
      </c>
    </row>
    <row r="376" spans="1:6" ht="21.9" hidden="1" customHeight="1" outlineLevel="1">
      <c r="A376" s="1405"/>
      <c r="B376" s="1406"/>
      <c r="C376" s="1406"/>
      <c r="D376" s="1406"/>
      <c r="E376" s="1406"/>
    </row>
    <row r="377" spans="1:6" s="1366" customFormat="1" ht="21.9" hidden="1" customHeight="1" outlineLevel="1">
      <c r="A377" s="1366" t="s">
        <v>903</v>
      </c>
      <c r="B377" s="1367"/>
      <c r="C377" s="1367"/>
      <c r="D377" s="1367"/>
      <c r="E377" s="1367"/>
    </row>
    <row r="378" spans="1:6" ht="21.9" hidden="1" customHeight="1" outlineLevel="1">
      <c r="A378" s="1369" t="s">
        <v>878</v>
      </c>
      <c r="B378" s="1370" t="s">
        <v>1671</v>
      </c>
      <c r="C378" s="1370" t="s">
        <v>1680</v>
      </c>
      <c r="D378" s="1371" t="s">
        <v>859</v>
      </c>
      <c r="E378" s="1372"/>
    </row>
    <row r="379" spans="1:6" ht="21.9" hidden="1" customHeight="1" outlineLevel="1">
      <c r="A379" s="1373"/>
      <c r="B379" s="1374"/>
      <c r="C379" s="1374"/>
      <c r="D379" s="1375" t="s">
        <v>861</v>
      </c>
      <c r="E379" s="1375" t="s">
        <v>1672</v>
      </c>
    </row>
    <row r="380" spans="1:6" ht="21.9" hidden="1" customHeight="1" outlineLevel="1">
      <c r="A380" s="1382" t="s">
        <v>890</v>
      </c>
      <c r="B380" s="1379">
        <v>185320857.78666669</v>
      </c>
      <c r="C380" s="1379">
        <f>SUM(C381:C383)</f>
        <v>157371211.002</v>
      </c>
      <c r="D380" s="1379">
        <f>SUM(D381:D383)</f>
        <v>167693362.10220003</v>
      </c>
      <c r="E380" s="1379">
        <f>SUM(E381:E383)</f>
        <v>184462698.31242001</v>
      </c>
    </row>
    <row r="381" spans="1:6" ht="21.9" hidden="1" customHeight="1" outlineLevel="1">
      <c r="A381" s="1393" t="s">
        <v>880</v>
      </c>
      <c r="B381" s="1381">
        <v>96193072.560000002</v>
      </c>
      <c r="C381" s="1381">
        <f>C395+C408+C421+C434+C447+C460</f>
        <v>67995241.010000005</v>
      </c>
      <c r="D381" s="1381">
        <f t="shared" ref="D381:E383" si="17">D408+D421+D434+D395+D447+D460</f>
        <v>49057427.136571631</v>
      </c>
      <c r="E381" s="1381">
        <f t="shared" si="17"/>
        <v>53786272.208929956</v>
      </c>
    </row>
    <row r="382" spans="1:6" ht="21.9" hidden="1" customHeight="1" outlineLevel="1">
      <c r="A382" s="1393" t="s">
        <v>881</v>
      </c>
      <c r="B382" s="1381">
        <v>85171520.226666674</v>
      </c>
      <c r="C382" s="1403">
        <f>C396+C409+C422+C435+C448+C461</f>
        <v>83456991.011999995</v>
      </c>
      <c r="D382" s="1403">
        <f>'Itemized Budget 2024-25'!O1197-Tables!D383-Tables!D381</f>
        <v>112147396.31626876</v>
      </c>
      <c r="E382" s="1403">
        <f>'Itemized Budget 2024-25'!P1197-Tables!E383-Tables!E381</f>
        <v>123562430.80444899</v>
      </c>
    </row>
    <row r="383" spans="1:6" ht="21.9" hidden="1" customHeight="1" outlineLevel="1">
      <c r="A383" s="1393" t="s">
        <v>882</v>
      </c>
      <c r="B383" s="1381">
        <v>3956265</v>
      </c>
      <c r="C383" s="1381">
        <f>C397+C410+C423+C436+C449+C462</f>
        <v>5918978.9800000004</v>
      </c>
      <c r="D383" s="1381">
        <f t="shared" si="17"/>
        <v>6488538.6493596435</v>
      </c>
      <c r="E383" s="1381">
        <f t="shared" si="17"/>
        <v>7113995.299041071</v>
      </c>
    </row>
    <row r="384" spans="1:6" ht="21.9" hidden="1" customHeight="1" outlineLevel="1">
      <c r="A384" s="1382" t="s">
        <v>883</v>
      </c>
      <c r="B384" s="1379">
        <v>49938400.75</v>
      </c>
      <c r="C384" s="1379">
        <f>SUM(C385:C386)</f>
        <v>29323991</v>
      </c>
      <c r="D384" s="1379">
        <f>SUM(D385:D386)</f>
        <v>32760079.285200462</v>
      </c>
      <c r="E384" s="1379">
        <f>SUM(E385:E386)</f>
        <v>35917956.66565524</v>
      </c>
    </row>
    <row r="385" spans="1:5" s="1366" customFormat="1" ht="21.9" hidden="1" customHeight="1" outlineLevel="1">
      <c r="A385" s="1393" t="s">
        <v>884</v>
      </c>
      <c r="B385" s="1381">
        <v>49938400.75</v>
      </c>
      <c r="C385" s="1381">
        <f>C399+C412+C425+C438+C451+C464</f>
        <v>29323991</v>
      </c>
      <c r="D385" s="1381">
        <f>D412+D425+D438+D399+D451+D464</f>
        <v>32760079.285200462</v>
      </c>
      <c r="E385" s="1381">
        <f>E412+E425+E438+E399+E451+E464</f>
        <v>35917956.66565524</v>
      </c>
    </row>
    <row r="386" spans="1:5" ht="21.9" hidden="1" customHeight="1" outlineLevel="1">
      <c r="A386" s="1393" t="s">
        <v>885</v>
      </c>
      <c r="B386" s="1381">
        <v>0</v>
      </c>
      <c r="C386" s="1381">
        <f>C413+C426+C439+C400+C452+C465</f>
        <v>0</v>
      </c>
      <c r="D386" s="1381">
        <f>D413+D426+D439+D400+D452+D465</f>
        <v>0</v>
      </c>
      <c r="E386" s="1381">
        <f>E413+E426+E439+E400+E452+E465</f>
        <v>0</v>
      </c>
    </row>
    <row r="387" spans="1:5" ht="21.9" hidden="1" customHeight="1" outlineLevel="1">
      <c r="A387" s="1382" t="s">
        <v>886</v>
      </c>
      <c r="B387" s="1379">
        <v>235259258.53666669</v>
      </c>
      <c r="C387" s="1379">
        <f>SUM(C380,C384)</f>
        <v>186695202.002</v>
      </c>
      <c r="D387" s="1379">
        <f>SUM(D380,D384)</f>
        <v>200453441.38740051</v>
      </c>
      <c r="E387" s="1379">
        <f>SUM(E380,E384)</f>
        <v>220380654.97807527</v>
      </c>
    </row>
    <row r="388" spans="1:5" ht="21.9" hidden="1" customHeight="1" outlineLevel="1">
      <c r="A388" s="1407"/>
    </row>
    <row r="389" spans="1:5" ht="21.9" hidden="1" customHeight="1" outlineLevel="1">
      <c r="A389" s="1407"/>
    </row>
    <row r="390" spans="1:5" s="1366" customFormat="1" ht="21.9" hidden="1" customHeight="1" outlineLevel="1">
      <c r="A390" s="1366" t="s">
        <v>887</v>
      </c>
      <c r="B390" s="1364"/>
      <c r="C390" s="1364"/>
      <c r="D390" s="1364"/>
      <c r="E390" s="1364"/>
    </row>
    <row r="391" spans="1:5" ht="21.9" hidden="1" customHeight="1" outlineLevel="1">
      <c r="A391" s="1378" t="s">
        <v>863</v>
      </c>
      <c r="B391" s="1367"/>
      <c r="C391" s="1367"/>
      <c r="D391" s="1367"/>
      <c r="E391" s="1367"/>
    </row>
    <row r="392" spans="1:5" ht="21.9" hidden="1" customHeight="1" outlineLevel="1">
      <c r="A392" s="1369" t="s">
        <v>878</v>
      </c>
      <c r="B392" s="1370" t="s">
        <v>1671</v>
      </c>
      <c r="C392" s="1370" t="s">
        <v>1680</v>
      </c>
      <c r="D392" s="1371" t="s">
        <v>859</v>
      </c>
      <c r="E392" s="1372"/>
    </row>
    <row r="393" spans="1:5" ht="21.9" hidden="1" customHeight="1" outlineLevel="1">
      <c r="A393" s="1373"/>
      <c r="B393" s="1374"/>
      <c r="C393" s="1374"/>
      <c r="D393" s="1375" t="s">
        <v>861</v>
      </c>
      <c r="E393" s="1375" t="s">
        <v>1672</v>
      </c>
    </row>
    <row r="394" spans="1:5" ht="21.9" hidden="1" customHeight="1" outlineLevel="1">
      <c r="A394" s="1382" t="s">
        <v>890</v>
      </c>
      <c r="B394" s="1379">
        <v>39102140.759999998</v>
      </c>
      <c r="C394" s="1379">
        <f>SUM(C395:C397)</f>
        <v>27337483.002</v>
      </c>
      <c r="D394" s="1379">
        <f>SUM(D395:D397)</f>
        <v>29968059.632252537</v>
      </c>
      <c r="E394" s="1379">
        <f>SUM(E395:E397)</f>
        <v>32856802.874444939</v>
      </c>
    </row>
    <row r="395" spans="1:5" ht="21.9" hidden="1" customHeight="1" outlineLevel="1">
      <c r="A395" s="1393" t="s">
        <v>880</v>
      </c>
      <c r="B395" s="1381">
        <v>12446351.799999999</v>
      </c>
      <c r="C395" s="1381">
        <f>'Itemized Budget 2024-25'!L849</f>
        <v>5940142</v>
      </c>
      <c r="D395" s="1381">
        <f>C395*1.0962259996672</f>
        <v>6511738.1021151198</v>
      </c>
      <c r="E395" s="1381">
        <f>D395*1.09639407014138</f>
        <v>7139431.0414727004</v>
      </c>
    </row>
    <row r="396" spans="1:5" ht="21.9" hidden="1" customHeight="1" outlineLevel="1">
      <c r="A396" s="1393" t="s">
        <v>881</v>
      </c>
      <c r="B396" s="1381">
        <v>25365788.960000001</v>
      </c>
      <c r="C396" s="1381">
        <f>'Itemized Budget 2024-25'!L907-'Itemized Budget 2024-25'!L904-'Itemized Budget 2024-25'!L900-'Itemized Budget 2024-25'!L849</f>
        <v>21127341.002</v>
      </c>
      <c r="D396" s="1381">
        <f>C396*1.0962259996672</f>
        <v>23160340.51022727</v>
      </c>
      <c r="E396" s="1381">
        <f>D396*1.09639407014138</f>
        <v>25392859.997868359</v>
      </c>
    </row>
    <row r="397" spans="1:5" ht="21.9" hidden="1" customHeight="1" outlineLevel="1">
      <c r="A397" s="1393" t="s">
        <v>882</v>
      </c>
      <c r="B397" s="1381">
        <v>1290000</v>
      </c>
      <c r="C397" s="1381">
        <f>'Itemized Budget 2024-25'!L904+'Itemized Budget 2024-25'!L900</f>
        <v>270000</v>
      </c>
      <c r="D397" s="1381">
        <f>C397*1.0962259996672</f>
        <v>295981.01991014398</v>
      </c>
      <c r="E397" s="1381">
        <f>D397*1.09639407014138</f>
        <v>324511.83510387957</v>
      </c>
    </row>
    <row r="398" spans="1:5" ht="21.9" hidden="1" customHeight="1" outlineLevel="1">
      <c r="A398" s="1382" t="s">
        <v>883</v>
      </c>
      <c r="B398" s="1379">
        <v>0</v>
      </c>
      <c r="C398" s="1379">
        <f>SUM(C399:C400)</f>
        <v>0</v>
      </c>
      <c r="D398" s="1379">
        <f>SUM(D399:D400)</f>
        <v>0</v>
      </c>
      <c r="E398" s="1379">
        <f>SUM(E399:E400)</f>
        <v>0</v>
      </c>
    </row>
    <row r="399" spans="1:5" ht="21.9" hidden="1" customHeight="1" outlineLevel="1">
      <c r="A399" s="1393" t="s">
        <v>891</v>
      </c>
      <c r="B399" s="1381"/>
      <c r="C399" s="1381"/>
      <c r="D399" s="1381">
        <f>C399*1.0962259996672</f>
        <v>0</v>
      </c>
      <c r="E399" s="1381">
        <f>D399*1.09639407014138</f>
        <v>0</v>
      </c>
    </row>
    <row r="400" spans="1:5" ht="21.9" hidden="1" customHeight="1" outlineLevel="1">
      <c r="A400" s="1393" t="s">
        <v>892</v>
      </c>
      <c r="B400" s="1379"/>
      <c r="C400" s="1379"/>
      <c r="D400" s="1381">
        <f>C400*1.0962259996672</f>
        <v>0</v>
      </c>
      <c r="E400" s="1381">
        <f>D400*1.09639407014138</f>
        <v>0</v>
      </c>
    </row>
    <row r="401" spans="1:5" ht="21.9" hidden="1" customHeight="1" outlineLevel="1">
      <c r="A401" s="1382" t="s">
        <v>893</v>
      </c>
      <c r="B401" s="1379">
        <v>39102140.759999998</v>
      </c>
      <c r="C401" s="1379">
        <f>C394+C398</f>
        <v>27337483.002</v>
      </c>
      <c r="D401" s="1379">
        <f>D394+D398</f>
        <v>29968059.632252537</v>
      </c>
      <c r="E401" s="1379">
        <f>E394+E398</f>
        <v>32856802.874444939</v>
      </c>
    </row>
    <row r="402" spans="1:5" ht="21.9" hidden="1" customHeight="1" outlineLevel="1">
      <c r="B402" s="1367"/>
      <c r="C402" s="1367"/>
      <c r="D402" s="1367"/>
      <c r="E402" s="1367"/>
    </row>
    <row r="403" spans="1:5" ht="21.9" hidden="1" customHeight="1" outlineLevel="1">
      <c r="B403" s="1367"/>
      <c r="C403" s="1367"/>
      <c r="D403" s="1367"/>
      <c r="E403" s="1367"/>
    </row>
    <row r="404" spans="1:5" ht="21.9" hidden="1" customHeight="1" outlineLevel="1">
      <c r="A404" s="1408" t="s">
        <v>906</v>
      </c>
      <c r="B404" s="1367"/>
      <c r="C404" s="1367"/>
      <c r="D404" s="1367"/>
      <c r="E404" s="1367"/>
    </row>
    <row r="405" spans="1:5" ht="21.9" hidden="1" customHeight="1" outlineLevel="1">
      <c r="A405" s="1369" t="s">
        <v>878</v>
      </c>
      <c r="B405" s="1370" t="s">
        <v>1671</v>
      </c>
      <c r="C405" s="1370" t="s">
        <v>1680</v>
      </c>
      <c r="D405" s="1371" t="s">
        <v>859</v>
      </c>
      <c r="E405" s="1372"/>
    </row>
    <row r="406" spans="1:5" ht="21.9" hidden="1" customHeight="1" outlineLevel="1">
      <c r="A406" s="1373"/>
      <c r="B406" s="1374"/>
      <c r="C406" s="1374"/>
      <c r="D406" s="1375" t="s">
        <v>861</v>
      </c>
      <c r="E406" s="1375" t="s">
        <v>1672</v>
      </c>
    </row>
    <row r="407" spans="1:5" ht="21.9" hidden="1" customHeight="1" outlineLevel="1">
      <c r="A407" s="1382" t="s">
        <v>890</v>
      </c>
      <c r="B407" s="1379">
        <v>31997398.740000002</v>
      </c>
      <c r="C407" s="1379">
        <f>SUM(C408:C410)</f>
        <v>24527016.34</v>
      </c>
      <c r="D407" s="1379">
        <f>SUM(D408:D410)</f>
        <v>26887153.006170247</v>
      </c>
      <c r="E407" s="1379">
        <f>SUM(E408:E410)</f>
        <v>29478915.118949037</v>
      </c>
    </row>
    <row r="408" spans="1:5" ht="21.9" hidden="1" customHeight="1" outlineLevel="1">
      <c r="A408" s="1393" t="s">
        <v>880</v>
      </c>
      <c r="B408" s="1381">
        <v>24353885.399999999</v>
      </c>
      <c r="C408" s="1381">
        <f>'Itemized Budget 2024-25'!L911</f>
        <v>16113003.67</v>
      </c>
      <c r="D408" s="1381">
        <f>C408*1.0962259996672</f>
        <v>17663493.555787012</v>
      </c>
      <c r="E408" s="1381">
        <f t="shared" ref="E408:E413" si="18">D408*1.09639407014138</f>
        <v>19366149.592545357</v>
      </c>
    </row>
    <row r="409" spans="1:5" ht="21.9" hidden="1" customHeight="1" outlineLevel="1">
      <c r="A409" s="1393" t="s">
        <v>881</v>
      </c>
      <c r="B409" s="1381">
        <v>7353513.3400000036</v>
      </c>
      <c r="C409" s="1381">
        <f>'Itemized Budget 2024-25'!L962-'Itemized Budget 2024-25'!L960-'Itemized Budget 2024-25'!L956-'Itemized Budget 2024-25'!L911</f>
        <v>6899012.6699999999</v>
      </c>
      <c r="D409" s="1381">
        <f>C409*1.0962259996672</f>
        <v>7562877.060887428</v>
      </c>
      <c r="E409" s="1381">
        <f t="shared" si="18"/>
        <v>8291893.5627652435</v>
      </c>
    </row>
    <row r="410" spans="1:5" ht="21.9" hidden="1" customHeight="1" outlineLevel="1">
      <c r="A410" s="1393" t="s">
        <v>882</v>
      </c>
      <c r="B410" s="1381">
        <v>290000</v>
      </c>
      <c r="C410" s="1381">
        <f>'Itemized Budget 2024-25'!L960+'Itemized Budget 2024-25'!L956</f>
        <v>1515000</v>
      </c>
      <c r="D410" s="1381">
        <f>C410*1.0962259996672</f>
        <v>1660782.3894958079</v>
      </c>
      <c r="E410" s="1381">
        <f t="shared" si="18"/>
        <v>1820871.9636384354</v>
      </c>
    </row>
    <row r="411" spans="1:5" ht="21.9" hidden="1" customHeight="1" outlineLevel="1">
      <c r="A411" s="1382" t="s">
        <v>883</v>
      </c>
      <c r="B411" s="1379">
        <v>16508885</v>
      </c>
      <c r="C411" s="1379">
        <f>SUM(C412:C413)</f>
        <v>1027261</v>
      </c>
      <c r="D411" s="1379">
        <f>SUM(D412:D413)</f>
        <v>1126110.2166441274</v>
      </c>
      <c r="E411" s="1379">
        <f>SUM(E412:E413)</f>
        <v>1234660.5638542459</v>
      </c>
    </row>
    <row r="412" spans="1:5" ht="21.9" hidden="1" customHeight="1" outlineLevel="1">
      <c r="A412" s="1393" t="s">
        <v>891</v>
      </c>
      <c r="B412" s="1381">
        <v>16508885</v>
      </c>
      <c r="C412" s="1381">
        <f>'Itemized Budget 2024-25'!L966</f>
        <v>1027261</v>
      </c>
      <c r="D412" s="1381">
        <f>C412*1.0962259996672</f>
        <v>1126110.2166441274</v>
      </c>
      <c r="E412" s="1381">
        <f t="shared" si="18"/>
        <v>1234660.5638542459</v>
      </c>
    </row>
    <row r="413" spans="1:5" ht="21.9" hidden="1" customHeight="1" outlineLevel="1">
      <c r="A413" s="1393" t="s">
        <v>892</v>
      </c>
      <c r="B413" s="1379">
        <v>0</v>
      </c>
      <c r="C413" s="1379"/>
      <c r="D413" s="1381">
        <f>C413*1.0962259996672</f>
        <v>0</v>
      </c>
      <c r="E413" s="1381">
        <f t="shared" si="18"/>
        <v>0</v>
      </c>
    </row>
    <row r="414" spans="1:5" ht="21.9" hidden="1" customHeight="1" outlineLevel="1">
      <c r="A414" s="1382" t="s">
        <v>893</v>
      </c>
      <c r="B414" s="1379">
        <v>48506283.740000002</v>
      </c>
      <c r="C414" s="1379">
        <f>C407+C411</f>
        <v>25554277.34</v>
      </c>
      <c r="D414" s="1379">
        <f>D407+D411</f>
        <v>28013263.222814374</v>
      </c>
      <c r="E414" s="1379">
        <f>E407+E411</f>
        <v>30713575.682803284</v>
      </c>
    </row>
    <row r="415" spans="1:5" ht="21.9" hidden="1" customHeight="1" outlineLevel="1"/>
    <row r="416" spans="1:5" ht="21.9" hidden="1" customHeight="1" outlineLevel="1">
      <c r="A416" s="1366" t="s">
        <v>904</v>
      </c>
    </row>
    <row r="417" spans="1:5" ht="21.9" hidden="1" customHeight="1" outlineLevel="1">
      <c r="A417" s="1366" t="s">
        <v>905</v>
      </c>
      <c r="B417" s="1367"/>
      <c r="C417" s="1367"/>
      <c r="D417" s="1367"/>
      <c r="E417" s="1367"/>
    </row>
    <row r="418" spans="1:5" ht="21.9" hidden="1" customHeight="1" outlineLevel="1">
      <c r="A418" s="1369" t="s">
        <v>878</v>
      </c>
      <c r="B418" s="1370" t="s">
        <v>1671</v>
      </c>
      <c r="C418" s="1370" t="s">
        <v>1680</v>
      </c>
      <c r="D418" s="1371" t="s">
        <v>859</v>
      </c>
      <c r="E418" s="1372"/>
    </row>
    <row r="419" spans="1:5" ht="21.9" hidden="1" customHeight="1" outlineLevel="1">
      <c r="A419" s="1373"/>
      <c r="B419" s="1374"/>
      <c r="C419" s="1374"/>
      <c r="D419" s="1375" t="s">
        <v>861</v>
      </c>
      <c r="E419" s="1375" t="s">
        <v>1672</v>
      </c>
    </row>
    <row r="420" spans="1:5" ht="21.9" hidden="1" customHeight="1" outlineLevel="1">
      <c r="A420" s="1382" t="s">
        <v>890</v>
      </c>
      <c r="B420" s="1379">
        <v>39566943.950000003</v>
      </c>
      <c r="C420" s="1379">
        <f>SUM(C421:C423)</f>
        <v>36614246.009999998</v>
      </c>
      <c r="D420" s="1379">
        <f>SUM(D421:D423)</f>
        <v>14677308.318129415</v>
      </c>
      <c r="E420" s="1379">
        <f>SUM(E421:E423)</f>
        <v>16113705.599194486</v>
      </c>
    </row>
    <row r="421" spans="1:5" ht="21.9" hidden="1" customHeight="1" outlineLevel="1">
      <c r="A421" s="1393" t="s">
        <v>880</v>
      </c>
      <c r="B421" s="1381">
        <v>36556207.359999999</v>
      </c>
      <c r="C421" s="1409">
        <f>'Itemized Budget 2024-25'!L972</f>
        <v>28687549.34</v>
      </c>
      <c r="D421" s="1381">
        <f>C422*1.0962259996672</f>
        <v>5967313.5410158187</v>
      </c>
      <c r="E421" s="1381">
        <f t="shared" ref="E421:E426" si="19">D421*1.09639407014138</f>
        <v>6542527.1810441036</v>
      </c>
    </row>
    <row r="422" spans="1:5" ht="21.9" hidden="1" customHeight="1" outlineLevel="1">
      <c r="A422" s="1393" t="s">
        <v>881</v>
      </c>
      <c r="B422" s="1381">
        <v>3010736.5900000008</v>
      </c>
      <c r="C422" s="1381">
        <f>'Itemized Budget 2024-25'!L1007-'Itemized Budget 2024-25'!L1001-'Itemized Budget 2024-25'!L999-'Itemized Budget 2024-25'!L972</f>
        <v>5443506.6699999981</v>
      </c>
      <c r="D422" s="1381">
        <f>'Itemized Budget 2024-25'!O974+'Itemized Budget 2024-25'!O978+'Itemized Budget 2024-25'!O983+'Itemized Budget 2024-25'!O988+'Itemized Budget 2024-25'!O991+'Itemized Budget 2024-25'!O994+'Itemized Budget 2024-25'!O996</f>
        <v>5987857.3370000003</v>
      </c>
      <c r="E422" s="1381">
        <f>'Itemized Budget 2024-25'!P974+'Itemized Budget 2024-25'!P978+'Itemized Budget 2024-25'!P983+'Itemized Budget 2024-25'!P988+'Itemized Budget 2024-25'!P991+'Itemized Budget 2024-25'!P994+'Itemized Budget 2024-25'!P996</f>
        <v>6586643.070700001</v>
      </c>
    </row>
    <row r="423" spans="1:5" ht="21.9" hidden="1" customHeight="1" outlineLevel="1">
      <c r="A423" s="1393" t="s">
        <v>882</v>
      </c>
      <c r="B423" s="1381"/>
      <c r="C423" s="1381">
        <f>'Itemized Budget 2024-25'!L1001+'Itemized Budget 2024-25'!L999</f>
        <v>2483190</v>
      </c>
      <c r="D423" s="1381">
        <f>C423*1.0962259996672</f>
        <v>2722137.4401135943</v>
      </c>
      <c r="E423" s="1381">
        <f t="shared" si="19"/>
        <v>2984535.3474503802</v>
      </c>
    </row>
    <row r="424" spans="1:5" ht="21.9" hidden="1" customHeight="1" outlineLevel="1">
      <c r="A424" s="1382" t="s">
        <v>883</v>
      </c>
      <c r="B424" s="1379">
        <v>3781102</v>
      </c>
      <c r="C424" s="1379">
        <f>SUM(C425:C426)</f>
        <v>2500000</v>
      </c>
      <c r="D424" s="1379">
        <f>SUM(D425:D426)</f>
        <v>2740564.9991679997</v>
      </c>
      <c r="E424" s="1379">
        <f>SUM(E425:E426)</f>
        <v>3004739.2139248108</v>
      </c>
    </row>
    <row r="425" spans="1:5" ht="21.9" hidden="1" customHeight="1" outlineLevel="1">
      <c r="A425" s="1393" t="s">
        <v>891</v>
      </c>
      <c r="B425" s="1381">
        <v>3781102</v>
      </c>
      <c r="C425" s="1381">
        <f>'Itemized Budget 2024-25'!L1011</f>
        <v>2500000</v>
      </c>
      <c r="D425" s="1381">
        <f>C425*1.0962259996672</f>
        <v>2740564.9991679997</v>
      </c>
      <c r="E425" s="1381">
        <f t="shared" si="19"/>
        <v>3004739.2139248108</v>
      </c>
    </row>
    <row r="426" spans="1:5" ht="21.9" hidden="1" customHeight="1" outlineLevel="1">
      <c r="A426" s="1393" t="s">
        <v>892</v>
      </c>
      <c r="B426" s="1381"/>
      <c r="C426" s="1381"/>
      <c r="D426" s="1381">
        <f>C426*1.0962259996672</f>
        <v>0</v>
      </c>
      <c r="E426" s="1381">
        <f t="shared" si="19"/>
        <v>0</v>
      </c>
    </row>
    <row r="427" spans="1:5" ht="21.9" hidden="1" customHeight="1" outlineLevel="1">
      <c r="A427" s="1382" t="s">
        <v>893</v>
      </c>
      <c r="B427" s="1379">
        <v>43348045.950000003</v>
      </c>
      <c r="C427" s="1379">
        <f>C420+C424</f>
        <v>39114246.009999998</v>
      </c>
      <c r="D427" s="1379">
        <f>D420+D424</f>
        <v>17417873.317297414</v>
      </c>
      <c r="E427" s="1379">
        <f>E420+E424</f>
        <v>19118444.813119296</v>
      </c>
    </row>
    <row r="428" spans="1:5" ht="21.9" hidden="1" customHeight="1" outlineLevel="1"/>
    <row r="429" spans="1:5" ht="21.9" hidden="1" customHeight="1" outlineLevel="1">
      <c r="A429" s="1407"/>
    </row>
    <row r="430" spans="1:5" ht="21.9" hidden="1" customHeight="1" outlineLevel="1">
      <c r="A430" s="1408" t="s">
        <v>232</v>
      </c>
      <c r="B430" s="1367"/>
      <c r="C430" s="1367"/>
      <c r="D430" s="1367"/>
      <c r="E430" s="1367"/>
    </row>
    <row r="431" spans="1:5" ht="21.9" hidden="1" customHeight="1" outlineLevel="1">
      <c r="A431" s="1366" t="s">
        <v>1700</v>
      </c>
      <c r="B431" s="1370" t="s">
        <v>1671</v>
      </c>
      <c r="C431" s="1370" t="s">
        <v>1680</v>
      </c>
      <c r="D431" s="1371" t="s">
        <v>859</v>
      </c>
      <c r="E431" s="1372"/>
    </row>
    <row r="432" spans="1:5" ht="21.9" hidden="1" customHeight="1" outlineLevel="1">
      <c r="A432" s="1369" t="s">
        <v>878</v>
      </c>
      <c r="B432" s="1374"/>
      <c r="C432" s="1374"/>
      <c r="D432" s="1375" t="s">
        <v>861</v>
      </c>
      <c r="E432" s="1375" t="s">
        <v>1672</v>
      </c>
    </row>
    <row r="433" spans="1:5" ht="21.9" hidden="1" customHeight="1" outlineLevel="1">
      <c r="A433" s="1382" t="s">
        <v>890</v>
      </c>
      <c r="B433" s="1379">
        <v>8372643.6699999999</v>
      </c>
      <c r="C433" s="1379">
        <f>SUM(C434:C436)</f>
        <v>11068424.65</v>
      </c>
      <c r="D433" s="1379">
        <f>SUM(D434:D436)</f>
        <v>12133494.876687327</v>
      </c>
      <c r="E433" s="1379">
        <f>SUM(E434:E436)</f>
        <v>13303091.832890799</v>
      </c>
    </row>
    <row r="434" spans="1:5" ht="21.9" hidden="1" customHeight="1" outlineLevel="1">
      <c r="A434" s="1393" t="s">
        <v>880</v>
      </c>
      <c r="B434" s="1381">
        <v>5120097</v>
      </c>
      <c r="C434" s="1381">
        <f>'Itemized Budget 2024-25'!L1016</f>
        <v>3538458</v>
      </c>
      <c r="D434" s="1381">
        <f>C434*1.0962259996672</f>
        <v>3878949.6583304009</v>
      </c>
      <c r="E434" s="1381">
        <f>D434*1.09639407014138</f>
        <v>4252857.4037703834</v>
      </c>
    </row>
    <row r="435" spans="1:5" ht="21.9" hidden="1" customHeight="1" outlineLevel="1">
      <c r="A435" s="1393" t="s">
        <v>881</v>
      </c>
      <c r="B435" s="1381">
        <v>3182946.67</v>
      </c>
      <c r="C435" s="1381">
        <f>'Itemized Budget 2024-25'!L1047-'Itemized Budget 2024-25'!L1045-'Itemized Budget 2024-25'!L1041-'Itemized Budget 2024-25'!L1016</f>
        <v>6859966.6699999999</v>
      </c>
      <c r="D435" s="1381">
        <f>C435*1.0962259996672</f>
        <v>7520073.8205044223</v>
      </c>
      <c r="E435" s="1381">
        <f>D435*1.09639407014138</f>
        <v>8244964.3438264802</v>
      </c>
    </row>
    <row r="436" spans="1:5" ht="21.9" hidden="1" customHeight="1" outlineLevel="1">
      <c r="A436" s="1393" t="s">
        <v>882</v>
      </c>
      <c r="B436" s="1381">
        <v>69600</v>
      </c>
      <c r="C436" s="1381">
        <f>'Itemized Budget 2024-25'!L1045+'Itemized Budget 2024-25'!L1041</f>
        <v>669999.98</v>
      </c>
      <c r="D436" s="1381">
        <f>C436*1.0962259996672</f>
        <v>734471.39785250393</v>
      </c>
      <c r="E436" s="1381">
        <f>D436*1.09639407014138</f>
        <v>805270.0852939355</v>
      </c>
    </row>
    <row r="437" spans="1:5" ht="21.9" hidden="1" customHeight="1" outlineLevel="1">
      <c r="A437" s="1382" t="s">
        <v>883</v>
      </c>
      <c r="B437" s="1379">
        <v>11994472</v>
      </c>
      <c r="C437" s="1379">
        <f>SUM(C438:C439)</f>
        <v>16125547</v>
      </c>
      <c r="D437" s="1379">
        <f>SUM(D438:D439)</f>
        <v>17677243.880255416</v>
      </c>
      <c r="E437" s="1379">
        <f>SUM(E438:E439)</f>
        <v>19381225.366755035</v>
      </c>
    </row>
    <row r="438" spans="1:5" ht="21.9" hidden="1" customHeight="1" outlineLevel="1">
      <c r="A438" s="1393" t="s">
        <v>891</v>
      </c>
      <c r="B438" s="1381">
        <v>11994472</v>
      </c>
      <c r="C438" s="1381">
        <f>'Itemized Budget 2024-25'!L1055</f>
        <v>16125547</v>
      </c>
      <c r="D438" s="1381">
        <f>C438*1.0962259996672</f>
        <v>17677243.880255416</v>
      </c>
      <c r="E438" s="1381">
        <f>D438*1.09639407014138</f>
        <v>19381225.366755035</v>
      </c>
    </row>
    <row r="439" spans="1:5" ht="21.9" hidden="1" customHeight="1" outlineLevel="1">
      <c r="A439" s="1393" t="s">
        <v>892</v>
      </c>
      <c r="B439" s="1381"/>
      <c r="C439" s="1381">
        <v>0</v>
      </c>
      <c r="D439" s="1381">
        <f>C439*1.0962259996672</f>
        <v>0</v>
      </c>
      <c r="E439" s="1381">
        <f>D439*1.09639407014138</f>
        <v>0</v>
      </c>
    </row>
    <row r="440" spans="1:5" ht="21.9" hidden="1" customHeight="1" outlineLevel="1">
      <c r="A440" s="1382" t="s">
        <v>893</v>
      </c>
      <c r="B440" s="1379">
        <v>20367115.670000002</v>
      </c>
      <c r="C440" s="1379">
        <f>C433+C437</f>
        <v>27193971.649999999</v>
      </c>
      <c r="D440" s="1379">
        <f>D433+D437</f>
        <v>29810738.756942742</v>
      </c>
      <c r="E440" s="1379">
        <f>E433+E437</f>
        <v>32684317.199645832</v>
      </c>
    </row>
    <row r="441" spans="1:5" ht="21.9" hidden="1" customHeight="1" outlineLevel="1">
      <c r="A441" s="1407"/>
    </row>
    <row r="442" spans="1:5" ht="21.9" hidden="1" customHeight="1" outlineLevel="1">
      <c r="A442" s="1382" t="s">
        <v>241</v>
      </c>
    </row>
    <row r="443" spans="1:5" ht="21.9" hidden="1" customHeight="1" outlineLevel="1">
      <c r="A443" s="1382" t="s">
        <v>900</v>
      </c>
      <c r="B443" s="1367"/>
      <c r="C443" s="1367"/>
      <c r="D443" s="1367"/>
      <c r="E443" s="1367"/>
    </row>
    <row r="444" spans="1:5" ht="21.9" hidden="1" customHeight="1" outlineLevel="1">
      <c r="A444" s="1369" t="s">
        <v>878</v>
      </c>
      <c r="B444" s="1370" t="s">
        <v>1671</v>
      </c>
      <c r="C444" s="1370" t="s">
        <v>1680</v>
      </c>
      <c r="D444" s="1371" t="s">
        <v>859</v>
      </c>
      <c r="E444" s="1372"/>
    </row>
    <row r="445" spans="1:5" ht="21.9" hidden="1" customHeight="1" outlineLevel="1">
      <c r="A445" s="1373"/>
      <c r="B445" s="1374"/>
      <c r="C445" s="1374"/>
      <c r="D445" s="1375" t="s">
        <v>861</v>
      </c>
      <c r="E445" s="1375" t="s">
        <v>1672</v>
      </c>
    </row>
    <row r="446" spans="1:5" ht="21.9" hidden="1" customHeight="1" outlineLevel="1">
      <c r="A446" s="1382" t="s">
        <v>890</v>
      </c>
      <c r="B446" s="1379">
        <v>36465478.166666672</v>
      </c>
      <c r="C446" s="1379">
        <f>SUM(C447:C449)</f>
        <v>41811575</v>
      </c>
      <c r="D446" s="1379">
        <f>SUM(D447:D449)</f>
        <v>45834935.602035098</v>
      </c>
      <c r="E446" s="1379">
        <f>SUM(E447:E449)</f>
        <v>50253151.599383302</v>
      </c>
    </row>
    <row r="447" spans="1:5" ht="21.9" hidden="1" customHeight="1" outlineLevel="1">
      <c r="A447" s="1393" t="s">
        <v>880</v>
      </c>
      <c r="B447" s="1381">
        <v>10134267.5</v>
      </c>
      <c r="C447" s="1381">
        <f>'Itemized Budget 2024-25'!L1063</f>
        <v>8261946</v>
      </c>
      <c r="D447" s="1381">
        <f>C447*1.0962259996672</f>
        <v>9056960.013046423</v>
      </c>
      <c r="E447" s="1381">
        <f>D447*1.09639407014138</f>
        <v>9929997.2518116925</v>
      </c>
    </row>
    <row r="448" spans="1:5" ht="21.9" hidden="1" customHeight="1" outlineLevel="1">
      <c r="A448" s="1393" t="s">
        <v>881</v>
      </c>
      <c r="B448" s="1381">
        <v>24302845.666666672</v>
      </c>
      <c r="C448" s="1381">
        <f>'Itemized Budget 2024-25'!L1123-'Itemized Budget 2024-25'!L1121-'Itemized Budget 2024-25'!L1117-'Itemized Budget 2024-25'!L1115-'Itemized Budget 2024-25'!L1063</f>
        <v>32989199</v>
      </c>
      <c r="D448" s="1381">
        <f>C448*1.0962259996672</f>
        <v>36163617.651995189</v>
      </c>
      <c r="E448" s="1381">
        <f>D448*1.09639407014138</f>
        <v>39649575.948507659</v>
      </c>
    </row>
    <row r="449" spans="1:5" ht="21.9" hidden="1" customHeight="1" outlineLevel="1">
      <c r="A449" s="1393" t="s">
        <v>882</v>
      </c>
      <c r="B449" s="1381">
        <v>2028365</v>
      </c>
      <c r="C449" s="1381">
        <f>'Itemized Budget 2024-25'!L1121+'Itemized Budget 2024-25'!L1117+'Itemized Budget 2024-25'!L1115</f>
        <v>560430</v>
      </c>
      <c r="D449" s="1381">
        <f>C449*1.0962259996672</f>
        <v>614357.93699348881</v>
      </c>
      <c r="E449" s="1381">
        <f>D449*1.09639407014138</f>
        <v>673578.39906395262</v>
      </c>
    </row>
    <row r="450" spans="1:5" ht="21.9" hidden="1" customHeight="1" outlineLevel="1">
      <c r="A450" s="1382" t="s">
        <v>883</v>
      </c>
      <c r="B450" s="1379">
        <v>0</v>
      </c>
      <c r="C450" s="1379"/>
      <c r="D450" s="1379">
        <f>SUM(D451:D452)</f>
        <v>614357.93699348881</v>
      </c>
      <c r="E450" s="1379">
        <f>SUM(E451:E452)</f>
        <v>673578.39906395262</v>
      </c>
    </row>
    <row r="451" spans="1:5" ht="21.9" hidden="1" customHeight="1" outlineLevel="1">
      <c r="A451" s="1393" t="s">
        <v>891</v>
      </c>
      <c r="B451" s="1381"/>
      <c r="C451" s="1363"/>
      <c r="D451" s="1381">
        <f>C449*1.0962259996672</f>
        <v>614357.93699348881</v>
      </c>
      <c r="E451" s="1381">
        <f>D451*1.09639407014138</f>
        <v>673578.39906395262</v>
      </c>
    </row>
    <row r="452" spans="1:5" ht="21.9" hidden="1" customHeight="1" outlineLevel="1">
      <c r="A452" s="1393" t="s">
        <v>892</v>
      </c>
      <c r="B452" s="1381">
        <v>0</v>
      </c>
      <c r="C452" s="1381">
        <v>0</v>
      </c>
      <c r="D452" s="1381">
        <f>C452*1.0962259996672</f>
        <v>0</v>
      </c>
      <c r="E452" s="1381">
        <f>D452*1.09639407014138</f>
        <v>0</v>
      </c>
    </row>
    <row r="453" spans="1:5" ht="21.9" hidden="1" customHeight="1" outlineLevel="1">
      <c r="A453" s="1382" t="s">
        <v>893</v>
      </c>
      <c r="B453" s="1379">
        <v>36465478.166666672</v>
      </c>
      <c r="C453" s="1379">
        <f>C446+C450</f>
        <v>41811575</v>
      </c>
      <c r="D453" s="1379">
        <f>D446+D450</f>
        <v>46449293.539028585</v>
      </c>
      <c r="E453" s="1379">
        <f>E446+E450</f>
        <v>50926729.998447254</v>
      </c>
    </row>
    <row r="454" spans="1:5" ht="21.9" hidden="1" customHeight="1" outlineLevel="1">
      <c r="A454" s="1366"/>
      <c r="B454" s="1367"/>
      <c r="C454" s="1367"/>
      <c r="D454" s="1367"/>
      <c r="E454" s="1367"/>
    </row>
    <row r="455" spans="1:5" ht="21.9" hidden="1" customHeight="1" outlineLevel="1">
      <c r="A455" s="1366"/>
      <c r="B455" s="1367"/>
      <c r="C455" s="1367"/>
      <c r="D455" s="1367"/>
      <c r="E455" s="1367"/>
    </row>
    <row r="456" spans="1:5" ht="21.9" hidden="1" customHeight="1" outlineLevel="1">
      <c r="A456" s="1410" t="s">
        <v>901</v>
      </c>
      <c r="B456" s="1367"/>
      <c r="C456" s="1367"/>
      <c r="D456" s="1367"/>
      <c r="E456" s="1367"/>
    </row>
    <row r="457" spans="1:5" ht="21.9" hidden="1" customHeight="1" outlineLevel="1">
      <c r="A457" s="1382" t="s">
        <v>878</v>
      </c>
      <c r="B457" s="1411" t="s">
        <v>857</v>
      </c>
      <c r="C457" s="1411" t="s">
        <v>858</v>
      </c>
      <c r="D457" s="1411" t="s">
        <v>859</v>
      </c>
      <c r="E457" s="1411"/>
    </row>
    <row r="458" spans="1:5" ht="21.9" hidden="1" customHeight="1" outlineLevel="1">
      <c r="A458" s="1382"/>
      <c r="B458" s="1411"/>
      <c r="C458" s="1411"/>
      <c r="D458" s="1375" t="s">
        <v>860</v>
      </c>
      <c r="E458" s="1375" t="s">
        <v>861</v>
      </c>
    </row>
    <row r="459" spans="1:5" ht="21.9" hidden="1" customHeight="1" outlineLevel="1">
      <c r="A459" s="1382" t="s">
        <v>890</v>
      </c>
      <c r="B459" s="1379">
        <v>29816252.5</v>
      </c>
      <c r="C459" s="1379">
        <f>C460+C461+C462</f>
        <v>16012466</v>
      </c>
      <c r="D459" s="1379">
        <f>SUM(D460:D462)</f>
        <v>17553281.547987048</v>
      </c>
      <c r="E459" s="1379">
        <f>SUM(E460:E462)</f>
        <v>19245313.800735105</v>
      </c>
    </row>
    <row r="460" spans="1:5" ht="21.9" hidden="1" customHeight="1" outlineLevel="1">
      <c r="A460" s="1393" t="s">
        <v>880</v>
      </c>
      <c r="B460" s="1381">
        <v>7582263.5</v>
      </c>
      <c r="C460" s="1381">
        <f>'Itemized Budget 2024-25'!L1126</f>
        <v>5454142</v>
      </c>
      <c r="D460" s="1381">
        <f>C460*1.0962259996672</f>
        <v>5978972.2662768606</v>
      </c>
      <c r="E460" s="1381">
        <f>D460*1.09639407014138</f>
        <v>6555309.7382857176</v>
      </c>
    </row>
    <row r="461" spans="1:5" ht="21.9" hidden="1" customHeight="1" outlineLevel="1">
      <c r="A461" s="1393" t="s">
        <v>881</v>
      </c>
      <c r="B461" s="1381">
        <v>21955689</v>
      </c>
      <c r="C461" s="1381">
        <f>'Itemized Budget 2024-25'!L1184-'Itemized Budget 2024-25'!L1182-'Itemized Budget 2024-25'!L1178-'Itemized Budget 2024-25'!L1176-'Itemized Budget 2024-25'!L1126</f>
        <v>10137965</v>
      </c>
      <c r="D461" s="1381">
        <f>C461*1.0962259996672</f>
        <v>11113500.816716084</v>
      </c>
      <c r="E461" s="1381">
        <f>D461*1.09639407014138</f>
        <v>12184776.393958898</v>
      </c>
    </row>
    <row r="462" spans="1:5" ht="21.9" hidden="1" customHeight="1" outlineLevel="1">
      <c r="A462" s="1393" t="s">
        <v>882</v>
      </c>
      <c r="B462" s="1381">
        <v>278300</v>
      </c>
      <c r="C462" s="1381">
        <f>'Itemized Budget 2024-25'!L1182+'Itemized Budget 2024-25'!L1178+'Itemized Budget 2024-25'!L1176</f>
        <v>420359</v>
      </c>
      <c r="D462" s="1381">
        <f>C462*1.0962259996672</f>
        <v>460808.46499410446</v>
      </c>
      <c r="E462" s="1381">
        <f>D462*1.09639407014138</f>
        <v>505227.66849048779</v>
      </c>
    </row>
    <row r="463" spans="1:5" ht="21.9" hidden="1" customHeight="1" outlineLevel="1">
      <c r="A463" s="1382" t="s">
        <v>883</v>
      </c>
      <c r="B463" s="1379">
        <v>17653941.75</v>
      </c>
      <c r="C463" s="1379">
        <f>SUM(C464:C465)</f>
        <v>9671183</v>
      </c>
      <c r="D463" s="1379">
        <f>SUM(D464:D465)</f>
        <v>10601802.252139429</v>
      </c>
      <c r="E463" s="1379">
        <f>SUM(E464:E465)</f>
        <v>11623753.122057196</v>
      </c>
    </row>
    <row r="464" spans="1:5" ht="21.9" hidden="1" customHeight="1" outlineLevel="1">
      <c r="A464" s="1393" t="s">
        <v>891</v>
      </c>
      <c r="B464" s="1381">
        <v>17653941.75</v>
      </c>
      <c r="C464" s="1381">
        <f>'Itemized Budget 2024-25'!L1194</f>
        <v>9671183</v>
      </c>
      <c r="D464" s="1381">
        <f>C464*1.0962259996672</f>
        <v>10601802.252139429</v>
      </c>
      <c r="E464" s="1381">
        <f>D464*1.09639407014138</f>
        <v>11623753.122057196</v>
      </c>
    </row>
    <row r="465" spans="1:5" ht="21.9" hidden="1" customHeight="1" outlineLevel="1">
      <c r="A465" s="1393" t="s">
        <v>892</v>
      </c>
      <c r="B465" s="1381">
        <v>0</v>
      </c>
      <c r="C465" s="1381">
        <v>0</v>
      </c>
      <c r="D465" s="1381">
        <f>C465*1.0962259996672</f>
        <v>0</v>
      </c>
      <c r="E465" s="1381">
        <f>D465*1.09639407014138</f>
        <v>0</v>
      </c>
    </row>
    <row r="466" spans="1:5" ht="21.9" hidden="1" customHeight="1" outlineLevel="1">
      <c r="A466" s="1382" t="s">
        <v>893</v>
      </c>
      <c r="B466" s="1379">
        <v>47470194.25</v>
      </c>
      <c r="C466" s="1379">
        <f>C459+C463</f>
        <v>25683649</v>
      </c>
      <c r="D466" s="1379">
        <f>D459+D463</f>
        <v>28155083.800126478</v>
      </c>
      <c r="E466" s="1379">
        <f>E459+E463</f>
        <v>30869066.922792301</v>
      </c>
    </row>
    <row r="467" spans="1:5" ht="21.9" customHeight="1" collapsed="1"/>
    <row r="468" spans="1:5" ht="21.9" customHeight="1">
      <c r="A468" s="1366" t="s">
        <v>1251</v>
      </c>
      <c r="B468" s="1363"/>
      <c r="C468" s="1367"/>
    </row>
    <row r="469" spans="1:5" ht="21.9" hidden="1" customHeight="1" outlineLevel="1">
      <c r="A469" s="1408" t="s">
        <v>1758</v>
      </c>
      <c r="B469" s="1363"/>
      <c r="C469" s="1368"/>
      <c r="D469" s="1368"/>
      <c r="E469" s="1368"/>
    </row>
    <row r="470" spans="1:5" ht="21.9" hidden="1" customHeight="1" outlineLevel="1">
      <c r="A470" s="1382" t="s">
        <v>264</v>
      </c>
      <c r="B470" s="1366"/>
      <c r="C470" s="1368"/>
      <c r="D470" s="1368"/>
      <c r="E470" s="1368"/>
    </row>
    <row r="471" spans="1:5" ht="21.9" hidden="1" customHeight="1" outlineLevel="1">
      <c r="A471" s="1382" t="s">
        <v>265</v>
      </c>
      <c r="B471" s="1368"/>
      <c r="C471" s="1368"/>
      <c r="D471" s="1368"/>
      <c r="E471" s="1368"/>
    </row>
    <row r="472" spans="1:5" ht="21.9" hidden="1" customHeight="1" outlineLevel="1">
      <c r="A472" s="1369" t="s">
        <v>856</v>
      </c>
      <c r="B472" s="1412" t="s">
        <v>1671</v>
      </c>
      <c r="C472" s="1412" t="s">
        <v>1680</v>
      </c>
      <c r="D472" s="1371" t="s">
        <v>859</v>
      </c>
      <c r="E472" s="1372"/>
    </row>
    <row r="473" spans="1:5" ht="21.9" hidden="1" customHeight="1" outlineLevel="1">
      <c r="A473" s="1373"/>
      <c r="B473" s="1374"/>
      <c r="C473" s="1374"/>
      <c r="D473" s="1413" t="s">
        <v>861</v>
      </c>
      <c r="E473" s="1413" t="s">
        <v>1672</v>
      </c>
    </row>
    <row r="474" spans="1:5" ht="21.9" hidden="1" customHeight="1" outlineLevel="1">
      <c r="A474" s="1376" t="s">
        <v>265</v>
      </c>
      <c r="B474" s="1414">
        <v>64481729.939999998</v>
      </c>
      <c r="C474" s="1414">
        <f>'Itemized Budget 2024-25'!L1247</f>
        <v>96865852</v>
      </c>
      <c r="D474" s="1414">
        <f>D514</f>
        <v>106551682.39993344</v>
      </c>
      <c r="E474" s="1414">
        <f>E514</f>
        <v>117206060.05711401</v>
      </c>
    </row>
    <row r="475" spans="1:5" ht="21.9" hidden="1" customHeight="1" outlineLevel="1">
      <c r="A475" s="1378" t="s">
        <v>264</v>
      </c>
      <c r="B475" s="1415">
        <v>64481729.939999998</v>
      </c>
      <c r="C475" s="1415">
        <f>C474</f>
        <v>96865852</v>
      </c>
      <c r="D475" s="1415">
        <f>D474</f>
        <v>106551682.39993344</v>
      </c>
      <c r="E475" s="1415">
        <f>E474</f>
        <v>117206060.05711401</v>
      </c>
    </row>
    <row r="476" spans="1:5" ht="21.9" hidden="1" customHeight="1" outlineLevel="1">
      <c r="A476" s="1416" t="s">
        <v>280</v>
      </c>
      <c r="B476" s="1417">
        <v>14378831.193</v>
      </c>
      <c r="C476" s="1417">
        <f>'Itemized Budget 2024-25'!L1283</f>
        <v>16774891.85</v>
      </c>
      <c r="D476" s="1417">
        <f>D528</f>
        <v>18389072.587575417</v>
      </c>
      <c r="E476" s="1417">
        <f>E528</f>
        <v>20161670.140417088</v>
      </c>
    </row>
    <row r="477" spans="1:5" ht="21.9" hidden="1" customHeight="1" outlineLevel="1">
      <c r="A477" s="1376" t="s">
        <v>909</v>
      </c>
      <c r="B477" s="1418">
        <v>347817845.83848357</v>
      </c>
      <c r="C477" s="1418">
        <f>'Itemized Budget 2024-25'!L1328</f>
        <v>333073507.64999998</v>
      </c>
      <c r="D477" s="1418">
        <f>D540</f>
        <v>365123838.88628203</v>
      </c>
      <c r="E477" s="1418">
        <f>E540</f>
        <v>400319611.82217616</v>
      </c>
    </row>
    <row r="478" spans="1:5" ht="21.9" hidden="1" customHeight="1" outlineLevel="1">
      <c r="A478" s="1376" t="s">
        <v>910</v>
      </c>
      <c r="B478" s="1418">
        <v>127203581.69782029</v>
      </c>
      <c r="C478" s="1418">
        <f>'Itemized Budget 2024-25'!L1366</f>
        <v>101471845</v>
      </c>
      <c r="D478" s="1418">
        <f>D554</f>
        <v>111236074.72320016</v>
      </c>
      <c r="E478" s="1418">
        <f>E554</f>
        <v>121958572.71232009</v>
      </c>
    </row>
    <row r="479" spans="1:5" ht="21.9" hidden="1" customHeight="1" outlineLevel="1">
      <c r="A479" s="1378" t="s">
        <v>911</v>
      </c>
      <c r="B479" s="1415">
        <v>489400258.7293039</v>
      </c>
      <c r="C479" s="1415">
        <f>C477+C478+C476</f>
        <v>451320244.5</v>
      </c>
      <c r="D479" s="1415">
        <f>D477+D478+D476</f>
        <v>494748986.1970576</v>
      </c>
      <c r="E479" s="1415">
        <f>E477+E478+E476</f>
        <v>542439854.67491329</v>
      </c>
    </row>
    <row r="480" spans="1:5" ht="21.9" hidden="1" customHeight="1" outlineLevel="1">
      <c r="A480" s="1402" t="s">
        <v>907</v>
      </c>
      <c r="B480" s="1418">
        <v>351645842.00851625</v>
      </c>
      <c r="C480" s="1418">
        <f>'Itemized Budget 2024-25'!L1414</f>
        <v>183772630.5</v>
      </c>
      <c r="D480" s="1418">
        <f>D568</f>
        <v>201456335.58133346</v>
      </c>
      <c r="E480" s="1418">
        <f>E568</f>
        <v>220875531.72378588</v>
      </c>
    </row>
    <row r="481" spans="1:6" ht="21.9" hidden="1" customHeight="1" outlineLevel="1">
      <c r="A481" s="1378" t="s">
        <v>908</v>
      </c>
      <c r="B481" s="1415">
        <v>351645842.00851625</v>
      </c>
      <c r="C481" s="1415">
        <f>C480</f>
        <v>183772630.5</v>
      </c>
      <c r="D481" s="1415">
        <f>D480</f>
        <v>201456335.58133346</v>
      </c>
      <c r="E481" s="1415">
        <f>E480</f>
        <v>220875531.72378588</v>
      </c>
    </row>
    <row r="482" spans="1:6" ht="21.9" hidden="1" customHeight="1" outlineLevel="1">
      <c r="A482" s="1378" t="s">
        <v>912</v>
      </c>
      <c r="B482" s="1415">
        <v>905527830.67782021</v>
      </c>
      <c r="C482" s="1415">
        <f>C479+C481+C475</f>
        <v>731958727</v>
      </c>
      <c r="D482" s="1415">
        <f>D479+D481+D475</f>
        <v>802757004.17832458</v>
      </c>
      <c r="E482" s="1415">
        <f>E479+E481+E475</f>
        <v>880521446.45581317</v>
      </c>
    </row>
    <row r="483" spans="1:6" ht="21.9" hidden="1" customHeight="1" outlineLevel="1">
      <c r="A483" s="1366"/>
      <c r="B483" s="1368"/>
      <c r="C483" s="1368"/>
      <c r="D483" s="1368"/>
      <c r="E483" s="1368"/>
    </row>
    <row r="484" spans="1:6" ht="21.9" hidden="1" customHeight="1" outlineLevel="1">
      <c r="A484" s="1366"/>
      <c r="B484" s="1368"/>
      <c r="C484" s="1368"/>
      <c r="D484" s="1368"/>
      <c r="E484" s="1368"/>
    </row>
    <row r="485" spans="1:6" ht="21.9" hidden="1" customHeight="1" outlineLevel="1">
      <c r="A485" s="1366" t="s">
        <v>913</v>
      </c>
      <c r="B485" s="1419"/>
      <c r="C485" s="1419"/>
      <c r="D485" s="1419"/>
      <c r="E485" s="1419"/>
    </row>
    <row r="486" spans="1:6" ht="21.9" hidden="1" customHeight="1" outlineLevel="1">
      <c r="A486" s="1382"/>
      <c r="B486" s="1368"/>
      <c r="C486" s="1368"/>
      <c r="D486" s="1368"/>
      <c r="E486" s="1368"/>
    </row>
    <row r="487" spans="1:6" ht="21.9" hidden="1" customHeight="1" outlineLevel="1">
      <c r="A487" s="1369" t="s">
        <v>878</v>
      </c>
      <c r="B487" s="1412" t="s">
        <v>1671</v>
      </c>
      <c r="C487" s="1412" t="s">
        <v>1680</v>
      </c>
      <c r="D487" s="1371" t="s">
        <v>859</v>
      </c>
      <c r="E487" s="1372"/>
    </row>
    <row r="488" spans="1:6" ht="21.9" hidden="1" customHeight="1" outlineLevel="1">
      <c r="A488" s="1373"/>
      <c r="B488" s="1374"/>
      <c r="C488" s="1374"/>
      <c r="D488" s="1413" t="s">
        <v>861</v>
      </c>
      <c r="E488" s="1413" t="s">
        <v>1672</v>
      </c>
    </row>
    <row r="489" spans="1:6" ht="21.9" hidden="1" customHeight="1" outlineLevel="1">
      <c r="A489" s="1378" t="s">
        <v>890</v>
      </c>
      <c r="B489" s="1415">
        <v>115780705.37586154</v>
      </c>
      <c r="C489" s="1415">
        <f>C490+C491+C492</f>
        <v>139446794</v>
      </c>
      <c r="D489" s="1415">
        <f>D490+D491+D492</f>
        <v>153379594.17540047</v>
      </c>
      <c r="E489" s="1415">
        <f>E490+E491+E492</f>
        <v>168705111.21089283</v>
      </c>
    </row>
    <row r="490" spans="1:6" ht="21.9" hidden="1" customHeight="1" outlineLevel="1">
      <c r="A490" s="1376" t="s">
        <v>880</v>
      </c>
      <c r="B490" s="1418">
        <v>58194466</v>
      </c>
      <c r="C490" s="1418">
        <f>C508+C522+C534+C548+C562</f>
        <v>92191299</v>
      </c>
      <c r="D490" s="1418">
        <f>'Itemized Budget 2024-25'!O1205</f>
        <v>101410428.90000001</v>
      </c>
      <c r="E490" s="1418">
        <f>'Itemized Budget 2024-25'!P1205</f>
        <v>111551471.79000002</v>
      </c>
    </row>
    <row r="491" spans="1:6" ht="21.9" hidden="1" customHeight="1" outlineLevel="1">
      <c r="A491" s="1376" t="s">
        <v>881</v>
      </c>
      <c r="B491" s="1418">
        <v>54173021.735861547</v>
      </c>
      <c r="C491" s="1364">
        <f>C509+C523+C535+C549+C563</f>
        <v>44107847</v>
      </c>
      <c r="D491" s="1364">
        <f>'Itemized Budget 2024-25'!O1208+'Itemized Budget 2024-25'!O1211+'Itemized Budget 2024-25'!O1214+'Itemized Budget 2024-25'!O1218+'Itemized Budget 2024-25'!O1222+'Itemized Budget 2024-25'!O1226+'Itemized Budget 2024-25'!O1231+'Itemized Budget 2024-25'!O1234+'Itemized Budget 2024-25'!O1236+'Itemized Budget 2024-25'!O1239+'Itemized Budget 2024-25'!O1241+'Itemized Budget 2024-25'!O1243+'Itemized Budget 2024-25'!O1283-'Itemized Budget 2024-25'!O1281-'Itemized Budget 2024-25'!O1277+'Itemized Budget 2024-25'!O1287+'Itemized Budget 2024-25'!O1290+'Itemized Budget 2024-25'!O1293+'Itemized Budget 2024-25'!O1297+'Itemized Budget 2024-25'!O1299+'Itemized Budget 2024-25'!O1303+'Itemized Budget 2024-25'!O1307+'Itemized Budget 2024-25'!O1309+'Itemized Budget 2024-25'!O1311+'Itemized Budget 2024-25'!O1332+'Itemized Budget 2024-25'!O1335+'Itemized Budget 2024-25'!O1338+'Itemized Budget 2024-25'!O1342+'Itemized Budget 2024-25'!O1346+'Itemized Budget 2024-25'!O1348+'Itemized Budget 2024-25'!O1372+'Itemized Budget 2024-25'!O1375+'Itemized Budget 2024-25'!O1377+'Itemized Budget 2024-25'!O1381+'Itemized Budget 2024-25'!O1383+'Itemized Budget 2024-25'!O1388+'Itemized Budget 2024-25'!O1390+'Itemized Budget 2024-25'!O1392+'Itemized Budget 2024-25'!O1397+'Itemized Budget 2024-25'!O1399+'Itemized Budget 2024-25'!O1401</f>
        <v>48518631.699999996</v>
      </c>
      <c r="E491" s="1364">
        <f>'Itemized Budget 2024-25'!P1208+'Itemized Budget 2024-25'!P1211+'Itemized Budget 2024-25'!P1214+'Itemized Budget 2024-25'!P1218+'Itemized Budget 2024-25'!P1222+'Itemized Budget 2024-25'!P1226+'Itemized Budget 2024-25'!P1231+'Itemized Budget 2024-25'!P1234+'Itemized Budget 2024-25'!P1236+'Itemized Budget 2024-25'!P1239+'Itemized Budget 2024-25'!P1241+'Itemized Budget 2024-25'!P1243+'Itemized Budget 2024-25'!P1283-'Itemized Budget 2024-25'!P1281-'Itemized Budget 2024-25'!P1277+'Itemized Budget 2024-25'!P1287+'Itemized Budget 2024-25'!P1290+'Itemized Budget 2024-25'!P1293+'Itemized Budget 2024-25'!P1297+'Itemized Budget 2024-25'!P1299+'Itemized Budget 2024-25'!P1303+'Itemized Budget 2024-25'!P1307+'Itemized Budget 2024-25'!P1309+'Itemized Budget 2024-25'!P1311+'Itemized Budget 2024-25'!P1332+'Itemized Budget 2024-25'!P1335+'Itemized Budget 2024-25'!P1338+'Itemized Budget 2024-25'!P1342+'Itemized Budget 2024-25'!P1346+'Itemized Budget 2024-25'!P1348+'Itemized Budget 2024-25'!P1372+'Itemized Budget 2024-25'!P1375+'Itemized Budget 2024-25'!P1377+'Itemized Budget 2024-25'!P1381+'Itemized Budget 2024-25'!P1383+'Itemized Budget 2024-25'!P1388+'Itemized Budget 2024-25'!P1390+'Itemized Budget 2024-25'!P1392+'Itemized Budget 2024-25'!P1397+'Itemized Budget 2024-25'!P1399+'Itemized Budget 2024-25'!P1401</f>
        <v>53370494.870000005</v>
      </c>
    </row>
    <row r="492" spans="1:6" ht="21.9" hidden="1" customHeight="1" outlineLevel="1">
      <c r="A492" s="1376" t="s">
        <v>882</v>
      </c>
      <c r="B492" s="1418">
        <v>3413217.6400000006</v>
      </c>
      <c r="C492" s="1420">
        <f>C510+C524+C536+C550+C564</f>
        <v>3147648</v>
      </c>
      <c r="D492" s="1418">
        <f t="shared" ref="D492:E492" si="20">D510+D564+D524+D536+D550</f>
        <v>3450533.5754004624</v>
      </c>
      <c r="E492" s="1418">
        <f t="shared" si="20"/>
        <v>3783144.5508928006</v>
      </c>
    </row>
    <row r="493" spans="1:6" ht="21.9" hidden="1" customHeight="1" outlineLevel="1">
      <c r="A493" s="1378" t="s">
        <v>883</v>
      </c>
      <c r="B493" s="1415">
        <v>789747125.30195856</v>
      </c>
      <c r="C493" s="1415">
        <f>C494+C495</f>
        <v>592511933</v>
      </c>
      <c r="D493" s="1415">
        <f>D494+D495</f>
        <v>649526986.06766999</v>
      </c>
      <c r="E493" s="1415">
        <f>E494+E495</f>
        <v>712137535.92139602</v>
      </c>
    </row>
    <row r="494" spans="1:6" ht="21.9" hidden="1" customHeight="1" outlineLevel="1">
      <c r="A494" s="1376" t="s">
        <v>914</v>
      </c>
      <c r="B494" s="1418">
        <v>789747125.30195856</v>
      </c>
      <c r="C494" s="1418">
        <f>C512+C526+C538+C552+C566</f>
        <v>592511933</v>
      </c>
      <c r="D494" s="1418">
        <f>D512+D566+D526+D538+D552</f>
        <v>649526986.06766999</v>
      </c>
      <c r="E494" s="1418">
        <f>E512+E566+E526+E538+E552</f>
        <v>712137535.92139602</v>
      </c>
    </row>
    <row r="495" spans="1:6" ht="21.9" hidden="1" customHeight="1" outlineLevel="1">
      <c r="A495" s="1376" t="s">
        <v>885</v>
      </c>
      <c r="B495" s="1418">
        <v>0</v>
      </c>
      <c r="C495" s="1418">
        <f>C513+C567+C527+C539+C553</f>
        <v>0</v>
      </c>
      <c r="D495" s="1418">
        <f>D513+D567+D527+D539+D553</f>
        <v>0</v>
      </c>
      <c r="E495" s="1418">
        <f>E513+E567+E527+E539+E553</f>
        <v>0</v>
      </c>
    </row>
    <row r="496" spans="1:6" ht="21.9" hidden="1" customHeight="1" outlineLevel="1">
      <c r="A496" s="1378" t="s">
        <v>915</v>
      </c>
      <c r="B496" s="1415">
        <v>905527830.67782009</v>
      </c>
      <c r="C496" s="1415">
        <f>C489+C493</f>
        <v>731958727</v>
      </c>
      <c r="D496" s="1415">
        <f>D489+D493</f>
        <v>802906580.24307048</v>
      </c>
      <c r="E496" s="1415">
        <f>E489+E493</f>
        <v>880842647.13228881</v>
      </c>
      <c r="F496" s="1421"/>
    </row>
    <row r="497" spans="1:6" ht="21.9" hidden="1" customHeight="1" outlineLevel="1">
      <c r="A497" s="1366"/>
      <c r="B497" s="1368"/>
      <c r="C497" s="1368"/>
      <c r="D497" s="1368"/>
      <c r="E497" s="1368"/>
    </row>
    <row r="498" spans="1:6" ht="21.9" hidden="1" customHeight="1" outlineLevel="1">
      <c r="A498" s="1366"/>
      <c r="B498" s="1368"/>
      <c r="C498" s="1368"/>
      <c r="D498" s="1368"/>
      <c r="E498" s="1368"/>
    </row>
    <row r="499" spans="1:6" ht="21.9" hidden="1" customHeight="1" outlineLevel="1">
      <c r="A499" s="1366" t="s">
        <v>916</v>
      </c>
      <c r="B499" s="1368"/>
      <c r="C499" s="1368"/>
      <c r="D499" s="1368"/>
      <c r="E499" s="1368"/>
      <c r="F499" s="1403">
        <f>C482-C496</f>
        <v>0</v>
      </c>
    </row>
    <row r="500" spans="1:6" ht="21.9" hidden="1" customHeight="1" outlineLevel="1">
      <c r="A500" s="1366"/>
      <c r="B500" s="1368"/>
      <c r="C500" s="1368"/>
      <c r="D500" s="1368"/>
      <c r="E500" s="1368"/>
    </row>
    <row r="501" spans="1:6" ht="21.9" hidden="1" customHeight="1" outlineLevel="1">
      <c r="A501" s="1366" t="s">
        <v>917</v>
      </c>
      <c r="B501" s="1419"/>
      <c r="C501" s="1419"/>
      <c r="D501" s="1368"/>
      <c r="E501" s="1368"/>
    </row>
    <row r="502" spans="1:6" ht="21.9" hidden="1" customHeight="1" outlineLevel="1">
      <c r="A502" s="1366" t="s">
        <v>264</v>
      </c>
      <c r="B502" s="1419"/>
      <c r="C502" s="1419"/>
      <c r="D502" s="1368"/>
      <c r="E502" s="1368"/>
    </row>
    <row r="503" spans="1:6" ht="21.9" hidden="1" customHeight="1" outlineLevel="1">
      <c r="A503" s="1366" t="s">
        <v>265</v>
      </c>
      <c r="B503" s="1419"/>
      <c r="C503" s="1419"/>
      <c r="D503" s="1368"/>
      <c r="E503" s="1368"/>
    </row>
    <row r="504" spans="1:6" ht="21.9" hidden="1" customHeight="1" outlineLevel="1">
      <c r="B504" s="1368"/>
      <c r="C504" s="1368"/>
      <c r="D504" s="1368"/>
      <c r="E504" s="1368"/>
    </row>
    <row r="505" spans="1:6" ht="21.9" hidden="1" customHeight="1" outlineLevel="1">
      <c r="A505" s="1369" t="s">
        <v>878</v>
      </c>
      <c r="B505" s="1412" t="s">
        <v>1671</v>
      </c>
      <c r="C505" s="1412" t="s">
        <v>1680</v>
      </c>
      <c r="D505" s="1371" t="s">
        <v>859</v>
      </c>
      <c r="E505" s="1372"/>
    </row>
    <row r="506" spans="1:6" ht="21.9" hidden="1" customHeight="1" outlineLevel="1">
      <c r="A506" s="1373"/>
      <c r="B506" s="1374"/>
      <c r="C506" s="1374"/>
      <c r="D506" s="1413" t="s">
        <v>861</v>
      </c>
      <c r="E506" s="1413" t="s">
        <v>1672</v>
      </c>
    </row>
    <row r="507" spans="1:6" ht="21.9" hidden="1" customHeight="1" outlineLevel="1">
      <c r="A507" s="1378" t="s">
        <v>890</v>
      </c>
      <c r="B507" s="1379">
        <v>64481729.939999998</v>
      </c>
      <c r="C507" s="1422">
        <f>C508+C509+C510</f>
        <v>96865852</v>
      </c>
      <c r="D507" s="1422">
        <f>D508+D509+D510</f>
        <v>106551682.39993344</v>
      </c>
      <c r="E507" s="1422">
        <f>E508+E509+E510</f>
        <v>117206060.05711401</v>
      </c>
    </row>
    <row r="508" spans="1:6" ht="21.9" hidden="1" customHeight="1" outlineLevel="1">
      <c r="A508" s="1376" t="s">
        <v>880</v>
      </c>
      <c r="B508" s="1381">
        <v>58194466</v>
      </c>
      <c r="C508" s="1418">
        <f>'Itemized Budget 2024-25'!L1205</f>
        <v>92191299</v>
      </c>
      <c r="D508" s="1418">
        <f>'Itemized Budget 2024-25'!O1205</f>
        <v>101410428.90000001</v>
      </c>
      <c r="E508" s="1418">
        <f>'Itemized Budget 2024-25'!P1205</f>
        <v>111551471.79000002</v>
      </c>
    </row>
    <row r="509" spans="1:6" ht="21.9" hidden="1" customHeight="1" outlineLevel="1">
      <c r="A509" s="1376" t="s">
        <v>881</v>
      </c>
      <c r="B509" s="1381">
        <v>6113263.9399999976</v>
      </c>
      <c r="C509" s="1418">
        <f>'Itemized Budget 2024-25'!L1247-'Itemized Budget 2024-25'!L1245-'Itemized Budget 2024-25'!L1205</f>
        <v>4474553</v>
      </c>
      <c r="D509" s="1418">
        <f>'Itemized Budget 2024-25'!O1208+'Itemized Budget 2024-25'!O1211+'Itemized Budget 2024-25'!O1214+'Itemized Budget 2024-25'!O1218+'Itemized Budget 2024-25'!O1222+'Itemized Budget 2024-25'!O1226+'Itemized Budget 2024-25'!O1231+'Itemized Budget 2024-25'!O1234+'Itemized Budget 2024-25'!O1236+'Itemized Budget 2024-25'!O1239+'Itemized Budget 2024-25'!O1241+'Itemized Budget 2024-25'!O1243</f>
        <v>4922008.3000000007</v>
      </c>
      <c r="E509" s="1418">
        <f>'Itemized Budget 2024-25'!P1208+'Itemized Budget 2024-25'!P1211+'Itemized Budget 2024-25'!P1214+'Itemized Budget 2024-25'!P1218+'Itemized Budget 2024-25'!P1222+'Itemized Budget 2024-25'!P1226+'Itemized Budget 2024-25'!P1231+'Itemized Budget 2024-25'!P1234+'Itemized Budget 2024-25'!P1236+'Itemized Budget 2024-25'!P1239+'Itemized Budget 2024-25'!P1241+'Itemized Budget 2024-25'!P1243</f>
        <v>5414209.1300000018</v>
      </c>
    </row>
    <row r="510" spans="1:6" ht="21.9" hidden="1" customHeight="1" outlineLevel="1">
      <c r="A510" s="1376" t="s">
        <v>882</v>
      </c>
      <c r="B510" s="1381">
        <v>174000</v>
      </c>
      <c r="C510" s="1414">
        <f>'Itemized Budget 2024-25'!L1245</f>
        <v>200000</v>
      </c>
      <c r="D510" s="1414">
        <f>C510*1.0962259996672</f>
        <v>219245.19993343999</v>
      </c>
      <c r="E510" s="1414">
        <f>D510*1.09639407014138</f>
        <v>240379.13711398485</v>
      </c>
    </row>
    <row r="511" spans="1:6" ht="21.9" hidden="1" customHeight="1" outlineLevel="1">
      <c r="A511" s="1378" t="s">
        <v>883</v>
      </c>
      <c r="B511" s="1379">
        <v>0</v>
      </c>
      <c r="C511" s="1422">
        <f>C512+C513</f>
        <v>0</v>
      </c>
      <c r="D511" s="1414" t="s">
        <v>918</v>
      </c>
      <c r="E511" s="1418" t="s">
        <v>919</v>
      </c>
    </row>
    <row r="512" spans="1:6" ht="21.9" hidden="1" customHeight="1" outlineLevel="1">
      <c r="A512" s="1376" t="s">
        <v>914</v>
      </c>
      <c r="B512" s="1381">
        <v>0</v>
      </c>
      <c r="C512" s="1414">
        <v>0</v>
      </c>
      <c r="D512" s="1414">
        <f>C512*1.0962259996672</f>
        <v>0</v>
      </c>
      <c r="E512" s="1414">
        <f>D512*1.09639407014138</f>
        <v>0</v>
      </c>
    </row>
    <row r="513" spans="1:6" ht="21.9" hidden="1" customHeight="1" outlineLevel="1">
      <c r="A513" s="1376" t="s">
        <v>885</v>
      </c>
      <c r="B513" s="1381">
        <v>0</v>
      </c>
      <c r="C513" s="1414">
        <v>0</v>
      </c>
      <c r="D513" s="1414">
        <f>C513*1.0962259996672</f>
        <v>0</v>
      </c>
      <c r="E513" s="1414">
        <f>D513*1.09639407014138</f>
        <v>0</v>
      </c>
    </row>
    <row r="514" spans="1:6" ht="21.9" hidden="1" customHeight="1" outlineLevel="1">
      <c r="A514" s="1378" t="s">
        <v>912</v>
      </c>
      <c r="B514" s="1379">
        <v>64481729.939999998</v>
      </c>
      <c r="C514" s="1422">
        <f>C511+C507</f>
        <v>96865852</v>
      </c>
      <c r="D514" s="1422">
        <f>D507</f>
        <v>106551682.39993344</v>
      </c>
      <c r="E514" s="1422">
        <f>E507</f>
        <v>117206060.05711401</v>
      </c>
    </row>
    <row r="515" spans="1:6" ht="21.9" hidden="1" customHeight="1" outlineLevel="1">
      <c r="B515" s="1368"/>
      <c r="C515" s="1368"/>
      <c r="D515" s="1368"/>
      <c r="E515" s="1368"/>
    </row>
    <row r="516" spans="1:6" ht="21.9" hidden="1" customHeight="1" outlineLevel="1">
      <c r="B516" s="1368"/>
      <c r="C516" s="1368"/>
      <c r="D516" s="1368"/>
      <c r="E516" s="1368"/>
    </row>
    <row r="517" spans="1:6" ht="21.9" hidden="1" customHeight="1" outlineLevel="1">
      <c r="A517" s="1408" t="s">
        <v>920</v>
      </c>
      <c r="B517" s="1367"/>
      <c r="C517" s="1367"/>
      <c r="D517" s="1367"/>
      <c r="E517" s="1367"/>
      <c r="F517" s="1423"/>
    </row>
    <row r="518" spans="1:6" ht="21.9" hidden="1" customHeight="1" outlineLevel="1">
      <c r="A518" s="1424" t="s">
        <v>280</v>
      </c>
      <c r="B518" s="1425"/>
      <c r="C518" s="1425"/>
      <c r="D518" s="1367"/>
      <c r="E518" s="1367"/>
      <c r="F518" s="1403"/>
    </row>
    <row r="519" spans="1:6" ht="21.9" hidden="1" customHeight="1" outlineLevel="1">
      <c r="A519" s="1369" t="s">
        <v>878</v>
      </c>
      <c r="B519" s="1412" t="s">
        <v>1671</v>
      </c>
      <c r="C519" s="1412" t="s">
        <v>1680</v>
      </c>
      <c r="D519" s="1371" t="s">
        <v>859</v>
      </c>
      <c r="E519" s="1372"/>
      <c r="F519" s="1403"/>
    </row>
    <row r="520" spans="1:6" ht="21.9" hidden="1" customHeight="1" outlineLevel="1">
      <c r="A520" s="1373"/>
      <c r="B520" s="1374"/>
      <c r="C520" s="1374"/>
      <c r="D520" s="1413" t="s">
        <v>861</v>
      </c>
      <c r="E520" s="1413" t="s">
        <v>1672</v>
      </c>
    </row>
    <row r="521" spans="1:6" ht="21.9" hidden="1" customHeight="1" outlineLevel="1">
      <c r="A521" s="1378" t="s">
        <v>890</v>
      </c>
      <c r="B521" s="1379">
        <v>14378831.193</v>
      </c>
      <c r="C521" s="1379">
        <f>C522+C523+C524</f>
        <v>16774891.85</v>
      </c>
      <c r="D521" s="1379">
        <f>D522+D523+D524</f>
        <v>18389072.587575417</v>
      </c>
      <c r="E521" s="1379">
        <f>E522+E523+E524</f>
        <v>20161670.140417088</v>
      </c>
    </row>
    <row r="522" spans="1:6" ht="21.9" hidden="1" customHeight="1" outlineLevel="1">
      <c r="A522" s="1376" t="s">
        <v>880</v>
      </c>
      <c r="B522" s="1381"/>
      <c r="C522" s="1381"/>
      <c r="D522" s="1381">
        <f>C522*1.0962259996672</f>
        <v>0</v>
      </c>
      <c r="E522" s="1381">
        <f>D522*1.09639407014138</f>
        <v>0</v>
      </c>
      <c r="F522" s="1403"/>
    </row>
    <row r="523" spans="1:6" ht="21.9" hidden="1" customHeight="1" outlineLevel="1">
      <c r="A523" s="1376" t="s">
        <v>881</v>
      </c>
      <c r="B523" s="1381">
        <v>14031044.632999999</v>
      </c>
      <c r="C523" s="1381">
        <f>'Itemized Budget 2024-25'!L1283-'Itemized Budget 2024-25'!L1281-'Itemized Budget 2024-25'!L1279-'Itemized Budget 2024-25'!L1277</f>
        <v>16400259.85</v>
      </c>
      <c r="D523" s="1381">
        <f>C523*1.0962259996672</f>
        <v>17978391.248868093</v>
      </c>
      <c r="E523" s="1381">
        <f>D523*1.09639407014138</f>
        <v>19711401.555940654</v>
      </c>
      <c r="F523" s="1403"/>
    </row>
    <row r="524" spans="1:6" ht="21.9" hidden="1" customHeight="1" outlineLevel="1">
      <c r="A524" s="1376" t="s">
        <v>882</v>
      </c>
      <c r="B524" s="1381">
        <v>347786.56</v>
      </c>
      <c r="C524" s="1381">
        <f>'Itemized Budget 2024-25'!L1281+'Itemized Budget 2024-25'!L1279+'Itemized Budget 2024-25'!L1277</f>
        <v>374632</v>
      </c>
      <c r="D524" s="1381">
        <f>C524*1.0962259996672</f>
        <v>410681.33870732243</v>
      </c>
      <c r="E524" s="1381">
        <f>D524*1.09639407014138</f>
        <v>450268.58447643189</v>
      </c>
    </row>
    <row r="525" spans="1:6" ht="21.9" hidden="1" customHeight="1" outlineLevel="1">
      <c r="A525" s="1378" t="s">
        <v>883</v>
      </c>
      <c r="B525" s="1379">
        <v>0</v>
      </c>
      <c r="C525" s="1379">
        <f>C526+C527</f>
        <v>0</v>
      </c>
      <c r="D525" s="1379">
        <f>D526+D527</f>
        <v>0</v>
      </c>
      <c r="E525" s="1379">
        <f>E526+E527</f>
        <v>0</v>
      </c>
      <c r="F525" s="1403"/>
    </row>
    <row r="526" spans="1:6" ht="21.9" hidden="1" customHeight="1" outlineLevel="1">
      <c r="A526" s="1376" t="s">
        <v>914</v>
      </c>
      <c r="B526" s="1381"/>
      <c r="C526" s="1381"/>
      <c r="D526" s="1381">
        <f>C526*1.0962259996672</f>
        <v>0</v>
      </c>
      <c r="E526" s="1381">
        <f>D526*1.09639407014138</f>
        <v>0</v>
      </c>
      <c r="F526" s="1403"/>
    </row>
    <row r="527" spans="1:6" ht="21.9" hidden="1" customHeight="1" outlineLevel="1">
      <c r="A527" s="1376" t="s">
        <v>885</v>
      </c>
      <c r="B527" s="1381">
        <v>0</v>
      </c>
      <c r="C527" s="1381">
        <v>0</v>
      </c>
      <c r="D527" s="1381">
        <f>C527*1.0962259996672</f>
        <v>0</v>
      </c>
      <c r="E527" s="1381">
        <f>D527*1.09639407014138</f>
        <v>0</v>
      </c>
      <c r="F527" s="1426"/>
    </row>
    <row r="528" spans="1:6" ht="21.9" hidden="1" customHeight="1" outlineLevel="1">
      <c r="A528" s="1378" t="s">
        <v>912</v>
      </c>
      <c r="B528" s="1379">
        <v>14378831.193</v>
      </c>
      <c r="C528" s="1379">
        <f>C525+C521</f>
        <v>16774891.85</v>
      </c>
      <c r="D528" s="1379">
        <f>D525+D521</f>
        <v>18389072.587575417</v>
      </c>
      <c r="E528" s="1379">
        <f>E525+E521</f>
        <v>20161670.140417088</v>
      </c>
    </row>
    <row r="529" spans="1:6" ht="21.9" hidden="1" customHeight="1" outlineLevel="1">
      <c r="A529" s="1405"/>
      <c r="B529" s="1367"/>
      <c r="C529" s="1367"/>
      <c r="D529" s="1367"/>
      <c r="E529" s="1367"/>
    </row>
    <row r="530" spans="1:6" ht="21.9" hidden="1" customHeight="1" outlineLevel="1">
      <c r="A530" s="1408" t="s">
        <v>283</v>
      </c>
    </row>
    <row r="531" spans="1:6" ht="21.9" hidden="1" customHeight="1" outlineLevel="1">
      <c r="A531" s="1369" t="s">
        <v>878</v>
      </c>
      <c r="B531" s="1412" t="s">
        <v>1671</v>
      </c>
      <c r="C531" s="1412" t="s">
        <v>1680</v>
      </c>
      <c r="D531" s="1371" t="s">
        <v>859</v>
      </c>
      <c r="E531" s="1372"/>
    </row>
    <row r="532" spans="1:6" ht="21.9" hidden="1" customHeight="1" outlineLevel="1">
      <c r="A532" s="1373"/>
      <c r="B532" s="1374"/>
      <c r="C532" s="1374"/>
      <c r="D532" s="1413" t="s">
        <v>861</v>
      </c>
      <c r="E532" s="1413" t="s">
        <v>1672</v>
      </c>
    </row>
    <row r="533" spans="1:6" ht="21.9" hidden="1" customHeight="1" outlineLevel="1">
      <c r="A533" s="1378" t="s">
        <v>890</v>
      </c>
      <c r="B533" s="1379">
        <v>8933927.0374999996</v>
      </c>
      <c r="C533" s="1379">
        <f>C534+C535+C536</f>
        <v>7124118.6500000004</v>
      </c>
      <c r="D533" s="1379">
        <f>D534+D535+D536</f>
        <v>7809644.0888439929</v>
      </c>
      <c r="E533" s="1379">
        <f>E534+E535+E536</f>
        <v>8562447.4689232334</v>
      </c>
    </row>
    <row r="534" spans="1:6" ht="21.9" hidden="1" customHeight="1" outlineLevel="1">
      <c r="A534" s="1376" t="s">
        <v>880</v>
      </c>
      <c r="B534" s="1381"/>
      <c r="C534" s="1381"/>
      <c r="D534" s="1381">
        <f>C534*1.0962259996672</f>
        <v>0</v>
      </c>
      <c r="E534" s="1381">
        <f>D534*1.09639407014138</f>
        <v>0</v>
      </c>
    </row>
    <row r="535" spans="1:6" ht="21.9" hidden="1" customHeight="1" outlineLevel="1">
      <c r="A535" s="1376" t="s">
        <v>881</v>
      </c>
      <c r="B535" s="1381">
        <v>7964317.0374999996</v>
      </c>
      <c r="C535" s="1381">
        <f>'Itemized Budget 2024-25'!L1322-'Itemized Budget 2024-25'!L1320-'Itemized Budget 2024-25'!L1318-'Itemized Budget 2024-25'!L1316</f>
        <v>6275968.6500000004</v>
      </c>
      <c r="D535" s="1381">
        <f>C535*1.0962259996672</f>
        <v>6879880.0072262576</v>
      </c>
      <c r="E535" s="1381">
        <f>D535*1.09639407014138</f>
        <v>7543059.643207103</v>
      </c>
    </row>
    <row r="536" spans="1:6" ht="21.9" hidden="1" customHeight="1" outlineLevel="1">
      <c r="A536" s="1376" t="s">
        <v>882</v>
      </c>
      <c r="B536" s="1381">
        <v>969610</v>
      </c>
      <c r="C536" s="1381">
        <f>'Itemized Budget 2024-25'!L1320+'Itemized Budget 2024-25'!L1318+'Itemized Budget 2024-25'!L1316</f>
        <v>848150</v>
      </c>
      <c r="D536" s="1381">
        <f>C536*1.0962259996672</f>
        <v>929764.08161773556</v>
      </c>
      <c r="E536" s="1381">
        <f>D536*1.09639407014138</f>
        <v>1019387.8257161313</v>
      </c>
    </row>
    <row r="537" spans="1:6" ht="21.9" hidden="1" customHeight="1" outlineLevel="1">
      <c r="A537" s="1378" t="s">
        <v>883</v>
      </c>
      <c r="B537" s="1379">
        <v>147052718.49774599</v>
      </c>
      <c r="C537" s="1379">
        <f>C538+C539</f>
        <v>325949389</v>
      </c>
      <c r="D537" s="1379">
        <f>D538+D539</f>
        <v>357314194.79743803</v>
      </c>
      <c r="E537" s="1379">
        <f>E538+E539</f>
        <v>391757164.35325295</v>
      </c>
    </row>
    <row r="538" spans="1:6" ht="21.9" hidden="1" customHeight="1" outlineLevel="1">
      <c r="A538" s="1376" t="s">
        <v>914</v>
      </c>
      <c r="B538" s="1381">
        <v>147052718.49774599</v>
      </c>
      <c r="C538" s="1381">
        <f>'Itemized Budget 2024-25'!L1327</f>
        <v>325949389</v>
      </c>
      <c r="D538" s="1381">
        <f>C538*1.0962259996672</f>
        <v>357314194.79743803</v>
      </c>
      <c r="E538" s="1381">
        <f>D538*1.09639407014138</f>
        <v>391757164.35325295</v>
      </c>
    </row>
    <row r="539" spans="1:6" ht="21.9" hidden="1" customHeight="1" outlineLevel="1">
      <c r="A539" s="1376" t="s">
        <v>885</v>
      </c>
      <c r="B539" s="1381">
        <v>0</v>
      </c>
      <c r="C539" s="1381">
        <v>0</v>
      </c>
      <c r="D539" s="1381">
        <f>C539*1.0962259996672</f>
        <v>0</v>
      </c>
      <c r="E539" s="1381">
        <f>D539*1.09639407014138</f>
        <v>0</v>
      </c>
    </row>
    <row r="540" spans="1:6" ht="21.9" hidden="1" customHeight="1" outlineLevel="1">
      <c r="A540" s="1378" t="s">
        <v>912</v>
      </c>
      <c r="B540" s="1379">
        <v>155986645.53524601</v>
      </c>
      <c r="C540" s="1379">
        <f>C537+C533</f>
        <v>333073507.64999998</v>
      </c>
      <c r="D540" s="1379">
        <f>D537+D533</f>
        <v>365123838.88628203</v>
      </c>
      <c r="E540" s="1379">
        <f>E537+E533</f>
        <v>400319611.82217616</v>
      </c>
      <c r="F540" s="1363">
        <f>'Itemized Budget 2024-25'!L1325+'Itemized Budget 2024-25'!L1365+'Itemized Budget 2024-25'!L1413</f>
        <v>592511933</v>
      </c>
    </row>
    <row r="541" spans="1:6" ht="21.9" hidden="1" customHeight="1" outlineLevel="1"/>
    <row r="542" spans="1:6" ht="21.9" hidden="1" customHeight="1" outlineLevel="1"/>
    <row r="543" spans="1:6" ht="21.9" hidden="1" customHeight="1" outlineLevel="1">
      <c r="A543" s="1408" t="s">
        <v>921</v>
      </c>
      <c r="E543" s="1363"/>
    </row>
    <row r="544" spans="1:6" ht="21.9" hidden="1" customHeight="1" outlineLevel="1"/>
    <row r="545" spans="1:5" ht="21.9" hidden="1" customHeight="1" outlineLevel="1">
      <c r="A545" s="1369" t="s">
        <v>878</v>
      </c>
      <c r="B545" s="1412" t="s">
        <v>1671</v>
      </c>
      <c r="C545" s="1412" t="s">
        <v>1680</v>
      </c>
      <c r="D545" s="1371" t="s">
        <v>859</v>
      </c>
      <c r="E545" s="1372"/>
    </row>
    <row r="546" spans="1:5" ht="21.9" hidden="1" customHeight="1" outlineLevel="1">
      <c r="A546" s="1373"/>
      <c r="B546" s="1374"/>
      <c r="C546" s="1374"/>
      <c r="D546" s="1413" t="s">
        <v>861</v>
      </c>
      <c r="E546" s="1413" t="s">
        <v>1672</v>
      </c>
    </row>
    <row r="547" spans="1:5" ht="21.9" hidden="1" customHeight="1" outlineLevel="1">
      <c r="A547" s="1378" t="s">
        <v>890</v>
      </c>
      <c r="B547" s="1379">
        <v>11552979.5</v>
      </c>
      <c r="C547" s="1379">
        <f>C548+C549+C550</f>
        <v>6141346</v>
      </c>
      <c r="D547" s="1379">
        <f>D548+D549+D550</f>
        <v>6732303.1581521593</v>
      </c>
      <c r="E547" s="1379">
        <f>E548+E549+E550</f>
        <v>7381257.2609921126</v>
      </c>
    </row>
    <row r="548" spans="1:5" ht="21.9" hidden="1" customHeight="1" outlineLevel="1">
      <c r="A548" s="1376" t="s">
        <v>880</v>
      </c>
      <c r="B548" s="1381"/>
      <c r="C548" s="1381"/>
      <c r="D548" s="1381">
        <f>C548*1.0962259996672</f>
        <v>0</v>
      </c>
      <c r="E548" s="1381">
        <f>D548*1.09639407014138</f>
        <v>0</v>
      </c>
    </row>
    <row r="549" spans="1:5" ht="21.9" hidden="1" customHeight="1" outlineLevel="1">
      <c r="A549" s="1376" t="s">
        <v>881</v>
      </c>
      <c r="B549" s="1381">
        <v>10154113.5</v>
      </c>
      <c r="C549" s="1381">
        <f>'Itemized Budget 2024-25'!L1354-'Itemized Budget 2024-25'!L1352-'Itemized Budget 2024-25'!L1350</f>
        <v>5066480</v>
      </c>
      <c r="D549" s="1381">
        <f>C549*1.0962259996672</f>
        <v>5554007.1027938752</v>
      </c>
      <c r="E549" s="1381">
        <f>D549*1.09639407014138</f>
        <v>6089380.4530263105</v>
      </c>
    </row>
    <row r="550" spans="1:5" ht="21.9" hidden="1" customHeight="1" outlineLevel="1">
      <c r="A550" s="1376" t="s">
        <v>882</v>
      </c>
      <c r="B550" s="1381">
        <v>1398866</v>
      </c>
      <c r="C550" s="1381">
        <f>'Itemized Budget 2024-25'!L1352+'Itemized Budget 2024-25'!L1350</f>
        <v>1074866</v>
      </c>
      <c r="D550" s="1381">
        <f>C550*1.0962259996672</f>
        <v>1178296.0553582844</v>
      </c>
      <c r="E550" s="1381">
        <f>D550*1.09639407014138</f>
        <v>1291876.807965802</v>
      </c>
    </row>
    <row r="551" spans="1:5" ht="21.9" hidden="1" customHeight="1" outlineLevel="1">
      <c r="A551" s="1378" t="s">
        <v>883</v>
      </c>
      <c r="B551" s="1379">
        <v>74182169.480000004</v>
      </c>
      <c r="C551" s="1379">
        <f>C552+C553</f>
        <v>95330499</v>
      </c>
      <c r="D551" s="1379">
        <f>D552+D553</f>
        <v>104503771.56504799</v>
      </c>
      <c r="E551" s="1379">
        <f>E552+E553</f>
        <v>114577315.45132798</v>
      </c>
    </row>
    <row r="552" spans="1:5" ht="21.9" hidden="1" customHeight="1" outlineLevel="1">
      <c r="A552" s="1376" t="s">
        <v>914</v>
      </c>
      <c r="B552" s="1381">
        <v>74182169.480000004</v>
      </c>
      <c r="C552" s="1381">
        <f>'Itemized Budget 2024-25'!L1365</f>
        <v>95330499</v>
      </c>
      <c r="D552" s="1381">
        <f>C552*1.0962259996672</f>
        <v>104503771.56504799</v>
      </c>
      <c r="E552" s="1381">
        <f>D552*1.09639407014138</f>
        <v>114577315.45132798</v>
      </c>
    </row>
    <row r="553" spans="1:5" ht="21.9" hidden="1" customHeight="1" outlineLevel="1">
      <c r="A553" s="1376" t="s">
        <v>885</v>
      </c>
      <c r="B553" s="1381">
        <v>0</v>
      </c>
      <c r="C553" s="1381">
        <v>0</v>
      </c>
      <c r="D553" s="1381">
        <f>C553*1.0962259996672</f>
        <v>0</v>
      </c>
      <c r="E553" s="1381">
        <f>D553*1.09639407014138</f>
        <v>0</v>
      </c>
    </row>
    <row r="554" spans="1:5" ht="21.9" hidden="1" customHeight="1" outlineLevel="1">
      <c r="A554" s="1378" t="s">
        <v>912</v>
      </c>
      <c r="B554" s="1379">
        <v>85735148.980000004</v>
      </c>
      <c r="C554" s="1379">
        <f>C551+C547</f>
        <v>101471845</v>
      </c>
      <c r="D554" s="1379">
        <f>D551+D547</f>
        <v>111236074.72320016</v>
      </c>
      <c r="E554" s="1379">
        <f>E551+E547</f>
        <v>121958572.71232009</v>
      </c>
    </row>
    <row r="555" spans="1:5" ht="21.9" hidden="1" customHeight="1" outlineLevel="1">
      <c r="A555" s="1405"/>
      <c r="B555" s="1367"/>
      <c r="C555" s="1367"/>
      <c r="D555" s="1367"/>
      <c r="E555" s="1367"/>
    </row>
    <row r="556" spans="1:5" ht="21.9" hidden="1" customHeight="1" outlineLevel="1">
      <c r="A556" s="1408" t="s">
        <v>922</v>
      </c>
    </row>
    <row r="557" spans="1:5" ht="21.9" hidden="1" customHeight="1" outlineLevel="1">
      <c r="A557" s="1366" t="s">
        <v>923</v>
      </c>
    </row>
    <row r="558" spans="1:5" ht="21.9" hidden="1" customHeight="1" outlineLevel="1"/>
    <row r="559" spans="1:5" ht="21.9" hidden="1" customHeight="1" outlineLevel="1">
      <c r="A559" s="1369" t="s">
        <v>878</v>
      </c>
      <c r="B559" s="1412" t="s">
        <v>1671</v>
      </c>
      <c r="C559" s="1412" t="s">
        <v>1680</v>
      </c>
      <c r="D559" s="1371" t="s">
        <v>859</v>
      </c>
      <c r="E559" s="1372"/>
    </row>
    <row r="560" spans="1:5" ht="21.9" hidden="1" customHeight="1" outlineLevel="1">
      <c r="A560" s="1373"/>
      <c r="B560" s="1374"/>
      <c r="C560" s="1374"/>
      <c r="D560" s="1413" t="s">
        <v>861</v>
      </c>
      <c r="E560" s="1413" t="s">
        <v>1672</v>
      </c>
    </row>
    <row r="561" spans="1:5" ht="21.9" hidden="1" customHeight="1" outlineLevel="1">
      <c r="A561" s="1378" t="s">
        <v>890</v>
      </c>
      <c r="B561" s="1379">
        <v>4823552</v>
      </c>
      <c r="C561" s="1379">
        <f>C562+C563+C564</f>
        <v>12540585.5</v>
      </c>
      <c r="D561" s="1379">
        <f>D562+D563+D564</f>
        <v>13747315.876149492</v>
      </c>
      <c r="E561" s="1379">
        <f>E562+E563+E564</f>
        <v>15072475.606970752</v>
      </c>
    </row>
    <row r="562" spans="1:5" ht="21.9" hidden="1" customHeight="1" outlineLevel="1">
      <c r="A562" s="1376" t="s">
        <v>880</v>
      </c>
      <c r="B562" s="1381"/>
      <c r="C562" s="1381"/>
      <c r="D562" s="1381">
        <f>C562*1.0962259996672</f>
        <v>0</v>
      </c>
      <c r="E562" s="1381">
        <f>D562*1.09639407014138</f>
        <v>0</v>
      </c>
    </row>
    <row r="563" spans="1:5" ht="21.9" hidden="1" customHeight="1" outlineLevel="1">
      <c r="A563" s="1376" t="s">
        <v>881</v>
      </c>
      <c r="B563" s="1381">
        <v>4023552</v>
      </c>
      <c r="C563" s="1381">
        <f>'Itemized Budget 2024-25'!L1405-'Itemized Budget 2024-25'!L1403</f>
        <v>11890585.5</v>
      </c>
      <c r="D563" s="1381">
        <f>C563*1.0962259996672</f>
        <v>13034768.976365812</v>
      </c>
      <c r="E563" s="1381">
        <f>D563*1.09639407014138</f>
        <v>14291243.411350301</v>
      </c>
    </row>
    <row r="564" spans="1:5" ht="21.9" hidden="1" customHeight="1" outlineLevel="1">
      <c r="A564" s="1376" t="s">
        <v>882</v>
      </c>
      <c r="B564" s="1381">
        <v>800000</v>
      </c>
      <c r="C564" s="1381">
        <f>'Itemized Budget 2024-25'!L1403</f>
        <v>650000</v>
      </c>
      <c r="D564" s="1381">
        <f>C564*1.0962259996672</f>
        <v>712546.89978367998</v>
      </c>
      <c r="E564" s="1381">
        <f>D564*1.09639407014138</f>
        <v>781232.19562045077</v>
      </c>
    </row>
    <row r="565" spans="1:5" ht="21.9" hidden="1" customHeight="1" outlineLevel="1">
      <c r="A565" s="1378" t="s">
        <v>883</v>
      </c>
      <c r="B565" s="1379">
        <v>127000000</v>
      </c>
      <c r="C565" s="1379">
        <f>C566+C567</f>
        <v>171232045</v>
      </c>
      <c r="D565" s="1379">
        <f>D566+D567</f>
        <v>187709019.70518395</v>
      </c>
      <c r="E565" s="1379">
        <f>E566+E567</f>
        <v>205803056.11681512</v>
      </c>
    </row>
    <row r="566" spans="1:5" ht="21.9" hidden="1" customHeight="1" outlineLevel="1">
      <c r="A566" s="1376" t="s">
        <v>914</v>
      </c>
      <c r="B566" s="1381">
        <v>127000000</v>
      </c>
      <c r="C566" s="1381">
        <f>'Itemized Budget 2024-25'!L1413</f>
        <v>171232045</v>
      </c>
      <c r="D566" s="1381">
        <f>C566*1.0962259996672</f>
        <v>187709019.70518395</v>
      </c>
      <c r="E566" s="1381">
        <f>D566*1.09639407014138</f>
        <v>205803056.11681512</v>
      </c>
    </row>
    <row r="567" spans="1:5" ht="21.9" hidden="1" customHeight="1" outlineLevel="1">
      <c r="A567" s="1376" t="s">
        <v>885</v>
      </c>
      <c r="B567" s="1381">
        <v>0</v>
      </c>
      <c r="C567" s="1381">
        <v>0</v>
      </c>
      <c r="D567" s="1381">
        <f>C567*1.0962259996672</f>
        <v>0</v>
      </c>
      <c r="E567" s="1381">
        <f>D567*1.09639407014138</f>
        <v>0</v>
      </c>
    </row>
    <row r="568" spans="1:5" ht="21.9" hidden="1" customHeight="1" outlineLevel="1">
      <c r="A568" s="1378" t="s">
        <v>912</v>
      </c>
      <c r="B568" s="1379">
        <v>131823552</v>
      </c>
      <c r="C568" s="1379">
        <f>C565+C561</f>
        <v>183772630.5</v>
      </c>
      <c r="D568" s="1379">
        <f>D565+D561</f>
        <v>201456335.58133346</v>
      </c>
      <c r="E568" s="1379">
        <f>E565+E561</f>
        <v>220875531.72378588</v>
      </c>
    </row>
    <row r="569" spans="1:5" ht="21.9" hidden="1" customHeight="1" outlineLevel="1">
      <c r="A569" s="1366"/>
    </row>
    <row r="570" spans="1:5" ht="21.9" customHeight="1" collapsed="1">
      <c r="A570" s="1407"/>
    </row>
    <row r="571" spans="1:5" ht="21.9" customHeight="1">
      <c r="A571" s="1366" t="s">
        <v>1277</v>
      </c>
      <c r="B571" s="1419"/>
      <c r="C571" s="1419"/>
      <c r="D571" s="1368"/>
      <c r="E571" s="1368"/>
    </row>
    <row r="572" spans="1:5" ht="21.9" hidden="1" customHeight="1" outlineLevel="1">
      <c r="A572" s="1408" t="s">
        <v>1758</v>
      </c>
      <c r="B572" s="1368"/>
      <c r="C572" s="1368"/>
      <c r="D572" s="1368"/>
      <c r="E572" s="1368"/>
    </row>
    <row r="573" spans="1:5" s="1366" customFormat="1" ht="21.9" hidden="1" customHeight="1" outlineLevel="1">
      <c r="A573" s="1407"/>
      <c r="B573" s="1419"/>
      <c r="C573" s="1419"/>
      <c r="D573" s="1419"/>
      <c r="E573" s="1419"/>
    </row>
    <row r="574" spans="1:5" s="1366" customFormat="1" ht="21.9" hidden="1" customHeight="1" outlineLevel="1">
      <c r="A574" s="1369" t="s">
        <v>856</v>
      </c>
      <c r="B574" s="1412" t="s">
        <v>1761</v>
      </c>
      <c r="C574" s="1412" t="s">
        <v>1680</v>
      </c>
      <c r="D574" s="1371" t="s">
        <v>859</v>
      </c>
      <c r="E574" s="1372"/>
    </row>
    <row r="575" spans="1:5" ht="21.9" hidden="1" customHeight="1" outlineLevel="1">
      <c r="A575" s="1373"/>
      <c r="B575" s="1374"/>
      <c r="C575" s="1374"/>
      <c r="D575" s="1413" t="s">
        <v>861</v>
      </c>
      <c r="E575" s="1413" t="s">
        <v>1672</v>
      </c>
    </row>
    <row r="576" spans="1:5" s="1366" customFormat="1" ht="21.9" hidden="1" customHeight="1" outlineLevel="1">
      <c r="A576" s="1376" t="s">
        <v>924</v>
      </c>
      <c r="B576" s="1418">
        <v>117893531.26800001</v>
      </c>
      <c r="C576" s="1418">
        <f>C610</f>
        <v>799987768.89999998</v>
      </c>
      <c r="D576" s="1418">
        <f>D610</f>
        <v>876967391.6839354</v>
      </c>
      <c r="E576" s="1418">
        <f>E610</f>
        <v>961501847.94961965</v>
      </c>
    </row>
    <row r="577" spans="1:5" ht="21.9" hidden="1" customHeight="1" outlineLevel="1">
      <c r="A577" s="1378" t="s">
        <v>925</v>
      </c>
      <c r="B577" s="1422">
        <v>117893531.26800001</v>
      </c>
      <c r="C577" s="1422">
        <f>C576</f>
        <v>799987768.89999998</v>
      </c>
      <c r="D577" s="1422">
        <f>SUM(D576)</f>
        <v>876967391.6839354</v>
      </c>
      <c r="E577" s="1422">
        <f>SUM(E576)</f>
        <v>961501847.94961965</v>
      </c>
    </row>
    <row r="578" spans="1:5" s="1366" customFormat="1" ht="21.9" hidden="1" customHeight="1" outlineLevel="1">
      <c r="A578" s="1376" t="s">
        <v>1681</v>
      </c>
      <c r="B578" s="1414">
        <v>824516071.27859831</v>
      </c>
      <c r="C578" s="1414">
        <f>C624</f>
        <v>164648023.09079194</v>
      </c>
      <c r="D578" s="1414">
        <f>D624</f>
        <v>180491443.7059316</v>
      </c>
      <c r="E578" s="1414">
        <f>E624</f>
        <v>197889748.59044009</v>
      </c>
    </row>
    <row r="579" spans="1:5" ht="21.9" hidden="1" customHeight="1" outlineLevel="1">
      <c r="A579" s="1378" t="s">
        <v>926</v>
      </c>
      <c r="B579" s="1422">
        <v>824516071.27859831</v>
      </c>
      <c r="C579" s="1422">
        <f>SUM(C578)</f>
        <v>164648023.09079194</v>
      </c>
      <c r="D579" s="1422">
        <f>SUM(D578)</f>
        <v>180491443.7059316</v>
      </c>
      <c r="E579" s="1422">
        <f>SUM(E578)</f>
        <v>197889748.59044009</v>
      </c>
    </row>
    <row r="580" spans="1:5" ht="21.9" hidden="1" customHeight="1" outlineLevel="1">
      <c r="A580" s="1376" t="s">
        <v>1682</v>
      </c>
      <c r="B580" s="1414">
        <v>103463511.68000001</v>
      </c>
      <c r="C580" s="1414">
        <f>C638</f>
        <v>80156701.544619009</v>
      </c>
      <c r="D580" s="1414">
        <f>D638</f>
        <v>87869860.280775368</v>
      </c>
      <c r="E580" s="1414">
        <f>E638</f>
        <v>96339993.755993679</v>
      </c>
    </row>
    <row r="581" spans="1:5" s="1366" customFormat="1" ht="21.9" hidden="1" customHeight="1" outlineLevel="1">
      <c r="A581" s="1378" t="s">
        <v>927</v>
      </c>
      <c r="B581" s="1422">
        <v>103463511.68000001</v>
      </c>
      <c r="C581" s="1422">
        <f>SUM(C580)</f>
        <v>80156701.544619009</v>
      </c>
      <c r="D581" s="1422">
        <f>SUM(D580)</f>
        <v>87869860.280775368</v>
      </c>
      <c r="E581" s="1422">
        <f>SUM(E580)</f>
        <v>96339993.755993679</v>
      </c>
    </row>
    <row r="582" spans="1:5" ht="21.9" hidden="1" customHeight="1" outlineLevel="1">
      <c r="A582" s="1376" t="s">
        <v>1683</v>
      </c>
      <c r="B582" s="1414">
        <v>2204000</v>
      </c>
      <c r="C582" s="1414">
        <f>C653</f>
        <v>22994341.68</v>
      </c>
      <c r="D582" s="1414">
        <f>D653</f>
        <v>25206995.194847159</v>
      </c>
      <c r="E582" s="1414">
        <f>E653</f>
        <v>27636800.057712682</v>
      </c>
    </row>
    <row r="583" spans="1:5" s="1366" customFormat="1" ht="21.9" hidden="1" customHeight="1" outlineLevel="1">
      <c r="A583" s="1382" t="s">
        <v>928</v>
      </c>
      <c r="B583" s="1422">
        <v>2204000</v>
      </c>
      <c r="C583" s="1422">
        <f>SUM(C582)</f>
        <v>22994341.68</v>
      </c>
      <c r="D583" s="1422">
        <f>SUM(D582)</f>
        <v>25206995.194847159</v>
      </c>
      <c r="E583" s="1422">
        <f>SUM(E582)</f>
        <v>27636800.057712682</v>
      </c>
    </row>
    <row r="584" spans="1:5" ht="21.9" hidden="1" customHeight="1" outlineLevel="1">
      <c r="A584" s="1382" t="s">
        <v>929</v>
      </c>
      <c r="B584" s="1422">
        <v>1048077114.2265984</v>
      </c>
      <c r="C584" s="1422">
        <f>C583+C581+C579+C577</f>
        <v>1067786835.2154109</v>
      </c>
      <c r="D584" s="1422">
        <f>D583+D581+D579+D577</f>
        <v>1170535690.8654895</v>
      </c>
      <c r="E584" s="1422">
        <f>E583+E581+E579+E577</f>
        <v>1283368390.353766</v>
      </c>
    </row>
    <row r="585" spans="1:5" ht="21.9" hidden="1" customHeight="1" outlineLevel="1">
      <c r="A585" s="1407"/>
      <c r="B585" s="1368"/>
      <c r="C585" s="1368"/>
      <c r="D585" s="1368"/>
      <c r="E585" s="1368"/>
    </row>
    <row r="586" spans="1:5" ht="21.9" hidden="1" customHeight="1" outlineLevel="1">
      <c r="A586" s="1366" t="s">
        <v>913</v>
      </c>
      <c r="B586" s="1368"/>
      <c r="C586" s="1368"/>
      <c r="D586" s="1368"/>
      <c r="E586" s="1368"/>
    </row>
    <row r="587" spans="1:5" s="1366" customFormat="1" ht="21.9" hidden="1" customHeight="1" outlineLevel="1">
      <c r="A587" s="1407"/>
      <c r="B587" s="1419"/>
      <c r="C587" s="1419"/>
      <c r="D587" s="1419"/>
      <c r="E587" s="1419"/>
    </row>
    <row r="588" spans="1:5" ht="21.9" hidden="1" customHeight="1" outlineLevel="1">
      <c r="A588" s="1369" t="s">
        <v>878</v>
      </c>
      <c r="B588" s="1412" t="s">
        <v>1671</v>
      </c>
      <c r="C588" s="1412" t="s">
        <v>1680</v>
      </c>
      <c r="D588" s="1371" t="s">
        <v>859</v>
      </c>
      <c r="E588" s="1372"/>
    </row>
    <row r="589" spans="1:5" ht="21.9" hidden="1" customHeight="1" outlineLevel="1">
      <c r="A589" s="1373"/>
      <c r="B589" s="1374"/>
      <c r="C589" s="1374"/>
      <c r="D589" s="1413" t="s">
        <v>861</v>
      </c>
      <c r="E589" s="1413" t="s">
        <v>1672</v>
      </c>
    </row>
    <row r="590" spans="1:5" ht="21.9" hidden="1" customHeight="1" outlineLevel="1">
      <c r="A590" s="1382" t="s">
        <v>879</v>
      </c>
      <c r="B590" s="1415">
        <v>854332520.22659826</v>
      </c>
      <c r="C590" s="1415">
        <f>SUM(C591:C593)</f>
        <v>941467773.00659645</v>
      </c>
      <c r="D590" s="1415">
        <f>SUM(D591:D593)</f>
        <v>1032061450.6186086</v>
      </c>
      <c r="E590" s="1415">
        <f>SUM(E591:E593)</f>
        <v>1131546054.479753</v>
      </c>
    </row>
    <row r="591" spans="1:5" s="1366" customFormat="1" ht="21.9" hidden="1" customHeight="1" outlineLevel="1">
      <c r="A591" s="1393" t="s">
        <v>880</v>
      </c>
      <c r="B591" s="1414">
        <v>784915559.5</v>
      </c>
      <c r="C591" s="1414">
        <f>C604+C618+C632+C647</f>
        <v>792641583</v>
      </c>
      <c r="D591" s="1414">
        <f>D604+D618+D632+D647</f>
        <v>868914311.70196676</v>
      </c>
      <c r="E591" s="1414">
        <f>E604+E618+E632+E647</f>
        <v>952672498.81101501</v>
      </c>
    </row>
    <row r="592" spans="1:5" ht="21.9" hidden="1" customHeight="1" outlineLevel="1">
      <c r="A592" s="1393" t="s">
        <v>881</v>
      </c>
      <c r="B592" s="1414">
        <v>61028054.448000006</v>
      </c>
      <c r="C592" s="1414">
        <f t="shared" ref="C592:C593" si="21">C605+C619+C633+C648</f>
        <v>64456461.859999999</v>
      </c>
      <c r="D592" s="1414">
        <f t="shared" ref="D592:E593" si="22">D605+D619+D633+D648</f>
        <v>70658849.337489247</v>
      </c>
      <c r="E592" s="1414">
        <f t="shared" si="22"/>
        <v>77469943.416636378</v>
      </c>
    </row>
    <row r="593" spans="1:5" ht="21.9" hidden="1" customHeight="1" outlineLevel="1">
      <c r="A593" s="1393" t="s">
        <v>882</v>
      </c>
      <c r="B593" s="1414">
        <v>8388906.2785983607</v>
      </c>
      <c r="C593" s="1414">
        <f t="shared" si="21"/>
        <v>84369728.146596476</v>
      </c>
      <c r="D593" s="1414">
        <f t="shared" si="22"/>
        <v>92488289.579152614</v>
      </c>
      <c r="E593" s="1414">
        <f t="shared" si="22"/>
        <v>101403612.25210172</v>
      </c>
    </row>
    <row r="594" spans="1:5" s="1366" customFormat="1" ht="21.9" hidden="1" customHeight="1" outlineLevel="1">
      <c r="A594" s="1382" t="s">
        <v>883</v>
      </c>
      <c r="B594" s="1422">
        <v>193744594</v>
      </c>
      <c r="C594" s="1422">
        <f>SUM(C595:C596)</f>
        <v>126319062.20881447</v>
      </c>
      <c r="D594" s="1422">
        <f>SUM(D595:D596)</f>
        <v>138474240.24688086</v>
      </c>
      <c r="E594" s="1422">
        <f>SUM(E595:E596)</f>
        <v>151822335.87401298</v>
      </c>
    </row>
    <row r="595" spans="1:5" ht="21.9" hidden="1" customHeight="1" outlineLevel="1">
      <c r="A595" s="1393" t="s">
        <v>884</v>
      </c>
      <c r="B595" s="1414">
        <v>193744594</v>
      </c>
      <c r="C595" s="1414">
        <f t="shared" ref="C595:E596" si="23">C608+C622+C636+C651</f>
        <v>99321062.208814472</v>
      </c>
      <c r="D595" s="1414">
        <f t="shared" si="23"/>
        <v>108878330.70786579</v>
      </c>
      <c r="E595" s="1414">
        <f t="shared" si="23"/>
        <v>119373556.15499616</v>
      </c>
    </row>
    <row r="596" spans="1:5" s="1366" customFormat="1" ht="21.9" hidden="1" customHeight="1" outlineLevel="1">
      <c r="A596" s="1393" t="s">
        <v>885</v>
      </c>
      <c r="B596" s="1414">
        <v>0</v>
      </c>
      <c r="C596" s="1414">
        <f t="shared" si="23"/>
        <v>26998000</v>
      </c>
      <c r="D596" s="1414">
        <f t="shared" si="23"/>
        <v>29595909.539015062</v>
      </c>
      <c r="E596" s="1414">
        <f t="shared" si="23"/>
        <v>32448779.719016816</v>
      </c>
    </row>
    <row r="597" spans="1:5" ht="21.9" hidden="1" customHeight="1" outlineLevel="1">
      <c r="A597" s="1382" t="s">
        <v>886</v>
      </c>
      <c r="B597" s="1422">
        <v>1048077114.2265983</v>
      </c>
      <c r="C597" s="1422">
        <f>C594+C590</f>
        <v>1067786835.2154109</v>
      </c>
      <c r="D597" s="1422">
        <f>D590+D594</f>
        <v>1170535690.8654895</v>
      </c>
      <c r="E597" s="1422">
        <f>E590+E594</f>
        <v>1283368390.353766</v>
      </c>
    </row>
    <row r="598" spans="1:5" ht="21.9" hidden="1" customHeight="1" outlineLevel="1">
      <c r="A598" s="1407"/>
      <c r="B598" s="1368"/>
      <c r="C598" s="1368"/>
      <c r="D598" s="1368"/>
      <c r="E598" s="1368"/>
    </row>
    <row r="599" spans="1:5" ht="21.9" hidden="1" customHeight="1" outlineLevel="1">
      <c r="A599" s="1366" t="s">
        <v>925</v>
      </c>
      <c r="B599" s="1368"/>
      <c r="C599" s="1368"/>
      <c r="D599" s="1368"/>
      <c r="E599" s="1368"/>
    </row>
    <row r="600" spans="1:5" s="1366" customFormat="1" ht="21.9" hidden="1" customHeight="1" outlineLevel="1">
      <c r="A600" s="1363" t="s">
        <v>1684</v>
      </c>
      <c r="B600" s="1368"/>
      <c r="C600" s="1368"/>
      <c r="D600" s="1368"/>
      <c r="E600" s="1368"/>
    </row>
    <row r="601" spans="1:5" ht="21.9" hidden="1" customHeight="1" outlineLevel="1">
      <c r="A601" s="1369" t="s">
        <v>878</v>
      </c>
      <c r="B601" s="1412" t="s">
        <v>1671</v>
      </c>
      <c r="C601" s="1412" t="s">
        <v>1680</v>
      </c>
      <c r="D601" s="1371" t="s">
        <v>859</v>
      </c>
      <c r="E601" s="1372"/>
    </row>
    <row r="602" spans="1:5" s="1366" customFormat="1" ht="21.9" hidden="1" customHeight="1" outlineLevel="1">
      <c r="A602" s="1373"/>
      <c r="B602" s="1374"/>
      <c r="C602" s="1374"/>
      <c r="D602" s="1413" t="s">
        <v>861</v>
      </c>
      <c r="E602" s="1413" t="s">
        <v>1672</v>
      </c>
    </row>
    <row r="603" spans="1:5" ht="21.9" hidden="1" customHeight="1" outlineLevel="1">
      <c r="A603" s="1382" t="s">
        <v>890</v>
      </c>
      <c r="B603" s="1422">
        <v>117893531.26800001</v>
      </c>
      <c r="C603" s="1422">
        <f>SUM(C604:C606)</f>
        <v>799987768.89999998</v>
      </c>
      <c r="D603" s="1422">
        <f>SUM(D604:D606)</f>
        <v>876967391.6839354</v>
      </c>
      <c r="E603" s="1422">
        <f>SUM(E604:E606)</f>
        <v>961501847.94961965</v>
      </c>
    </row>
    <row r="604" spans="1:5" s="1366" customFormat="1" ht="21.9" hidden="1" customHeight="1" outlineLevel="1">
      <c r="A604" s="1393" t="s">
        <v>880</v>
      </c>
      <c r="B604" s="1414">
        <v>104063531.5</v>
      </c>
      <c r="C604" s="1414">
        <f>'Itemized Budget 2024-25'!L1422</f>
        <v>788141583</v>
      </c>
      <c r="D604" s="1414">
        <f>C604*1.0962259996672</f>
        <v>863981294.70346439</v>
      </c>
      <c r="E604" s="1414">
        <f>D604*1.09639407014138</f>
        <v>947263968.22595036</v>
      </c>
    </row>
    <row r="605" spans="1:5" ht="21.9" hidden="1" customHeight="1" outlineLevel="1">
      <c r="A605" s="1393" t="s">
        <v>881</v>
      </c>
      <c r="B605" s="1414">
        <v>13169999.768000007</v>
      </c>
      <c r="C605" s="1414">
        <f>'Itemized Budget 2024-25'!L1425+'Itemized Budget 2024-25'!L1428+'Itemized Budget 2024-25'!L1430+'Itemized Budget 2024-25'!L1434+'Itemized Budget 2024-25'!L1437+'Itemized Budget 2024-25'!L1442+'Itemized Budget 2024-25'!L1447+'Itemized Budget 2024-25'!L1450+'Itemized Budget 2024-25'!L1452+'Itemized Budget 2024-25'!L1454+'Itemized Budget 2024-25'!L1456+'Itemized Budget 2024-25'!L1458+'Itemized Budget 2024-25'!L1460</f>
        <v>11286185.9</v>
      </c>
      <c r="D605" s="1414">
        <f>C605*1.0962259996672</f>
        <v>12372210.420657357</v>
      </c>
      <c r="E605" s="1414">
        <f>D605*1.09639407014138</f>
        <v>13564818.139750114</v>
      </c>
    </row>
    <row r="606" spans="1:5" s="1366" customFormat="1" ht="21.9" hidden="1" customHeight="1" outlineLevel="1">
      <c r="A606" s="1393" t="s">
        <v>882</v>
      </c>
      <c r="B606" s="1414">
        <v>660000</v>
      </c>
      <c r="C606" s="1414">
        <f>'Itemized Budget 2024-25'!L1462</f>
        <v>560000</v>
      </c>
      <c r="D606" s="1414">
        <f>C606*1.0962259996672</f>
        <v>613886.55981363193</v>
      </c>
      <c r="E606" s="1414">
        <f>D606*1.09639407014138</f>
        <v>673061.58391915762</v>
      </c>
    </row>
    <row r="607" spans="1:5" ht="21.9" hidden="1" customHeight="1" outlineLevel="1">
      <c r="A607" s="1382" t="s">
        <v>883</v>
      </c>
      <c r="B607" s="1414">
        <v>0</v>
      </c>
      <c r="C607" s="1414">
        <f>SUM(C608:C609)</f>
        <v>0</v>
      </c>
      <c r="D607" s="1414">
        <f>SUM(D608:D609)</f>
        <v>0</v>
      </c>
      <c r="E607" s="1414">
        <f>SUM(E608:E609)</f>
        <v>0</v>
      </c>
    </row>
    <row r="608" spans="1:5" s="1366" customFormat="1" ht="21.9" hidden="1" customHeight="1" outlineLevel="1">
      <c r="A608" s="1393" t="s">
        <v>891</v>
      </c>
      <c r="B608" s="1414">
        <v>0</v>
      </c>
      <c r="C608" s="1414">
        <v>0</v>
      </c>
      <c r="D608" s="1414">
        <f>C608*1.0962259996672</f>
        <v>0</v>
      </c>
      <c r="E608" s="1414">
        <f>D608*1.09639407014138</f>
        <v>0</v>
      </c>
    </row>
    <row r="609" spans="1:5" ht="21.9" hidden="1" customHeight="1" outlineLevel="1">
      <c r="A609" s="1393" t="s">
        <v>892</v>
      </c>
      <c r="B609" s="1414">
        <v>0</v>
      </c>
      <c r="C609" s="1414">
        <v>0</v>
      </c>
      <c r="D609" s="1414">
        <f>C609*1.0962259996672</f>
        <v>0</v>
      </c>
      <c r="E609" s="1414">
        <f>D609*1.09639407014138</f>
        <v>0</v>
      </c>
    </row>
    <row r="610" spans="1:5" ht="21.9" hidden="1" customHeight="1" outlineLevel="1">
      <c r="A610" s="1382" t="s">
        <v>893</v>
      </c>
      <c r="B610" s="1422">
        <v>117893531.26800001</v>
      </c>
      <c r="C610" s="1422">
        <f>C607+C603</f>
        <v>799987768.89999998</v>
      </c>
      <c r="D610" s="1422">
        <f>D607+D603</f>
        <v>876967391.6839354</v>
      </c>
      <c r="E610" s="1422">
        <f>E607+E603</f>
        <v>961501847.94961965</v>
      </c>
    </row>
    <row r="611" spans="1:5" ht="21.9" hidden="1" customHeight="1" outlineLevel="1">
      <c r="B611" s="1368"/>
      <c r="C611" s="1368"/>
      <c r="D611" s="1368"/>
      <c r="E611" s="1368"/>
    </row>
    <row r="612" spans="1:5" ht="21.9" hidden="1" customHeight="1" outlineLevel="1">
      <c r="B612" s="1368"/>
      <c r="C612" s="1368"/>
      <c r="D612" s="1368"/>
      <c r="E612" s="1368"/>
    </row>
    <row r="613" spans="1:5" s="1366" customFormat="1" ht="21.9" hidden="1" customHeight="1" outlineLevel="1">
      <c r="A613" s="1366" t="s">
        <v>930</v>
      </c>
      <c r="B613" s="1368"/>
      <c r="C613" s="1368"/>
      <c r="D613" s="1368"/>
      <c r="E613" s="1368"/>
    </row>
    <row r="614" spans="1:5" ht="21.9" hidden="1" customHeight="1" outlineLevel="1">
      <c r="A614" s="1363" t="s">
        <v>1685</v>
      </c>
      <c r="B614" s="1368"/>
      <c r="C614" s="1368"/>
      <c r="D614" s="1368"/>
      <c r="E614" s="1368"/>
    </row>
    <row r="615" spans="1:5" ht="21.9" hidden="1" customHeight="1" outlineLevel="1">
      <c r="A615" s="1369" t="s">
        <v>878</v>
      </c>
      <c r="B615" s="1412" t="s">
        <v>1671</v>
      </c>
      <c r="C615" s="1412" t="s">
        <v>1680</v>
      </c>
      <c r="D615" s="1371" t="s">
        <v>859</v>
      </c>
      <c r="E615" s="1372"/>
    </row>
    <row r="616" spans="1:5" ht="21.9" hidden="1" customHeight="1" outlineLevel="1">
      <c r="A616" s="1373"/>
      <c r="B616" s="1374"/>
      <c r="C616" s="1374"/>
      <c r="D616" s="1413" t="s">
        <v>861</v>
      </c>
      <c r="E616" s="1413" t="s">
        <v>1672</v>
      </c>
    </row>
    <row r="617" spans="1:5" ht="21.9" hidden="1" customHeight="1" outlineLevel="1">
      <c r="A617" s="1382" t="s">
        <v>890</v>
      </c>
      <c r="B617" s="1422">
        <v>700375477.27859831</v>
      </c>
      <c r="C617" s="1422">
        <f>SUM(C618:C620)</f>
        <v>95872002.146596476</v>
      </c>
      <c r="D617" s="1422">
        <f>SUM(D618:D620)</f>
        <v>105097381.39324866</v>
      </c>
      <c r="E617" s="1422">
        <f>SUM(E618:E620)</f>
        <v>115228145.74694483</v>
      </c>
    </row>
    <row r="618" spans="1:5" ht="21.9" hidden="1" customHeight="1" outlineLevel="1">
      <c r="A618" s="1393" t="s">
        <v>880</v>
      </c>
      <c r="B618" s="1414">
        <v>677352028</v>
      </c>
      <c r="C618" s="1414">
        <f>'Itemized Budget 2024-25'!L1470</f>
        <v>0</v>
      </c>
      <c r="D618" s="1414">
        <f>C618*1.0962259996672</f>
        <v>0</v>
      </c>
      <c r="E618" s="1414">
        <f>D618*1.09639407014138</f>
        <v>0</v>
      </c>
    </row>
    <row r="619" spans="1:5" ht="21.9" hidden="1" customHeight="1" outlineLevel="1">
      <c r="A619" s="1393" t="s">
        <v>881</v>
      </c>
      <c r="B619" s="1414">
        <v>19891723</v>
      </c>
      <c r="C619" s="1414">
        <f>'Itemized Budget 2024-25'!L1472+'Itemized Budget 2024-25'!L1474+'Itemized Budget 2024-25'!L1478+'Itemized Budget 2024-25'!L1481+'Itemized Budget 2024-25'!L1485+'Itemized Budget 2024-25'!L1491+'Itemized Budget 2024-25'!L1494+'Itemized Budget 2024-25'!L1498+'Itemized Budget 2024-25'!L1500+'Itemized Budget 2024-25'!L1503+'Itemized Budget 2024-25'!L1505</f>
        <v>17168274</v>
      </c>
      <c r="D619" s="1414">
        <f>C619*1.0962259996672</f>
        <v>18820308.328210399</v>
      </c>
      <c r="E619" s="1414">
        <f>D619*1.09639407014138</f>
        <v>20634474.449282307</v>
      </c>
    </row>
    <row r="620" spans="1:5" ht="21.9" hidden="1" customHeight="1" outlineLevel="1">
      <c r="A620" s="1393" t="s">
        <v>882</v>
      </c>
      <c r="B620" s="1414">
        <v>3131726.2785983598</v>
      </c>
      <c r="C620" s="1414">
        <f>'Itemized Budget 2024-25'!L1507+'Itemized Budget 2024-25'!L1510+'Itemized Budget 2024-25'!L1512</f>
        <v>78703728.146596476</v>
      </c>
      <c r="D620" s="1414">
        <f>C620*1.0962259996672</f>
        <v>86277073.065038264</v>
      </c>
      <c r="E620" s="1414">
        <f>D620*1.09639407014138</f>
        <v>94593671.297662526</v>
      </c>
    </row>
    <row r="621" spans="1:5" s="1366" customFormat="1" ht="21.9" hidden="1" customHeight="1" outlineLevel="1">
      <c r="A621" s="1382" t="s">
        <v>883</v>
      </c>
      <c r="B621" s="1422">
        <v>124140594</v>
      </c>
      <c r="C621" s="1422">
        <f>SUM(C622:C623)</f>
        <v>68776020.944195449</v>
      </c>
      <c r="D621" s="1422">
        <f>SUM(D622:D623)</f>
        <v>75394062.312682942</v>
      </c>
      <c r="E621" s="1422">
        <f>SUM(E622:E623)</f>
        <v>82661602.843495265</v>
      </c>
    </row>
    <row r="622" spans="1:5" ht="21.9" hidden="1" customHeight="1" outlineLevel="1">
      <c r="A622" s="1393" t="s">
        <v>891</v>
      </c>
      <c r="B622" s="1414">
        <v>124140594</v>
      </c>
      <c r="C622" s="1414">
        <f>'Itemized Budget 2024-25'!L1517+'Itemized Budget 2024-25'!L1519</f>
        <v>43776020.944195457</v>
      </c>
      <c r="D622" s="1414">
        <f>C622*1.0962259996672</f>
        <v>47988412.321002945</v>
      </c>
      <c r="E622" s="1414">
        <f>D622*1.09639407014138</f>
        <v>52614210.704247162</v>
      </c>
    </row>
    <row r="623" spans="1:5" s="1366" customFormat="1" ht="21.9" hidden="1" customHeight="1" outlineLevel="1">
      <c r="A623" s="1393" t="s">
        <v>892</v>
      </c>
      <c r="B623" s="1414">
        <v>0</v>
      </c>
      <c r="C623" s="1414">
        <f>'Itemized Budget 2024-25'!L1524</f>
        <v>25000000</v>
      </c>
      <c r="D623" s="1414">
        <f>C623*1.0962259996672</f>
        <v>27405649.991679996</v>
      </c>
      <c r="E623" s="1414">
        <f>D623*1.09639407014138</f>
        <v>30047392.139248107</v>
      </c>
    </row>
    <row r="624" spans="1:5" ht="21.9" hidden="1" customHeight="1" outlineLevel="1">
      <c r="A624" s="1382" t="s">
        <v>893</v>
      </c>
      <c r="B624" s="1422">
        <v>824516071.27859831</v>
      </c>
      <c r="C624" s="1422">
        <f>C621+C617</f>
        <v>164648023.09079194</v>
      </c>
      <c r="D624" s="1422">
        <f>D621+D617</f>
        <v>180491443.7059316</v>
      </c>
      <c r="E624" s="1422">
        <f>E621+E617</f>
        <v>197889748.59044009</v>
      </c>
    </row>
    <row r="625" spans="1:6" s="1366" customFormat="1" ht="21.9" hidden="1" customHeight="1" outlineLevel="1">
      <c r="A625" s="1363"/>
      <c r="B625" s="1368"/>
      <c r="C625" s="1368"/>
      <c r="D625" s="1368"/>
      <c r="E625" s="1368"/>
    </row>
    <row r="626" spans="1:6" ht="21.9" hidden="1" customHeight="1" outlineLevel="1">
      <c r="B626" s="1368"/>
      <c r="C626" s="1368"/>
      <c r="D626" s="1368"/>
      <c r="E626" s="1368"/>
    </row>
    <row r="627" spans="1:6" s="1366" customFormat="1" ht="21.9" hidden="1" customHeight="1" outlineLevel="1">
      <c r="A627" s="1366" t="s">
        <v>931</v>
      </c>
      <c r="B627" s="1368"/>
      <c r="C627" s="1368"/>
      <c r="D627" s="1368"/>
      <c r="E627" s="1368"/>
    </row>
    <row r="628" spans="1:6" ht="21.9" hidden="1" customHeight="1" outlineLevel="1">
      <c r="A628" s="1363" t="s">
        <v>1686</v>
      </c>
      <c r="B628" s="1368"/>
      <c r="C628" s="1368"/>
      <c r="D628" s="1368"/>
      <c r="E628" s="1368"/>
    </row>
    <row r="629" spans="1:6" s="1366" customFormat="1" ht="21.9" hidden="1" customHeight="1" outlineLevel="1">
      <c r="A629" s="1369" t="s">
        <v>878</v>
      </c>
      <c r="B629" s="1412" t="s">
        <v>1671</v>
      </c>
      <c r="C629" s="1412" t="s">
        <v>1680</v>
      </c>
      <c r="D629" s="1371" t="s">
        <v>859</v>
      </c>
      <c r="E629" s="1372"/>
    </row>
    <row r="630" spans="1:6" ht="21.9" hidden="1" customHeight="1" outlineLevel="1">
      <c r="A630" s="1373"/>
      <c r="B630" s="1374"/>
      <c r="C630" s="1374"/>
      <c r="D630" s="1413" t="s">
        <v>861</v>
      </c>
      <c r="E630" s="1413" t="s">
        <v>1672</v>
      </c>
    </row>
    <row r="631" spans="1:6" ht="21.9" hidden="1" customHeight="1" outlineLevel="1">
      <c r="A631" s="1382" t="s">
        <v>890</v>
      </c>
      <c r="B631" s="1422">
        <v>36063511.68</v>
      </c>
      <c r="C631" s="1422">
        <f>SUM(C632:C634)</f>
        <v>24611660.280000001</v>
      </c>
      <c r="D631" s="1422">
        <f>SUM(D632:D634)</f>
        <v>26979941.893912517</v>
      </c>
      <c r="E631" s="1422">
        <f>SUM(E632:E634)</f>
        <v>29580648.305244677</v>
      </c>
    </row>
    <row r="632" spans="1:6" ht="21.9" hidden="1" customHeight="1" outlineLevel="1">
      <c r="A632" s="1393" t="s">
        <v>880</v>
      </c>
      <c r="B632" s="1414">
        <v>3500000</v>
      </c>
      <c r="C632" s="1414">
        <f>'Itemized Budget 2024-25'!L1534</f>
        <v>4500000</v>
      </c>
      <c r="D632" s="1414">
        <f>C632*1.0962259996672</f>
        <v>4933016.9985023998</v>
      </c>
      <c r="E632" s="1414">
        <f>D632*1.09639407014138</f>
        <v>5408530.5850646598</v>
      </c>
    </row>
    <row r="633" spans="1:6" ht="21.9" hidden="1" customHeight="1" outlineLevel="1">
      <c r="A633" s="1393" t="s">
        <v>881</v>
      </c>
      <c r="B633" s="1414">
        <v>27966331.68</v>
      </c>
      <c r="C633" s="1414">
        <f>'Itemized Budget 2024-25'!L1537+'Itemized Budget 2024-25'!L1541+'Itemized Budget 2024-25'!L1546+'Itemized Budget 2024-25'!L1549+'Itemized Budget 2024-25'!L1554+'Itemized Budget 2024-25'!L1559+'Itemized Budget 2024-25'!L1562+'Itemized Budget 2024-25'!L1566+'Itemized Budget 2024-25'!L1568+'Itemized Budget 2024-25'!L1570+'Itemized Budget 2024-25'!L1572</f>
        <v>17005660.280000001</v>
      </c>
      <c r="D633" s="1414">
        <f>C633*1.0962259996672</f>
        <v>18642046.940443795</v>
      </c>
      <c r="E633" s="1414">
        <f>D633*1.09639407014138</f>
        <v>20439029.72079983</v>
      </c>
      <c r="F633" s="1403">
        <f>C631-'Itemized Budget 2024-25'!L1579</f>
        <v>0</v>
      </c>
    </row>
    <row r="634" spans="1:6" s="1366" customFormat="1" ht="21.9" hidden="1" customHeight="1" outlineLevel="1">
      <c r="A634" s="1393" t="s">
        <v>882</v>
      </c>
      <c r="B634" s="1414">
        <v>4597180</v>
      </c>
      <c r="C634" s="1414">
        <f>'Itemized Budget 2024-25'!L1574+'Itemized Budget 2024-25'!L1577</f>
        <v>3106000</v>
      </c>
      <c r="D634" s="1414">
        <f>C634*1.0962259996672</f>
        <v>3404877.954966323</v>
      </c>
      <c r="E634" s="1414">
        <f>D634*1.09639407014138</f>
        <v>3733087.9993801848</v>
      </c>
    </row>
    <row r="635" spans="1:6" ht="21.9" hidden="1" customHeight="1" outlineLevel="1">
      <c r="A635" s="1382" t="s">
        <v>883</v>
      </c>
      <c r="B635" s="1422">
        <v>67400000</v>
      </c>
      <c r="C635" s="1422">
        <f>SUM(C636:C637)</f>
        <v>55545041.264619008</v>
      </c>
      <c r="D635" s="1422">
        <f>SUM(D636:D637)</f>
        <v>60889918.386862844</v>
      </c>
      <c r="E635" s="1422">
        <f>SUM(E636:E637)</f>
        <v>66759345.450749002</v>
      </c>
    </row>
    <row r="636" spans="1:6" ht="21.9" hidden="1" customHeight="1" outlineLevel="1">
      <c r="A636" s="1393" t="s">
        <v>891</v>
      </c>
      <c r="B636" s="1414">
        <v>67400000</v>
      </c>
      <c r="C636" s="1414">
        <f>'Itemized Budget 2024-25'!L1582+'Itemized Budget 2024-25'!L1585</f>
        <v>55545041.264619008</v>
      </c>
      <c r="D636" s="1414">
        <f>C636*1.0962259996672</f>
        <v>60889918.386862844</v>
      </c>
      <c r="E636" s="1414">
        <f>D636*1.09639407014138</f>
        <v>66759345.450749002</v>
      </c>
    </row>
    <row r="637" spans="1:6" s="1366" customFormat="1" ht="21.9" hidden="1" customHeight="1" outlineLevel="1">
      <c r="A637" s="1393" t="s">
        <v>892</v>
      </c>
      <c r="B637" s="1414">
        <v>0</v>
      </c>
      <c r="C637" s="1414">
        <v>0</v>
      </c>
      <c r="D637" s="1414">
        <f>C637*1.0962259996672</f>
        <v>0</v>
      </c>
      <c r="E637" s="1414">
        <f>D637*1.09639407014138</f>
        <v>0</v>
      </c>
    </row>
    <row r="638" spans="1:6" ht="21.9" hidden="1" customHeight="1" outlineLevel="1">
      <c r="A638" s="1382" t="s">
        <v>893</v>
      </c>
      <c r="B638" s="1422">
        <v>103463511.68000001</v>
      </c>
      <c r="C638" s="1422">
        <f>C635+C631</f>
        <v>80156701.544619009</v>
      </c>
      <c r="D638" s="1422">
        <f>D635+D631</f>
        <v>87869860.280775368</v>
      </c>
      <c r="E638" s="1422">
        <f>E635+E631</f>
        <v>96339993.755993679</v>
      </c>
    </row>
    <row r="639" spans="1:6" ht="21.9" hidden="1" customHeight="1" outlineLevel="1">
      <c r="B639" s="1368"/>
      <c r="C639" s="1368"/>
      <c r="D639" s="1368"/>
      <c r="E639" s="1368"/>
    </row>
    <row r="640" spans="1:6" s="1366" customFormat="1" ht="21.9" hidden="1" customHeight="1" outlineLevel="1">
      <c r="A640" s="1363"/>
      <c r="B640" s="1368"/>
      <c r="C640" s="1368"/>
      <c r="D640" s="1368"/>
      <c r="E640" s="1368"/>
    </row>
    <row r="641" spans="1:5" s="1366" customFormat="1" ht="21.9" hidden="1" customHeight="1" outlineLevel="1">
      <c r="A641" s="1366" t="s">
        <v>932</v>
      </c>
      <c r="B641" s="1368"/>
      <c r="C641" s="1368"/>
      <c r="D641" s="1368"/>
      <c r="E641" s="1368"/>
    </row>
    <row r="642" spans="1:5" s="1366" customFormat="1" ht="21.9" hidden="1" customHeight="1" outlineLevel="1">
      <c r="A642" s="1363" t="s">
        <v>1687</v>
      </c>
      <c r="B642" s="1368"/>
      <c r="C642" s="1368"/>
      <c r="D642" s="1368"/>
      <c r="E642" s="1368"/>
    </row>
    <row r="643" spans="1:5" ht="21.9" hidden="1" customHeight="1" outlineLevel="1">
      <c r="B643" s="1368"/>
      <c r="C643" s="1368"/>
      <c r="D643" s="1368"/>
      <c r="E643" s="1368"/>
    </row>
    <row r="644" spans="1:5" s="1366" customFormat="1" ht="21.9" hidden="1" customHeight="1" outlineLevel="1">
      <c r="A644" s="1369" t="s">
        <v>878</v>
      </c>
      <c r="B644" s="1412" t="s">
        <v>1671</v>
      </c>
      <c r="C644" s="1412" t="s">
        <v>1680</v>
      </c>
      <c r="D644" s="1371" t="s">
        <v>859</v>
      </c>
      <c r="E644" s="1372"/>
    </row>
    <row r="645" spans="1:5" ht="21.9" hidden="1" customHeight="1" outlineLevel="1">
      <c r="A645" s="1373"/>
      <c r="B645" s="1374"/>
      <c r="C645" s="1374"/>
      <c r="D645" s="1413" t="s">
        <v>861</v>
      </c>
      <c r="E645" s="1413" t="s">
        <v>1672</v>
      </c>
    </row>
    <row r="646" spans="1:5" ht="21.9" hidden="1" customHeight="1" outlineLevel="1">
      <c r="A646" s="1382" t="s">
        <v>890</v>
      </c>
      <c r="B646" s="1422">
        <v>0</v>
      </c>
      <c r="C646" s="1422">
        <f>SUM(C647:C649)</f>
        <v>20996341.68</v>
      </c>
      <c r="D646" s="1422">
        <f>SUM(D647:D649)</f>
        <v>23016735.647512093</v>
      </c>
      <c r="E646" s="1422">
        <f>SUM(E647:E649)</f>
        <v>25235412.477943972</v>
      </c>
    </row>
    <row r="647" spans="1:5" s="1366" customFormat="1" ht="21.9" hidden="1" customHeight="1" outlineLevel="1">
      <c r="A647" s="1393" t="s">
        <v>880</v>
      </c>
      <c r="B647" s="1414"/>
      <c r="C647" s="1414"/>
      <c r="D647" s="1414">
        <f>C647*1.0962259996672</f>
        <v>0</v>
      </c>
      <c r="E647" s="1414">
        <f>D647*1.09639407014138</f>
        <v>0</v>
      </c>
    </row>
    <row r="648" spans="1:5" s="1366" customFormat="1" ht="21.9" hidden="1" customHeight="1" outlineLevel="1">
      <c r="A648" s="1393" t="s">
        <v>881</v>
      </c>
      <c r="B648" s="1414"/>
      <c r="C648" s="1414">
        <f>'Itemized Budget 2024-25'!L1596+'Itemized Budget 2024-25'!L1600</f>
        <v>18996341.68</v>
      </c>
      <c r="D648" s="1414">
        <f>C648*1.0962259996672</f>
        <v>20824283.648177695</v>
      </c>
      <c r="E648" s="1414">
        <f>D648*1.09639407014138</f>
        <v>22831621.106804125</v>
      </c>
    </row>
    <row r="649" spans="1:5" ht="21.9" hidden="1" customHeight="1" outlineLevel="1">
      <c r="A649" s="1393" t="s">
        <v>882</v>
      </c>
      <c r="B649" s="1414"/>
      <c r="C649" s="1414">
        <f>'Itemized Budget 2024-25'!L1602</f>
        <v>2000000</v>
      </c>
      <c r="D649" s="1414">
        <f>C649*1.0962259996672</f>
        <v>2192451.9993344001</v>
      </c>
      <c r="E649" s="1414">
        <f>D649*1.09639407014138</f>
        <v>2403791.3711398486</v>
      </c>
    </row>
    <row r="650" spans="1:5" ht="21.9" hidden="1" customHeight="1" outlineLevel="1">
      <c r="A650" s="1382" t="s">
        <v>883</v>
      </c>
      <c r="B650" s="1422">
        <v>2204000</v>
      </c>
      <c r="C650" s="1422">
        <f>SUM(C651:C652)</f>
        <v>1998000</v>
      </c>
      <c r="D650" s="1422">
        <f>SUM(D651:D652)</f>
        <v>2190259.5473350654</v>
      </c>
      <c r="E650" s="1422">
        <f>SUM(E651:E652)</f>
        <v>2401387.5797687089</v>
      </c>
    </row>
    <row r="651" spans="1:5" ht="21.9" hidden="1" customHeight="1" outlineLevel="1">
      <c r="A651" s="1393" t="s">
        <v>891</v>
      </c>
      <c r="B651" s="1414">
        <v>2204000</v>
      </c>
      <c r="C651" s="1414">
        <v>0</v>
      </c>
      <c r="D651" s="1414">
        <f>C651*1.0962259996672</f>
        <v>0</v>
      </c>
      <c r="E651" s="1414">
        <f>D651*1.09639407014138</f>
        <v>0</v>
      </c>
    </row>
    <row r="652" spans="1:5" ht="21.9" hidden="1" customHeight="1" outlineLevel="1">
      <c r="A652" s="1393" t="s">
        <v>892</v>
      </c>
      <c r="B652" s="1414"/>
      <c r="C652" s="1414">
        <f>'Itemized Budget 2024-25'!L1607</f>
        <v>1998000</v>
      </c>
      <c r="D652" s="1414">
        <f>C652*1.0962259996672</f>
        <v>2190259.5473350654</v>
      </c>
      <c r="E652" s="1414">
        <f>D652*1.09639407014138</f>
        <v>2401387.5797687089</v>
      </c>
    </row>
    <row r="653" spans="1:5" s="1366" customFormat="1" ht="21.9" hidden="1" customHeight="1" outlineLevel="1">
      <c r="A653" s="1382" t="s">
        <v>893</v>
      </c>
      <c r="B653" s="1422">
        <v>2204000</v>
      </c>
      <c r="C653" s="1422">
        <f>C650+C646</f>
        <v>22994341.68</v>
      </c>
      <c r="D653" s="1422">
        <f>D650+D646</f>
        <v>25206995.194847159</v>
      </c>
      <c r="E653" s="1422">
        <f>E650+E646</f>
        <v>27636800.057712682</v>
      </c>
    </row>
    <row r="654" spans="1:5" ht="21.9" customHeight="1" collapsed="1">
      <c r="A654" s="1407"/>
      <c r="B654" s="1368"/>
      <c r="C654" s="1368"/>
      <c r="D654" s="1368"/>
      <c r="E654" s="1368"/>
    </row>
    <row r="655" spans="1:5" ht="21.9" customHeight="1">
      <c r="A655" s="1366" t="s">
        <v>1253</v>
      </c>
      <c r="B655" s="1368"/>
      <c r="C655" s="1368"/>
      <c r="D655" s="1368"/>
      <c r="E655" s="1368"/>
    </row>
    <row r="656" spans="1:5" ht="21.9" hidden="1" customHeight="1" outlineLevel="1">
      <c r="A656" s="1408" t="s">
        <v>1750</v>
      </c>
      <c r="B656" s="1368"/>
      <c r="C656" s="1368"/>
      <c r="D656" s="1368"/>
      <c r="E656" s="1368"/>
    </row>
    <row r="657" spans="1:5" ht="21.9" hidden="1" customHeight="1" outlineLevel="1">
      <c r="A657" s="1369" t="s">
        <v>856</v>
      </c>
      <c r="B657" s="1412" t="s">
        <v>1671</v>
      </c>
      <c r="C657" s="1412" t="s">
        <v>1680</v>
      </c>
      <c r="D657" s="1371" t="s">
        <v>859</v>
      </c>
      <c r="E657" s="1372"/>
    </row>
    <row r="658" spans="1:5" ht="21.9" hidden="1" customHeight="1" outlineLevel="1">
      <c r="A658" s="1373"/>
      <c r="B658" s="1374"/>
      <c r="C658" s="1374"/>
      <c r="D658" s="1413" t="s">
        <v>861</v>
      </c>
      <c r="E658" s="1413" t="s">
        <v>1672</v>
      </c>
    </row>
    <row r="659" spans="1:5" ht="21.9" hidden="1" customHeight="1" outlineLevel="1">
      <c r="A659" s="1376" t="s">
        <v>933</v>
      </c>
      <c r="B659" s="1414">
        <v>129062997</v>
      </c>
      <c r="C659" s="1414">
        <f>C694</f>
        <v>161765041</v>
      </c>
      <c r="D659" s="1414">
        <f>D694</f>
        <v>177331043.78143057</v>
      </c>
      <c r="E659" s="1414">
        <f>E694</f>
        <v>194424704.85394192</v>
      </c>
    </row>
    <row r="660" spans="1:5" ht="21.9" hidden="1" customHeight="1" outlineLevel="1">
      <c r="A660" s="1378" t="s">
        <v>934</v>
      </c>
      <c r="B660" s="1422">
        <v>129062997</v>
      </c>
      <c r="C660" s="1422">
        <f>C659</f>
        <v>161765041</v>
      </c>
      <c r="D660" s="1422">
        <f>D659</f>
        <v>177331043.78143057</v>
      </c>
      <c r="E660" s="1422">
        <f>E659</f>
        <v>194424704.85394192</v>
      </c>
    </row>
    <row r="661" spans="1:5" ht="21.9" hidden="1" customHeight="1" outlineLevel="1">
      <c r="A661" s="1376" t="s">
        <v>935</v>
      </c>
      <c r="B661" s="1414">
        <v>37955290</v>
      </c>
      <c r="C661" s="1414">
        <f>C708</f>
        <v>15404350</v>
      </c>
      <c r="D661" s="1414">
        <f>D708</f>
        <v>16886648.977973431</v>
      </c>
      <c r="E661" s="1414">
        <f>E708</f>
        <v>18514421.804009065</v>
      </c>
    </row>
    <row r="662" spans="1:5" ht="21.9" hidden="1" customHeight="1" outlineLevel="1">
      <c r="A662" s="1378" t="s">
        <v>936</v>
      </c>
      <c r="B662" s="1427">
        <v>37955290</v>
      </c>
      <c r="C662" s="1427">
        <f>C661</f>
        <v>15404350</v>
      </c>
      <c r="D662" s="1427">
        <f>D661</f>
        <v>16886648.977973431</v>
      </c>
      <c r="E662" s="1427">
        <f>E661</f>
        <v>18514421.804009065</v>
      </c>
    </row>
    <row r="663" spans="1:5" ht="21.9" hidden="1" customHeight="1" outlineLevel="1">
      <c r="A663" s="1376" t="s">
        <v>937</v>
      </c>
      <c r="B663" s="1414">
        <v>371681070</v>
      </c>
      <c r="C663" s="1414">
        <f>C721</f>
        <v>199394262.95480514</v>
      </c>
      <c r="D663" s="1414">
        <f>D721</f>
        <v>218581175.23553577</v>
      </c>
      <c r="E663" s="1414">
        <f>E721</f>
        <v>239651104.37277529</v>
      </c>
    </row>
    <row r="664" spans="1:5" ht="21.9" hidden="1" customHeight="1" outlineLevel="1">
      <c r="A664" s="1376" t="s">
        <v>938</v>
      </c>
      <c r="B664" s="1414">
        <v>160894160</v>
      </c>
      <c r="C664" s="1414">
        <f>C734</f>
        <v>123666710.61915576</v>
      </c>
      <c r="D664" s="1414">
        <f>D734</f>
        <v>135566663.47403836</v>
      </c>
      <c r="E664" s="1414">
        <f>E734</f>
        <v>148634485.94178766</v>
      </c>
    </row>
    <row r="665" spans="1:5" ht="21.9" hidden="1" customHeight="1" outlineLevel="1">
      <c r="A665" s="1378" t="s">
        <v>939</v>
      </c>
      <c r="B665" s="1422">
        <v>532575230</v>
      </c>
      <c r="C665" s="1422">
        <f>SUM(C663:C664)</f>
        <v>323060973.5739609</v>
      </c>
      <c r="D665" s="1422">
        <f>SUM(D663:D664)</f>
        <v>354147838.7095741</v>
      </c>
      <c r="E665" s="1422">
        <f>SUM(E663:E664)</f>
        <v>388285590.31456292</v>
      </c>
    </row>
    <row r="666" spans="1:5" ht="21.9" hidden="1" customHeight="1" outlineLevel="1">
      <c r="A666" s="1382" t="s">
        <v>876</v>
      </c>
      <c r="B666" s="1422">
        <v>699593517</v>
      </c>
      <c r="C666" s="1422">
        <f>SUM(C665,C662,C660)</f>
        <v>500230364.5739609</v>
      </c>
      <c r="D666" s="1422">
        <f>SUM(D665,D662,D660)</f>
        <v>548365531.46897817</v>
      </c>
      <c r="E666" s="1422">
        <f>SUM(E665,E662,E660)</f>
        <v>601224716.97251391</v>
      </c>
    </row>
    <row r="667" spans="1:5" ht="21.9" hidden="1" customHeight="1" outlineLevel="1">
      <c r="A667" s="1407"/>
      <c r="B667" s="1368"/>
      <c r="C667" s="1368"/>
      <c r="D667" s="1368"/>
      <c r="E667" s="1368"/>
    </row>
    <row r="668" spans="1:5" ht="21.9" hidden="1" customHeight="1" outlineLevel="1">
      <c r="A668" s="1407"/>
      <c r="B668" s="1368"/>
      <c r="C668" s="1368"/>
      <c r="D668" s="1368"/>
      <c r="E668" s="1368"/>
    </row>
    <row r="669" spans="1:5" ht="21.9" hidden="1" customHeight="1" outlineLevel="1">
      <c r="A669" s="1366" t="s">
        <v>903</v>
      </c>
      <c r="B669" s="1419"/>
      <c r="C669" s="1419"/>
      <c r="D669" s="1419"/>
      <c r="E669" s="1419"/>
    </row>
    <row r="670" spans="1:5" ht="21.9" hidden="1" customHeight="1" outlineLevel="1">
      <c r="A670" s="1369" t="s">
        <v>878</v>
      </c>
      <c r="B670" s="1370" t="s">
        <v>1671</v>
      </c>
      <c r="C670" s="1370" t="s">
        <v>1680</v>
      </c>
      <c r="D670" s="1371" t="s">
        <v>859</v>
      </c>
      <c r="E670" s="1372"/>
    </row>
    <row r="671" spans="1:5" ht="21.9" hidden="1" customHeight="1" outlineLevel="1">
      <c r="A671" s="1373"/>
      <c r="B671" s="1374"/>
      <c r="C671" s="1374"/>
      <c r="D671" s="1375" t="s">
        <v>861</v>
      </c>
      <c r="E671" s="1375" t="s">
        <v>1672</v>
      </c>
    </row>
    <row r="672" spans="1:5" ht="21.9" hidden="1" customHeight="1" outlineLevel="1">
      <c r="A672" s="1428" t="s">
        <v>890</v>
      </c>
      <c r="B672" s="1422">
        <v>194720047</v>
      </c>
      <c r="C672" s="1422">
        <f>SUM(C673:C675)</f>
        <v>214260323</v>
      </c>
      <c r="D672" s="1422">
        <f>SUM(D673:D675)</f>
        <v>234877736.76969215</v>
      </c>
      <c r="E672" s="1422">
        <f>SUM(E673:E675)</f>
        <v>257518557.8025184</v>
      </c>
    </row>
    <row r="673" spans="1:6" ht="21.9" hidden="1" customHeight="1" outlineLevel="1">
      <c r="A673" s="1429" t="s">
        <v>880</v>
      </c>
      <c r="B673" s="1429">
        <v>100303247</v>
      </c>
      <c r="C673" s="1429">
        <f>C688+C702+C715+C728</f>
        <v>155338312</v>
      </c>
      <c r="D673" s="1429">
        <f>D702+D688+D715+D728</f>
        <v>170285896.3588154</v>
      </c>
      <c r="E673" s="1429">
        <f>E702+E688+E715+E728</f>
        <v>186700446.9965148</v>
      </c>
    </row>
    <row r="674" spans="1:6" ht="21.9" hidden="1" customHeight="1" outlineLevel="1">
      <c r="A674" s="1429" t="s">
        <v>881</v>
      </c>
      <c r="B674" s="1429">
        <v>63752200</v>
      </c>
      <c r="C674" s="1429">
        <f t="shared" ref="C674:C675" si="24">C689+C703+C716+C729</f>
        <v>55175571</v>
      </c>
      <c r="D674" s="1429">
        <f t="shared" ref="D674:E675" si="25">D703+D689+D716+D729</f>
        <v>60484895.476683564</v>
      </c>
      <c r="E674" s="1429">
        <f t="shared" si="25"/>
        <v>66315280.733757034</v>
      </c>
    </row>
    <row r="675" spans="1:6" ht="21.9" hidden="1" customHeight="1" outlineLevel="1">
      <c r="A675" s="1429" t="s">
        <v>882</v>
      </c>
      <c r="B675" s="1429">
        <v>30664600</v>
      </c>
      <c r="C675" s="1429">
        <f t="shared" si="24"/>
        <v>3746440</v>
      </c>
      <c r="D675" s="1429">
        <f t="shared" si="25"/>
        <v>4106944.9341931846</v>
      </c>
      <c r="E675" s="1429">
        <f t="shared" si="25"/>
        <v>4502830.0722465878</v>
      </c>
    </row>
    <row r="676" spans="1:6" ht="21.9" hidden="1" customHeight="1" outlineLevel="1">
      <c r="A676" s="1428" t="s">
        <v>883</v>
      </c>
      <c r="B676" s="1422">
        <v>504873470</v>
      </c>
      <c r="C676" s="1422">
        <f>C677+C678</f>
        <v>285970041.5739609</v>
      </c>
      <c r="D676" s="1422">
        <f>D677+D678</f>
        <v>313487794.69928598</v>
      </c>
      <c r="E676" s="1422">
        <f>E677+E678</f>
        <v>343706159.16999549</v>
      </c>
    </row>
    <row r="677" spans="1:6" ht="21.9" hidden="1" customHeight="1" outlineLevel="1">
      <c r="A677" s="1429" t="s">
        <v>884</v>
      </c>
      <c r="B677" s="1414">
        <v>504873470</v>
      </c>
      <c r="C677" s="1429">
        <f>C692+C706+C719+C732</f>
        <v>285970041.5739609</v>
      </c>
      <c r="D677" s="1429">
        <f t="shared" ref="D677:E678" si="26">D706+D692+D719+D732</f>
        <v>313487794.69928598</v>
      </c>
      <c r="E677" s="1429">
        <f t="shared" si="26"/>
        <v>343706159.16999549</v>
      </c>
    </row>
    <row r="678" spans="1:6" ht="21.9" hidden="1" customHeight="1" outlineLevel="1">
      <c r="A678" s="1429" t="s">
        <v>885</v>
      </c>
      <c r="B678" s="1414">
        <v>0</v>
      </c>
      <c r="C678" s="1429">
        <f>C693+C707+C720+C733</f>
        <v>0</v>
      </c>
      <c r="D678" s="1429">
        <f t="shared" si="26"/>
        <v>0</v>
      </c>
      <c r="E678" s="1429">
        <f t="shared" si="26"/>
        <v>0</v>
      </c>
    </row>
    <row r="679" spans="1:6" ht="21.9" hidden="1" customHeight="1" outlineLevel="1">
      <c r="A679" s="1428" t="s">
        <v>886</v>
      </c>
      <c r="B679" s="1422">
        <v>699593517</v>
      </c>
      <c r="C679" s="1422">
        <f>C676+C672</f>
        <v>500230364.5739609</v>
      </c>
      <c r="D679" s="1422">
        <f>D676+D672</f>
        <v>548365531.46897817</v>
      </c>
      <c r="E679" s="1422">
        <f>E676+E672</f>
        <v>601224716.97251391</v>
      </c>
      <c r="F679" s="1421"/>
    </row>
    <row r="680" spans="1:6" ht="21.9" hidden="1" customHeight="1" outlineLevel="1">
      <c r="A680" s="1407"/>
      <c r="B680" s="1368"/>
      <c r="C680" s="1368"/>
      <c r="D680" s="1368"/>
      <c r="E680" s="1368"/>
    </row>
    <row r="681" spans="1:6" ht="21.9" hidden="1" customHeight="1" outlineLevel="1">
      <c r="A681" s="1366" t="s">
        <v>887</v>
      </c>
      <c r="B681" s="1419"/>
      <c r="C681" s="1419"/>
      <c r="D681" s="1419"/>
      <c r="E681" s="1419"/>
    </row>
    <row r="682" spans="1:6" ht="21.9" hidden="1" customHeight="1" outlineLevel="1">
      <c r="A682" s="1366"/>
      <c r="B682" s="1419"/>
      <c r="C682" s="1419"/>
      <c r="D682" s="1419"/>
      <c r="E682" s="1419"/>
    </row>
    <row r="683" spans="1:6" ht="21.9" hidden="1" customHeight="1" outlineLevel="1">
      <c r="A683" s="1366" t="s">
        <v>940</v>
      </c>
      <c r="B683" s="1419"/>
      <c r="C683" s="1419"/>
      <c r="D683" s="1419"/>
      <c r="E683" s="1419"/>
    </row>
    <row r="684" spans="1:6" ht="21.9" hidden="1" customHeight="1" outlineLevel="1">
      <c r="A684" s="1366" t="s">
        <v>941</v>
      </c>
      <c r="B684" s="1419"/>
      <c r="C684" s="1419"/>
      <c r="D684" s="1419"/>
      <c r="E684" s="1419"/>
    </row>
    <row r="685" spans="1:6" ht="21.9" hidden="1" customHeight="1" outlineLevel="1">
      <c r="A685" s="1369" t="s">
        <v>878</v>
      </c>
      <c r="B685" s="1412" t="s">
        <v>1671</v>
      </c>
      <c r="C685" s="1412" t="s">
        <v>1680</v>
      </c>
      <c r="D685" s="1371" t="s">
        <v>859</v>
      </c>
      <c r="E685" s="1372"/>
    </row>
    <row r="686" spans="1:6" ht="21.9" hidden="1" customHeight="1" outlineLevel="1">
      <c r="A686" s="1373"/>
      <c r="B686" s="1374"/>
      <c r="C686" s="1374"/>
      <c r="D686" s="1413" t="s">
        <v>861</v>
      </c>
      <c r="E686" s="1413" t="s">
        <v>1672</v>
      </c>
    </row>
    <row r="687" spans="1:6" ht="21.9" hidden="1" customHeight="1" outlineLevel="1">
      <c r="A687" s="1382" t="s">
        <v>890</v>
      </c>
      <c r="B687" s="1422">
        <v>129062997</v>
      </c>
      <c r="C687" s="1422">
        <f>SUM(C688:C690)</f>
        <v>161765041</v>
      </c>
      <c r="D687" s="1422">
        <f>SUM(D688:D690)</f>
        <v>177331043.78143057</v>
      </c>
      <c r="E687" s="1422">
        <f>SUM(E688:E690)</f>
        <v>194424704.85394192</v>
      </c>
    </row>
    <row r="688" spans="1:6" ht="21.9" hidden="1" customHeight="1" outlineLevel="1">
      <c r="A688" s="1393" t="s">
        <v>880</v>
      </c>
      <c r="B688" s="1414">
        <v>100303247</v>
      </c>
      <c r="C688" s="1414">
        <f>'Itemized Budget 2024-25'!L1618</f>
        <v>155338312</v>
      </c>
      <c r="D688" s="1414">
        <f>C688*1.0962259996672</f>
        <v>170285896.3588154</v>
      </c>
      <c r="E688" s="1414">
        <f>D688*1.09639407014138</f>
        <v>186700446.9965148</v>
      </c>
    </row>
    <row r="689" spans="1:5" ht="21.9" hidden="1" customHeight="1" outlineLevel="1">
      <c r="A689" s="1393" t="s">
        <v>881</v>
      </c>
      <c r="B689" s="1414">
        <v>27338750</v>
      </c>
      <c r="C689" s="1414">
        <f>'Itemized Budget 2024-25'!L1654-'Itemized Budget 2024-25'!L1650-'Itemized Budget 2024-25'!L1618</f>
        <v>6027000</v>
      </c>
      <c r="D689" s="1414">
        <f>C689*1.0962259996672</f>
        <v>6606954.0999942143</v>
      </c>
      <c r="E689" s="1414">
        <f>D689*1.09639407014138</f>
        <v>7243825.2969299341</v>
      </c>
    </row>
    <row r="690" spans="1:5" ht="21.9" hidden="1" customHeight="1" outlineLevel="1">
      <c r="A690" s="1393" t="s">
        <v>942</v>
      </c>
      <c r="B690" s="1414">
        <v>1421000</v>
      </c>
      <c r="C690" s="1414">
        <f>'Itemized Budget 2024-25'!L1650</f>
        <v>399729</v>
      </c>
      <c r="D690" s="1414">
        <f>C690*1.0962259996672</f>
        <v>438193.32262097014</v>
      </c>
      <c r="E690" s="1414">
        <f>D690*1.09639407014138</f>
        <v>480432.56049718027</v>
      </c>
    </row>
    <row r="691" spans="1:5" ht="21.9" hidden="1" customHeight="1" outlineLevel="1">
      <c r="A691" s="1382" t="s">
        <v>883</v>
      </c>
      <c r="B691" s="1422">
        <v>0</v>
      </c>
      <c r="C691" s="1422">
        <f>SUM(C692:C693)</f>
        <v>0</v>
      </c>
      <c r="D691" s="1422">
        <f>SUM(D692:D693)</f>
        <v>0</v>
      </c>
      <c r="E691" s="1422">
        <f>SUM(E692:E693)</f>
        <v>0</v>
      </c>
    </row>
    <row r="692" spans="1:5" ht="21.9" hidden="1" customHeight="1" outlineLevel="1">
      <c r="A692" s="1393" t="s">
        <v>891</v>
      </c>
      <c r="B692" s="1414">
        <v>0</v>
      </c>
      <c r="C692" s="1414">
        <v>0</v>
      </c>
      <c r="D692" s="1414">
        <f>C692*1.0962259996672</f>
        <v>0</v>
      </c>
      <c r="E692" s="1414">
        <f>D692*1.09639407014138</f>
        <v>0</v>
      </c>
    </row>
    <row r="693" spans="1:5" ht="21.9" hidden="1" customHeight="1" outlineLevel="1">
      <c r="A693" s="1393" t="s">
        <v>892</v>
      </c>
      <c r="B693" s="1414">
        <v>0</v>
      </c>
      <c r="C693" s="1414">
        <v>0</v>
      </c>
      <c r="D693" s="1414">
        <f>C693*1.0962259996672</f>
        <v>0</v>
      </c>
      <c r="E693" s="1414">
        <f>D693*1.09639407014138</f>
        <v>0</v>
      </c>
    </row>
    <row r="694" spans="1:5" ht="21.9" hidden="1" customHeight="1" outlineLevel="1">
      <c r="A694" s="1382" t="s">
        <v>893</v>
      </c>
      <c r="B694" s="1422">
        <v>129062997</v>
      </c>
      <c r="C694" s="1422">
        <f>SUM(C691,C687)</f>
        <v>161765041</v>
      </c>
      <c r="D694" s="1422">
        <f>SUM(D691,D687)</f>
        <v>177331043.78143057</v>
      </c>
      <c r="E694" s="1422">
        <f>SUM(E691,E687)</f>
        <v>194424704.85394192</v>
      </c>
    </row>
    <row r="695" spans="1:5" ht="21.9" hidden="1" customHeight="1" outlineLevel="1">
      <c r="A695" s="1366"/>
      <c r="B695" s="1419"/>
      <c r="C695" s="1419"/>
      <c r="D695" s="1419"/>
      <c r="E695" s="1419"/>
    </row>
    <row r="696" spans="1:5" ht="21.9" hidden="1" customHeight="1" outlineLevel="1">
      <c r="A696" s="1366"/>
      <c r="B696" s="1419"/>
      <c r="C696" s="1419"/>
      <c r="D696" s="1419"/>
      <c r="E696" s="1419"/>
    </row>
    <row r="697" spans="1:5" ht="21.9" hidden="1" customHeight="1" outlineLevel="1">
      <c r="A697" s="1366" t="s">
        <v>943</v>
      </c>
      <c r="B697" s="1419"/>
      <c r="C697" s="1419"/>
      <c r="D697" s="1419"/>
      <c r="E697" s="1419"/>
    </row>
    <row r="698" spans="1:5" ht="21.9" hidden="1" customHeight="1" outlineLevel="1">
      <c r="A698" s="1366" t="s">
        <v>944</v>
      </c>
      <c r="B698" s="1419"/>
      <c r="C698" s="1419"/>
      <c r="D698" s="1419"/>
      <c r="E698" s="1419"/>
    </row>
    <row r="699" spans="1:5" ht="21.9" hidden="1" customHeight="1" outlineLevel="1">
      <c r="A699" s="1369" t="s">
        <v>878</v>
      </c>
      <c r="B699" s="1412" t="s">
        <v>1671</v>
      </c>
      <c r="C699" s="1412" t="s">
        <v>1680</v>
      </c>
      <c r="D699" s="1371" t="s">
        <v>859</v>
      </c>
      <c r="E699" s="1372"/>
    </row>
    <row r="700" spans="1:5" ht="21.9" hidden="1" customHeight="1" outlineLevel="1">
      <c r="A700" s="1373"/>
      <c r="B700" s="1374"/>
      <c r="C700" s="1374"/>
      <c r="D700" s="1413" t="s">
        <v>861</v>
      </c>
      <c r="E700" s="1413" t="s">
        <v>1672</v>
      </c>
    </row>
    <row r="701" spans="1:5" s="1366" customFormat="1" ht="21.9" hidden="1" customHeight="1" outlineLevel="1">
      <c r="A701" s="1428" t="s">
        <v>890</v>
      </c>
      <c r="B701" s="1422">
        <v>29955290</v>
      </c>
      <c r="C701" s="1422">
        <f>SUM(C702:C704)</f>
        <v>6024350</v>
      </c>
      <c r="D701" s="1422">
        <f>SUM(D702:D704)</f>
        <v>6604049.1010950962</v>
      </c>
      <c r="E701" s="1422">
        <f>SUM(E702:E704)</f>
        <v>7240640.273363173</v>
      </c>
    </row>
    <row r="702" spans="1:5" s="1366" customFormat="1" ht="21.9" hidden="1" customHeight="1" outlineLevel="1">
      <c r="A702" s="1429" t="s">
        <v>880</v>
      </c>
      <c r="B702" s="1414">
        <v>0</v>
      </c>
      <c r="C702" s="1414">
        <f>'Itemized Budget 2024-25'!L1658</f>
        <v>0</v>
      </c>
      <c r="D702" s="1414">
        <f>C702*1.0962259996672</f>
        <v>0</v>
      </c>
      <c r="E702" s="1414">
        <f>D702*1.09639407014138</f>
        <v>0</v>
      </c>
    </row>
    <row r="703" spans="1:5" ht="21.9" hidden="1" customHeight="1" outlineLevel="1">
      <c r="A703" s="1429" t="s">
        <v>881</v>
      </c>
      <c r="B703" s="1414">
        <v>2001690</v>
      </c>
      <c r="C703" s="1414">
        <f>'Itemized Budget 2024-25'!L1694-'Itemized Budget 2024-25'!L1691-'Itemized Budget 2024-25'!L1688</f>
        <v>5051350</v>
      </c>
      <c r="D703" s="1414">
        <f>C703*1.0962259996672</f>
        <v>5537421.2034189105</v>
      </c>
      <c r="E703" s="1414">
        <f>D703*1.09639407014138</f>
        <v>6071195.771303637</v>
      </c>
    </row>
    <row r="704" spans="1:5" ht="21.9" hidden="1" customHeight="1" outlineLevel="1">
      <c r="A704" s="1393" t="s">
        <v>882</v>
      </c>
      <c r="B704" s="1414">
        <v>27953600</v>
      </c>
      <c r="C704" s="1414">
        <f>'Itemized Budget 2024-25'!L1691+'Itemized Budget 2024-25'!L1688</f>
        <v>973000</v>
      </c>
      <c r="D704" s="1414">
        <f>C704*1.0962259996672</f>
        <v>1066627.8976761855</v>
      </c>
      <c r="E704" s="1414">
        <f>D704*1.09639407014138</f>
        <v>1169444.5020595363</v>
      </c>
    </row>
    <row r="705" spans="1:5" ht="21.9" hidden="1" customHeight="1" outlineLevel="1">
      <c r="A705" s="1382" t="s">
        <v>883</v>
      </c>
      <c r="B705" s="1422">
        <v>8000000</v>
      </c>
      <c r="C705" s="1422">
        <f>SUM(C706:C707)</f>
        <v>9380000</v>
      </c>
      <c r="D705" s="1422">
        <f>SUM(D706:D707)</f>
        <v>10282599.876878336</v>
      </c>
      <c r="E705" s="1422">
        <f>SUM(E706:E707)</f>
        <v>11273781.53064589</v>
      </c>
    </row>
    <row r="706" spans="1:5" ht="21.9" hidden="1" customHeight="1" outlineLevel="1">
      <c r="A706" s="1393" t="s">
        <v>891</v>
      </c>
      <c r="B706" s="1414">
        <v>8000000</v>
      </c>
      <c r="C706" s="1414">
        <f>'Itemized Budget 2024-25'!L1704</f>
        <v>9380000</v>
      </c>
      <c r="D706" s="1414">
        <f>C706*1.0962259996672</f>
        <v>10282599.876878336</v>
      </c>
      <c r="E706" s="1414">
        <f>D706*1.09639407014138</f>
        <v>11273781.53064589</v>
      </c>
    </row>
    <row r="707" spans="1:5" ht="21.9" hidden="1" customHeight="1" outlineLevel="1">
      <c r="A707" s="1393" t="s">
        <v>892</v>
      </c>
      <c r="B707" s="1414"/>
      <c r="C707" s="1414"/>
      <c r="D707" s="1414">
        <f>C707*1.0962259996672</f>
        <v>0</v>
      </c>
      <c r="E707" s="1414">
        <f>D707*1.09639407014138</f>
        <v>0</v>
      </c>
    </row>
    <row r="708" spans="1:5" ht="21.9" hidden="1" customHeight="1" outlineLevel="1">
      <c r="A708" s="1382" t="s">
        <v>893</v>
      </c>
      <c r="B708" s="1422">
        <v>37955290</v>
      </c>
      <c r="C708" s="1422">
        <f>SUM(C705,C701)</f>
        <v>15404350</v>
      </c>
      <c r="D708" s="1422">
        <f>SUM(D705,D701)</f>
        <v>16886648.977973431</v>
      </c>
      <c r="E708" s="1422">
        <f>SUM(E705,E701)</f>
        <v>18514421.804009065</v>
      </c>
    </row>
    <row r="709" spans="1:5" ht="21.9" hidden="1" customHeight="1" outlineLevel="1">
      <c r="A709" s="1366"/>
      <c r="B709" s="1419"/>
      <c r="C709" s="1419"/>
      <c r="D709" s="1419"/>
      <c r="E709" s="1419"/>
    </row>
    <row r="710" spans="1:5" ht="21.9" hidden="1" customHeight="1" outlineLevel="1">
      <c r="A710" s="1366" t="s">
        <v>945</v>
      </c>
      <c r="B710" s="1419"/>
      <c r="C710" s="1419"/>
      <c r="D710" s="1419"/>
      <c r="E710" s="1419"/>
    </row>
    <row r="711" spans="1:5" ht="21.9" hidden="1" customHeight="1" outlineLevel="1">
      <c r="A711" s="1366" t="s">
        <v>946</v>
      </c>
      <c r="B711" s="1419"/>
      <c r="C711" s="1419"/>
      <c r="D711" s="1419"/>
      <c r="E711" s="1419"/>
    </row>
    <row r="712" spans="1:5" ht="21.9" hidden="1" customHeight="1" outlineLevel="1">
      <c r="A712" s="1369" t="s">
        <v>878</v>
      </c>
      <c r="B712" s="1412" t="s">
        <v>1671</v>
      </c>
      <c r="C712" s="1412" t="s">
        <v>1680</v>
      </c>
      <c r="D712" s="1371" t="s">
        <v>859</v>
      </c>
      <c r="E712" s="1372"/>
    </row>
    <row r="713" spans="1:5" ht="21.9" hidden="1" customHeight="1" outlineLevel="1">
      <c r="A713" s="1373"/>
      <c r="B713" s="1374"/>
      <c r="C713" s="1374"/>
      <c r="D713" s="1413" t="s">
        <v>861</v>
      </c>
      <c r="E713" s="1413" t="s">
        <v>1672</v>
      </c>
    </row>
    <row r="714" spans="1:5" ht="21.9" hidden="1" customHeight="1" outlineLevel="1">
      <c r="A714" s="1382" t="s">
        <v>890</v>
      </c>
      <c r="B714" s="1422">
        <v>4274000</v>
      </c>
      <c r="C714" s="1422">
        <f>SUM(C715:C717)</f>
        <v>5742800</v>
      </c>
      <c r="D714" s="1422">
        <f>SUM(D715:D717)</f>
        <v>6295406.6708887955</v>
      </c>
      <c r="E714" s="1422">
        <f>SUM(E715:E717)</f>
        <v>6902246.5430909619</v>
      </c>
    </row>
    <row r="715" spans="1:5" ht="21.9" hidden="1" customHeight="1" outlineLevel="1">
      <c r="A715" s="1393" t="s">
        <v>880</v>
      </c>
      <c r="B715" s="1414">
        <v>0</v>
      </c>
      <c r="C715" s="1414">
        <f>'Itemized Budget 2024-25'!L1709</f>
        <v>0</v>
      </c>
      <c r="D715" s="1414">
        <f>C715*1.0962259996672</f>
        <v>0</v>
      </c>
      <c r="E715" s="1414">
        <f>D715*1.09639407014138</f>
        <v>0</v>
      </c>
    </row>
    <row r="716" spans="1:5" ht="21.9" hidden="1" customHeight="1" outlineLevel="1">
      <c r="A716" s="1393" t="s">
        <v>881</v>
      </c>
      <c r="B716" s="1414">
        <v>2984000</v>
      </c>
      <c r="C716" s="1414">
        <f>'Itemized Budget 2024-25'!L1749-'Itemized Budget 2024-25'!L1746-'Itemized Budget 2024-25'!L1743</f>
        <v>4159800</v>
      </c>
      <c r="D716" s="1414">
        <f>C716*1.0962259996672</f>
        <v>4560080.9134156182</v>
      </c>
      <c r="E716" s="1414">
        <f>D716*1.09639407014138</f>
        <v>4999645.6728337714</v>
      </c>
    </row>
    <row r="717" spans="1:5" ht="21.9" hidden="1" customHeight="1" outlineLevel="1">
      <c r="A717" s="1393" t="s">
        <v>882</v>
      </c>
      <c r="B717" s="1414">
        <v>1290000</v>
      </c>
      <c r="C717" s="1414">
        <f>'Itemized Budget 2024-25'!L1746+'Itemized Budget 2024-25'!L1743</f>
        <v>1583000</v>
      </c>
      <c r="D717" s="1414">
        <f>C717*1.0962259996672</f>
        <v>1735325.7574731775</v>
      </c>
      <c r="E717" s="1414">
        <f>D717*1.09639407014138</f>
        <v>1902600.8702571902</v>
      </c>
    </row>
    <row r="718" spans="1:5" ht="21.9" hidden="1" customHeight="1" outlineLevel="1">
      <c r="A718" s="1382" t="s">
        <v>883</v>
      </c>
      <c r="B718" s="1422">
        <v>367407070</v>
      </c>
      <c r="C718" s="1422">
        <f>SUM(C719:C720)</f>
        <v>193651462.95480514</v>
      </c>
      <c r="D718" s="1422">
        <f>SUM(D719:D720)</f>
        <v>212285768.56464699</v>
      </c>
      <c r="E718" s="1422">
        <f>SUM(E719:E720)</f>
        <v>232748857.82968432</v>
      </c>
    </row>
    <row r="719" spans="1:5" ht="21.9" hidden="1" customHeight="1" outlineLevel="1">
      <c r="A719" s="1393" t="s">
        <v>891</v>
      </c>
      <c r="B719" s="1414">
        <v>367407070</v>
      </c>
      <c r="C719" s="1414">
        <f>'Itemized Budget 2024-25'!L1762</f>
        <v>193651462.95480514</v>
      </c>
      <c r="D719" s="1414">
        <f>C719*1.0962259996672</f>
        <v>212285768.56464699</v>
      </c>
      <c r="E719" s="1414">
        <f>D719*1.09639407014138</f>
        <v>232748857.82968432</v>
      </c>
    </row>
    <row r="720" spans="1:5" ht="21.9" hidden="1" customHeight="1" outlineLevel="1">
      <c r="A720" s="1393" t="s">
        <v>892</v>
      </c>
      <c r="B720" s="1414"/>
      <c r="C720" s="1414"/>
      <c r="D720" s="1414">
        <f>C720*1.0962259996672</f>
        <v>0</v>
      </c>
      <c r="E720" s="1414">
        <f>D720*1.09639407014138</f>
        <v>0</v>
      </c>
    </row>
    <row r="721" spans="1:5" ht="21.9" hidden="1" customHeight="1" outlineLevel="1">
      <c r="A721" s="1382" t="s">
        <v>893</v>
      </c>
      <c r="B721" s="1422">
        <v>371681070</v>
      </c>
      <c r="C721" s="1422">
        <f>SUM(C718,C714)</f>
        <v>199394262.95480514</v>
      </c>
      <c r="D721" s="1422">
        <f>SUM(D718,D714)</f>
        <v>218581175.23553577</v>
      </c>
      <c r="E721" s="1422">
        <f>SUM(E718,E714)</f>
        <v>239651104.37277529</v>
      </c>
    </row>
    <row r="722" spans="1:5" ht="21.9" hidden="1" customHeight="1" outlineLevel="1">
      <c r="A722" s="1366"/>
      <c r="B722" s="1419"/>
      <c r="C722" s="1419"/>
      <c r="D722" s="1419"/>
      <c r="E722" s="1419"/>
    </row>
    <row r="723" spans="1:5" ht="21.9" hidden="1" customHeight="1" outlineLevel="1">
      <c r="A723" s="1408" t="s">
        <v>1755</v>
      </c>
      <c r="B723" s="1419"/>
      <c r="C723" s="1419"/>
      <c r="D723" s="1419"/>
      <c r="E723" s="1419"/>
    </row>
    <row r="724" spans="1:5" ht="21.9" hidden="1" customHeight="1" outlineLevel="1">
      <c r="A724" s="1366" t="s">
        <v>947</v>
      </c>
      <c r="B724" s="1419"/>
      <c r="C724" s="1419"/>
      <c r="D724" s="1419"/>
      <c r="E724" s="1419"/>
    </row>
    <row r="725" spans="1:5" ht="21.9" hidden="1" customHeight="1" outlineLevel="1">
      <c r="A725" s="1369" t="s">
        <v>878</v>
      </c>
      <c r="B725" s="1412" t="s">
        <v>1671</v>
      </c>
      <c r="C725" s="1412" t="s">
        <v>1680</v>
      </c>
      <c r="D725" s="1371" t="s">
        <v>859</v>
      </c>
      <c r="E725" s="1372"/>
    </row>
    <row r="726" spans="1:5" ht="21.9" hidden="1" customHeight="1" outlineLevel="1">
      <c r="A726" s="1373"/>
      <c r="B726" s="1374"/>
      <c r="C726" s="1374"/>
      <c r="D726" s="1413" t="s">
        <v>861</v>
      </c>
      <c r="E726" s="1413" t="s">
        <v>1672</v>
      </c>
    </row>
    <row r="727" spans="1:5" ht="21.9" hidden="1" customHeight="1" outlineLevel="1">
      <c r="A727" s="1382" t="s">
        <v>890</v>
      </c>
      <c r="B727" s="1422">
        <v>31427760</v>
      </c>
      <c r="C727" s="1422">
        <f>SUM(C728:C730)</f>
        <v>40728132</v>
      </c>
      <c r="D727" s="1422">
        <f>SUM(D728:D730)</f>
        <v>44647237.216277674</v>
      </c>
      <c r="E727" s="1422">
        <f>SUM(E728:E730)</f>
        <v>48950966.132122375</v>
      </c>
    </row>
    <row r="728" spans="1:5" ht="21.9" hidden="1" customHeight="1" outlineLevel="1">
      <c r="A728" s="1393" t="s">
        <v>880</v>
      </c>
      <c r="B728" s="1414">
        <v>0</v>
      </c>
      <c r="C728" s="1414">
        <f>'Itemized Budget 2024-25'!L1768</f>
        <v>0</v>
      </c>
      <c r="D728" s="1414">
        <f>C728*1.0962259996672</f>
        <v>0</v>
      </c>
      <c r="E728" s="1414">
        <f>D728*1.09639407014138</f>
        <v>0</v>
      </c>
    </row>
    <row r="729" spans="1:5" ht="21.9" hidden="1" customHeight="1" outlineLevel="1">
      <c r="A729" s="1393" t="s">
        <v>881</v>
      </c>
      <c r="B729" s="1414">
        <v>31427760</v>
      </c>
      <c r="C729" s="1414">
        <f>'Itemized Budget 2024-25'!L1818-'Itemized Budget 2024-25'!L1812-'Itemized Budget 2024-25'!L1810</f>
        <v>39937421</v>
      </c>
      <c r="D729" s="1414">
        <f>C729*1.0962259996672</f>
        <v>43780439.259854823</v>
      </c>
      <c r="E729" s="1414">
        <f>D729*1.09639407014138</f>
        <v>48000613.992689691</v>
      </c>
    </row>
    <row r="730" spans="1:5" ht="21.9" hidden="1" customHeight="1" outlineLevel="1">
      <c r="A730" s="1393" t="s">
        <v>882</v>
      </c>
      <c r="B730" s="1414">
        <v>0</v>
      </c>
      <c r="C730" s="1414">
        <f>'Itemized Budget 2024-25'!L1812+'Itemized Budget 2024-25'!L1810</f>
        <v>790711</v>
      </c>
      <c r="D730" s="1414">
        <f>C730*1.0962259996672</f>
        <v>866797.9564228513</v>
      </c>
      <c r="E730" s="1414">
        <f>D730*1.09639407014138</f>
        <v>950352.13943268044</v>
      </c>
    </row>
    <row r="731" spans="1:5" ht="21.9" hidden="1" customHeight="1" outlineLevel="1">
      <c r="A731" s="1382" t="s">
        <v>883</v>
      </c>
      <c r="B731" s="1422">
        <v>129466400</v>
      </c>
      <c r="C731" s="1422">
        <f>SUM(C732:C733)</f>
        <v>82938578.619155765</v>
      </c>
      <c r="D731" s="1422">
        <f>SUM(D732:D733)</f>
        <v>90919426.257760674</v>
      </c>
      <c r="E731" s="1422">
        <f>SUM(E732:E733)</f>
        <v>99683519.809665278</v>
      </c>
    </row>
    <row r="732" spans="1:5" ht="21.9" hidden="1" customHeight="1" outlineLevel="1">
      <c r="A732" s="1393" t="s">
        <v>891</v>
      </c>
      <c r="B732" s="1414">
        <v>129466400</v>
      </c>
      <c r="C732" s="1414">
        <f>'Itemized Budget 2024-25'!L1837</f>
        <v>82938578.619155765</v>
      </c>
      <c r="D732" s="1414">
        <f>C732*1.0962259996672</f>
        <v>90919426.257760674</v>
      </c>
      <c r="E732" s="1414">
        <f>D732*1.09639407014138</f>
        <v>99683519.809665278</v>
      </c>
    </row>
    <row r="733" spans="1:5" ht="21.9" hidden="1" customHeight="1" outlineLevel="1">
      <c r="A733" s="1393" t="s">
        <v>892</v>
      </c>
      <c r="B733" s="1414"/>
      <c r="C733" s="1414">
        <v>0</v>
      </c>
      <c r="D733" s="1414">
        <f>C733*1.0962259996672</f>
        <v>0</v>
      </c>
      <c r="E733" s="1414">
        <f>D733*1.09639407014138</f>
        <v>0</v>
      </c>
    </row>
    <row r="734" spans="1:5" ht="21.9" hidden="1" customHeight="1" outlineLevel="1">
      <c r="A734" s="1382" t="s">
        <v>893</v>
      </c>
      <c r="B734" s="1422">
        <v>160894160</v>
      </c>
      <c r="C734" s="1422">
        <f>SUM(C731,C727)</f>
        <v>123666710.61915576</v>
      </c>
      <c r="D734" s="1422">
        <f>SUM(D731,D727)</f>
        <v>135566663.47403836</v>
      </c>
      <c r="E734" s="1422">
        <f>SUM(E731,E727)</f>
        <v>148634485.94178766</v>
      </c>
    </row>
    <row r="735" spans="1:5" ht="21.9" hidden="1" customHeight="1" outlineLevel="1">
      <c r="A735" s="1407"/>
      <c r="B735" s="1368"/>
      <c r="C735" s="1368"/>
      <c r="D735" s="1368"/>
      <c r="E735" s="1368"/>
    </row>
    <row r="736" spans="1:5" ht="21.9" customHeight="1" collapsed="1">
      <c r="B736" s="1368"/>
      <c r="C736" s="1368"/>
      <c r="D736" s="1368"/>
      <c r="E736" s="1368"/>
    </row>
    <row r="737" spans="1:6" ht="21.9" customHeight="1">
      <c r="A737" s="1366" t="s">
        <v>392</v>
      </c>
      <c r="B737" s="1367"/>
      <c r="C737" s="1367"/>
    </row>
    <row r="738" spans="1:6" ht="21.9" hidden="1" customHeight="1" outlineLevel="1">
      <c r="A738" s="1366" t="s">
        <v>1707</v>
      </c>
      <c r="B738" s="1368"/>
      <c r="C738" s="1368"/>
      <c r="D738" s="1368"/>
      <c r="E738" s="1368"/>
    </row>
    <row r="739" spans="1:6" ht="21.9" hidden="1" customHeight="1" outlineLevel="1">
      <c r="A739" s="1369" t="s">
        <v>948</v>
      </c>
      <c r="B739" s="1412" t="s">
        <v>1671</v>
      </c>
      <c r="C739" s="1412" t="s">
        <v>1680</v>
      </c>
      <c r="D739" s="1371" t="s">
        <v>859</v>
      </c>
      <c r="E739" s="1372"/>
    </row>
    <row r="740" spans="1:6" ht="21.9" hidden="1" customHeight="1" outlineLevel="1">
      <c r="A740" s="1373"/>
      <c r="B740" s="1374"/>
      <c r="C740" s="1374"/>
      <c r="D740" s="1413" t="s">
        <v>861</v>
      </c>
      <c r="E740" s="1413" t="s">
        <v>1672</v>
      </c>
    </row>
    <row r="741" spans="1:6" ht="21.9" hidden="1" customHeight="1" outlineLevel="1">
      <c r="A741" s="1376" t="s">
        <v>949</v>
      </c>
      <c r="B741" s="1381">
        <v>855175194.96800005</v>
      </c>
      <c r="C741" s="1381">
        <f>'Itemized Budget 2024-25'!L1901</f>
        <v>972823460.72416532</v>
      </c>
      <c r="D741" s="1381">
        <f>D787</f>
        <v>1066434370.7320532</v>
      </c>
      <c r="E741" s="1381">
        <f>E787</f>
        <v>1151209488.6502812</v>
      </c>
    </row>
    <row r="742" spans="1:6" ht="21.9" hidden="1" customHeight="1" outlineLevel="1">
      <c r="A742" s="1376" t="s">
        <v>950</v>
      </c>
      <c r="B742" s="1381">
        <v>236067031.014</v>
      </c>
      <c r="C742" s="1381">
        <f>'Itemized Budget 2024-25'!L1962</f>
        <v>322539769.96400183</v>
      </c>
      <c r="D742" s="1381">
        <f>D800</f>
        <v>6577355.9980031997</v>
      </c>
      <c r="E742" s="1381">
        <f>E800</f>
        <v>7211409.2159315394</v>
      </c>
    </row>
    <row r="743" spans="1:6" ht="21.9" hidden="1" customHeight="1" outlineLevel="1">
      <c r="A743" s="1376" t="s">
        <v>951</v>
      </c>
      <c r="B743" s="1381">
        <v>2809566.98</v>
      </c>
      <c r="C743" s="1381">
        <f>'Itemized Budget 2024-25'!L1906</f>
        <v>3000000</v>
      </c>
      <c r="D743" s="1381">
        <f>D813</f>
        <v>353576481.76121664</v>
      </c>
      <c r="E743" s="1381">
        <f>E813</f>
        <v>387661044.93714035</v>
      </c>
    </row>
    <row r="744" spans="1:6" ht="21.9" hidden="1" customHeight="1" outlineLevel="1">
      <c r="A744" s="1376" t="s">
        <v>952</v>
      </c>
      <c r="B744" s="1381">
        <v>870000</v>
      </c>
      <c r="C744" s="1381">
        <f>'Itemized Budget 2024-25'!L1968</f>
        <v>1670000</v>
      </c>
      <c r="D744" s="1381">
        <f>D826</f>
        <v>1830697.4194442239</v>
      </c>
      <c r="E744" s="1381">
        <f>E826</f>
        <v>2007175.5651009453</v>
      </c>
    </row>
    <row r="745" spans="1:6" ht="21.9" hidden="1" customHeight="1" outlineLevel="1">
      <c r="A745" s="1376" t="s">
        <v>953</v>
      </c>
      <c r="B745" s="1381">
        <v>469650264.64999998</v>
      </c>
      <c r="C745" s="1381">
        <f>'Itemized Budget 2024-25'!L1976</f>
        <v>349999999.79869449</v>
      </c>
      <c r="D745" s="1381">
        <f>D851</f>
        <v>625211582.69743752</v>
      </c>
      <c r="E745" s="1381">
        <f>E851</f>
        <v>685481608.5278362</v>
      </c>
    </row>
    <row r="746" spans="1:6" ht="21.9" hidden="1" customHeight="1" outlineLevel="1">
      <c r="A746" s="1378" t="s">
        <v>393</v>
      </c>
      <c r="B746" s="1379">
        <v>1564572057.612</v>
      </c>
      <c r="C746" s="1379">
        <f>SUM(C741:C745)</f>
        <v>1650033230.4868617</v>
      </c>
      <c r="D746" s="1379">
        <f>SUM(D741:D745)</f>
        <v>2053630488.6081548</v>
      </c>
      <c r="E746" s="1379">
        <f>SUM(E741:E745)</f>
        <v>2233570726.8962903</v>
      </c>
    </row>
    <row r="747" spans="1:6" ht="21.9" hidden="1" customHeight="1" outlineLevel="1">
      <c r="A747" s="1376" t="s">
        <v>954</v>
      </c>
      <c r="B747" s="1381">
        <v>890736879.324</v>
      </c>
      <c r="C747" s="1381">
        <f>'Itemized Budget 2024-25'!L2071</f>
        <v>1114508310.2539999</v>
      </c>
      <c r="D747" s="1381">
        <f>D864</f>
        <v>0</v>
      </c>
      <c r="E747" s="1381">
        <f>E864</f>
        <v>0</v>
      </c>
    </row>
    <row r="748" spans="1:6" ht="21.9" hidden="1" customHeight="1" outlineLevel="1">
      <c r="A748" s="1376" t="s">
        <v>1710</v>
      </c>
      <c r="B748" s="1381">
        <v>981436.473</v>
      </c>
      <c r="C748" s="1381">
        <f>'Itemized Budget 2024-25'!L2082+'Itemized Budget 2024-25'!L2087</f>
        <v>5557250</v>
      </c>
      <c r="D748" s="1381">
        <f>D878</f>
        <v>0</v>
      </c>
      <c r="E748" s="1381">
        <f>E878</f>
        <v>0</v>
      </c>
    </row>
    <row r="749" spans="1:6" ht="21.9" hidden="1" customHeight="1" outlineLevel="1">
      <c r="A749" s="1376" t="s">
        <v>1712</v>
      </c>
      <c r="B749" s="1381">
        <v>89859476.219999999</v>
      </c>
      <c r="C749" s="1381">
        <f>'Itemized Budget 2024-25'!L2002+'Itemized Budget 2024-25'!L1999</f>
        <v>220330920</v>
      </c>
      <c r="D749" s="1381">
        <f>D946</f>
        <v>4431430.8140218472</v>
      </c>
      <c r="E749" s="1381">
        <f>E946</f>
        <v>4858618.1167176971</v>
      </c>
    </row>
    <row r="750" spans="1:6" ht="21.9" hidden="1" customHeight="1" outlineLevel="1">
      <c r="A750" s="1376" t="s">
        <v>1713</v>
      </c>
      <c r="B750" s="1381">
        <v>1133900</v>
      </c>
      <c r="C750" s="1381">
        <f>'Itemized Budget 2024-25'!L2098+'Itemized Budget 2024-25'!L2109</f>
        <v>5904039.2199999997</v>
      </c>
      <c r="D750" s="1381">
        <f>D894</f>
        <v>1221752986.545593</v>
      </c>
      <c r="E750" s="1381">
        <f>E894</f>
        <v>1339529249.9663308</v>
      </c>
    </row>
    <row r="751" spans="1:6" ht="21.9" hidden="1" customHeight="1" outlineLevel="1">
      <c r="A751" s="1376" t="s">
        <v>955</v>
      </c>
      <c r="B751" s="1381">
        <v>1235557.122</v>
      </c>
      <c r="C751" s="1381">
        <f>'Itemized Budget 2024-25'!L2121</f>
        <v>4042442.7220000001</v>
      </c>
      <c r="D751" s="1381">
        <f>D907</f>
        <v>6092001.9366505463</v>
      </c>
      <c r="E751" s="1381">
        <f>E907</f>
        <v>6679267.310872592</v>
      </c>
    </row>
    <row r="752" spans="1:6" ht="21.9" hidden="1" customHeight="1" outlineLevel="1">
      <c r="A752" s="1376" t="s">
        <v>956</v>
      </c>
      <c r="B752" s="1381">
        <v>371200</v>
      </c>
      <c r="C752" s="1381">
        <f>'Itemized Budget 2024-25'!L2130</f>
        <v>1681200</v>
      </c>
      <c r="D752" s="1381">
        <f>D920</f>
        <v>3556343.7425100594</v>
      </c>
      <c r="E752" s="1381">
        <f>E920</f>
        <v>3899173.1704264414</v>
      </c>
      <c r="F752" s="1363" t="s">
        <v>1708</v>
      </c>
    </row>
    <row r="753" spans="1:5" ht="21.9" hidden="1" customHeight="1" outlineLevel="1">
      <c r="A753" s="1376" t="s">
        <v>460</v>
      </c>
      <c r="B753" s="1381"/>
      <c r="C753" s="1381">
        <f>'Itemized Budget 2024-25'!L2142</f>
        <v>2302574.4729999998</v>
      </c>
      <c r="D753" s="1381"/>
      <c r="E753" s="1381"/>
    </row>
    <row r="754" spans="1:5" ht="21.9" hidden="1" customHeight="1" outlineLevel="1">
      <c r="A754" s="1376" t="s">
        <v>957</v>
      </c>
      <c r="B754" s="1381">
        <v>2927337.4416</v>
      </c>
      <c r="C754" s="1381">
        <f>'Itemized Budget 2024-25'!L2151</f>
        <v>3627337.4416</v>
      </c>
      <c r="D754" s="1381">
        <f>D933</f>
        <v>2915817.5535087953</v>
      </c>
      <c r="E754" s="1381">
        <f>E933</f>
        <v>3196900.6366284345</v>
      </c>
    </row>
    <row r="755" spans="1:5" ht="21.9" hidden="1" customHeight="1" outlineLevel="1">
      <c r="A755" s="1376" t="s">
        <v>958</v>
      </c>
      <c r="B755" s="1381">
        <v>0</v>
      </c>
      <c r="C755" s="1381"/>
      <c r="D755" s="1381">
        <f>D834</f>
        <v>0</v>
      </c>
      <c r="E755" s="1381">
        <f>E834</f>
        <v>0</v>
      </c>
    </row>
    <row r="756" spans="1:5" s="1366" customFormat="1" ht="21.9" hidden="1" customHeight="1" outlineLevel="1">
      <c r="A756" s="1378" t="s">
        <v>440</v>
      </c>
      <c r="B756" s="1379">
        <v>987245786.58060002</v>
      </c>
      <c r="C756" s="1379">
        <f>SUM(C747:C755)</f>
        <v>1357954074.1106</v>
      </c>
      <c r="D756" s="1379">
        <f>SUM(D747:D755)</f>
        <v>1238748580.5922842</v>
      </c>
      <c r="E756" s="1379">
        <f>SUM(E747:E755)</f>
        <v>1358163209.2009759</v>
      </c>
    </row>
    <row r="757" spans="1:5" ht="21.9" hidden="1" customHeight="1" outlineLevel="1">
      <c r="A757" s="1376" t="s">
        <v>959</v>
      </c>
      <c r="B757" s="1381">
        <v>1166047483.1960006</v>
      </c>
      <c r="C757" s="1381">
        <f>'Itemized Budget 2024-25'!L2245</f>
        <v>1356662966</v>
      </c>
      <c r="D757" s="1381">
        <f>D996</f>
        <v>1487209216.1148183</v>
      </c>
      <c r="E757" s="1381">
        <f>E996</f>
        <v>1630575302.6542363</v>
      </c>
    </row>
    <row r="758" spans="1:5" ht="21.9" hidden="1" customHeight="1" outlineLevel="1">
      <c r="A758" s="1378" t="s">
        <v>960</v>
      </c>
      <c r="B758" s="1379">
        <v>1166047483.1960006</v>
      </c>
      <c r="C758" s="1379">
        <f>C757</f>
        <v>1356662966</v>
      </c>
      <c r="D758" s="1379">
        <f>D757</f>
        <v>1487209216.1148183</v>
      </c>
      <c r="E758" s="1379">
        <f>E757</f>
        <v>1630575302.6542363</v>
      </c>
    </row>
    <row r="759" spans="1:5" s="1366" customFormat="1" ht="21.9" hidden="1" customHeight="1" outlineLevel="1">
      <c r="A759" s="1382" t="s">
        <v>876</v>
      </c>
      <c r="B759" s="1379">
        <v>3717865327.3886008</v>
      </c>
      <c r="C759" s="1379">
        <f>C758+C756+C746</f>
        <v>4364650270.5974617</v>
      </c>
      <c r="D759" s="1379">
        <f>D758+D756+D746</f>
        <v>4779588285.315258</v>
      </c>
      <c r="E759" s="1379">
        <f>E758+E756+E746</f>
        <v>5222309238.751503</v>
      </c>
    </row>
    <row r="760" spans="1:5" ht="21.9" hidden="1" customHeight="1" outlineLevel="1">
      <c r="A760" s="1407"/>
      <c r="C760" s="1364">
        <f>'Itemized Budget 2024-25'!L2248-Tables!C759</f>
        <v>0</v>
      </c>
    </row>
    <row r="761" spans="1:5" ht="21.9" hidden="1" customHeight="1" outlineLevel="1">
      <c r="A761" s="1407"/>
    </row>
    <row r="762" spans="1:5" ht="21.9" hidden="1" customHeight="1" outlineLevel="1">
      <c r="A762" s="1366" t="s">
        <v>903</v>
      </c>
      <c r="B762" s="1367"/>
      <c r="C762" s="1367"/>
      <c r="D762" s="1367"/>
      <c r="E762" s="1367"/>
    </row>
    <row r="763" spans="1:5" ht="21.9" hidden="1" customHeight="1" outlineLevel="1">
      <c r="A763" s="1369" t="s">
        <v>878</v>
      </c>
      <c r="B763" s="1370" t="s">
        <v>1671</v>
      </c>
      <c r="C763" s="1370" t="s">
        <v>1680</v>
      </c>
      <c r="D763" s="1371" t="s">
        <v>859</v>
      </c>
      <c r="E763" s="1372"/>
    </row>
    <row r="764" spans="1:5" s="1366" customFormat="1" ht="21.9" hidden="1" customHeight="1" outlineLevel="1">
      <c r="A764" s="1373"/>
      <c r="B764" s="1374"/>
      <c r="C764" s="1374"/>
      <c r="D764" s="1375" t="s">
        <v>861</v>
      </c>
      <c r="E764" s="1375" t="s">
        <v>1672</v>
      </c>
    </row>
    <row r="765" spans="1:5" ht="21.9" hidden="1" customHeight="1" outlineLevel="1">
      <c r="A765" s="1382" t="s">
        <v>890</v>
      </c>
      <c r="B765" s="1379">
        <v>3467530514.7386007</v>
      </c>
      <c r="C765" s="1379">
        <f>SUM(C766:C768)</f>
        <v>3979513261.2974596</v>
      </c>
      <c r="D765" s="1379">
        <f>SUM(D766:D768)</f>
        <v>4354102404.2875252</v>
      </c>
      <c r="E765" s="1379">
        <f>SUM(E766:E768)</f>
        <v>4773835294.1396399</v>
      </c>
    </row>
    <row r="766" spans="1:5" s="1366" customFormat="1" ht="21.9" hidden="1" customHeight="1" outlineLevel="1">
      <c r="A766" s="1393" t="s">
        <v>880</v>
      </c>
      <c r="B766" s="1381">
        <v>2497270315</v>
      </c>
      <c r="C766" s="1381">
        <f>C781+C794+C807+C820+C833+C845+C858+C872+C888+C901+C914+C927+C940+C952+C964+C976+C990</f>
        <v>2677992382.7581654</v>
      </c>
      <c r="D766" s="1381">
        <f t="shared" ref="D766:E768" si="27">D781+D794+D807+D820+D833+D845+D858+D872+D940+D888+D901+D914+D927+D990</f>
        <v>2935684876.8902164</v>
      </c>
      <c r="E766" s="1381">
        <f t="shared" si="27"/>
        <v>3218683158.2027826</v>
      </c>
    </row>
    <row r="767" spans="1:5" ht="21.9" hidden="1" customHeight="1" outlineLevel="1">
      <c r="A767" s="1393" t="s">
        <v>881</v>
      </c>
      <c r="B767" s="1381">
        <v>967271925.73860049</v>
      </c>
      <c r="C767" s="1381">
        <f>C782+C795+C808+C821+C834+C846+C859+C873+C889+C902+C915+C928+C941+C953+C965+C977+C991</f>
        <v>1081997164.5392945</v>
      </c>
      <c r="D767" s="1381">
        <f t="shared" si="27"/>
        <v>1177769924.5670025</v>
      </c>
      <c r="E767" s="1381">
        <f t="shared" si="27"/>
        <v>1291306246.8943381</v>
      </c>
    </row>
    <row r="768" spans="1:5" ht="21.9" hidden="1" customHeight="1" outlineLevel="1">
      <c r="A768" s="1393" t="s">
        <v>882</v>
      </c>
      <c r="B768" s="1381">
        <v>2988274</v>
      </c>
      <c r="C768" s="1381">
        <f>C783+C796+C809+C822+C835+C847+C860+C874+C890+C903+C916+C929+C942+C954+C966+C978+C992</f>
        <v>219523714</v>
      </c>
      <c r="D768" s="1381">
        <f t="shared" si="27"/>
        <v>240647602.8303065</v>
      </c>
      <c r="E768" s="1381">
        <f t="shared" si="27"/>
        <v>263845889.04251993</v>
      </c>
    </row>
    <row r="769" spans="1:5" ht="21.9" hidden="1" customHeight="1" outlineLevel="1">
      <c r="A769" s="1382" t="s">
        <v>883</v>
      </c>
      <c r="B769" s="1379">
        <v>250334812.65000001</v>
      </c>
      <c r="C769" s="1379">
        <f>C770+C771</f>
        <v>385137009.30000186</v>
      </c>
      <c r="D769" s="1379">
        <f>D770+D771</f>
        <v>425485881.02773184</v>
      </c>
      <c r="E769" s="1379">
        <f>E770+E771</f>
        <v>466502467.65168983</v>
      </c>
    </row>
    <row r="770" spans="1:5" ht="21.9" hidden="1" customHeight="1" outlineLevel="1">
      <c r="A770" s="1393" t="s">
        <v>891</v>
      </c>
      <c r="B770" s="1381">
        <v>250334812.65000001</v>
      </c>
      <c r="C770" s="1381">
        <f>C785+C798+C811+C824+C837+C849+C862+C876+C892+C905+C918+C931+C944+C956+C968+C980+C994</f>
        <v>385137009.30000186</v>
      </c>
      <c r="D770" s="1381">
        <f>D785+D798+D811+D824+D837+D849+D862+D876+D944+D892+D905+D918+D931+D994</f>
        <v>425485881.02773184</v>
      </c>
      <c r="E770" s="1381">
        <f>E785+E798+E811+E824+E837+E849+E862+E876+E944+E892+E905+E918+E931+E994</f>
        <v>466502467.65168983</v>
      </c>
    </row>
    <row r="771" spans="1:5" ht="21.9" hidden="1" customHeight="1" outlineLevel="1">
      <c r="A771" s="1393" t="s">
        <v>885</v>
      </c>
      <c r="B771" s="1381">
        <v>0</v>
      </c>
      <c r="C771" s="1381">
        <f>C799+C812+C825+C839+C850+C863+C877+C893+C906+C919+C932+C945+C957+C969+C995</f>
        <v>0</v>
      </c>
      <c r="D771" s="1381">
        <f>D786+D799+D812+D825+D838+D850+D863+D877+D945+D893+D906+D919+D932+D995</f>
        <v>0</v>
      </c>
      <c r="E771" s="1381">
        <f>E786+E799+E812+E825+E838+E850+E863+E877+E945+E893+E906+E919+E932+E995</f>
        <v>0</v>
      </c>
    </row>
    <row r="772" spans="1:5" s="1366" customFormat="1" ht="21.9" hidden="1" customHeight="1" outlineLevel="1">
      <c r="A772" s="1382" t="s">
        <v>886</v>
      </c>
      <c r="B772" s="1379">
        <v>3717865327.3886008</v>
      </c>
      <c r="C772" s="1379">
        <f>C765+C769</f>
        <v>4364650270.5974617</v>
      </c>
      <c r="D772" s="1379">
        <f>D765+D769</f>
        <v>4779588285.3152571</v>
      </c>
      <c r="E772" s="1379">
        <f>E765+E769</f>
        <v>5240337761.7913294</v>
      </c>
    </row>
    <row r="773" spans="1:5" ht="21.9" hidden="1" customHeight="1" outlineLevel="1">
      <c r="A773" s="1407"/>
    </row>
    <row r="774" spans="1:5" s="1366" customFormat="1" ht="21.9" hidden="1" customHeight="1" outlineLevel="1">
      <c r="A774" s="1407"/>
      <c r="B774" s="1367"/>
      <c r="C774" s="1367"/>
      <c r="D774" s="1367"/>
      <c r="E774" s="1367"/>
    </row>
    <row r="775" spans="1:5" ht="21.9" hidden="1" customHeight="1" outlineLevel="1">
      <c r="A775" s="1366" t="s">
        <v>961</v>
      </c>
      <c r="B775" s="1367"/>
      <c r="C775" s="1367"/>
      <c r="D775" s="1367"/>
      <c r="E775" s="1367"/>
    </row>
    <row r="776" spans="1:5" ht="21.9" hidden="1" customHeight="1" outlineLevel="1">
      <c r="A776" s="1366" t="s">
        <v>1688</v>
      </c>
      <c r="B776" s="1367"/>
      <c r="C776" s="1367"/>
      <c r="D776" s="1367"/>
      <c r="E776" s="1367"/>
    </row>
    <row r="777" spans="1:5" s="1366" customFormat="1" ht="21.9" hidden="1" customHeight="1" outlineLevel="1">
      <c r="A777" s="1366" t="s">
        <v>1689</v>
      </c>
      <c r="B777" s="1367"/>
      <c r="C777" s="1367"/>
      <c r="D777" s="1367"/>
      <c r="E777" s="1367"/>
    </row>
    <row r="778" spans="1:5" ht="21.9" hidden="1" customHeight="1" outlineLevel="1">
      <c r="A778" s="1369" t="s">
        <v>878</v>
      </c>
      <c r="B778" s="1370" t="s">
        <v>1671</v>
      </c>
      <c r="C778" s="1370" t="s">
        <v>1680</v>
      </c>
      <c r="D778" s="1371" t="s">
        <v>859</v>
      </c>
      <c r="E778" s="1372"/>
    </row>
    <row r="779" spans="1:5" s="1366" customFormat="1" ht="21.9" hidden="1" customHeight="1" outlineLevel="1">
      <c r="A779" s="1373"/>
      <c r="B779" s="1374"/>
      <c r="C779" s="1374"/>
      <c r="D779" s="1375" t="s">
        <v>861</v>
      </c>
      <c r="E779" s="1375" t="s">
        <v>1672</v>
      </c>
    </row>
    <row r="780" spans="1:5" ht="21.9" hidden="1" customHeight="1" outlineLevel="1">
      <c r="A780" s="1382" t="s">
        <v>890</v>
      </c>
      <c r="B780" s="1379">
        <v>852175389.96800005</v>
      </c>
      <c r="C780" s="1379">
        <f>SUM(C781:C783)</f>
        <v>957823460.72416532</v>
      </c>
      <c r="D780" s="1379">
        <f>SUM(D781:D783)</f>
        <v>1049990980.7370452</v>
      </c>
      <c r="E780" s="1379">
        <f>SUM(E781:E783)</f>
        <v>1151209488.6502812</v>
      </c>
    </row>
    <row r="781" spans="1:5" ht="21.9" hidden="1" customHeight="1" outlineLevel="1">
      <c r="A781" s="1393" t="s">
        <v>880</v>
      </c>
      <c r="B781" s="1381">
        <v>818008282.95000005</v>
      </c>
      <c r="C781" s="1381">
        <f>'Itemized Budget 2024-25'!L1848</f>
        <v>912539906.75816536</v>
      </c>
      <c r="D781" s="1381">
        <f>C781*1.0962259996672</f>
        <v>1000349971.5221832</v>
      </c>
      <c r="E781" s="1381">
        <f>D781*1.09639940701413</f>
        <v>1096783115.5835235</v>
      </c>
    </row>
    <row r="782" spans="1:5" ht="21.9" hidden="1" customHeight="1" outlineLevel="1">
      <c r="A782" s="1393" t="s">
        <v>881</v>
      </c>
      <c r="B782" s="1381">
        <v>33268107.018000007</v>
      </c>
      <c r="C782" s="1381">
        <f>'Itemized Budget 2024-25'!L1895-'Itemized Budget 2024-25'!L1891-'Itemized Budget 2024-25'!L1848</f>
        <v>41383001.965999961</v>
      </c>
      <c r="D782" s="1381">
        <f>C782*1.0962259996672</f>
        <v>45365122.69940801</v>
      </c>
      <c r="E782" s="1381">
        <f>D782*1.09639940701413</f>
        <v>49738293.626754194</v>
      </c>
    </row>
    <row r="783" spans="1:5" ht="21.9" hidden="1" customHeight="1" outlineLevel="1">
      <c r="A783" s="1393" t="s">
        <v>882</v>
      </c>
      <c r="B783" s="1381">
        <v>899000</v>
      </c>
      <c r="C783" s="1381">
        <f>'Itemized Budget 2024-25'!L1891</f>
        <v>3900552</v>
      </c>
      <c r="D783" s="1381">
        <f>C783*1.0962259996672</f>
        <v>4275886.5154538956</v>
      </c>
      <c r="E783" s="1381">
        <f>D783*1.09639940701413</f>
        <v>4688079.4400033662</v>
      </c>
    </row>
    <row r="784" spans="1:5" ht="21.9" hidden="1" customHeight="1" outlineLevel="1">
      <c r="A784" s="1382" t="s">
        <v>883</v>
      </c>
      <c r="B784" s="1379">
        <v>2999805</v>
      </c>
      <c r="C784" s="1379">
        <f>SUM(C785:C786)</f>
        <v>15000000</v>
      </c>
      <c r="D784" s="1379">
        <f>SUM(D785:D786)</f>
        <v>16443389.995007999</v>
      </c>
      <c r="E784" s="1379">
        <v>0</v>
      </c>
    </row>
    <row r="785" spans="1:5" ht="21.9" hidden="1" customHeight="1" outlineLevel="1">
      <c r="A785" s="1393" t="s">
        <v>891</v>
      </c>
      <c r="B785" s="1381">
        <v>2999805</v>
      </c>
      <c r="C785" s="1381">
        <f>'Itemized Budget 2024-25'!L1900</f>
        <v>15000000</v>
      </c>
      <c r="D785" s="1381">
        <f>C785*1.0962259996672</f>
        <v>16443389.995007999</v>
      </c>
      <c r="E785" s="1381">
        <f>D785*1.09639940701413</f>
        <v>18028523.039828848</v>
      </c>
    </row>
    <row r="786" spans="1:5" ht="21.9" hidden="1" customHeight="1" outlineLevel="1">
      <c r="A786" s="1393" t="s">
        <v>892</v>
      </c>
      <c r="B786" s="1381"/>
      <c r="C786" s="1381"/>
      <c r="D786" s="1381">
        <f>C786*1.0962259996672</f>
        <v>0</v>
      </c>
      <c r="E786" s="1381">
        <f>D786*1.09639940701413</f>
        <v>0</v>
      </c>
    </row>
    <row r="787" spans="1:5" ht="21.9" hidden="1" customHeight="1" outlineLevel="1">
      <c r="A787" s="1382" t="s">
        <v>893</v>
      </c>
      <c r="B787" s="1379">
        <v>855175194.96800005</v>
      </c>
      <c r="C787" s="1379">
        <f>C780+C784</f>
        <v>972823460.72416532</v>
      </c>
      <c r="D787" s="1379">
        <f>D780+D784</f>
        <v>1066434370.7320532</v>
      </c>
      <c r="E787" s="1379">
        <f>E780+E784</f>
        <v>1151209488.6502812</v>
      </c>
    </row>
    <row r="788" spans="1:5" ht="21.9" hidden="1" customHeight="1" outlineLevel="1"/>
    <row r="789" spans="1:5" ht="21.9" hidden="1" customHeight="1" outlineLevel="1"/>
    <row r="790" spans="1:5" ht="21.9" hidden="1" customHeight="1" outlineLevel="1">
      <c r="A790" s="1408" t="s">
        <v>1715</v>
      </c>
      <c r="B790" s="1367"/>
      <c r="C790" s="1367"/>
      <c r="D790" s="1367"/>
      <c r="E790" s="1367"/>
    </row>
    <row r="791" spans="1:5" ht="21.9" hidden="1" customHeight="1" outlineLevel="1">
      <c r="A791" s="1369" t="s">
        <v>878</v>
      </c>
      <c r="B791" s="1370" t="s">
        <v>1671</v>
      </c>
      <c r="C791" s="1370" t="s">
        <v>1680</v>
      </c>
      <c r="D791" s="1371" t="s">
        <v>859</v>
      </c>
      <c r="E791" s="1372"/>
    </row>
    <row r="792" spans="1:5" ht="21.9" hidden="1" customHeight="1" outlineLevel="1">
      <c r="A792" s="1373"/>
      <c r="B792" s="1374"/>
      <c r="C792" s="1374"/>
      <c r="D792" s="1375" t="s">
        <v>861</v>
      </c>
      <c r="E792" s="1375" t="s">
        <v>1672</v>
      </c>
    </row>
    <row r="793" spans="1:5" ht="21.9" hidden="1" customHeight="1" outlineLevel="1">
      <c r="A793" s="1382" t="s">
        <v>890</v>
      </c>
      <c r="B793" s="1379">
        <v>66861508.013999999</v>
      </c>
      <c r="C793" s="1379">
        <f>SUM(C794:C795)</f>
        <v>3000000</v>
      </c>
      <c r="D793" s="1379">
        <f>SUM(D794:D796)</f>
        <v>3288677.9990015998</v>
      </c>
      <c r="E793" s="1379">
        <f>SUM(E794:E796)</f>
        <v>3605704.6079657697</v>
      </c>
    </row>
    <row r="794" spans="1:5" ht="21.9" hidden="1" customHeight="1" outlineLevel="1">
      <c r="A794" s="1393" t="s">
        <v>880</v>
      </c>
      <c r="B794" s="1381">
        <v>62917078.049999997</v>
      </c>
      <c r="C794" s="1381">
        <v>0</v>
      </c>
      <c r="D794" s="1381">
        <f>C794*1.0962259996672</f>
        <v>0</v>
      </c>
      <c r="E794" s="1381">
        <f>D794*1.09639940701413</f>
        <v>0</v>
      </c>
    </row>
    <row r="795" spans="1:5" ht="21.9" hidden="1" customHeight="1" outlineLevel="1">
      <c r="A795" s="1393" t="s">
        <v>881</v>
      </c>
      <c r="B795" s="1381">
        <v>3944429.9640000015</v>
      </c>
      <c r="C795" s="1381">
        <f>'Itemized Budget 2024-25'!L1908</f>
        <v>3000000</v>
      </c>
      <c r="D795" s="1381">
        <f>C795*1.0962259996672</f>
        <v>3288677.9990015998</v>
      </c>
      <c r="E795" s="1381">
        <f>D795*1.09639940701413</f>
        <v>3605704.6079657697</v>
      </c>
    </row>
    <row r="796" spans="1:5" ht="21.9" hidden="1" customHeight="1" outlineLevel="1">
      <c r="A796" s="1393" t="s">
        <v>882</v>
      </c>
      <c r="B796" s="1381"/>
      <c r="C796" s="1363"/>
      <c r="D796" s="1381">
        <f>C798*1.0962259996672</f>
        <v>0</v>
      </c>
      <c r="E796" s="1381">
        <f>D796*1.09639940701413</f>
        <v>0</v>
      </c>
    </row>
    <row r="797" spans="1:5" ht="21.9" hidden="1" customHeight="1" outlineLevel="1">
      <c r="A797" s="1382" t="s">
        <v>883</v>
      </c>
      <c r="B797" s="1379">
        <v>169205523</v>
      </c>
      <c r="C797" s="1379">
        <f>SUM(C798:C799)</f>
        <v>0</v>
      </c>
      <c r="D797" s="1379">
        <f t="shared" ref="D797:E797" si="28">SUM(D798:D799)</f>
        <v>3288677.9990015998</v>
      </c>
      <c r="E797" s="1379">
        <f t="shared" si="28"/>
        <v>3605704.6079657697</v>
      </c>
    </row>
    <row r="798" spans="1:5" ht="21.9" hidden="1" customHeight="1" outlineLevel="1">
      <c r="A798" s="1393" t="s">
        <v>891</v>
      </c>
      <c r="B798" s="1381">
        <v>169205523</v>
      </c>
      <c r="C798" s="1381">
        <v>0</v>
      </c>
      <c r="D798" s="1381">
        <f>C800*1.0962259996672</f>
        <v>3288677.9990015998</v>
      </c>
      <c r="E798" s="1381">
        <f>D798*1.09639940701413</f>
        <v>3605704.6079657697</v>
      </c>
    </row>
    <row r="799" spans="1:5" ht="21.9" hidden="1" customHeight="1" outlineLevel="1">
      <c r="A799" s="1393" t="s">
        <v>892</v>
      </c>
      <c r="B799" s="1381"/>
      <c r="C799" s="1381"/>
      <c r="D799" s="1381">
        <f>C799*1.0962259996672</f>
        <v>0</v>
      </c>
      <c r="E799" s="1381">
        <f>D799*1.09639940701413</f>
        <v>0</v>
      </c>
    </row>
    <row r="800" spans="1:5" ht="21.9" hidden="1" customHeight="1" outlineLevel="1">
      <c r="A800" s="1382" t="s">
        <v>893</v>
      </c>
      <c r="B800" s="1379">
        <v>236067031.014</v>
      </c>
      <c r="C800" s="1379">
        <f>C793+C797</f>
        <v>3000000</v>
      </c>
      <c r="D800" s="1379">
        <f>D793+D797</f>
        <v>6577355.9980031997</v>
      </c>
      <c r="E800" s="1379">
        <f>E793+E797</f>
        <v>7211409.2159315394</v>
      </c>
    </row>
    <row r="801" spans="1:5" ht="21.9" hidden="1" customHeight="1" outlineLevel="1"/>
    <row r="802" spans="1:5" ht="21.9" hidden="1" customHeight="1" outlineLevel="1"/>
    <row r="803" spans="1:5" ht="21.9" hidden="1" customHeight="1" outlineLevel="1">
      <c r="A803" s="1408" t="s">
        <v>1716</v>
      </c>
      <c r="B803" s="1367"/>
      <c r="C803" s="1367"/>
      <c r="D803" s="1367"/>
      <c r="E803" s="1367"/>
    </row>
    <row r="804" spans="1:5" ht="21.9" hidden="1" customHeight="1" outlineLevel="1">
      <c r="A804" s="1369" t="s">
        <v>878</v>
      </c>
      <c r="B804" s="1370" t="s">
        <v>1671</v>
      </c>
      <c r="C804" s="1370" t="s">
        <v>1680</v>
      </c>
      <c r="D804" s="1371" t="s">
        <v>859</v>
      </c>
      <c r="E804" s="1372"/>
    </row>
    <row r="805" spans="1:5" ht="21.9" hidden="1" customHeight="1" outlineLevel="1">
      <c r="A805" s="1373"/>
      <c r="B805" s="1374"/>
      <c r="C805" s="1374"/>
      <c r="D805" s="1375" t="s">
        <v>861</v>
      </c>
      <c r="E805" s="1375" t="s">
        <v>1672</v>
      </c>
    </row>
    <row r="806" spans="1:5" ht="21.9" hidden="1" customHeight="1" outlineLevel="1">
      <c r="A806" s="1382" t="s">
        <v>890</v>
      </c>
      <c r="B806" s="1379">
        <v>2809566.98</v>
      </c>
      <c r="C806" s="1379">
        <f>SUM(C807:C809)</f>
        <v>102207361.964</v>
      </c>
      <c r="D806" s="1379">
        <f>SUM(D807:D809)</f>
        <v>112042367.54233325</v>
      </c>
      <c r="E806" s="1379">
        <f>SUM(E807:E809)</f>
        <v>122843185.33387339</v>
      </c>
    </row>
    <row r="807" spans="1:5" ht="21.9" hidden="1" customHeight="1" outlineLevel="1">
      <c r="A807" s="1393" t="s">
        <v>880</v>
      </c>
      <c r="B807" s="1381"/>
      <c r="C807" s="1381">
        <f>'Itemized Budget 2024-25'!L1912</f>
        <v>66062932</v>
      </c>
      <c r="D807" s="1381">
        <f>C807*1.0962259996672</f>
        <v>72419903.672646254</v>
      </c>
      <c r="E807" s="1381">
        <f>D807*1.09639940701413</f>
        <v>79401139.442709774</v>
      </c>
    </row>
    <row r="808" spans="1:5" ht="21.9" hidden="1" customHeight="1" outlineLevel="1">
      <c r="A808" s="1393" t="s">
        <v>881</v>
      </c>
      <c r="B808" s="1381">
        <v>2809566.98</v>
      </c>
      <c r="C808" s="1381">
        <f>'Itemized Budget 2024-25'!L1928-'Itemized Budget 2024-25'!L1912</f>
        <v>36144429.964000002</v>
      </c>
      <c r="D808" s="1381">
        <f>C808*1.0962259996672</f>
        <v>39622463.869686998</v>
      </c>
      <c r="E808" s="1381">
        <f>D808*1.09639940701413</f>
        <v>43442045.891163617</v>
      </c>
    </row>
    <row r="809" spans="1:5" ht="21.9" hidden="1" customHeight="1" outlineLevel="1">
      <c r="A809" s="1393" t="s">
        <v>882</v>
      </c>
      <c r="B809" s="1381"/>
      <c r="C809" s="1381"/>
      <c r="D809" s="1381">
        <f>C809*1.0962259996672</f>
        <v>0</v>
      </c>
      <c r="E809" s="1381">
        <f>D809*1.09639940701413</f>
        <v>0</v>
      </c>
    </row>
    <row r="810" spans="1:5" ht="21.9" hidden="1" customHeight="1" outlineLevel="1">
      <c r="A810" s="1382" t="s">
        <v>883</v>
      </c>
      <c r="B810" s="1379">
        <v>0</v>
      </c>
      <c r="C810" s="1379">
        <f>SUM(C811:C812)</f>
        <v>220332408.00000185</v>
      </c>
      <c r="D810" s="1379">
        <f>SUM(D811:D812)</f>
        <v>241534114.2188834</v>
      </c>
      <c r="E810" s="1379">
        <f>SUM(E811:E812)</f>
        <v>264817859.60326692</v>
      </c>
    </row>
    <row r="811" spans="1:5" ht="21.9" hidden="1" customHeight="1" outlineLevel="1">
      <c r="A811" s="1393" t="s">
        <v>891</v>
      </c>
      <c r="B811" s="1381">
        <v>0</v>
      </c>
      <c r="C811" s="1381">
        <f>'Itemized Budget 2024-25'!L1961</f>
        <v>220332408.00000185</v>
      </c>
      <c r="D811" s="1381">
        <f>C811*1.0962259996672</f>
        <v>241534114.2188834</v>
      </c>
      <c r="E811" s="1381">
        <f>D811*1.09639940701413</f>
        <v>264817859.60326692</v>
      </c>
    </row>
    <row r="812" spans="1:5" ht="21.9" hidden="1" customHeight="1" outlineLevel="1">
      <c r="A812" s="1393" t="s">
        <v>892</v>
      </c>
      <c r="B812" s="1381">
        <v>0</v>
      </c>
      <c r="C812" s="1381">
        <v>0</v>
      </c>
      <c r="D812" s="1381">
        <f>C812*1.0962259996672</f>
        <v>0</v>
      </c>
      <c r="E812" s="1381">
        <f>D812*1.09639940701413</f>
        <v>0</v>
      </c>
    </row>
    <row r="813" spans="1:5" ht="21.9" hidden="1" customHeight="1" outlineLevel="1">
      <c r="A813" s="1382" t="s">
        <v>893</v>
      </c>
      <c r="B813" s="1379">
        <v>2809566.98</v>
      </c>
      <c r="C813" s="1379">
        <f>C806+C810</f>
        <v>322539769.96400183</v>
      </c>
      <c r="D813" s="1379">
        <f>D806+D810</f>
        <v>353576481.76121664</v>
      </c>
      <c r="E813" s="1379">
        <f>E806+E810</f>
        <v>387661044.93714035</v>
      </c>
    </row>
    <row r="814" spans="1:5" ht="21.9" hidden="1" customHeight="1" outlineLevel="1"/>
    <row r="815" spans="1:5" ht="21.9" hidden="1" customHeight="1" outlineLevel="1"/>
    <row r="816" spans="1:5" ht="21.9" hidden="1" customHeight="1" outlineLevel="1">
      <c r="A816" s="1408" t="s">
        <v>952</v>
      </c>
      <c r="B816" s="1367"/>
      <c r="C816" s="1367"/>
      <c r="D816" s="1367"/>
      <c r="E816" s="1367"/>
    </row>
    <row r="817" spans="1:5" ht="21.9" hidden="1" customHeight="1" outlineLevel="1">
      <c r="A817" s="1369" t="s">
        <v>878</v>
      </c>
      <c r="B817" s="1412" t="s">
        <v>1671</v>
      </c>
      <c r="C817" s="1412" t="s">
        <v>1680</v>
      </c>
      <c r="D817" s="1371" t="s">
        <v>859</v>
      </c>
      <c r="E817" s="1372"/>
    </row>
    <row r="818" spans="1:5" ht="21.9" hidden="1" customHeight="1" outlineLevel="1">
      <c r="A818" s="1373"/>
      <c r="B818" s="1374"/>
      <c r="C818" s="1374"/>
      <c r="D818" s="1413" t="s">
        <v>861</v>
      </c>
      <c r="E818" s="1413" t="s">
        <v>1672</v>
      </c>
    </row>
    <row r="819" spans="1:5" ht="21.9" hidden="1" customHeight="1" outlineLevel="1">
      <c r="A819" s="1382" t="s">
        <v>890</v>
      </c>
      <c r="B819" s="1379">
        <v>870000</v>
      </c>
      <c r="C819" s="1379">
        <f>SUM(C820:C822)</f>
        <v>1670000</v>
      </c>
      <c r="D819" s="1379">
        <f>SUM(D820:D822)</f>
        <v>1830697.4194442239</v>
      </c>
      <c r="E819" s="1379">
        <f>SUM(E820:E822)</f>
        <v>2007175.5651009453</v>
      </c>
    </row>
    <row r="820" spans="1:5" ht="21.9" hidden="1" customHeight="1" outlineLevel="1">
      <c r="A820" s="1393" t="s">
        <v>880</v>
      </c>
      <c r="B820" s="1381">
        <v>0</v>
      </c>
      <c r="C820" s="1381">
        <v>0</v>
      </c>
      <c r="D820" s="1381">
        <f>C820*1.0962259996672</f>
        <v>0</v>
      </c>
      <c r="E820" s="1381">
        <f>D820*1.09639940701413</f>
        <v>0</v>
      </c>
    </row>
    <row r="821" spans="1:5" ht="21.9" hidden="1" customHeight="1" outlineLevel="1">
      <c r="A821" s="1393" t="s">
        <v>881</v>
      </c>
      <c r="B821" s="1381">
        <v>870000</v>
      </c>
      <c r="C821" s="1381">
        <f>'Itemized Budget 2024-25'!L1968</f>
        <v>1670000</v>
      </c>
      <c r="D821" s="1381">
        <f>C821*1.0962259996672</f>
        <v>1830697.4194442239</v>
      </c>
      <c r="E821" s="1381">
        <f>D821*1.09639940701413</f>
        <v>2007175.5651009453</v>
      </c>
    </row>
    <row r="822" spans="1:5" ht="21.9" hidden="1" customHeight="1" outlineLevel="1">
      <c r="A822" s="1393" t="s">
        <v>882</v>
      </c>
      <c r="B822" s="1381"/>
      <c r="C822" s="1381"/>
      <c r="D822" s="1381">
        <f>C822*1.0962259996672</f>
        <v>0</v>
      </c>
      <c r="E822" s="1381">
        <f>D822*1.09639940701413</f>
        <v>0</v>
      </c>
    </row>
    <row r="823" spans="1:5" ht="21.9" hidden="1" customHeight="1" outlineLevel="1">
      <c r="A823" s="1382" t="s">
        <v>883</v>
      </c>
      <c r="B823" s="1379">
        <v>0</v>
      </c>
      <c r="C823" s="1379">
        <f>SUM(C824:C825)</f>
        <v>0</v>
      </c>
      <c r="D823" s="1379">
        <f>SUM(D824:D825)</f>
        <v>0</v>
      </c>
      <c r="E823" s="1379">
        <f>SUM(E824:E825)</f>
        <v>0</v>
      </c>
    </row>
    <row r="824" spans="1:5" ht="21.9" hidden="1" customHeight="1" outlineLevel="1">
      <c r="A824" s="1393" t="s">
        <v>891</v>
      </c>
      <c r="B824" s="1381"/>
      <c r="C824" s="1381"/>
      <c r="D824" s="1381">
        <f>C824*1.0962259996672</f>
        <v>0</v>
      </c>
      <c r="E824" s="1381">
        <f>D824*1.09639940701413</f>
        <v>0</v>
      </c>
    </row>
    <row r="825" spans="1:5" ht="21.9" hidden="1" customHeight="1" outlineLevel="1">
      <c r="A825" s="1393" t="s">
        <v>892</v>
      </c>
      <c r="B825" s="1381"/>
      <c r="C825" s="1381"/>
      <c r="D825" s="1381">
        <f>C825*1.0962259996672</f>
        <v>0</v>
      </c>
      <c r="E825" s="1381">
        <f>D825*1.09639940701413</f>
        <v>0</v>
      </c>
    </row>
    <row r="826" spans="1:5" ht="21.9" hidden="1" customHeight="1" outlineLevel="1">
      <c r="A826" s="1382" t="s">
        <v>893</v>
      </c>
      <c r="B826" s="1379">
        <v>870000</v>
      </c>
      <c r="C826" s="1379">
        <f>C819+C823</f>
        <v>1670000</v>
      </c>
      <c r="D826" s="1379">
        <f>D819+D823</f>
        <v>1830697.4194442239</v>
      </c>
      <c r="E826" s="1379">
        <f>E819+E823</f>
        <v>2007175.5651009453</v>
      </c>
    </row>
    <row r="827" spans="1:5" ht="21.9" hidden="1" customHeight="1" outlineLevel="1"/>
    <row r="828" spans="1:5" ht="21.9" hidden="1" customHeight="1" outlineLevel="1">
      <c r="A828" s="1366"/>
      <c r="B828" s="1367"/>
      <c r="C828" s="1367"/>
      <c r="D828" s="1367"/>
      <c r="E828" s="1367"/>
    </row>
    <row r="829" spans="1:5" ht="21.9" hidden="1" customHeight="1" outlineLevel="1">
      <c r="A829" s="1430" t="s">
        <v>958</v>
      </c>
      <c r="B829" s="1425"/>
      <c r="C829" s="1425"/>
      <c r="D829" s="1406"/>
      <c r="E829" s="1406"/>
    </row>
    <row r="830" spans="1:5" ht="21.9" hidden="1" customHeight="1" outlineLevel="1">
      <c r="A830" s="1369" t="s">
        <v>878</v>
      </c>
      <c r="B830" s="1370" t="s">
        <v>1671</v>
      </c>
      <c r="C830" s="1370" t="s">
        <v>1680</v>
      </c>
      <c r="D830" s="1371" t="s">
        <v>859</v>
      </c>
      <c r="E830" s="1372"/>
    </row>
    <row r="831" spans="1:5" ht="21.9" hidden="1" customHeight="1" outlineLevel="1">
      <c r="A831" s="1373"/>
      <c r="B831" s="1374"/>
      <c r="C831" s="1374"/>
      <c r="D831" s="1375" t="s">
        <v>861</v>
      </c>
      <c r="E831" s="1375" t="s">
        <v>1672</v>
      </c>
    </row>
    <row r="832" spans="1:5" ht="21.9" hidden="1" customHeight="1" outlineLevel="1">
      <c r="A832" s="1382" t="s">
        <v>890</v>
      </c>
      <c r="B832" s="1379">
        <v>0</v>
      </c>
      <c r="C832" s="1379">
        <f>SUM(C833:C835)</f>
        <v>0</v>
      </c>
      <c r="D832" s="1379">
        <f>SUM(D833:D835)</f>
        <v>0</v>
      </c>
      <c r="E832" s="1379">
        <f>SUM(E833:E835)</f>
        <v>0</v>
      </c>
    </row>
    <row r="833" spans="1:5" ht="21.9" hidden="1" customHeight="1" outlineLevel="1">
      <c r="A833" s="1393" t="s">
        <v>880</v>
      </c>
      <c r="B833" s="1381"/>
      <c r="C833" s="1381"/>
      <c r="D833" s="1381">
        <f>C833*1.0962259996672</f>
        <v>0</v>
      </c>
      <c r="E833" s="1381">
        <f>D833*1.09639940701413</f>
        <v>0</v>
      </c>
    </row>
    <row r="834" spans="1:5" ht="21.9" hidden="1" customHeight="1" outlineLevel="1">
      <c r="A834" s="1393" t="s">
        <v>881</v>
      </c>
      <c r="B834" s="1381"/>
      <c r="C834" s="1381"/>
      <c r="D834" s="1381">
        <f>C834*1.0962259996672</f>
        <v>0</v>
      </c>
      <c r="E834" s="1381">
        <f>D834*1.09639940701413</f>
        <v>0</v>
      </c>
    </row>
    <row r="835" spans="1:5" ht="21.9" hidden="1" customHeight="1" outlineLevel="1">
      <c r="A835" s="1393" t="s">
        <v>882</v>
      </c>
      <c r="B835" s="1381"/>
      <c r="C835" s="1381"/>
      <c r="D835" s="1381">
        <f>C835*1.0962259996672</f>
        <v>0</v>
      </c>
      <c r="E835" s="1381">
        <f>D835*1.09639940701413</f>
        <v>0</v>
      </c>
    </row>
    <row r="836" spans="1:5" ht="21.9" hidden="1" customHeight="1" outlineLevel="1">
      <c r="A836" s="1382" t="s">
        <v>883</v>
      </c>
      <c r="B836" s="1379">
        <v>0</v>
      </c>
      <c r="C836" s="1379">
        <f>SUM(C837:C838)</f>
        <v>0</v>
      </c>
      <c r="D836" s="1379">
        <f>SUM(D837:D838)</f>
        <v>0</v>
      </c>
      <c r="E836" s="1379">
        <f>SUM(E837:E838)</f>
        <v>0</v>
      </c>
    </row>
    <row r="837" spans="1:5" ht="21.9" hidden="1" customHeight="1" outlineLevel="1">
      <c r="A837" s="1393" t="s">
        <v>891</v>
      </c>
      <c r="B837" s="1381">
        <v>0</v>
      </c>
      <c r="C837" s="1381">
        <v>0</v>
      </c>
      <c r="D837" s="1381">
        <f>C837*1.0962259996672</f>
        <v>0</v>
      </c>
      <c r="E837" s="1381">
        <f>D837*1.09639940701413</f>
        <v>0</v>
      </c>
    </row>
    <row r="838" spans="1:5" ht="21.9" hidden="1" customHeight="1" outlineLevel="1">
      <c r="A838" s="1393" t="s">
        <v>892</v>
      </c>
      <c r="B838" s="1381">
        <v>0</v>
      </c>
      <c r="C838" s="1381">
        <v>0</v>
      </c>
      <c r="D838" s="1381">
        <f>C838*1.0962259996672</f>
        <v>0</v>
      </c>
      <c r="E838" s="1381">
        <f>D838*1.09639940701413</f>
        <v>0</v>
      </c>
    </row>
    <row r="839" spans="1:5" ht="21.9" hidden="1" customHeight="1" outlineLevel="1">
      <c r="A839" s="1382" t="s">
        <v>893</v>
      </c>
      <c r="B839" s="1379">
        <v>0</v>
      </c>
      <c r="C839" s="1379">
        <f>SUM(C832+C836)</f>
        <v>0</v>
      </c>
      <c r="D839" s="1379">
        <f>SUM(D832+D836)</f>
        <v>0</v>
      </c>
      <c r="E839" s="1379">
        <f>SUM(E832+E836)</f>
        <v>0</v>
      </c>
    </row>
    <row r="840" spans="1:5" ht="21.9" hidden="1" customHeight="1" outlineLevel="1">
      <c r="A840" s="1366"/>
      <c r="B840" s="1367"/>
      <c r="C840" s="1367"/>
      <c r="D840" s="1367"/>
      <c r="E840" s="1367"/>
    </row>
    <row r="841" spans="1:5" ht="21.9" hidden="1" customHeight="1" outlineLevel="1">
      <c r="A841" s="1431" t="s">
        <v>962</v>
      </c>
      <c r="B841" s="1425"/>
      <c r="C841" s="1425"/>
      <c r="D841" s="1406"/>
      <c r="E841" s="1406"/>
    </row>
    <row r="842" spans="1:5" ht="21.9" hidden="1" customHeight="1" outlineLevel="1">
      <c r="A842" s="1369" t="s">
        <v>878</v>
      </c>
      <c r="B842" s="1370" t="s">
        <v>1671</v>
      </c>
      <c r="C842" s="1370" t="s">
        <v>1680</v>
      </c>
      <c r="D842" s="1371" t="s">
        <v>859</v>
      </c>
      <c r="E842" s="1372"/>
    </row>
    <row r="843" spans="1:5" ht="21.9" hidden="1" customHeight="1" outlineLevel="1">
      <c r="A843" s="1373"/>
      <c r="B843" s="1374"/>
      <c r="C843" s="1374"/>
      <c r="D843" s="1375" t="s">
        <v>861</v>
      </c>
      <c r="E843" s="1375" t="s">
        <v>1672</v>
      </c>
    </row>
    <row r="844" spans="1:5" ht="21.9" hidden="1" customHeight="1" outlineLevel="1">
      <c r="A844" s="1382" t="s">
        <v>890</v>
      </c>
      <c r="B844" s="1379">
        <v>395000000.08395499</v>
      </c>
      <c r="C844" s="1379">
        <f>SUM(C845:C847)</f>
        <v>559971361.79869449</v>
      </c>
      <c r="D844" s="1379">
        <f>SUM(D845:D847)</f>
        <v>613855165.87277722</v>
      </c>
      <c r="E844" s="1379">
        <f>SUM(E845:E847)</f>
        <v>673030439.85547328</v>
      </c>
    </row>
    <row r="845" spans="1:5" ht="21.9" hidden="1" customHeight="1" outlineLevel="1">
      <c r="A845" s="1393" t="s">
        <v>880</v>
      </c>
      <c r="B845" s="1381"/>
      <c r="C845" s="1381"/>
      <c r="D845" s="1381">
        <f>C845*1.0962259996672</f>
        <v>0</v>
      </c>
      <c r="E845" s="1381">
        <f>D845*1.09639940701413</f>
        <v>0</v>
      </c>
    </row>
    <row r="846" spans="1:5" ht="21.9" hidden="1" customHeight="1" outlineLevel="1">
      <c r="A846" s="1393" t="s">
        <v>881</v>
      </c>
      <c r="B846" s="1381">
        <v>395000000.08395499</v>
      </c>
      <c r="C846" s="1381">
        <f>'Itemized Budget 2024-25'!L1976</f>
        <v>349999999.79869449</v>
      </c>
      <c r="D846" s="1381">
        <f>C846*1.0962259996672</f>
        <v>383679099.66284364</v>
      </c>
      <c r="E846" s="1381">
        <f>D846*1.09639940701413</f>
        <v>420665537.35405707</v>
      </c>
    </row>
    <row r="847" spans="1:5" ht="21.9" hidden="1" customHeight="1" outlineLevel="1">
      <c r="A847" s="1393" t="s">
        <v>882</v>
      </c>
      <c r="B847" s="1381"/>
      <c r="C847" s="1381">
        <f>'Itemized Budget 2024-25'!L1999</f>
        <v>209971362</v>
      </c>
      <c r="D847" s="1381">
        <f>C847*1.0962259996672</f>
        <v>230176066.20993352</v>
      </c>
      <c r="E847" s="1381">
        <f>D847*1.09639940701413</f>
        <v>252364902.50141627</v>
      </c>
    </row>
    <row r="848" spans="1:5" ht="21.9" hidden="1" customHeight="1" outlineLevel="1">
      <c r="A848" s="1382" t="s">
        <v>883</v>
      </c>
      <c r="B848" s="1379">
        <v>0</v>
      </c>
      <c r="C848" s="1379">
        <f>SUM(C849:C850)</f>
        <v>10359558</v>
      </c>
      <c r="D848" s="1379">
        <f>SUM(D849:D850)</f>
        <v>11356416.824660338</v>
      </c>
      <c r="E848" s="1379">
        <f>SUM(E849:E850)</f>
        <v>12451168.672362885</v>
      </c>
    </row>
    <row r="849" spans="1:5" ht="21.9" hidden="1" customHeight="1" outlineLevel="1">
      <c r="A849" s="1393" t="s">
        <v>891</v>
      </c>
      <c r="B849" s="1381">
        <v>0</v>
      </c>
      <c r="C849" s="1381">
        <f>'Itemized Budget 2024-25'!L2003</f>
        <v>10359558</v>
      </c>
      <c r="D849" s="1381">
        <f>C849*1.0962259996672</f>
        <v>11356416.824660338</v>
      </c>
      <c r="E849" s="1381">
        <f>D849*1.09639940701413</f>
        <v>12451168.672362885</v>
      </c>
    </row>
    <row r="850" spans="1:5" ht="21.9" hidden="1" customHeight="1" outlineLevel="1">
      <c r="A850" s="1393" t="s">
        <v>892</v>
      </c>
      <c r="B850" s="1381">
        <v>0</v>
      </c>
      <c r="C850" s="1381">
        <f>0</f>
        <v>0</v>
      </c>
      <c r="D850" s="1381">
        <f>C850*1.0962259996672</f>
        <v>0</v>
      </c>
      <c r="E850" s="1381">
        <f>D850*1.09639940701413</f>
        <v>0</v>
      </c>
    </row>
    <row r="851" spans="1:5" ht="21.9" hidden="1" customHeight="1" outlineLevel="1">
      <c r="A851" s="1382" t="s">
        <v>893</v>
      </c>
      <c r="B851" s="1379">
        <v>395000000.08395499</v>
      </c>
      <c r="C851" s="1379">
        <f>SUM(C844+C848)</f>
        <v>570330919.79869449</v>
      </c>
      <c r="D851" s="1379">
        <f>SUM(D844+D848)</f>
        <v>625211582.69743752</v>
      </c>
      <c r="E851" s="1379">
        <f>SUM(E844+E848)</f>
        <v>685481608.5278362</v>
      </c>
    </row>
    <row r="852" spans="1:5" ht="21.9" hidden="1" customHeight="1" outlineLevel="1">
      <c r="A852" s="1366"/>
      <c r="B852" s="1367"/>
      <c r="C852" s="1367"/>
      <c r="D852" s="1367"/>
      <c r="E852" s="1367"/>
    </row>
    <row r="853" spans="1:5" ht="21.9" hidden="1" customHeight="1" outlineLevel="1">
      <c r="A853" s="1366" t="s">
        <v>1690</v>
      </c>
      <c r="B853" s="1367"/>
      <c r="C853" s="1367"/>
      <c r="D853" s="1367"/>
      <c r="E853" s="1367"/>
    </row>
    <row r="854" spans="1:5" ht="21.9" hidden="1" customHeight="1" outlineLevel="1">
      <c r="A854" s="1366" t="s">
        <v>954</v>
      </c>
      <c r="B854" s="1367"/>
      <c r="C854" s="1367"/>
      <c r="D854" s="1367"/>
      <c r="E854" s="1367"/>
    </row>
    <row r="855" spans="1:5" ht="21.9" hidden="1" customHeight="1" outlineLevel="1">
      <c r="A855" s="1369" t="s">
        <v>878</v>
      </c>
      <c r="B855" s="1370" t="s">
        <v>1671</v>
      </c>
      <c r="C855" s="1370" t="s">
        <v>1680</v>
      </c>
      <c r="D855" s="1371" t="s">
        <v>859</v>
      </c>
      <c r="E855" s="1372"/>
    </row>
    <row r="856" spans="1:5" ht="21.9" hidden="1" customHeight="1" outlineLevel="1">
      <c r="A856" s="1373"/>
      <c r="B856" s="1374"/>
      <c r="C856" s="1374"/>
      <c r="D856" s="1375" t="s">
        <v>861</v>
      </c>
      <c r="E856" s="1375" t="s">
        <v>1672</v>
      </c>
    </row>
    <row r="857" spans="1:5" ht="21.9" hidden="1" customHeight="1" outlineLevel="1">
      <c r="A857" s="1382" t="s">
        <v>890</v>
      </c>
      <c r="B857" s="1379">
        <v>868649223.324</v>
      </c>
      <c r="C857" s="1379">
        <f>SUM(C858:C860)</f>
        <v>0</v>
      </c>
      <c r="D857" s="1379">
        <f>SUM(D858:D860)</f>
        <v>0</v>
      </c>
      <c r="E857" s="1379">
        <f>SUM(E858:E860)</f>
        <v>0</v>
      </c>
    </row>
    <row r="858" spans="1:5" ht="21.9" hidden="1" customHeight="1" outlineLevel="1">
      <c r="A858" s="1393" t="s">
        <v>880</v>
      </c>
      <c r="B858" s="1381">
        <v>861479556</v>
      </c>
      <c r="C858" s="1381"/>
      <c r="D858" s="1381">
        <f>C858*1.0962259996672</f>
        <v>0</v>
      </c>
      <c r="E858" s="1381">
        <f>D858*1.09639940701413</f>
        <v>0</v>
      </c>
    </row>
    <row r="859" spans="1:5" ht="21.9" hidden="1" customHeight="1" outlineLevel="1">
      <c r="A859" s="1393" t="s">
        <v>881</v>
      </c>
      <c r="B859" s="1381">
        <v>6125667.324000001</v>
      </c>
      <c r="C859" s="1381"/>
      <c r="D859" s="1381">
        <f>C859*1.0962259996672</f>
        <v>0</v>
      </c>
      <c r="E859" s="1381">
        <f>D859*1.09639940701413</f>
        <v>0</v>
      </c>
    </row>
    <row r="860" spans="1:5" ht="21.9" hidden="1" customHeight="1" outlineLevel="1">
      <c r="A860" s="1393" t="s">
        <v>882</v>
      </c>
      <c r="B860" s="1381">
        <v>1044000</v>
      </c>
      <c r="C860" s="1381"/>
      <c r="D860" s="1381">
        <f>C860*1.0962259996672</f>
        <v>0</v>
      </c>
      <c r="E860" s="1381">
        <f>D860*1.09639940701413</f>
        <v>0</v>
      </c>
    </row>
    <row r="861" spans="1:5" ht="21.9" hidden="1" customHeight="1" outlineLevel="1">
      <c r="A861" s="1382" t="s">
        <v>883</v>
      </c>
      <c r="B861" s="1379">
        <v>22087656</v>
      </c>
      <c r="C861" s="1379">
        <f>SUM(C862:C863)</f>
        <v>0</v>
      </c>
      <c r="D861" s="1379">
        <f>SUM(D862:D863)</f>
        <v>0</v>
      </c>
      <c r="E861" s="1379">
        <f>SUM(E862:E863)</f>
        <v>0</v>
      </c>
    </row>
    <row r="862" spans="1:5" ht="21.9" hidden="1" customHeight="1" outlineLevel="1">
      <c r="A862" s="1393" t="s">
        <v>891</v>
      </c>
      <c r="B862" s="1381">
        <v>22087656</v>
      </c>
      <c r="C862" s="1381"/>
      <c r="D862" s="1381">
        <f>C862*1.0962259996672</f>
        <v>0</v>
      </c>
      <c r="E862" s="1381">
        <f>D862*1.09639940701413</f>
        <v>0</v>
      </c>
    </row>
    <row r="863" spans="1:5" ht="21.9" hidden="1" customHeight="1" outlineLevel="1">
      <c r="A863" s="1393" t="s">
        <v>892</v>
      </c>
      <c r="B863" s="1381">
        <v>0</v>
      </c>
      <c r="C863" s="1381">
        <v>0</v>
      </c>
      <c r="D863" s="1381">
        <f>C863*1.0962259996672</f>
        <v>0</v>
      </c>
      <c r="E863" s="1381">
        <f>D863*1.09639940701413</f>
        <v>0</v>
      </c>
    </row>
    <row r="864" spans="1:5" ht="21.9" hidden="1" customHeight="1" outlineLevel="1">
      <c r="A864" s="1382" t="s">
        <v>893</v>
      </c>
      <c r="B864" s="1379">
        <v>890736879.324</v>
      </c>
      <c r="C864" s="1379">
        <f>C857+C861</f>
        <v>0</v>
      </c>
      <c r="D864" s="1379">
        <f>D857+D861</f>
        <v>0</v>
      </c>
      <c r="E864" s="1379">
        <f>E857+E861</f>
        <v>0</v>
      </c>
    </row>
    <row r="865" spans="1:5" ht="21.9" hidden="1" customHeight="1" outlineLevel="1"/>
    <row r="866" spans="1:5" ht="21.9" hidden="1" customHeight="1" outlineLevel="1"/>
    <row r="867" spans="1:5" ht="21.9" hidden="1" customHeight="1" outlineLevel="1"/>
    <row r="868" spans="1:5" ht="21.9" hidden="1" customHeight="1" outlineLevel="1">
      <c r="A868" s="1366" t="s">
        <v>1691</v>
      </c>
      <c r="B868" s="1367"/>
      <c r="C868" s="1367"/>
      <c r="D868" s="1367"/>
      <c r="E868" s="1367"/>
    </row>
    <row r="869" spans="1:5" ht="21.9" hidden="1" customHeight="1" outlineLevel="1">
      <c r="A869" s="1369" t="s">
        <v>878</v>
      </c>
      <c r="B869" s="1370" t="s">
        <v>1671</v>
      </c>
      <c r="C869" s="1370" t="s">
        <v>1680</v>
      </c>
      <c r="D869" s="1371" t="s">
        <v>859</v>
      </c>
      <c r="E869" s="1372"/>
    </row>
    <row r="870" spans="1:5" ht="21.9" hidden="1" customHeight="1" outlineLevel="1">
      <c r="A870" s="1373"/>
      <c r="B870" s="1374"/>
      <c r="C870" s="1374"/>
      <c r="D870" s="1375" t="s">
        <v>861</v>
      </c>
      <c r="E870" s="1375" t="s">
        <v>1672</v>
      </c>
    </row>
    <row r="871" spans="1:5" ht="21.9" hidden="1" customHeight="1" outlineLevel="1">
      <c r="A871" s="1382" t="s">
        <v>890</v>
      </c>
      <c r="B871" s="1379">
        <v>981436.473</v>
      </c>
      <c r="C871" s="1379">
        <f>SUM(C872:C874)</f>
        <v>0</v>
      </c>
      <c r="D871" s="1379">
        <f>SUM(D872:D874)</f>
        <v>0</v>
      </c>
      <c r="E871" s="1379">
        <f>SUM(E872:E874)</f>
        <v>0</v>
      </c>
    </row>
    <row r="872" spans="1:5" ht="21.9" hidden="1" customHeight="1" outlineLevel="1">
      <c r="A872" s="1393" t="s">
        <v>880</v>
      </c>
      <c r="B872" s="1381"/>
      <c r="C872" s="1381"/>
      <c r="D872" s="1381">
        <f>C872*1.0962259996672</f>
        <v>0</v>
      </c>
      <c r="E872" s="1381">
        <f>D872*1.09639940701413</f>
        <v>0</v>
      </c>
    </row>
    <row r="873" spans="1:5" ht="21.9" hidden="1" customHeight="1" outlineLevel="1">
      <c r="A873" s="1393" t="s">
        <v>881</v>
      </c>
      <c r="B873" s="1381">
        <v>981436.473</v>
      </c>
      <c r="C873" s="1381"/>
      <c r="D873" s="1381">
        <f>C873*1.0962259996672</f>
        <v>0</v>
      </c>
      <c r="E873" s="1381">
        <f>D873*1.09639940701413</f>
        <v>0</v>
      </c>
    </row>
    <row r="874" spans="1:5" ht="21.9" hidden="1" customHeight="1" outlineLevel="1">
      <c r="A874" s="1393" t="s">
        <v>882</v>
      </c>
      <c r="B874" s="1381"/>
      <c r="C874" s="1381"/>
      <c r="D874" s="1381">
        <f>C874*1.0962259996672</f>
        <v>0</v>
      </c>
      <c r="E874" s="1381">
        <f>D874*1.09639940701413</f>
        <v>0</v>
      </c>
    </row>
    <row r="875" spans="1:5" ht="21.9" hidden="1" customHeight="1" outlineLevel="1">
      <c r="A875" s="1382" t="s">
        <v>883</v>
      </c>
      <c r="B875" s="1379">
        <v>0</v>
      </c>
      <c r="C875" s="1379">
        <f>SUM(C876:C877)</f>
        <v>0</v>
      </c>
      <c r="D875" s="1379">
        <f>SUM(D876:D877)</f>
        <v>0</v>
      </c>
      <c r="E875" s="1379">
        <f>SUM(E876:E877)</f>
        <v>0</v>
      </c>
    </row>
    <row r="876" spans="1:5" ht="21.9" hidden="1" customHeight="1" outlineLevel="1">
      <c r="A876" s="1393" t="s">
        <v>891</v>
      </c>
      <c r="B876" s="1381">
        <v>0</v>
      </c>
      <c r="C876" s="1381"/>
      <c r="D876" s="1381">
        <f>C876*1.0962259996672</f>
        <v>0</v>
      </c>
      <c r="E876" s="1381">
        <f>D876*1.09639940701413</f>
        <v>0</v>
      </c>
    </row>
    <row r="877" spans="1:5" ht="21.9" hidden="1" customHeight="1" outlineLevel="1">
      <c r="A877" s="1393" t="s">
        <v>892</v>
      </c>
      <c r="B877" s="1381"/>
      <c r="C877" s="1381"/>
      <c r="D877" s="1381">
        <f>C877*1.0962259996672</f>
        <v>0</v>
      </c>
      <c r="E877" s="1381">
        <f>D877*1.09639940701413</f>
        <v>0</v>
      </c>
    </row>
    <row r="878" spans="1:5" ht="21.9" hidden="1" customHeight="1" outlineLevel="1">
      <c r="A878" s="1382" t="s">
        <v>893</v>
      </c>
      <c r="B878" s="1379">
        <v>981436.473</v>
      </c>
      <c r="C878" s="1379">
        <f>C871+C875</f>
        <v>0</v>
      </c>
      <c r="D878" s="1379">
        <f>D871+D875</f>
        <v>0</v>
      </c>
      <c r="E878" s="1379">
        <f>E871+E875</f>
        <v>0</v>
      </c>
    </row>
    <row r="879" spans="1:5" ht="21.9" hidden="1" customHeight="1" outlineLevel="1"/>
    <row r="880" spans="1:5" ht="21.9" hidden="1" customHeight="1" outlineLevel="1"/>
    <row r="881" spans="1:5" ht="21.9" hidden="1" customHeight="1" outlineLevel="1">
      <c r="A881" s="1366"/>
      <c r="B881" s="1367"/>
      <c r="C881" s="1367"/>
      <c r="D881" s="1367"/>
      <c r="E881" s="1367"/>
    </row>
    <row r="882" spans="1:5" ht="21.9" hidden="1" customHeight="1" outlineLevel="1"/>
    <row r="883" spans="1:5" ht="21.9" hidden="1" customHeight="1" outlineLevel="1">
      <c r="A883" s="1408" t="s">
        <v>1692</v>
      </c>
      <c r="B883" s="1367"/>
      <c r="C883" s="1367"/>
      <c r="D883" s="1367"/>
      <c r="E883" s="1367"/>
    </row>
    <row r="884" spans="1:5" ht="21.9" hidden="1" customHeight="1" outlineLevel="1">
      <c r="A884" s="1366" t="s">
        <v>963</v>
      </c>
      <c r="B884" s="1367"/>
      <c r="C884" s="1367"/>
      <c r="D884" s="1367"/>
      <c r="E884" s="1367"/>
    </row>
    <row r="885" spans="1:5" ht="21.9" hidden="1" customHeight="1" outlineLevel="1">
      <c r="A885" s="1369" t="s">
        <v>878</v>
      </c>
      <c r="B885" s="1412" t="s">
        <v>1671</v>
      </c>
      <c r="C885" s="1412" t="s">
        <v>1680</v>
      </c>
      <c r="D885" s="1371" t="s">
        <v>859</v>
      </c>
      <c r="E885" s="1372"/>
    </row>
    <row r="886" spans="1:5" ht="21.9" hidden="1" customHeight="1" outlineLevel="1">
      <c r="A886" s="1373"/>
      <c r="B886" s="1374"/>
      <c r="C886" s="1374"/>
      <c r="D886" s="1413" t="s">
        <v>861</v>
      </c>
      <c r="E886" s="1413" t="s">
        <v>1672</v>
      </c>
    </row>
    <row r="887" spans="1:5" ht="21.9" hidden="1" customHeight="1" outlineLevel="1">
      <c r="A887" s="1382" t="s">
        <v>890</v>
      </c>
      <c r="B887" s="1379">
        <v>1133900</v>
      </c>
      <c r="C887" s="1379">
        <f>SUM(C888:C890)</f>
        <v>1068716408.954</v>
      </c>
      <c r="D887" s="1379">
        <f>SUM(D888:D890)</f>
        <v>1171554713.7663388</v>
      </c>
      <c r="E887" s="1379">
        <f>SUM(E888:E890)</f>
        <v>1284491893.4580228</v>
      </c>
    </row>
    <row r="888" spans="1:5" ht="21.9" hidden="1" customHeight="1" outlineLevel="1">
      <c r="A888" s="1393" t="s">
        <v>880</v>
      </c>
      <c r="B888" s="1381"/>
      <c r="C888" s="1381">
        <f>'Itemized Budget 2024-25'!L2012</f>
        <v>893379774</v>
      </c>
      <c r="D888" s="1381">
        <f>C888*1.0962259996672</f>
        <v>979346135.83560717</v>
      </c>
      <c r="E888" s="1381">
        <f>D888*1.09639940701413</f>
        <v>1073754522.5917394</v>
      </c>
    </row>
    <row r="889" spans="1:5" ht="21.9" hidden="1" customHeight="1" outlineLevel="1">
      <c r="A889" s="1393" t="s">
        <v>881</v>
      </c>
      <c r="B889" s="1381">
        <v>1133900</v>
      </c>
      <c r="C889" s="1381">
        <f>'Itemized Budget 2024-25'!L2054-'Itemized Budget 2024-25'!L2051-'Itemized Budget 2024-25'!L2049-'Itemized Budget 2024-25'!L2012</f>
        <v>171484834.954</v>
      </c>
      <c r="D889" s="1381">
        <f>C889*1.0962259996672</f>
        <v>187986134.62521344</v>
      </c>
      <c r="E889" s="1381">
        <f>D889*1.09639940701413</f>
        <v>206107886.52996245</v>
      </c>
    </row>
    <row r="890" spans="1:5" ht="21.9" hidden="1" customHeight="1" outlineLevel="1">
      <c r="A890" s="1393" t="s">
        <v>882</v>
      </c>
      <c r="B890" s="1381">
        <v>0</v>
      </c>
      <c r="C890" s="1381">
        <f>'Itemized Budget 2024-25'!L2051+'Itemized Budget 2024-25'!L2049</f>
        <v>3851800</v>
      </c>
      <c r="D890" s="1381">
        <f>C890*1.0962259996672</f>
        <v>4222443.3055181205</v>
      </c>
      <c r="E890" s="1381">
        <f>D890*1.09639940701413</f>
        <v>4629484.336320851</v>
      </c>
    </row>
    <row r="891" spans="1:5" ht="21.9" hidden="1" customHeight="1" outlineLevel="1">
      <c r="A891" s="1382" t="s">
        <v>883</v>
      </c>
      <c r="B891" s="1379">
        <v>0</v>
      </c>
      <c r="C891" s="1379">
        <f>SUM(C892:C893)</f>
        <v>45791901.299999997</v>
      </c>
      <c r="D891" s="1379">
        <f>SUM(D892:D893)</f>
        <v>50198272.77925425</v>
      </c>
      <c r="E891" s="1379">
        <f>SUM(E892:E893)</f>
        <v>55037356.508307904</v>
      </c>
    </row>
    <row r="892" spans="1:5" ht="21.9" hidden="1" customHeight="1" outlineLevel="1">
      <c r="A892" s="1393" t="s">
        <v>891</v>
      </c>
      <c r="B892" s="1381"/>
      <c r="C892" s="1381">
        <f>'Itemized Budget 2024-25'!L2070</f>
        <v>45791901.299999997</v>
      </c>
      <c r="D892" s="1381">
        <f>C892*1.0962259996672</f>
        <v>50198272.77925425</v>
      </c>
      <c r="E892" s="1381">
        <f>D892*1.09639940701413</f>
        <v>55037356.508307904</v>
      </c>
    </row>
    <row r="893" spans="1:5" ht="21.9" hidden="1" customHeight="1" outlineLevel="1">
      <c r="A893" s="1393" t="s">
        <v>892</v>
      </c>
      <c r="B893" s="1381">
        <v>0</v>
      </c>
      <c r="C893" s="1381">
        <v>0</v>
      </c>
      <c r="D893" s="1381">
        <f>C893*1.0962259996672</f>
        <v>0</v>
      </c>
      <c r="E893" s="1381">
        <f>D893*1.09639940701413</f>
        <v>0</v>
      </c>
    </row>
    <row r="894" spans="1:5" ht="21.9" hidden="1" customHeight="1" outlineLevel="1">
      <c r="A894" s="1382" t="s">
        <v>893</v>
      </c>
      <c r="B894" s="1379">
        <v>1133900</v>
      </c>
      <c r="C894" s="1379">
        <f>C887+C891</f>
        <v>1114508310.2539999</v>
      </c>
      <c r="D894" s="1379">
        <f>D887+D891</f>
        <v>1221752986.545593</v>
      </c>
      <c r="E894" s="1379">
        <f>E887+E891</f>
        <v>1339529249.9663308</v>
      </c>
    </row>
    <row r="895" spans="1:5" ht="21.9" hidden="1" customHeight="1" outlineLevel="1"/>
    <row r="896" spans="1:5" ht="21.9" hidden="1" customHeight="1" outlineLevel="1"/>
    <row r="897" spans="1:5" ht="21.9" hidden="1" customHeight="1" outlineLevel="1">
      <c r="A897" s="1408" t="s">
        <v>1709</v>
      </c>
      <c r="B897" s="1406"/>
      <c r="C897" s="1406"/>
      <c r="D897" s="1406"/>
      <c r="E897" s="1406"/>
    </row>
    <row r="898" spans="1:5" ht="21.9" hidden="1" customHeight="1" outlineLevel="1">
      <c r="A898" s="1369" t="s">
        <v>878</v>
      </c>
      <c r="B898" s="1370" t="s">
        <v>1671</v>
      </c>
      <c r="C898" s="1370" t="s">
        <v>1680</v>
      </c>
      <c r="D898" s="1371" t="s">
        <v>859</v>
      </c>
      <c r="E898" s="1372"/>
    </row>
    <row r="899" spans="1:5" ht="21.9" hidden="1" customHeight="1" outlineLevel="1">
      <c r="A899" s="1373"/>
      <c r="B899" s="1374"/>
      <c r="C899" s="1374"/>
      <c r="D899" s="1375" t="s">
        <v>861</v>
      </c>
      <c r="E899" s="1375" t="s">
        <v>1672</v>
      </c>
    </row>
    <row r="900" spans="1:5" ht="21.9" hidden="1" customHeight="1" outlineLevel="1">
      <c r="A900" s="1382" t="s">
        <v>890</v>
      </c>
      <c r="B900" s="1379">
        <v>1235557.122</v>
      </c>
      <c r="C900" s="1379">
        <f>SUM(C901:C903)</f>
        <v>2000000</v>
      </c>
      <c r="D900" s="1379">
        <f>SUM(D901:D903)</f>
        <v>2192451.9993344001</v>
      </c>
      <c r="E900" s="1379">
        <f>SUM(E901:E903)</f>
        <v>2403803.07197718</v>
      </c>
    </row>
    <row r="901" spans="1:5" ht="21.9" hidden="1" customHeight="1" outlineLevel="1">
      <c r="A901" s="1393" t="s">
        <v>880</v>
      </c>
      <c r="B901" s="1381"/>
      <c r="C901" s="1381"/>
      <c r="D901" s="1381">
        <f>C901*1.0962259996672</f>
        <v>0</v>
      </c>
      <c r="E901" s="1381">
        <f>D901*1.09639940701413</f>
        <v>0</v>
      </c>
    </row>
    <row r="902" spans="1:5" ht="21.9" hidden="1" customHeight="1" outlineLevel="1">
      <c r="A902" s="1393" t="s">
        <v>881</v>
      </c>
      <c r="B902" s="1381">
        <v>1235557.122</v>
      </c>
      <c r="C902" s="1381">
        <f>'Itemized Budget 2024-25'!L2082</f>
        <v>2000000</v>
      </c>
      <c r="D902" s="1381">
        <f>C902*1.0962259996672</f>
        <v>2192451.9993344001</v>
      </c>
      <c r="E902" s="1381">
        <f>D902*1.09639940701413</f>
        <v>2403803.07197718</v>
      </c>
    </row>
    <row r="903" spans="1:5" ht="21.9" hidden="1" customHeight="1" outlineLevel="1">
      <c r="A903" s="1393" t="s">
        <v>882</v>
      </c>
      <c r="B903" s="1381"/>
      <c r="C903" s="1381"/>
      <c r="D903" s="1381">
        <f>C903*1.0962259996672</f>
        <v>0</v>
      </c>
      <c r="E903" s="1381">
        <f>D903*1.09639940701413</f>
        <v>0</v>
      </c>
    </row>
    <row r="904" spans="1:5" ht="21.9" hidden="1" customHeight="1" outlineLevel="1">
      <c r="A904" s="1382" t="s">
        <v>883</v>
      </c>
      <c r="B904" s="1379">
        <v>0</v>
      </c>
      <c r="C904" s="1379">
        <f>SUM(C905:C906)</f>
        <v>3557250</v>
      </c>
      <c r="D904" s="1379">
        <f>SUM(D905:D906)</f>
        <v>3899549.9373161467</v>
      </c>
      <c r="E904" s="1379">
        <f>SUM(E905:E906)</f>
        <v>4275464.2388954116</v>
      </c>
    </row>
    <row r="905" spans="1:5" ht="21.9" hidden="1" customHeight="1" outlineLevel="1">
      <c r="A905" s="1393" t="s">
        <v>891</v>
      </c>
      <c r="B905" s="1381">
        <v>0</v>
      </c>
      <c r="C905" s="1381">
        <f>'Itemized Budget 2024-25'!L2087</f>
        <v>3557250</v>
      </c>
      <c r="D905" s="1381">
        <f>C905*1.0962259996672</f>
        <v>3899549.9373161467</v>
      </c>
      <c r="E905" s="1381">
        <f>D905*1.09639940701413</f>
        <v>4275464.2388954116</v>
      </c>
    </row>
    <row r="906" spans="1:5" ht="21.9" hidden="1" customHeight="1" outlineLevel="1">
      <c r="A906" s="1393" t="s">
        <v>892</v>
      </c>
      <c r="B906" s="1381">
        <v>0</v>
      </c>
      <c r="C906" s="1381">
        <v>0</v>
      </c>
      <c r="D906" s="1381">
        <f>C906*1.0962259996672</f>
        <v>0</v>
      </c>
      <c r="E906" s="1381">
        <f>D906*1.09639940701413</f>
        <v>0</v>
      </c>
    </row>
    <row r="907" spans="1:5" ht="21.9" hidden="1" customHeight="1" outlineLevel="1">
      <c r="A907" s="1382" t="s">
        <v>893</v>
      </c>
      <c r="B907" s="1379">
        <v>1235557.122</v>
      </c>
      <c r="C907" s="1379">
        <f>C900+C904</f>
        <v>5557250</v>
      </c>
      <c r="D907" s="1379">
        <f>D900+D904</f>
        <v>6092001.9366505463</v>
      </c>
      <c r="E907" s="1379">
        <f>E900+E904</f>
        <v>6679267.310872592</v>
      </c>
    </row>
    <row r="908" spans="1:5" ht="21.9" hidden="1" customHeight="1" outlineLevel="1"/>
    <row r="909" spans="1:5" ht="21.9" hidden="1" customHeight="1" outlineLevel="1"/>
    <row r="910" spans="1:5" ht="21.9" hidden="1" customHeight="1" outlineLevel="1">
      <c r="A910" s="1431" t="s">
        <v>1711</v>
      </c>
      <c r="B910" s="1432"/>
      <c r="C910" s="1432"/>
      <c r="D910" s="1425"/>
      <c r="E910" s="1425"/>
    </row>
    <row r="911" spans="1:5" ht="21.9" hidden="1" customHeight="1" outlineLevel="1">
      <c r="A911" s="1369" t="s">
        <v>878</v>
      </c>
      <c r="B911" s="1412" t="s">
        <v>1671</v>
      </c>
      <c r="C911" s="1412" t="s">
        <v>1680</v>
      </c>
      <c r="D911" s="1371" t="s">
        <v>859</v>
      </c>
      <c r="E911" s="1372"/>
    </row>
    <row r="912" spans="1:5" ht="21.9" hidden="1" customHeight="1" outlineLevel="1">
      <c r="A912" s="1373"/>
      <c r="B912" s="1374"/>
      <c r="C912" s="1374"/>
      <c r="D912" s="1413" t="s">
        <v>861</v>
      </c>
      <c r="E912" s="1413" t="s">
        <v>1672</v>
      </c>
    </row>
    <row r="913" spans="1:5" ht="21.9" hidden="1" customHeight="1" outlineLevel="1">
      <c r="A913" s="1382" t="s">
        <v>890</v>
      </c>
      <c r="B913" s="1379">
        <v>371200</v>
      </c>
      <c r="C913" s="1379">
        <f>SUM(C914:C916)</f>
        <v>3244170.2199999997</v>
      </c>
      <c r="D913" s="1379">
        <f>SUM(D914:D916)</f>
        <v>3556343.7425100594</v>
      </c>
      <c r="E913" s="1379">
        <f>SUM(E914:E916)</f>
        <v>3899173.1704264414</v>
      </c>
    </row>
    <row r="914" spans="1:5" s="1366" customFormat="1" ht="21.9" hidden="1" customHeight="1" outlineLevel="1">
      <c r="A914" s="1393" t="s">
        <v>880</v>
      </c>
      <c r="B914" s="1381">
        <v>0</v>
      </c>
      <c r="C914" s="1381">
        <v>0</v>
      </c>
      <c r="D914" s="1381">
        <f>C914*1.0962259996672</f>
        <v>0</v>
      </c>
      <c r="E914" s="1381">
        <f>D914*1.09639940701413</f>
        <v>0</v>
      </c>
    </row>
    <row r="915" spans="1:5" ht="21.9" hidden="1" customHeight="1" outlineLevel="1">
      <c r="A915" s="1393" t="s">
        <v>881</v>
      </c>
      <c r="B915" s="1381">
        <v>371200</v>
      </c>
      <c r="C915" s="1381">
        <f>'Itemized Budget 2024-25'!L2098</f>
        <v>3244170.2199999997</v>
      </c>
      <c r="D915" s="1381">
        <f>C915*1.0962259996672</f>
        <v>3556343.7425100594</v>
      </c>
      <c r="E915" s="1381">
        <f>D915*1.09639940701413</f>
        <v>3899173.1704264414</v>
      </c>
    </row>
    <row r="916" spans="1:5" s="1366" customFormat="1" ht="21.9" hidden="1" customHeight="1" outlineLevel="1">
      <c r="A916" s="1393" t="s">
        <v>882</v>
      </c>
      <c r="B916" s="1381">
        <v>0</v>
      </c>
      <c r="C916" s="1381">
        <v>0</v>
      </c>
      <c r="D916" s="1381">
        <f>C916*1.0962259996672</f>
        <v>0</v>
      </c>
      <c r="E916" s="1381">
        <f>D916*1.09639940701413</f>
        <v>0</v>
      </c>
    </row>
    <row r="917" spans="1:5" ht="21.9" hidden="1" customHeight="1" outlineLevel="1">
      <c r="A917" s="1382" t="s">
        <v>883</v>
      </c>
      <c r="B917" s="1379">
        <v>0</v>
      </c>
      <c r="C917" s="1379">
        <f>SUM(C918:C919)</f>
        <v>0</v>
      </c>
      <c r="D917" s="1379">
        <f>SUM(D918:D919)</f>
        <v>0</v>
      </c>
      <c r="E917" s="1379">
        <f>SUM(E918:E919)</f>
        <v>0</v>
      </c>
    </row>
    <row r="918" spans="1:5" s="1366" customFormat="1" ht="21.9" hidden="1" customHeight="1" outlineLevel="1">
      <c r="A918" s="1393" t="s">
        <v>891</v>
      </c>
      <c r="B918" s="1381"/>
      <c r="C918" s="1381"/>
      <c r="D918" s="1381">
        <f>C918*1.0962259996672</f>
        <v>0</v>
      </c>
      <c r="E918" s="1381">
        <f>D918*1.09639940701413</f>
        <v>0</v>
      </c>
    </row>
    <row r="919" spans="1:5" ht="21.9" hidden="1" customHeight="1" outlineLevel="1">
      <c r="A919" s="1393" t="s">
        <v>892</v>
      </c>
      <c r="B919" s="1381"/>
      <c r="C919" s="1381"/>
      <c r="D919" s="1381">
        <f>C919*1.0962259996672</f>
        <v>0</v>
      </c>
      <c r="E919" s="1381">
        <f>D919*1.09639940701413</f>
        <v>0</v>
      </c>
    </row>
    <row r="920" spans="1:5" ht="21.9" hidden="1" customHeight="1" outlineLevel="1">
      <c r="A920" s="1382" t="s">
        <v>893</v>
      </c>
      <c r="B920" s="1379">
        <v>371200</v>
      </c>
      <c r="C920" s="1379">
        <f>C913+C917</f>
        <v>3244170.2199999997</v>
      </c>
      <c r="D920" s="1379">
        <f>D913+D917</f>
        <v>3556343.7425100594</v>
      </c>
      <c r="E920" s="1379">
        <f>E913+E917</f>
        <v>3899173.1704264414</v>
      </c>
    </row>
    <row r="921" spans="1:5" ht="21.9" hidden="1" customHeight="1" outlineLevel="1"/>
    <row r="922" spans="1:5" ht="21.9" hidden="1" customHeight="1" outlineLevel="1"/>
    <row r="923" spans="1:5" ht="21.9" hidden="1" customHeight="1" outlineLevel="1">
      <c r="A923" s="1431" t="s">
        <v>1717</v>
      </c>
      <c r="B923" s="1425"/>
      <c r="C923" s="1425"/>
      <c r="D923" s="1406"/>
      <c r="E923" s="1406"/>
    </row>
    <row r="924" spans="1:5" ht="21.9" hidden="1" customHeight="1" outlineLevel="1">
      <c r="A924" s="1369" t="s">
        <v>878</v>
      </c>
      <c r="B924" s="1412" t="s">
        <v>1671</v>
      </c>
      <c r="C924" s="1412" t="s">
        <v>1680</v>
      </c>
      <c r="D924" s="1371" t="s">
        <v>859</v>
      </c>
      <c r="E924" s="1372"/>
    </row>
    <row r="925" spans="1:5" ht="21.9" hidden="1" customHeight="1" outlineLevel="1">
      <c r="A925" s="1373"/>
      <c r="B925" s="1374"/>
      <c r="C925" s="1374"/>
      <c r="D925" s="1413" t="s">
        <v>861</v>
      </c>
      <c r="E925" s="1413" t="s">
        <v>1672</v>
      </c>
    </row>
    <row r="926" spans="1:5" ht="21.9" hidden="1" customHeight="1" outlineLevel="1">
      <c r="A926" s="1382" t="s">
        <v>890</v>
      </c>
      <c r="B926" s="1379">
        <v>2927337.4416</v>
      </c>
      <c r="C926" s="1379">
        <f>SUM(C927:C929)</f>
        <v>2659869</v>
      </c>
      <c r="D926" s="1379">
        <f>SUM(D927:D929)</f>
        <v>2915817.5535087953</v>
      </c>
      <c r="E926" s="1379">
        <f>SUM(E927:E929)</f>
        <v>3196900.6366284345</v>
      </c>
    </row>
    <row r="927" spans="1:5" ht="21.9" hidden="1" customHeight="1" outlineLevel="1">
      <c r="A927" s="1393" t="s">
        <v>880</v>
      </c>
      <c r="B927" s="1381">
        <v>0</v>
      </c>
      <c r="C927" s="1381">
        <v>0</v>
      </c>
      <c r="D927" s="1381">
        <f>C927*1.0962259996672</f>
        <v>0</v>
      </c>
      <c r="E927" s="1381">
        <f>D927*1.09639940701413</f>
        <v>0</v>
      </c>
    </row>
    <row r="928" spans="1:5" ht="21.9" hidden="1" customHeight="1" outlineLevel="1">
      <c r="A928" s="1393" t="s">
        <v>881</v>
      </c>
      <c r="B928" s="1381">
        <v>2927337.4416</v>
      </c>
      <c r="C928" s="1381">
        <f>'Itemized Budget 2024-25'!L2109</f>
        <v>2659869</v>
      </c>
      <c r="D928" s="1381">
        <f>C928*1.0962259996672</f>
        <v>2915817.5535087953</v>
      </c>
      <c r="E928" s="1381">
        <f>D928*1.09639940701413</f>
        <v>3196900.6366284345</v>
      </c>
    </row>
    <row r="929" spans="1:5" ht="21.9" hidden="1" customHeight="1" outlineLevel="1">
      <c r="A929" s="1393" t="s">
        <v>882</v>
      </c>
      <c r="B929" s="1381">
        <v>0</v>
      </c>
      <c r="C929" s="1381">
        <v>0</v>
      </c>
      <c r="D929" s="1381">
        <f>C929*1.0962259996672</f>
        <v>0</v>
      </c>
      <c r="E929" s="1381">
        <f>D929*1.09639940701413</f>
        <v>0</v>
      </c>
    </row>
    <row r="930" spans="1:5" ht="21.9" hidden="1" customHeight="1" outlineLevel="1">
      <c r="A930" s="1382" t="s">
        <v>883</v>
      </c>
      <c r="B930" s="1379">
        <v>0</v>
      </c>
      <c r="C930" s="1379">
        <f>SUM(C931:C932)</f>
        <v>0</v>
      </c>
      <c r="D930" s="1379">
        <f>SUM(D931:D932)</f>
        <v>0</v>
      </c>
      <c r="E930" s="1379">
        <f>SUM(E931:E932)</f>
        <v>0</v>
      </c>
    </row>
    <row r="931" spans="1:5" ht="21.9" hidden="1" customHeight="1" outlineLevel="1">
      <c r="A931" s="1393" t="s">
        <v>891</v>
      </c>
      <c r="B931" s="1381"/>
      <c r="C931" s="1381"/>
      <c r="D931" s="1381">
        <f>C931*1.0962259996672</f>
        <v>0</v>
      </c>
      <c r="E931" s="1381">
        <f>D931*1.09639940701413</f>
        <v>0</v>
      </c>
    </row>
    <row r="932" spans="1:5" ht="21.9" hidden="1" customHeight="1" outlineLevel="1">
      <c r="A932" s="1393" t="s">
        <v>892</v>
      </c>
      <c r="B932" s="1381">
        <v>0</v>
      </c>
      <c r="C932" s="1381">
        <v>0</v>
      </c>
      <c r="D932" s="1381">
        <f>C932*1.0962259996672</f>
        <v>0</v>
      </c>
      <c r="E932" s="1381">
        <f>D932*1.09639940701413</f>
        <v>0</v>
      </c>
    </row>
    <row r="933" spans="1:5" ht="21.9" hidden="1" customHeight="1" outlineLevel="1">
      <c r="A933" s="1382" t="s">
        <v>893</v>
      </c>
      <c r="B933" s="1379">
        <v>2927337.4416</v>
      </c>
      <c r="C933" s="1379">
        <f>SUM(C926+C930)</f>
        <v>2659869</v>
      </c>
      <c r="D933" s="1379">
        <f>SUM(D926+D930)</f>
        <v>2915817.5535087953</v>
      </c>
      <c r="E933" s="1379">
        <f>SUM(E926+E930)</f>
        <v>3196900.6366284345</v>
      </c>
    </row>
    <row r="934" spans="1:5" ht="21.9" hidden="1" customHeight="1" outlineLevel="1">
      <c r="A934" s="1366"/>
      <c r="B934" s="1367"/>
      <c r="C934" s="1367"/>
      <c r="D934" s="1367"/>
      <c r="E934" s="1367"/>
    </row>
    <row r="935" spans="1:5" ht="21.9" hidden="1" customHeight="1" outlineLevel="1">
      <c r="A935" s="1366"/>
      <c r="B935" s="1367"/>
      <c r="C935" s="1367"/>
      <c r="D935" s="1367"/>
      <c r="E935" s="1367"/>
    </row>
    <row r="936" spans="1:5" ht="21.9" hidden="1" customHeight="1" outlineLevel="1">
      <c r="A936" s="1408" t="s">
        <v>1718</v>
      </c>
      <c r="B936" s="1367"/>
      <c r="C936" s="1367"/>
      <c r="D936" s="1367"/>
      <c r="E936" s="1367"/>
    </row>
    <row r="937" spans="1:5" ht="21.9" hidden="1" customHeight="1" outlineLevel="1">
      <c r="A937" s="1369" t="s">
        <v>878</v>
      </c>
      <c r="B937" s="1370" t="s">
        <v>1671</v>
      </c>
      <c r="C937" s="1370" t="s">
        <v>1680</v>
      </c>
      <c r="D937" s="1371" t="s">
        <v>859</v>
      </c>
      <c r="E937" s="1372"/>
    </row>
    <row r="938" spans="1:5" ht="21.9" hidden="1" customHeight="1" outlineLevel="1">
      <c r="A938" s="1373"/>
      <c r="B938" s="1374"/>
      <c r="C938" s="1374"/>
      <c r="D938" s="1375" t="s">
        <v>861</v>
      </c>
      <c r="E938" s="1375" t="s">
        <v>1672</v>
      </c>
    </row>
    <row r="939" spans="1:5" ht="21.9" hidden="1" customHeight="1" outlineLevel="1">
      <c r="A939" s="1382" t="s">
        <v>890</v>
      </c>
      <c r="B939" s="1379">
        <v>89859476.219999999</v>
      </c>
      <c r="C939" s="1379">
        <f>SUM(C940:C942)</f>
        <v>4042442.7220000001</v>
      </c>
      <c r="D939" s="1379">
        <f>SUM(D940:D942)</f>
        <v>4431430.8140218472</v>
      </c>
      <c r="E939" s="1379">
        <f>SUM(E940:E942)</f>
        <v>4858618.1167176971</v>
      </c>
    </row>
    <row r="940" spans="1:5" ht="21.9" hidden="1" customHeight="1" outlineLevel="1">
      <c r="A940" s="1393" t="s">
        <v>880</v>
      </c>
      <c r="B940" s="1381">
        <v>0</v>
      </c>
      <c r="C940" s="1381">
        <v>0</v>
      </c>
      <c r="D940" s="1381">
        <f>C940*1.0962259996672</f>
        <v>0</v>
      </c>
      <c r="E940" s="1381">
        <f>D940*1.09639940701413</f>
        <v>0</v>
      </c>
    </row>
    <row r="941" spans="1:5" ht="21.9" hidden="1" customHeight="1" outlineLevel="1">
      <c r="A941" s="1393" t="s">
        <v>881</v>
      </c>
      <c r="B941" s="1381">
        <v>89859476.219999999</v>
      </c>
      <c r="C941" s="1381">
        <f>'Itemized Budget 2024-25'!L2121</f>
        <v>4042442.7220000001</v>
      </c>
      <c r="D941" s="1381">
        <f>C941*1.0962259996672</f>
        <v>4431430.8140218472</v>
      </c>
      <c r="E941" s="1381">
        <f>D941*1.09639940701413</f>
        <v>4858618.1167176971</v>
      </c>
    </row>
    <row r="942" spans="1:5" ht="21.9" hidden="1" customHeight="1" outlineLevel="1">
      <c r="A942" s="1393" t="s">
        <v>882</v>
      </c>
      <c r="B942" s="1381">
        <v>0</v>
      </c>
      <c r="C942" s="1381">
        <v>0</v>
      </c>
      <c r="D942" s="1381">
        <f>C942*1.0962259996672</f>
        <v>0</v>
      </c>
      <c r="E942" s="1381">
        <f>D942*1.09639940701413</f>
        <v>0</v>
      </c>
    </row>
    <row r="943" spans="1:5" ht="21.9" hidden="1" customHeight="1" outlineLevel="1">
      <c r="A943" s="1382" t="s">
        <v>883</v>
      </c>
      <c r="B943" s="1379">
        <v>0</v>
      </c>
      <c r="C943" s="1379">
        <f>SUM(C944:C945)</f>
        <v>0</v>
      </c>
      <c r="D943" s="1379">
        <f>SUM(D944:D945)</f>
        <v>0</v>
      </c>
      <c r="E943" s="1379">
        <f>SUM(E944:E945)</f>
        <v>0</v>
      </c>
    </row>
    <row r="944" spans="1:5" ht="21.9" hidden="1" customHeight="1" outlineLevel="1">
      <c r="A944" s="1393" t="s">
        <v>891</v>
      </c>
      <c r="B944" s="1381"/>
      <c r="C944" s="1381"/>
      <c r="D944" s="1381">
        <f>C944*1.0962259996672</f>
        <v>0</v>
      </c>
      <c r="E944" s="1381">
        <f>D944*1.09639940701413</f>
        <v>0</v>
      </c>
    </row>
    <row r="945" spans="1:5" ht="21.9" hidden="1" customHeight="1" outlineLevel="1">
      <c r="A945" s="1393" t="s">
        <v>892</v>
      </c>
      <c r="B945" s="1381">
        <v>0</v>
      </c>
      <c r="C945" s="1381">
        <v>0</v>
      </c>
      <c r="D945" s="1381">
        <f>C945*1.0962259996672</f>
        <v>0</v>
      </c>
      <c r="E945" s="1381">
        <f>D945*1.09639940701413</f>
        <v>0</v>
      </c>
    </row>
    <row r="946" spans="1:5" ht="21.9" hidden="1" customHeight="1" outlineLevel="1">
      <c r="A946" s="1382" t="s">
        <v>893</v>
      </c>
      <c r="B946" s="1379">
        <v>89859476.219999999</v>
      </c>
      <c r="C946" s="1379">
        <f>C939+C943</f>
        <v>4042442.7220000001</v>
      </c>
      <c r="D946" s="1379">
        <f>D939+D943</f>
        <v>4431430.8140218472</v>
      </c>
      <c r="E946" s="1379">
        <f>E939+E943</f>
        <v>4858618.1167176971</v>
      </c>
    </row>
    <row r="947" spans="1:5" ht="21.9" hidden="1" customHeight="1" outlineLevel="1">
      <c r="A947" s="1366"/>
      <c r="B947" s="1367"/>
      <c r="C947" s="1367"/>
      <c r="D947" s="1367"/>
      <c r="E947" s="1367"/>
    </row>
    <row r="948" spans="1:5" ht="21.9" hidden="1" customHeight="1" outlineLevel="1">
      <c r="A948" s="1408" t="s">
        <v>1719</v>
      </c>
      <c r="B948" s="1367"/>
      <c r="C948" s="1367"/>
      <c r="D948" s="1367"/>
      <c r="E948" s="1367"/>
    </row>
    <row r="949" spans="1:5" ht="21.9" hidden="1" customHeight="1" outlineLevel="1">
      <c r="A949" s="1369" t="s">
        <v>878</v>
      </c>
      <c r="B949" s="1370" t="s">
        <v>1671</v>
      </c>
      <c r="C949" s="1370" t="s">
        <v>1680</v>
      </c>
      <c r="D949" s="1371" t="s">
        <v>859</v>
      </c>
      <c r="E949" s="1372"/>
    </row>
    <row r="950" spans="1:5" ht="21.9" hidden="1" customHeight="1" outlineLevel="1">
      <c r="A950" s="1373"/>
      <c r="B950" s="1374"/>
      <c r="C950" s="1374"/>
      <c r="D950" s="1375" t="s">
        <v>861</v>
      </c>
      <c r="E950" s="1375" t="s">
        <v>1672</v>
      </c>
    </row>
    <row r="951" spans="1:5" ht="21.9" hidden="1" customHeight="1" outlineLevel="1">
      <c r="A951" s="1382" t="s">
        <v>890</v>
      </c>
      <c r="B951" s="1379">
        <v>89859476.219999999</v>
      </c>
      <c r="C951" s="1379">
        <f>SUM(C952:C954)</f>
        <v>1681200</v>
      </c>
      <c r="D951" s="1379">
        <f>SUM(D952:D954)</f>
        <v>1842975.1506404965</v>
      </c>
      <c r="E951" s="1379">
        <f>SUM(E952:E954)</f>
        <v>2020636.8623040174</v>
      </c>
    </row>
    <row r="952" spans="1:5" ht="21.9" hidden="1" customHeight="1" outlineLevel="1">
      <c r="A952" s="1393" t="s">
        <v>880</v>
      </c>
      <c r="B952" s="1381">
        <v>0</v>
      </c>
      <c r="C952" s="1381">
        <v>0</v>
      </c>
      <c r="D952" s="1381">
        <f>C952*1.0962259996672</f>
        <v>0</v>
      </c>
      <c r="E952" s="1381">
        <f>D952*1.09639940701413</f>
        <v>0</v>
      </c>
    </row>
    <row r="953" spans="1:5" ht="21.9" hidden="1" customHeight="1" outlineLevel="1">
      <c r="A953" s="1393" t="s">
        <v>881</v>
      </c>
      <c r="B953" s="1381">
        <v>89859476.219999999</v>
      </c>
      <c r="C953" s="1381">
        <f>'Itemized Budget 2024-25'!L2130</f>
        <v>1681200</v>
      </c>
      <c r="D953" s="1381">
        <f>C953*1.0962259996672</f>
        <v>1842975.1506404965</v>
      </c>
      <c r="E953" s="1381">
        <f>D953*1.09639940701413</f>
        <v>2020636.8623040174</v>
      </c>
    </row>
    <row r="954" spans="1:5" ht="21.9" hidden="1" customHeight="1" outlineLevel="1">
      <c r="A954" s="1393" t="s">
        <v>882</v>
      </c>
      <c r="B954" s="1381">
        <v>0</v>
      </c>
      <c r="C954" s="1381">
        <v>0</v>
      </c>
      <c r="D954" s="1381">
        <f>C954*1.0962259996672</f>
        <v>0</v>
      </c>
      <c r="E954" s="1381">
        <f>D954*1.09639940701413</f>
        <v>0</v>
      </c>
    </row>
    <row r="955" spans="1:5" ht="21.9" hidden="1" customHeight="1" outlineLevel="1">
      <c r="A955" s="1382" t="s">
        <v>883</v>
      </c>
      <c r="B955" s="1379">
        <v>0</v>
      </c>
      <c r="C955" s="1379">
        <f>SUM(C956:C957)</f>
        <v>0</v>
      </c>
      <c r="D955" s="1379">
        <f>SUM(D956:D957)</f>
        <v>0</v>
      </c>
      <c r="E955" s="1379">
        <f>SUM(E956:E957)</f>
        <v>0</v>
      </c>
    </row>
    <row r="956" spans="1:5" ht="21.9" hidden="1" customHeight="1" outlineLevel="1">
      <c r="A956" s="1393" t="s">
        <v>891</v>
      </c>
      <c r="B956" s="1381"/>
      <c r="C956" s="1381"/>
      <c r="D956" s="1381">
        <f>C956*1.0962259996672</f>
        <v>0</v>
      </c>
      <c r="E956" s="1381">
        <f>D956*1.09639940701413</f>
        <v>0</v>
      </c>
    </row>
    <row r="957" spans="1:5" ht="21.9" hidden="1" customHeight="1" outlineLevel="1">
      <c r="A957" s="1393" t="s">
        <v>892</v>
      </c>
      <c r="B957" s="1381">
        <v>0</v>
      </c>
      <c r="C957" s="1381">
        <v>0</v>
      </c>
      <c r="D957" s="1381">
        <f>C957*1.0962259996672</f>
        <v>0</v>
      </c>
      <c r="E957" s="1381">
        <f>D957*1.09639940701413</f>
        <v>0</v>
      </c>
    </row>
    <row r="958" spans="1:5" ht="21.9" hidden="1" customHeight="1" outlineLevel="1">
      <c r="A958" s="1382" t="s">
        <v>893</v>
      </c>
      <c r="B958" s="1379">
        <v>89859476.219999999</v>
      </c>
      <c r="C958" s="1379">
        <f>C951+C955</f>
        <v>1681200</v>
      </c>
      <c r="D958" s="1379">
        <f>D951+D955</f>
        <v>1842975.1506404965</v>
      </c>
      <c r="E958" s="1379">
        <f>E951+E955</f>
        <v>2020636.8623040174</v>
      </c>
    </row>
    <row r="959" spans="1:5" ht="21.9" hidden="1" customHeight="1" outlineLevel="1">
      <c r="A959" s="1366"/>
      <c r="B959" s="1367"/>
      <c r="C959" s="1367"/>
      <c r="D959" s="1367"/>
      <c r="E959" s="1367"/>
    </row>
    <row r="960" spans="1:5" ht="21.9" hidden="1" customHeight="1" outlineLevel="1">
      <c r="A960" s="1408" t="s">
        <v>1720</v>
      </c>
      <c r="B960" s="1367"/>
      <c r="C960" s="1367"/>
      <c r="D960" s="1367"/>
      <c r="E960" s="1367"/>
    </row>
    <row r="961" spans="1:5" ht="21.9" hidden="1" customHeight="1" outlineLevel="1">
      <c r="A961" s="1369" t="s">
        <v>878</v>
      </c>
      <c r="B961" s="1370" t="s">
        <v>1671</v>
      </c>
      <c r="C961" s="1370" t="s">
        <v>1680</v>
      </c>
      <c r="D961" s="1371" t="s">
        <v>859</v>
      </c>
      <c r="E961" s="1372"/>
    </row>
    <row r="962" spans="1:5" ht="21.9" hidden="1" customHeight="1" outlineLevel="1">
      <c r="A962" s="1373"/>
      <c r="B962" s="1374"/>
      <c r="C962" s="1374"/>
      <c r="D962" s="1375" t="s">
        <v>861</v>
      </c>
      <c r="E962" s="1375" t="s">
        <v>1672</v>
      </c>
    </row>
    <row r="963" spans="1:5" ht="21.9" hidden="1" customHeight="1" outlineLevel="1">
      <c r="A963" s="1382" t="s">
        <v>890</v>
      </c>
      <c r="B963" s="1379">
        <v>89859476.219999999</v>
      </c>
      <c r="C963" s="1379">
        <f>SUM(C964:C966)</f>
        <v>2302574.4729999998</v>
      </c>
      <c r="D963" s="1379">
        <f>SUM(D964:D966)</f>
        <v>2524142.0034726006</v>
      </c>
      <c r="E963" s="1379">
        <f>SUM(E964:E966)</f>
        <v>2767467.7958268174</v>
      </c>
    </row>
    <row r="964" spans="1:5" ht="21.9" hidden="1" customHeight="1" outlineLevel="1">
      <c r="A964" s="1393" t="s">
        <v>880</v>
      </c>
      <c r="B964" s="1381">
        <v>0</v>
      </c>
      <c r="C964" s="1381">
        <v>0</v>
      </c>
      <c r="D964" s="1381">
        <f>C964*1.0962259996672</f>
        <v>0</v>
      </c>
      <c r="E964" s="1381">
        <f>D964*1.09639940701413</f>
        <v>0</v>
      </c>
    </row>
    <row r="965" spans="1:5" ht="21.9" hidden="1" customHeight="1" outlineLevel="1">
      <c r="A965" s="1393" t="s">
        <v>881</v>
      </c>
      <c r="B965" s="1381">
        <v>89859476.219999999</v>
      </c>
      <c r="C965" s="1381">
        <f>'Itemized Budget 2024-25'!L2142</f>
        <v>2302574.4729999998</v>
      </c>
      <c r="D965" s="1381">
        <f>C965*1.0962259996672</f>
        <v>2524142.0034726006</v>
      </c>
      <c r="E965" s="1381">
        <f>D965*1.09639940701413</f>
        <v>2767467.7958268174</v>
      </c>
    </row>
    <row r="966" spans="1:5" ht="21.9" hidden="1" customHeight="1" outlineLevel="1">
      <c r="A966" s="1393" t="s">
        <v>882</v>
      </c>
      <c r="B966" s="1381">
        <v>0</v>
      </c>
      <c r="C966" s="1381">
        <v>0</v>
      </c>
      <c r="D966" s="1381">
        <f>C966*1.0962259996672</f>
        <v>0</v>
      </c>
      <c r="E966" s="1381">
        <f>D966*1.09639940701413</f>
        <v>0</v>
      </c>
    </row>
    <row r="967" spans="1:5" ht="21.9" hidden="1" customHeight="1" outlineLevel="1">
      <c r="A967" s="1382" t="s">
        <v>883</v>
      </c>
      <c r="B967" s="1379">
        <v>0</v>
      </c>
      <c r="C967" s="1379">
        <f>SUM(C968:C969)</f>
        <v>0</v>
      </c>
      <c r="D967" s="1379">
        <f>SUM(D968:D969)</f>
        <v>0</v>
      </c>
      <c r="E967" s="1379">
        <f>SUM(E968:E969)</f>
        <v>0</v>
      </c>
    </row>
    <row r="968" spans="1:5" ht="21.9" hidden="1" customHeight="1" outlineLevel="1">
      <c r="A968" s="1393" t="s">
        <v>891</v>
      </c>
      <c r="B968" s="1381"/>
      <c r="C968" s="1381"/>
      <c r="D968" s="1381">
        <f>C968*1.0962259996672</f>
        <v>0</v>
      </c>
      <c r="E968" s="1381">
        <f>D968*1.09639940701413</f>
        <v>0</v>
      </c>
    </row>
    <row r="969" spans="1:5" ht="21.9" hidden="1" customHeight="1" outlineLevel="1">
      <c r="A969" s="1393" t="s">
        <v>892</v>
      </c>
      <c r="B969" s="1381">
        <v>0</v>
      </c>
      <c r="C969" s="1381">
        <v>0</v>
      </c>
      <c r="D969" s="1381">
        <f>C969*1.0962259996672</f>
        <v>0</v>
      </c>
      <c r="E969" s="1381">
        <f>D969*1.09639940701413</f>
        <v>0</v>
      </c>
    </row>
    <row r="970" spans="1:5" ht="21.9" hidden="1" customHeight="1" outlineLevel="1">
      <c r="A970" s="1382" t="s">
        <v>893</v>
      </c>
      <c r="B970" s="1379">
        <v>89859476.219999999</v>
      </c>
      <c r="C970" s="1379">
        <f>C963+C967</f>
        <v>2302574.4729999998</v>
      </c>
      <c r="D970" s="1379">
        <f>D963+D967</f>
        <v>2524142.0034726006</v>
      </c>
      <c r="E970" s="1379">
        <f>E963+E967</f>
        <v>2767467.7958268174</v>
      </c>
    </row>
    <row r="971" spans="1:5" ht="21.9" hidden="1" customHeight="1" outlineLevel="1">
      <c r="A971" s="1366"/>
      <c r="B971" s="1367"/>
      <c r="C971" s="1367"/>
      <c r="D971" s="1367"/>
      <c r="E971" s="1367"/>
    </row>
    <row r="972" spans="1:5" ht="21.9" hidden="1" customHeight="1" outlineLevel="1">
      <c r="A972" s="1408" t="s">
        <v>1721</v>
      </c>
      <c r="B972" s="1367"/>
      <c r="C972" s="1367"/>
      <c r="D972" s="1367"/>
      <c r="E972" s="1367"/>
    </row>
    <row r="973" spans="1:5" ht="21.9" hidden="1" customHeight="1" outlineLevel="1">
      <c r="A973" s="1369" t="s">
        <v>878</v>
      </c>
      <c r="B973" s="1370" t="s">
        <v>1671</v>
      </c>
      <c r="C973" s="1370" t="s">
        <v>1680</v>
      </c>
      <c r="D973" s="1371" t="s">
        <v>859</v>
      </c>
      <c r="E973" s="1372"/>
    </row>
    <row r="974" spans="1:5" ht="21.9" hidden="1" customHeight="1" outlineLevel="1">
      <c r="A974" s="1373"/>
      <c r="B974" s="1374"/>
      <c r="C974" s="1374"/>
      <c r="D974" s="1375" t="s">
        <v>861</v>
      </c>
      <c r="E974" s="1375" t="s">
        <v>1672</v>
      </c>
    </row>
    <row r="975" spans="1:5" ht="21.9" hidden="1" customHeight="1" outlineLevel="1">
      <c r="A975" s="1382" t="s">
        <v>890</v>
      </c>
      <c r="B975" s="1379">
        <v>89859476.219999999</v>
      </c>
      <c r="C975" s="1379">
        <f>SUM(C976:C978)</f>
        <v>3627337.4416</v>
      </c>
      <c r="D975" s="1379">
        <f>SUM(D976:D978)</f>
        <v>3976381.6130482233</v>
      </c>
      <c r="E975" s="1379">
        <f>SUM(E976:E978)</f>
        <v>4359702.4426079625</v>
      </c>
    </row>
    <row r="976" spans="1:5" ht="21.9" hidden="1" customHeight="1" outlineLevel="1">
      <c r="A976" s="1393" t="s">
        <v>880</v>
      </c>
      <c r="B976" s="1381">
        <v>0</v>
      </c>
      <c r="C976" s="1381">
        <v>0</v>
      </c>
      <c r="D976" s="1381">
        <f>C976*1.0962259996672</f>
        <v>0</v>
      </c>
      <c r="E976" s="1381">
        <f>D976*1.09639940701413</f>
        <v>0</v>
      </c>
    </row>
    <row r="977" spans="1:5" ht="21.9" hidden="1" customHeight="1" outlineLevel="1">
      <c r="A977" s="1393" t="s">
        <v>881</v>
      </c>
      <c r="B977" s="1381">
        <v>89859476.219999999</v>
      </c>
      <c r="C977" s="1381">
        <f>'Itemized Budget 2024-25'!L2152</f>
        <v>3627337.4416</v>
      </c>
      <c r="D977" s="1381">
        <f>C977*1.0962259996672</f>
        <v>3976381.6130482233</v>
      </c>
      <c r="E977" s="1381">
        <f>D977*1.09639940701413</f>
        <v>4359702.4426079625</v>
      </c>
    </row>
    <row r="978" spans="1:5" ht="21.9" hidden="1" customHeight="1" outlineLevel="1">
      <c r="A978" s="1393" t="s">
        <v>882</v>
      </c>
      <c r="B978" s="1381">
        <v>0</v>
      </c>
      <c r="C978" s="1381">
        <v>0</v>
      </c>
      <c r="D978" s="1381">
        <f>C978*1.0962259996672</f>
        <v>0</v>
      </c>
      <c r="E978" s="1381">
        <f>D978*1.09639940701413</f>
        <v>0</v>
      </c>
    </row>
    <row r="979" spans="1:5" ht="21.9" hidden="1" customHeight="1" outlineLevel="1">
      <c r="A979" s="1382" t="s">
        <v>883</v>
      </c>
      <c r="B979" s="1379">
        <v>0</v>
      </c>
      <c r="C979" s="1379">
        <f>SUM(C980:C981)</f>
        <v>0</v>
      </c>
      <c r="D979" s="1379">
        <f>SUM(D980:D981)</f>
        <v>0</v>
      </c>
      <c r="E979" s="1379">
        <f>SUM(E980:E981)</f>
        <v>0</v>
      </c>
    </row>
    <row r="980" spans="1:5" ht="21.9" hidden="1" customHeight="1" outlineLevel="1">
      <c r="A980" s="1393" t="s">
        <v>891</v>
      </c>
      <c r="B980" s="1381"/>
      <c r="C980" s="1381"/>
      <c r="D980" s="1381">
        <f>C980*1.0962259996672</f>
        <v>0</v>
      </c>
      <c r="E980" s="1381">
        <f>D980*1.09639940701413</f>
        <v>0</v>
      </c>
    </row>
    <row r="981" spans="1:5" ht="21.9" hidden="1" customHeight="1" outlineLevel="1">
      <c r="A981" s="1393" t="s">
        <v>892</v>
      </c>
      <c r="B981" s="1381">
        <v>0</v>
      </c>
      <c r="C981" s="1381">
        <v>0</v>
      </c>
      <c r="D981" s="1381">
        <f>C981*1.0962259996672</f>
        <v>0</v>
      </c>
      <c r="E981" s="1381">
        <f>D981*1.09639940701413</f>
        <v>0</v>
      </c>
    </row>
    <row r="982" spans="1:5" ht="21.9" hidden="1" customHeight="1" outlineLevel="1">
      <c r="A982" s="1382" t="s">
        <v>893</v>
      </c>
      <c r="B982" s="1379">
        <v>89859476.219999999</v>
      </c>
      <c r="C982" s="1379">
        <f>C975+C979</f>
        <v>3627337.4416</v>
      </c>
      <c r="D982" s="1379">
        <f>D975+D979</f>
        <v>3976381.6130482233</v>
      </c>
      <c r="E982" s="1379">
        <f>E975+E979</f>
        <v>4359702.4426079625</v>
      </c>
    </row>
    <row r="983" spans="1:5" ht="21.9" hidden="1" customHeight="1" outlineLevel="1">
      <c r="A983" s="1366"/>
      <c r="B983" s="1367"/>
      <c r="C983" s="1367"/>
      <c r="D983" s="1367"/>
      <c r="E983" s="1367"/>
    </row>
    <row r="984" spans="1:5" ht="21.9" hidden="1" customHeight="1" outlineLevel="1">
      <c r="A984" s="1366"/>
      <c r="B984" s="1367"/>
      <c r="C984" s="1367"/>
      <c r="D984" s="1367"/>
      <c r="E984" s="1367"/>
    </row>
    <row r="985" spans="1:5" ht="21.9" hidden="1" customHeight="1" outlineLevel="1">
      <c r="A985" s="1408" t="s">
        <v>1693</v>
      </c>
      <c r="B985" s="1367"/>
      <c r="C985" s="1367"/>
      <c r="D985" s="1367"/>
      <c r="E985" s="1367"/>
    </row>
    <row r="986" spans="1:5" s="1366" customFormat="1" ht="21.9" hidden="1" customHeight="1" outlineLevel="1">
      <c r="A986" s="1366" t="s">
        <v>1714</v>
      </c>
      <c r="B986" s="1406"/>
      <c r="C986" s="1406"/>
      <c r="D986" s="1406"/>
      <c r="E986" s="1406"/>
    </row>
    <row r="987" spans="1:5" ht="21.9" hidden="1" customHeight="1" outlineLevel="1">
      <c r="A987" s="1369" t="s">
        <v>878</v>
      </c>
      <c r="B987" s="1412" t="s">
        <v>1671</v>
      </c>
      <c r="C987" s="1412" t="s">
        <v>1680</v>
      </c>
      <c r="D987" s="1371" t="s">
        <v>859</v>
      </c>
      <c r="E987" s="1372"/>
    </row>
    <row r="988" spans="1:5" s="1366" customFormat="1" ht="21.9" hidden="1" customHeight="1" outlineLevel="1">
      <c r="A988" s="1373"/>
      <c r="B988" s="1374"/>
      <c r="C988" s="1374"/>
      <c r="D988" s="1413" t="s">
        <v>861</v>
      </c>
      <c r="E988" s="1413" t="s">
        <v>1672</v>
      </c>
    </row>
    <row r="989" spans="1:5" ht="21.9" hidden="1" customHeight="1" outlineLevel="1">
      <c r="A989" s="1382" t="s">
        <v>890</v>
      </c>
      <c r="B989" s="1379">
        <v>1131279988.1960006</v>
      </c>
      <c r="C989" s="1379">
        <f>SUM(C990:C992)</f>
        <v>1266567074</v>
      </c>
      <c r="D989" s="1379">
        <f>SUM(D990:D992)</f>
        <v>1388443756.8412104</v>
      </c>
      <c r="E989" s="1379">
        <f>SUM(E990:E992)</f>
        <v>1522288911.6731741</v>
      </c>
    </row>
    <row r="990" spans="1:5" ht="21.9" hidden="1" customHeight="1" outlineLevel="1">
      <c r="A990" s="1393" t="s">
        <v>880</v>
      </c>
      <c r="B990" s="1381">
        <v>754865398</v>
      </c>
      <c r="C990" s="1381">
        <f>'Itemized Budget 2024-25'!L2162</f>
        <v>806009770</v>
      </c>
      <c r="D990" s="1381">
        <f>C990*1.0962259996672</f>
        <v>883568865.85977983</v>
      </c>
      <c r="E990" s="1381">
        <f>D990*1.09639940701413</f>
        <v>968744380.58481002</v>
      </c>
    </row>
    <row r="991" spans="1:5" ht="21.9" hidden="1" customHeight="1" outlineLevel="1">
      <c r="A991" s="1393" t="s">
        <v>881</v>
      </c>
      <c r="B991" s="1381">
        <v>375369316.19600058</v>
      </c>
      <c r="C991" s="1381">
        <f>'Itemized Budget 2024-25'!L2209-'Itemized Budget 2024-25'!L2206-'Itemized Budget 2024-25'!L2162</f>
        <v>458757304</v>
      </c>
      <c r="D991" s="1381">
        <f>C991*1.0962259996672</f>
        <v>502901684.18202955</v>
      </c>
      <c r="E991" s="1381">
        <f>D991*1.09639940701413</f>
        <v>551381108.32358456</v>
      </c>
    </row>
    <row r="992" spans="1:5" ht="21.9" hidden="1" customHeight="1" outlineLevel="1">
      <c r="A992" s="1393" t="s">
        <v>882</v>
      </c>
      <c r="B992" s="1381">
        <v>1045274</v>
      </c>
      <c r="C992" s="1381">
        <f>'Itemized Budget 2024-25'!L2206</f>
        <v>1800000</v>
      </c>
      <c r="D992" s="1381">
        <f>C992*1.0962259996672</f>
        <v>1973206.7994009599</v>
      </c>
      <c r="E992" s="1381">
        <f>D992*1.09639940701413</f>
        <v>2163422.764779462</v>
      </c>
    </row>
    <row r="993" spans="1:5" ht="21.9" hidden="1" customHeight="1" outlineLevel="1">
      <c r="A993" s="1382" t="s">
        <v>883</v>
      </c>
      <c r="B993" s="1379">
        <v>34767495</v>
      </c>
      <c r="C993" s="1379">
        <f>SUM(C994:C995)</f>
        <v>90095892</v>
      </c>
      <c r="D993" s="1379">
        <f>SUM(D994:D995)</f>
        <v>98765459.273608074</v>
      </c>
      <c r="E993" s="1379">
        <f>SUM(E994:E995)</f>
        <v>108286390.9810621</v>
      </c>
    </row>
    <row r="994" spans="1:5" ht="21.9" hidden="1" customHeight="1" outlineLevel="1">
      <c r="A994" s="1393" t="s">
        <v>891</v>
      </c>
      <c r="B994" s="1381">
        <v>34767495</v>
      </c>
      <c r="C994" s="1381">
        <f>'Itemized Budget 2024-25'!L2244</f>
        <v>90095892</v>
      </c>
      <c r="D994" s="1381">
        <f>C994*1.0962259996672</f>
        <v>98765459.273608074</v>
      </c>
      <c r="E994" s="1381">
        <f>D994*1.09639940701413</f>
        <v>108286390.9810621</v>
      </c>
    </row>
    <row r="995" spans="1:5" ht="21.9" hidden="1" customHeight="1" outlineLevel="1">
      <c r="A995" s="1393" t="s">
        <v>892</v>
      </c>
      <c r="B995" s="1381">
        <v>0</v>
      </c>
      <c r="C995" s="1381">
        <v>0</v>
      </c>
      <c r="D995" s="1381">
        <f>C995*1.0962259996672</f>
        <v>0</v>
      </c>
      <c r="E995" s="1381">
        <f>D995*1.09639940701413</f>
        <v>0</v>
      </c>
    </row>
    <row r="996" spans="1:5" ht="21.9" hidden="1" customHeight="1" outlineLevel="1">
      <c r="A996" s="1382" t="s">
        <v>893</v>
      </c>
      <c r="B996" s="1379">
        <v>1166047483.1960006</v>
      </c>
      <c r="C996" s="1379">
        <f>C989+C993</f>
        <v>1356662966</v>
      </c>
      <c r="D996" s="1379">
        <f>D989+D993</f>
        <v>1487209216.1148183</v>
      </c>
      <c r="E996" s="1379">
        <f>E989+E993</f>
        <v>1630575302.6542363</v>
      </c>
    </row>
    <row r="997" spans="1:5" ht="21.9" hidden="1" customHeight="1" outlineLevel="1">
      <c r="A997" s="1407"/>
    </row>
    <row r="998" spans="1:5" ht="21.9" hidden="1" customHeight="1" outlineLevel="1">
      <c r="A998" s="1407"/>
    </row>
    <row r="999" spans="1:5" ht="21.9" customHeight="1" collapsed="1">
      <c r="A999" s="1407"/>
    </row>
    <row r="1000" spans="1:5" ht="21.9" customHeight="1">
      <c r="A1000" s="1366" t="s">
        <v>1254</v>
      </c>
      <c r="B1000" s="1367"/>
      <c r="C1000" s="1367"/>
    </row>
    <row r="1001" spans="1:5" ht="21.9" hidden="1" customHeight="1" outlineLevel="1">
      <c r="A1001" s="1408" t="s">
        <v>1758</v>
      </c>
      <c r="B1001" s="1368"/>
      <c r="C1001" s="1368"/>
      <c r="D1001" s="1368"/>
      <c r="E1001" s="1368"/>
    </row>
    <row r="1002" spans="1:5" ht="21.9" hidden="1" customHeight="1" outlineLevel="1">
      <c r="A1002" s="1369" t="s">
        <v>948</v>
      </c>
      <c r="B1002" s="1412" t="s">
        <v>1671</v>
      </c>
      <c r="C1002" s="1412" t="s">
        <v>1680</v>
      </c>
      <c r="D1002" s="1371" t="s">
        <v>859</v>
      </c>
      <c r="E1002" s="1372"/>
    </row>
    <row r="1003" spans="1:5" ht="21.9" hidden="1" customHeight="1" outlineLevel="1">
      <c r="A1003" s="1373"/>
      <c r="B1003" s="1374"/>
      <c r="C1003" s="1374"/>
      <c r="D1003" s="1413" t="s">
        <v>861</v>
      </c>
      <c r="E1003" s="1413" t="s">
        <v>1672</v>
      </c>
    </row>
    <row r="1004" spans="1:5" ht="21.9" hidden="1" customHeight="1" outlineLevel="1">
      <c r="A1004" s="1376" t="s">
        <v>964</v>
      </c>
      <c r="B1004" s="1381">
        <v>114188484.63</v>
      </c>
      <c r="C1004" s="1381">
        <f>C1039</f>
        <v>110943406</v>
      </c>
      <c r="D1004" s="1381">
        <f>D1039</f>
        <v>121619046.14883402</v>
      </c>
      <c r="E1004" s="1381">
        <f>E1039</f>
        <v>133342401.01383244</v>
      </c>
    </row>
    <row r="1005" spans="1:5" s="1366" customFormat="1" ht="21.9" hidden="1" customHeight="1" outlineLevel="1">
      <c r="A1005" s="1378" t="s">
        <v>965</v>
      </c>
      <c r="B1005" s="1379">
        <v>114188484.63</v>
      </c>
      <c r="C1005" s="1379">
        <f>SUM(C1004)</f>
        <v>110943406</v>
      </c>
      <c r="D1005" s="1379">
        <f>SUM(D1004)</f>
        <v>121619046.14883402</v>
      </c>
      <c r="E1005" s="1379">
        <f>SUM(E1004)</f>
        <v>133342401.01383244</v>
      </c>
    </row>
    <row r="1006" spans="1:5" ht="21.9" hidden="1" customHeight="1" outlineLevel="1">
      <c r="A1006" s="1376" t="s">
        <v>966</v>
      </c>
      <c r="B1006" s="1381">
        <v>313075801.05000001</v>
      </c>
      <c r="C1006" s="1381">
        <f>C1053</f>
        <v>110738521.94775797</v>
      </c>
      <c r="D1006" s="1381">
        <f>D1053</f>
        <v>121394446.92384914</v>
      </c>
      <c r="E1006" s="1381">
        <f>E1053</f>
        <v>133096151.75540067</v>
      </c>
    </row>
    <row r="1007" spans="1:5" s="1366" customFormat="1" ht="21.9" hidden="1" customHeight="1" outlineLevel="1">
      <c r="A1007" s="1376" t="s">
        <v>967</v>
      </c>
      <c r="B1007" s="1381">
        <v>-281690</v>
      </c>
      <c r="C1007" s="1381">
        <f>C1065</f>
        <v>558574735</v>
      </c>
      <c r="D1007" s="1381">
        <f>D1065</f>
        <v>612324147.26421618</v>
      </c>
      <c r="E1007" s="1381">
        <f>E1065</f>
        <v>671348564.0648638</v>
      </c>
    </row>
    <row r="1008" spans="1:5" ht="21.9" hidden="1" customHeight="1" outlineLevel="1">
      <c r="A1008" s="1378" t="s">
        <v>968</v>
      </c>
      <c r="B1008" s="1379">
        <v>312794111.05000001</v>
      </c>
      <c r="C1008" s="1379">
        <f>SUM(C1006:C1007)</f>
        <v>669313256.94775796</v>
      </c>
      <c r="D1008" s="1379">
        <f>SUM(D1006:D1007)</f>
        <v>733718594.18806529</v>
      </c>
      <c r="E1008" s="1379">
        <f>SUM(E1006:E1007)</f>
        <v>804444715.82026446</v>
      </c>
    </row>
    <row r="1009" spans="1:5" ht="21.9" hidden="1" customHeight="1" outlineLevel="1">
      <c r="A1009" s="1376" t="s">
        <v>969</v>
      </c>
      <c r="B1009" s="1381">
        <v>35688101.859999999</v>
      </c>
      <c r="C1009" s="1381">
        <f>C1078</f>
        <v>27031629</v>
      </c>
      <c r="D1009" s="1381">
        <f>D1078</f>
        <v>29632774.523157872</v>
      </c>
      <c r="E1009" s="1381">
        <f>E1078</f>
        <v>32489198.269026846</v>
      </c>
    </row>
    <row r="1010" spans="1:5" s="1366" customFormat="1" ht="21.9" hidden="1" customHeight="1" outlineLevel="1">
      <c r="A1010" s="1376" t="s">
        <v>970</v>
      </c>
      <c r="B1010" s="1381">
        <v>17900720.099999994</v>
      </c>
      <c r="C1010" s="1381">
        <f>C1090</f>
        <v>19015339</v>
      </c>
      <c r="D1010" s="1381">
        <f>D1090</f>
        <v>20845109.004285693</v>
      </c>
      <c r="E1010" s="1381">
        <f>E1090</f>
        <v>22854453.903749518</v>
      </c>
    </row>
    <row r="1011" spans="1:5" ht="21.9" hidden="1" customHeight="1" outlineLevel="1">
      <c r="A1011" s="1378" t="s">
        <v>1694</v>
      </c>
      <c r="B1011" s="1379">
        <v>53588821.959999993</v>
      </c>
      <c r="C1011" s="1379">
        <f>SUM(C1009:C1010)</f>
        <v>46046968</v>
      </c>
      <c r="D1011" s="1379">
        <f>SUM(D1009:D1010)</f>
        <v>50477883.527443565</v>
      </c>
      <c r="E1011" s="1379">
        <f>SUM(E1009:E1010)</f>
        <v>55343652.172776364</v>
      </c>
    </row>
    <row r="1012" spans="1:5" ht="21.9" hidden="1" customHeight="1" outlineLevel="1">
      <c r="A1012" s="1382" t="s">
        <v>971</v>
      </c>
      <c r="B1012" s="1379">
        <v>480571417.63999999</v>
      </c>
      <c r="C1012" s="1379">
        <f>C1011+C1008+C1005</f>
        <v>826303630.94775796</v>
      </c>
      <c r="D1012" s="1379">
        <f>D1011+D1008+D1005</f>
        <v>905815523.86434281</v>
      </c>
      <c r="E1012" s="1379">
        <f>E1011+E1008+E1005</f>
        <v>993130769.00687325</v>
      </c>
    </row>
    <row r="1013" spans="1:5" s="1366" customFormat="1" ht="21.9" hidden="1" customHeight="1" outlineLevel="1">
      <c r="A1013" s="1407"/>
      <c r="B1013" s="1367"/>
      <c r="C1013" s="1367"/>
      <c r="D1013" s="1367"/>
      <c r="E1013" s="1367"/>
    </row>
    <row r="1014" spans="1:5" ht="21.9" hidden="1" customHeight="1" outlineLevel="1">
      <c r="A1014" s="1407"/>
    </row>
    <row r="1015" spans="1:5" ht="21.9" hidden="1" customHeight="1" outlineLevel="1">
      <c r="A1015" s="1366" t="s">
        <v>903</v>
      </c>
      <c r="B1015" s="1367"/>
      <c r="C1015" s="1367"/>
      <c r="D1015" s="1367"/>
      <c r="E1015" s="1367"/>
    </row>
    <row r="1016" spans="1:5" s="1366" customFormat="1" ht="21.9" hidden="1" customHeight="1" outlineLevel="1">
      <c r="A1016" s="1369" t="s">
        <v>878</v>
      </c>
      <c r="B1016" s="1412" t="s">
        <v>1671</v>
      </c>
      <c r="C1016" s="1412" t="s">
        <v>1680</v>
      </c>
      <c r="D1016" s="1371" t="s">
        <v>859</v>
      </c>
      <c r="E1016" s="1372"/>
    </row>
    <row r="1017" spans="1:5" s="1366" customFormat="1" ht="21.9" hidden="1" customHeight="1" outlineLevel="1">
      <c r="A1017" s="1373"/>
      <c r="B1017" s="1374"/>
      <c r="C1017" s="1374"/>
      <c r="D1017" s="1413" t="s">
        <v>861</v>
      </c>
      <c r="E1017" s="1413" t="s">
        <v>1672</v>
      </c>
    </row>
    <row r="1018" spans="1:5" ht="21.9" hidden="1" customHeight="1" outlineLevel="1">
      <c r="A1018" s="1382" t="s">
        <v>890</v>
      </c>
      <c r="B1018" s="1379">
        <v>188423830.78999999</v>
      </c>
      <c r="C1018" s="1379">
        <f>SUM(C1019:C1021)</f>
        <v>194406966</v>
      </c>
      <c r="D1018" s="1379">
        <f>SUM(D1019:D1021)</f>
        <v>213113970.64561737</v>
      </c>
      <c r="E1018" s="1379">
        <f>SUM(E1019:E1021)</f>
        <v>233656893.68013895</v>
      </c>
    </row>
    <row r="1019" spans="1:5" ht="21.9" hidden="1" customHeight="1" outlineLevel="1">
      <c r="A1019" s="1393" t="s">
        <v>880</v>
      </c>
      <c r="B1019" s="1381">
        <v>77217227.25</v>
      </c>
      <c r="C1019" s="1381">
        <f>C1033+C1047+C1059+C1072+C1084</f>
        <v>85147508</v>
      </c>
      <c r="D1019" s="1381">
        <f t="shared" ref="D1019:E1024" si="29">D1033+D1047+D1059+D1072+D1084</f>
        <v>93340912.076470897</v>
      </c>
      <c r="E1019" s="1381">
        <f t="shared" si="29"/>
        <v>102338422.5022306</v>
      </c>
    </row>
    <row r="1020" spans="1:5" s="1366" customFormat="1" ht="21.9" hidden="1" customHeight="1" outlineLevel="1">
      <c r="A1020" s="1393" t="s">
        <v>881</v>
      </c>
      <c r="B1020" s="1381">
        <v>98398123.539999992</v>
      </c>
      <c r="C1020" s="1381">
        <f t="shared" ref="C1020:C1021" si="30">C1034+C1048+C1060+C1073+C1085</f>
        <v>88903066</v>
      </c>
      <c r="D1020" s="1381">
        <f t="shared" si="29"/>
        <v>97457852.399329066</v>
      </c>
      <c r="E1020" s="1381">
        <f t="shared" si="29"/>
        <v>106852211.45933822</v>
      </c>
    </row>
    <row r="1021" spans="1:5" ht="21.9" hidden="1" customHeight="1" outlineLevel="1">
      <c r="A1021" s="1393" t="s">
        <v>882</v>
      </c>
      <c r="B1021" s="1381">
        <v>12808480</v>
      </c>
      <c r="C1021" s="1381">
        <f t="shared" si="30"/>
        <v>20356392</v>
      </c>
      <c r="D1021" s="1381">
        <f t="shared" si="29"/>
        <v>22315206.169817392</v>
      </c>
      <c r="E1021" s="1381">
        <f t="shared" si="29"/>
        <v>24466259.718570121</v>
      </c>
    </row>
    <row r="1022" spans="1:5" s="1366" customFormat="1" ht="21.9" hidden="1" customHeight="1" outlineLevel="1">
      <c r="A1022" s="1382" t="s">
        <v>883</v>
      </c>
      <c r="B1022" s="1379">
        <v>292147586.85000002</v>
      </c>
      <c r="C1022" s="1379">
        <f>C1023+C1024</f>
        <v>631896664.94775796</v>
      </c>
      <c r="D1022" s="1379">
        <f t="shared" si="29"/>
        <v>692701553.21872568</v>
      </c>
      <c r="E1022" s="1379">
        <f t="shared" si="29"/>
        <v>759473875.3267343</v>
      </c>
    </row>
    <row r="1023" spans="1:5" ht="21.9" hidden="1" customHeight="1" outlineLevel="1">
      <c r="A1023" s="1393" t="s">
        <v>884</v>
      </c>
      <c r="B1023" s="1381">
        <v>292147586.85000002</v>
      </c>
      <c r="C1023" s="1381">
        <f>C1037+C1051+C1063+C1076+C1088</f>
        <v>631896664.94775796</v>
      </c>
      <c r="D1023" s="1381">
        <f t="shared" si="29"/>
        <v>692701553.21872568</v>
      </c>
      <c r="E1023" s="1381">
        <f t="shared" si="29"/>
        <v>759473875.3267343</v>
      </c>
    </row>
    <row r="1024" spans="1:5" ht="21.9" hidden="1" customHeight="1" outlineLevel="1">
      <c r="A1024" s="1393" t="s">
        <v>885</v>
      </c>
      <c r="B1024" s="1381">
        <v>0</v>
      </c>
      <c r="C1024" s="1381">
        <f>C1038+C1052+C1064+C1077+C1089</f>
        <v>0</v>
      </c>
      <c r="D1024" s="1381">
        <f t="shared" si="29"/>
        <v>0</v>
      </c>
      <c r="E1024" s="1381">
        <f t="shared" si="29"/>
        <v>0</v>
      </c>
    </row>
    <row r="1025" spans="1:5" s="1366" customFormat="1" ht="21.9" hidden="1" customHeight="1" outlineLevel="1">
      <c r="A1025" s="1382" t="s">
        <v>886</v>
      </c>
      <c r="B1025" s="1379">
        <v>480571417.63999999</v>
      </c>
      <c r="C1025" s="1379">
        <f>C1022+C1018</f>
        <v>826303630.94775796</v>
      </c>
      <c r="D1025" s="1379">
        <f>D1022+D1018</f>
        <v>905815523.86434305</v>
      </c>
      <c r="E1025" s="1379">
        <f>E1022+E1018</f>
        <v>993130769.00687325</v>
      </c>
    </row>
    <row r="1026" spans="1:5" ht="21.9" hidden="1" customHeight="1" outlineLevel="1">
      <c r="A1026" s="1407"/>
    </row>
    <row r="1027" spans="1:5" ht="21.9" hidden="1" customHeight="1" outlineLevel="1">
      <c r="A1027" s="1407"/>
    </row>
    <row r="1028" spans="1:5" s="1366" customFormat="1" ht="21.9" hidden="1" customHeight="1" outlineLevel="1">
      <c r="A1028" s="1366" t="s">
        <v>1701</v>
      </c>
      <c r="B1028" s="1364"/>
      <c r="C1028" s="1364"/>
      <c r="D1028" s="1364"/>
      <c r="E1028" s="1364"/>
    </row>
    <row r="1029" spans="1:5" s="1366" customFormat="1" ht="21.9" hidden="1" customHeight="1" outlineLevel="1">
      <c r="A1029" s="1363" t="s">
        <v>972</v>
      </c>
      <c r="B1029" s="1364"/>
      <c r="C1029" s="1364"/>
      <c r="D1029" s="1364"/>
      <c r="E1029" s="1364"/>
    </row>
    <row r="1030" spans="1:5" s="1366" customFormat="1" ht="21.9" hidden="1" customHeight="1" outlineLevel="1">
      <c r="A1030" s="1369" t="s">
        <v>878</v>
      </c>
      <c r="B1030" s="1412" t="s">
        <v>1671</v>
      </c>
      <c r="C1030" s="1412" t="s">
        <v>1680</v>
      </c>
      <c r="D1030" s="1371" t="s">
        <v>859</v>
      </c>
      <c r="E1030" s="1372"/>
    </row>
    <row r="1031" spans="1:5" s="1366" customFormat="1" ht="21.9" hidden="1" customHeight="1" outlineLevel="1">
      <c r="A1031" s="1373"/>
      <c r="B1031" s="1374"/>
      <c r="C1031" s="1374"/>
      <c r="D1031" s="1413" t="s">
        <v>861</v>
      </c>
      <c r="E1031" s="1413" t="s">
        <v>1672</v>
      </c>
    </row>
    <row r="1032" spans="1:5" s="1366" customFormat="1" ht="21.9" hidden="1" customHeight="1" outlineLevel="1">
      <c r="A1032" s="1382" t="s">
        <v>890</v>
      </c>
      <c r="B1032" s="1379">
        <v>114188484.63</v>
      </c>
      <c r="C1032" s="1379">
        <f>SUM(C1033:C1035)</f>
        <v>110943406</v>
      </c>
      <c r="D1032" s="1379">
        <f>SUM(D1033:D1035)</f>
        <v>121619046.14883402</v>
      </c>
      <c r="E1032" s="1379">
        <f>SUM(E1033:E1035)</f>
        <v>133342401.01383244</v>
      </c>
    </row>
    <row r="1033" spans="1:5" ht="21.9" hidden="1" customHeight="1" outlineLevel="1">
      <c r="A1033" s="1393" t="s">
        <v>880</v>
      </c>
      <c r="B1033" s="1381">
        <v>77217227.25</v>
      </c>
      <c r="C1033" s="1381">
        <f>'Itemized Budget 2024-25'!L2253</f>
        <v>85147508</v>
      </c>
      <c r="D1033" s="1381">
        <f>C1033*1.0962259996672</f>
        <v>93340912.076470897</v>
      </c>
      <c r="E1033" s="1381">
        <f>D1033*1.09639407014138</f>
        <v>102338422.5022306</v>
      </c>
    </row>
    <row r="1034" spans="1:5" s="1366" customFormat="1" ht="21.9" hidden="1" customHeight="1" outlineLevel="1">
      <c r="A1034" s="1393" t="s">
        <v>881</v>
      </c>
      <c r="B1034" s="1381">
        <v>24601257.379999995</v>
      </c>
      <c r="C1034" s="1381">
        <f>'Itemized Budget 2024-25'!L2314-'Itemized Budget 2024-25'!L2310-'Itemized Budget 2024-25'!L2308-'Itemized Budget 2024-25'!L2253</f>
        <v>17330683</v>
      </c>
      <c r="D1034" s="1381">
        <f>C1034*1.0962259996672</f>
        <v>18998345.296590347</v>
      </c>
      <c r="E1034" s="1381">
        <f>D1034*1.09639407014138</f>
        <v>20829673.125680033</v>
      </c>
    </row>
    <row r="1035" spans="1:5" ht="21.9" hidden="1" customHeight="1" outlineLevel="1">
      <c r="A1035" s="1393" t="s">
        <v>882</v>
      </c>
      <c r="B1035" s="1381">
        <v>12370000</v>
      </c>
      <c r="C1035" s="1381">
        <f>'Itemized Budget 2024-25'!L2310+'Itemized Budget 2024-25'!L2308</f>
        <v>8465215</v>
      </c>
      <c r="D1035" s="1381">
        <f>C1035*1.0962259996672</f>
        <v>9279788.7757727765</v>
      </c>
      <c r="E1035" s="1381">
        <f>D1035*1.09639407014138</f>
        <v>10174305.385921808</v>
      </c>
    </row>
    <row r="1036" spans="1:5" ht="21.9" hidden="1" customHeight="1" outlineLevel="1">
      <c r="A1036" s="1382" t="s">
        <v>883</v>
      </c>
      <c r="B1036" s="1379">
        <v>0</v>
      </c>
      <c r="C1036" s="1379">
        <f>SUM(C1037:C1038)</f>
        <v>0</v>
      </c>
      <c r="D1036" s="1381">
        <f>SUM(D1037:D1038)</f>
        <v>0</v>
      </c>
      <c r="E1036" s="1381">
        <f>SUM(E1037:E1038)</f>
        <v>0</v>
      </c>
    </row>
    <row r="1037" spans="1:5" s="1366" customFormat="1" ht="21.9" hidden="1" customHeight="1" outlineLevel="1">
      <c r="A1037" s="1393" t="s">
        <v>891</v>
      </c>
      <c r="B1037" s="1381"/>
      <c r="C1037" s="1381"/>
      <c r="D1037" s="1381">
        <f>C1037*1.0962259996672</f>
        <v>0</v>
      </c>
      <c r="E1037" s="1381">
        <f>D1037*1.09639407014138</f>
        <v>0</v>
      </c>
    </row>
    <row r="1038" spans="1:5" ht="21.9" hidden="1" customHeight="1" outlineLevel="1">
      <c r="A1038" s="1393" t="s">
        <v>973</v>
      </c>
      <c r="B1038" s="1381">
        <v>0</v>
      </c>
      <c r="C1038" s="1381">
        <v>0</v>
      </c>
      <c r="D1038" s="1381">
        <f>C1038*1.0962259996672</f>
        <v>0</v>
      </c>
      <c r="E1038" s="1381">
        <f>D1038*1.09639407014138</f>
        <v>0</v>
      </c>
    </row>
    <row r="1039" spans="1:5" ht="21.9" hidden="1" customHeight="1" outlineLevel="1">
      <c r="A1039" s="1382" t="s">
        <v>893</v>
      </c>
      <c r="B1039" s="1379">
        <v>114188484.63</v>
      </c>
      <c r="C1039" s="1379">
        <f>C1036+C1032</f>
        <v>110943406</v>
      </c>
      <c r="D1039" s="1379">
        <f>D1036+D1032</f>
        <v>121619046.14883402</v>
      </c>
      <c r="E1039" s="1379">
        <f>E1036+E1032</f>
        <v>133342401.01383244</v>
      </c>
    </row>
    <row r="1040" spans="1:5" ht="21.9" hidden="1" customHeight="1" outlineLevel="1"/>
    <row r="1041" spans="1:5" s="1366" customFormat="1" ht="21.9" hidden="1" customHeight="1" outlineLevel="1">
      <c r="A1041" s="1363"/>
      <c r="B1041" s="1364"/>
      <c r="C1041" s="1364"/>
      <c r="D1041" s="1364"/>
      <c r="E1041" s="1364"/>
    </row>
    <row r="1042" spans="1:5" ht="21.9" hidden="1" customHeight="1" outlineLevel="1">
      <c r="A1042" s="1366" t="s">
        <v>974</v>
      </c>
    </row>
    <row r="1043" spans="1:5" ht="21.9" hidden="1" customHeight="1" outlineLevel="1">
      <c r="A1043" s="1363" t="s">
        <v>975</v>
      </c>
    </row>
    <row r="1044" spans="1:5" ht="21.9" hidden="1" customHeight="1" outlineLevel="1">
      <c r="A1044" s="1369" t="s">
        <v>878</v>
      </c>
      <c r="B1044" s="1412" t="s">
        <v>1671</v>
      </c>
      <c r="C1044" s="1412" t="s">
        <v>1680</v>
      </c>
      <c r="D1044" s="1371" t="s">
        <v>859</v>
      </c>
      <c r="E1044" s="1372"/>
    </row>
    <row r="1045" spans="1:5" ht="21.9" hidden="1" customHeight="1" outlineLevel="1">
      <c r="A1045" s="1373"/>
      <c r="B1045" s="1374"/>
      <c r="C1045" s="1374"/>
      <c r="D1045" s="1413" t="s">
        <v>861</v>
      </c>
      <c r="E1045" s="1413" t="s">
        <v>1672</v>
      </c>
    </row>
    <row r="1046" spans="1:5" s="1366" customFormat="1" ht="21.9" hidden="1" customHeight="1" outlineLevel="1">
      <c r="A1046" s="1382" t="s">
        <v>890</v>
      </c>
      <c r="B1046" s="1379">
        <v>20928214.199999999</v>
      </c>
      <c r="C1046" s="1379">
        <f>SUM(C1047:C1049)</f>
        <v>25841857</v>
      </c>
      <c r="D1046" s="1379">
        <f>SUM(D1047:D1049)</f>
        <v>28328515.523081828</v>
      </c>
      <c r="E1046" s="1379">
        <f>SUM(E1047:E1049)</f>
        <v>31059216.435414944</v>
      </c>
    </row>
    <row r="1047" spans="1:5" ht="21.9" hidden="1" customHeight="1" outlineLevel="1">
      <c r="A1047" s="1393" t="s">
        <v>880</v>
      </c>
      <c r="B1047" s="1381"/>
      <c r="C1047" s="1381"/>
      <c r="D1047" s="1381">
        <f>C1047*1.0962259996672</f>
        <v>0</v>
      </c>
      <c r="E1047" s="1381">
        <f>D1047*1.09639407014138</f>
        <v>0</v>
      </c>
    </row>
    <row r="1048" spans="1:5" s="1366" customFormat="1" ht="21.9" hidden="1" customHeight="1" outlineLevel="1">
      <c r="A1048" s="1393" t="s">
        <v>881</v>
      </c>
      <c r="B1048" s="1381">
        <v>20928214.199999999</v>
      </c>
      <c r="C1048" s="1381">
        <f>'Itemized Budget 2024-25'!L2359-'Itemized Budget 2024-25'!L2357-'Itemized Budget 2024-25'!L2352</f>
        <v>24521040</v>
      </c>
      <c r="D1048" s="1381">
        <f>C1048*1.0962259996672</f>
        <v>26880601.586879395</v>
      </c>
      <c r="E1048" s="1381">
        <f>D1048*1.09639407014138</f>
        <v>29471732.181687534</v>
      </c>
    </row>
    <row r="1049" spans="1:5" ht="21.9" hidden="1" customHeight="1" outlineLevel="1">
      <c r="A1049" s="1393" t="s">
        <v>882</v>
      </c>
      <c r="B1049" s="1381"/>
      <c r="C1049" s="1381">
        <f>'Itemized Budget 2024-25'!L2357+'Itemized Budget 2024-25'!L2352</f>
        <v>1320817</v>
      </c>
      <c r="D1049" s="1381">
        <f>C1049*1.0962259996672</f>
        <v>1447913.936202432</v>
      </c>
      <c r="E1049" s="1381">
        <f>D1049*1.09639407014138</f>
        <v>1587484.2537274107</v>
      </c>
    </row>
    <row r="1050" spans="1:5" ht="21.9" hidden="1" customHeight="1" outlineLevel="1">
      <c r="A1050" s="1382" t="s">
        <v>883</v>
      </c>
      <c r="B1050" s="1379">
        <v>292147586.85000002</v>
      </c>
      <c r="C1050" s="1379">
        <f>SUM(C1051:C1052)</f>
        <v>84896664.947757974</v>
      </c>
      <c r="D1050" s="1379">
        <f>SUM(D1051:D1052)</f>
        <v>93065931.400767311</v>
      </c>
      <c r="E1050" s="1379">
        <f>SUM(E1051:E1052)</f>
        <v>102036935.31998573</v>
      </c>
    </row>
    <row r="1051" spans="1:5" s="1366" customFormat="1" ht="21.9" hidden="1" customHeight="1" outlineLevel="1">
      <c r="A1051" s="1393" t="s">
        <v>891</v>
      </c>
      <c r="B1051" s="1381">
        <v>292147586.85000002</v>
      </c>
      <c r="C1051" s="1381">
        <f>'Itemized Budget 2024-25'!L2371</f>
        <v>84896664.947757974</v>
      </c>
      <c r="D1051" s="1381">
        <f>C1051*1.0962259996672</f>
        <v>93065931.400767311</v>
      </c>
      <c r="E1051" s="1381">
        <f>D1051*1.09639407014138</f>
        <v>102036935.31998573</v>
      </c>
    </row>
    <row r="1052" spans="1:5" ht="21.9" hidden="1" customHeight="1" outlineLevel="1">
      <c r="A1052" s="1393" t="s">
        <v>973</v>
      </c>
      <c r="B1052" s="1381"/>
      <c r="C1052" s="1381"/>
      <c r="D1052" s="1381">
        <f>C1052*1.0962259996672</f>
        <v>0</v>
      </c>
      <c r="E1052" s="1381">
        <f>D1052*1.09639407014138</f>
        <v>0</v>
      </c>
    </row>
    <row r="1053" spans="1:5" s="1366" customFormat="1" ht="21.9" hidden="1" customHeight="1" outlineLevel="1">
      <c r="A1053" s="1382" t="s">
        <v>893</v>
      </c>
      <c r="B1053" s="1379">
        <v>313075801.05000001</v>
      </c>
      <c r="C1053" s="1379">
        <f>C1050+C1046</f>
        <v>110738521.94775797</v>
      </c>
      <c r="D1053" s="1379">
        <f>D1050+D1046</f>
        <v>121394446.92384914</v>
      </c>
      <c r="E1053" s="1379">
        <f>E1050+E1046</f>
        <v>133096151.75540067</v>
      </c>
    </row>
    <row r="1054" spans="1:5" ht="21.9" hidden="1" customHeight="1" outlineLevel="1"/>
    <row r="1055" spans="1:5" s="1366" customFormat="1" ht="21.9" hidden="1" customHeight="1" outlineLevel="1">
      <c r="A1055" s="1408" t="s">
        <v>976</v>
      </c>
      <c r="B1055" s="1364"/>
      <c r="C1055" s="1364"/>
      <c r="D1055" s="1364"/>
      <c r="E1055" s="1364"/>
    </row>
    <row r="1056" spans="1:5" s="1366" customFormat="1" ht="21.9" hidden="1" customHeight="1" outlineLevel="1">
      <c r="A1056" s="1369" t="s">
        <v>878</v>
      </c>
      <c r="B1056" s="1412" t="s">
        <v>1671</v>
      </c>
      <c r="C1056" s="1412" t="s">
        <v>1680</v>
      </c>
      <c r="D1056" s="1371" t="s">
        <v>859</v>
      </c>
      <c r="E1056" s="1372"/>
    </row>
    <row r="1057" spans="1:5" s="1366" customFormat="1" ht="21.9" hidden="1" customHeight="1" outlineLevel="1">
      <c r="A1057" s="1373"/>
      <c r="B1057" s="1374"/>
      <c r="C1057" s="1374"/>
      <c r="D1057" s="1413" t="s">
        <v>861</v>
      </c>
      <c r="E1057" s="1413" t="s">
        <v>1672</v>
      </c>
    </row>
    <row r="1058" spans="1:5" ht="21.9" hidden="1" customHeight="1" outlineLevel="1">
      <c r="A1058" s="1382" t="s">
        <v>890</v>
      </c>
      <c r="B1058" s="1379">
        <v>-281690</v>
      </c>
      <c r="C1058" s="1379">
        <f>SUM(C1059:C1061)</f>
        <v>14074735</v>
      </c>
      <c r="D1058" s="1379">
        <f>SUM(D1059:D1061)</f>
        <v>15429090.445425928</v>
      </c>
      <c r="E1058" s="1379">
        <f>SUM(E1059:E1061)</f>
        <v>16916363.272040009</v>
      </c>
    </row>
    <row r="1059" spans="1:5" s="1366" customFormat="1" ht="21.9" hidden="1" customHeight="1" outlineLevel="1">
      <c r="A1059" s="1393" t="s">
        <v>880</v>
      </c>
      <c r="B1059" s="1381"/>
      <c r="C1059" s="1381"/>
      <c r="D1059" s="1381">
        <f>C1059*1.0962259996672</f>
        <v>0</v>
      </c>
      <c r="E1059" s="1381">
        <f>D1059*1.09639407014138</f>
        <v>0</v>
      </c>
    </row>
    <row r="1060" spans="1:5" ht="21.9" hidden="1" customHeight="1" outlineLevel="1">
      <c r="A1060" s="1393" t="s">
        <v>881</v>
      </c>
      <c r="B1060" s="1381">
        <v>-281690</v>
      </c>
      <c r="C1060" s="1381">
        <f>'Itemized Budget 2024-25'!L2414-'Itemized Budget 2024-25'!L2410-'Itemized Budget 2024-25'!L2408</f>
        <v>12264735</v>
      </c>
      <c r="D1060" s="1381">
        <f>C1060*1.0962259996672</f>
        <v>13444921.386028295</v>
      </c>
      <c r="E1060" s="1381">
        <f>D1060*1.09639407014138</f>
        <v>14740932.081158446</v>
      </c>
    </row>
    <row r="1061" spans="1:5" s="1366" customFormat="1" ht="21.9" hidden="1" customHeight="1" outlineLevel="1">
      <c r="A1061" s="1393" t="s">
        <v>882</v>
      </c>
      <c r="B1061" s="1381"/>
      <c r="C1061" s="1381">
        <f>'Itemized Budget 2024-25'!L2410+'Itemized Budget 2024-25'!L2408</f>
        <v>1810000</v>
      </c>
      <c r="D1061" s="1381">
        <f>C1061*1.0962259996672</f>
        <v>1984169.0593976318</v>
      </c>
      <c r="E1061" s="1381">
        <f>D1061*1.09639407014138</f>
        <v>2175431.1908815629</v>
      </c>
    </row>
    <row r="1062" spans="1:5" ht="21.9" hidden="1" customHeight="1" outlineLevel="1">
      <c r="A1062" s="1382" t="s">
        <v>883</v>
      </c>
      <c r="B1062" s="1379">
        <v>0</v>
      </c>
      <c r="C1062" s="1379">
        <f>SUM(C1063:C1064)</f>
        <v>544500000</v>
      </c>
      <c r="D1062" s="1381">
        <f>SUM(D1063:D1064)</f>
        <v>596895056.81879032</v>
      </c>
      <c r="E1062" s="1381">
        <f>SUM(E1063:E1064)</f>
        <v>654432200.79282379</v>
      </c>
    </row>
    <row r="1063" spans="1:5" s="1366" customFormat="1" ht="21.9" hidden="1" customHeight="1" outlineLevel="1">
      <c r="A1063" s="1393" t="s">
        <v>891</v>
      </c>
      <c r="B1063" s="1381">
        <v>0</v>
      </c>
      <c r="C1063" s="1381">
        <f>'Itemized Budget 2024-25'!L2426</f>
        <v>544500000</v>
      </c>
      <c r="D1063" s="1381">
        <f>C1063*1.0962259996672</f>
        <v>596895056.81879032</v>
      </c>
      <c r="E1063" s="1381">
        <f>D1063*1.09639407014138</f>
        <v>654432200.79282379</v>
      </c>
    </row>
    <row r="1064" spans="1:5" ht="21.9" hidden="1" customHeight="1" outlineLevel="1">
      <c r="A1064" s="1393" t="s">
        <v>973</v>
      </c>
      <c r="B1064" s="1381">
        <v>0</v>
      </c>
      <c r="C1064" s="1381">
        <v>0</v>
      </c>
      <c r="D1064" s="1381">
        <f>C1064*1.0962259996672</f>
        <v>0</v>
      </c>
      <c r="E1064" s="1381">
        <f>D1064*1.09639407014138</f>
        <v>0</v>
      </c>
    </row>
    <row r="1065" spans="1:5" s="1366" customFormat="1" ht="21.9" hidden="1" customHeight="1" outlineLevel="1">
      <c r="A1065" s="1382" t="s">
        <v>893</v>
      </c>
      <c r="B1065" s="1379">
        <v>-281690</v>
      </c>
      <c r="C1065" s="1379">
        <f>C1062+C1058</f>
        <v>558574735</v>
      </c>
      <c r="D1065" s="1379">
        <f>D1062+D1058</f>
        <v>612324147.26421618</v>
      </c>
      <c r="E1065" s="1379">
        <f>E1062+E1058</f>
        <v>671348564.0648638</v>
      </c>
    </row>
    <row r="1066" spans="1:5" ht="21.9" hidden="1" customHeight="1" outlineLevel="1"/>
    <row r="1067" spans="1:5" ht="21.9" hidden="1" customHeight="1" outlineLevel="1">
      <c r="A1067" s="1408" t="s">
        <v>977</v>
      </c>
    </row>
    <row r="1068" spans="1:5" s="1366" customFormat="1" ht="21.9" hidden="1" customHeight="1" outlineLevel="1">
      <c r="A1068" s="1366" t="s">
        <v>978</v>
      </c>
      <c r="B1068" s="1364"/>
      <c r="C1068" s="1364"/>
      <c r="D1068" s="1364"/>
      <c r="E1068" s="1364"/>
    </row>
    <row r="1069" spans="1:5" s="1366" customFormat="1" ht="21.9" hidden="1" customHeight="1" outlineLevel="1">
      <c r="A1069" s="1369" t="s">
        <v>878</v>
      </c>
      <c r="B1069" s="1370" t="s">
        <v>857</v>
      </c>
      <c r="C1069" s="1370" t="s">
        <v>858</v>
      </c>
      <c r="D1069" s="1371" t="s">
        <v>859</v>
      </c>
      <c r="E1069" s="1372"/>
    </row>
    <row r="1070" spans="1:5" s="1366" customFormat="1" ht="21.9" hidden="1" customHeight="1" outlineLevel="1">
      <c r="A1070" s="1373"/>
      <c r="B1070" s="1374"/>
      <c r="C1070" s="1374"/>
      <c r="D1070" s="1375" t="s">
        <v>860</v>
      </c>
      <c r="E1070" s="1375" t="s">
        <v>861</v>
      </c>
    </row>
    <row r="1071" spans="1:5" s="1366" customFormat="1" ht="21.9" hidden="1" customHeight="1" outlineLevel="1">
      <c r="A1071" s="1382" t="s">
        <v>890</v>
      </c>
      <c r="B1071" s="1379">
        <v>35688101.859999999</v>
      </c>
      <c r="C1071" s="1379">
        <f>SUM(C1072:C1074)</f>
        <v>27031629</v>
      </c>
      <c r="D1071" s="1379">
        <f>SUM(D1072:D1074)</f>
        <v>29632774.523157872</v>
      </c>
      <c r="E1071" s="1379">
        <f>SUM(E1072:E1074)</f>
        <v>32489198.269026846</v>
      </c>
    </row>
    <row r="1072" spans="1:5" s="1366" customFormat="1" ht="21.9" hidden="1" customHeight="1" outlineLevel="1">
      <c r="A1072" s="1393" t="s">
        <v>880</v>
      </c>
      <c r="B1072" s="1381"/>
      <c r="C1072" s="1381"/>
      <c r="D1072" s="1381">
        <f>C1072*1.0962259996672</f>
        <v>0</v>
      </c>
      <c r="E1072" s="1381">
        <f>D1072*1.09639407014138</f>
        <v>0</v>
      </c>
    </row>
    <row r="1073" spans="1:5" s="1366" customFormat="1" ht="21.9" hidden="1" customHeight="1" outlineLevel="1">
      <c r="A1073" s="1393" t="s">
        <v>881</v>
      </c>
      <c r="B1073" s="1381">
        <v>35539621.859999999</v>
      </c>
      <c r="C1073" s="1381">
        <f>'Itemized Budget 2024-25'!L2473-'Itemized Budget 2024-25'!L2471-'Itemized Budget 2024-25'!L2468</f>
        <v>22011269</v>
      </c>
      <c r="D1073" s="1381">
        <f>C1073*1.0962259996672</f>
        <v>24129325.363468647</v>
      </c>
      <c r="E1073" s="1381">
        <f>D1073*1.09639407014138</f>
        <v>26455249.245019022</v>
      </c>
    </row>
    <row r="1074" spans="1:5" s="1366" customFormat="1" ht="21.9" hidden="1" customHeight="1" outlineLevel="1">
      <c r="A1074" s="1393" t="s">
        <v>882</v>
      </c>
      <c r="B1074" s="1381">
        <v>148480</v>
      </c>
      <c r="C1074" s="1381">
        <f>'Itemized Budget 2024-25'!L2471+'Itemized Budget 2024-25'!L2468</f>
        <v>5020360</v>
      </c>
      <c r="D1074" s="1381">
        <f>C1074*1.0962259996672</f>
        <v>5503449.1596892234</v>
      </c>
      <c r="E1074" s="1381">
        <f>D1074*1.09639407014138</f>
        <v>6033949.0240078242</v>
      </c>
    </row>
    <row r="1075" spans="1:5" ht="21.9" hidden="1" customHeight="1" outlineLevel="1">
      <c r="A1075" s="1382" t="s">
        <v>883</v>
      </c>
      <c r="B1075" s="1379">
        <v>0</v>
      </c>
      <c r="C1075" s="1379">
        <f>SUM(C1076:C1077)</f>
        <v>0</v>
      </c>
      <c r="D1075" s="1379">
        <f>SUM(D1076:D1077)</f>
        <v>0</v>
      </c>
      <c r="E1075" s="1379">
        <f>SUM(E1076:E1077)</f>
        <v>0</v>
      </c>
    </row>
    <row r="1076" spans="1:5" s="1366" customFormat="1" ht="21.9" hidden="1" customHeight="1" outlineLevel="1">
      <c r="A1076" s="1393" t="s">
        <v>891</v>
      </c>
      <c r="B1076" s="1381"/>
      <c r="C1076" s="1381"/>
      <c r="D1076" s="1381">
        <f>C1076*1.0962259996672</f>
        <v>0</v>
      </c>
      <c r="E1076" s="1381">
        <f>D1076*1.09639407014138</f>
        <v>0</v>
      </c>
    </row>
    <row r="1077" spans="1:5" ht="21.9" hidden="1" customHeight="1" outlineLevel="1">
      <c r="A1077" s="1393" t="s">
        <v>973</v>
      </c>
      <c r="B1077" s="1381"/>
      <c r="C1077" s="1381"/>
      <c r="D1077" s="1381">
        <f>C1077*1.0962259996672</f>
        <v>0</v>
      </c>
      <c r="E1077" s="1381">
        <f>D1077*1.09639407014138</f>
        <v>0</v>
      </c>
    </row>
    <row r="1078" spans="1:5" ht="21.9" hidden="1" customHeight="1" outlineLevel="1">
      <c r="A1078" s="1382" t="s">
        <v>893</v>
      </c>
      <c r="B1078" s="1379">
        <v>35688101.859999999</v>
      </c>
      <c r="C1078" s="1379">
        <f>C1075+C1071</f>
        <v>27031629</v>
      </c>
      <c r="D1078" s="1379">
        <f>D1075+D1071</f>
        <v>29632774.523157872</v>
      </c>
      <c r="E1078" s="1379">
        <f>E1075+E1071</f>
        <v>32489198.269026846</v>
      </c>
    </row>
    <row r="1079" spans="1:5" s="1366" customFormat="1" ht="21.9" hidden="1" customHeight="1" outlineLevel="1">
      <c r="A1079" s="1363"/>
      <c r="B1079" s="1364"/>
      <c r="C1079" s="1364"/>
      <c r="D1079" s="1364"/>
      <c r="E1079" s="1364"/>
    </row>
    <row r="1080" spans="1:5" ht="21.9" hidden="1" customHeight="1" outlineLevel="1">
      <c r="A1080" s="1408" t="s">
        <v>979</v>
      </c>
    </row>
    <row r="1081" spans="1:5" ht="21.9" hidden="1" customHeight="1" outlineLevel="1">
      <c r="A1081" s="1369" t="s">
        <v>878</v>
      </c>
      <c r="B1081" s="1412" t="s">
        <v>1671</v>
      </c>
      <c r="C1081" s="1412" t="s">
        <v>1680</v>
      </c>
      <c r="D1081" s="1371" t="s">
        <v>859</v>
      </c>
      <c r="E1081" s="1372"/>
    </row>
    <row r="1082" spans="1:5" ht="21.9" hidden="1" customHeight="1" outlineLevel="1">
      <c r="A1082" s="1373"/>
      <c r="B1082" s="1374"/>
      <c r="C1082" s="1374"/>
      <c r="D1082" s="1413" t="s">
        <v>861</v>
      </c>
      <c r="E1082" s="1413" t="s">
        <v>1672</v>
      </c>
    </row>
    <row r="1083" spans="1:5" ht="21.9" hidden="1" customHeight="1" outlineLevel="1">
      <c r="A1083" s="1382" t="s">
        <v>890</v>
      </c>
      <c r="B1083" s="1379">
        <v>17900720.099999994</v>
      </c>
      <c r="C1083" s="1379">
        <f>SUM(C1084:C1086)</f>
        <v>16515339</v>
      </c>
      <c r="D1083" s="1379">
        <f>SUM(D1084:D1086)</f>
        <v>18104544.005117692</v>
      </c>
      <c r="E1083" s="1379">
        <f>SUM(E1084:E1086)</f>
        <v>19849714.689824708</v>
      </c>
    </row>
    <row r="1084" spans="1:5" s="1366" customFormat="1" ht="21.9" hidden="1" customHeight="1" outlineLevel="1">
      <c r="A1084" s="1393" t="s">
        <v>880</v>
      </c>
      <c r="B1084" s="1381"/>
      <c r="C1084" s="1381"/>
      <c r="D1084" s="1381">
        <f>C1084*1.0962259996672</f>
        <v>0</v>
      </c>
      <c r="E1084" s="1381">
        <f>D1084*1.09639407014138</f>
        <v>0</v>
      </c>
    </row>
    <row r="1085" spans="1:5" ht="21.9" hidden="1" customHeight="1" outlineLevel="1">
      <c r="A1085" s="1393" t="s">
        <v>881</v>
      </c>
      <c r="B1085" s="1381">
        <v>17610720.099999994</v>
      </c>
      <c r="C1085" s="1381">
        <f>'Itemized Budget 2024-25'!L2510-'Itemized Budget 2024-25'!L2508-'Itemized Budget 2024-25'!L2506</f>
        <v>12775339</v>
      </c>
      <c r="D1085" s="1381">
        <f>C1085*1.0962259996672</f>
        <v>14004658.766362365</v>
      </c>
      <c r="E1085" s="1381">
        <f>D1085*1.09639407014138</f>
        <v>15354624.82579319</v>
      </c>
    </row>
    <row r="1086" spans="1:5" ht="21.9" hidden="1" customHeight="1" outlineLevel="1">
      <c r="A1086" s="1393" t="s">
        <v>882</v>
      </c>
      <c r="B1086" s="1381">
        <v>290000</v>
      </c>
      <c r="C1086" s="1381">
        <f>'Itemized Budget 2024-25'!L2508+'Itemized Budget 2024-25'!L2506</f>
        <v>3740000</v>
      </c>
      <c r="D1086" s="1381">
        <f>C1086*1.0962259996672</f>
        <v>4099885.2387553276</v>
      </c>
      <c r="E1086" s="1381">
        <f>D1086*1.09639407014138</f>
        <v>4495089.8640315169</v>
      </c>
    </row>
    <row r="1087" spans="1:5" ht="21.9" hidden="1" customHeight="1" outlineLevel="1">
      <c r="A1087" s="1382" t="s">
        <v>883</v>
      </c>
      <c r="B1087" s="1379">
        <v>0</v>
      </c>
      <c r="C1087" s="1379">
        <f>SUM(C1088:C1089)</f>
        <v>2500000</v>
      </c>
      <c r="D1087" s="1379">
        <f>SUM(D1088:D1089)</f>
        <v>2740564.9991679997</v>
      </c>
      <c r="E1087" s="1379">
        <f>SUM(E1088:E1089)</f>
        <v>3004739.2139248108</v>
      </c>
    </row>
    <row r="1088" spans="1:5" ht="21.9" hidden="1" customHeight="1" outlineLevel="1">
      <c r="A1088" s="1393" t="s">
        <v>891</v>
      </c>
      <c r="B1088" s="1381"/>
      <c r="C1088" s="1381">
        <f>'Itemized Budget 2024-25'!L2515</f>
        <v>2500000</v>
      </c>
      <c r="D1088" s="1381">
        <f>C1088*1.0962259996672</f>
        <v>2740564.9991679997</v>
      </c>
      <c r="E1088" s="1381">
        <f>D1088*1.09639407014138</f>
        <v>3004739.2139248108</v>
      </c>
    </row>
    <row r="1089" spans="1:5" s="1366" customFormat="1" ht="21.9" hidden="1" customHeight="1" outlineLevel="1">
      <c r="A1089" s="1393" t="s">
        <v>973</v>
      </c>
      <c r="B1089" s="1381"/>
      <c r="C1089" s="1381"/>
      <c r="D1089" s="1381">
        <f>C1089*1.0962259996672</f>
        <v>0</v>
      </c>
      <c r="E1089" s="1381">
        <f>D1089*1.09639407014138</f>
        <v>0</v>
      </c>
    </row>
    <row r="1090" spans="1:5" ht="21.9" hidden="1" customHeight="1" outlineLevel="1">
      <c r="A1090" s="1382" t="s">
        <v>893</v>
      </c>
      <c r="B1090" s="1379">
        <v>17900720.099999994</v>
      </c>
      <c r="C1090" s="1379">
        <f>C1087+C1083</f>
        <v>19015339</v>
      </c>
      <c r="D1090" s="1379">
        <f>D1087+D1083</f>
        <v>20845109.004285693</v>
      </c>
      <c r="E1090" s="1379">
        <f>E1087+E1083</f>
        <v>22854453.903749518</v>
      </c>
    </row>
    <row r="1091" spans="1:5" ht="21.9" hidden="1" customHeight="1" outlineLevel="1">
      <c r="A1091" s="1366"/>
      <c r="B1091" s="1367"/>
      <c r="C1091" s="1367"/>
      <c r="D1091" s="1367"/>
      <c r="E1091" s="1367"/>
    </row>
    <row r="1092" spans="1:5" ht="21.9" customHeight="1" collapsed="1">
      <c r="A1092" s="1407"/>
    </row>
    <row r="1093" spans="1:5" ht="21.9" customHeight="1">
      <c r="A1093" s="1433" t="s">
        <v>1278</v>
      </c>
      <c r="B1093" s="1419"/>
      <c r="C1093" s="1419"/>
      <c r="D1093" s="1368"/>
      <c r="E1093" s="1368"/>
    </row>
    <row r="1094" spans="1:5" ht="21.9" hidden="1" customHeight="1" outlineLevel="1">
      <c r="A1094" s="1366" t="s">
        <v>1739</v>
      </c>
      <c r="B1094" s="1368"/>
      <c r="C1094" s="1368"/>
      <c r="D1094" s="1368"/>
      <c r="E1094" s="1368"/>
    </row>
    <row r="1095" spans="1:5" ht="21.9" hidden="1" customHeight="1" outlineLevel="1">
      <c r="A1095" s="1369" t="s">
        <v>856</v>
      </c>
      <c r="B1095" s="1370" t="s">
        <v>1671</v>
      </c>
      <c r="C1095" s="1370" t="s">
        <v>1680</v>
      </c>
      <c r="D1095" s="1371" t="s">
        <v>859</v>
      </c>
      <c r="E1095" s="1372"/>
    </row>
    <row r="1096" spans="1:5" ht="21.9" hidden="1" customHeight="1" outlineLevel="1">
      <c r="A1096" s="1373"/>
      <c r="B1096" s="1374"/>
      <c r="C1096" s="1374"/>
      <c r="D1096" s="1375" t="s">
        <v>861</v>
      </c>
      <c r="E1096" s="1375" t="s">
        <v>1672</v>
      </c>
    </row>
    <row r="1097" spans="1:5" ht="21.9" hidden="1" customHeight="1" outlineLevel="1">
      <c r="A1097" s="1376" t="s">
        <v>980</v>
      </c>
      <c r="B1097" s="1418">
        <v>31768902.144000001</v>
      </c>
      <c r="C1097" s="1418">
        <f>C1143</f>
        <v>34931367</v>
      </c>
      <c r="D1097" s="1418">
        <f>D1143</f>
        <v>38292672.709316835</v>
      </c>
      <c r="E1097" s="1418">
        <f>E1143</f>
        <v>41983859.288359627</v>
      </c>
    </row>
    <row r="1098" spans="1:5" ht="21.9" hidden="1" customHeight="1" outlineLevel="1">
      <c r="A1098" s="1378" t="s">
        <v>179</v>
      </c>
      <c r="B1098" s="1415">
        <v>31768902.144000001</v>
      </c>
      <c r="C1098" s="1415">
        <f>C1097</f>
        <v>34931367</v>
      </c>
      <c r="D1098" s="1415">
        <f>D1097</f>
        <v>38292672.709316835</v>
      </c>
      <c r="E1098" s="1415">
        <f>E1097</f>
        <v>41983859.288359627</v>
      </c>
    </row>
    <row r="1099" spans="1:5" ht="21.9" hidden="1" customHeight="1" outlineLevel="1">
      <c r="A1099" s="1376" t="s">
        <v>982</v>
      </c>
      <c r="B1099" s="1418">
        <v>18140209.145</v>
      </c>
      <c r="C1099" s="1418">
        <f>C1157</f>
        <v>17154434</v>
      </c>
      <c r="D1099" s="1418">
        <f>D1157</f>
        <v>18805136.560375005</v>
      </c>
      <c r="E1099" s="1418">
        <f>E1157</f>
        <v>20617840.21299402</v>
      </c>
    </row>
    <row r="1100" spans="1:5" ht="21.9" hidden="1" customHeight="1" outlineLevel="1">
      <c r="A1100" s="1416" t="s">
        <v>529</v>
      </c>
      <c r="B1100" s="1363"/>
      <c r="C1100" s="1417">
        <f>C1170</f>
        <v>992178</v>
      </c>
      <c r="D1100" s="1417"/>
      <c r="E1100" s="1417"/>
    </row>
    <row r="1101" spans="1:5" ht="21.9" hidden="1" customHeight="1" outlineLevel="1">
      <c r="A1101" s="1416" t="s">
        <v>533</v>
      </c>
      <c r="B1101" s="1417">
        <v>281224037.89999998</v>
      </c>
      <c r="C1101" s="1417">
        <f>C1184</f>
        <v>249864902</v>
      </c>
      <c r="D1101" s="1417">
        <f>D1198</f>
        <v>18603166.785970319</v>
      </c>
      <c r="E1101" s="1417">
        <f>E1198</f>
        <v>20396401.749988932</v>
      </c>
    </row>
    <row r="1102" spans="1:5" ht="21.9" hidden="1" customHeight="1" outlineLevel="1">
      <c r="A1102" s="1416" t="s">
        <v>536</v>
      </c>
      <c r="B1102" s="1417"/>
      <c r="C1102" s="1417">
        <f>C1198</f>
        <v>16970193</v>
      </c>
      <c r="D1102" s="1417"/>
      <c r="E1102" s="1417"/>
    </row>
    <row r="1103" spans="1:5" ht="21.9" hidden="1" customHeight="1" outlineLevel="1">
      <c r="A1103" s="1376" t="s">
        <v>981</v>
      </c>
      <c r="B1103" s="1418">
        <v>2070378.5</v>
      </c>
      <c r="C1103" s="1418">
        <f>C1212</f>
        <v>1300642</v>
      </c>
      <c r="D1103" s="1418">
        <f>D1184</f>
        <v>273908401.97669697</v>
      </c>
      <c r="E1103" s="1418">
        <f>E1184</f>
        <v>300311547.68915194</v>
      </c>
    </row>
    <row r="1104" spans="1:5" ht="21.9" hidden="1" customHeight="1" outlineLevel="1">
      <c r="A1104" s="1376" t="s">
        <v>983</v>
      </c>
      <c r="B1104" s="1418">
        <v>6508935.9199999999</v>
      </c>
      <c r="C1104" s="1418">
        <v>0</v>
      </c>
      <c r="D1104" s="1418">
        <f>D1212</f>
        <v>1425797.5766591462</v>
      </c>
      <c r="E1104" s="1418">
        <f>E1212</f>
        <v>1563236.0082710376</v>
      </c>
    </row>
    <row r="1105" spans="1:5" ht="21.9" hidden="1" customHeight="1" outlineLevel="1">
      <c r="A1105" s="1376" t="s">
        <v>541</v>
      </c>
      <c r="B1105" s="1414">
        <v>1741356.6884999999</v>
      </c>
      <c r="C1105" s="1414">
        <v>0</v>
      </c>
      <c r="D1105" s="1414">
        <v>0</v>
      </c>
      <c r="E1105" s="1414">
        <v>0</v>
      </c>
    </row>
    <row r="1106" spans="1:5" ht="21.9" hidden="1" customHeight="1" outlineLevel="1">
      <c r="A1106" s="1378" t="s">
        <v>984</v>
      </c>
      <c r="B1106" s="1415">
        <v>309684918.15349996</v>
      </c>
      <c r="C1106" s="1415">
        <f>SUM(C1099:C1105)</f>
        <v>286282349</v>
      </c>
      <c r="D1106" s="1415">
        <f>D1099+D1103+D1101+D1104+D1105</f>
        <v>312742502.89970142</v>
      </c>
      <c r="E1106" s="1415">
        <f>E1099+E1103+E1101+E1104+E1105</f>
        <v>342889025.66040593</v>
      </c>
    </row>
    <row r="1107" spans="1:5" ht="21.9" hidden="1" customHeight="1" outlineLevel="1">
      <c r="A1107" s="1376" t="s">
        <v>985</v>
      </c>
      <c r="B1107" s="1418">
        <v>22437016.52</v>
      </c>
      <c r="C1107" s="1418">
        <f>C1226</f>
        <v>49822840.999999985</v>
      </c>
      <c r="D1107" s="1418">
        <f>D1226</f>
        <v>54617093.681484938</v>
      </c>
      <c r="E1107" s="1418">
        <f>E1226</f>
        <v>59881857.640736319</v>
      </c>
    </row>
    <row r="1108" spans="1:5" ht="21.9" hidden="1" customHeight="1" outlineLevel="1">
      <c r="A1108" s="1378" t="s">
        <v>986</v>
      </c>
      <c r="B1108" s="1415">
        <v>22437016.52</v>
      </c>
      <c r="C1108" s="1415">
        <f>C1107</f>
        <v>49822840.999999985</v>
      </c>
      <c r="D1108" s="1415">
        <f>D1107</f>
        <v>54617093.681484938</v>
      </c>
      <c r="E1108" s="1415">
        <f>E1107</f>
        <v>59881857.640736319</v>
      </c>
    </row>
    <row r="1109" spans="1:5" ht="21.9" hidden="1" customHeight="1" outlineLevel="1">
      <c r="A1109" s="1376" t="s">
        <v>987</v>
      </c>
      <c r="B1109" s="1418">
        <v>66982396.540000014</v>
      </c>
      <c r="C1109" s="1418">
        <f>C1240</f>
        <v>59307067.195677191</v>
      </c>
      <c r="D1109" s="1418">
        <f>D1240</f>
        <v>65013949.023911022</v>
      </c>
      <c r="E1109" s="1418">
        <f>E1240</f>
        <v>71280908.186289996</v>
      </c>
    </row>
    <row r="1110" spans="1:5" ht="21.9" hidden="1" customHeight="1" outlineLevel="1">
      <c r="A1110" s="1378" t="s">
        <v>988</v>
      </c>
      <c r="B1110" s="1415">
        <v>66982396.540000014</v>
      </c>
      <c r="C1110" s="1415">
        <f>C1109</f>
        <v>59307067.195677191</v>
      </c>
      <c r="D1110" s="1415">
        <f>D1109</f>
        <v>65013949.023911022</v>
      </c>
      <c r="E1110" s="1415">
        <f>E1109</f>
        <v>71280908.186289996</v>
      </c>
    </row>
    <row r="1111" spans="1:5" ht="21.9" hidden="1" customHeight="1" outlineLevel="1">
      <c r="A1111" s="1376" t="s">
        <v>989</v>
      </c>
      <c r="B1111" s="1418">
        <v>5193358.72</v>
      </c>
      <c r="C1111" s="1418">
        <f>C1253</f>
        <v>7760877</v>
      </c>
      <c r="D1111" s="1418">
        <f t="shared" ref="D1111:E1111" si="31">D1253</f>
        <v>69114636.11457932</v>
      </c>
      <c r="E1111" s="1418">
        <f t="shared" si="31"/>
        <v>76018193.897909254</v>
      </c>
    </row>
    <row r="1112" spans="1:5" ht="21.9" hidden="1" customHeight="1" outlineLevel="1">
      <c r="A1112" s="1402" t="s">
        <v>990</v>
      </c>
      <c r="B1112" s="1418">
        <v>2519058.48</v>
      </c>
      <c r="C1112" s="1418">
        <f>C1265</f>
        <v>2444445</v>
      </c>
      <c r="D1112" s="1418">
        <f>D1265</f>
        <v>2679664.1637564884</v>
      </c>
      <c r="E1112" s="1418">
        <f>E1265</f>
        <v>2937967.8991129734</v>
      </c>
    </row>
    <row r="1113" spans="1:5" ht="21.9" hidden="1" customHeight="1" outlineLevel="1">
      <c r="A1113" s="1376" t="s">
        <v>991</v>
      </c>
      <c r="B1113" s="1418">
        <v>7249624.1800000006</v>
      </c>
      <c r="C1113" s="1418">
        <f>C1279</f>
        <v>40378800</v>
      </c>
      <c r="D1113" s="1418">
        <f>D1279</f>
        <v>44264290.39536193</v>
      </c>
      <c r="E1113" s="1418">
        <f>E1279</f>
        <v>48531105.50849086</v>
      </c>
    </row>
    <row r="1114" spans="1:5" ht="21.9" hidden="1" customHeight="1" outlineLevel="1">
      <c r="A1114" s="1376" t="s">
        <v>992</v>
      </c>
      <c r="B1114" s="1418">
        <v>15550735.295</v>
      </c>
      <c r="C1114" s="1418">
        <f>C1293</f>
        <v>4464916</v>
      </c>
      <c r="D1114" s="1418">
        <f>D1293</f>
        <v>4894557.0055300761</v>
      </c>
      <c r="E1114" s="1418">
        <f>E1293</f>
        <v>5366363.2768321242</v>
      </c>
    </row>
    <row r="1115" spans="1:5" ht="21.9" hidden="1" customHeight="1" outlineLevel="1">
      <c r="A1115" s="1378" t="s">
        <v>993</v>
      </c>
      <c r="B1115" s="1415">
        <v>30512776.675000001</v>
      </c>
      <c r="C1115" s="1415">
        <f>C1113+C1114+C1111+C1112</f>
        <v>55049038</v>
      </c>
      <c r="D1115" s="1415">
        <f>D1113+D1114+D1111+D1112</f>
        <v>120953147.67922781</v>
      </c>
      <c r="E1115" s="1415">
        <f>E1113+E1114+E1111+E1112</f>
        <v>132853630.58234522</v>
      </c>
    </row>
    <row r="1116" spans="1:5" ht="21.9" hidden="1" customHeight="1" outlineLevel="1">
      <c r="A1116" s="1382" t="s">
        <v>876</v>
      </c>
      <c r="B1116" s="1422">
        <v>461386010.03249997</v>
      </c>
      <c r="C1116" s="1422">
        <f>C1098+C1106+C1108+C1110+C1115</f>
        <v>485392662.19567716</v>
      </c>
      <c r="D1116" s="1422">
        <f>D1098+D1106+D1108+D1110+D1115</f>
        <v>591619365.99364197</v>
      </c>
      <c r="E1116" s="1422">
        <f>E1098+E1106+E1108+E1110+E1115</f>
        <v>648889281.35813713</v>
      </c>
    </row>
    <row r="1117" spans="1:5" ht="21.9" hidden="1" customHeight="1" outlineLevel="1">
      <c r="A1117" s="1407"/>
      <c r="B1117" s="1368"/>
      <c r="C1117" s="1368"/>
      <c r="D1117" s="1368"/>
      <c r="E1117" s="1368"/>
    </row>
    <row r="1118" spans="1:5" ht="21.9" hidden="1" customHeight="1" outlineLevel="1">
      <c r="A1118" s="1366" t="s">
        <v>903</v>
      </c>
      <c r="B1118" s="1419"/>
      <c r="C1118" s="1419"/>
      <c r="D1118" s="1419"/>
      <c r="E1118" s="1419"/>
    </row>
    <row r="1119" spans="1:5" ht="21.9" hidden="1" customHeight="1" outlineLevel="1">
      <c r="A1119" s="1369" t="s">
        <v>878</v>
      </c>
      <c r="B1119" s="1412" t="s">
        <v>1671</v>
      </c>
      <c r="C1119" s="1412" t="s">
        <v>1680</v>
      </c>
      <c r="D1119" s="1371" t="s">
        <v>859</v>
      </c>
      <c r="E1119" s="1372"/>
    </row>
    <row r="1120" spans="1:5" ht="21.9" hidden="1" customHeight="1" outlineLevel="1">
      <c r="A1120" s="1373"/>
      <c r="B1120" s="1374"/>
      <c r="C1120" s="1374"/>
      <c r="D1120" s="1413" t="s">
        <v>861</v>
      </c>
      <c r="E1120" s="1413" t="s">
        <v>1672</v>
      </c>
    </row>
    <row r="1121" spans="1:5" ht="21.9" hidden="1" customHeight="1" outlineLevel="1">
      <c r="A1121" s="1382" t="s">
        <v>890</v>
      </c>
      <c r="B1121" s="1422">
        <v>91613715.972499982</v>
      </c>
      <c r="C1121" s="1422">
        <f>SUM(C1122:C1124)</f>
        <v>120676860.99999999</v>
      </c>
      <c r="D1121" s="1422">
        <f>SUM(D1122:D1124)</f>
        <v>192896073.55338487</v>
      </c>
      <c r="E1121" s="1422">
        <f>SUM(E1122:E1124)</f>
        <v>211731427.89939183</v>
      </c>
    </row>
    <row r="1122" spans="1:5" ht="21.9" hidden="1" customHeight="1" outlineLevel="1">
      <c r="A1122" s="1393" t="s">
        <v>880</v>
      </c>
      <c r="B1122" s="1414">
        <v>48177739</v>
      </c>
      <c r="C1122" s="1414">
        <f>C1137+C1151+C1164+C1178+C1192+C1206+C1220+C1234+C1247+C1259+C1273+C1287</f>
        <v>51627212.999999985</v>
      </c>
      <c r="D1122" s="1414">
        <f t="shared" ref="D1122:E1122" si="32">D1137+D1151+D1164+D1178+D1192+D1206+D1220+D1234+D1247+D1259+D1273+D1287</f>
        <v>117261832.69259706</v>
      </c>
      <c r="E1122" s="1414">
        <f t="shared" si="32"/>
        <v>128800420.85494491</v>
      </c>
    </row>
    <row r="1123" spans="1:5" ht="21.9" hidden="1" customHeight="1" outlineLevel="1">
      <c r="A1123" s="1393" t="s">
        <v>881</v>
      </c>
      <c r="B1123" s="1414">
        <v>41851218.829999991</v>
      </c>
      <c r="C1123" s="1414">
        <f t="shared" ref="C1123:E1124" si="33">C1138+C1152+C1165+C1179+C1193+C1207+C1221+C1235+C1248+C1260+C1274+C1288</f>
        <v>43149788</v>
      </c>
      <c r="D1123" s="1414">
        <f t="shared" si="33"/>
        <v>47242140.941047266</v>
      </c>
      <c r="E1123" s="1414">
        <f t="shared" si="33"/>
        <v>51802077.053581871</v>
      </c>
    </row>
    <row r="1124" spans="1:5" ht="21.9" hidden="1" customHeight="1" outlineLevel="1">
      <c r="A1124" s="1393" t="s">
        <v>882</v>
      </c>
      <c r="B1124" s="1414">
        <v>1584758.1425000001</v>
      </c>
      <c r="C1124" s="1414">
        <f>C1139+C1153+C1166+C1180+C1194+C1208+C1222+C1236+C1249+C1261+C1275+C1289</f>
        <v>25899860</v>
      </c>
      <c r="D1124" s="1414">
        <f t="shared" si="33"/>
        <v>28392099.919740524</v>
      </c>
      <c r="E1124" s="1414">
        <f t="shared" si="33"/>
        <v>31128929.990865059</v>
      </c>
    </row>
    <row r="1125" spans="1:5" s="1366" customFormat="1" ht="21.9" hidden="1" customHeight="1" outlineLevel="1">
      <c r="A1125" s="1382" t="s">
        <v>883</v>
      </c>
      <c r="B1125" s="1422">
        <v>369772294.06</v>
      </c>
      <c r="C1125" s="1422">
        <f>SUM(C1126:C1127)</f>
        <v>364715801.19567716</v>
      </c>
      <c r="D1125" s="1422">
        <f>SUM(D1126:D1127)</f>
        <v>399810943.76015496</v>
      </c>
      <c r="E1125" s="1422">
        <f>SUM(E1126:E1127)</f>
        <v>438350347.91626257</v>
      </c>
    </row>
    <row r="1126" spans="1:5" ht="21.9" hidden="1" customHeight="1" outlineLevel="1">
      <c r="A1126" s="1393" t="s">
        <v>884</v>
      </c>
      <c r="B1126" s="1414">
        <v>369772294.06</v>
      </c>
      <c r="C1126" s="1414">
        <f>C1141+C1155+C1168+C1182+C1196+C1210+C1224+C1238+C1251+C1263+C1277+C1291</f>
        <v>364715801.19567716</v>
      </c>
      <c r="D1126" s="1414">
        <f t="shared" ref="D1126:E1126" si="34">D1141+D1155+D1168+D1182+D1196+D1210+D1224+D1238+D1251+D1263+D1277+D1291</f>
        <v>399810943.76015496</v>
      </c>
      <c r="E1126" s="1414">
        <f t="shared" si="34"/>
        <v>438350347.91626257</v>
      </c>
    </row>
    <row r="1127" spans="1:5" ht="21.9" hidden="1" customHeight="1" outlineLevel="1">
      <c r="A1127" s="1393" t="s">
        <v>885</v>
      </c>
      <c r="B1127" s="1414">
        <v>0</v>
      </c>
      <c r="C1127" s="1414">
        <f>C1142+C1156+C1169+C1183+C1197+C1211+C1225+C1239+C1252+C1264+C1278+C1292</f>
        <v>0</v>
      </c>
      <c r="D1127" s="1414">
        <f t="shared" ref="D1127:E1127" si="35">D1142+D1156+D1169+D1183+D1197+D1211+D1225+D1239+D1252+D1264+D1278+D1292</f>
        <v>0</v>
      </c>
      <c r="E1127" s="1414">
        <f t="shared" si="35"/>
        <v>0</v>
      </c>
    </row>
    <row r="1128" spans="1:5" ht="21.9" hidden="1" customHeight="1" outlineLevel="1">
      <c r="A1128" s="1382" t="s">
        <v>886</v>
      </c>
      <c r="B1128" s="1422">
        <v>461386010.03249997</v>
      </c>
      <c r="C1128" s="1422">
        <f>C1121+C1125</f>
        <v>485392662.19567716</v>
      </c>
      <c r="D1128" s="1422">
        <f>D1121+D1125</f>
        <v>592707017.31353986</v>
      </c>
      <c r="E1128" s="1422">
        <f>E1121+E1125</f>
        <v>650081775.8156544</v>
      </c>
    </row>
    <row r="1129" spans="1:5" ht="21.9" hidden="1" customHeight="1" outlineLevel="1">
      <c r="A1129" s="1407"/>
      <c r="B1129" s="1368"/>
      <c r="C1129" s="1368"/>
      <c r="D1129" s="1368"/>
      <c r="E1129" s="1368"/>
    </row>
    <row r="1130" spans="1:5" ht="21.9" hidden="1" customHeight="1" outlineLevel="1">
      <c r="A1130" s="1407"/>
      <c r="B1130" s="1368"/>
      <c r="C1130" s="1368"/>
      <c r="D1130" s="1368"/>
      <c r="E1130" s="1368"/>
    </row>
    <row r="1131" spans="1:5" ht="21.9" hidden="1" customHeight="1" outlineLevel="1">
      <c r="A1131" s="1366" t="s">
        <v>887</v>
      </c>
      <c r="B1131" s="1419"/>
      <c r="C1131" s="1419"/>
      <c r="D1131" s="1419"/>
      <c r="E1131" s="1419"/>
    </row>
    <row r="1132" spans="1:5" ht="21.9" hidden="1" customHeight="1" outlineLevel="1">
      <c r="A1132" s="1366" t="s">
        <v>994</v>
      </c>
      <c r="B1132" s="1419"/>
      <c r="C1132" s="1419"/>
      <c r="D1132" s="1419"/>
      <c r="E1132" s="1419"/>
    </row>
    <row r="1133" spans="1:5" ht="21.9" hidden="1" customHeight="1" outlineLevel="1">
      <c r="A1133" s="1363" t="s">
        <v>995</v>
      </c>
      <c r="B1133" s="1419"/>
      <c r="C1133" s="1419"/>
      <c r="D1133" s="1419"/>
      <c r="E1133" s="1419"/>
    </row>
    <row r="1134" spans="1:5" ht="21.9" hidden="1" customHeight="1" outlineLevel="1">
      <c r="A1134" s="1369" t="s">
        <v>878</v>
      </c>
      <c r="B1134" s="1412" t="s">
        <v>1671</v>
      </c>
      <c r="C1134" s="1412" t="s">
        <v>1680</v>
      </c>
      <c r="D1134" s="1371" t="s">
        <v>859</v>
      </c>
      <c r="E1134" s="1372"/>
    </row>
    <row r="1135" spans="1:5" ht="21.9" hidden="1" customHeight="1" outlineLevel="1">
      <c r="A1135" s="1373"/>
      <c r="B1135" s="1374"/>
      <c r="C1135" s="1374"/>
      <c r="D1135" s="1413" t="s">
        <v>861</v>
      </c>
      <c r="E1135" s="1413" t="s">
        <v>1672</v>
      </c>
    </row>
    <row r="1136" spans="1:5" ht="21.9" hidden="1" customHeight="1" outlineLevel="1">
      <c r="A1136" s="1382" t="s">
        <v>890</v>
      </c>
      <c r="B1136" s="1422">
        <v>31768902.144000001</v>
      </c>
      <c r="C1136" s="1422">
        <f>SUM(C1137:C1139)</f>
        <v>34931367</v>
      </c>
      <c r="D1136" s="1422">
        <f>SUM(D1137:D1139)</f>
        <v>38292672.709316835</v>
      </c>
      <c r="E1136" s="1422">
        <f>SUM(E1137:E1139)</f>
        <v>41983859.288359627</v>
      </c>
    </row>
    <row r="1137" spans="1:5" ht="21.9" hidden="1" customHeight="1" outlineLevel="1">
      <c r="A1137" s="1393" t="s">
        <v>880</v>
      </c>
      <c r="B1137" s="1414">
        <v>19050374</v>
      </c>
      <c r="C1137" s="1414">
        <f>'Itemized Budget 2024-25'!L2526</f>
        <v>24887955</v>
      </c>
      <c r="D1137" s="1414">
        <f>C1137*1.0962259996672</f>
        <v>27282823.349547286</v>
      </c>
      <c r="E1137" s="1414">
        <f>D1137*1.09639407014138</f>
        <v>29912725.737158425</v>
      </c>
    </row>
    <row r="1138" spans="1:5" ht="21.9" hidden="1" customHeight="1" outlineLevel="1">
      <c r="A1138" s="1393" t="s">
        <v>881</v>
      </c>
      <c r="B1138" s="1414">
        <v>12392478.07</v>
      </c>
      <c r="C1138" s="1414">
        <f>'Itemized Budget 2024-25'!L2580-'Itemized Budget 2024-25'!L2576-'Itemized Budget 2024-25'!L2526</f>
        <v>8812052</v>
      </c>
      <c r="D1138" s="1414">
        <f>C1138*1.0962259996672</f>
        <v>9660000.5128193479</v>
      </c>
      <c r="E1138" s="1414">
        <f>D1138*1.09639407014138</f>
        <v>10591167.279817821</v>
      </c>
    </row>
    <row r="1139" spans="1:5" ht="21.9" hidden="1" customHeight="1" outlineLevel="1">
      <c r="A1139" s="1393" t="s">
        <v>882</v>
      </c>
      <c r="B1139" s="1414">
        <v>326050.07400000002</v>
      </c>
      <c r="C1139" s="1414">
        <f>'Itemized Budget 2024-25'!L2576</f>
        <v>1231360</v>
      </c>
      <c r="D1139" s="1414">
        <f>C1139*1.0962259996672</f>
        <v>1349848.8469502032</v>
      </c>
      <c r="E1139" s="1414">
        <f>D1139*1.09639407014138</f>
        <v>1479966.2713833819</v>
      </c>
    </row>
    <row r="1140" spans="1:5" ht="21.9" hidden="1" customHeight="1" outlineLevel="1">
      <c r="A1140" s="1382" t="s">
        <v>883</v>
      </c>
      <c r="B1140" s="1422">
        <v>0</v>
      </c>
      <c r="C1140" s="1422">
        <f>SUM(C1141:C1142)</f>
        <v>0</v>
      </c>
      <c r="D1140" s="1422">
        <f>SUM(D1141:D1142)</f>
        <v>0</v>
      </c>
      <c r="E1140" s="1422">
        <f>SUM(E1141:E1142)</f>
        <v>0</v>
      </c>
    </row>
    <row r="1141" spans="1:5" ht="21.9" hidden="1" customHeight="1" outlineLevel="1">
      <c r="A1141" s="1393" t="s">
        <v>891</v>
      </c>
      <c r="B1141" s="1414"/>
      <c r="C1141" s="1414"/>
      <c r="D1141" s="1414">
        <f>C1141*1.0962259996672</f>
        <v>0</v>
      </c>
      <c r="E1141" s="1414">
        <f>D1141*1.09639407014138</f>
        <v>0</v>
      </c>
    </row>
    <row r="1142" spans="1:5" ht="21.9" hidden="1" customHeight="1" outlineLevel="1">
      <c r="A1142" s="1393" t="s">
        <v>892</v>
      </c>
      <c r="B1142" s="1414">
        <v>0</v>
      </c>
      <c r="C1142" s="1414">
        <v>0</v>
      </c>
      <c r="D1142" s="1414">
        <f>C1142*1.0962259996672</f>
        <v>0</v>
      </c>
      <c r="E1142" s="1414">
        <f>D1142*1.09639407014138</f>
        <v>0</v>
      </c>
    </row>
    <row r="1143" spans="1:5" ht="21.9" hidden="1" customHeight="1" outlineLevel="1">
      <c r="A1143" s="1382" t="s">
        <v>893</v>
      </c>
      <c r="B1143" s="1422">
        <v>31768902.144000001</v>
      </c>
      <c r="C1143" s="1422">
        <f>C1136+C1140</f>
        <v>34931367</v>
      </c>
      <c r="D1143" s="1422">
        <f>D1136+D1140</f>
        <v>38292672.709316835</v>
      </c>
      <c r="E1143" s="1422">
        <f>E1136+E1140</f>
        <v>41983859.288359627</v>
      </c>
    </row>
    <row r="1144" spans="1:5" ht="21.9" hidden="1" customHeight="1" outlineLevel="1">
      <c r="B1144" s="1368"/>
      <c r="C1144" s="1368"/>
      <c r="D1144" s="1368"/>
      <c r="E1144" s="1368"/>
    </row>
    <row r="1145" spans="1:5" ht="21.9" hidden="1" customHeight="1" outlineLevel="1">
      <c r="B1145" s="1368"/>
      <c r="C1145" s="1368"/>
      <c r="D1145" s="1368"/>
      <c r="E1145" s="1368"/>
    </row>
    <row r="1146" spans="1:5" ht="21.9" hidden="1" customHeight="1" outlineLevel="1">
      <c r="A1146" s="1382" t="s">
        <v>996</v>
      </c>
      <c r="B1146" s="1419"/>
      <c r="C1146" s="1419"/>
      <c r="D1146" s="1419"/>
      <c r="E1146" s="1419"/>
    </row>
    <row r="1147" spans="1:5" ht="21.9" hidden="1" customHeight="1" outlineLevel="1">
      <c r="A1147" s="1382" t="s">
        <v>982</v>
      </c>
      <c r="B1147" s="1419"/>
      <c r="C1147" s="1419"/>
      <c r="D1147" s="1419"/>
      <c r="E1147" s="1419"/>
    </row>
    <row r="1148" spans="1:5" ht="21.9" hidden="1" customHeight="1" outlineLevel="1">
      <c r="A1148" s="1369" t="s">
        <v>878</v>
      </c>
      <c r="B1148" s="1412" t="s">
        <v>1671</v>
      </c>
      <c r="C1148" s="1412" t="s">
        <v>1680</v>
      </c>
      <c r="D1148" s="1371" t="s">
        <v>859</v>
      </c>
      <c r="E1148" s="1372"/>
    </row>
    <row r="1149" spans="1:5" ht="21.9" hidden="1" customHeight="1" outlineLevel="1">
      <c r="A1149" s="1373"/>
      <c r="B1149" s="1374"/>
      <c r="C1149" s="1374"/>
      <c r="D1149" s="1413" t="s">
        <v>861</v>
      </c>
      <c r="E1149" s="1413" t="s">
        <v>1672</v>
      </c>
    </row>
    <row r="1150" spans="1:5" ht="21.9" hidden="1" customHeight="1" outlineLevel="1">
      <c r="A1150" s="1382" t="s">
        <v>890</v>
      </c>
      <c r="B1150" s="1422">
        <v>18140209.145</v>
      </c>
      <c r="C1150" s="1422">
        <f>SUM(C1151:C1153)</f>
        <v>17154434</v>
      </c>
      <c r="D1150" s="1422">
        <f>SUM(D1151:D1153)</f>
        <v>18805136.560375005</v>
      </c>
      <c r="E1150" s="1422">
        <f>SUM(E1151:E1153)</f>
        <v>20617840.21299402</v>
      </c>
    </row>
    <row r="1151" spans="1:5" ht="21.9" hidden="1" customHeight="1" outlineLevel="1">
      <c r="A1151" s="1393" t="s">
        <v>880</v>
      </c>
      <c r="B1151" s="1414">
        <v>14400573</v>
      </c>
      <c r="C1151" s="1414">
        <f>'Itemized Budget 2024-25'!L2585</f>
        <v>14331548</v>
      </c>
      <c r="D1151" s="1414">
        <f>C1151*1.0962259996672</f>
        <v>15710615.53307846</v>
      </c>
      <c r="E1151" s="1414">
        <f>D1151*1.09639407014138</f>
        <v>17225025.708738279</v>
      </c>
    </row>
    <row r="1152" spans="1:5" ht="21.9" hidden="1" customHeight="1" outlineLevel="1">
      <c r="A1152" s="1393" t="s">
        <v>881</v>
      </c>
      <c r="B1152" s="1414">
        <v>3739636.1449999996</v>
      </c>
      <c r="C1152" s="1414">
        <f>'Itemized Budget 2024-25'!L2612-'Itemized Budget 2024-25'!L2585</f>
        <v>2822886</v>
      </c>
      <c r="D1152" s="1414">
        <f>C1152*1.0962259996672</f>
        <v>3094521.0272965431</v>
      </c>
      <c r="E1152" s="1414">
        <f>D1152*1.09639407014138</f>
        <v>3392814.5042557409</v>
      </c>
    </row>
    <row r="1153" spans="1:5" ht="21.9" hidden="1" customHeight="1" outlineLevel="1">
      <c r="A1153" s="1393" t="s">
        <v>882</v>
      </c>
      <c r="B1153" s="1414"/>
      <c r="C1153" s="1414"/>
      <c r="D1153" s="1414">
        <f>C1153*1.0962259996672</f>
        <v>0</v>
      </c>
      <c r="E1153" s="1414">
        <f>D1153*1.09639407014138</f>
        <v>0</v>
      </c>
    </row>
    <row r="1154" spans="1:5" ht="21.9" hidden="1" customHeight="1" outlineLevel="1">
      <c r="A1154" s="1382" t="s">
        <v>883</v>
      </c>
      <c r="B1154" s="1422">
        <v>0</v>
      </c>
      <c r="C1154" s="1422">
        <f>SUM(C1155:C1156)</f>
        <v>0</v>
      </c>
      <c r="D1154" s="1422">
        <f>SUM(D1155:D1156)</f>
        <v>0</v>
      </c>
      <c r="E1154" s="1422">
        <f>SUM(E1155:E1156)</f>
        <v>0</v>
      </c>
    </row>
    <row r="1155" spans="1:5" ht="21.9" hidden="1" customHeight="1" outlineLevel="1">
      <c r="A1155" s="1393" t="s">
        <v>891</v>
      </c>
      <c r="B1155" s="1414"/>
      <c r="C1155" s="1414">
        <f>'Itemized Budget 2024-25'!L2616</f>
        <v>0</v>
      </c>
      <c r="D1155" s="1414">
        <f>C1155*1.0962259996672</f>
        <v>0</v>
      </c>
      <c r="E1155" s="1414">
        <f>D1155*1.09639407014138</f>
        <v>0</v>
      </c>
    </row>
    <row r="1156" spans="1:5" ht="21.9" hidden="1" customHeight="1" outlineLevel="1">
      <c r="A1156" s="1393" t="s">
        <v>892</v>
      </c>
      <c r="B1156" s="1414">
        <v>0</v>
      </c>
      <c r="C1156" s="1414">
        <v>0</v>
      </c>
      <c r="D1156" s="1414">
        <f>C1156*1.0962259996672</f>
        <v>0</v>
      </c>
      <c r="E1156" s="1414">
        <f>D1156*1.09639407014138</f>
        <v>0</v>
      </c>
    </row>
    <row r="1157" spans="1:5" ht="21.9" hidden="1" customHeight="1" outlineLevel="1">
      <c r="A1157" s="1382" t="s">
        <v>893</v>
      </c>
      <c r="B1157" s="1422">
        <v>18140209.145</v>
      </c>
      <c r="C1157" s="1422">
        <f>C1150+C1154</f>
        <v>17154434</v>
      </c>
      <c r="D1157" s="1422">
        <f>D1150+D1154</f>
        <v>18805136.560375005</v>
      </c>
      <c r="E1157" s="1422">
        <f>E1150+E1154</f>
        <v>20617840.21299402</v>
      </c>
    </row>
    <row r="1158" spans="1:5" ht="21.9" hidden="1" customHeight="1" outlineLevel="1">
      <c r="A1158" s="1382"/>
      <c r="B1158" s="1419"/>
      <c r="C1158" s="1419"/>
      <c r="D1158" s="1419"/>
      <c r="E1158" s="1419"/>
    </row>
    <row r="1159" spans="1:5" ht="21.9" hidden="1" customHeight="1" outlineLevel="1">
      <c r="A1159" s="1401" t="s">
        <v>529</v>
      </c>
      <c r="B1159" s="1419"/>
      <c r="C1159" s="1419"/>
      <c r="D1159" s="1419"/>
      <c r="E1159" s="1419"/>
    </row>
    <row r="1160" spans="1:5" ht="21.9" hidden="1" customHeight="1" outlineLevel="1">
      <c r="A1160" s="1382" t="s">
        <v>530</v>
      </c>
      <c r="B1160" s="1419"/>
      <c r="C1160" s="1419"/>
      <c r="D1160" s="1419"/>
      <c r="E1160" s="1419"/>
    </row>
    <row r="1161" spans="1:5" ht="21.9" hidden="1" customHeight="1" outlineLevel="1">
      <c r="A1161" s="1369" t="s">
        <v>878</v>
      </c>
      <c r="B1161" s="1412" t="s">
        <v>1671</v>
      </c>
      <c r="C1161" s="1412" t="s">
        <v>1766</v>
      </c>
      <c r="D1161" s="1371" t="s">
        <v>859</v>
      </c>
      <c r="E1161" s="1372"/>
    </row>
    <row r="1162" spans="1:5" ht="21.9" hidden="1" customHeight="1" outlineLevel="1">
      <c r="A1162" s="1373"/>
      <c r="B1162" s="1374"/>
      <c r="C1162" s="1374"/>
      <c r="D1162" s="1413" t="s">
        <v>861</v>
      </c>
      <c r="E1162" s="1413" t="s">
        <v>1672</v>
      </c>
    </row>
    <row r="1163" spans="1:5" ht="21.9" hidden="1" customHeight="1" outlineLevel="1">
      <c r="A1163" s="1382" t="s">
        <v>890</v>
      </c>
      <c r="B1163" s="1422">
        <v>0</v>
      </c>
      <c r="C1163" s="1422">
        <f>SUM(C1164:C1166)</f>
        <v>992178</v>
      </c>
      <c r="D1163" s="1422">
        <f>SUM(D1164:D1166)</f>
        <v>1087651.319897803</v>
      </c>
      <c r="E1163" s="1422">
        <f>SUM(E1164:E1166)</f>
        <v>1192494.4575173962</v>
      </c>
    </row>
    <row r="1164" spans="1:5" ht="21.9" hidden="1" customHeight="1" outlineLevel="1">
      <c r="A1164" s="1393" t="s">
        <v>880</v>
      </c>
      <c r="B1164" s="1414">
        <v>0</v>
      </c>
      <c r="C1164" s="1414"/>
      <c r="D1164" s="1414">
        <f>C1164*1.0962259996672</f>
        <v>0</v>
      </c>
      <c r="E1164" s="1414">
        <f>D1164*1.09639407014138</f>
        <v>0</v>
      </c>
    </row>
    <row r="1165" spans="1:5" ht="21.9" hidden="1" customHeight="1" outlineLevel="1">
      <c r="A1165" s="1393" t="s">
        <v>881</v>
      </c>
      <c r="B1165" s="1414">
        <v>0</v>
      </c>
      <c r="C1165" s="1414">
        <f>'Itemized Budget 2024-25'!L2631</f>
        <v>992178</v>
      </c>
      <c r="D1165" s="1414">
        <f>C1165*1.0962259996672</f>
        <v>1087651.319897803</v>
      </c>
      <c r="E1165" s="1414">
        <f>D1165*1.09639407014138</f>
        <v>1192494.4575173962</v>
      </c>
    </row>
    <row r="1166" spans="1:5" ht="21.9" hidden="1" customHeight="1" outlineLevel="1">
      <c r="A1166" s="1393" t="s">
        <v>882</v>
      </c>
      <c r="B1166" s="1414"/>
      <c r="C1166" s="1414"/>
      <c r="D1166" s="1414">
        <f>C1166*1.0962259996672</f>
        <v>0</v>
      </c>
      <c r="E1166" s="1414">
        <f>D1166*1.09639407014138</f>
        <v>0</v>
      </c>
    </row>
    <row r="1167" spans="1:5" ht="21.9" hidden="1" customHeight="1" outlineLevel="1">
      <c r="A1167" s="1382" t="s">
        <v>883</v>
      </c>
      <c r="B1167" s="1422">
        <v>0</v>
      </c>
      <c r="C1167" s="1422">
        <f>SUM(C1168:C1169)</f>
        <v>0</v>
      </c>
      <c r="D1167" s="1422">
        <f>SUM(D1168:D1169)</f>
        <v>0</v>
      </c>
      <c r="E1167" s="1422">
        <f>SUM(E1168:E1169)</f>
        <v>0</v>
      </c>
    </row>
    <row r="1168" spans="1:5" ht="21.9" hidden="1" customHeight="1" outlineLevel="1">
      <c r="A1168" s="1393" t="s">
        <v>891</v>
      </c>
      <c r="B1168" s="1414"/>
      <c r="C1168" s="1414"/>
      <c r="D1168" s="1414">
        <f>C1168*1.0962259996672</f>
        <v>0</v>
      </c>
      <c r="E1168" s="1414">
        <f>D1168*1.09639407014138</f>
        <v>0</v>
      </c>
    </row>
    <row r="1169" spans="1:5" ht="21.9" hidden="1" customHeight="1" outlineLevel="1">
      <c r="A1169" s="1393" t="s">
        <v>892</v>
      </c>
      <c r="B1169" s="1414">
        <v>0</v>
      </c>
      <c r="C1169" s="1414">
        <v>0</v>
      </c>
      <c r="D1169" s="1414">
        <f>C1169*1.0962259996672</f>
        <v>0</v>
      </c>
      <c r="E1169" s="1414">
        <f>D1169*1.09639407014138</f>
        <v>0</v>
      </c>
    </row>
    <row r="1170" spans="1:5" ht="21.9" hidden="1" customHeight="1" outlineLevel="1">
      <c r="A1170" s="1382" t="s">
        <v>893</v>
      </c>
      <c r="B1170" s="1422">
        <v>18140209.145</v>
      </c>
      <c r="C1170" s="1422">
        <f>C1163+C1167</f>
        <v>992178</v>
      </c>
      <c r="D1170" s="1422">
        <f>D1163+D1167</f>
        <v>1087651.319897803</v>
      </c>
      <c r="E1170" s="1422">
        <f>E1163+E1167</f>
        <v>1192494.4575173962</v>
      </c>
    </row>
    <row r="1171" spans="1:5" ht="21.9" hidden="1" customHeight="1" outlineLevel="1">
      <c r="A1171" s="1382"/>
      <c r="B1171" s="1419"/>
      <c r="C1171" s="1419"/>
      <c r="D1171" s="1419"/>
      <c r="E1171" s="1419"/>
    </row>
    <row r="1172" spans="1:5" ht="21.9" hidden="1" customHeight="1" outlineLevel="1">
      <c r="A1172" s="1382"/>
      <c r="B1172" s="1419"/>
      <c r="C1172" s="1419"/>
      <c r="D1172" s="1419"/>
      <c r="E1172" s="1419"/>
    </row>
    <row r="1173" spans="1:5" ht="21.9" hidden="1" customHeight="1" outlineLevel="1">
      <c r="A1173" s="1401" t="s">
        <v>532</v>
      </c>
      <c r="B1173" s="1368"/>
      <c r="C1173" s="1368"/>
      <c r="D1173" s="1368"/>
      <c r="E1173" s="1368"/>
    </row>
    <row r="1174" spans="1:5" ht="21.9" hidden="1" customHeight="1" outlineLevel="1">
      <c r="A1174" s="1382" t="s">
        <v>533</v>
      </c>
      <c r="B1174" s="1368"/>
      <c r="C1174" s="1368"/>
      <c r="D1174" s="1368"/>
      <c r="E1174" s="1368"/>
    </row>
    <row r="1175" spans="1:5" ht="21.9" hidden="1" customHeight="1" outlineLevel="1">
      <c r="A1175" s="1369" t="s">
        <v>878</v>
      </c>
      <c r="B1175" s="1412" t="s">
        <v>1671</v>
      </c>
      <c r="C1175" s="1412" t="s">
        <v>1680</v>
      </c>
      <c r="D1175" s="1371" t="s">
        <v>859</v>
      </c>
      <c r="E1175" s="1372"/>
    </row>
    <row r="1176" spans="1:5" ht="21.9" hidden="1" customHeight="1" outlineLevel="1">
      <c r="A1176" s="1373"/>
      <c r="B1176" s="1374"/>
      <c r="C1176" s="1374"/>
      <c r="D1176" s="1413" t="s">
        <v>861</v>
      </c>
      <c r="E1176" s="1413" t="s">
        <v>1672</v>
      </c>
    </row>
    <row r="1177" spans="1:5" ht="21.9" hidden="1" customHeight="1" outlineLevel="1">
      <c r="A1177" s="1382" t="s">
        <v>890</v>
      </c>
      <c r="B1177" s="1422">
        <v>2070378.5</v>
      </c>
      <c r="C1177" s="1422">
        <f>SUM(C1178:C1180)</f>
        <v>989728</v>
      </c>
      <c r="D1177" s="1422">
        <f>SUM(D1178:D1180)</f>
        <v>1084965.5661986184</v>
      </c>
      <c r="E1177" s="1422">
        <f>SUM(E1178:E1180)</f>
        <v>1189549.81308775</v>
      </c>
    </row>
    <row r="1178" spans="1:5" ht="21.9" hidden="1" customHeight="1" outlineLevel="1">
      <c r="A1178" s="1393" t="s">
        <v>880</v>
      </c>
      <c r="B1178" s="1414"/>
      <c r="C1178" s="1414"/>
      <c r="D1178" s="1414">
        <f>C1178*1.0962259996672</f>
        <v>0</v>
      </c>
      <c r="E1178" s="1414">
        <f>D1178*1.09639407014138</f>
        <v>0</v>
      </c>
    </row>
    <row r="1179" spans="1:5" ht="21.9" hidden="1" customHeight="1" outlineLevel="1">
      <c r="A1179" s="1393" t="s">
        <v>881</v>
      </c>
      <c r="B1179" s="1414">
        <v>2070378.5</v>
      </c>
      <c r="C1179" s="1414">
        <f>'Itemized Budget 2024-25'!L2646-'Itemized Budget 2024-25'!L2644</f>
        <v>929728</v>
      </c>
      <c r="D1179" s="1414">
        <f>C1179*1.0962259996672</f>
        <v>1019192.0062185865</v>
      </c>
      <c r="E1179" s="1414">
        <f>D1179*1.09639407014138</f>
        <v>1117436.0719535546</v>
      </c>
    </row>
    <row r="1180" spans="1:5" ht="21.9" hidden="1" customHeight="1" outlineLevel="1">
      <c r="A1180" s="1393" t="s">
        <v>882</v>
      </c>
      <c r="B1180" s="1414">
        <v>0</v>
      </c>
      <c r="C1180" s="1414">
        <f>'Itemized Budget 2024-25'!L2644</f>
        <v>60000</v>
      </c>
      <c r="D1180" s="1414">
        <f>C1180*1.0962259996672</f>
        <v>65773.559980031991</v>
      </c>
      <c r="E1180" s="1414">
        <f>D1180*1.09639407014138</f>
        <v>72113.741134195458</v>
      </c>
    </row>
    <row r="1181" spans="1:5" ht="21.9" hidden="1" customHeight="1" outlineLevel="1">
      <c r="A1181" s="1382" t="s">
        <v>883</v>
      </c>
      <c r="B1181" s="1422">
        <v>0</v>
      </c>
      <c r="C1181" s="1422">
        <f>SUM(C1182:C1183)</f>
        <v>248875174</v>
      </c>
      <c r="D1181" s="1422">
        <f>SUM(D1182:D1183)</f>
        <v>272823436.41049832</v>
      </c>
      <c r="E1181" s="1422">
        <f>SUM(E1182:E1183)</f>
        <v>299121997.87606418</v>
      </c>
    </row>
    <row r="1182" spans="1:5" ht="21.9" hidden="1" customHeight="1" outlineLevel="1">
      <c r="A1182" s="1393" t="s">
        <v>891</v>
      </c>
      <c r="B1182" s="1414">
        <v>0</v>
      </c>
      <c r="C1182" s="1414">
        <f>'Itemized Budget 2024-25'!L2652</f>
        <v>248875174</v>
      </c>
      <c r="D1182" s="1414">
        <f>C1182*1.0962259996672</f>
        <v>272823436.41049832</v>
      </c>
      <c r="E1182" s="1414">
        <f>D1182*1.09639407014138</f>
        <v>299121997.87606418</v>
      </c>
    </row>
    <row r="1183" spans="1:5" ht="21.9" hidden="1" customHeight="1" outlineLevel="1">
      <c r="A1183" s="1393" t="s">
        <v>892</v>
      </c>
      <c r="B1183" s="1414"/>
      <c r="C1183" s="1414"/>
      <c r="D1183" s="1414">
        <f>C1183*1.0962259996672</f>
        <v>0</v>
      </c>
      <c r="E1183" s="1414">
        <f>D1183*1.09639407014138</f>
        <v>0</v>
      </c>
    </row>
    <row r="1184" spans="1:5" ht="21.9" hidden="1" customHeight="1" outlineLevel="1">
      <c r="A1184" s="1382" t="s">
        <v>893</v>
      </c>
      <c r="B1184" s="1422">
        <v>2070378.5</v>
      </c>
      <c r="C1184" s="1422">
        <f>C1177+C1181</f>
        <v>249864902</v>
      </c>
      <c r="D1184" s="1422">
        <f>D1177+D1181</f>
        <v>273908401.97669697</v>
      </c>
      <c r="E1184" s="1422">
        <f>E1177+E1181</f>
        <v>300311547.68915194</v>
      </c>
    </row>
    <row r="1185" spans="1:5" ht="21.9" hidden="1" customHeight="1" outlineLevel="1">
      <c r="B1185" s="1368"/>
      <c r="C1185" s="1368"/>
      <c r="D1185" s="1368"/>
      <c r="E1185" s="1368"/>
    </row>
    <row r="1186" spans="1:5" ht="21.9" hidden="1" customHeight="1" outlineLevel="1">
      <c r="B1186" s="1368"/>
      <c r="C1186" s="1368"/>
      <c r="D1186" s="1368"/>
      <c r="E1186" s="1368"/>
    </row>
    <row r="1187" spans="1:5" ht="21.9" hidden="1" customHeight="1" outlineLevel="1">
      <c r="A1187" s="1401" t="s">
        <v>536</v>
      </c>
      <c r="B1187" s="1368"/>
      <c r="C1187" s="1368"/>
      <c r="D1187" s="1368"/>
      <c r="E1187" s="1368"/>
    </row>
    <row r="1188" spans="1:5" ht="21.9" hidden="1" customHeight="1" outlineLevel="1">
      <c r="A1188" s="1382" t="s">
        <v>537</v>
      </c>
      <c r="B1188" s="1434"/>
      <c r="C1188" s="1434"/>
      <c r="D1188" s="1419"/>
      <c r="E1188" s="1419"/>
    </row>
    <row r="1189" spans="1:5" ht="21.9" hidden="1" customHeight="1" outlineLevel="1">
      <c r="A1189" s="1369" t="s">
        <v>878</v>
      </c>
      <c r="B1189" s="1412" t="s">
        <v>1671</v>
      </c>
      <c r="C1189" s="1412" t="s">
        <v>1680</v>
      </c>
      <c r="D1189" s="1371" t="s">
        <v>859</v>
      </c>
      <c r="E1189" s="1372"/>
    </row>
    <row r="1190" spans="1:5" ht="21.9" hidden="1" customHeight="1" outlineLevel="1">
      <c r="A1190" s="1373"/>
      <c r="B1190" s="1374"/>
      <c r="C1190" s="1374"/>
      <c r="D1190" s="1413" t="s">
        <v>861</v>
      </c>
      <c r="E1190" s="1413" t="s">
        <v>1672</v>
      </c>
    </row>
    <row r="1191" spans="1:5" ht="21.9" hidden="1" customHeight="1" outlineLevel="1">
      <c r="A1191" s="1382" t="s">
        <v>890</v>
      </c>
      <c r="B1191" s="1422">
        <v>1385013.9</v>
      </c>
      <c r="C1191" s="1422">
        <f>SUM(C1192:C1194)</f>
        <v>1525179</v>
      </c>
      <c r="D1191" s="1422">
        <f>SUM(D1192:D1194)</f>
        <v>1671940.8739464204</v>
      </c>
      <c r="E1191" s="1422">
        <f>SUM(E1192:E1194)</f>
        <v>1833106.0598218516</v>
      </c>
    </row>
    <row r="1192" spans="1:5" ht="21.9" hidden="1" customHeight="1" outlineLevel="1">
      <c r="A1192" s="1393" t="s">
        <v>880</v>
      </c>
      <c r="B1192" s="1414"/>
      <c r="C1192" s="1414"/>
      <c r="D1192" s="1414">
        <f>C1192*1.0962259996672</f>
        <v>0</v>
      </c>
      <c r="E1192" s="1414">
        <f>D1192*1.09639407014138</f>
        <v>0</v>
      </c>
    </row>
    <row r="1193" spans="1:5" ht="21.9" hidden="1" customHeight="1" outlineLevel="1">
      <c r="A1193" s="1393" t="s">
        <v>881</v>
      </c>
      <c r="B1193" s="1414">
        <v>805013.89999999991</v>
      </c>
      <c r="C1193" s="1414">
        <f>'Itemized Budget 2024-25'!L2672</f>
        <v>1525179</v>
      </c>
      <c r="D1193" s="1414">
        <f>C1193*1.0962259996672</f>
        <v>1671940.8739464204</v>
      </c>
      <c r="E1193" s="1414">
        <f>D1193*1.09639407014138</f>
        <v>1833106.0598218516</v>
      </c>
    </row>
    <row r="1194" spans="1:5" ht="21.9" hidden="1" customHeight="1" outlineLevel="1">
      <c r="A1194" s="1393" t="s">
        <v>882</v>
      </c>
      <c r="B1194" s="1414">
        <v>580000</v>
      </c>
      <c r="C1194" s="1414">
        <v>0</v>
      </c>
      <c r="D1194" s="1414">
        <f>C1194*1.0962259996672</f>
        <v>0</v>
      </c>
      <c r="E1194" s="1414">
        <f>D1194*1.09639407014138</f>
        <v>0</v>
      </c>
    </row>
    <row r="1195" spans="1:5" ht="21.9" hidden="1" customHeight="1" outlineLevel="1">
      <c r="A1195" s="1382" t="s">
        <v>883</v>
      </c>
      <c r="B1195" s="1422">
        <v>279839024</v>
      </c>
      <c r="C1195" s="1422">
        <f>SUM(C1196:C1197)</f>
        <v>15445014</v>
      </c>
      <c r="D1195" s="1422">
        <f>SUM(D1196:D1197)</f>
        <v>16931225.912023898</v>
      </c>
      <c r="E1195" s="1422">
        <f>SUM(E1196:E1197)</f>
        <v>18563295.690167081</v>
      </c>
    </row>
    <row r="1196" spans="1:5" ht="21.9" hidden="1" customHeight="1" outlineLevel="1">
      <c r="A1196" s="1393" t="s">
        <v>891</v>
      </c>
      <c r="B1196" s="1414">
        <v>279839024</v>
      </c>
      <c r="C1196" s="1414">
        <f>'Itemized Budget 2024-25'!L2681</f>
        <v>15445014</v>
      </c>
      <c r="D1196" s="1414">
        <f>C1196*1.0962259996672</f>
        <v>16931225.912023898</v>
      </c>
      <c r="E1196" s="1414">
        <f>D1196*1.09639407014138</f>
        <v>18563295.690167081</v>
      </c>
    </row>
    <row r="1197" spans="1:5" ht="21.9" hidden="1" customHeight="1" outlineLevel="1">
      <c r="A1197" s="1393" t="s">
        <v>892</v>
      </c>
      <c r="B1197" s="1414">
        <v>0</v>
      </c>
      <c r="C1197" s="1414">
        <v>0</v>
      </c>
      <c r="D1197" s="1414">
        <f>C1197*1.0962259996672</f>
        <v>0</v>
      </c>
      <c r="E1197" s="1414">
        <f>D1197*1.09639407014138</f>
        <v>0</v>
      </c>
    </row>
    <row r="1198" spans="1:5" ht="21.9" hidden="1" customHeight="1" outlineLevel="1">
      <c r="A1198" s="1382" t="s">
        <v>893</v>
      </c>
      <c r="B1198" s="1422">
        <v>281224037.89999998</v>
      </c>
      <c r="C1198" s="1422">
        <f>C1191+C1195</f>
        <v>16970193</v>
      </c>
      <c r="D1198" s="1422">
        <f>D1191+D1195</f>
        <v>18603166.785970319</v>
      </c>
      <c r="E1198" s="1422">
        <f>E1191+E1195</f>
        <v>20396401.749988932</v>
      </c>
    </row>
    <row r="1199" spans="1:5" ht="21.9" hidden="1" customHeight="1" outlineLevel="1">
      <c r="A1199" s="1382"/>
      <c r="B1199" s="1419"/>
      <c r="C1199" s="1419"/>
      <c r="D1199" s="1419"/>
      <c r="E1199" s="1419"/>
    </row>
    <row r="1200" spans="1:5" ht="21.9" hidden="1" customHeight="1" outlineLevel="1">
      <c r="A1200" s="1382"/>
      <c r="B1200" s="1419"/>
      <c r="C1200" s="1419"/>
      <c r="D1200" s="1419"/>
      <c r="E1200" s="1419"/>
    </row>
    <row r="1201" spans="1:5" ht="21.9" hidden="1" customHeight="1" outlineLevel="1">
      <c r="A1201" s="1401" t="s">
        <v>540</v>
      </c>
      <c r="B1201" s="1368"/>
      <c r="C1201" s="1368"/>
      <c r="D1201" s="1368"/>
      <c r="E1201" s="1368"/>
    </row>
    <row r="1202" spans="1:5" ht="21.9" hidden="1" customHeight="1" outlineLevel="1">
      <c r="A1202" s="1382" t="s">
        <v>541</v>
      </c>
      <c r="B1202" s="1434"/>
      <c r="C1202" s="1434"/>
      <c r="D1202" s="1419"/>
      <c r="E1202" s="1419"/>
    </row>
    <row r="1203" spans="1:5" ht="21.9" hidden="1" customHeight="1" outlineLevel="1">
      <c r="A1203" s="1369" t="s">
        <v>878</v>
      </c>
      <c r="B1203" s="1412" t="s">
        <v>1671</v>
      </c>
      <c r="C1203" s="1412" t="s">
        <v>1680</v>
      </c>
      <c r="D1203" s="1371" t="s">
        <v>859</v>
      </c>
      <c r="E1203" s="1372"/>
    </row>
    <row r="1204" spans="1:5" ht="21.9" hidden="1" customHeight="1" outlineLevel="1">
      <c r="A1204" s="1373"/>
      <c r="B1204" s="1374"/>
      <c r="C1204" s="1374"/>
      <c r="D1204" s="1413" t="s">
        <v>861</v>
      </c>
      <c r="E1204" s="1413" t="s">
        <v>1672</v>
      </c>
    </row>
    <row r="1205" spans="1:5" ht="21.9" hidden="1" customHeight="1" outlineLevel="1">
      <c r="A1205" s="1382" t="s">
        <v>890</v>
      </c>
      <c r="B1205" s="1422">
        <v>1708935.92</v>
      </c>
      <c r="C1205" s="1422">
        <f>SUM(C1206:C1208)</f>
        <v>1300642</v>
      </c>
      <c r="D1205" s="1422">
        <f>SUM(D1206:D1208)</f>
        <v>1425797.5766591462</v>
      </c>
      <c r="E1205" s="1422">
        <f>SUM(E1206:E1208)</f>
        <v>1563236.0082710376</v>
      </c>
    </row>
    <row r="1206" spans="1:5" ht="21.9" hidden="1" customHeight="1" outlineLevel="1">
      <c r="A1206" s="1393" t="s">
        <v>880</v>
      </c>
      <c r="B1206" s="1414"/>
      <c r="C1206" s="1414"/>
      <c r="D1206" s="1414">
        <f>C1206*1.0962259996672</f>
        <v>0</v>
      </c>
      <c r="E1206" s="1414">
        <f>D1206*1.09639407014138</f>
        <v>0</v>
      </c>
    </row>
    <row r="1207" spans="1:5" ht="21.9" hidden="1" customHeight="1" outlineLevel="1">
      <c r="A1207" s="1393" t="s">
        <v>881</v>
      </c>
      <c r="B1207" s="1414">
        <v>1708935.92</v>
      </c>
      <c r="C1207" s="1414">
        <f>'Itemized Budget 2024-25'!L2700-'Itemized Budget 2024-25'!L2696</f>
        <v>1100642</v>
      </c>
      <c r="D1207" s="1414">
        <f>C1207*1.0962259996672</f>
        <v>1206552.3767257063</v>
      </c>
      <c r="E1207" s="1414">
        <f>D1207*1.09639407014138</f>
        <v>1322856.8711570527</v>
      </c>
    </row>
    <row r="1208" spans="1:5" ht="21.9" hidden="1" customHeight="1" outlineLevel="1">
      <c r="A1208" s="1393" t="s">
        <v>882</v>
      </c>
      <c r="B1208" s="1414">
        <v>0</v>
      </c>
      <c r="C1208" s="1414">
        <f>'Itemized Budget 2024-25'!L2696</f>
        <v>200000</v>
      </c>
      <c r="D1208" s="1414">
        <f>C1208*1.0962259996672</f>
        <v>219245.19993343999</v>
      </c>
      <c r="E1208" s="1414">
        <f>D1208*1.09639407014138</f>
        <v>240379.13711398485</v>
      </c>
    </row>
    <row r="1209" spans="1:5" ht="21.9" hidden="1" customHeight="1" outlineLevel="1">
      <c r="A1209" s="1382" t="s">
        <v>883</v>
      </c>
      <c r="B1209" s="1422">
        <v>4800000</v>
      </c>
      <c r="C1209" s="1422">
        <f>SUM(C1210:C1211)</f>
        <v>0</v>
      </c>
      <c r="D1209" s="1422">
        <f>SUM(D1210:D1211)</f>
        <v>0</v>
      </c>
      <c r="E1209" s="1422">
        <f>SUM(E1210:E1211)</f>
        <v>0</v>
      </c>
    </row>
    <row r="1210" spans="1:5" ht="21.9" hidden="1" customHeight="1" outlineLevel="1">
      <c r="A1210" s="1393" t="s">
        <v>891</v>
      </c>
      <c r="B1210" s="1414">
        <v>4800000</v>
      </c>
      <c r="C1210" s="1414">
        <v>0</v>
      </c>
      <c r="D1210" s="1414">
        <f>C1210*1.0962259996672</f>
        <v>0</v>
      </c>
      <c r="E1210" s="1414">
        <f>D1210*1.09639407014138</f>
        <v>0</v>
      </c>
    </row>
    <row r="1211" spans="1:5" ht="21.9" hidden="1" customHeight="1" outlineLevel="1">
      <c r="A1211" s="1393" t="s">
        <v>892</v>
      </c>
      <c r="B1211" s="1414">
        <v>0</v>
      </c>
      <c r="C1211" s="1414">
        <v>0</v>
      </c>
      <c r="D1211" s="1414">
        <f>C1211*1.0962259996672</f>
        <v>0</v>
      </c>
      <c r="E1211" s="1414">
        <f>D1211*1.09639407014138</f>
        <v>0</v>
      </c>
    </row>
    <row r="1212" spans="1:5" ht="21.9" hidden="1" customHeight="1" outlineLevel="1">
      <c r="A1212" s="1382" t="s">
        <v>893</v>
      </c>
      <c r="B1212" s="1422">
        <v>6508935.9199999999</v>
      </c>
      <c r="C1212" s="1422">
        <f>C1205+C1209</f>
        <v>1300642</v>
      </c>
      <c r="D1212" s="1422">
        <f>D1205+D1209</f>
        <v>1425797.5766591462</v>
      </c>
      <c r="E1212" s="1422">
        <f>E1205+E1209</f>
        <v>1563236.0082710376</v>
      </c>
    </row>
    <row r="1213" spans="1:5" ht="21.9" hidden="1" customHeight="1" outlineLevel="1">
      <c r="A1213" s="1366"/>
      <c r="B1213" s="1419"/>
      <c r="C1213" s="1419"/>
      <c r="D1213" s="1419"/>
      <c r="E1213" s="1419"/>
    </row>
    <row r="1214" spans="1:5" ht="21.9" hidden="1" customHeight="1" outlineLevel="1">
      <c r="B1214" s="1368"/>
      <c r="C1214" s="1368"/>
      <c r="D1214" s="1368"/>
      <c r="E1214" s="1368"/>
    </row>
    <row r="1215" spans="1:5" ht="21.9" hidden="1" customHeight="1" outlineLevel="1">
      <c r="A1215" s="1408" t="s">
        <v>997</v>
      </c>
      <c r="B1215" s="1419"/>
      <c r="C1215" s="1419"/>
      <c r="D1215" s="1419"/>
      <c r="E1215" s="1419"/>
    </row>
    <row r="1216" spans="1:5" ht="21.9" hidden="1" customHeight="1" outlineLevel="1">
      <c r="A1216" s="1363" t="s">
        <v>998</v>
      </c>
      <c r="B1216" s="1419"/>
      <c r="C1216" s="1419"/>
      <c r="D1216" s="1419"/>
      <c r="E1216" s="1419"/>
    </row>
    <row r="1217" spans="1:5" ht="21.9" hidden="1" customHeight="1" outlineLevel="1">
      <c r="A1217" s="1369" t="s">
        <v>878</v>
      </c>
      <c r="B1217" s="1412" t="s">
        <v>1671</v>
      </c>
      <c r="C1217" s="1412" t="s">
        <v>1680</v>
      </c>
      <c r="D1217" s="1371" t="s">
        <v>859</v>
      </c>
      <c r="E1217" s="1372"/>
    </row>
    <row r="1218" spans="1:5" ht="21.9" hidden="1" customHeight="1" outlineLevel="1">
      <c r="A1218" s="1373"/>
      <c r="B1218" s="1374"/>
      <c r="C1218" s="1374"/>
      <c r="D1218" s="1413" t="s">
        <v>861</v>
      </c>
      <c r="E1218" s="1413" t="s">
        <v>1672</v>
      </c>
    </row>
    <row r="1219" spans="1:5" ht="21.9" hidden="1" customHeight="1" outlineLevel="1">
      <c r="A1219" s="1382" t="s">
        <v>890</v>
      </c>
      <c r="B1219" s="1422">
        <v>12437016.52</v>
      </c>
      <c r="C1219" s="1422">
        <f>SUM(C1220:C1222)</f>
        <v>9822840.9999999888</v>
      </c>
      <c r="D1219" s="1422">
        <f>SUM(D1220:D1222)</f>
        <v>10768053.694796946</v>
      </c>
      <c r="E1219" s="1422">
        <f>SUM(E1220:E1222)</f>
        <v>11806030.217939347</v>
      </c>
    </row>
    <row r="1220" spans="1:5" ht="21.9" hidden="1" customHeight="1" outlineLevel="1">
      <c r="A1220" s="1393" t="s">
        <v>880</v>
      </c>
      <c r="B1220" s="1414">
        <v>11479721</v>
      </c>
      <c r="C1220" s="1414">
        <f>'Itemized Budget 2024-25'!L2707</f>
        <v>8237917.9999999888</v>
      </c>
      <c r="D1220" s="1414">
        <f>C1220*1.0962259996672</f>
        <v>9030619.8947264086</v>
      </c>
      <c r="E1220" s="1414">
        <f>D1220*1.09639407014138</f>
        <v>9901118.1022788063</v>
      </c>
    </row>
    <row r="1221" spans="1:5" ht="21.9" hidden="1" customHeight="1" outlineLevel="1">
      <c r="A1221" s="1393" t="s">
        <v>881</v>
      </c>
      <c r="B1221" s="1414">
        <v>957295.51999999955</v>
      </c>
      <c r="C1221" s="1414">
        <f>'Itemized Budget 2024-25'!L2720-'Itemized Budget 2024-25'!L2707</f>
        <v>1584923</v>
      </c>
      <c r="D1221" s="1414">
        <f>C1221*1.0962259996672</f>
        <v>1737433.8000705375</v>
      </c>
      <c r="E1221" s="1414">
        <f>D1221*1.09639407014138</f>
        <v>1904912.1156605412</v>
      </c>
    </row>
    <row r="1222" spans="1:5" ht="21.9" hidden="1" customHeight="1" outlineLevel="1">
      <c r="A1222" s="1393" t="s">
        <v>882</v>
      </c>
      <c r="B1222" s="1414"/>
      <c r="C1222" s="1414"/>
      <c r="D1222" s="1414">
        <f>C1222*1.0962259996672</f>
        <v>0</v>
      </c>
      <c r="E1222" s="1414">
        <f>D1222*1.09639407014138</f>
        <v>0</v>
      </c>
    </row>
    <row r="1223" spans="1:5" ht="21.9" hidden="1" customHeight="1" outlineLevel="1">
      <c r="A1223" s="1382" t="s">
        <v>883</v>
      </c>
      <c r="B1223" s="1422">
        <v>10000000</v>
      </c>
      <c r="C1223" s="1422">
        <f>SUM(C1224:C1225)</f>
        <v>40000000</v>
      </c>
      <c r="D1223" s="1422">
        <f>SUM(D1224:D1225)</f>
        <v>43849039.986687995</v>
      </c>
      <c r="E1223" s="1422">
        <f>SUM(E1224:E1225)</f>
        <v>48075827.422796972</v>
      </c>
    </row>
    <row r="1224" spans="1:5" ht="21.9" hidden="1" customHeight="1" outlineLevel="1">
      <c r="A1224" s="1393" t="s">
        <v>891</v>
      </c>
      <c r="B1224" s="1414">
        <v>10000000</v>
      </c>
      <c r="C1224" s="1414">
        <f>'Itemized Budget 2024-25'!L2725</f>
        <v>40000000</v>
      </c>
      <c r="D1224" s="1414">
        <f>C1224*1.0962259996672</f>
        <v>43849039.986687995</v>
      </c>
      <c r="E1224" s="1414">
        <f>D1224*1.09639407014138</f>
        <v>48075827.422796972</v>
      </c>
    </row>
    <row r="1225" spans="1:5" ht="21.9" hidden="1" customHeight="1" outlineLevel="1">
      <c r="A1225" s="1393" t="s">
        <v>892</v>
      </c>
      <c r="B1225" s="1414">
        <v>0</v>
      </c>
      <c r="C1225" s="1414">
        <v>0</v>
      </c>
      <c r="D1225" s="1414">
        <f>C1225*1.0962259996672</f>
        <v>0</v>
      </c>
      <c r="E1225" s="1414">
        <f>D1225*1.09639407014138</f>
        <v>0</v>
      </c>
    </row>
    <row r="1226" spans="1:5" ht="21.9" hidden="1" customHeight="1" outlineLevel="1">
      <c r="A1226" s="1382" t="s">
        <v>893</v>
      </c>
      <c r="B1226" s="1422">
        <v>22437016.52</v>
      </c>
      <c r="C1226" s="1422">
        <f>C1219+C1223</f>
        <v>49822840.999999985</v>
      </c>
      <c r="D1226" s="1422">
        <f>D1219+D1223</f>
        <v>54617093.681484938</v>
      </c>
      <c r="E1226" s="1422">
        <f>E1219+E1223</f>
        <v>59881857.640736319</v>
      </c>
    </row>
    <row r="1227" spans="1:5" ht="21.9" hidden="1" customHeight="1" outlineLevel="1">
      <c r="B1227" s="1368"/>
      <c r="C1227" s="1368"/>
      <c r="D1227" s="1368"/>
      <c r="E1227" s="1368"/>
    </row>
    <row r="1228" spans="1:5" ht="21.9" hidden="1" customHeight="1" outlineLevel="1">
      <c r="B1228" s="1368"/>
      <c r="C1228" s="1368"/>
      <c r="D1228" s="1368"/>
      <c r="E1228" s="1368"/>
    </row>
    <row r="1229" spans="1:5" ht="21.9" hidden="1" customHeight="1" outlineLevel="1">
      <c r="A1229" s="1408" t="s">
        <v>999</v>
      </c>
      <c r="B1229" s="1419"/>
      <c r="C1229" s="1419"/>
      <c r="D1229" s="1419"/>
      <c r="E1229" s="1419"/>
    </row>
    <row r="1230" spans="1:5" s="1366" customFormat="1" ht="21.9" hidden="1" customHeight="1" outlineLevel="1">
      <c r="A1230" s="1363" t="s">
        <v>1000</v>
      </c>
      <c r="B1230" s="1419"/>
      <c r="C1230" s="1419"/>
      <c r="D1230" s="1419"/>
      <c r="E1230" s="1419"/>
    </row>
    <row r="1231" spans="1:5" ht="21.9" hidden="1" customHeight="1" outlineLevel="1">
      <c r="A1231" s="1369" t="s">
        <v>878</v>
      </c>
      <c r="B1231" s="1412" t="s">
        <v>1671</v>
      </c>
      <c r="C1231" s="1412" t="s">
        <v>1680</v>
      </c>
      <c r="D1231" s="1371" t="s">
        <v>859</v>
      </c>
      <c r="E1231" s="1372"/>
    </row>
    <row r="1232" spans="1:5" ht="21.9" hidden="1" customHeight="1" outlineLevel="1">
      <c r="A1232" s="1373"/>
      <c r="B1232" s="1374"/>
      <c r="C1232" s="1374"/>
      <c r="D1232" s="1413" t="s">
        <v>861</v>
      </c>
      <c r="E1232" s="1413" t="s">
        <v>1672</v>
      </c>
    </row>
    <row r="1233" spans="1:5" ht="21.9" hidden="1" customHeight="1" outlineLevel="1">
      <c r="A1233" s="1382" t="s">
        <v>890</v>
      </c>
      <c r="B1233" s="1422">
        <v>2398758.48</v>
      </c>
      <c r="C1233" s="1422">
        <f>SUM(C1234:C1236)</f>
        <v>3277462</v>
      </c>
      <c r="D1233" s="1422">
        <f>SUM(D1234:D1236)</f>
        <v>3592839.0573212602</v>
      </c>
      <c r="E1233" s="1422">
        <f>SUM(E1234:E1236)</f>
        <v>3939167.4374193754</v>
      </c>
    </row>
    <row r="1234" spans="1:5" s="1366" customFormat="1" ht="21.9" hidden="1" customHeight="1" outlineLevel="1">
      <c r="A1234" s="1393" t="s">
        <v>880</v>
      </c>
      <c r="B1234" s="1414"/>
      <c r="C1234" s="1414"/>
      <c r="D1234" s="1414">
        <f>C1234*1.0962259996672</f>
        <v>0</v>
      </c>
      <c r="E1234" s="1414">
        <f>D1234*1.09639407014138</f>
        <v>0</v>
      </c>
    </row>
    <row r="1235" spans="1:5" s="1366" customFormat="1" ht="21.9" hidden="1" customHeight="1" outlineLevel="1">
      <c r="A1235" s="1393" t="s">
        <v>881</v>
      </c>
      <c r="B1235" s="1414">
        <v>2207413</v>
      </c>
      <c r="C1235" s="1414">
        <f>'Itemized Budget 2024-25'!L2748-'Itemized Budget 2024-25'!L2746</f>
        <v>2797462</v>
      </c>
      <c r="D1235" s="1414">
        <f>C1235*1.0962259996672</f>
        <v>3066650.5774810044</v>
      </c>
      <c r="E1235" s="1414">
        <f>D1235*1.09639407014138</f>
        <v>3362257.5083458116</v>
      </c>
    </row>
    <row r="1236" spans="1:5" ht="21.9" hidden="1" customHeight="1" outlineLevel="1">
      <c r="A1236" s="1393" t="s">
        <v>882</v>
      </c>
      <c r="B1236" s="1414">
        <v>191345.48</v>
      </c>
      <c r="C1236" s="1414">
        <f>'Itemized Budget 2024-25'!L2746</f>
        <v>480000</v>
      </c>
      <c r="D1236" s="1414">
        <f>C1236*1.0962259996672</f>
        <v>526188.47984025592</v>
      </c>
      <c r="E1236" s="1414">
        <f>D1236*1.09639407014138</f>
        <v>576909.92907356366</v>
      </c>
    </row>
    <row r="1237" spans="1:5" ht="21.9" hidden="1" customHeight="1" outlineLevel="1">
      <c r="A1237" s="1382" t="s">
        <v>883</v>
      </c>
      <c r="B1237" s="1422">
        <v>64583638.060000017</v>
      </c>
      <c r="C1237" s="1422">
        <f>SUM(C1238:C1239)</f>
        <v>56029605.195677191</v>
      </c>
      <c r="D1237" s="1422">
        <f>SUM(D1238:D1239)</f>
        <v>61421109.966589764</v>
      </c>
      <c r="E1237" s="1422">
        <f>SUM(E1238:E1239)</f>
        <v>67341740.748870626</v>
      </c>
    </row>
    <row r="1238" spans="1:5" ht="21.9" hidden="1" customHeight="1" outlineLevel="1">
      <c r="A1238" s="1393" t="s">
        <v>891</v>
      </c>
      <c r="B1238" s="1414">
        <v>64583638.060000017</v>
      </c>
      <c r="C1238" s="1414">
        <f>'Itemized Budget 2024-25'!L2757</f>
        <v>56029605.195677191</v>
      </c>
      <c r="D1238" s="1414">
        <f>C1238*1.0962259996672</f>
        <v>61421109.966589764</v>
      </c>
      <c r="E1238" s="1414">
        <f>D1238*1.09639407014138</f>
        <v>67341740.748870626</v>
      </c>
    </row>
    <row r="1239" spans="1:5" ht="21.9" hidden="1" customHeight="1" outlineLevel="1">
      <c r="A1239" s="1393" t="s">
        <v>892</v>
      </c>
      <c r="B1239" s="1414">
        <v>0</v>
      </c>
      <c r="C1239" s="1414">
        <v>0</v>
      </c>
      <c r="D1239" s="1414">
        <f>C1239*1.0962259996672</f>
        <v>0</v>
      </c>
      <c r="E1239" s="1414">
        <f>D1239*1.09639407014138</f>
        <v>0</v>
      </c>
    </row>
    <row r="1240" spans="1:5" ht="21.9" hidden="1" customHeight="1" outlineLevel="1">
      <c r="A1240" s="1382" t="s">
        <v>893</v>
      </c>
      <c r="B1240" s="1422">
        <v>66982396.540000014</v>
      </c>
      <c r="C1240" s="1422">
        <f>C1233+C1237</f>
        <v>59307067.195677191</v>
      </c>
      <c r="D1240" s="1422">
        <f>D1233+D1237</f>
        <v>65013949.023911022</v>
      </c>
      <c r="E1240" s="1422">
        <f>E1233+E1237</f>
        <v>71280908.186289996</v>
      </c>
    </row>
    <row r="1241" spans="1:5" ht="21.9" hidden="1" customHeight="1" outlineLevel="1">
      <c r="B1241" s="1368"/>
      <c r="C1241" s="1368"/>
      <c r="D1241" s="1368"/>
      <c r="E1241" s="1368"/>
    </row>
    <row r="1242" spans="1:5" ht="21.9" hidden="1" customHeight="1" outlineLevel="1">
      <c r="B1242" s="1368"/>
      <c r="C1242" s="1368"/>
      <c r="D1242" s="1368"/>
      <c r="E1242" s="1368"/>
    </row>
    <row r="1243" spans="1:5" ht="21.9" hidden="1" customHeight="1" outlineLevel="1">
      <c r="A1243" s="1401" t="s">
        <v>1001</v>
      </c>
      <c r="B1243" s="1419"/>
      <c r="C1243" s="1419"/>
      <c r="D1243" s="1419"/>
      <c r="E1243" s="1419"/>
    </row>
    <row r="1244" spans="1:5" ht="21.9" hidden="1" customHeight="1" outlineLevel="1">
      <c r="A1244" s="1369" t="s">
        <v>878</v>
      </c>
      <c r="B1244" s="1412" t="s">
        <v>1671</v>
      </c>
      <c r="C1244" s="1412" t="s">
        <v>1680</v>
      </c>
      <c r="D1244" s="1371" t="s">
        <v>859</v>
      </c>
      <c r="E1244" s="1372"/>
    </row>
    <row r="1245" spans="1:5" ht="21.9" hidden="1" customHeight="1" outlineLevel="1">
      <c r="A1245" s="1373"/>
      <c r="B1245" s="1374"/>
      <c r="C1245" s="1374"/>
      <c r="D1245" s="1413" t="s">
        <v>861</v>
      </c>
      <c r="E1245" s="1413" t="s">
        <v>1672</v>
      </c>
    </row>
    <row r="1246" spans="1:5" ht="21.9" hidden="1" customHeight="1" outlineLevel="1">
      <c r="A1246" s="1382" t="s">
        <v>890</v>
      </c>
      <c r="B1246" s="1422">
        <v>5193358.72</v>
      </c>
      <c r="C1246" s="1422">
        <f>SUM(C1247:C1249)</f>
        <v>5760877</v>
      </c>
      <c r="D1246" s="1422">
        <f>SUM(D1247:D1249)</f>
        <v>66922184.115244918</v>
      </c>
      <c r="E1246" s="1422">
        <f>SUM(E1247:E1249)</f>
        <v>73614402.5267694</v>
      </c>
    </row>
    <row r="1247" spans="1:5" ht="21.9" hidden="1" customHeight="1" outlineLevel="1">
      <c r="A1247" s="1393" t="s">
        <v>880</v>
      </c>
      <c r="B1247" s="1414">
        <v>3247071</v>
      </c>
      <c r="C1247" s="1420">
        <f>'Itemized Budget 2024-25'!L2762</f>
        <v>4169792</v>
      </c>
      <c r="D1247" s="1363">
        <f>'Itemized Budget 2024-25'!O2758</f>
        <v>65237773.915244915</v>
      </c>
      <c r="E1247" s="1363">
        <f>'Itemized Budget 2024-25'!P2758</f>
        <v>71761551.306769401</v>
      </c>
    </row>
    <row r="1248" spans="1:5" ht="21.9" hidden="1" customHeight="1" outlineLevel="1">
      <c r="A1248" s="1393" t="s">
        <v>881</v>
      </c>
      <c r="B1248" s="1414">
        <v>1946287.7199999997</v>
      </c>
      <c r="C1248" s="1414">
        <f>'Itemized Budget 2024-25'!L2771-'Itemized Budget 2024-25'!L2762</f>
        <v>1591085</v>
      </c>
      <c r="D1248" s="1414">
        <f>'Itemized Budget 2024-25'!O2761+'Itemized Budget 2024-25'!O2765</f>
        <v>1684410.2000000002</v>
      </c>
      <c r="E1248" s="1414">
        <f>'Itemized Budget 2024-25'!P2761+'Itemized Budget 2024-25'!P2765</f>
        <v>1852851.2200000002</v>
      </c>
    </row>
    <row r="1249" spans="1:5" ht="21.9" hidden="1" customHeight="1" outlineLevel="1">
      <c r="A1249" s="1393" t="s">
        <v>882</v>
      </c>
      <c r="B1249" s="1414">
        <v>0</v>
      </c>
      <c r="C1249" s="1414">
        <v>0</v>
      </c>
      <c r="D1249" s="1414">
        <f>C1249*1.0962259996672</f>
        <v>0</v>
      </c>
      <c r="E1249" s="1414">
        <f>D1249*1.09639407014138</f>
        <v>0</v>
      </c>
    </row>
    <row r="1250" spans="1:5" ht="21.9" hidden="1" customHeight="1" outlineLevel="1">
      <c r="A1250" s="1382" t="s">
        <v>883</v>
      </c>
      <c r="B1250" s="1422">
        <v>0</v>
      </c>
      <c r="C1250" s="1422">
        <f>SUM(C1251:C1252)</f>
        <v>2000000</v>
      </c>
      <c r="D1250" s="1422">
        <f>SUM(D1251:D1252)</f>
        <v>2192451.9993344001</v>
      </c>
      <c r="E1250" s="1422">
        <f>SUM(E1251:E1252)</f>
        <v>2403791.3711398486</v>
      </c>
    </row>
    <row r="1251" spans="1:5" ht="21.9" hidden="1" customHeight="1" outlineLevel="1">
      <c r="A1251" s="1393" t="s">
        <v>891</v>
      </c>
      <c r="B1251" s="1414"/>
      <c r="C1251" s="1414">
        <f>'Itemized Budget 2024-25'!L2776</f>
        <v>2000000</v>
      </c>
      <c r="D1251" s="1414">
        <f>C1251*1.0962259996672</f>
        <v>2192451.9993344001</v>
      </c>
      <c r="E1251" s="1414">
        <f>D1251*1.09639407014138</f>
        <v>2403791.3711398486</v>
      </c>
    </row>
    <row r="1252" spans="1:5" ht="21.9" hidden="1" customHeight="1" outlineLevel="1">
      <c r="A1252" s="1393" t="s">
        <v>892</v>
      </c>
      <c r="B1252" s="1414">
        <v>0</v>
      </c>
      <c r="C1252" s="1414">
        <v>0</v>
      </c>
      <c r="D1252" s="1414">
        <f>C1252*1.0962259996672</f>
        <v>0</v>
      </c>
      <c r="E1252" s="1414">
        <f>D1252*1.09639407014138</f>
        <v>0</v>
      </c>
    </row>
    <row r="1253" spans="1:5" ht="21.9" hidden="1" customHeight="1" outlineLevel="1">
      <c r="A1253" s="1382" t="s">
        <v>893</v>
      </c>
      <c r="B1253" s="1422">
        <v>5193358.72</v>
      </c>
      <c r="C1253" s="1422">
        <f>C1246+C1250</f>
        <v>7760877</v>
      </c>
      <c r="D1253" s="1422">
        <f>D1246+D1250</f>
        <v>69114636.11457932</v>
      </c>
      <c r="E1253" s="1422">
        <f>E1246+E1250</f>
        <v>76018193.897909254</v>
      </c>
    </row>
    <row r="1254" spans="1:5" ht="21.9" hidden="1" customHeight="1" outlineLevel="1">
      <c r="A1254" s="1366"/>
      <c r="B1254" s="1419"/>
      <c r="C1254" s="1419"/>
      <c r="D1254" s="1419"/>
      <c r="E1254" s="1419"/>
    </row>
    <row r="1255" spans="1:5" ht="21.9" hidden="1" customHeight="1" outlineLevel="1">
      <c r="A1255" s="1408" t="s">
        <v>1002</v>
      </c>
      <c r="B1255" s="1419"/>
      <c r="C1255" s="1419"/>
      <c r="D1255" s="1419"/>
      <c r="E1255" s="1419"/>
    </row>
    <row r="1256" spans="1:5" ht="21.9" hidden="1" customHeight="1" outlineLevel="1">
      <c r="A1256" s="1369" t="s">
        <v>878</v>
      </c>
      <c r="B1256" s="1412" t="s">
        <v>1671</v>
      </c>
      <c r="C1256" s="1412" t="s">
        <v>1680</v>
      </c>
      <c r="D1256" s="1371" t="s">
        <v>859</v>
      </c>
      <c r="E1256" s="1372"/>
    </row>
    <row r="1257" spans="1:5" ht="21.9" hidden="1" customHeight="1" outlineLevel="1">
      <c r="A1257" s="1373"/>
      <c r="B1257" s="1374"/>
      <c r="C1257" s="1374"/>
      <c r="D1257" s="1413" t="s">
        <v>861</v>
      </c>
      <c r="E1257" s="1413" t="s">
        <v>1672</v>
      </c>
    </row>
    <row r="1258" spans="1:5" ht="21.9" hidden="1" customHeight="1" outlineLevel="1">
      <c r="A1258" s="1382" t="s">
        <v>890</v>
      </c>
      <c r="B1258" s="1422">
        <v>2519058.48</v>
      </c>
      <c r="C1258" s="1422">
        <f>SUM(C1259:C1261)</f>
        <v>1644445</v>
      </c>
      <c r="D1258" s="1422">
        <f>SUM(D1259:D1261)</f>
        <v>1802683.3640227285</v>
      </c>
      <c r="E1258" s="1422">
        <f>SUM(E1259:E1261)</f>
        <v>1976451.3506570342</v>
      </c>
    </row>
    <row r="1259" spans="1:5" ht="21.9" hidden="1" customHeight="1" outlineLevel="1">
      <c r="A1259" s="1393" t="s">
        <v>880</v>
      </c>
      <c r="B1259" s="1414"/>
      <c r="C1259" s="1414"/>
      <c r="D1259" s="1414">
        <f>C1259*1.0962259996672</f>
        <v>0</v>
      </c>
      <c r="E1259" s="1414">
        <f>D1259*1.09639407014138</f>
        <v>0</v>
      </c>
    </row>
    <row r="1260" spans="1:5" ht="21.9" hidden="1" customHeight="1" outlineLevel="1">
      <c r="A1260" s="1393" t="s">
        <v>881</v>
      </c>
      <c r="B1260" s="1414">
        <v>2519058.48</v>
      </c>
      <c r="C1260" s="1414">
        <f>'Itemized Budget 2024-25'!L2789</f>
        <v>1644445</v>
      </c>
      <c r="D1260" s="1414">
        <f>C1260*1.0962259996672</f>
        <v>1802683.3640227285</v>
      </c>
      <c r="E1260" s="1414">
        <f>D1260*1.09639407014138</f>
        <v>1976451.3506570342</v>
      </c>
    </row>
    <row r="1261" spans="1:5" ht="21.9" hidden="1" customHeight="1" outlineLevel="1">
      <c r="A1261" s="1393" t="s">
        <v>882</v>
      </c>
      <c r="B1261" s="1414">
        <v>0</v>
      </c>
      <c r="C1261" s="1414">
        <v>0</v>
      </c>
      <c r="D1261" s="1414">
        <f>C1261*1.0962259996672</f>
        <v>0</v>
      </c>
      <c r="E1261" s="1414">
        <f>D1261*1.09639407014138</f>
        <v>0</v>
      </c>
    </row>
    <row r="1262" spans="1:5" ht="21.9" hidden="1" customHeight="1" outlineLevel="1">
      <c r="A1262" s="1382" t="s">
        <v>883</v>
      </c>
      <c r="B1262" s="1422">
        <v>0</v>
      </c>
      <c r="C1262" s="1422">
        <f>SUM(C1263:C1264)</f>
        <v>800000</v>
      </c>
      <c r="D1262" s="1422">
        <f>SUM(D1263:D1264)</f>
        <v>876980.79973375995</v>
      </c>
      <c r="E1262" s="1422">
        <f>SUM(E1263:E1264)</f>
        <v>961516.5484559394</v>
      </c>
    </row>
    <row r="1263" spans="1:5" ht="21.9" hidden="1" customHeight="1" outlineLevel="1">
      <c r="A1263" s="1393" t="s">
        <v>891</v>
      </c>
      <c r="B1263" s="1414"/>
      <c r="C1263" s="1414">
        <f>'Itemized Budget 2024-25'!L2794</f>
        <v>800000</v>
      </c>
      <c r="D1263" s="1414">
        <f>C1263*1.0962259996672</f>
        <v>876980.79973375995</v>
      </c>
      <c r="E1263" s="1414">
        <f>D1263*1.09639407014138</f>
        <v>961516.5484559394</v>
      </c>
    </row>
    <row r="1264" spans="1:5" ht="21.9" hidden="1" customHeight="1" outlineLevel="1">
      <c r="A1264" s="1393" t="s">
        <v>892</v>
      </c>
      <c r="B1264" s="1414"/>
      <c r="C1264" s="1414"/>
      <c r="D1264" s="1414">
        <f>C1264*1.0962259996672</f>
        <v>0</v>
      </c>
      <c r="E1264" s="1414">
        <f>D1264*1.09639407014138</f>
        <v>0</v>
      </c>
    </row>
    <row r="1265" spans="1:5" ht="21.9" hidden="1" customHeight="1" outlineLevel="1">
      <c r="A1265" s="1382" t="s">
        <v>893</v>
      </c>
      <c r="B1265" s="1422">
        <v>2519058.48</v>
      </c>
      <c r="C1265" s="1422">
        <f>C1258+C1262</f>
        <v>2444445</v>
      </c>
      <c r="D1265" s="1422">
        <f>D1258+D1262</f>
        <v>2679664.1637564884</v>
      </c>
      <c r="E1265" s="1422">
        <f>E1258+E1262</f>
        <v>2937967.8991129734</v>
      </c>
    </row>
    <row r="1266" spans="1:5" ht="21.9" hidden="1" customHeight="1" outlineLevel="1">
      <c r="A1266" s="1366"/>
      <c r="B1266" s="1419"/>
      <c r="C1266" s="1419"/>
      <c r="D1266" s="1419"/>
      <c r="E1266" s="1419"/>
    </row>
    <row r="1267" spans="1:5" ht="21.9" hidden="1" customHeight="1" outlineLevel="1">
      <c r="A1267" s="1366"/>
      <c r="B1267" s="1419"/>
      <c r="C1267" s="1419"/>
      <c r="D1267" s="1419"/>
      <c r="E1267" s="1419"/>
    </row>
    <row r="1268" spans="1:5" ht="21.9" hidden="1" customHeight="1" outlineLevel="1">
      <c r="A1268" s="1408" t="s">
        <v>1003</v>
      </c>
      <c r="B1268" s="1419"/>
      <c r="C1268" s="1419"/>
      <c r="D1268" s="1419"/>
      <c r="E1268" s="1419"/>
    </row>
    <row r="1269" spans="1:5" ht="21.9" hidden="1" customHeight="1" outlineLevel="1">
      <c r="A1269" s="1363" t="s">
        <v>1004</v>
      </c>
      <c r="B1269" s="1419"/>
      <c r="C1269" s="1419"/>
      <c r="D1269" s="1419"/>
      <c r="E1269" s="1419"/>
    </row>
    <row r="1270" spans="1:5" ht="21.9" hidden="1" customHeight="1" outlineLevel="1">
      <c r="A1270" s="1369" t="s">
        <v>878</v>
      </c>
      <c r="B1270" s="1412" t="s">
        <v>1671</v>
      </c>
      <c r="C1270" s="1412" t="s">
        <v>1680</v>
      </c>
      <c r="D1270" s="1371" t="s">
        <v>859</v>
      </c>
      <c r="E1270" s="1372"/>
    </row>
    <row r="1271" spans="1:5" ht="21.9" hidden="1" customHeight="1" outlineLevel="1">
      <c r="A1271" s="1373"/>
      <c r="B1271" s="1374"/>
      <c r="C1271" s="1374"/>
      <c r="D1271" s="1413" t="s">
        <v>861</v>
      </c>
      <c r="E1271" s="1413" t="s">
        <v>1672</v>
      </c>
    </row>
    <row r="1272" spans="1:5" ht="21.9" hidden="1" customHeight="1" outlineLevel="1">
      <c r="A1272" s="1382" t="s">
        <v>890</v>
      </c>
      <c r="B1272" s="1422">
        <v>7249624.1800000006</v>
      </c>
      <c r="C1272" s="1422">
        <f>SUM(C1273:C1275)</f>
        <v>40378800</v>
      </c>
      <c r="D1272" s="1422">
        <f>SUM(D1273:D1275)</f>
        <v>44264290.39536193</v>
      </c>
      <c r="E1272" s="1422">
        <f>SUM(E1273:E1275)</f>
        <v>48531105.50849086</v>
      </c>
    </row>
    <row r="1273" spans="1:5" ht="21.9" hidden="1" customHeight="1" outlineLevel="1">
      <c r="A1273" s="1393" t="s">
        <v>880</v>
      </c>
      <c r="B1273" s="1414"/>
      <c r="C1273" s="1414"/>
      <c r="D1273" s="1414">
        <f>C1273*1.0962259996672</f>
        <v>0</v>
      </c>
      <c r="E1273" s="1414">
        <f>D1273*1.09639407014138</f>
        <v>0</v>
      </c>
    </row>
    <row r="1274" spans="1:5" ht="21.9" hidden="1" customHeight="1" outlineLevel="1">
      <c r="A1274" s="1393" t="s">
        <v>881</v>
      </c>
      <c r="B1274" s="1414">
        <v>6823352.0200000005</v>
      </c>
      <c r="C1274" s="1414">
        <f>'Itemized Budget 2024-25'!L2833-'Itemized Budget 2024-25'!L2830-'Itemized Budget 2024-25'!L2827-'Itemized Budget 2024-25'!L2824</f>
        <v>16450300</v>
      </c>
      <c r="D1274" s="1414">
        <f>C1274*1.0962259996672</f>
        <v>18033246.56232534</v>
      </c>
      <c r="E1274" s="1414">
        <f>D1274*1.09639407014138</f>
        <v>19771544.596330926</v>
      </c>
    </row>
    <row r="1275" spans="1:5" ht="21.9" hidden="1" customHeight="1" outlineLevel="1">
      <c r="A1275" s="1393" t="s">
        <v>882</v>
      </c>
      <c r="B1275" s="1414">
        <v>426272.16000000003</v>
      </c>
      <c r="C1275" s="1414">
        <f>'Itemized Budget 2024-25'!L2830+'Itemized Budget 2024-25'!L2827+'Itemized Budget 2024-25'!L2824</f>
        <v>23928500</v>
      </c>
      <c r="D1275" s="1414">
        <f>C1275*1.0962259996672</f>
        <v>26231043.833036594</v>
      </c>
      <c r="E1275" s="1414">
        <f>D1275*1.09639407014138</f>
        <v>28759560.912159935</v>
      </c>
    </row>
    <row r="1276" spans="1:5" ht="21.9" hidden="1" customHeight="1" outlineLevel="1">
      <c r="A1276" s="1382" t="s">
        <v>883</v>
      </c>
      <c r="B1276" s="1422">
        <v>0</v>
      </c>
      <c r="C1276" s="1422">
        <f>SUM(C1277:C1278)</f>
        <v>0</v>
      </c>
      <c r="D1276" s="1422">
        <f>SUM(D1277:D1278)</f>
        <v>0</v>
      </c>
      <c r="E1276" s="1422">
        <f>SUM(E1277:E1278)</f>
        <v>0</v>
      </c>
    </row>
    <row r="1277" spans="1:5" ht="21.9" hidden="1" customHeight="1" outlineLevel="1">
      <c r="A1277" s="1393" t="s">
        <v>891</v>
      </c>
      <c r="B1277" s="1414">
        <v>0</v>
      </c>
      <c r="C1277" s="1414">
        <v>0</v>
      </c>
      <c r="D1277" s="1414">
        <f>C1277*1.0962259996672</f>
        <v>0</v>
      </c>
      <c r="E1277" s="1414">
        <f>D1277*1.09639407014138</f>
        <v>0</v>
      </c>
    </row>
    <row r="1278" spans="1:5" ht="21.9" hidden="1" customHeight="1" outlineLevel="1">
      <c r="A1278" s="1393" t="s">
        <v>892</v>
      </c>
      <c r="B1278" s="1414"/>
      <c r="C1278" s="1414"/>
      <c r="D1278" s="1414">
        <f>C1278*1.0962259996672</f>
        <v>0</v>
      </c>
      <c r="E1278" s="1414">
        <f>D1278*1.09639407014138</f>
        <v>0</v>
      </c>
    </row>
    <row r="1279" spans="1:5" ht="21.9" hidden="1" customHeight="1" outlineLevel="1">
      <c r="A1279" s="1382" t="s">
        <v>893</v>
      </c>
      <c r="B1279" s="1422">
        <v>7249624.1800000006</v>
      </c>
      <c r="C1279" s="1422">
        <f>C1272+C1276</f>
        <v>40378800</v>
      </c>
      <c r="D1279" s="1422">
        <f>D1272+D1276</f>
        <v>44264290.39536193</v>
      </c>
      <c r="E1279" s="1422">
        <f>E1272+E1276</f>
        <v>48531105.50849086</v>
      </c>
    </row>
    <row r="1280" spans="1:5" ht="21.9" hidden="1" customHeight="1" outlineLevel="1">
      <c r="B1280" s="1368"/>
      <c r="C1280" s="1368"/>
      <c r="D1280" s="1368"/>
      <c r="E1280" s="1368"/>
    </row>
    <row r="1281" spans="1:5" ht="21.9" hidden="1" customHeight="1" outlineLevel="1">
      <c r="B1281" s="1368"/>
      <c r="C1281" s="1368"/>
      <c r="D1281" s="1368"/>
      <c r="E1281" s="1368"/>
    </row>
    <row r="1282" spans="1:5" ht="21.9" hidden="1" customHeight="1" outlineLevel="1">
      <c r="A1282" s="1408" t="s">
        <v>1003</v>
      </c>
      <c r="B1282" s="1419"/>
      <c r="C1282" s="1419"/>
      <c r="D1282" s="1419"/>
      <c r="E1282" s="1419"/>
    </row>
    <row r="1283" spans="1:5" ht="21.9" hidden="1" customHeight="1" outlineLevel="1">
      <c r="A1283" s="1363" t="s">
        <v>1005</v>
      </c>
      <c r="B1283" s="1419"/>
      <c r="C1283" s="1419"/>
      <c r="D1283" s="1419"/>
      <c r="E1283" s="1419"/>
    </row>
    <row r="1284" spans="1:5" ht="21.9" hidden="1" customHeight="1" outlineLevel="1">
      <c r="A1284" s="1369" t="s">
        <v>878</v>
      </c>
      <c r="B1284" s="1412" t="s">
        <v>1671</v>
      </c>
      <c r="C1284" s="1412" t="s">
        <v>1680</v>
      </c>
      <c r="D1284" s="1371" t="s">
        <v>859</v>
      </c>
      <c r="E1284" s="1372"/>
    </row>
    <row r="1285" spans="1:5" ht="21.9" hidden="1" customHeight="1" outlineLevel="1">
      <c r="A1285" s="1373"/>
      <c r="B1285" s="1374"/>
      <c r="C1285" s="1374"/>
      <c r="D1285" s="1413" t="s">
        <v>861</v>
      </c>
      <c r="E1285" s="1413" t="s">
        <v>1672</v>
      </c>
    </row>
    <row r="1286" spans="1:5" ht="21.9" hidden="1" customHeight="1" outlineLevel="1">
      <c r="A1286" s="1382" t="s">
        <v>890</v>
      </c>
      <c r="B1286" s="1422">
        <v>5001103.2949999999</v>
      </c>
      <c r="C1286" s="1422">
        <f>SUM(C1287:C1289)</f>
        <v>2898908</v>
      </c>
      <c r="D1286" s="1422">
        <f>SUM(D1287:D1289)</f>
        <v>3177858.3202432431</v>
      </c>
      <c r="E1286" s="1422">
        <f>SUM(E1287:E1289)</f>
        <v>3484185.018064138</v>
      </c>
    </row>
    <row r="1287" spans="1:5" ht="21.9" hidden="1" customHeight="1" outlineLevel="1">
      <c r="A1287" s="1393" t="s">
        <v>880</v>
      </c>
      <c r="B1287" s="1414"/>
      <c r="C1287" s="1414"/>
      <c r="D1287" s="1414">
        <f>C1287*1.0962259996672</f>
        <v>0</v>
      </c>
      <c r="E1287" s="1414">
        <f>D1287*1.09639407014138</f>
        <v>0</v>
      </c>
    </row>
    <row r="1288" spans="1:5" ht="21.9" hidden="1" customHeight="1" outlineLevel="1">
      <c r="A1288" s="1393" t="s">
        <v>881</v>
      </c>
      <c r="B1288" s="1414">
        <v>5001103.2949999999</v>
      </c>
      <c r="C1288" s="1414">
        <f>'Itemized Budget 2024-25'!L2848</f>
        <v>2898908</v>
      </c>
      <c r="D1288" s="1414">
        <f>C1288*1.0962259996672</f>
        <v>3177858.3202432431</v>
      </c>
      <c r="E1288" s="1414">
        <f>D1288*1.09639407014138</f>
        <v>3484185.018064138</v>
      </c>
    </row>
    <row r="1289" spans="1:5" ht="21.9" hidden="1" customHeight="1" outlineLevel="1">
      <c r="A1289" s="1393" t="s">
        <v>882</v>
      </c>
      <c r="B1289" s="1414">
        <v>0</v>
      </c>
      <c r="C1289" s="1414">
        <v>0</v>
      </c>
      <c r="D1289" s="1414">
        <f>C1289*1.0962259996672</f>
        <v>0</v>
      </c>
      <c r="E1289" s="1414">
        <f>D1289*1.09639407014138</f>
        <v>0</v>
      </c>
    </row>
    <row r="1290" spans="1:5" ht="21.9" hidden="1" customHeight="1" outlineLevel="1">
      <c r="A1290" s="1382" t="s">
        <v>883</v>
      </c>
      <c r="B1290" s="1422">
        <v>10549632</v>
      </c>
      <c r="C1290" s="1422">
        <f>SUM(C1291:C1292)</f>
        <v>1566008</v>
      </c>
      <c r="D1290" s="1422">
        <f>SUM(D1291:D1292)</f>
        <v>1716698.6852868325</v>
      </c>
      <c r="E1290" s="1422">
        <f>SUM(E1291:E1292)</f>
        <v>1882178.2587679862</v>
      </c>
    </row>
    <row r="1291" spans="1:5" ht="21.9" hidden="1" customHeight="1" outlineLevel="1">
      <c r="A1291" s="1393" t="s">
        <v>891</v>
      </c>
      <c r="B1291" s="1414">
        <v>10549632</v>
      </c>
      <c r="C1291" s="1414">
        <f>'Itemized Budget 2024-25'!L2859</f>
        <v>1566008</v>
      </c>
      <c r="D1291" s="1414">
        <f>C1291*1.0962259996672</f>
        <v>1716698.6852868325</v>
      </c>
      <c r="E1291" s="1414">
        <f>D1291*1.09639407014138</f>
        <v>1882178.2587679862</v>
      </c>
    </row>
    <row r="1292" spans="1:5" ht="21.9" hidden="1" customHeight="1" outlineLevel="1">
      <c r="A1292" s="1393" t="s">
        <v>892</v>
      </c>
      <c r="B1292" s="1414">
        <v>0</v>
      </c>
      <c r="C1292" s="1414">
        <v>0</v>
      </c>
      <c r="D1292" s="1414">
        <f>C1292*1.0962259996672</f>
        <v>0</v>
      </c>
      <c r="E1292" s="1414">
        <f>D1292*1.09639407014138</f>
        <v>0</v>
      </c>
    </row>
    <row r="1293" spans="1:5" ht="21.9" hidden="1" customHeight="1" outlineLevel="1">
      <c r="A1293" s="1382" t="s">
        <v>893</v>
      </c>
      <c r="B1293" s="1422">
        <v>15550735.295</v>
      </c>
      <c r="C1293" s="1422">
        <f>C1286+C1290</f>
        <v>4464916</v>
      </c>
      <c r="D1293" s="1422">
        <f>D1286+D1290</f>
        <v>4894557.0055300761</v>
      </c>
      <c r="E1293" s="1422">
        <f>E1286+E1290</f>
        <v>5366363.2768321242</v>
      </c>
    </row>
    <row r="1294" spans="1:5" ht="21.9" customHeight="1" collapsed="1">
      <c r="A1294" s="1366"/>
      <c r="B1294" s="1419"/>
      <c r="C1294" s="1419"/>
      <c r="D1294" s="1419"/>
      <c r="E1294" s="1419"/>
    </row>
    <row r="1295" spans="1:5" ht="21.9" customHeight="1">
      <c r="A1295" s="1366" t="s">
        <v>1279</v>
      </c>
      <c r="B1295" s="1419"/>
      <c r="C1295" s="1419"/>
      <c r="D1295" s="1368"/>
      <c r="E1295" s="1368"/>
    </row>
    <row r="1296" spans="1:5" ht="21.9" hidden="1" customHeight="1" outlineLevel="1">
      <c r="A1296" s="1407"/>
      <c r="B1296" s="1368"/>
      <c r="C1296" s="1368"/>
      <c r="D1296" s="1368"/>
      <c r="E1296" s="1368"/>
    </row>
    <row r="1297" spans="1:5" ht="21.9" hidden="1" customHeight="1" outlineLevel="1">
      <c r="A1297" s="1366" t="s">
        <v>1750</v>
      </c>
      <c r="B1297" s="1368"/>
      <c r="C1297" s="1368"/>
      <c r="D1297" s="1368"/>
      <c r="E1297" s="1368"/>
    </row>
    <row r="1298" spans="1:5" ht="21.9" hidden="1" customHeight="1" outlineLevel="1">
      <c r="A1298" s="1369" t="s">
        <v>856</v>
      </c>
      <c r="B1298" s="1370" t="s">
        <v>1671</v>
      </c>
      <c r="C1298" s="1370" t="s">
        <v>1680</v>
      </c>
      <c r="D1298" s="1371" t="s">
        <v>859</v>
      </c>
      <c r="E1298" s="1372"/>
    </row>
    <row r="1299" spans="1:5" ht="21.9" hidden="1" customHeight="1" outlineLevel="1">
      <c r="A1299" s="1373"/>
      <c r="B1299" s="1374"/>
      <c r="C1299" s="1374"/>
      <c r="D1299" s="1413" t="s">
        <v>861</v>
      </c>
      <c r="E1299" s="1375" t="s">
        <v>1672</v>
      </c>
    </row>
    <row r="1300" spans="1:5" ht="21.9" hidden="1" customHeight="1" outlineLevel="1">
      <c r="A1300" s="1376" t="s">
        <v>1006</v>
      </c>
      <c r="B1300" s="1414">
        <v>40317632.700000003</v>
      </c>
      <c r="C1300" s="1414">
        <f>C1343</f>
        <v>78426788.140000001</v>
      </c>
      <c r="D1300" s="1414">
        <f>D1343</f>
        <v>85973484.229459196</v>
      </c>
      <c r="E1300" s="1414">
        <f>E1343</f>
        <v>94260818.298572496</v>
      </c>
    </row>
    <row r="1301" spans="1:5" ht="21.9" hidden="1" customHeight="1" outlineLevel="1">
      <c r="A1301" s="1378" t="s">
        <v>1007</v>
      </c>
      <c r="B1301" s="1415">
        <v>40317632.700000003</v>
      </c>
      <c r="C1301" s="1415">
        <f>C1300</f>
        <v>78426788.140000001</v>
      </c>
      <c r="D1301" s="1415">
        <f>D1300</f>
        <v>85973484.229459196</v>
      </c>
      <c r="E1301" s="1415">
        <f>E1300</f>
        <v>94260818.298572496</v>
      </c>
    </row>
    <row r="1302" spans="1:5" ht="21.9" hidden="1" customHeight="1" outlineLevel="1">
      <c r="A1302" s="1376" t="s">
        <v>1008</v>
      </c>
      <c r="B1302" s="1414">
        <v>26692049.100000001</v>
      </c>
      <c r="C1302" s="1423">
        <f>C1383</f>
        <v>21864600</v>
      </c>
      <c r="D1302" s="1414">
        <f>D1383</f>
        <v>23968542.992323458</v>
      </c>
      <c r="E1302" s="1414">
        <f>E1383</f>
        <v>26278968.406712167</v>
      </c>
    </row>
    <row r="1303" spans="1:5" ht="21.9" hidden="1" customHeight="1" outlineLevel="1">
      <c r="A1303" s="1376" t="s">
        <v>1009</v>
      </c>
      <c r="B1303" s="1414">
        <v>78527585</v>
      </c>
      <c r="C1303" s="1414">
        <f>C1395</f>
        <v>26078441.476212204</v>
      </c>
      <c r="D1303" s="1414">
        <f>D1395</f>
        <v>28587865.57702329</v>
      </c>
      <c r="E1303" s="1414">
        <f>E1395</f>
        <v>31343566.296647213</v>
      </c>
    </row>
    <row r="1304" spans="1:5" ht="21.9" hidden="1" customHeight="1" outlineLevel="1">
      <c r="A1304" s="1378" t="s">
        <v>1010</v>
      </c>
      <c r="B1304" s="1422">
        <v>105219634.09999999</v>
      </c>
      <c r="C1304" s="1422">
        <f>SUM(C1302:C1303)</f>
        <v>47943041.476212204</v>
      </c>
      <c r="D1304" s="1422">
        <f>SUM(D1302:D1303)</f>
        <v>52556408.569346748</v>
      </c>
      <c r="E1304" s="1422">
        <f>SUM(E1302:E1303)</f>
        <v>57622534.70335938</v>
      </c>
    </row>
    <row r="1305" spans="1:5" ht="21.9" hidden="1" customHeight="1" outlineLevel="1">
      <c r="A1305" s="1393" t="s">
        <v>1019</v>
      </c>
      <c r="B1305" s="1414">
        <v>18822622</v>
      </c>
      <c r="C1305" s="1414">
        <f>C1370</f>
        <v>17438322</v>
      </c>
      <c r="D1305" s="1414">
        <f>D1370</f>
        <v>19116341.966968525</v>
      </c>
      <c r="E1305" s="1414">
        <f>E1370</f>
        <v>20959043.975379094</v>
      </c>
    </row>
    <row r="1306" spans="1:5" ht="21.9" hidden="1" customHeight="1" outlineLevel="1">
      <c r="A1306" s="1382" t="s">
        <v>1020</v>
      </c>
      <c r="B1306" s="1422">
        <v>18822622</v>
      </c>
      <c r="C1306" s="1422">
        <f>C1305</f>
        <v>17438322</v>
      </c>
      <c r="D1306" s="1422">
        <f>D1305</f>
        <v>19116341.966968525</v>
      </c>
      <c r="E1306" s="1422">
        <f>E1305</f>
        <v>20959043.975379094</v>
      </c>
    </row>
    <row r="1307" spans="1:5" ht="21.9" hidden="1" customHeight="1" outlineLevel="1">
      <c r="A1307" s="1376" t="s">
        <v>1702</v>
      </c>
      <c r="B1307" s="1414">
        <v>35562652.370000005</v>
      </c>
      <c r="C1307" s="1414">
        <f>C1421</f>
        <v>22135782</v>
      </c>
      <c r="D1307" s="1414">
        <f>D1421</f>
        <v>24265819.751365207</v>
      </c>
      <c r="E1307" s="1414">
        <f>E1421</f>
        <v>26604900.882516392</v>
      </c>
    </row>
    <row r="1308" spans="1:5" ht="21.9" hidden="1" customHeight="1" outlineLevel="1">
      <c r="A1308" s="1378" t="s">
        <v>1011</v>
      </c>
      <c r="B1308" s="1427">
        <v>35562652.370000005</v>
      </c>
      <c r="C1308" s="1427">
        <f>SUM(C1307)</f>
        <v>22135782</v>
      </c>
      <c r="D1308" s="1427">
        <f>SUM(D1307)</f>
        <v>24265819.751365207</v>
      </c>
      <c r="E1308" s="1427">
        <f>SUM(E1307)</f>
        <v>26604900.882516392</v>
      </c>
    </row>
    <row r="1309" spans="1:5" ht="21.9" hidden="1" customHeight="1" outlineLevel="1">
      <c r="A1309" s="1376" t="s">
        <v>1012</v>
      </c>
      <c r="B1309" s="1414">
        <v>23559892</v>
      </c>
      <c r="C1309" s="1414">
        <f>C1407</f>
        <v>7044812.5999999996</v>
      </c>
      <c r="D1309" s="1414">
        <f>D1407</f>
        <v>7722706.734903085</v>
      </c>
      <c r="E1309" s="1414">
        <f>E1407</f>
        <v>8467129.8695886396</v>
      </c>
    </row>
    <row r="1310" spans="1:5" ht="21.9" hidden="1" customHeight="1" outlineLevel="1">
      <c r="A1310" s="1378" t="s">
        <v>1013</v>
      </c>
      <c r="B1310" s="1422">
        <v>23559892</v>
      </c>
      <c r="C1310" s="1422">
        <f>C1309</f>
        <v>7044812.5999999996</v>
      </c>
      <c r="D1310" s="1422">
        <f>D1309</f>
        <v>7722706.734903085</v>
      </c>
      <c r="E1310" s="1422">
        <f>E1309</f>
        <v>8467129.8695886396</v>
      </c>
    </row>
    <row r="1311" spans="1:5" ht="21.9" hidden="1" customHeight="1" outlineLevel="1">
      <c r="A1311" s="1376" t="s">
        <v>1014</v>
      </c>
      <c r="B1311" s="1414">
        <v>881600</v>
      </c>
      <c r="C1311" s="1414">
        <f>C1434</f>
        <v>14425100</v>
      </c>
      <c r="D1311" s="1414">
        <f>D1434</f>
        <v>15813169.667799326</v>
      </c>
      <c r="E1311" s="1414">
        <f>E1434</f>
        <v>17337465.453914717</v>
      </c>
    </row>
    <row r="1312" spans="1:5" ht="21.9" hidden="1" customHeight="1" outlineLevel="1">
      <c r="A1312" s="1376" t="s">
        <v>1015</v>
      </c>
      <c r="B1312" s="1414">
        <v>1571800</v>
      </c>
      <c r="C1312" s="1414">
        <f>C1446</f>
        <v>2709280</v>
      </c>
      <c r="D1312" s="1414">
        <f>D1446</f>
        <v>2969983.1763783512</v>
      </c>
      <c r="E1312" s="1414">
        <f>E1446</f>
        <v>3256271.9430008843</v>
      </c>
    </row>
    <row r="1313" spans="1:6" ht="21.9" hidden="1" customHeight="1" outlineLevel="1">
      <c r="A1313" s="1378" t="s">
        <v>1016</v>
      </c>
      <c r="B1313" s="1427">
        <v>2453400</v>
      </c>
      <c r="C1313" s="1427">
        <f>SUM(C1311:C1312)</f>
        <v>17134380</v>
      </c>
      <c r="D1313" s="1427">
        <f>SUM(D1311:D1312)</f>
        <v>18783152.844177678</v>
      </c>
      <c r="E1313" s="1427">
        <f>SUM(E1311:E1312)</f>
        <v>20593737.3969156</v>
      </c>
    </row>
    <row r="1314" spans="1:6" ht="21.9" hidden="1" customHeight="1" outlineLevel="1">
      <c r="A1314" s="1363" t="s">
        <v>1017</v>
      </c>
      <c r="B1314" s="1414">
        <v>9639388.7200000007</v>
      </c>
      <c r="C1314" s="1414">
        <f>C1356</f>
        <v>23962225</v>
      </c>
      <c r="D1314" s="1414">
        <f>D1356</f>
        <v>26268014.05487537</v>
      </c>
      <c r="E1314" s="1414">
        <f>E1356</f>
        <v>28800094.844155781</v>
      </c>
    </row>
    <row r="1315" spans="1:6" s="1366" customFormat="1" ht="21.9" hidden="1" customHeight="1" outlineLevel="1">
      <c r="A1315" s="1378" t="s">
        <v>1018</v>
      </c>
      <c r="B1315" s="1422">
        <v>9639388.7200000007</v>
      </c>
      <c r="C1315" s="1422">
        <f>SUM(C1314)</f>
        <v>23962225</v>
      </c>
      <c r="D1315" s="1422">
        <f>SUM(D1313,D1314)</f>
        <v>45051166.899053052</v>
      </c>
      <c r="E1315" s="1422">
        <f>SUM(E1313,E1314)</f>
        <v>49393832.241071381</v>
      </c>
    </row>
    <row r="1316" spans="1:6" ht="21.9" hidden="1" customHeight="1" outlineLevel="1">
      <c r="A1316" s="1382" t="s">
        <v>876</v>
      </c>
      <c r="B1316" s="1422">
        <v>235575221.88999999</v>
      </c>
      <c r="C1316" s="1422">
        <f>C1306+C1315+C1313+C1310+C1308+C1304+C1301</f>
        <v>214085351.21621221</v>
      </c>
      <c r="D1316" s="1422">
        <f>D1306+D1315+D1313+D1310+D1308+D1304+D1301</f>
        <v>253469080.9952735</v>
      </c>
      <c r="E1316" s="1422">
        <f>E1306+E1315+E1313+E1310+E1308+E1304+E1301</f>
        <v>277901997.36740297</v>
      </c>
      <c r="F1316" s="1403">
        <f>C1316-'Itemized Budget 2024-25'!L3209</f>
        <v>0</v>
      </c>
    </row>
    <row r="1317" spans="1:6" ht="21.9" hidden="1" customHeight="1" outlineLevel="1">
      <c r="A1317" s="1407"/>
      <c r="B1317" s="1368"/>
      <c r="C1317" s="1368"/>
      <c r="D1317" s="1368"/>
      <c r="E1317" s="1368"/>
    </row>
    <row r="1318" spans="1:6" ht="21.9" hidden="1" customHeight="1" outlineLevel="1">
      <c r="A1318" s="1366" t="s">
        <v>1703</v>
      </c>
      <c r="B1318" s="1419"/>
      <c r="C1318" s="1419"/>
      <c r="D1318" s="1419"/>
      <c r="E1318" s="1419"/>
    </row>
    <row r="1319" spans="1:6" ht="21.9" hidden="1" customHeight="1" outlineLevel="1">
      <c r="A1319" s="1369" t="s">
        <v>878</v>
      </c>
      <c r="B1319" s="1412" t="s">
        <v>1671</v>
      </c>
      <c r="C1319" s="1412" t="s">
        <v>1680</v>
      </c>
      <c r="D1319" s="1371" t="s">
        <v>859</v>
      </c>
      <c r="E1319" s="1372"/>
    </row>
    <row r="1320" spans="1:6" ht="21.9" hidden="1" customHeight="1" outlineLevel="1">
      <c r="A1320" s="1373"/>
      <c r="B1320" s="1374"/>
      <c r="C1320" s="1374"/>
      <c r="D1320" s="1413" t="s">
        <v>861</v>
      </c>
      <c r="E1320" s="1413" t="s">
        <v>1672</v>
      </c>
    </row>
    <row r="1321" spans="1:6" ht="21.9" hidden="1" customHeight="1" outlineLevel="1">
      <c r="A1321" s="1382" t="s">
        <v>890</v>
      </c>
      <c r="B1321" s="1422">
        <v>112494779.5</v>
      </c>
      <c r="C1321" s="1422">
        <f>SUM(C1322:C1324)</f>
        <v>170128787.74000001</v>
      </c>
      <c r="D1321" s="1422">
        <f>SUM(D1322:D1324)</f>
        <v>186499600.41245034</v>
      </c>
      <c r="E1321" s="1422">
        <f>SUM(E1322:E1324)</f>
        <v>204477055.97594744</v>
      </c>
    </row>
    <row r="1322" spans="1:6" ht="21.9" hidden="1" customHeight="1" outlineLevel="1">
      <c r="A1322" s="1393" t="s">
        <v>880</v>
      </c>
      <c r="B1322" s="1414">
        <v>22123713</v>
      </c>
      <c r="C1322" s="1414">
        <f>C1337+C1350+C1364+C1377+C1389+C1401+C1415+C1428+C1440</f>
        <v>69159768</v>
      </c>
      <c r="D1322" s="1414">
        <f t="shared" ref="D1322:E1324" si="36">D1337+D1377+D1389+D1415+D1401+D1428+D1440+D1350+D1364</f>
        <v>75814735.812551618</v>
      </c>
      <c r="E1322" s="1414">
        <f t="shared" si="36"/>
        <v>83122826.774216905</v>
      </c>
    </row>
    <row r="1323" spans="1:6" ht="21.9" hidden="1" customHeight="1" outlineLevel="1">
      <c r="A1323" s="1393" t="s">
        <v>881</v>
      </c>
      <c r="B1323" s="1414">
        <v>86045344.5</v>
      </c>
      <c r="C1323" s="1414">
        <f t="shared" ref="C1323:C1324" si="37">C1338+C1351+C1365+C1378+C1390+C1402+C1416+C1429+C1441</f>
        <v>100824019.73999999</v>
      </c>
      <c r="D1323" s="1414">
        <f t="shared" si="36"/>
        <v>110525911.82994701</v>
      </c>
      <c r="E1323" s="1414">
        <f t="shared" si="36"/>
        <v>121179954.32732287</v>
      </c>
    </row>
    <row r="1324" spans="1:6" ht="21.9" hidden="1" customHeight="1" outlineLevel="1">
      <c r="A1324" s="1393" t="s">
        <v>882</v>
      </c>
      <c r="B1324" s="1414">
        <v>4325722</v>
      </c>
      <c r="C1324" s="1414">
        <f t="shared" si="37"/>
        <v>145000</v>
      </c>
      <c r="D1324" s="1414">
        <f t="shared" si="36"/>
        <v>158952.76995174398</v>
      </c>
      <c r="E1324" s="1414">
        <f t="shared" si="36"/>
        <v>174274.874407639</v>
      </c>
    </row>
    <row r="1325" spans="1:6" s="1366" customFormat="1" ht="21.9" hidden="1" customHeight="1" outlineLevel="1">
      <c r="A1325" s="1382" t="s">
        <v>883</v>
      </c>
      <c r="B1325" s="1422">
        <v>123080442.39000002</v>
      </c>
      <c r="C1325" s="1422">
        <f>C1326+C1327</f>
        <v>43956563.476212204</v>
      </c>
      <c r="D1325" s="1422">
        <f>D1326+D1327</f>
        <v>48186327.738645449</v>
      </c>
      <c r="E1325" s="1422">
        <f>E1326+E1327</f>
        <v>52831203.994539961</v>
      </c>
    </row>
    <row r="1326" spans="1:6" ht="21.9" hidden="1" customHeight="1" outlineLevel="1">
      <c r="A1326" s="1393" t="s">
        <v>884</v>
      </c>
      <c r="B1326" s="1414">
        <v>123080442.39000002</v>
      </c>
      <c r="C1326" s="1414">
        <f>Tables!C1341+Tables!C1354+Tables!C1368+Tables!C1381+Tables!C1393+Tables!C1405+Tables!C1419+Tables!C1432+Tables!C1444</f>
        <v>43956563.476212204</v>
      </c>
      <c r="D1326" s="1414">
        <f>D1341+D1381+D1393+D1419+D1405+D1432+D1444+D1354+D1368</f>
        <v>48186327.738645449</v>
      </c>
      <c r="E1326" s="1414">
        <f>E1341+E1381+E1393+E1419+E1405+E1432+E1444+E1354+E1368</f>
        <v>52831203.994539961</v>
      </c>
    </row>
    <row r="1327" spans="1:6" ht="21.9" hidden="1" customHeight="1" outlineLevel="1">
      <c r="A1327" s="1393" t="s">
        <v>885</v>
      </c>
      <c r="B1327" s="1414">
        <v>0</v>
      </c>
      <c r="C1327" s="1414">
        <f>Tables!C1342+Tables!C1355+Tables!C1369+Tables!C1382+Tables!C1394+Tables!C1406+Tables!C1420+Tables!C1433+Tables!C1445</f>
        <v>0</v>
      </c>
      <c r="D1327" s="1414">
        <f>D1342+D1382+D1394+D1420+D1406+D1433+D1445+D1355+D1369</f>
        <v>0</v>
      </c>
      <c r="E1327" s="1414">
        <f>E1342+E1382+E1394+E1420+E1406+E1433+E1445+E1355+E1369</f>
        <v>0</v>
      </c>
    </row>
    <row r="1328" spans="1:6" ht="21.9" hidden="1" customHeight="1" outlineLevel="1">
      <c r="A1328" s="1382" t="s">
        <v>886</v>
      </c>
      <c r="B1328" s="1422">
        <v>235575221.89000002</v>
      </c>
      <c r="C1328" s="1422">
        <f>C1321+C1325</f>
        <v>214085351.21621221</v>
      </c>
      <c r="D1328" s="1422">
        <f>D1321+D1325</f>
        <v>234685928.15109581</v>
      </c>
      <c r="E1328" s="1422">
        <f>E1321+E1325</f>
        <v>257308259.97048742</v>
      </c>
    </row>
    <row r="1329" spans="1:6" ht="21.9" hidden="1" customHeight="1" outlineLevel="1">
      <c r="A1329" s="1407"/>
      <c r="B1329" s="1368"/>
      <c r="C1329" s="1368"/>
      <c r="D1329" s="1368"/>
      <c r="E1329" s="1368"/>
    </row>
    <row r="1330" spans="1:6" ht="21.9" hidden="1" customHeight="1" outlineLevel="1">
      <c r="A1330" s="1366" t="s">
        <v>887</v>
      </c>
      <c r="B1330" s="1419"/>
      <c r="C1330" s="1419"/>
      <c r="D1330" s="1419"/>
      <c r="E1330" s="1419"/>
    </row>
    <row r="1331" spans="1:6" ht="21.9" hidden="1" customHeight="1" outlineLevel="1">
      <c r="A1331" s="1366"/>
      <c r="B1331" s="1419"/>
      <c r="C1331" s="1419"/>
      <c r="D1331" s="1419"/>
      <c r="E1331" s="1419"/>
    </row>
    <row r="1332" spans="1:6" ht="21.9" hidden="1" customHeight="1" outlineLevel="1">
      <c r="A1332" s="1366" t="s">
        <v>1695</v>
      </c>
      <c r="B1332" s="1419"/>
      <c r="C1332" s="1419"/>
      <c r="D1332" s="1419"/>
      <c r="E1332" s="1419"/>
    </row>
    <row r="1333" spans="1:6" ht="21.9" hidden="1" customHeight="1" outlineLevel="1">
      <c r="A1333" s="1366" t="s">
        <v>1704</v>
      </c>
      <c r="B1333" s="1419"/>
      <c r="C1333" s="1419"/>
      <c r="D1333" s="1419"/>
      <c r="E1333" s="1419"/>
    </row>
    <row r="1334" spans="1:6" ht="21.9" hidden="1" customHeight="1" outlineLevel="1">
      <c r="A1334" s="1369" t="s">
        <v>878</v>
      </c>
      <c r="B1334" s="1412" t="s">
        <v>1671</v>
      </c>
      <c r="C1334" s="1412" t="s">
        <v>1680</v>
      </c>
      <c r="D1334" s="1371" t="s">
        <v>859</v>
      </c>
      <c r="E1334" s="1372"/>
    </row>
    <row r="1335" spans="1:6" ht="21.9" hidden="1" customHeight="1" outlineLevel="1">
      <c r="A1335" s="1373"/>
      <c r="B1335" s="1374"/>
      <c r="C1335" s="1374"/>
      <c r="D1335" s="1413" t="s">
        <v>861</v>
      </c>
      <c r="E1335" s="1413" t="s">
        <v>1672</v>
      </c>
    </row>
    <row r="1336" spans="1:6" ht="21.9" hidden="1" customHeight="1" outlineLevel="1">
      <c r="A1336" s="1382" t="s">
        <v>890</v>
      </c>
      <c r="B1336" s="1422">
        <v>40317632.700000003</v>
      </c>
      <c r="C1336" s="1422">
        <f>SUM(C1337:C1339)</f>
        <v>78426788.140000001</v>
      </c>
      <c r="D1336" s="1422">
        <f>SUM(D1337:D1339)</f>
        <v>85973484.229459196</v>
      </c>
      <c r="E1336" s="1422">
        <f>SUM(E1337:E1339)</f>
        <v>94260818.298572496</v>
      </c>
    </row>
    <row r="1337" spans="1:6" ht="21.9" hidden="1" customHeight="1" outlineLevel="1">
      <c r="A1337" s="1393" t="s">
        <v>880</v>
      </c>
      <c r="B1337" s="1414">
        <v>22123713</v>
      </c>
      <c r="C1337" s="1414">
        <f>'Itemized Budget 2024-25'!L2869</f>
        <v>69159768</v>
      </c>
      <c r="D1337" s="1414">
        <f>C1337*1.0962259996672</f>
        <v>75814735.812551618</v>
      </c>
      <c r="E1337" s="1414">
        <f>D1337*1.09639407014138</f>
        <v>83122826.774216905</v>
      </c>
    </row>
    <row r="1338" spans="1:6" ht="21.9" hidden="1" customHeight="1" outlineLevel="1">
      <c r="A1338" s="1393" t="s">
        <v>881</v>
      </c>
      <c r="B1338" s="1414">
        <v>18193919.700000003</v>
      </c>
      <c r="C1338" s="1414">
        <f>'Itemized Budget 2024-25'!L2909-'Itemized Budget 2024-25'!L2907-'Itemized Budget 2024-25'!L2869</f>
        <v>9122020.1400000006</v>
      </c>
      <c r="D1338" s="1414">
        <f>C1338*1.0962259996672</f>
        <v>9999795.646955831</v>
      </c>
      <c r="E1338" s="1414">
        <f>D1338*1.09639407014138</f>
        <v>10963716.649947956</v>
      </c>
    </row>
    <row r="1339" spans="1:6" ht="21.9" hidden="1" customHeight="1" outlineLevel="1">
      <c r="A1339" s="1393" t="s">
        <v>882</v>
      </c>
      <c r="B1339" s="1414">
        <v>0</v>
      </c>
      <c r="C1339" s="1414">
        <f>'Itemized Budget 2024-25'!L2907</f>
        <v>145000</v>
      </c>
      <c r="D1339" s="1414">
        <f>C1339*1.0962259996672</f>
        <v>158952.76995174398</v>
      </c>
      <c r="E1339" s="1414">
        <f>D1339*1.09639407014138</f>
        <v>174274.874407639</v>
      </c>
    </row>
    <row r="1340" spans="1:6" ht="21.9" hidden="1" customHeight="1" outlineLevel="1">
      <c r="A1340" s="1382" t="s">
        <v>883</v>
      </c>
      <c r="B1340" s="1422">
        <v>0</v>
      </c>
      <c r="C1340" s="1422">
        <f>SUM(C1341:C1342)</f>
        <v>0</v>
      </c>
      <c r="D1340" s="1422">
        <f>SUM(D1341:D1342)</f>
        <v>0</v>
      </c>
      <c r="E1340" s="1422">
        <f>SUM(E1341:E1342)</f>
        <v>0</v>
      </c>
    </row>
    <row r="1341" spans="1:6" ht="21.9" hidden="1" customHeight="1" outlineLevel="1">
      <c r="A1341" s="1393" t="s">
        <v>891</v>
      </c>
      <c r="B1341" s="1414">
        <v>0</v>
      </c>
      <c r="C1341" s="1414">
        <v>0</v>
      </c>
      <c r="D1341" s="1414">
        <f>C1341*1.0962259996672</f>
        <v>0</v>
      </c>
      <c r="E1341" s="1414">
        <f>D1341*1.09639407014138</f>
        <v>0</v>
      </c>
    </row>
    <row r="1342" spans="1:6" ht="21.9" hidden="1" customHeight="1" outlineLevel="1">
      <c r="A1342" s="1393" t="s">
        <v>892</v>
      </c>
      <c r="B1342" s="1414">
        <v>0</v>
      </c>
      <c r="C1342" s="1414">
        <v>0</v>
      </c>
      <c r="D1342" s="1414">
        <f>C1342*1.0962259996672</f>
        <v>0</v>
      </c>
      <c r="E1342" s="1414">
        <f>D1342*1.09639407014138</f>
        <v>0</v>
      </c>
    </row>
    <row r="1343" spans="1:6" ht="21.9" hidden="1" customHeight="1" outlineLevel="1">
      <c r="A1343" s="1382" t="s">
        <v>893</v>
      </c>
      <c r="B1343" s="1422">
        <v>40317632.700000003</v>
      </c>
      <c r="C1343" s="1422">
        <f>C1336+C1340</f>
        <v>78426788.140000001</v>
      </c>
      <c r="D1343" s="1422">
        <f>D1336+D1340</f>
        <v>85973484.229459196</v>
      </c>
      <c r="E1343" s="1422">
        <f>E1336+E1340</f>
        <v>94260818.298572496</v>
      </c>
      <c r="F1343" s="1403">
        <f>C1343-'Itemized Budget 2024-25'!L2909</f>
        <v>0</v>
      </c>
    </row>
    <row r="1344" spans="1:6" ht="21.9" hidden="1" customHeight="1" outlineLevel="1">
      <c r="B1344" s="1368"/>
      <c r="C1344" s="1368"/>
      <c r="D1344" s="1368"/>
      <c r="E1344" s="1368"/>
    </row>
    <row r="1345" spans="1:5" ht="21.9" hidden="1" customHeight="1" outlineLevel="1">
      <c r="B1345" s="1368"/>
      <c r="C1345" s="1368"/>
      <c r="D1345" s="1368"/>
      <c r="E1345" s="1368"/>
    </row>
    <row r="1346" spans="1:5" s="1366" customFormat="1" ht="21.9" hidden="1" customHeight="1" outlineLevel="1">
      <c r="A1346" s="1363" t="s">
        <v>1021</v>
      </c>
      <c r="B1346" s="1368"/>
      <c r="C1346" s="1368"/>
      <c r="D1346" s="1368"/>
      <c r="E1346" s="1368"/>
    </row>
    <row r="1347" spans="1:5" s="1366" customFormat="1" ht="21.9" hidden="1" customHeight="1" outlineLevel="1">
      <c r="A1347" s="1369" t="s">
        <v>878</v>
      </c>
      <c r="B1347" s="1412" t="s">
        <v>1671</v>
      </c>
      <c r="C1347" s="1412" t="s">
        <v>1680</v>
      </c>
      <c r="D1347" s="1371" t="s">
        <v>859</v>
      </c>
      <c r="E1347" s="1372"/>
    </row>
    <row r="1348" spans="1:5" s="1366" customFormat="1" ht="21.9" hidden="1" customHeight="1" outlineLevel="1">
      <c r="A1348" s="1373"/>
      <c r="B1348" s="1374"/>
      <c r="C1348" s="1374"/>
      <c r="D1348" s="1413" t="s">
        <v>861</v>
      </c>
      <c r="E1348" s="1413" t="s">
        <v>1672</v>
      </c>
    </row>
    <row r="1349" spans="1:5" s="1366" customFormat="1" ht="21.9" hidden="1" customHeight="1" outlineLevel="1">
      <c r="A1349" s="1382" t="s">
        <v>890</v>
      </c>
      <c r="B1349" s="1422">
        <v>8939388.7200000007</v>
      </c>
      <c r="C1349" s="1422">
        <f>SUM(C1350:C1352)</f>
        <v>23962225</v>
      </c>
      <c r="D1349" s="1422">
        <f>SUM(D1350:D1352)</f>
        <v>26268014.05487537</v>
      </c>
      <c r="E1349" s="1422">
        <f>SUM(E1350:E1352)</f>
        <v>28800094.844155781</v>
      </c>
    </row>
    <row r="1350" spans="1:5" s="1366" customFormat="1" ht="21.9" hidden="1" customHeight="1" outlineLevel="1">
      <c r="A1350" s="1393" t="s">
        <v>880</v>
      </c>
      <c r="B1350" s="1414"/>
      <c r="C1350" s="1414"/>
      <c r="D1350" s="1414">
        <f>C1350*1.0962259996672</f>
        <v>0</v>
      </c>
      <c r="E1350" s="1414">
        <f>D1350*1.09639407014138</f>
        <v>0</v>
      </c>
    </row>
    <row r="1351" spans="1:5" s="1366" customFormat="1" ht="21.9" hidden="1" customHeight="1" outlineLevel="1">
      <c r="A1351" s="1393" t="s">
        <v>881</v>
      </c>
      <c r="B1351" s="1414">
        <v>8817588.7200000007</v>
      </c>
      <c r="C1351" s="1414">
        <f>'Itemized Budget 2024-25'!L2959</f>
        <v>23962225</v>
      </c>
      <c r="D1351" s="1414">
        <f>C1351*1.0962259996672</f>
        <v>26268014.05487537</v>
      </c>
      <c r="E1351" s="1414">
        <f>D1351*1.09639407014138</f>
        <v>28800094.844155781</v>
      </c>
    </row>
    <row r="1352" spans="1:5" s="1366" customFormat="1" ht="21.9" hidden="1" customHeight="1" outlineLevel="1">
      <c r="A1352" s="1393" t="s">
        <v>882</v>
      </c>
      <c r="B1352" s="1414">
        <v>121800</v>
      </c>
      <c r="C1352" s="1414"/>
      <c r="D1352" s="1414">
        <f>C1352*1.0962259996672</f>
        <v>0</v>
      </c>
      <c r="E1352" s="1414">
        <f>D1352*1.09639407014138</f>
        <v>0</v>
      </c>
    </row>
    <row r="1353" spans="1:5" s="1366" customFormat="1" ht="21.9" hidden="1" customHeight="1" outlineLevel="1">
      <c r="A1353" s="1382" t="s">
        <v>883</v>
      </c>
      <c r="B1353" s="1422">
        <v>700000</v>
      </c>
      <c r="C1353" s="1422">
        <f>SUM(C1354:C1355)</f>
        <v>0</v>
      </c>
      <c r="D1353" s="1422">
        <f>SUM(D1354:D1355)</f>
        <v>0</v>
      </c>
      <c r="E1353" s="1422">
        <f>SUM(E1354:E1355)</f>
        <v>0</v>
      </c>
    </row>
    <row r="1354" spans="1:5" s="1366" customFormat="1" ht="21.9" hidden="1" customHeight="1" outlineLevel="1">
      <c r="A1354" s="1393" t="s">
        <v>891</v>
      </c>
      <c r="B1354" s="1414">
        <v>700000</v>
      </c>
      <c r="C1354" s="1414">
        <f>'Itemized Budget 2024-25'!L2963</f>
        <v>0</v>
      </c>
      <c r="D1354" s="1414">
        <f>C1354*1.0962259996672</f>
        <v>0</v>
      </c>
      <c r="E1354" s="1414">
        <f>D1354*1.09639407014138</f>
        <v>0</v>
      </c>
    </row>
    <row r="1355" spans="1:5" s="1366" customFormat="1" ht="21.9" hidden="1" customHeight="1" outlineLevel="1">
      <c r="A1355" s="1393" t="s">
        <v>892</v>
      </c>
      <c r="B1355" s="1414"/>
      <c r="C1355" s="1414"/>
      <c r="D1355" s="1414">
        <f>C1355*1.0962259996672</f>
        <v>0</v>
      </c>
      <c r="E1355" s="1414">
        <f>D1355*1.09639407014138</f>
        <v>0</v>
      </c>
    </row>
    <row r="1356" spans="1:5" s="1366" customFormat="1" ht="21.9" hidden="1" customHeight="1" outlineLevel="1">
      <c r="A1356" s="1382" t="s">
        <v>893</v>
      </c>
      <c r="B1356" s="1422">
        <v>9639388.7200000007</v>
      </c>
      <c r="C1356" s="1422">
        <f>C1353+C1349</f>
        <v>23962225</v>
      </c>
      <c r="D1356" s="1422">
        <f>D1353+D1349</f>
        <v>26268014.05487537</v>
      </c>
      <c r="E1356" s="1422">
        <f>E1353+E1349</f>
        <v>28800094.844155781</v>
      </c>
    </row>
    <row r="1357" spans="1:5" s="1366" customFormat="1" ht="21.9" hidden="1" customHeight="1" outlineLevel="1">
      <c r="B1357" s="1419"/>
      <c r="C1357" s="1419"/>
      <c r="D1357" s="1419"/>
      <c r="E1357" s="1419"/>
    </row>
    <row r="1358" spans="1:5" s="1366" customFormat="1" ht="21.9" hidden="1" customHeight="1" outlineLevel="1">
      <c r="B1358" s="1419"/>
      <c r="C1358" s="1419"/>
      <c r="D1358" s="1419"/>
      <c r="E1358" s="1419"/>
    </row>
    <row r="1359" spans="1:5" ht="21.9" hidden="1" customHeight="1" outlineLevel="1">
      <c r="A1359" s="1408" t="s">
        <v>1020</v>
      </c>
      <c r="B1359" s="1368"/>
      <c r="C1359" s="1368"/>
      <c r="D1359" s="1368"/>
      <c r="E1359" s="1368"/>
    </row>
    <row r="1360" spans="1:5" ht="21.9" hidden="1" customHeight="1" outlineLevel="1">
      <c r="A1360" s="1363" t="s">
        <v>1022</v>
      </c>
      <c r="B1360" s="1368"/>
      <c r="C1360" s="1368"/>
      <c r="D1360" s="1368"/>
      <c r="E1360" s="1368"/>
    </row>
    <row r="1361" spans="1:5" ht="21.9" hidden="1" customHeight="1" outlineLevel="1">
      <c r="A1361" s="1369" t="s">
        <v>878</v>
      </c>
      <c r="B1361" s="1412" t="s">
        <v>1671</v>
      </c>
      <c r="C1361" s="1412" t="s">
        <v>1680</v>
      </c>
      <c r="D1361" s="1371" t="s">
        <v>859</v>
      </c>
      <c r="E1361" s="1372"/>
    </row>
    <row r="1362" spans="1:5" ht="21.9" hidden="1" customHeight="1" outlineLevel="1">
      <c r="A1362" s="1373"/>
      <c r="B1362" s="1374"/>
      <c r="C1362" s="1374"/>
      <c r="D1362" s="1413" t="s">
        <v>861</v>
      </c>
      <c r="E1362" s="1413" t="s">
        <v>1672</v>
      </c>
    </row>
    <row r="1363" spans="1:5" ht="21.9" hidden="1" customHeight="1" outlineLevel="1">
      <c r="A1363" s="1382" t="s">
        <v>890</v>
      </c>
      <c r="B1363" s="1422">
        <v>6872622</v>
      </c>
      <c r="C1363" s="1422">
        <f>SUM(C1364:C1366)</f>
        <v>7122800</v>
      </c>
      <c r="D1363" s="1422">
        <f>SUM(D1364:D1366)</f>
        <v>7808198.5504295314</v>
      </c>
      <c r="E1363" s="1422">
        <f>SUM(E1364:E1366)</f>
        <v>8560862.5891774558</v>
      </c>
    </row>
    <row r="1364" spans="1:5" ht="21.9" hidden="1" customHeight="1" outlineLevel="1">
      <c r="A1364" s="1393" t="s">
        <v>880</v>
      </c>
      <c r="B1364" s="1414"/>
      <c r="C1364" s="1414"/>
      <c r="D1364" s="1414">
        <f>C1364*1.0962259996672</f>
        <v>0</v>
      </c>
      <c r="E1364" s="1414">
        <f>D1364*1.09639407014138</f>
        <v>0</v>
      </c>
    </row>
    <row r="1365" spans="1:5" ht="21.9" hidden="1" customHeight="1" outlineLevel="1">
      <c r="A1365" s="1393" t="s">
        <v>881</v>
      </c>
      <c r="B1365" s="1414">
        <v>4901700</v>
      </c>
      <c r="C1365" s="1414">
        <f>'Itemized Budget 2024-25'!L2994</f>
        <v>7122800</v>
      </c>
      <c r="D1365" s="1414">
        <f>C1365*1.0962259996672</f>
        <v>7808198.5504295314</v>
      </c>
      <c r="E1365" s="1414">
        <f>D1365*1.09639407014138</f>
        <v>8560862.5891774558</v>
      </c>
    </row>
    <row r="1366" spans="1:5" ht="21.9" hidden="1" customHeight="1" outlineLevel="1">
      <c r="A1366" s="1393" t="s">
        <v>882</v>
      </c>
      <c r="B1366" s="1414">
        <v>1970922</v>
      </c>
      <c r="C1366" s="1414"/>
      <c r="D1366" s="1414">
        <f>C1366*1.0962259996672</f>
        <v>0</v>
      </c>
      <c r="E1366" s="1414">
        <f>D1366*1.09639407014138</f>
        <v>0</v>
      </c>
    </row>
    <row r="1367" spans="1:5" ht="21.9" hidden="1" customHeight="1" outlineLevel="1">
      <c r="A1367" s="1382" t="s">
        <v>883</v>
      </c>
      <c r="B1367" s="1422">
        <v>11950000</v>
      </c>
      <c r="C1367" s="1422">
        <f>SUM(C1368:C1369)</f>
        <v>10315522</v>
      </c>
      <c r="D1367" s="1422">
        <f>SUM(D1368:D1369)</f>
        <v>11308143.416538993</v>
      </c>
      <c r="E1367" s="1422">
        <f>SUM(E1368:E1369)</f>
        <v>12398181.386201637</v>
      </c>
    </row>
    <row r="1368" spans="1:5" ht="21.9" hidden="1" customHeight="1" outlineLevel="1">
      <c r="A1368" s="1393" t="s">
        <v>891</v>
      </c>
      <c r="B1368" s="1414">
        <v>11950000</v>
      </c>
      <c r="C1368" s="1414">
        <f>'Itemized Budget 2024-25'!L2998+'Itemized Budget 2024-25'!L2999+'Itemized Budget 2024-25'!L3000</f>
        <v>10315522</v>
      </c>
      <c r="D1368" s="1414">
        <f>C1368*1.0962259996672</f>
        <v>11308143.416538993</v>
      </c>
      <c r="E1368" s="1414">
        <f>D1368*1.09639407014138</f>
        <v>12398181.386201637</v>
      </c>
    </row>
    <row r="1369" spans="1:5" ht="21.9" hidden="1" customHeight="1" outlineLevel="1">
      <c r="A1369" s="1393" t="s">
        <v>973</v>
      </c>
      <c r="B1369" s="1414">
        <v>0</v>
      </c>
      <c r="C1369" s="1414">
        <v>0</v>
      </c>
      <c r="D1369" s="1414">
        <f>C1369*1.0962259996672</f>
        <v>0</v>
      </c>
      <c r="E1369" s="1414">
        <f>D1369*1.09639407014138</f>
        <v>0</v>
      </c>
    </row>
    <row r="1370" spans="1:5" ht="21.9" hidden="1" customHeight="1" outlineLevel="1">
      <c r="A1370" s="1382" t="s">
        <v>893</v>
      </c>
      <c r="B1370" s="1422">
        <v>18822622</v>
      </c>
      <c r="C1370" s="1422">
        <f>C1367+C1363</f>
        <v>17438322</v>
      </c>
      <c r="D1370" s="1422">
        <f>D1367+D1363</f>
        <v>19116341.966968525</v>
      </c>
      <c r="E1370" s="1422">
        <f>E1367+E1363</f>
        <v>20959043.975379094</v>
      </c>
    </row>
    <row r="1371" spans="1:5" s="1366" customFormat="1" ht="21.9" hidden="1" customHeight="1" outlineLevel="1">
      <c r="B1371" s="1419"/>
      <c r="C1371" s="1419"/>
      <c r="D1371" s="1419"/>
      <c r="E1371" s="1419"/>
    </row>
    <row r="1372" spans="1:5" s="1366" customFormat="1" ht="21.9" hidden="1" customHeight="1" outlineLevel="1">
      <c r="A1372" s="1408" t="s">
        <v>1010</v>
      </c>
      <c r="B1372" s="1419"/>
      <c r="C1372" s="1419"/>
      <c r="D1372" s="1419"/>
      <c r="E1372" s="1419"/>
    </row>
    <row r="1373" spans="1:5" s="1366" customFormat="1" ht="21.9" hidden="1" customHeight="1" outlineLevel="1">
      <c r="A1373" s="1366" t="s">
        <v>1023</v>
      </c>
      <c r="B1373" s="1419"/>
      <c r="C1373" s="1419"/>
      <c r="D1373" s="1419"/>
      <c r="E1373" s="1419"/>
    </row>
    <row r="1374" spans="1:5" ht="21.9" hidden="1" customHeight="1" outlineLevel="1">
      <c r="A1374" s="1369" t="s">
        <v>878</v>
      </c>
      <c r="B1374" s="1412" t="s">
        <v>1671</v>
      </c>
      <c r="C1374" s="1412" t="s">
        <v>1680</v>
      </c>
      <c r="D1374" s="1371" t="s">
        <v>859</v>
      </c>
      <c r="E1374" s="1372"/>
    </row>
    <row r="1375" spans="1:5" ht="21.9" hidden="1" customHeight="1" outlineLevel="1">
      <c r="A1375" s="1373"/>
      <c r="B1375" s="1374"/>
      <c r="C1375" s="1374"/>
      <c r="D1375" s="1413" t="s">
        <v>861</v>
      </c>
      <c r="E1375" s="1413" t="s">
        <v>1672</v>
      </c>
    </row>
    <row r="1376" spans="1:5" ht="21.9" hidden="1" customHeight="1" outlineLevel="1">
      <c r="A1376" s="1382" t="s">
        <v>890</v>
      </c>
      <c r="B1376" s="1422">
        <v>26692049.100000001</v>
      </c>
      <c r="C1376" s="1422">
        <f>SUM(C1377:C1379)</f>
        <v>21864600</v>
      </c>
      <c r="D1376" s="1422">
        <f>SUM(D1377:D1379)</f>
        <v>23968542.992323458</v>
      </c>
      <c r="E1376" s="1422">
        <f>SUM(E1377:E1379)</f>
        <v>26278968.406712167</v>
      </c>
    </row>
    <row r="1377" spans="1:5" ht="21.9" hidden="1" customHeight="1" outlineLevel="1">
      <c r="A1377" s="1393" t="s">
        <v>880</v>
      </c>
      <c r="B1377" s="1414"/>
      <c r="C1377" s="1414"/>
      <c r="D1377" s="1414">
        <f>C1377*1.0962259996672</f>
        <v>0</v>
      </c>
      <c r="E1377" s="1414">
        <f>D1377*1.09639407014138</f>
        <v>0</v>
      </c>
    </row>
    <row r="1378" spans="1:5" ht="21.9" hidden="1" customHeight="1" outlineLevel="1">
      <c r="A1378" s="1393" t="s">
        <v>881</v>
      </c>
      <c r="B1378" s="1414">
        <v>26692049.100000001</v>
      </c>
      <c r="C1378" s="1414">
        <f>'Itemized Budget 2024-25'!L3042</f>
        <v>21864600</v>
      </c>
      <c r="D1378" s="1414">
        <f>C1378*1.0962259996672</f>
        <v>23968542.992323458</v>
      </c>
      <c r="E1378" s="1414">
        <f>D1378*1.09639407014138</f>
        <v>26278968.406712167</v>
      </c>
    </row>
    <row r="1379" spans="1:5" ht="21.9" hidden="1" customHeight="1" outlineLevel="1">
      <c r="A1379" s="1393" t="s">
        <v>882</v>
      </c>
      <c r="B1379" s="1414"/>
      <c r="C1379" s="1414"/>
      <c r="D1379" s="1414">
        <f>C1379*1.0962259996672</f>
        <v>0</v>
      </c>
      <c r="E1379" s="1414">
        <f>D1379*1.09639407014138</f>
        <v>0</v>
      </c>
    </row>
    <row r="1380" spans="1:5" ht="21.9" hidden="1" customHeight="1" outlineLevel="1">
      <c r="A1380" s="1382" t="s">
        <v>883</v>
      </c>
      <c r="B1380" s="1422">
        <v>0</v>
      </c>
      <c r="C1380" s="1422">
        <f>SUM(C1381:C1382)</f>
        <v>0</v>
      </c>
      <c r="D1380" s="1422">
        <f>SUM(D1381:D1382)</f>
        <v>0</v>
      </c>
      <c r="E1380" s="1422">
        <f>SUM(E1381:E1382)</f>
        <v>0</v>
      </c>
    </row>
    <row r="1381" spans="1:5" ht="21.9" hidden="1" customHeight="1" outlineLevel="1">
      <c r="A1381" s="1393" t="s">
        <v>891</v>
      </c>
      <c r="B1381" s="1414"/>
      <c r="C1381" s="1414"/>
      <c r="D1381" s="1414">
        <f>C1381*1.0962259996672</f>
        <v>0</v>
      </c>
      <c r="E1381" s="1414">
        <f>D1381*1.09639407014138</f>
        <v>0</v>
      </c>
    </row>
    <row r="1382" spans="1:5" ht="21.9" hidden="1" customHeight="1" outlineLevel="1">
      <c r="A1382" s="1393" t="s">
        <v>892</v>
      </c>
      <c r="B1382" s="1414">
        <v>0</v>
      </c>
      <c r="C1382" s="1414">
        <v>0</v>
      </c>
      <c r="D1382" s="1414">
        <f>C1382*1.0962259996672</f>
        <v>0</v>
      </c>
      <c r="E1382" s="1414">
        <f>D1382*1.09639407014138</f>
        <v>0</v>
      </c>
    </row>
    <row r="1383" spans="1:5" ht="21.9" hidden="1" customHeight="1" outlineLevel="1">
      <c r="A1383" s="1382" t="s">
        <v>893</v>
      </c>
      <c r="B1383" s="1422">
        <v>26692049.100000001</v>
      </c>
      <c r="C1383" s="1422">
        <f>C1380+C1376</f>
        <v>21864600</v>
      </c>
      <c r="D1383" s="1422">
        <f>D1380+D1376</f>
        <v>23968542.992323458</v>
      </c>
      <c r="E1383" s="1422">
        <f>E1380+E1376</f>
        <v>26278968.406712167</v>
      </c>
    </row>
    <row r="1384" spans="1:5" ht="21.9" hidden="1" customHeight="1" outlineLevel="1">
      <c r="B1384" s="1368"/>
      <c r="C1384" s="1368"/>
      <c r="D1384" s="1368"/>
      <c r="E1384" s="1368"/>
    </row>
    <row r="1385" spans="1:5" ht="21.9" hidden="1" customHeight="1" outlineLevel="1">
      <c r="A1385" s="1408" t="s">
        <v>1009</v>
      </c>
      <c r="B1385" s="1368"/>
      <c r="C1385" s="1368"/>
      <c r="D1385" s="1368"/>
      <c r="E1385" s="1368"/>
    </row>
    <row r="1386" spans="1:5" ht="21.9" hidden="1" customHeight="1" outlineLevel="1">
      <c r="A1386" s="1369" t="s">
        <v>878</v>
      </c>
      <c r="B1386" s="1412" t="s">
        <v>1671</v>
      </c>
      <c r="C1386" s="1412" t="s">
        <v>1680</v>
      </c>
      <c r="D1386" s="1371" t="s">
        <v>859</v>
      </c>
      <c r="E1386" s="1372"/>
    </row>
    <row r="1387" spans="1:5" ht="21.9" hidden="1" customHeight="1" outlineLevel="1">
      <c r="A1387" s="1373"/>
      <c r="B1387" s="1374"/>
      <c r="C1387" s="1374"/>
      <c r="D1387" s="1413" t="s">
        <v>861</v>
      </c>
      <c r="E1387" s="1413" t="s">
        <v>1672</v>
      </c>
    </row>
    <row r="1388" spans="1:5" s="1366" customFormat="1" ht="21.9" hidden="1" customHeight="1" outlineLevel="1">
      <c r="A1388" s="1382" t="s">
        <v>890</v>
      </c>
      <c r="B1388" s="1422">
        <v>2287400</v>
      </c>
      <c r="C1388" s="1422">
        <f>SUM(C1389:C1391)</f>
        <v>937400</v>
      </c>
      <c r="D1388" s="1422">
        <f>SUM(D1389:D1391)</f>
        <v>1027602.2520880332</v>
      </c>
      <c r="E1388" s="1422">
        <f>SUM(E1389:E1391)</f>
        <v>1126657.015653247</v>
      </c>
    </row>
    <row r="1389" spans="1:5" ht="21.9" hidden="1" customHeight="1" outlineLevel="1">
      <c r="A1389" s="1393" t="s">
        <v>880</v>
      </c>
      <c r="B1389" s="1414"/>
      <c r="C1389" s="1414"/>
      <c r="D1389" s="1414">
        <f>C1389*1.0962259996672</f>
        <v>0</v>
      </c>
      <c r="E1389" s="1414">
        <f>D1389*1.09639407014138</f>
        <v>0</v>
      </c>
    </row>
    <row r="1390" spans="1:5" ht="21.9" hidden="1" customHeight="1" outlineLevel="1">
      <c r="A1390" s="1393" t="s">
        <v>881</v>
      </c>
      <c r="B1390" s="1414">
        <v>2287400</v>
      </c>
      <c r="C1390" s="1414">
        <f>'Itemized Budget 2024-25'!L3066</f>
        <v>937400</v>
      </c>
      <c r="D1390" s="1414">
        <f>C1390*1.0962259996672</f>
        <v>1027602.2520880332</v>
      </c>
      <c r="E1390" s="1414">
        <f>D1390*1.09639407014138</f>
        <v>1126657.015653247</v>
      </c>
    </row>
    <row r="1391" spans="1:5" ht="21.9" hidden="1" customHeight="1" outlineLevel="1">
      <c r="A1391" s="1393" t="s">
        <v>882</v>
      </c>
      <c r="B1391" s="1414"/>
      <c r="C1391" s="1414"/>
      <c r="D1391" s="1414">
        <f>C1391*1.0962259996672</f>
        <v>0</v>
      </c>
      <c r="E1391" s="1414">
        <f>D1391*1.09639407014138</f>
        <v>0</v>
      </c>
    </row>
    <row r="1392" spans="1:5" ht="21.9" hidden="1" customHeight="1" outlineLevel="1">
      <c r="A1392" s="1382" t="s">
        <v>883</v>
      </c>
      <c r="B1392" s="1422">
        <v>76240185</v>
      </c>
      <c r="C1392" s="1422">
        <f>SUM(C1393:C1394)</f>
        <v>25141041.476212204</v>
      </c>
      <c r="D1392" s="1422">
        <f>SUM(D1393:D1394)</f>
        <v>27560263.324935257</v>
      </c>
      <c r="E1392" s="1422">
        <f>SUM(E1393:E1394)</f>
        <v>30216909.280993968</v>
      </c>
    </row>
    <row r="1393" spans="1:5" ht="21.9" hidden="1" customHeight="1" outlineLevel="1">
      <c r="A1393" s="1393" t="s">
        <v>891</v>
      </c>
      <c r="B1393" s="1414">
        <v>76240185</v>
      </c>
      <c r="C1393" s="1414">
        <f>'Itemized Budget 2024-25'!L3073</f>
        <v>25141041.476212204</v>
      </c>
      <c r="D1393" s="1414">
        <f>C1393*1.0962259996672</f>
        <v>27560263.324935257</v>
      </c>
      <c r="E1393" s="1414">
        <f>D1393*1.09639407014138</f>
        <v>30216909.280993968</v>
      </c>
    </row>
    <row r="1394" spans="1:5" ht="21.9" hidden="1" customHeight="1" outlineLevel="1">
      <c r="A1394" s="1393" t="s">
        <v>892</v>
      </c>
      <c r="B1394" s="1414">
        <v>0</v>
      </c>
      <c r="C1394" s="1414">
        <v>0</v>
      </c>
      <c r="D1394" s="1414">
        <f>C1394*1.0962259996672</f>
        <v>0</v>
      </c>
      <c r="E1394" s="1414">
        <f>D1394*1.09639407014138</f>
        <v>0</v>
      </c>
    </row>
    <row r="1395" spans="1:5" ht="21.9" hidden="1" customHeight="1" outlineLevel="1">
      <c r="A1395" s="1382" t="s">
        <v>893</v>
      </c>
      <c r="B1395" s="1422">
        <v>78527585</v>
      </c>
      <c r="C1395" s="1422">
        <f>C1392+C1388</f>
        <v>26078441.476212204</v>
      </c>
      <c r="D1395" s="1422">
        <f>D1392+D1388</f>
        <v>28587865.57702329</v>
      </c>
      <c r="E1395" s="1422">
        <f>E1392+E1388</f>
        <v>31343566.296647213</v>
      </c>
    </row>
    <row r="1396" spans="1:5" ht="21.9" hidden="1" customHeight="1" outlineLevel="1">
      <c r="B1396" s="1368"/>
      <c r="C1396" s="1368"/>
      <c r="D1396" s="1368"/>
      <c r="E1396" s="1368"/>
    </row>
    <row r="1397" spans="1:5" ht="21.9" hidden="1" customHeight="1" outlineLevel="1">
      <c r="A1397" s="1408" t="s">
        <v>1024</v>
      </c>
      <c r="B1397" s="1368"/>
      <c r="C1397" s="1368"/>
      <c r="D1397" s="1368"/>
      <c r="E1397" s="1368"/>
    </row>
    <row r="1398" spans="1:5" ht="21.9" hidden="1" customHeight="1" outlineLevel="1">
      <c r="A1398" s="1369" t="s">
        <v>878</v>
      </c>
      <c r="B1398" s="1412" t="s">
        <v>1671</v>
      </c>
      <c r="C1398" s="1412" t="s">
        <v>1680</v>
      </c>
      <c r="D1398" s="1371" t="s">
        <v>859</v>
      </c>
      <c r="E1398" s="1372"/>
    </row>
    <row r="1399" spans="1:5" ht="21.9" hidden="1" customHeight="1" outlineLevel="1">
      <c r="A1399" s="1373"/>
      <c r="B1399" s="1374"/>
      <c r="C1399" s="1374"/>
      <c r="D1399" s="1413" t="s">
        <v>861</v>
      </c>
      <c r="E1399" s="1413" t="s">
        <v>1672</v>
      </c>
    </row>
    <row r="1400" spans="1:5" ht="21.9" hidden="1" customHeight="1" outlineLevel="1">
      <c r="A1400" s="1382" t="s">
        <v>890</v>
      </c>
      <c r="B1400" s="1422">
        <v>17084992.600000001</v>
      </c>
      <c r="C1400" s="1422">
        <f>SUM(C1401:C1403)</f>
        <v>7044812.5999999996</v>
      </c>
      <c r="D1400" s="1422">
        <f>SUM(D1401:D1403)</f>
        <v>7722706.734903085</v>
      </c>
      <c r="E1400" s="1422">
        <f>SUM(E1401:E1403)</f>
        <v>8467129.8695886396</v>
      </c>
    </row>
    <row r="1401" spans="1:5" ht="21.9" hidden="1" customHeight="1" outlineLevel="1">
      <c r="A1401" s="1393" t="s">
        <v>880</v>
      </c>
      <c r="B1401" s="1414"/>
      <c r="C1401" s="1414"/>
      <c r="D1401" s="1414">
        <f>C1401*1.0962259996672</f>
        <v>0</v>
      </c>
      <c r="E1401" s="1414">
        <f>D1401*1.09639407014138</f>
        <v>0</v>
      </c>
    </row>
    <row r="1402" spans="1:5" ht="21.9" hidden="1" customHeight="1" outlineLevel="1">
      <c r="A1402" s="1393" t="s">
        <v>881</v>
      </c>
      <c r="B1402" s="1414">
        <v>15286992.600000001</v>
      </c>
      <c r="C1402" s="1414">
        <f>'Itemized Budget 2024-25'!L3113</f>
        <v>7044812.5999999996</v>
      </c>
      <c r="D1402" s="1414">
        <f>C1402*1.0962259996672</f>
        <v>7722706.734903085</v>
      </c>
      <c r="E1402" s="1414">
        <f>D1402*1.09639407014138</f>
        <v>8467129.8695886396</v>
      </c>
    </row>
    <row r="1403" spans="1:5" ht="21.9" hidden="1" customHeight="1" outlineLevel="1">
      <c r="A1403" s="1393" t="s">
        <v>882</v>
      </c>
      <c r="B1403" s="1414">
        <v>1798000</v>
      </c>
      <c r="C1403" s="1414"/>
      <c r="D1403" s="1414">
        <f>C1403*1.0962259996672</f>
        <v>0</v>
      </c>
      <c r="E1403" s="1414">
        <f>D1403*1.09639407014138</f>
        <v>0</v>
      </c>
    </row>
    <row r="1404" spans="1:5" ht="21.9" hidden="1" customHeight="1" outlineLevel="1">
      <c r="A1404" s="1382" t="s">
        <v>883</v>
      </c>
      <c r="B1404" s="1422">
        <v>6474899.4000000004</v>
      </c>
      <c r="C1404" s="1422">
        <f>SUM(C1405:C1406)</f>
        <v>0</v>
      </c>
      <c r="D1404" s="1422">
        <f>SUM(D1405:D1406)</f>
        <v>0</v>
      </c>
      <c r="E1404" s="1422">
        <f>SUM(E1405:E1406)</f>
        <v>0</v>
      </c>
    </row>
    <row r="1405" spans="1:5" ht="21.9" hidden="1" customHeight="1" outlineLevel="1">
      <c r="A1405" s="1393" t="s">
        <v>891</v>
      </c>
      <c r="B1405" s="1414">
        <v>6474899.4000000004</v>
      </c>
      <c r="C1405" s="1414">
        <f>'Itemized Budget 2024-25'!L3119</f>
        <v>0</v>
      </c>
      <c r="D1405" s="1414">
        <f>C1405*1.0962259996672</f>
        <v>0</v>
      </c>
      <c r="E1405" s="1414">
        <f>D1405*1.09639407014138</f>
        <v>0</v>
      </c>
    </row>
    <row r="1406" spans="1:5" ht="21.9" hidden="1" customHeight="1" outlineLevel="1">
      <c r="A1406" s="1393" t="s">
        <v>892</v>
      </c>
      <c r="B1406" s="1414"/>
      <c r="C1406" s="1414"/>
      <c r="D1406" s="1414">
        <f>C1406*1.0962259996672</f>
        <v>0</v>
      </c>
      <c r="E1406" s="1414">
        <f>D1406*1.09639407014138</f>
        <v>0</v>
      </c>
    </row>
    <row r="1407" spans="1:5" ht="21.9" hidden="1" customHeight="1" outlineLevel="1">
      <c r="A1407" s="1382" t="s">
        <v>893</v>
      </c>
      <c r="B1407" s="1422">
        <v>23559892</v>
      </c>
      <c r="C1407" s="1422">
        <f>C1404+C1400</f>
        <v>7044812.5999999996</v>
      </c>
      <c r="D1407" s="1422">
        <f>D1404+D1400</f>
        <v>7722706.734903085</v>
      </c>
      <c r="E1407" s="1422">
        <f>E1404+E1400</f>
        <v>8467129.8695886396</v>
      </c>
    </row>
    <row r="1408" spans="1:5" ht="21.9" hidden="1" customHeight="1" outlineLevel="1">
      <c r="A1408" s="1366"/>
      <c r="B1408" s="1419"/>
      <c r="C1408" s="1419"/>
      <c r="D1408" s="1419"/>
      <c r="E1408" s="1419"/>
    </row>
    <row r="1409" spans="1:5" ht="21.9" hidden="1" customHeight="1" outlineLevel="1">
      <c r="A1409" s="1366"/>
      <c r="B1409" s="1419"/>
      <c r="C1409" s="1419"/>
      <c r="D1409" s="1419"/>
      <c r="E1409" s="1419"/>
    </row>
    <row r="1410" spans="1:5" ht="21.9" hidden="1" customHeight="1" outlineLevel="1">
      <c r="A1410" s="1408" t="s">
        <v>1011</v>
      </c>
      <c r="B1410" s="1368"/>
      <c r="C1410" s="1368"/>
      <c r="D1410" s="1368"/>
      <c r="E1410" s="1368"/>
    </row>
    <row r="1411" spans="1:5" ht="21.9" hidden="1" customHeight="1" outlineLevel="1">
      <c r="A1411" s="1408" t="s">
        <v>1025</v>
      </c>
      <c r="B1411" s="1368"/>
      <c r="C1411" s="1368"/>
      <c r="D1411" s="1368"/>
      <c r="E1411" s="1368"/>
    </row>
    <row r="1412" spans="1:5" ht="21.9" hidden="1" customHeight="1" outlineLevel="1">
      <c r="A1412" s="1369" t="s">
        <v>878</v>
      </c>
      <c r="B1412" s="1412" t="s">
        <v>1671</v>
      </c>
      <c r="C1412" s="1412" t="s">
        <v>1680</v>
      </c>
      <c r="D1412" s="1371" t="s">
        <v>859</v>
      </c>
      <c r="E1412" s="1372"/>
    </row>
    <row r="1413" spans="1:5" ht="21.9" hidden="1" customHeight="1" outlineLevel="1">
      <c r="A1413" s="1373"/>
      <c r="B1413" s="1374"/>
      <c r="C1413" s="1374"/>
      <c r="D1413" s="1413" t="s">
        <v>861</v>
      </c>
      <c r="E1413" s="1413" t="s">
        <v>1672</v>
      </c>
    </row>
    <row r="1414" spans="1:5" s="1366" customFormat="1" ht="21.9" hidden="1" customHeight="1" outlineLevel="1">
      <c r="A1414" s="1382" t="s">
        <v>890</v>
      </c>
      <c r="B1414" s="1422">
        <v>7847294.3799999999</v>
      </c>
      <c r="C1414" s="1422">
        <f>SUM(C1415:C1417)</f>
        <v>13635782</v>
      </c>
      <c r="D1414" s="1422">
        <f>SUM(D1415:D1417)</f>
        <v>14947898.75419401</v>
      </c>
      <c r="E1414" s="1422">
        <f>SUM(E1415:E1417)</f>
        <v>16388787.555172034</v>
      </c>
    </row>
    <row r="1415" spans="1:5" ht="21.9" hidden="1" customHeight="1" outlineLevel="1">
      <c r="A1415" s="1393" t="s">
        <v>880</v>
      </c>
      <c r="B1415" s="1414"/>
      <c r="C1415" s="1414"/>
      <c r="D1415" s="1414">
        <f>C1415*1.0962259996672</f>
        <v>0</v>
      </c>
      <c r="E1415" s="1414">
        <f>D1415*1.09639407014138</f>
        <v>0</v>
      </c>
    </row>
    <row r="1416" spans="1:5" ht="21.9" hidden="1" customHeight="1" outlineLevel="1">
      <c r="A1416" s="1393" t="s">
        <v>881</v>
      </c>
      <c r="B1416" s="1414">
        <v>7412294.3799999999</v>
      </c>
      <c r="C1416" s="1414">
        <f>'Itemized Budget 2024-25'!L3152</f>
        <v>13635782</v>
      </c>
      <c r="D1416" s="1414">
        <f>C1416*1.0962259996672</f>
        <v>14947898.75419401</v>
      </c>
      <c r="E1416" s="1414">
        <f>D1416*1.09639407014138</f>
        <v>16388787.555172034</v>
      </c>
    </row>
    <row r="1417" spans="1:5" ht="21.9" hidden="1" customHeight="1" outlineLevel="1">
      <c r="A1417" s="1393" t="s">
        <v>882</v>
      </c>
      <c r="B1417" s="1414">
        <v>435000</v>
      </c>
      <c r="C1417" s="1414"/>
      <c r="D1417" s="1414">
        <f>C1417*1.0962259996672</f>
        <v>0</v>
      </c>
      <c r="E1417" s="1414">
        <f>D1417*1.09639407014138</f>
        <v>0</v>
      </c>
    </row>
    <row r="1418" spans="1:5" ht="21.9" hidden="1" customHeight="1" outlineLevel="1">
      <c r="A1418" s="1382" t="s">
        <v>883</v>
      </c>
      <c r="B1418" s="1422">
        <v>27715357.990000002</v>
      </c>
      <c r="C1418" s="1422">
        <f>SUM(C1419:C1420)</f>
        <v>8500000</v>
      </c>
      <c r="D1418" s="1422">
        <f>SUM(D1419:D1420)</f>
        <v>9317920.9971711989</v>
      </c>
      <c r="E1418" s="1422">
        <f>SUM(E1419:E1420)</f>
        <v>10216113.327344356</v>
      </c>
    </row>
    <row r="1419" spans="1:5" ht="21.9" hidden="1" customHeight="1" outlineLevel="1">
      <c r="A1419" s="1393" t="s">
        <v>891</v>
      </c>
      <c r="B1419" s="1414">
        <v>27715357.990000002</v>
      </c>
      <c r="C1419" s="1414">
        <f>'Itemized Budget 2024-25'!L3156</f>
        <v>8500000</v>
      </c>
      <c r="D1419" s="1414">
        <f>C1419*1.0962259996672</f>
        <v>9317920.9971711989</v>
      </c>
      <c r="E1419" s="1414">
        <f>D1419*1.09639407014138</f>
        <v>10216113.327344356</v>
      </c>
    </row>
    <row r="1420" spans="1:5" ht="21.9" hidden="1" customHeight="1" outlineLevel="1">
      <c r="A1420" s="1393" t="s">
        <v>892</v>
      </c>
      <c r="B1420" s="1414"/>
      <c r="C1420" s="1414"/>
      <c r="D1420" s="1414">
        <f>C1420*1.0962259996672</f>
        <v>0</v>
      </c>
      <c r="E1420" s="1414">
        <f>D1420*1.09639407014138</f>
        <v>0</v>
      </c>
    </row>
    <row r="1421" spans="1:5" ht="21.9" hidden="1" customHeight="1" outlineLevel="1">
      <c r="A1421" s="1382" t="s">
        <v>893</v>
      </c>
      <c r="B1421" s="1422">
        <v>35562652.370000005</v>
      </c>
      <c r="C1421" s="1422">
        <f>C1418+C1414</f>
        <v>22135782</v>
      </c>
      <c r="D1421" s="1422">
        <f>D1418+D1414</f>
        <v>24265819.751365207</v>
      </c>
      <c r="E1421" s="1422">
        <f>E1418+E1414</f>
        <v>26604900.882516392</v>
      </c>
    </row>
    <row r="1422" spans="1:5" ht="21.9" hidden="1" customHeight="1" outlineLevel="1">
      <c r="A1422" s="1366"/>
      <c r="B1422" s="1419"/>
      <c r="C1422" s="1419"/>
      <c r="D1422" s="1419"/>
      <c r="E1422" s="1419"/>
    </row>
    <row r="1423" spans="1:5" ht="21.9" hidden="1" customHeight="1" outlineLevel="1">
      <c r="A1423" s="1408" t="s">
        <v>1026</v>
      </c>
      <c r="B1423" s="1368"/>
      <c r="C1423" s="1368"/>
      <c r="D1423" s="1368"/>
      <c r="E1423" s="1368"/>
    </row>
    <row r="1424" spans="1:5" ht="21.9" hidden="1" customHeight="1" outlineLevel="1">
      <c r="A1424" s="1363" t="s">
        <v>1027</v>
      </c>
      <c r="B1424" s="1368"/>
      <c r="C1424" s="1368"/>
      <c r="D1424" s="1368"/>
      <c r="E1424" s="1368"/>
    </row>
    <row r="1425" spans="1:5" ht="21.9" hidden="1" customHeight="1" outlineLevel="1">
      <c r="A1425" s="1369" t="s">
        <v>878</v>
      </c>
      <c r="B1425" s="1412" t="s">
        <v>1671</v>
      </c>
      <c r="C1425" s="1412" t="s">
        <v>1680</v>
      </c>
      <c r="D1425" s="1371" t="s">
        <v>859</v>
      </c>
      <c r="E1425" s="1372"/>
    </row>
    <row r="1426" spans="1:5" ht="21.9" hidden="1" customHeight="1" outlineLevel="1">
      <c r="A1426" s="1373"/>
      <c r="B1426" s="1374"/>
      <c r="C1426" s="1374"/>
      <c r="D1426" s="1413" t="s">
        <v>861</v>
      </c>
      <c r="E1426" s="1413" t="s">
        <v>1672</v>
      </c>
    </row>
    <row r="1427" spans="1:5" s="1366" customFormat="1" ht="21.9" hidden="1" customHeight="1" outlineLevel="1">
      <c r="A1427" s="1382" t="s">
        <v>890</v>
      </c>
      <c r="B1427" s="1422">
        <v>881600</v>
      </c>
      <c r="C1427" s="1422">
        <f>SUM(C1428:C1430)</f>
        <v>14425100</v>
      </c>
      <c r="D1427" s="1422">
        <f>SUM(D1428:D1430)</f>
        <v>15813169.667799326</v>
      </c>
      <c r="E1427" s="1422">
        <f>SUM(E1428:E1430)</f>
        <v>17337465.453914717</v>
      </c>
    </row>
    <row r="1428" spans="1:5" ht="21.9" hidden="1" customHeight="1" outlineLevel="1">
      <c r="A1428" s="1393" t="s">
        <v>880</v>
      </c>
      <c r="B1428" s="1414"/>
      <c r="C1428" s="1414"/>
      <c r="D1428" s="1414">
        <f>C1428*1.0962259996672</f>
        <v>0</v>
      </c>
      <c r="E1428" s="1414">
        <f>D1428*1.09639407014138</f>
        <v>0</v>
      </c>
    </row>
    <row r="1429" spans="1:5" ht="21.9" hidden="1" customHeight="1" outlineLevel="1">
      <c r="A1429" s="1393" t="s">
        <v>881</v>
      </c>
      <c r="B1429" s="1414">
        <v>881600</v>
      </c>
      <c r="C1429" s="1414">
        <f>'Itemized Budget 2024-25'!L3185</f>
        <v>14425100</v>
      </c>
      <c r="D1429" s="1414">
        <f>C1429*1.0962259996672</f>
        <v>15813169.667799326</v>
      </c>
      <c r="E1429" s="1414">
        <f>D1429*1.09639407014138</f>
        <v>17337465.453914717</v>
      </c>
    </row>
    <row r="1430" spans="1:5" ht="21.9" hidden="1" customHeight="1" outlineLevel="1">
      <c r="A1430" s="1393" t="s">
        <v>882</v>
      </c>
      <c r="B1430" s="1414">
        <v>0</v>
      </c>
      <c r="C1430" s="1414">
        <v>0</v>
      </c>
      <c r="D1430" s="1414">
        <f>C1430*1.0962259996672</f>
        <v>0</v>
      </c>
      <c r="E1430" s="1414">
        <f>D1430*1.09639407014138</f>
        <v>0</v>
      </c>
    </row>
    <row r="1431" spans="1:5" ht="21.9" hidden="1" customHeight="1" outlineLevel="1">
      <c r="A1431" s="1382" t="s">
        <v>883</v>
      </c>
      <c r="B1431" s="1422">
        <v>0</v>
      </c>
      <c r="C1431" s="1422">
        <f>SUM(C1432:C1433)</f>
        <v>0</v>
      </c>
      <c r="D1431" s="1422">
        <f>SUM(D1432:D1433)</f>
        <v>0</v>
      </c>
      <c r="E1431" s="1422">
        <f>SUM(E1432:E1433)</f>
        <v>0</v>
      </c>
    </row>
    <row r="1432" spans="1:5" ht="21.9" hidden="1" customHeight="1" outlineLevel="1">
      <c r="A1432" s="1393" t="s">
        <v>891</v>
      </c>
      <c r="B1432" s="1414"/>
      <c r="C1432" s="1414"/>
      <c r="D1432" s="1414">
        <f>C1432*1.0962259996672</f>
        <v>0</v>
      </c>
      <c r="E1432" s="1414">
        <f>D1432*1.09639407014138</f>
        <v>0</v>
      </c>
    </row>
    <row r="1433" spans="1:5" ht="21.9" hidden="1" customHeight="1" outlineLevel="1">
      <c r="A1433" s="1393" t="s">
        <v>892</v>
      </c>
      <c r="B1433" s="1414">
        <v>0</v>
      </c>
      <c r="C1433" s="1414">
        <v>0</v>
      </c>
      <c r="D1433" s="1414">
        <f>C1433*1.0962259996672</f>
        <v>0</v>
      </c>
      <c r="E1433" s="1414">
        <f>D1433*1.09639407014138</f>
        <v>0</v>
      </c>
    </row>
    <row r="1434" spans="1:5" ht="21.9" hidden="1" customHeight="1" outlineLevel="1">
      <c r="A1434" s="1382" t="s">
        <v>893</v>
      </c>
      <c r="B1434" s="1422">
        <v>881600</v>
      </c>
      <c r="C1434" s="1422">
        <f>C1431+C1427</f>
        <v>14425100</v>
      </c>
      <c r="D1434" s="1422">
        <f>D1431+D1427</f>
        <v>15813169.667799326</v>
      </c>
      <c r="E1434" s="1422">
        <f>E1431+E1427</f>
        <v>17337465.453914717</v>
      </c>
    </row>
    <row r="1435" spans="1:5" ht="21.9" hidden="1" customHeight="1" outlineLevel="1">
      <c r="B1435" s="1368"/>
      <c r="C1435" s="1368"/>
      <c r="D1435" s="1368"/>
      <c r="E1435" s="1368"/>
    </row>
    <row r="1436" spans="1:5" ht="21.9" hidden="1" customHeight="1" outlineLevel="1">
      <c r="A1436" s="1363" t="s">
        <v>1028</v>
      </c>
      <c r="B1436" s="1368"/>
      <c r="C1436" s="1368"/>
      <c r="D1436" s="1368"/>
      <c r="E1436" s="1368"/>
    </row>
    <row r="1437" spans="1:5" ht="21.9" hidden="1" customHeight="1" outlineLevel="1">
      <c r="A1437" s="1369" t="s">
        <v>878</v>
      </c>
      <c r="B1437" s="1412" t="s">
        <v>1671</v>
      </c>
      <c r="C1437" s="1412" t="s">
        <v>1680</v>
      </c>
      <c r="D1437" s="1371" t="s">
        <v>859</v>
      </c>
      <c r="E1437" s="1372"/>
    </row>
    <row r="1438" spans="1:5" ht="21.9" hidden="1" customHeight="1" outlineLevel="1">
      <c r="A1438" s="1373"/>
      <c r="B1438" s="1374"/>
      <c r="C1438" s="1374"/>
      <c r="D1438" s="1413" t="s">
        <v>861</v>
      </c>
      <c r="E1438" s="1413" t="s">
        <v>1672</v>
      </c>
    </row>
    <row r="1439" spans="1:5" s="1366" customFormat="1" ht="21.9" hidden="1" customHeight="1" outlineLevel="1">
      <c r="A1439" s="1382" t="s">
        <v>890</v>
      </c>
      <c r="B1439" s="1422">
        <v>1571800</v>
      </c>
      <c r="C1439" s="1422">
        <f>SUM(C1440:C1442)</f>
        <v>2709280</v>
      </c>
      <c r="D1439" s="1422">
        <f>SUM(D1440:D1442)</f>
        <v>2969983.1763783512</v>
      </c>
      <c r="E1439" s="1422">
        <f>SUM(E1440:E1442)</f>
        <v>3256271.9430008843</v>
      </c>
    </row>
    <row r="1440" spans="1:5" ht="21.9" hidden="1" customHeight="1" outlineLevel="1">
      <c r="A1440" s="1393" t="s">
        <v>880</v>
      </c>
      <c r="B1440" s="1414"/>
      <c r="C1440" s="1414"/>
      <c r="D1440" s="1414">
        <f>C1440*1.0962259996672</f>
        <v>0</v>
      </c>
      <c r="E1440" s="1414">
        <f>D1440*1.09639407014138</f>
        <v>0</v>
      </c>
    </row>
    <row r="1441" spans="1:5" ht="21.9" hidden="1" customHeight="1" outlineLevel="1">
      <c r="A1441" s="1393" t="s">
        <v>881</v>
      </c>
      <c r="B1441" s="1414">
        <v>1571800</v>
      </c>
      <c r="C1441" s="1414">
        <f>'Itemized Budget 2024-25'!L3203</f>
        <v>2709280</v>
      </c>
      <c r="D1441" s="1414">
        <f>C1441*1.0962259996672</f>
        <v>2969983.1763783512</v>
      </c>
      <c r="E1441" s="1414">
        <f>D1441*1.09639407014138</f>
        <v>3256271.9430008843</v>
      </c>
    </row>
    <row r="1442" spans="1:5" ht="21.9" hidden="1" customHeight="1" outlineLevel="1">
      <c r="A1442" s="1393" t="s">
        <v>882</v>
      </c>
      <c r="B1442" s="1414"/>
      <c r="C1442" s="1414"/>
      <c r="D1442" s="1414">
        <f>C1442*1.0962259996672</f>
        <v>0</v>
      </c>
      <c r="E1442" s="1414">
        <f>D1442*1.09639407014138</f>
        <v>0</v>
      </c>
    </row>
    <row r="1443" spans="1:5" ht="21.9" hidden="1" customHeight="1" outlineLevel="1">
      <c r="A1443" s="1382" t="s">
        <v>883</v>
      </c>
      <c r="B1443" s="1422">
        <v>0</v>
      </c>
      <c r="C1443" s="1422">
        <f>SUM(C1444:C1445)</f>
        <v>0</v>
      </c>
      <c r="D1443" s="1422">
        <f>SUM(D1444:D1445)</f>
        <v>0</v>
      </c>
      <c r="E1443" s="1422">
        <f>SUM(E1444:E1445)</f>
        <v>0</v>
      </c>
    </row>
    <row r="1444" spans="1:5" ht="21.9" hidden="1" customHeight="1" outlineLevel="1">
      <c r="A1444" s="1393" t="s">
        <v>891</v>
      </c>
      <c r="B1444" s="1414"/>
      <c r="C1444" s="1414"/>
      <c r="D1444" s="1414">
        <f>C1444*1.0962259996672</f>
        <v>0</v>
      </c>
      <c r="E1444" s="1414">
        <f>D1444*1.09639407014138</f>
        <v>0</v>
      </c>
    </row>
    <row r="1445" spans="1:5" ht="21.9" hidden="1" customHeight="1" outlineLevel="1">
      <c r="A1445" s="1393" t="s">
        <v>892</v>
      </c>
      <c r="B1445" s="1414"/>
      <c r="C1445" s="1414"/>
      <c r="D1445" s="1414">
        <f>C1445*1.0962259996672</f>
        <v>0</v>
      </c>
      <c r="E1445" s="1414">
        <f>D1445*1.09639407014138</f>
        <v>0</v>
      </c>
    </row>
    <row r="1446" spans="1:5" ht="21.9" hidden="1" customHeight="1" outlineLevel="1">
      <c r="A1446" s="1382" t="s">
        <v>893</v>
      </c>
      <c r="B1446" s="1422">
        <v>1571800</v>
      </c>
      <c r="C1446" s="1422">
        <f>C1443+C1439</f>
        <v>2709280</v>
      </c>
      <c r="D1446" s="1422">
        <f>D1443+D1439</f>
        <v>2969983.1763783512</v>
      </c>
      <c r="E1446" s="1422">
        <f>E1443+E1439</f>
        <v>3256271.9430008843</v>
      </c>
    </row>
    <row r="1447" spans="1:5" ht="21.9" customHeight="1" collapsed="1">
      <c r="A1447" s="1366"/>
      <c r="B1447" s="1419"/>
      <c r="C1447" s="1419"/>
      <c r="D1447" s="1419"/>
      <c r="E1447" s="1419"/>
    </row>
    <row r="1448" spans="1:5" ht="21.9" customHeight="1">
      <c r="A1448" s="1366" t="s">
        <v>1280</v>
      </c>
      <c r="B1448" s="1367"/>
      <c r="C1448" s="1367"/>
    </row>
    <row r="1449" spans="1:5" ht="21.9" hidden="1" customHeight="1" outlineLevel="1">
      <c r="A1449" s="1407"/>
    </row>
    <row r="1450" spans="1:5" ht="21.9" hidden="1" customHeight="1" outlineLevel="1">
      <c r="A1450" s="1366" t="s">
        <v>1750</v>
      </c>
      <c r="B1450" s="1368"/>
      <c r="C1450" s="1368"/>
      <c r="D1450" s="1368"/>
      <c r="E1450" s="1368"/>
    </row>
    <row r="1451" spans="1:5" ht="21.9" hidden="1" customHeight="1" outlineLevel="1">
      <c r="A1451" s="1369" t="s">
        <v>856</v>
      </c>
      <c r="B1451" s="1412" t="s">
        <v>1671</v>
      </c>
      <c r="C1451" s="1370" t="s">
        <v>1680</v>
      </c>
      <c r="D1451" s="1371" t="s">
        <v>859</v>
      </c>
      <c r="E1451" s="1372"/>
    </row>
    <row r="1452" spans="1:5" ht="21.9" hidden="1" customHeight="1" outlineLevel="1">
      <c r="A1452" s="1373"/>
      <c r="B1452" s="1374"/>
      <c r="C1452" s="1374"/>
      <c r="D1452" s="1375" t="s">
        <v>861</v>
      </c>
      <c r="E1452" s="1375" t="s">
        <v>1672</v>
      </c>
    </row>
    <row r="1453" spans="1:5" ht="21.9" hidden="1" customHeight="1" outlineLevel="1">
      <c r="A1453" s="1376" t="s">
        <v>1029</v>
      </c>
      <c r="B1453" s="1381">
        <v>520576347.2554</v>
      </c>
      <c r="C1453" s="1381">
        <f>C1493</f>
        <v>377201962.72719043</v>
      </c>
      <c r="D1453" s="1381">
        <f>D1493</f>
        <v>413498598.66704422</v>
      </c>
      <c r="E1453" s="1381">
        <f>E1493</f>
        <v>453359618.37972099</v>
      </c>
    </row>
    <row r="1454" spans="1:5" ht="21.9" hidden="1" customHeight="1" outlineLevel="1">
      <c r="A1454" s="1378" t="s">
        <v>925</v>
      </c>
      <c r="B1454" s="1379">
        <v>520576347.2554</v>
      </c>
      <c r="C1454" s="1379">
        <f>C1453</f>
        <v>377201962.72719043</v>
      </c>
      <c r="D1454" s="1379">
        <f>D1453</f>
        <v>413498598.66704422</v>
      </c>
      <c r="E1454" s="1379">
        <f>E1453</f>
        <v>453359618.37972099</v>
      </c>
    </row>
    <row r="1455" spans="1:5" ht="21.9" hidden="1" customHeight="1" outlineLevel="1">
      <c r="A1455" s="1376" t="s">
        <v>1030</v>
      </c>
      <c r="B1455" s="1381">
        <v>28055576</v>
      </c>
      <c r="C1455" s="1381">
        <f>C1507</f>
        <v>21304968.25965178</v>
      </c>
      <c r="D1455" s="1381">
        <f>D1507</f>
        <v>23355060.128314737</v>
      </c>
      <c r="E1455" s="1381">
        <f>E1507</f>
        <v>25606474.075463634</v>
      </c>
    </row>
    <row r="1456" spans="1:5" ht="21.9" hidden="1" customHeight="1" outlineLevel="1">
      <c r="A1456" s="1378" t="s">
        <v>1031</v>
      </c>
      <c r="B1456" s="1379">
        <v>28055576</v>
      </c>
      <c r="C1456" s="1379">
        <f>C1455</f>
        <v>21304968.25965178</v>
      </c>
      <c r="D1456" s="1379">
        <f>D1455</f>
        <v>23355060.128314737</v>
      </c>
      <c r="E1456" s="1379">
        <f>E1455</f>
        <v>25606474.075463634</v>
      </c>
    </row>
    <row r="1457" spans="1:5" ht="21.9" hidden="1" customHeight="1" outlineLevel="1">
      <c r="A1457" s="1376" t="s">
        <v>1032</v>
      </c>
      <c r="B1457" s="1381">
        <v>8581991</v>
      </c>
      <c r="C1457" s="1381">
        <f>C1533</f>
        <v>9059852.5089217275</v>
      </c>
      <c r="D1457" s="1381">
        <f>D1533</f>
        <v>9931645.8734301105</v>
      </c>
      <c r="E1457" s="1381">
        <f>E1533</f>
        <v>10889050.646303104</v>
      </c>
    </row>
    <row r="1458" spans="1:5" ht="21.9" hidden="1" customHeight="1" outlineLevel="1">
      <c r="A1458" s="1378" t="s">
        <v>1033</v>
      </c>
      <c r="B1458" s="1379">
        <v>8581991</v>
      </c>
      <c r="C1458" s="1379">
        <f>C1457</f>
        <v>9059852.5089217275</v>
      </c>
      <c r="D1458" s="1379">
        <f>D1457</f>
        <v>9931645.8734301105</v>
      </c>
      <c r="E1458" s="1379">
        <f>E1457</f>
        <v>10889050.646303104</v>
      </c>
    </row>
    <row r="1459" spans="1:5" ht="21.9" hidden="1" customHeight="1" outlineLevel="1">
      <c r="A1459" s="1376" t="s">
        <v>1034</v>
      </c>
      <c r="B1459" s="1381">
        <v>44858218.99039185</v>
      </c>
      <c r="C1459" s="1381">
        <f>C1547</f>
        <v>87927883.184599996</v>
      </c>
      <c r="D1459" s="1381">
        <f>D1547</f>
        <v>96388831.642658904</v>
      </c>
      <c r="E1459" s="1381">
        <f>E1547</f>
        <v>105680657.85579604</v>
      </c>
    </row>
    <row r="1460" spans="1:5" ht="21.9" hidden="1" customHeight="1" outlineLevel="1">
      <c r="A1460" s="1376" t="s">
        <v>1035</v>
      </c>
      <c r="B1460" s="1381">
        <v>15216800</v>
      </c>
      <c r="C1460" s="1381">
        <f>C1520</f>
        <v>15129321.047798842</v>
      </c>
      <c r="D1460" s="1381">
        <f>D1520</f>
        <v>16585155.089909295</v>
      </c>
      <c r="E1460" s="1381">
        <f>E1520</f>
        <v>18183954.205813933</v>
      </c>
    </row>
    <row r="1461" spans="1:5" ht="21.9" hidden="1" customHeight="1" outlineLevel="1">
      <c r="A1461" s="1376" t="s">
        <v>1036</v>
      </c>
      <c r="B1461" s="1381">
        <v>10957200</v>
      </c>
      <c r="C1461" s="1381">
        <f>C1560</f>
        <v>6958400</v>
      </c>
      <c r="D1461" s="1381">
        <f>D1560</f>
        <v>7627978.996084244</v>
      </c>
      <c r="E1461" s="1381">
        <f>E1560</f>
        <v>8363311.6480230037</v>
      </c>
    </row>
    <row r="1462" spans="1:5" ht="21.9" hidden="1" customHeight="1" outlineLevel="1">
      <c r="A1462" s="1376" t="s">
        <v>1037</v>
      </c>
      <c r="B1462" s="1381">
        <v>21600400</v>
      </c>
      <c r="C1462" s="1381">
        <f>C1573</f>
        <v>13985354.997370809</v>
      </c>
      <c r="D1462" s="1381">
        <f>D1573</f>
        <v>15331109.762693485</v>
      </c>
      <c r="E1462" s="1381">
        <f>E1573</f>
        <v>16809019.652685679</v>
      </c>
    </row>
    <row r="1463" spans="1:5" ht="21.9" hidden="1" customHeight="1" outlineLevel="1">
      <c r="A1463" s="1376" t="s">
        <v>1038</v>
      </c>
      <c r="B1463" s="1381">
        <v>7849400</v>
      </c>
      <c r="C1463" s="1381">
        <f>C1585</f>
        <v>6808928.1916568363</v>
      </c>
      <c r="D1463" s="1381">
        <f>D1585</f>
        <v>7464124.1135611953</v>
      </c>
      <c r="E1463" s="1381">
        <f>E1585</f>
        <v>8183661.2519883635</v>
      </c>
    </row>
    <row r="1464" spans="1:5" s="1366" customFormat="1" ht="21.9" hidden="1" customHeight="1" outlineLevel="1">
      <c r="A1464" s="1378" t="s">
        <v>1039</v>
      </c>
      <c r="B1464" s="1379">
        <v>100482018.99039185</v>
      </c>
      <c r="C1464" s="1379">
        <f>SUM(C1459:C1463)</f>
        <v>130809887.42142649</v>
      </c>
      <c r="D1464" s="1379">
        <f>SUM(D1459:D1463)</f>
        <v>143397199.60490713</v>
      </c>
      <c r="E1464" s="1379">
        <f>SUM(E1459:E1463)</f>
        <v>157220604.61430702</v>
      </c>
    </row>
    <row r="1465" spans="1:5" ht="21.9" hidden="1" customHeight="1" outlineLevel="1">
      <c r="A1465" s="1382" t="s">
        <v>876</v>
      </c>
      <c r="B1465" s="1379">
        <v>657695933.24579179</v>
      </c>
      <c r="C1465" s="1379">
        <f>SUM(C1454,C1456,C1458,C1464)</f>
        <v>538376670.91719043</v>
      </c>
      <c r="D1465" s="1379">
        <f>SUM(D1454,D1456,D1458,D1464)</f>
        <v>590182504.27369618</v>
      </c>
      <c r="E1465" s="1379">
        <f>SUM(E1454,E1456,E1458,E1464)</f>
        <v>647075747.7157948</v>
      </c>
    </row>
    <row r="1466" spans="1:5" ht="21.9" hidden="1" customHeight="1" outlineLevel="1">
      <c r="A1466" s="1407"/>
    </row>
    <row r="1467" spans="1:5" ht="21.9" hidden="1" customHeight="1" outlineLevel="1">
      <c r="A1467" s="1407"/>
    </row>
    <row r="1468" spans="1:5" ht="21.9" hidden="1" customHeight="1" outlineLevel="1">
      <c r="A1468" s="1366" t="s">
        <v>903</v>
      </c>
      <c r="B1468" s="1367"/>
      <c r="C1468" s="1367"/>
      <c r="D1468" s="1367"/>
      <c r="E1468" s="1367"/>
    </row>
    <row r="1469" spans="1:5" ht="21.9" hidden="1" customHeight="1" outlineLevel="1">
      <c r="A1469" s="1369" t="s">
        <v>878</v>
      </c>
      <c r="B1469" s="1370" t="s">
        <v>1671</v>
      </c>
      <c r="C1469" s="1370" t="s">
        <v>1680</v>
      </c>
      <c r="D1469" s="1371" t="s">
        <v>859</v>
      </c>
      <c r="E1469" s="1372"/>
    </row>
    <row r="1470" spans="1:5" ht="21.9" hidden="1" customHeight="1" outlineLevel="1">
      <c r="A1470" s="1373"/>
      <c r="B1470" s="1374"/>
      <c r="C1470" s="1374"/>
      <c r="D1470" s="1375" t="s">
        <v>861</v>
      </c>
      <c r="E1470" s="1375" t="s">
        <v>1672</v>
      </c>
    </row>
    <row r="1471" spans="1:5" ht="21.9" hidden="1" customHeight="1" outlineLevel="1">
      <c r="A1471" s="1382" t="s">
        <v>890</v>
      </c>
      <c r="B1471" s="1379">
        <v>517739216.99579185</v>
      </c>
      <c r="C1471" s="1379">
        <f>SUM(C1472:C1474)</f>
        <v>443653372.36719036</v>
      </c>
      <c r="D1471" s="1379">
        <f>SUM(D1472:D1474)</f>
        <v>486344361.62894773</v>
      </c>
      <c r="E1471" s="1379">
        <f>SUM(E1472:E1474)</f>
        <v>533227669.69464397</v>
      </c>
    </row>
    <row r="1472" spans="1:5" ht="21.9" hidden="1" customHeight="1" outlineLevel="1">
      <c r="A1472" s="1393" t="s">
        <v>880</v>
      </c>
      <c r="B1472" s="1381">
        <v>323189953</v>
      </c>
      <c r="C1472" s="1381">
        <f>C1487+C1501+C1514+C1527+C1541+C1554+C1567+C1579</f>
        <v>221304940.5</v>
      </c>
      <c r="D1472" s="1381">
        <f>C1472*1.0962259996672</f>
        <v>242600229.63090271</v>
      </c>
      <c r="E1472" s="1381">
        <f>D1472*1.09639940701413</f>
        <v>265986747.90881351</v>
      </c>
    </row>
    <row r="1473" spans="1:5" ht="21.9" hidden="1" customHeight="1" outlineLevel="1">
      <c r="A1473" s="1393" t="s">
        <v>881</v>
      </c>
      <c r="B1473" s="1381">
        <v>185174463.99579185</v>
      </c>
      <c r="C1473" s="1381">
        <f t="shared" ref="C1473:C1474" si="38">C1488+C1502+C1515+C1528+C1542+C1555+C1568+C1580</f>
        <v>175235904.61128178</v>
      </c>
      <c r="D1473" s="1381">
        <f>C1473*1.0962259996672</f>
        <v>192098154.71008846</v>
      </c>
      <c r="E1473" s="1381">
        <f>D1473*1.09639940701413</f>
        <v>210616302.9126496</v>
      </c>
    </row>
    <row r="1474" spans="1:5" ht="21.9" hidden="1" customHeight="1" outlineLevel="1">
      <c r="A1474" s="1393" t="s">
        <v>882</v>
      </c>
      <c r="B1474" s="1381">
        <v>9374800</v>
      </c>
      <c r="C1474" s="1381">
        <f t="shared" si="38"/>
        <v>47112527.255908616</v>
      </c>
      <c r="D1474" s="1381">
        <f>C1474*1.0962259996672</f>
        <v>51645977.287956625</v>
      </c>
      <c r="E1474" s="1381">
        <f>D1474*1.09639940701413</f>
        <v>56624618.873180874</v>
      </c>
    </row>
    <row r="1475" spans="1:5" ht="21.9" hidden="1" customHeight="1" outlineLevel="1">
      <c r="A1475" s="1382" t="s">
        <v>883</v>
      </c>
      <c r="B1475" s="1379">
        <v>139956716.25</v>
      </c>
      <c r="C1475" s="1379">
        <f>SUM(C1476:C1477)</f>
        <v>94723298.549999997</v>
      </c>
      <c r="D1475" s="1379">
        <f>SUM(D1476:D1477)</f>
        <v>103838142.64474837</v>
      </c>
      <c r="E1475" s="1379">
        <f>SUM(E1476:E1477)</f>
        <v>113848078.02115077</v>
      </c>
    </row>
    <row r="1476" spans="1:5" ht="21.9" hidden="1" customHeight="1" outlineLevel="1">
      <c r="A1476" s="1393" t="s">
        <v>884</v>
      </c>
      <c r="B1476" s="1381">
        <v>139956716.25</v>
      </c>
      <c r="C1476" s="1381">
        <f>C1491+C1505+C1531+C1545+C1518+C1558+C1583+C1571</f>
        <v>94723298.549999997</v>
      </c>
      <c r="D1476" s="1381">
        <f>C1476*1.0962259996672</f>
        <v>103838142.64474837</v>
      </c>
      <c r="E1476" s="1381">
        <f>D1476*1.09639940701413</f>
        <v>113848078.02115077</v>
      </c>
    </row>
    <row r="1477" spans="1:5" ht="21.9" hidden="1" customHeight="1" outlineLevel="1">
      <c r="A1477" s="1393" t="s">
        <v>885</v>
      </c>
      <c r="B1477" s="1381">
        <v>0</v>
      </c>
      <c r="C1477" s="1381">
        <f>C1492+C1506+C1532+C1546+C1519+C1559+C1584+C1572</f>
        <v>0</v>
      </c>
      <c r="D1477" s="1381">
        <f>C1477*1.0962259996672</f>
        <v>0</v>
      </c>
      <c r="E1477" s="1381">
        <f>D1477*1.09639940701413</f>
        <v>0</v>
      </c>
    </row>
    <row r="1478" spans="1:5" ht="21.9" hidden="1" customHeight="1" outlineLevel="1">
      <c r="A1478" s="1382" t="s">
        <v>886</v>
      </c>
      <c r="B1478" s="1379">
        <v>657695933.24579191</v>
      </c>
      <c r="C1478" s="1379">
        <f>C1471+C1475</f>
        <v>538376670.91719031</v>
      </c>
      <c r="D1478" s="1379">
        <f>D1471+D1475</f>
        <v>590182504.27369606</v>
      </c>
      <c r="E1478" s="1379">
        <f>E1471+E1475</f>
        <v>647075747.7157948</v>
      </c>
    </row>
    <row r="1479" spans="1:5" ht="21.9" hidden="1" customHeight="1" outlineLevel="1">
      <c r="A1479" s="1407"/>
      <c r="B1479" s="1364">
        <v>6</v>
      </c>
    </row>
    <row r="1480" spans="1:5" ht="21.9" hidden="1" customHeight="1" outlineLevel="1">
      <c r="A1480" s="1366" t="s">
        <v>887</v>
      </c>
    </row>
    <row r="1481" spans="1:5" ht="21.9" hidden="1" customHeight="1" outlineLevel="1">
      <c r="A1481" s="1366"/>
    </row>
    <row r="1482" spans="1:5" ht="21.9" hidden="1" customHeight="1" outlineLevel="1">
      <c r="A1482" s="1366" t="s">
        <v>1040</v>
      </c>
    </row>
    <row r="1483" spans="1:5" ht="21.9" hidden="1" customHeight="1" outlineLevel="1">
      <c r="A1483" s="1363" t="s">
        <v>1041</v>
      </c>
    </row>
    <row r="1484" spans="1:5" ht="21.9" hidden="1" customHeight="1" outlineLevel="1">
      <c r="A1484" s="1369" t="s">
        <v>878</v>
      </c>
      <c r="B1484" s="1370" t="s">
        <v>1671</v>
      </c>
      <c r="C1484" s="1370" t="s">
        <v>1680</v>
      </c>
      <c r="D1484" s="1371" t="s">
        <v>859</v>
      </c>
      <c r="E1484" s="1372"/>
    </row>
    <row r="1485" spans="1:5" ht="21.9" hidden="1" customHeight="1" outlineLevel="1">
      <c r="A1485" s="1373"/>
      <c r="B1485" s="1374"/>
      <c r="C1485" s="1374"/>
      <c r="D1485" s="1375" t="s">
        <v>861</v>
      </c>
      <c r="E1485" s="1375" t="s">
        <v>1672</v>
      </c>
    </row>
    <row r="1486" spans="1:5" ht="21.9" hidden="1" customHeight="1" outlineLevel="1">
      <c r="A1486" s="1382" t="s">
        <v>890</v>
      </c>
      <c r="B1486" s="1379">
        <v>380619631.0054</v>
      </c>
      <c r="C1486" s="1379">
        <f>SUM(C1487:C1489)</f>
        <v>282478664.17719042</v>
      </c>
      <c r="D1486" s="1379">
        <f>SUM(D1487:D1489)</f>
        <v>309660456.02229583</v>
      </c>
      <c r="E1486" s="1379">
        <f>SUM(E1487:E1489)</f>
        <v>339511540.35857022</v>
      </c>
    </row>
    <row r="1487" spans="1:5" ht="21.9" hidden="1" customHeight="1" outlineLevel="1">
      <c r="A1487" s="1393" t="s">
        <v>880</v>
      </c>
      <c r="B1487" s="1381">
        <v>323189953</v>
      </c>
      <c r="C1487" s="1381">
        <f>'Itemized Budget 2024-25'!L3215+'Itemized Budget 2024-25'!L3217</f>
        <v>221304940.5</v>
      </c>
      <c r="D1487" s="1381">
        <f>C1487*1.0962259996672</f>
        <v>242600229.63090271</v>
      </c>
      <c r="E1487" s="1381">
        <f>D1487*1.09639940701413</f>
        <v>265986747.90881351</v>
      </c>
    </row>
    <row r="1488" spans="1:5" ht="21.9" hidden="1" customHeight="1" outlineLevel="1">
      <c r="A1488" s="1393" t="s">
        <v>881</v>
      </c>
      <c r="B1488" s="1381">
        <v>56414678.005400002</v>
      </c>
      <c r="C1488" s="1381">
        <f>'Itemized Budget 2024-25'!L3219+'Itemized Budget 2024-25'!L3222+'Itemized Budget 2024-25'!L3226+'Itemized Budget 2024-25'!L3231+'Itemized Budget 2024-25'!L3233+'Itemized Budget 2024-25'!L3237+'Itemized Budget 2024-25'!L3243+'Itemized Budget 2024-25'!L3246+'Itemized Budget 2024-25'!L3250+'Itemized Budget 2024-25'!L3252+'Itemized Budget 2024-25'!L3254</f>
        <v>18488428.8725904</v>
      </c>
      <c r="D1488" s="1381">
        <f>C1488*1.0962259996672</f>
        <v>20267496.423131332</v>
      </c>
      <c r="E1488" s="1381">
        <f>D1488*1.09639940701413</f>
        <v>22221271.059982195</v>
      </c>
    </row>
    <row r="1489" spans="1:5" ht="21.9" hidden="1" customHeight="1" outlineLevel="1">
      <c r="A1489" s="1393" t="s">
        <v>882</v>
      </c>
      <c r="B1489" s="1381">
        <v>1015000</v>
      </c>
      <c r="C1489" s="1381">
        <f>'Itemized Budget 2024-25'!L3257+'Itemized Budget 2024-25'!L3261+'Itemized Budget 2024-25'!L3265</f>
        <v>42685294.8046</v>
      </c>
      <c r="D1489" s="1381">
        <f>C1489*1.0962259996672</f>
        <v>46792729.968261771</v>
      </c>
      <c r="E1489" s="1381">
        <f>D1489*1.09639940701413</f>
        <v>51303521.389774516</v>
      </c>
    </row>
    <row r="1490" spans="1:5" ht="21.9" hidden="1" customHeight="1" outlineLevel="1">
      <c r="A1490" s="1382" t="s">
        <v>883</v>
      </c>
      <c r="B1490" s="1379">
        <v>139956716.25</v>
      </c>
      <c r="C1490" s="1379">
        <f>SUM(C1491:C1492)</f>
        <v>94723298.549999997</v>
      </c>
      <c r="D1490" s="1379">
        <f>SUM(D1491:D1492)</f>
        <v>103838142.64474837</v>
      </c>
      <c r="E1490" s="1379">
        <f>SUM(E1491:E1492)</f>
        <v>113848078.02115077</v>
      </c>
    </row>
    <row r="1491" spans="1:5" ht="21.9" hidden="1" customHeight="1" outlineLevel="1">
      <c r="A1491" s="1393" t="s">
        <v>891</v>
      </c>
      <c r="B1491" s="1381">
        <v>139956716.25</v>
      </c>
      <c r="C1491" s="1381">
        <f>'Itemized Budget 2024-25'!L3273</f>
        <v>94723298.549999997</v>
      </c>
      <c r="D1491" s="1381">
        <f>C1491*1.0962259996672</f>
        <v>103838142.64474837</v>
      </c>
      <c r="E1491" s="1381">
        <f>D1491*1.09639940701413</f>
        <v>113848078.02115077</v>
      </c>
    </row>
    <row r="1492" spans="1:5" ht="21.9" hidden="1" customHeight="1" outlineLevel="1">
      <c r="A1492" s="1393" t="s">
        <v>892</v>
      </c>
      <c r="B1492" s="1381"/>
      <c r="C1492" s="1381"/>
      <c r="D1492" s="1381">
        <f>C1492*1.0962259996672</f>
        <v>0</v>
      </c>
      <c r="E1492" s="1381">
        <f>D1492*1.09639940701413</f>
        <v>0</v>
      </c>
    </row>
    <row r="1493" spans="1:5" ht="21.9" hidden="1" customHeight="1" outlineLevel="1">
      <c r="A1493" s="1382" t="s">
        <v>893</v>
      </c>
      <c r="B1493" s="1379">
        <v>520576347.2554</v>
      </c>
      <c r="C1493" s="1379">
        <f>SUM(C1486,C1490)</f>
        <v>377201962.72719043</v>
      </c>
      <c r="D1493" s="1379">
        <f>SUM(D1486,D1490)</f>
        <v>413498598.66704422</v>
      </c>
      <c r="E1493" s="1379">
        <f>SUM(E1486,E1490)</f>
        <v>453359618.37972099</v>
      </c>
    </row>
    <row r="1494" spans="1:5" ht="21.9" hidden="1" customHeight="1" outlineLevel="1"/>
    <row r="1495" spans="1:5" ht="21.9" hidden="1" customHeight="1" outlineLevel="1">
      <c r="A1495" s="1363" t="s">
        <v>1042</v>
      </c>
    </row>
    <row r="1496" spans="1:5" ht="21.9" hidden="1" customHeight="1" outlineLevel="1">
      <c r="A1496" s="1366" t="s">
        <v>1043</v>
      </c>
    </row>
    <row r="1497" spans="1:5" ht="21.9" hidden="1" customHeight="1" outlineLevel="1">
      <c r="A1497" s="1363" t="s">
        <v>1044</v>
      </c>
    </row>
    <row r="1498" spans="1:5" ht="21.9" hidden="1" customHeight="1" outlineLevel="1">
      <c r="A1498" s="1369" t="s">
        <v>878</v>
      </c>
      <c r="B1498" s="1370" t="s">
        <v>857</v>
      </c>
      <c r="C1498" s="1370" t="s">
        <v>1680</v>
      </c>
      <c r="D1498" s="1371" t="s">
        <v>859</v>
      </c>
      <c r="E1498" s="1372"/>
    </row>
    <row r="1499" spans="1:5" ht="21.9" hidden="1" customHeight="1" outlineLevel="1">
      <c r="A1499" s="1373"/>
      <c r="B1499" s="1374"/>
      <c r="C1499" s="1374"/>
      <c r="D1499" s="1375" t="s">
        <v>861</v>
      </c>
      <c r="E1499" s="1375" t="s">
        <v>1672</v>
      </c>
    </row>
    <row r="1500" spans="1:5" ht="21.9" hidden="1" customHeight="1" outlineLevel="1">
      <c r="A1500" s="1382" t="s">
        <v>890</v>
      </c>
      <c r="B1500" s="1379">
        <v>28055576</v>
      </c>
      <c r="C1500" s="1379">
        <f>SUM(C1501:C1503)</f>
        <v>21304968.25965178</v>
      </c>
      <c r="D1500" s="1379">
        <f>SUM(D1501:D1503)</f>
        <v>23355060.128314737</v>
      </c>
      <c r="E1500" s="1379">
        <f>SUM(E1501:E1503)</f>
        <v>25606474.075463634</v>
      </c>
    </row>
    <row r="1501" spans="1:5" ht="21.9" hidden="1" customHeight="1" outlineLevel="1">
      <c r="A1501" s="1393" t="s">
        <v>880</v>
      </c>
      <c r="B1501" s="1381"/>
      <c r="C1501" s="1381"/>
      <c r="D1501" s="1381">
        <f>C1501*1.0962259996672</f>
        <v>0</v>
      </c>
      <c r="E1501" s="1381">
        <f>D1501*1.09639940701413</f>
        <v>0</v>
      </c>
    </row>
    <row r="1502" spans="1:5" ht="21.9" hidden="1" customHeight="1" outlineLevel="1">
      <c r="A1502" s="1393" t="s">
        <v>881</v>
      </c>
      <c r="B1502" s="1381">
        <v>27359576</v>
      </c>
      <c r="C1502" s="1381">
        <f>'Itemized Budget 2024-25'!L3279+'Itemized Budget 2024-25'!L3282+'Itemized Budget 2024-25'!L3284+'Itemized Budget 2024-25'!L3289+'Itemized Budget 2024-25'!L3293+'Itemized Budget 2024-25'!L3299+'Itemized Budget 2024-25'!L3303+'Itemized Budget 2024-25'!L3305+'Itemized Budget 2024-25'!L3307</f>
        <v>20177400</v>
      </c>
      <c r="D1502" s="1381">
        <f>C1502*1.0962259996672</f>
        <v>22118990.485684961</v>
      </c>
      <c r="E1502" s="1381">
        <f>D1502*1.09639940701413</f>
        <v>24251248.052256178</v>
      </c>
    </row>
    <row r="1503" spans="1:5" ht="21.9" hidden="1" customHeight="1" outlineLevel="1">
      <c r="A1503" s="1393" t="s">
        <v>882</v>
      </c>
      <c r="B1503" s="1381">
        <v>696000</v>
      </c>
      <c r="C1503" s="1381">
        <f>'Itemized Budget 2024-25'!L3310+'Itemized Budget 2024-25'!L3312+'Itemized Budget 2024-25'!L3314</f>
        <v>1127568.2596517799</v>
      </c>
      <c r="D1503" s="1381">
        <f>C1503*1.0962259996672</f>
        <v>1236069.6426297773</v>
      </c>
      <c r="E1503" s="1381">
        <f>D1503*1.09639940701413</f>
        <v>1355226.0232074556</v>
      </c>
    </row>
    <row r="1504" spans="1:5" ht="21.9" hidden="1" customHeight="1" outlineLevel="1">
      <c r="A1504" s="1382" t="s">
        <v>883</v>
      </c>
      <c r="B1504" s="1379">
        <v>0</v>
      </c>
      <c r="C1504" s="1379">
        <f>SUM(C1505:C1506)</f>
        <v>0</v>
      </c>
      <c r="D1504" s="1379">
        <f>SUM(D1505:D1506)</f>
        <v>0</v>
      </c>
      <c r="E1504" s="1379">
        <f>SUM(E1505:E1506)</f>
        <v>0</v>
      </c>
    </row>
    <row r="1505" spans="1:5" ht="21.9" hidden="1" customHeight="1" outlineLevel="1">
      <c r="A1505" s="1393" t="s">
        <v>891</v>
      </c>
      <c r="B1505" s="1381"/>
      <c r="C1505" s="1381">
        <f>'Itemized Budget 2024-25'!L3325</f>
        <v>0</v>
      </c>
      <c r="D1505" s="1381">
        <f>C1505*1.0962259996672</f>
        <v>0</v>
      </c>
      <c r="E1505" s="1381">
        <f>D1505*1.09639940701413</f>
        <v>0</v>
      </c>
    </row>
    <row r="1506" spans="1:5" ht="21.9" hidden="1" customHeight="1" outlineLevel="1">
      <c r="A1506" s="1393" t="s">
        <v>892</v>
      </c>
      <c r="B1506" s="1381"/>
      <c r="C1506" s="1381"/>
      <c r="D1506" s="1381">
        <f>C1506*1.0962259996672</f>
        <v>0</v>
      </c>
      <c r="E1506" s="1381">
        <f>D1506*1.09639940701413</f>
        <v>0</v>
      </c>
    </row>
    <row r="1507" spans="1:5" s="1435" customFormat="1" ht="21.9" hidden="1" customHeight="1" outlineLevel="1">
      <c r="A1507" s="1382" t="s">
        <v>893</v>
      </c>
      <c r="B1507" s="1379">
        <v>28055576</v>
      </c>
      <c r="C1507" s="1379">
        <f>SUM(C1500,C1504)</f>
        <v>21304968.25965178</v>
      </c>
      <c r="D1507" s="1379">
        <f>SUM(D1500,D1504)</f>
        <v>23355060.128314737</v>
      </c>
      <c r="E1507" s="1379">
        <f>SUM(E1500,E1504)</f>
        <v>25606474.075463634</v>
      </c>
    </row>
    <row r="1508" spans="1:5" ht="21.9" hidden="1" customHeight="1" outlineLevel="1"/>
    <row r="1509" spans="1:5" ht="21.9" hidden="1" customHeight="1" outlineLevel="1"/>
    <row r="1510" spans="1:5" s="1366" customFormat="1" ht="21.9" hidden="1" customHeight="1" outlineLevel="1">
      <c r="A1510" s="1408" t="s">
        <v>1045</v>
      </c>
      <c r="B1510" s="1367"/>
      <c r="C1510" s="1367"/>
      <c r="D1510" s="1367"/>
      <c r="E1510" s="1367"/>
    </row>
    <row r="1511" spans="1:5" ht="21.9" hidden="1" customHeight="1" outlineLevel="1">
      <c r="A1511" s="1369" t="s">
        <v>878</v>
      </c>
      <c r="B1511" s="1370" t="s">
        <v>857</v>
      </c>
      <c r="C1511" s="1370" t="s">
        <v>1680</v>
      </c>
      <c r="D1511" s="1371" t="s">
        <v>859</v>
      </c>
      <c r="E1511" s="1372"/>
    </row>
    <row r="1512" spans="1:5" ht="21.9" hidden="1" customHeight="1" outlineLevel="1">
      <c r="A1512" s="1373"/>
      <c r="B1512" s="1374"/>
      <c r="C1512" s="1374"/>
      <c r="D1512" s="1375" t="s">
        <v>861</v>
      </c>
      <c r="E1512" s="1375" t="s">
        <v>1672</v>
      </c>
    </row>
    <row r="1513" spans="1:5" ht="21.9" hidden="1" customHeight="1" outlineLevel="1">
      <c r="A1513" s="1382" t="s">
        <v>890</v>
      </c>
      <c r="B1513" s="1379">
        <v>15216800</v>
      </c>
      <c r="C1513" s="1379">
        <f>SUM(C1514:C1516)</f>
        <v>15129321.047798842</v>
      </c>
      <c r="D1513" s="1379">
        <f>SUM(D1514:D1516)</f>
        <v>16585155.089909295</v>
      </c>
      <c r="E1513" s="1379">
        <f>SUM(E1514:E1516)</f>
        <v>18183954.205813933</v>
      </c>
    </row>
    <row r="1514" spans="1:5" ht="21.9" hidden="1" customHeight="1" outlineLevel="1">
      <c r="A1514" s="1393" t="s">
        <v>880</v>
      </c>
      <c r="B1514" s="1381">
        <v>0</v>
      </c>
      <c r="C1514" s="1381">
        <f>0</f>
        <v>0</v>
      </c>
      <c r="D1514" s="1381">
        <f>C1514*1.0962259996672</f>
        <v>0</v>
      </c>
      <c r="E1514" s="1381">
        <f>D1514*1.09639940701413</f>
        <v>0</v>
      </c>
    </row>
    <row r="1515" spans="1:5" ht="21.9" hidden="1" customHeight="1" outlineLevel="1">
      <c r="A1515" s="1393" t="s">
        <v>881</v>
      </c>
      <c r="B1515" s="1381">
        <v>14955800</v>
      </c>
      <c r="C1515" s="1381">
        <f>'Itemized Budget 2024-25'!L3328+'Itemized Budget 2024-25'!L3330+'Itemized Budget 2024-25'!L3335+'Itemized Budget 2024-25'!L3338+'Itemized Budget 2024-25'!L3343+'Itemized Budget 2024-25'!L3346+'Itemized Budget 2024-25'!L3349+'Itemized Budget 2024-25'!L3351</f>
        <v>15129321.047798842</v>
      </c>
      <c r="D1515" s="1381">
        <f>C1515*1.0962259996672</f>
        <v>16585155.089909295</v>
      </c>
      <c r="E1515" s="1381">
        <f>D1515*1.09639940701413</f>
        <v>18183954.205813933</v>
      </c>
    </row>
    <row r="1516" spans="1:5" ht="21.9" hidden="1" customHeight="1" outlineLevel="1">
      <c r="A1516" s="1393" t="s">
        <v>882</v>
      </c>
      <c r="B1516" s="1381">
        <v>261000</v>
      </c>
      <c r="C1516" s="1381">
        <f>'Itemized Budget 2024-25'!L3353</f>
        <v>0</v>
      </c>
      <c r="D1516" s="1381">
        <f>C1516*1.0962259996672</f>
        <v>0</v>
      </c>
      <c r="E1516" s="1381">
        <f>D1516*1.09639940701413</f>
        <v>0</v>
      </c>
    </row>
    <row r="1517" spans="1:5" ht="21.9" hidden="1" customHeight="1" outlineLevel="1">
      <c r="A1517" s="1382" t="s">
        <v>883</v>
      </c>
      <c r="B1517" s="1379">
        <v>0</v>
      </c>
      <c r="C1517" s="1379">
        <f>SUM(C1518:C1519)</f>
        <v>0</v>
      </c>
      <c r="D1517" s="1379">
        <f>SUM(D1518:D1519)</f>
        <v>0</v>
      </c>
      <c r="E1517" s="1379">
        <f>SUM(E1518:E1519)</f>
        <v>0</v>
      </c>
    </row>
    <row r="1518" spans="1:5" ht="21.9" hidden="1" customHeight="1" outlineLevel="1">
      <c r="A1518" s="1393" t="s">
        <v>891</v>
      </c>
      <c r="B1518" s="1381">
        <v>0</v>
      </c>
      <c r="C1518" s="1381">
        <v>0</v>
      </c>
      <c r="D1518" s="1381">
        <f>C1518*1.0962259996672</f>
        <v>0</v>
      </c>
      <c r="E1518" s="1381">
        <f>D1518*1.09639940701413</f>
        <v>0</v>
      </c>
    </row>
    <row r="1519" spans="1:5" ht="21.9" hidden="1" customHeight="1" outlineLevel="1">
      <c r="A1519" s="1393" t="s">
        <v>892</v>
      </c>
      <c r="B1519" s="1381">
        <v>0</v>
      </c>
      <c r="C1519" s="1381">
        <v>0</v>
      </c>
      <c r="D1519" s="1381">
        <f>C1519*1.0962259996672</f>
        <v>0</v>
      </c>
      <c r="E1519" s="1381">
        <f>D1519*1.09639940701413</f>
        <v>0</v>
      </c>
    </row>
    <row r="1520" spans="1:5" ht="21.9" hidden="1" customHeight="1" outlineLevel="1">
      <c r="A1520" s="1382" t="s">
        <v>893</v>
      </c>
      <c r="B1520" s="1379">
        <v>15216800</v>
      </c>
      <c r="C1520" s="1379">
        <f>SUM(C1513,C1517)</f>
        <v>15129321.047798842</v>
      </c>
      <c r="D1520" s="1379">
        <f>SUM(D1513,D1517)</f>
        <v>16585155.089909295</v>
      </c>
      <c r="E1520" s="1379">
        <f>SUM(E1513,E1517)</f>
        <v>18183954.205813933</v>
      </c>
    </row>
    <row r="1521" spans="1:5" ht="21.9" hidden="1" customHeight="1" outlineLevel="1"/>
    <row r="1522" spans="1:5" ht="21.9" hidden="1" customHeight="1" outlineLevel="1">
      <c r="A1522" s="1366" t="s">
        <v>1046</v>
      </c>
    </row>
    <row r="1523" spans="1:5" ht="21.9" hidden="1" customHeight="1" outlineLevel="1">
      <c r="A1523" s="1363" t="s">
        <v>1047</v>
      </c>
    </row>
    <row r="1524" spans="1:5" ht="21.9" hidden="1" customHeight="1" outlineLevel="1">
      <c r="A1524" s="1369" t="s">
        <v>878</v>
      </c>
      <c r="B1524" s="1370" t="s">
        <v>857</v>
      </c>
      <c r="C1524" s="1370" t="s">
        <v>1680</v>
      </c>
      <c r="D1524" s="1371" t="s">
        <v>859</v>
      </c>
      <c r="E1524" s="1372"/>
    </row>
    <row r="1525" spans="1:5" ht="21.9" hidden="1" customHeight="1" outlineLevel="1">
      <c r="A1525" s="1373"/>
      <c r="B1525" s="1374"/>
      <c r="C1525" s="1374"/>
      <c r="D1525" s="1375" t="s">
        <v>861</v>
      </c>
      <c r="E1525" s="1375" t="s">
        <v>1672</v>
      </c>
    </row>
    <row r="1526" spans="1:5" ht="21.9" hidden="1" customHeight="1" outlineLevel="1">
      <c r="A1526" s="1382" t="s">
        <v>890</v>
      </c>
      <c r="B1526" s="1379">
        <v>8581991</v>
      </c>
      <c r="C1526" s="1379">
        <f>SUM(C1527:C1529)</f>
        <v>9059852.5089217275</v>
      </c>
      <c r="D1526" s="1379">
        <f>SUM(D1527:D1529)</f>
        <v>9931645.8734301105</v>
      </c>
      <c r="E1526" s="1379">
        <f>SUM(E1527:E1529)</f>
        <v>10889050.646303104</v>
      </c>
    </row>
    <row r="1527" spans="1:5" ht="21.9" hidden="1" customHeight="1" outlineLevel="1">
      <c r="A1527" s="1393" t="s">
        <v>880</v>
      </c>
      <c r="B1527" s="1381">
        <v>0</v>
      </c>
      <c r="C1527" s="1381"/>
      <c r="D1527" s="1381">
        <f>C1527*1.0962259996672</f>
        <v>0</v>
      </c>
      <c r="E1527" s="1381">
        <f>D1527*1.09639940701413</f>
        <v>0</v>
      </c>
    </row>
    <row r="1528" spans="1:5" ht="21.9" hidden="1" customHeight="1" outlineLevel="1">
      <c r="A1528" s="1393" t="s">
        <v>881</v>
      </c>
      <c r="B1528" s="1381">
        <v>8494991</v>
      </c>
      <c r="C1528" s="1381">
        <f>'Itemized Budget 2024-25'!L3359+'Itemized Budget 2024-25'!L3361+'Itemized Budget 2024-25'!L3366+'Itemized Budget 2024-25'!L3370+'Itemized Budget 2024-25'!L3375+'Itemized Budget 2024-25'!L3378+'Itemized Budget 2024-25'!L3380</f>
        <v>8674652.5089217275</v>
      </c>
      <c r="D1528" s="1381">
        <f>C1528*1.0962259996672</f>
        <v>9509379.6183583047</v>
      </c>
      <c r="E1528" s="1381">
        <f>D1528*1.09639940701413</f>
        <v>10426078.1746403</v>
      </c>
    </row>
    <row r="1529" spans="1:5" ht="21.9" hidden="1" customHeight="1" outlineLevel="1">
      <c r="A1529" s="1393" t="s">
        <v>882</v>
      </c>
      <c r="B1529" s="1381">
        <v>87000</v>
      </c>
      <c r="C1529" s="1381">
        <f>'Itemized Budget 2024-25'!L3383</f>
        <v>385200</v>
      </c>
      <c r="D1529" s="1381">
        <f>C1529*1.0962259996672</f>
        <v>422266.25507180538</v>
      </c>
      <c r="E1529" s="1381">
        <f>D1529*1.09639940701413</f>
        <v>462972.47166280483</v>
      </c>
    </row>
    <row r="1530" spans="1:5" ht="21.9" hidden="1" customHeight="1" outlineLevel="1">
      <c r="A1530" s="1401" t="s">
        <v>883</v>
      </c>
      <c r="B1530" s="1381">
        <v>0</v>
      </c>
      <c r="C1530" s="1381">
        <f>SUM(C1531:C1532)</f>
        <v>0</v>
      </c>
      <c r="D1530" s="1381">
        <f>SUM(D1531:D1532)</f>
        <v>0</v>
      </c>
      <c r="E1530" s="1381">
        <f>SUM(E1531:E1532)</f>
        <v>0</v>
      </c>
    </row>
    <row r="1531" spans="1:5" ht="21.9" hidden="1" customHeight="1" outlineLevel="1">
      <c r="A1531" s="1393" t="s">
        <v>891</v>
      </c>
      <c r="B1531" s="1381"/>
      <c r="C1531" s="1381"/>
      <c r="D1531" s="1381">
        <f>C1531*1.0962259996672</f>
        <v>0</v>
      </c>
      <c r="E1531" s="1381">
        <f>D1531*1.09639940701413</f>
        <v>0</v>
      </c>
    </row>
    <row r="1532" spans="1:5" ht="21.9" hidden="1" customHeight="1" outlineLevel="1">
      <c r="A1532" s="1393" t="s">
        <v>892</v>
      </c>
      <c r="B1532" s="1381">
        <v>0</v>
      </c>
      <c r="C1532" s="1381">
        <v>0</v>
      </c>
      <c r="D1532" s="1381">
        <f>C1532*1.0962259996672</f>
        <v>0</v>
      </c>
      <c r="E1532" s="1381">
        <f>D1532*1.09639940701413</f>
        <v>0</v>
      </c>
    </row>
    <row r="1533" spans="1:5" ht="21.9" hidden="1" customHeight="1" outlineLevel="1">
      <c r="A1533" s="1393" t="s">
        <v>893</v>
      </c>
      <c r="B1533" s="1379">
        <v>8581991</v>
      </c>
      <c r="C1533" s="1379">
        <f>SUM(C1526,C1530)</f>
        <v>9059852.5089217275</v>
      </c>
      <c r="D1533" s="1379">
        <f>SUM(D1526,D1530)</f>
        <v>9931645.8734301105</v>
      </c>
      <c r="E1533" s="1379">
        <f>SUM(E1526,E1530)</f>
        <v>10889050.646303104</v>
      </c>
    </row>
    <row r="1534" spans="1:5" ht="21.9" hidden="1" customHeight="1" outlineLevel="1">
      <c r="B1534" s="1367"/>
      <c r="C1534" s="1367"/>
      <c r="D1534" s="1367"/>
      <c r="E1534" s="1367"/>
    </row>
    <row r="1535" spans="1:5" ht="21.9" hidden="1" customHeight="1" outlineLevel="1">
      <c r="B1535" s="1367"/>
      <c r="C1535" s="1367"/>
      <c r="D1535" s="1367"/>
      <c r="E1535" s="1367"/>
    </row>
    <row r="1536" spans="1:5" ht="21.9" hidden="1" customHeight="1" outlineLevel="1">
      <c r="A1536" s="1408" t="s">
        <v>1048</v>
      </c>
    </row>
    <row r="1537" spans="1:5" ht="21.9" hidden="1" customHeight="1" outlineLevel="1">
      <c r="A1537" s="1363" t="s">
        <v>1049</v>
      </c>
    </row>
    <row r="1538" spans="1:5" ht="21.9" hidden="1" customHeight="1" outlineLevel="1">
      <c r="A1538" s="1369" t="s">
        <v>878</v>
      </c>
      <c r="B1538" s="1370" t="s">
        <v>857</v>
      </c>
      <c r="C1538" s="1370" t="s">
        <v>1680</v>
      </c>
      <c r="D1538" s="1371" t="s">
        <v>859</v>
      </c>
      <c r="E1538" s="1372"/>
    </row>
    <row r="1539" spans="1:5" ht="21.9" hidden="1" customHeight="1" outlineLevel="1">
      <c r="A1539" s="1373"/>
      <c r="B1539" s="1374"/>
      <c r="C1539" s="1374"/>
      <c r="D1539" s="1375" t="s">
        <v>860</v>
      </c>
      <c r="E1539" s="1375" t="s">
        <v>861</v>
      </c>
    </row>
    <row r="1540" spans="1:5" ht="21.9" hidden="1" customHeight="1" outlineLevel="1">
      <c r="A1540" s="1382" t="s">
        <v>890</v>
      </c>
      <c r="B1540" s="1379">
        <v>44858218.99039185</v>
      </c>
      <c r="C1540" s="1379">
        <f>SUM(C1541:C1543)</f>
        <v>87927883.184599996</v>
      </c>
      <c r="D1540" s="1379">
        <f>SUM(D1541:D1543)</f>
        <v>96388831.642658904</v>
      </c>
      <c r="E1540" s="1379">
        <f>SUM(E1541:E1543)</f>
        <v>105680657.85579604</v>
      </c>
    </row>
    <row r="1541" spans="1:5" ht="21.9" hidden="1" customHeight="1" outlineLevel="1">
      <c r="A1541" s="1393" t="s">
        <v>880</v>
      </c>
      <c r="B1541" s="1381"/>
      <c r="C1541" s="1381"/>
      <c r="D1541" s="1381">
        <f>C1541*1.0962259996672</f>
        <v>0</v>
      </c>
      <c r="E1541" s="1381">
        <f>D1541*1.09639940701413</f>
        <v>0</v>
      </c>
    </row>
    <row r="1542" spans="1:5" ht="21.9" hidden="1" customHeight="1" outlineLevel="1">
      <c r="A1542" s="1393" t="s">
        <v>881</v>
      </c>
      <c r="B1542" s="1381">
        <v>43582218.99039185</v>
      </c>
      <c r="C1542" s="1381">
        <f>'Itemized Budget 2024-25'!L3396+'Itemized Budget 2024-25'!L3398+'Itemized Budget 2024-25'!L3404+'Itemized Budget 2024-25'!L3408+'Itemized Budget 2024-25'!L3412+'Itemized Budget 2024-25'!L3414+'Itemized Budget 2024-25'!L3418+'Itemized Budget 2024-25'!L3420+'Itemized Budget 2024-25'!L3424+'Itemized Budget 2024-25'!L3427</f>
        <v>86783883.184599996</v>
      </c>
      <c r="D1542" s="1381">
        <f>C1542*1.0962259996672</f>
        <v>95134749.099039629</v>
      </c>
      <c r="E1542" s="1381">
        <f>D1542*1.09639940701413</f>
        <v>104305682.4986251</v>
      </c>
    </row>
    <row r="1543" spans="1:5" ht="21.9" hidden="1" customHeight="1" outlineLevel="1">
      <c r="A1543" s="1393" t="s">
        <v>882</v>
      </c>
      <c r="B1543" s="1381">
        <v>1276000</v>
      </c>
      <c r="C1543" s="1381">
        <f>'Itemized Budget 2024-25'!L3431+'Itemized Budget 2024-25'!L3433</f>
        <v>1144000</v>
      </c>
      <c r="D1543" s="1381">
        <f>C1543*1.0962259996672</f>
        <v>1254082.5436192767</v>
      </c>
      <c r="E1543" s="1381">
        <f>D1543*1.09639940701413</f>
        <v>1374975.3571709469</v>
      </c>
    </row>
    <row r="1544" spans="1:5" ht="21.9" hidden="1" customHeight="1" outlineLevel="1">
      <c r="A1544" s="1382" t="s">
        <v>883</v>
      </c>
      <c r="B1544" s="1379">
        <v>0</v>
      </c>
      <c r="C1544" s="1379">
        <f>SUM(C1545:C1546)</f>
        <v>0</v>
      </c>
      <c r="D1544" s="1379">
        <f>SUM(D1545:D1546)</f>
        <v>0</v>
      </c>
      <c r="E1544" s="1379">
        <f>SUM(E1545:E1546)</f>
        <v>0</v>
      </c>
    </row>
    <row r="1545" spans="1:5" ht="21.9" hidden="1" customHeight="1" outlineLevel="1">
      <c r="A1545" s="1393" t="s">
        <v>891</v>
      </c>
      <c r="B1545" s="1381"/>
      <c r="C1545" s="1381"/>
      <c r="D1545" s="1381">
        <f>C1545*1.0962259996672</f>
        <v>0</v>
      </c>
      <c r="E1545" s="1381">
        <f>D1545*1.09639940701413</f>
        <v>0</v>
      </c>
    </row>
    <row r="1546" spans="1:5" ht="21.9" hidden="1" customHeight="1" outlineLevel="1">
      <c r="A1546" s="1393" t="s">
        <v>892</v>
      </c>
      <c r="B1546" s="1381"/>
      <c r="C1546" s="1381"/>
      <c r="D1546" s="1381">
        <f>C1546*1.0962259996672</f>
        <v>0</v>
      </c>
      <c r="E1546" s="1381">
        <f>D1546*1.09639940701413</f>
        <v>0</v>
      </c>
    </row>
    <row r="1547" spans="1:5" ht="21.9" hidden="1" customHeight="1" outlineLevel="1">
      <c r="A1547" s="1382" t="s">
        <v>893</v>
      </c>
      <c r="B1547" s="1379">
        <v>44858218.99039185</v>
      </c>
      <c r="C1547" s="1379">
        <f>SUM(C1540,C1544)</f>
        <v>87927883.184599996</v>
      </c>
      <c r="D1547" s="1379">
        <f>SUM(D1540,D1544)</f>
        <v>96388831.642658904</v>
      </c>
      <c r="E1547" s="1379">
        <f>SUM(E1540,E1544)</f>
        <v>105680657.85579604</v>
      </c>
    </row>
    <row r="1548" spans="1:5" ht="21.9" hidden="1" customHeight="1" outlineLevel="1"/>
    <row r="1549" spans="1:5" ht="21.9" hidden="1" customHeight="1" outlineLevel="1">
      <c r="A1549" s="1408" t="s">
        <v>1050</v>
      </c>
    </row>
    <row r="1550" spans="1:5" ht="21.9" hidden="1" customHeight="1" outlineLevel="1"/>
    <row r="1551" spans="1:5" ht="21.9" hidden="1" customHeight="1" outlineLevel="1">
      <c r="A1551" s="1369" t="s">
        <v>878</v>
      </c>
      <c r="B1551" s="1370" t="s">
        <v>857</v>
      </c>
      <c r="C1551" s="1370" t="s">
        <v>1680</v>
      </c>
      <c r="D1551" s="1371" t="s">
        <v>859</v>
      </c>
      <c r="E1551" s="1372"/>
    </row>
    <row r="1552" spans="1:5" ht="21.9" hidden="1" customHeight="1" outlineLevel="1">
      <c r="A1552" s="1373"/>
      <c r="B1552" s="1374"/>
      <c r="C1552" s="1374"/>
      <c r="D1552" s="1375" t="s">
        <v>860</v>
      </c>
      <c r="E1552" s="1375" t="s">
        <v>861</v>
      </c>
    </row>
    <row r="1553" spans="1:5" ht="21.9" hidden="1" customHeight="1" outlineLevel="1">
      <c r="A1553" s="1382" t="s">
        <v>890</v>
      </c>
      <c r="B1553" s="1379">
        <v>10957200</v>
      </c>
      <c r="C1553" s="1379">
        <f>SUM(C1554:C1556)</f>
        <v>6958400</v>
      </c>
      <c r="D1553" s="1379">
        <f>SUM(D1554:D1556)</f>
        <v>7627978.996084244</v>
      </c>
      <c r="E1553" s="1379">
        <f>SUM(E1554:E1556)</f>
        <v>8363311.6480230037</v>
      </c>
    </row>
    <row r="1554" spans="1:5" ht="21.9" hidden="1" customHeight="1" outlineLevel="1">
      <c r="A1554" s="1393" t="s">
        <v>880</v>
      </c>
      <c r="B1554" s="1381"/>
      <c r="C1554" s="1381"/>
      <c r="D1554" s="1381">
        <f>C1554*1.0962259996672</f>
        <v>0</v>
      </c>
      <c r="E1554" s="1381">
        <f>D1554*1.09639940701413</f>
        <v>0</v>
      </c>
    </row>
    <row r="1555" spans="1:5" ht="21.9" hidden="1" customHeight="1" outlineLevel="1">
      <c r="A1555" s="1393" t="s">
        <v>881</v>
      </c>
      <c r="B1555" s="1381">
        <v>10226400</v>
      </c>
      <c r="C1555" s="1381">
        <f>'Itemized Budget 2024-25'!L3442+'Itemized Budget 2024-25'!L3444+'Itemized Budget 2024-25'!L3448+'Itemized Budget 2024-25'!L3450+'Itemized Budget 2024-25'!L3454+'Itemized Budget 2024-25'!L3457+'Itemized Budget 2024-25'!L3460+'Itemized Budget 2024-25'!L3462</f>
        <v>6749600</v>
      </c>
      <c r="D1555" s="1381">
        <f>C1555*1.0962259996672</f>
        <v>7399087.0073537324</v>
      </c>
      <c r="E1555" s="1381">
        <f>D1555*1.09639940701413</f>
        <v>8112354.6073085861</v>
      </c>
    </row>
    <row r="1556" spans="1:5" ht="21.9" hidden="1" customHeight="1" outlineLevel="1">
      <c r="A1556" s="1393" t="s">
        <v>882</v>
      </c>
      <c r="B1556" s="1381">
        <v>730800</v>
      </c>
      <c r="C1556" s="1381">
        <f>'Itemized Budget 2024-25'!L3464</f>
        <v>208800</v>
      </c>
      <c r="D1556" s="1381">
        <f>C1556*1.0962259996672</f>
        <v>228891.98873051134</v>
      </c>
      <c r="E1556" s="1381">
        <f>D1556*1.09639940701413</f>
        <v>250957.04071441758</v>
      </c>
    </row>
    <row r="1557" spans="1:5" ht="21.9" hidden="1" customHeight="1" outlineLevel="1">
      <c r="A1557" s="1382" t="s">
        <v>883</v>
      </c>
      <c r="B1557" s="1379">
        <v>0</v>
      </c>
      <c r="C1557" s="1379">
        <f>SUM(C1558:C1559)</f>
        <v>0</v>
      </c>
      <c r="D1557" s="1379">
        <f>SUM(D1558:D1559)</f>
        <v>0</v>
      </c>
      <c r="E1557" s="1379">
        <f>SUM(E1558:E1559)</f>
        <v>0</v>
      </c>
    </row>
    <row r="1558" spans="1:5" ht="21.9" hidden="1" customHeight="1" outlineLevel="1">
      <c r="A1558" s="1393" t="s">
        <v>891</v>
      </c>
      <c r="B1558" s="1381">
        <v>0</v>
      </c>
      <c r="C1558" s="1381">
        <v>0</v>
      </c>
      <c r="D1558" s="1381">
        <f>C1558*1.0962259996672</f>
        <v>0</v>
      </c>
      <c r="E1558" s="1381">
        <f>D1558*1.09639940701413</f>
        <v>0</v>
      </c>
    </row>
    <row r="1559" spans="1:5" ht="21.9" hidden="1" customHeight="1" outlineLevel="1">
      <c r="A1559" s="1393" t="s">
        <v>892</v>
      </c>
      <c r="B1559" s="1381">
        <v>0</v>
      </c>
      <c r="C1559" s="1381">
        <v>0</v>
      </c>
      <c r="D1559" s="1381">
        <f>C1559*1.0962259996672</f>
        <v>0</v>
      </c>
      <c r="E1559" s="1381">
        <f>D1559*1.09639940701413</f>
        <v>0</v>
      </c>
    </row>
    <row r="1560" spans="1:5" ht="21.9" hidden="1" customHeight="1" outlineLevel="1">
      <c r="A1560" s="1382" t="s">
        <v>893</v>
      </c>
      <c r="B1560" s="1379">
        <v>10957200</v>
      </c>
      <c r="C1560" s="1379">
        <f>SUM(C1553,C1557)</f>
        <v>6958400</v>
      </c>
      <c r="D1560" s="1379">
        <f>SUM(D1553,D1557)</f>
        <v>7627978.996084244</v>
      </c>
      <c r="E1560" s="1379">
        <f>SUM(E1553,E1557)</f>
        <v>8363311.6480230037</v>
      </c>
    </row>
    <row r="1561" spans="1:5" ht="21.9" hidden="1" customHeight="1" outlineLevel="1"/>
    <row r="1562" spans="1:5" ht="21.9" hidden="1" customHeight="1" outlineLevel="1">
      <c r="B1562" s="1367"/>
      <c r="C1562" s="1367"/>
      <c r="D1562" s="1367"/>
      <c r="E1562" s="1367"/>
    </row>
    <row r="1563" spans="1:5" ht="21.9" hidden="1" customHeight="1" outlineLevel="1">
      <c r="A1563" s="1408" t="s">
        <v>1051</v>
      </c>
    </row>
    <row r="1564" spans="1:5" ht="21.9" hidden="1" customHeight="1" outlineLevel="1">
      <c r="A1564" s="1369" t="s">
        <v>878</v>
      </c>
      <c r="B1564" s="1370" t="s">
        <v>1671</v>
      </c>
      <c r="C1564" s="1370" t="s">
        <v>1680</v>
      </c>
      <c r="D1564" s="1371" t="s">
        <v>859</v>
      </c>
      <c r="E1564" s="1372"/>
    </row>
    <row r="1565" spans="1:5" ht="21.9" hidden="1" customHeight="1" outlineLevel="1">
      <c r="A1565" s="1373"/>
      <c r="B1565" s="1374"/>
      <c r="C1565" s="1374"/>
      <c r="D1565" s="1375" t="s">
        <v>861</v>
      </c>
      <c r="E1565" s="1375" t="s">
        <v>1672</v>
      </c>
    </row>
    <row r="1566" spans="1:5" ht="21.9" hidden="1" customHeight="1" outlineLevel="1">
      <c r="A1566" s="1382" t="s">
        <v>890</v>
      </c>
      <c r="B1566" s="1379">
        <v>21600400</v>
      </c>
      <c r="C1566" s="1379">
        <f>SUM(C1567:C1569)</f>
        <v>13985354.997370809</v>
      </c>
      <c r="D1566" s="1379">
        <f>SUM(D1567:D1569)</f>
        <v>15331109.762693485</v>
      </c>
      <c r="E1566" s="1379">
        <f>SUM(E1567:E1569)</f>
        <v>16809019.652685679</v>
      </c>
    </row>
    <row r="1567" spans="1:5" ht="21.9" hidden="1" customHeight="1" outlineLevel="1">
      <c r="A1567" s="1393" t="s">
        <v>880</v>
      </c>
      <c r="B1567" s="1381">
        <v>0</v>
      </c>
      <c r="C1567" s="1381">
        <v>0</v>
      </c>
      <c r="D1567" s="1381">
        <f>C1567*1.0962259996672</f>
        <v>0</v>
      </c>
      <c r="E1567" s="1381">
        <f>D1567*1.09639940701413</f>
        <v>0</v>
      </c>
    </row>
    <row r="1568" spans="1:5" ht="21.9" hidden="1" customHeight="1" outlineLevel="1">
      <c r="A1568" s="1393" t="s">
        <v>881</v>
      </c>
      <c r="B1568" s="1381">
        <v>18091400</v>
      </c>
      <c r="C1568" s="1381">
        <f>'Itemized Budget 2024-25'!L3471+'Itemized Budget 2024-25'!L3474+'Itemized Budget 2024-25'!L3479+'Itemized Budget 2024-25'!L3483+'Itemized Budget 2024-25'!L3488+'Itemized Budget 2024-25'!L3491+'Itemized Budget 2024-25'!L3495+'Itemized Budget 2024-25'!L3498+'Itemized Budget 2024-25'!L3502+'Itemized Budget 2024-25'!L3504</f>
        <v>12951364.997370809</v>
      </c>
      <c r="D1568" s="1381">
        <f>C1568*1.0962259996672</f>
        <v>14197623.041297598</v>
      </c>
      <c r="E1568" s="1381">
        <f>D1568*1.09639940701413</f>
        <v>15566265.483488835</v>
      </c>
    </row>
    <row r="1569" spans="1:5" ht="21.9" hidden="1" customHeight="1" outlineLevel="1">
      <c r="A1569" s="1393" t="s">
        <v>882</v>
      </c>
      <c r="B1569" s="1381">
        <v>3509000</v>
      </c>
      <c r="C1569" s="1381">
        <f>'Itemized Budget 2024-25'!L3508</f>
        <v>1033990</v>
      </c>
      <c r="D1569" s="1381">
        <f>C1569*1.0962259996672</f>
        <v>1133486.7213958881</v>
      </c>
      <c r="E1569" s="1381">
        <f>D1569*1.09639940701413</f>
        <v>1242754.1691968422</v>
      </c>
    </row>
    <row r="1570" spans="1:5" ht="21.9" hidden="1" customHeight="1" outlineLevel="1">
      <c r="A1570" s="1382" t="s">
        <v>883</v>
      </c>
      <c r="B1570" s="1379">
        <v>0</v>
      </c>
      <c r="C1570" s="1379">
        <f>SUM(C1571:C1572)</f>
        <v>0</v>
      </c>
      <c r="D1570" s="1379">
        <f>SUM(D1571:D1572)</f>
        <v>0</v>
      </c>
      <c r="E1570" s="1379">
        <f>SUM(E1571:E1572)</f>
        <v>0</v>
      </c>
    </row>
    <row r="1571" spans="1:5" ht="21.9" hidden="1" customHeight="1" outlineLevel="1">
      <c r="A1571" s="1393" t="s">
        <v>891</v>
      </c>
      <c r="B1571" s="1381">
        <v>0</v>
      </c>
      <c r="C1571" s="1381">
        <v>0</v>
      </c>
      <c r="D1571" s="1381">
        <f>C1571*1.0962259996672</f>
        <v>0</v>
      </c>
      <c r="E1571" s="1381">
        <f>D1571*1.09639940701413</f>
        <v>0</v>
      </c>
    </row>
    <row r="1572" spans="1:5" ht="21.9" hidden="1" customHeight="1" outlineLevel="1">
      <c r="A1572" s="1393" t="s">
        <v>892</v>
      </c>
      <c r="B1572" s="1381">
        <v>0</v>
      </c>
      <c r="C1572" s="1381">
        <v>0</v>
      </c>
      <c r="D1572" s="1381">
        <f>C1572*1.0962259996672</f>
        <v>0</v>
      </c>
      <c r="E1572" s="1381">
        <f>D1572*1.09639940701413</f>
        <v>0</v>
      </c>
    </row>
    <row r="1573" spans="1:5" ht="21.9" hidden="1" customHeight="1" outlineLevel="1">
      <c r="A1573" s="1382" t="s">
        <v>893</v>
      </c>
      <c r="B1573" s="1379">
        <v>21600400</v>
      </c>
      <c r="C1573" s="1379">
        <f>SUM(C1566,C1570)</f>
        <v>13985354.997370809</v>
      </c>
      <c r="D1573" s="1379">
        <f>SUM(D1566,D1570)</f>
        <v>15331109.762693485</v>
      </c>
      <c r="E1573" s="1379">
        <f>SUM(E1566,E1570)</f>
        <v>16809019.652685679</v>
      </c>
    </row>
    <row r="1574" spans="1:5" ht="21.9" hidden="1" customHeight="1" outlineLevel="1">
      <c r="A1574" s="1366"/>
      <c r="B1574" s="1367"/>
      <c r="C1574" s="1367"/>
      <c r="D1574" s="1367"/>
      <c r="E1574" s="1367"/>
    </row>
    <row r="1575" spans="1:5" ht="21.9" hidden="1" customHeight="1" outlineLevel="1">
      <c r="A1575" s="1401" t="s">
        <v>1052</v>
      </c>
      <c r="B1575" s="1379"/>
      <c r="C1575" s="1379"/>
    </row>
    <row r="1576" spans="1:5" ht="21.9" hidden="1" customHeight="1" outlineLevel="1">
      <c r="A1576" s="1369" t="s">
        <v>878</v>
      </c>
      <c r="B1576" s="1370" t="s">
        <v>1671</v>
      </c>
      <c r="C1576" s="1370" t="s">
        <v>1680</v>
      </c>
      <c r="D1576" s="1371" t="s">
        <v>859</v>
      </c>
      <c r="E1576" s="1372"/>
    </row>
    <row r="1577" spans="1:5" ht="21.9" hidden="1" customHeight="1" outlineLevel="1">
      <c r="A1577" s="1373"/>
      <c r="B1577" s="1374"/>
      <c r="C1577" s="1374"/>
      <c r="D1577" s="1375" t="s">
        <v>861</v>
      </c>
      <c r="E1577" s="1375" t="s">
        <v>1672</v>
      </c>
    </row>
    <row r="1578" spans="1:5" ht="21.9" hidden="1" customHeight="1" outlineLevel="1">
      <c r="A1578" s="1382" t="s">
        <v>890</v>
      </c>
      <c r="B1578" s="1379">
        <v>7849400</v>
      </c>
      <c r="C1578" s="1379">
        <f>SUM(C1579:C1581)</f>
        <v>6808928.1916568363</v>
      </c>
      <c r="D1578" s="1379">
        <f>SUM(D1579:D1581)</f>
        <v>7464124.1135611953</v>
      </c>
      <c r="E1578" s="1379">
        <f>SUM(E1579:E1581)</f>
        <v>8183661.2519883635</v>
      </c>
    </row>
    <row r="1579" spans="1:5" ht="21.9" hidden="1" customHeight="1" outlineLevel="1">
      <c r="A1579" s="1393" t="s">
        <v>880</v>
      </c>
      <c r="B1579" s="1381"/>
      <c r="C1579" s="1381"/>
      <c r="D1579" s="1381">
        <f>C1579*1.0962259996672</f>
        <v>0</v>
      </c>
      <c r="E1579" s="1381">
        <f>D1579*1.09639940701413</f>
        <v>0</v>
      </c>
    </row>
    <row r="1580" spans="1:5" ht="21.9" hidden="1" customHeight="1" outlineLevel="1">
      <c r="A1580" s="1393" t="s">
        <v>881</v>
      </c>
      <c r="B1580" s="1381">
        <v>6049400</v>
      </c>
      <c r="C1580" s="1381">
        <f>'Itemized Budget 2024-25'!L3517+'Itemized Budget 2024-25'!L3519+'Itemized Budget 2024-25'!L3523+'Itemized Budget 2024-25'!L3525+'Itemized Budget 2024-25'!L3529+'Itemized Budget 2024-25'!L3533+'Itemized Budget 2024-25'!L3535</f>
        <v>6281254</v>
      </c>
      <c r="D1580" s="1381">
        <f>C1580*1.0962259996672</f>
        <v>6885673.945313598</v>
      </c>
      <c r="E1580" s="1381">
        <f>D1580*1.09639940701413</f>
        <v>7549448.830534474</v>
      </c>
    </row>
    <row r="1581" spans="1:5" ht="21.9" hidden="1" customHeight="1" outlineLevel="1">
      <c r="A1581" s="1393" t="s">
        <v>882</v>
      </c>
      <c r="B1581" s="1381">
        <v>1800000</v>
      </c>
      <c r="C1581" s="1381">
        <f>'Itemized Budget 2024-25'!L3537</f>
        <v>527674.19165683631</v>
      </c>
      <c r="D1581" s="1381">
        <f>C1581*1.0962259996672</f>
        <v>578450.16824759706</v>
      </c>
      <c r="E1581" s="1381">
        <f>D1581*1.09639940701413</f>
        <v>634212.42145388923</v>
      </c>
    </row>
    <row r="1582" spans="1:5" ht="21.9" hidden="1" customHeight="1" outlineLevel="1">
      <c r="A1582" s="1382" t="s">
        <v>883</v>
      </c>
      <c r="B1582" s="1379">
        <v>0</v>
      </c>
      <c r="C1582" s="1379">
        <f>SUM(C1583:C1584)</f>
        <v>0</v>
      </c>
      <c r="D1582" s="1379">
        <f>SUM(D1583:D1584)</f>
        <v>0</v>
      </c>
      <c r="E1582" s="1379">
        <f>SUM(E1583:E1584)</f>
        <v>0</v>
      </c>
    </row>
    <row r="1583" spans="1:5" ht="21.9" hidden="1" customHeight="1" outlineLevel="1">
      <c r="A1583" s="1393" t="s">
        <v>891</v>
      </c>
      <c r="B1583" s="1381">
        <v>0</v>
      </c>
      <c r="C1583" s="1381">
        <v>0</v>
      </c>
      <c r="D1583" s="1381">
        <f>C1583*1.0962259996672</f>
        <v>0</v>
      </c>
      <c r="E1583" s="1381">
        <f>D1583*1.09639940701413</f>
        <v>0</v>
      </c>
    </row>
    <row r="1584" spans="1:5" ht="21.9" hidden="1" customHeight="1" outlineLevel="1">
      <c r="A1584" s="1393" t="s">
        <v>892</v>
      </c>
      <c r="B1584" s="1381">
        <v>0</v>
      </c>
      <c r="C1584" s="1381">
        <v>0</v>
      </c>
      <c r="D1584" s="1381">
        <f>C1584*1.0962259996672</f>
        <v>0</v>
      </c>
      <c r="E1584" s="1381">
        <f>D1584*1.09639940701413</f>
        <v>0</v>
      </c>
    </row>
    <row r="1585" spans="1:5" ht="21.9" hidden="1" customHeight="1" outlineLevel="1">
      <c r="A1585" s="1382" t="s">
        <v>893</v>
      </c>
      <c r="B1585" s="1379">
        <v>7849400</v>
      </c>
      <c r="C1585" s="1379">
        <f>SUM(C1578,C1582)</f>
        <v>6808928.1916568363</v>
      </c>
      <c r="D1585" s="1379">
        <f>SUM(D1578,D1582)</f>
        <v>7464124.1135611953</v>
      </c>
      <c r="E1585" s="1379">
        <f>SUM(E1578,E1582)</f>
        <v>8183661.2519883635</v>
      </c>
    </row>
    <row r="1586" spans="1:5" ht="21.9" hidden="1" customHeight="1" outlineLevel="1">
      <c r="A1586" s="1407"/>
    </row>
    <row r="1587" spans="1:5" ht="21.9" customHeight="1" collapsed="1">
      <c r="A1587" s="1407"/>
    </row>
    <row r="1588" spans="1:5" ht="21.9" customHeight="1">
      <c r="A1588" s="1366" t="s">
        <v>660</v>
      </c>
      <c r="B1588" s="1367"/>
      <c r="C1588" s="1367"/>
      <c r="D1588" s="1367"/>
      <c r="E1588" s="1367"/>
    </row>
    <row r="1589" spans="1:5" ht="21.9" customHeight="1" outlineLevel="1">
      <c r="A1589" s="1366" t="s">
        <v>1707</v>
      </c>
      <c r="B1589" s="1368"/>
      <c r="C1589" s="1368"/>
      <c r="D1589" s="1368"/>
      <c r="E1589" s="1368"/>
    </row>
    <row r="1590" spans="1:5" ht="32.1" customHeight="1" outlineLevel="1">
      <c r="A1590" s="1369" t="s">
        <v>948</v>
      </c>
      <c r="B1590" s="1370" t="s">
        <v>1671</v>
      </c>
      <c r="C1590" s="1370" t="s">
        <v>1680</v>
      </c>
      <c r="D1590" s="1371" t="s">
        <v>859</v>
      </c>
      <c r="E1590" s="1372"/>
    </row>
    <row r="1591" spans="1:5" ht="21.9" customHeight="1" outlineLevel="1">
      <c r="A1591" s="1373"/>
      <c r="B1591" s="1374"/>
      <c r="C1591" s="1374"/>
      <c r="D1591" s="1375" t="s">
        <v>861</v>
      </c>
      <c r="E1591" s="1375" t="s">
        <v>1672</v>
      </c>
    </row>
    <row r="1592" spans="1:5" ht="21.9" customHeight="1" outlineLevel="1">
      <c r="A1592" s="1376" t="s">
        <v>1053</v>
      </c>
      <c r="B1592" s="1381">
        <v>46475589.202</v>
      </c>
      <c r="C1592" s="1381">
        <f>C1628</f>
        <v>40661558.048314273</v>
      </c>
      <c r="D1592" s="1381">
        <f>D1628</f>
        <v>44574257.119539186</v>
      </c>
      <c r="E1592" s="1381">
        <f>E1628</f>
        <v>48870951.186819956</v>
      </c>
    </row>
    <row r="1593" spans="1:5" ht="21.9" customHeight="1" outlineLevel="1">
      <c r="A1593" s="1378" t="s">
        <v>1054</v>
      </c>
      <c r="B1593" s="1379">
        <v>46475589.202</v>
      </c>
      <c r="C1593" s="1379">
        <f>SUM(C1592:C1592)</f>
        <v>40661558.048314273</v>
      </c>
      <c r="D1593" s="1379">
        <f>SUM(D1592:D1592)</f>
        <v>44574257.119539186</v>
      </c>
      <c r="E1593" s="1379">
        <f>SUM(E1592:E1592)</f>
        <v>48870951.186819956</v>
      </c>
    </row>
    <row r="1594" spans="1:5" ht="21.9" customHeight="1" outlineLevel="1">
      <c r="A1594" s="1376" t="s">
        <v>1055</v>
      </c>
      <c r="B1594" s="1381">
        <v>6316300</v>
      </c>
      <c r="C1594" s="1381">
        <f>C1641</f>
        <v>9427000</v>
      </c>
      <c r="D1594" s="1381">
        <f>D1641</f>
        <v>10334122.498862693</v>
      </c>
      <c r="E1594" s="1381">
        <f>E1641</f>
        <v>11330270.627867676</v>
      </c>
    </row>
    <row r="1595" spans="1:5" ht="21.9" customHeight="1" outlineLevel="1">
      <c r="A1595" s="1376" t="s">
        <v>1056</v>
      </c>
      <c r="B1595" s="1381">
        <v>6877796</v>
      </c>
      <c r="C1595" s="1381">
        <f>C1654</f>
        <v>8024200</v>
      </c>
      <c r="D1595" s="1381">
        <f>D1654</f>
        <v>8796336.6665295456</v>
      </c>
      <c r="E1595" s="1381">
        <f>E1654</f>
        <v>9644251.3601501863</v>
      </c>
    </row>
    <row r="1596" spans="1:5" ht="21.9" customHeight="1" outlineLevel="1">
      <c r="A1596" s="1378" t="s">
        <v>1057</v>
      </c>
      <c r="B1596" s="1379">
        <v>13194096</v>
      </c>
      <c r="C1596" s="1379">
        <f>C1595+C1594</f>
        <v>17451200</v>
      </c>
      <c r="D1596" s="1379">
        <f>D1595+D1594</f>
        <v>19130459.165392239</v>
      </c>
      <c r="E1596" s="1379">
        <f>E1595+E1594</f>
        <v>20974521.988017865</v>
      </c>
    </row>
    <row r="1597" spans="1:5" ht="21.9" customHeight="1" outlineLevel="1">
      <c r="A1597" s="1376" t="s">
        <v>1058</v>
      </c>
      <c r="B1597" s="1381">
        <v>19664118.149999991</v>
      </c>
      <c r="C1597" s="1381">
        <f>C1667</f>
        <v>30599374.422483109</v>
      </c>
      <c r="D1597" s="1381">
        <f>D1667</f>
        <v>33543829.815477494</v>
      </c>
      <c r="E1597" s="1381">
        <f>E1667</f>
        <v>36777256.099521145</v>
      </c>
    </row>
    <row r="1598" spans="1:5" ht="21.9" customHeight="1" outlineLevel="1">
      <c r="A1598" s="1378" t="s">
        <v>1059</v>
      </c>
      <c r="B1598" s="1379">
        <v>19664118.149999991</v>
      </c>
      <c r="C1598" s="1379">
        <f>SUM(C1597:C1597)</f>
        <v>30599374.422483109</v>
      </c>
      <c r="D1598" s="1379">
        <f>SUM(D1597:D1597)</f>
        <v>33543829.815477494</v>
      </c>
      <c r="E1598" s="1379">
        <f>SUM(E1597:E1597)</f>
        <v>36777256.099521145</v>
      </c>
    </row>
    <row r="1599" spans="1:5" ht="21.9" customHeight="1" outlineLevel="1">
      <c r="A1599" s="1382" t="s">
        <v>876</v>
      </c>
      <c r="B1599" s="1379">
        <v>79333803.351999998</v>
      </c>
      <c r="C1599" s="1379">
        <f>SUM(C1593,C1596,C1598)</f>
        <v>88712132.47079739</v>
      </c>
      <c r="D1599" s="1379">
        <f>SUM(D1593,D1596,D1598)</f>
        <v>97248546.100408912</v>
      </c>
      <c r="E1599" s="1379">
        <f>SUM(E1593,E1596,E1598)</f>
        <v>106622729.27435897</v>
      </c>
    </row>
    <row r="1600" spans="1:5" ht="21.9" customHeight="1" outlineLevel="1">
      <c r="A1600" s="1407"/>
    </row>
    <row r="1601" spans="1:5" ht="21.9" customHeight="1" outlineLevel="1">
      <c r="A1601" s="1407"/>
    </row>
    <row r="1602" spans="1:5" ht="21.9" customHeight="1" outlineLevel="1">
      <c r="A1602" s="1366" t="s">
        <v>903</v>
      </c>
    </row>
    <row r="1603" spans="1:5" ht="21.9" customHeight="1" outlineLevel="1">
      <c r="A1603" s="1366"/>
    </row>
    <row r="1604" spans="1:5" ht="21.9" customHeight="1" outlineLevel="1">
      <c r="A1604" s="1369" t="s">
        <v>878</v>
      </c>
      <c r="B1604" s="1370" t="s">
        <v>1671</v>
      </c>
      <c r="C1604" s="1370" t="s">
        <v>1680</v>
      </c>
      <c r="D1604" s="1371" t="s">
        <v>859</v>
      </c>
      <c r="E1604" s="1372"/>
    </row>
    <row r="1605" spans="1:5" ht="21.9" customHeight="1" outlineLevel="1">
      <c r="A1605" s="1373"/>
      <c r="B1605" s="1374"/>
      <c r="C1605" s="1374"/>
      <c r="D1605" s="1375" t="s">
        <v>861</v>
      </c>
      <c r="E1605" s="1375" t="s">
        <v>1672</v>
      </c>
    </row>
    <row r="1606" spans="1:5" ht="21.9" customHeight="1" outlineLevel="1">
      <c r="A1606" s="1382" t="s">
        <v>890</v>
      </c>
      <c r="B1606" s="1379">
        <v>64333803.351999991</v>
      </c>
      <c r="C1606" s="1379">
        <f>SUM(C1607:C1609)</f>
        <v>63978064.048314273</v>
      </c>
      <c r="D1606" s="1379">
        <f>SUM(D1607:D1609)</f>
        <v>70134417.218135446</v>
      </c>
      <c r="E1606" s="1379">
        <f>SUM(E1607:E1609)</f>
        <v>76894959.150785208</v>
      </c>
    </row>
    <row r="1607" spans="1:5" ht="21.9" customHeight="1" outlineLevel="1">
      <c r="A1607" s="1393" t="s">
        <v>880</v>
      </c>
      <c r="B1607" s="1381">
        <v>31847496</v>
      </c>
      <c r="C1607" s="1381">
        <f>C1622+C1635+C1648+C1661</f>
        <v>29665152.04831427</v>
      </c>
      <c r="D1607" s="1381">
        <f t="shared" ref="D1607:E1609" si="39">D1622+D1635+D1648+D1661</f>
        <v>32519710.959442794</v>
      </c>
      <c r="E1607" s="1381">
        <f t="shared" si="39"/>
        <v>35654418.258644722</v>
      </c>
    </row>
    <row r="1608" spans="1:5" ht="21.9" customHeight="1" outlineLevel="1">
      <c r="A1608" s="1393" t="s">
        <v>881</v>
      </c>
      <c r="B1608" s="1381">
        <v>28965589.202</v>
      </c>
      <c r="C1608" s="1381">
        <f>C1623+C1636+C1649+C1662</f>
        <v>34312912</v>
      </c>
      <c r="D1608" s="1381">
        <f t="shared" si="39"/>
        <v>37614706.258692659</v>
      </c>
      <c r="E1608" s="1381">
        <f t="shared" si="39"/>
        <v>41240540.892140478</v>
      </c>
    </row>
    <row r="1609" spans="1:5" ht="21.9" customHeight="1" outlineLevel="1">
      <c r="A1609" s="1393" t="s">
        <v>882</v>
      </c>
      <c r="B1609" s="1381">
        <v>3520718.1499999911</v>
      </c>
      <c r="C1609" s="1381">
        <f>C1624+C1637+C1650+C1663</f>
        <v>0</v>
      </c>
      <c r="D1609" s="1381">
        <f t="shared" si="39"/>
        <v>0</v>
      </c>
      <c r="E1609" s="1381">
        <f t="shared" si="39"/>
        <v>0</v>
      </c>
    </row>
    <row r="1610" spans="1:5" ht="21.9" customHeight="1" outlineLevel="1">
      <c r="A1610" s="1382" t="s">
        <v>883</v>
      </c>
      <c r="B1610" s="1379">
        <v>15000000</v>
      </c>
      <c r="C1610" s="1379">
        <f>SUM(C1611:C1612)</f>
        <v>24734068.422483109</v>
      </c>
      <c r="D1610" s="1379">
        <f>SUM(D1611:D1612)</f>
        <v>27114128.882273469</v>
      </c>
      <c r="E1610" s="1379">
        <f>SUM(E1611:E1612)</f>
        <v>29727770.123573754</v>
      </c>
    </row>
    <row r="1611" spans="1:5" ht="21.9" customHeight="1" outlineLevel="1">
      <c r="A1611" s="1393" t="s">
        <v>884</v>
      </c>
      <c r="B1611" s="1381">
        <v>15000000</v>
      </c>
      <c r="C1611" s="1381">
        <f>C1625+C1638+C1651+C1664</f>
        <v>24734068.422483109</v>
      </c>
      <c r="D1611" s="1381">
        <f t="shared" ref="D1611:E1612" si="40">D1626+D1639+D1652+D1665</f>
        <v>27114128.882273469</v>
      </c>
      <c r="E1611" s="1381">
        <f t="shared" si="40"/>
        <v>29727770.123573754</v>
      </c>
    </row>
    <row r="1612" spans="1:5" ht="21.9" customHeight="1" outlineLevel="1">
      <c r="A1612" s="1393" t="s">
        <v>885</v>
      </c>
      <c r="B1612" s="1381">
        <v>0</v>
      </c>
      <c r="C1612" s="1381">
        <f>Tables!C1627+Tables!C1640+Tables!C1653+Tables!C1666</f>
        <v>0</v>
      </c>
      <c r="D1612" s="1381">
        <f t="shared" si="40"/>
        <v>0</v>
      </c>
      <c r="E1612" s="1381">
        <f t="shared" si="40"/>
        <v>0</v>
      </c>
    </row>
    <row r="1613" spans="1:5" ht="21.9" customHeight="1" outlineLevel="1">
      <c r="A1613" s="1382" t="s">
        <v>886</v>
      </c>
      <c r="B1613" s="1379">
        <v>79333803.351999998</v>
      </c>
      <c r="C1613" s="1379">
        <f>C1606+C1610</f>
        <v>88712132.47079739</v>
      </c>
      <c r="D1613" s="1379">
        <f>D1606+D1610</f>
        <v>97248546.100408912</v>
      </c>
      <c r="E1613" s="1379">
        <f>E1606+E1610</f>
        <v>106622729.27435896</v>
      </c>
    </row>
    <row r="1614" spans="1:5" ht="21.9" customHeight="1" outlineLevel="1">
      <c r="A1614" s="1407"/>
    </row>
    <row r="1615" spans="1:5" ht="21.9" customHeight="1" outlineLevel="1">
      <c r="A1615" s="1366" t="s">
        <v>887</v>
      </c>
    </row>
    <row r="1616" spans="1:5" ht="21.9" customHeight="1" outlineLevel="1">
      <c r="A1616" s="1366"/>
    </row>
    <row r="1617" spans="1:5" ht="21.9" customHeight="1" outlineLevel="1">
      <c r="A1617" s="1366" t="s">
        <v>1054</v>
      </c>
    </row>
    <row r="1618" spans="1:5" ht="21.9" customHeight="1" outlineLevel="1">
      <c r="A1618" s="1363" t="s">
        <v>1053</v>
      </c>
    </row>
    <row r="1619" spans="1:5" ht="21.9" customHeight="1" outlineLevel="1">
      <c r="A1619" s="1369" t="s">
        <v>878</v>
      </c>
      <c r="B1619" s="1370" t="s">
        <v>1671</v>
      </c>
      <c r="C1619" s="1370" t="s">
        <v>1680</v>
      </c>
      <c r="D1619" s="1371" t="s">
        <v>859</v>
      </c>
      <c r="E1619" s="1372"/>
    </row>
    <row r="1620" spans="1:5" ht="21.9" customHeight="1" outlineLevel="1">
      <c r="A1620" s="1373"/>
      <c r="B1620" s="1374"/>
      <c r="C1620" s="1374"/>
      <c r="D1620" s="1375" t="s">
        <v>861</v>
      </c>
      <c r="E1620" s="1375" t="s">
        <v>1672</v>
      </c>
    </row>
    <row r="1621" spans="1:5" ht="21.9" customHeight="1" outlineLevel="1">
      <c r="A1621" s="1382" t="s">
        <v>890</v>
      </c>
      <c r="B1621" s="1379">
        <v>46475589.202</v>
      </c>
      <c r="C1621" s="1379">
        <f>SUM(C1622:C1624)</f>
        <v>40661558.048314273</v>
      </c>
      <c r="D1621" s="1379">
        <f>SUM(D1622:D1624)</f>
        <v>44574257.119539186</v>
      </c>
      <c r="E1621" s="1379">
        <f>SUM(E1622:E1624)</f>
        <v>48870951.186819956</v>
      </c>
    </row>
    <row r="1622" spans="1:5" ht="21.9" customHeight="1" outlineLevel="1">
      <c r="A1622" s="1393" t="s">
        <v>880</v>
      </c>
      <c r="B1622" s="1381">
        <v>31847496</v>
      </c>
      <c r="C1622" s="1381">
        <f>'Itemized Budget 2024-25'!L3550</f>
        <v>29665152.04831427</v>
      </c>
      <c r="D1622" s="1381">
        <f>C1622*1.0962259996672</f>
        <v>32519710.959442794</v>
      </c>
      <c r="E1622" s="1381">
        <f>D1622*1.09639407014138</f>
        <v>35654418.258644722</v>
      </c>
    </row>
    <row r="1623" spans="1:5" ht="21.9" customHeight="1" outlineLevel="1">
      <c r="A1623" s="1393" t="s">
        <v>881</v>
      </c>
      <c r="B1623" s="1381">
        <v>12366093.202</v>
      </c>
      <c r="C1623" s="1381">
        <f>'Itemized Budget 2024-25'!L3552+'Itemized Budget 2024-25'!L3555+'Itemized Budget 2024-25'!L3559+'Itemized Budget 2024-25'!L3563+'Itemized Budget 2024-25'!L3567+'Itemized Budget 2024-25'!L3571+'Itemized Budget 2024-25'!L3580+'Itemized Budget 2024-25'!L3583+'Itemized Budget 2024-25'!L3585+'Itemized Budget 2024-25'!L3589+'Itemized Budget 2024-25'!L3591+'Itemized Budget 2024-25'!L3595+'Itemized Budget 2024-25'!L3597+'Itemized Budget 2024-25'!L3573</f>
        <v>10996406</v>
      </c>
      <c r="D1623" s="1381">
        <f>C1623*1.0962259996672</f>
        <v>12054546.160096396</v>
      </c>
      <c r="E1623" s="1381">
        <f>D1623*1.09639407014138</f>
        <v>13216532.92817523</v>
      </c>
    </row>
    <row r="1624" spans="1:5" ht="21.9" customHeight="1" outlineLevel="1">
      <c r="A1624" s="1393" t="s">
        <v>882</v>
      </c>
      <c r="B1624" s="1381">
        <v>2262000</v>
      </c>
      <c r="C1624" s="1381">
        <f>'Itemized Budget 2024-25'!L3600+'Itemized Budget 2024-25'!L3602</f>
        <v>0</v>
      </c>
      <c r="D1624" s="1381">
        <f>C1624*1.0962259996672</f>
        <v>0</v>
      </c>
      <c r="E1624" s="1381">
        <f>D1624*1.09639407014138</f>
        <v>0</v>
      </c>
    </row>
    <row r="1625" spans="1:5" ht="21.9" customHeight="1" outlineLevel="1">
      <c r="A1625" s="1382" t="s">
        <v>883</v>
      </c>
      <c r="B1625" s="1379">
        <v>0</v>
      </c>
      <c r="C1625" s="1379">
        <f>SUM(C1626:C1627)</f>
        <v>0</v>
      </c>
      <c r="D1625" s="1379">
        <f>SUM(D1626:D1627)</f>
        <v>0</v>
      </c>
      <c r="E1625" s="1379">
        <f>SUM(E1626:E1627)</f>
        <v>0</v>
      </c>
    </row>
    <row r="1626" spans="1:5" ht="21.9" customHeight="1" outlineLevel="1">
      <c r="A1626" s="1393" t="s">
        <v>891</v>
      </c>
      <c r="B1626" s="1381"/>
      <c r="C1626" s="1381"/>
      <c r="D1626" s="1381">
        <f>C1626*1.0962259996672</f>
        <v>0</v>
      </c>
      <c r="E1626" s="1381">
        <f>D1626*1.09639407014138</f>
        <v>0</v>
      </c>
    </row>
    <row r="1627" spans="1:5" ht="21.9" customHeight="1" outlineLevel="1">
      <c r="A1627" s="1393" t="s">
        <v>892</v>
      </c>
      <c r="B1627" s="1381"/>
      <c r="C1627" s="1381"/>
      <c r="D1627" s="1381">
        <f>C1627*1.0962259996672</f>
        <v>0</v>
      </c>
      <c r="E1627" s="1381">
        <f>D1627*1.09639407014138</f>
        <v>0</v>
      </c>
    </row>
    <row r="1628" spans="1:5" ht="21.9" customHeight="1" outlineLevel="1">
      <c r="A1628" s="1393" t="s">
        <v>893</v>
      </c>
      <c r="B1628" s="1379">
        <v>46475589.202</v>
      </c>
      <c r="C1628" s="1379">
        <f>C1621+C1625</f>
        <v>40661558.048314273</v>
      </c>
      <c r="D1628" s="1379">
        <f>D1621+D1625</f>
        <v>44574257.119539186</v>
      </c>
      <c r="E1628" s="1379">
        <f>E1621+E1625</f>
        <v>48870951.186819956</v>
      </c>
    </row>
    <row r="1629" spans="1:5" s="1366" customFormat="1" ht="21.9" customHeight="1" outlineLevel="1">
      <c r="A1629" s="1363"/>
      <c r="B1629" s="1364"/>
      <c r="C1629" s="1364"/>
      <c r="D1629" s="1364"/>
      <c r="E1629" s="1364"/>
    </row>
    <row r="1630" spans="1:5" s="1366" customFormat="1" ht="21.9" customHeight="1" outlineLevel="1">
      <c r="A1630" s="1366" t="s">
        <v>1060</v>
      </c>
      <c r="B1630" s="1364"/>
      <c r="C1630" s="1364"/>
      <c r="D1630" s="1364"/>
      <c r="E1630" s="1364"/>
    </row>
    <row r="1631" spans="1:5" ht="21.9" customHeight="1" outlineLevel="1">
      <c r="A1631" s="1363" t="s">
        <v>1055</v>
      </c>
    </row>
    <row r="1632" spans="1:5" ht="21.9" customHeight="1" outlineLevel="1">
      <c r="A1632" s="1369" t="s">
        <v>878</v>
      </c>
      <c r="B1632" s="1370" t="s">
        <v>1671</v>
      </c>
      <c r="C1632" s="1370" t="s">
        <v>1680</v>
      </c>
      <c r="D1632" s="1371" t="s">
        <v>859</v>
      </c>
      <c r="E1632" s="1372"/>
    </row>
    <row r="1633" spans="1:5" ht="21.9" customHeight="1" outlineLevel="1">
      <c r="A1633" s="1373"/>
      <c r="B1633" s="1374"/>
      <c r="C1633" s="1374"/>
      <c r="D1633" s="1375" t="s">
        <v>861</v>
      </c>
      <c r="E1633" s="1375" t="s">
        <v>1672</v>
      </c>
    </row>
    <row r="1634" spans="1:5" ht="21.9" customHeight="1" outlineLevel="1">
      <c r="A1634" s="1382" t="s">
        <v>890</v>
      </c>
      <c r="B1634" s="1379">
        <v>6316300</v>
      </c>
      <c r="C1634" s="1379">
        <f>SUM(C1635:C1637)</f>
        <v>9427000</v>
      </c>
      <c r="D1634" s="1379">
        <f>SUM(D1635:D1637)</f>
        <v>10334122.498862693</v>
      </c>
      <c r="E1634" s="1379">
        <f>SUM(E1635:E1637)</f>
        <v>11330270.627867676</v>
      </c>
    </row>
    <row r="1635" spans="1:5" ht="21.9" customHeight="1" outlineLevel="1">
      <c r="A1635" s="1393" t="s">
        <v>880</v>
      </c>
      <c r="B1635" s="1381"/>
      <c r="C1635" s="1381"/>
      <c r="D1635" s="1381">
        <f>C1635*1.0962259996672</f>
        <v>0</v>
      </c>
      <c r="E1635" s="1381">
        <f>D1635*1.09639407014138</f>
        <v>0</v>
      </c>
    </row>
    <row r="1636" spans="1:5" ht="21.9" customHeight="1" outlineLevel="1">
      <c r="A1636" s="1393" t="s">
        <v>881</v>
      </c>
      <c r="B1636" s="1381">
        <v>5910300</v>
      </c>
      <c r="C1636" s="1381">
        <f>'Itemized Budget 2024-25'!L3658-'Itemized Budget 2024-25'!L3654</f>
        <v>9427000</v>
      </c>
      <c r="D1636" s="1381">
        <f>C1636*1.0962259996672</f>
        <v>10334122.498862693</v>
      </c>
      <c r="E1636" s="1381">
        <f>D1636*1.09639407014138</f>
        <v>11330270.627867676</v>
      </c>
    </row>
    <row r="1637" spans="1:5" ht="21.9" customHeight="1" outlineLevel="1">
      <c r="A1637" s="1393" t="s">
        <v>882</v>
      </c>
      <c r="B1637" s="1381">
        <v>406000</v>
      </c>
      <c r="C1637" s="1381">
        <f>'Itemized Budget 2024-25'!L3654</f>
        <v>0</v>
      </c>
      <c r="D1637" s="1381">
        <f>C1637*1.0962259996672</f>
        <v>0</v>
      </c>
      <c r="E1637" s="1381">
        <f>D1637*1.09639407014138</f>
        <v>0</v>
      </c>
    </row>
    <row r="1638" spans="1:5" ht="21.9" customHeight="1" outlineLevel="1">
      <c r="A1638" s="1382" t="s">
        <v>883</v>
      </c>
      <c r="B1638" s="1379">
        <v>0</v>
      </c>
      <c r="C1638" s="1379">
        <f>SUM(C1639:C1640)</f>
        <v>0</v>
      </c>
      <c r="D1638" s="1379">
        <f>SUM(D1639:D1640)</f>
        <v>0</v>
      </c>
      <c r="E1638" s="1379">
        <f>SUM(E1639:E1640)</f>
        <v>0</v>
      </c>
    </row>
    <row r="1639" spans="1:5" ht="21.9" customHeight="1" outlineLevel="1">
      <c r="A1639" s="1393" t="s">
        <v>891</v>
      </c>
      <c r="B1639" s="1381">
        <v>0</v>
      </c>
      <c r="C1639" s="1381">
        <v>0</v>
      </c>
      <c r="D1639" s="1381">
        <f>C1639*1.0962259996672</f>
        <v>0</v>
      </c>
      <c r="E1639" s="1381">
        <f>D1639*1.09639407014138</f>
        <v>0</v>
      </c>
    </row>
    <row r="1640" spans="1:5" ht="21.9" customHeight="1" outlineLevel="1">
      <c r="A1640" s="1393" t="s">
        <v>892</v>
      </c>
      <c r="B1640" s="1381">
        <v>0</v>
      </c>
      <c r="C1640" s="1381">
        <v>0</v>
      </c>
      <c r="D1640" s="1381">
        <f>C1640*1.0962259996672</f>
        <v>0</v>
      </c>
      <c r="E1640" s="1381">
        <f>D1640*1.09639407014138</f>
        <v>0</v>
      </c>
    </row>
    <row r="1641" spans="1:5" ht="21.9" customHeight="1" outlineLevel="1">
      <c r="A1641" s="1382" t="s">
        <v>893</v>
      </c>
      <c r="B1641" s="1379">
        <v>6316300</v>
      </c>
      <c r="C1641" s="1379">
        <f>C1634+C1638</f>
        <v>9427000</v>
      </c>
      <c r="D1641" s="1379">
        <f>D1634+D1638</f>
        <v>10334122.498862693</v>
      </c>
      <c r="E1641" s="1379">
        <f>E1634+E1638</f>
        <v>11330270.627867676</v>
      </c>
    </row>
    <row r="1642" spans="1:5" ht="21.9" customHeight="1" outlineLevel="1">
      <c r="A1642" s="1366"/>
      <c r="B1642" s="1367"/>
      <c r="C1642" s="1367"/>
      <c r="D1642" s="1367"/>
      <c r="E1642" s="1367"/>
    </row>
    <row r="1643" spans="1:5" ht="21.9" customHeight="1" outlineLevel="1">
      <c r="A1643" s="1408" t="s">
        <v>1060</v>
      </c>
    </row>
    <row r="1644" spans="1:5" ht="21.9" customHeight="1" outlineLevel="1">
      <c r="A1644" s="1363" t="s">
        <v>1056</v>
      </c>
    </row>
    <row r="1645" spans="1:5" ht="21.9" customHeight="1" outlineLevel="1">
      <c r="A1645" s="1369" t="s">
        <v>878</v>
      </c>
      <c r="B1645" s="1370" t="s">
        <v>1671</v>
      </c>
      <c r="C1645" s="1370" t="s">
        <v>1680</v>
      </c>
      <c r="D1645" s="1371" t="s">
        <v>859</v>
      </c>
      <c r="E1645" s="1372"/>
    </row>
    <row r="1646" spans="1:5" ht="21.9" customHeight="1" outlineLevel="1">
      <c r="A1646" s="1373"/>
      <c r="B1646" s="1374"/>
      <c r="C1646" s="1374"/>
      <c r="D1646" s="1375" t="s">
        <v>861</v>
      </c>
      <c r="E1646" s="1375" t="s">
        <v>1672</v>
      </c>
    </row>
    <row r="1647" spans="1:5" ht="21.9" customHeight="1" outlineLevel="1">
      <c r="A1647" s="1382" t="s">
        <v>890</v>
      </c>
      <c r="B1647" s="1379">
        <v>6877796</v>
      </c>
      <c r="C1647" s="1379">
        <f>SUM(C1648:C1650)</f>
        <v>8024200</v>
      </c>
      <c r="D1647" s="1379">
        <f>SUM(D1648:D1650)</f>
        <v>8796336.6665295456</v>
      </c>
      <c r="E1647" s="1379">
        <f>SUM(E1648:E1650)</f>
        <v>9644251.3601501863</v>
      </c>
    </row>
    <row r="1648" spans="1:5" ht="21.9" customHeight="1" outlineLevel="1">
      <c r="A1648" s="1393" t="s">
        <v>880</v>
      </c>
      <c r="B1648" s="1381"/>
      <c r="C1648" s="1381"/>
      <c r="D1648" s="1381">
        <f>C1648*1.0962259996672</f>
        <v>0</v>
      </c>
      <c r="E1648" s="1381">
        <f>D1648*1.09639407014138</f>
        <v>0</v>
      </c>
    </row>
    <row r="1649" spans="1:5" ht="21.9" customHeight="1" outlineLevel="1">
      <c r="A1649" s="1393" t="s">
        <v>881</v>
      </c>
      <c r="B1649" s="1381">
        <v>6222396</v>
      </c>
      <c r="C1649" s="1381">
        <f>'Itemized Budget 2024-25'!L3710-'Itemized Budget 2024-25'!L3707</f>
        <v>8024200</v>
      </c>
      <c r="D1649" s="1381">
        <f>C1649*1.0962259996672</f>
        <v>8796336.6665295456</v>
      </c>
      <c r="E1649" s="1381">
        <f>D1649*1.09639407014138</f>
        <v>9644251.3601501863</v>
      </c>
    </row>
    <row r="1650" spans="1:5" ht="21.9" customHeight="1" outlineLevel="1">
      <c r="A1650" s="1393" t="s">
        <v>882</v>
      </c>
      <c r="B1650" s="1381">
        <v>655400</v>
      </c>
      <c r="C1650" s="1381">
        <f>'Itemized Budget 2024-25'!L3707</f>
        <v>0</v>
      </c>
      <c r="D1650" s="1381">
        <f>C1650*1.0962259996672</f>
        <v>0</v>
      </c>
      <c r="E1650" s="1381">
        <f>D1650*1.09639407014138</f>
        <v>0</v>
      </c>
    </row>
    <row r="1651" spans="1:5" s="1366" customFormat="1" ht="21.9" customHeight="1" outlineLevel="1">
      <c r="A1651" s="1382" t="s">
        <v>883</v>
      </c>
      <c r="B1651" s="1379">
        <v>0</v>
      </c>
      <c r="C1651" s="1379">
        <f>SUM(C1652:C1653)</f>
        <v>0</v>
      </c>
      <c r="D1651" s="1379">
        <f>SUM(D1652:D1653)</f>
        <v>0</v>
      </c>
      <c r="E1651" s="1379">
        <f>SUM(E1652:E1653)</f>
        <v>0</v>
      </c>
    </row>
    <row r="1652" spans="1:5" ht="21.9" customHeight="1" outlineLevel="1">
      <c r="A1652" s="1393" t="s">
        <v>891</v>
      </c>
      <c r="B1652" s="1381">
        <v>0</v>
      </c>
      <c r="C1652" s="1381">
        <v>0</v>
      </c>
      <c r="D1652" s="1381">
        <f>C1652*1.0962259996672</f>
        <v>0</v>
      </c>
      <c r="E1652" s="1381">
        <f>D1652*1.09639407014138</f>
        <v>0</v>
      </c>
    </row>
    <row r="1653" spans="1:5" ht="21.9" customHeight="1" outlineLevel="1">
      <c r="A1653" s="1393" t="s">
        <v>892</v>
      </c>
      <c r="B1653" s="1381">
        <v>0</v>
      </c>
      <c r="C1653" s="1381">
        <v>0</v>
      </c>
      <c r="D1653" s="1381">
        <f>C1653*1.0962259996672</f>
        <v>0</v>
      </c>
      <c r="E1653" s="1381">
        <f>D1653*1.09639407014138</f>
        <v>0</v>
      </c>
    </row>
    <row r="1654" spans="1:5" ht="21.9" customHeight="1" outlineLevel="1">
      <c r="A1654" s="1382" t="s">
        <v>893</v>
      </c>
      <c r="B1654" s="1379">
        <v>6877796</v>
      </c>
      <c r="C1654" s="1379">
        <f>C1647+C1651</f>
        <v>8024200</v>
      </c>
      <c r="D1654" s="1379">
        <f>D1647+D1651</f>
        <v>8796336.6665295456</v>
      </c>
      <c r="E1654" s="1379">
        <f>E1647+E1651</f>
        <v>9644251.3601501863</v>
      </c>
    </row>
    <row r="1655" spans="1:5" ht="21.9" customHeight="1" outlineLevel="1"/>
    <row r="1656" spans="1:5" ht="21.9" customHeight="1" outlineLevel="1">
      <c r="A1656" s="1408" t="s">
        <v>1061</v>
      </c>
    </row>
    <row r="1657" spans="1:5" ht="21.9" customHeight="1" outlineLevel="1">
      <c r="A1657" s="1363" t="s">
        <v>1062</v>
      </c>
    </row>
    <row r="1658" spans="1:5" ht="21.9" customHeight="1" outlineLevel="1">
      <c r="A1658" s="1369" t="s">
        <v>878</v>
      </c>
      <c r="B1658" s="1370" t="s">
        <v>1671</v>
      </c>
      <c r="C1658" s="1370" t="s">
        <v>1680</v>
      </c>
      <c r="D1658" s="1371" t="s">
        <v>859</v>
      </c>
      <c r="E1658" s="1372"/>
    </row>
    <row r="1659" spans="1:5" ht="21.9" customHeight="1" outlineLevel="1">
      <c r="A1659" s="1373"/>
      <c r="B1659" s="1374"/>
      <c r="C1659" s="1374"/>
      <c r="D1659" s="1375" t="s">
        <v>861</v>
      </c>
      <c r="E1659" s="1375" t="s">
        <v>1672</v>
      </c>
    </row>
    <row r="1660" spans="1:5" ht="21.9" customHeight="1" outlineLevel="1">
      <c r="A1660" s="1382" t="s">
        <v>890</v>
      </c>
      <c r="B1660" s="1379">
        <v>4664118.1499999911</v>
      </c>
      <c r="C1660" s="1379">
        <f>SUM(C1661:C1663)</f>
        <v>5865306</v>
      </c>
      <c r="D1660" s="1379">
        <f>SUM(D1661:D1663)</f>
        <v>6429700.933204026</v>
      </c>
      <c r="E1660" s="1379">
        <f>SUM(E1661:E1663)</f>
        <v>7049485.9759473903</v>
      </c>
    </row>
    <row r="1661" spans="1:5" s="1366" customFormat="1" ht="21.9" customHeight="1" outlineLevel="1">
      <c r="A1661" s="1393" t="s">
        <v>880</v>
      </c>
      <c r="B1661" s="1381"/>
      <c r="C1661" s="1381"/>
      <c r="D1661" s="1381">
        <f>C1661*1.0962259996672</f>
        <v>0</v>
      </c>
      <c r="E1661" s="1381">
        <f>D1661*1.09639407014138</f>
        <v>0</v>
      </c>
    </row>
    <row r="1662" spans="1:5" ht="21.9" customHeight="1" outlineLevel="1">
      <c r="A1662" s="1393" t="s">
        <v>881</v>
      </c>
      <c r="B1662" s="1381">
        <v>4466800</v>
      </c>
      <c r="C1662" s="1381">
        <f>'Itemized Budget 2024-25'!L3751-'Itemized Budget 2024-25'!L3749</f>
        <v>5865306</v>
      </c>
      <c r="D1662" s="1381">
        <f>C1662*1.0962259996672</f>
        <v>6429700.933204026</v>
      </c>
      <c r="E1662" s="1381">
        <f>D1662*1.09639407014138</f>
        <v>7049485.9759473903</v>
      </c>
    </row>
    <row r="1663" spans="1:5" ht="21.9" customHeight="1" outlineLevel="1">
      <c r="A1663" s="1393" t="s">
        <v>882</v>
      </c>
      <c r="B1663" s="1381">
        <v>197318.14999999106</v>
      </c>
      <c r="C1663" s="1381">
        <f>'Itemized Budget 2024-25'!L3749</f>
        <v>0</v>
      </c>
      <c r="D1663" s="1381">
        <f>C1663*1.0962259996672</f>
        <v>0</v>
      </c>
      <c r="E1663" s="1381">
        <f>D1663*1.09639407014138</f>
        <v>0</v>
      </c>
    </row>
    <row r="1664" spans="1:5" s="1366" customFormat="1" ht="21.9" customHeight="1" outlineLevel="1">
      <c r="A1664" s="1382" t="s">
        <v>883</v>
      </c>
      <c r="B1664" s="1379">
        <v>15000000</v>
      </c>
      <c r="C1664" s="1379">
        <f>SUM(C1665:C1666)</f>
        <v>24734068.422483109</v>
      </c>
      <c r="D1664" s="1379">
        <f>SUM(D1665:D1666)</f>
        <v>27114128.882273469</v>
      </c>
      <c r="E1664" s="1379">
        <f>SUM(E1665:E1666)</f>
        <v>29727770.123573754</v>
      </c>
    </row>
    <row r="1665" spans="1:5" ht="21.9" customHeight="1" outlineLevel="1">
      <c r="A1665" s="1393" t="s">
        <v>891</v>
      </c>
      <c r="B1665" s="1381">
        <v>15000000</v>
      </c>
      <c r="C1665" s="1381">
        <f>'Itemized Budget 2024-25'!L3753</f>
        <v>24734068.422483109</v>
      </c>
      <c r="D1665" s="1381">
        <f>C1665*1.0962259996672</f>
        <v>27114128.882273469</v>
      </c>
      <c r="E1665" s="1381">
        <f>D1665*1.09639407014138</f>
        <v>29727770.123573754</v>
      </c>
    </row>
    <row r="1666" spans="1:5" ht="21.9" customHeight="1" outlineLevel="1">
      <c r="A1666" s="1393" t="s">
        <v>892</v>
      </c>
      <c r="B1666" s="1381">
        <v>0</v>
      </c>
      <c r="C1666" s="1381">
        <v>0</v>
      </c>
      <c r="D1666" s="1381">
        <f>C1666*1.0962259996672</f>
        <v>0</v>
      </c>
      <c r="E1666" s="1381">
        <f>D1666*1.09639407014138</f>
        <v>0</v>
      </c>
    </row>
    <row r="1667" spans="1:5" ht="21.9" customHeight="1" outlineLevel="1">
      <c r="A1667" s="1382" t="s">
        <v>893</v>
      </c>
      <c r="B1667" s="1379">
        <v>19664118.149999991</v>
      </c>
      <c r="C1667" s="1379">
        <f>C1660+C1664</f>
        <v>30599374.422483109</v>
      </c>
      <c r="D1667" s="1379">
        <f>D1660+D1664</f>
        <v>33543829.815477494</v>
      </c>
      <c r="E1667" s="1379">
        <f>E1660+E1664</f>
        <v>36777256.099521145</v>
      </c>
    </row>
    <row r="1668" spans="1:5" ht="21.9" customHeight="1">
      <c r="A1668" s="1407"/>
    </row>
    <row r="1669" spans="1:5" ht="21.9" customHeight="1">
      <c r="A1669" s="1366" t="s">
        <v>676</v>
      </c>
      <c r="B1669" s="1367"/>
      <c r="C1669" s="1367"/>
      <c r="D1669" s="1367"/>
      <c r="E1669" s="1367"/>
    </row>
    <row r="1670" spans="1:5" ht="21.9" customHeight="1" outlineLevel="1">
      <c r="A1670" s="1408" t="s">
        <v>1707</v>
      </c>
      <c r="B1670" s="1368"/>
      <c r="C1670" s="1368"/>
      <c r="D1670" s="1368"/>
      <c r="E1670" s="1368"/>
    </row>
    <row r="1671" spans="1:5" ht="21.9" customHeight="1" outlineLevel="1">
      <c r="A1671" s="1369" t="s">
        <v>948</v>
      </c>
      <c r="B1671" s="1412" t="s">
        <v>1671</v>
      </c>
      <c r="C1671" s="1412" t="s">
        <v>1680</v>
      </c>
      <c r="D1671" s="1371" t="s">
        <v>859</v>
      </c>
      <c r="E1671" s="1372"/>
    </row>
    <row r="1672" spans="1:5" ht="21.9" customHeight="1" outlineLevel="1">
      <c r="A1672" s="1373"/>
      <c r="B1672" s="1374"/>
      <c r="C1672" s="1374"/>
      <c r="D1672" s="1413" t="s">
        <v>861</v>
      </c>
      <c r="E1672" s="1413" t="s">
        <v>1672</v>
      </c>
    </row>
    <row r="1673" spans="1:5" ht="21.9" customHeight="1" outlineLevel="1">
      <c r="A1673" s="1378" t="s">
        <v>1054</v>
      </c>
      <c r="B1673" s="1379">
        <v>555114416.39999998</v>
      </c>
      <c r="C1673" s="1379">
        <f>C1703</f>
        <v>319112328</v>
      </c>
      <c r="D1673" s="1379">
        <v>602638471</v>
      </c>
      <c r="E1673" s="1379">
        <v>615185303</v>
      </c>
    </row>
    <row r="1674" spans="1:5" ht="21.9" customHeight="1" outlineLevel="1">
      <c r="A1674" s="1366" t="s">
        <v>1063</v>
      </c>
      <c r="B1674" s="1379">
        <v>854758424</v>
      </c>
      <c r="C1674" s="1379">
        <f>'Itemized Budget 2024-25'!L3918+'Itemized Budget 2024-25'!L3925</f>
        <v>819938259</v>
      </c>
      <c r="D1674" s="1379">
        <v>690467437</v>
      </c>
      <c r="E1674" s="1379">
        <v>703452209</v>
      </c>
    </row>
    <row r="1675" spans="1:5" ht="21.9" customHeight="1" outlineLevel="1">
      <c r="A1675" s="1382" t="s">
        <v>876</v>
      </c>
      <c r="B1675" s="1379">
        <v>1409872840.4000001</v>
      </c>
      <c r="C1675" s="1379">
        <f>C1673+C1674</f>
        <v>1139050587</v>
      </c>
      <c r="D1675" s="1379">
        <f>D1673+D1674</f>
        <v>1293105908</v>
      </c>
      <c r="E1675" s="1379">
        <f>E1673+E1674</f>
        <v>1318637512</v>
      </c>
    </row>
    <row r="1676" spans="1:5" ht="21.9" customHeight="1" outlineLevel="1">
      <c r="A1676" s="1407"/>
    </row>
    <row r="1677" spans="1:5" ht="21.9" customHeight="1" outlineLevel="1">
      <c r="A1677" s="1407"/>
    </row>
    <row r="1678" spans="1:5" ht="21.9" customHeight="1" outlineLevel="1">
      <c r="A1678" s="1366" t="s">
        <v>903</v>
      </c>
    </row>
    <row r="1679" spans="1:5" ht="21.9" customHeight="1" outlineLevel="1">
      <c r="A1679" s="1366"/>
    </row>
    <row r="1680" spans="1:5" ht="21.9" customHeight="1" outlineLevel="1">
      <c r="A1680" s="1369" t="s">
        <v>878</v>
      </c>
      <c r="B1680" s="1412" t="s">
        <v>1671</v>
      </c>
      <c r="C1680" s="1412" t="s">
        <v>1680</v>
      </c>
      <c r="D1680" s="1371" t="s">
        <v>859</v>
      </c>
      <c r="E1680" s="1372"/>
    </row>
    <row r="1681" spans="1:6" ht="21.9" customHeight="1" outlineLevel="1">
      <c r="A1681" s="1373"/>
      <c r="B1681" s="1374"/>
      <c r="C1681" s="1374"/>
      <c r="D1681" s="1413" t="s">
        <v>861</v>
      </c>
      <c r="E1681" s="1413" t="s">
        <v>1672</v>
      </c>
    </row>
    <row r="1682" spans="1:6" ht="21.9" customHeight="1" outlineLevel="1">
      <c r="A1682" s="1382" t="s">
        <v>890</v>
      </c>
      <c r="B1682" s="1379">
        <v>1300819066</v>
      </c>
      <c r="C1682" s="1379">
        <f>SUM(C1683:C1685)</f>
        <v>1130130552</v>
      </c>
      <c r="D1682" s="1379">
        <f>SUM(D1683:D1685)</f>
        <v>1238878494.1206446</v>
      </c>
      <c r="E1682" s="1379">
        <f>SUM(E1683:E1685)</f>
        <v>1358090815.683599</v>
      </c>
    </row>
    <row r="1683" spans="1:6" ht="21.9" customHeight="1" outlineLevel="1">
      <c r="A1683" s="1393" t="s">
        <v>880</v>
      </c>
      <c r="B1683" s="1381">
        <v>420668537</v>
      </c>
      <c r="C1683" s="1381">
        <f>C1697+C1709</f>
        <v>425641295</v>
      </c>
      <c r="D1683" s="1381">
        <f t="shared" ref="D1683:E1683" si="41">D1697+D1709</f>
        <v>466599054.11101651</v>
      </c>
      <c r="E1683" s="1381">
        <f t="shared" si="41"/>
        <v>511498014.53661907</v>
      </c>
      <c r="F1683" s="1421"/>
    </row>
    <row r="1684" spans="1:6" ht="21.9" customHeight="1" outlineLevel="1">
      <c r="A1684" s="1393" t="s">
        <v>881</v>
      </c>
      <c r="B1684" s="1381">
        <v>634494079</v>
      </c>
      <c r="C1684" s="1381">
        <f t="shared" ref="C1684:E1688" si="42">C1698+C1710</f>
        <v>545029422</v>
      </c>
      <c r="D1684" s="1381">
        <f t="shared" ref="D1684:E1684" si="43">D1698+D1710</f>
        <v>597475422.97998619</v>
      </c>
      <c r="E1684" s="1381">
        <f t="shared" si="43"/>
        <v>654968092.83281851</v>
      </c>
    </row>
    <row r="1685" spans="1:6" ht="21.9" customHeight="1" outlineLevel="1">
      <c r="A1685" s="1393" t="s">
        <v>882</v>
      </c>
      <c r="B1685" s="1381">
        <v>245656450</v>
      </c>
      <c r="C1685" s="1381">
        <f t="shared" si="42"/>
        <v>159459835</v>
      </c>
      <c r="D1685" s="1381">
        <f t="shared" ref="D1685:E1685" si="44">D1699+D1711</f>
        <v>174804017.02964175</v>
      </c>
      <c r="E1685" s="1381">
        <f t="shared" si="44"/>
        <v>191624708.31416127</v>
      </c>
    </row>
    <row r="1686" spans="1:6" s="1366" customFormat="1" ht="21.9" customHeight="1" outlineLevel="1">
      <c r="A1686" s="1382" t="s">
        <v>883</v>
      </c>
      <c r="B1686" s="1379">
        <v>229058553</v>
      </c>
      <c r="C1686" s="1379">
        <f>C1687+C1688</f>
        <v>140900561</v>
      </c>
      <c r="D1686" s="1379">
        <f>D1687+D1688</f>
        <v>154458858.33589429</v>
      </c>
      <c r="E1686" s="1379">
        <f>E1687+E1688</f>
        <v>169321816.38672012</v>
      </c>
    </row>
    <row r="1687" spans="1:6" ht="21.9" customHeight="1" outlineLevel="1">
      <c r="A1687" s="1393" t="s">
        <v>884</v>
      </c>
      <c r="B1687" s="1381">
        <v>229058553</v>
      </c>
      <c r="C1687" s="1381">
        <f t="shared" si="42"/>
        <v>140900561</v>
      </c>
      <c r="D1687" s="1381">
        <f t="shared" si="42"/>
        <v>154458858.33589429</v>
      </c>
      <c r="E1687" s="1381">
        <f t="shared" si="42"/>
        <v>169321816.38672012</v>
      </c>
    </row>
    <row r="1688" spans="1:6" ht="21.9" customHeight="1" outlineLevel="1">
      <c r="A1688" s="1393" t="s">
        <v>885</v>
      </c>
      <c r="B1688" s="1381">
        <v>0</v>
      </c>
      <c r="C1688" s="1381">
        <f t="shared" si="42"/>
        <v>0</v>
      </c>
      <c r="D1688" s="1381">
        <f t="shared" si="42"/>
        <v>0</v>
      </c>
      <c r="E1688" s="1381">
        <f t="shared" si="42"/>
        <v>0</v>
      </c>
    </row>
    <row r="1689" spans="1:6" s="1366" customFormat="1" ht="21.9" customHeight="1" outlineLevel="1">
      <c r="A1689" s="1382" t="s">
        <v>886</v>
      </c>
      <c r="B1689" s="1379">
        <v>1529877619</v>
      </c>
      <c r="C1689" s="1379">
        <f>C1682+C1686</f>
        <v>1271031113</v>
      </c>
      <c r="D1689" s="1379">
        <f>D1682+D1686</f>
        <v>1393337352.4565389</v>
      </c>
      <c r="E1689" s="1379">
        <f>E1682+E1686</f>
        <v>1527412632.0703192</v>
      </c>
    </row>
    <row r="1690" spans="1:6" ht="21.9" customHeight="1" outlineLevel="1">
      <c r="A1690" s="1407"/>
    </row>
    <row r="1691" spans="1:6" ht="21.9" customHeight="1" outlineLevel="1">
      <c r="A1691" s="1366" t="s">
        <v>887</v>
      </c>
    </row>
    <row r="1692" spans="1:6" ht="21.9" customHeight="1" outlineLevel="1">
      <c r="A1692" s="1366"/>
    </row>
    <row r="1693" spans="1:6" ht="21.9" customHeight="1" outlineLevel="1">
      <c r="A1693" s="1366" t="s">
        <v>1064</v>
      </c>
    </row>
    <row r="1694" spans="1:6" ht="21.9" customHeight="1" outlineLevel="1">
      <c r="A1694" s="1369" t="s">
        <v>878</v>
      </c>
      <c r="B1694" s="1370" t="s">
        <v>857</v>
      </c>
      <c r="C1694" s="1370" t="s">
        <v>858</v>
      </c>
      <c r="D1694" s="1371" t="s">
        <v>859</v>
      </c>
      <c r="E1694" s="1372"/>
    </row>
    <row r="1695" spans="1:6" ht="21.9" customHeight="1" outlineLevel="1">
      <c r="A1695" s="1373"/>
      <c r="B1695" s="1374"/>
      <c r="C1695" s="1374"/>
      <c r="D1695" s="1375" t="s">
        <v>860</v>
      </c>
      <c r="E1695" s="1375" t="s">
        <v>861</v>
      </c>
    </row>
    <row r="1696" spans="1:6" ht="21.9" customHeight="1" outlineLevel="1">
      <c r="A1696" s="1382" t="s">
        <v>890</v>
      </c>
      <c r="B1696" s="1379">
        <v>303402199</v>
      </c>
      <c r="C1696" s="1379">
        <f>SUM(C1697:C1699)</f>
        <v>319112328</v>
      </c>
      <c r="D1696" s="1379">
        <f>SUM(D1697:D1699)</f>
        <v>349819230.76792741</v>
      </c>
      <c r="E1696" s="1379">
        <f>SUM(E1697:E1699)</f>
        <v>383480935.95138204</v>
      </c>
    </row>
    <row r="1697" spans="1:5" ht="21.9" customHeight="1" outlineLevel="1">
      <c r="A1697" s="1393" t="s">
        <v>880</v>
      </c>
      <c r="B1697" s="1381">
        <v>142903019</v>
      </c>
      <c r="C1697" s="1381">
        <v>126945272</v>
      </c>
      <c r="D1697" s="1381">
        <f t="shared" ref="D1697:E1699" si="45">C1697*1.0962259996672</f>
        <v>139160707.7012246</v>
      </c>
      <c r="E1697" s="1381">
        <f t="shared" si="45"/>
        <v>152551585.91416994</v>
      </c>
    </row>
    <row r="1698" spans="1:5" ht="21.9" customHeight="1" outlineLevel="1">
      <c r="A1698" s="1393" t="s">
        <v>881</v>
      </c>
      <c r="B1698" s="1381">
        <v>147842730</v>
      </c>
      <c r="C1698" s="1381">
        <v>177725884</v>
      </c>
      <c r="D1698" s="1381">
        <f t="shared" si="45"/>
        <v>194827734.85463682</v>
      </c>
      <c r="E1698" s="1381">
        <f t="shared" si="45"/>
        <v>213575228.40392041</v>
      </c>
    </row>
    <row r="1699" spans="1:5" ht="21.9" customHeight="1" outlineLevel="1">
      <c r="A1699" s="1393" t="s">
        <v>882</v>
      </c>
      <c r="B1699" s="1381">
        <v>12656450</v>
      </c>
      <c r="C1699" s="1381">
        <v>14441172</v>
      </c>
      <c r="D1699" s="1381">
        <f t="shared" si="45"/>
        <v>15830788.212065976</v>
      </c>
      <c r="E1699" s="1381">
        <f t="shared" si="45"/>
        <v>17354121.633291747</v>
      </c>
    </row>
    <row r="1700" spans="1:5" ht="21.9" customHeight="1" outlineLevel="1">
      <c r="A1700" s="1382" t="s">
        <v>883</v>
      </c>
      <c r="B1700" s="1379">
        <v>229058553</v>
      </c>
      <c r="C1700" s="1379">
        <f>C1701+C1702</f>
        <v>0</v>
      </c>
      <c r="D1700" s="1379">
        <f>D1701+D1702</f>
        <v>0</v>
      </c>
      <c r="E1700" s="1379">
        <f>E1701+E1702</f>
        <v>0</v>
      </c>
    </row>
    <row r="1701" spans="1:5" ht="21.9" customHeight="1" outlineLevel="1">
      <c r="A1701" s="1393" t="s">
        <v>891</v>
      </c>
      <c r="B1701" s="1381">
        <v>229058553</v>
      </c>
      <c r="C1701" s="1381">
        <v>0</v>
      </c>
      <c r="D1701" s="1381">
        <f>C1701*1.0962259996672</f>
        <v>0</v>
      </c>
      <c r="E1701" s="1381">
        <f>D1701*1.0962259996672</f>
        <v>0</v>
      </c>
    </row>
    <row r="1702" spans="1:5" ht="21.9" customHeight="1" outlineLevel="1">
      <c r="A1702" s="1393" t="s">
        <v>892</v>
      </c>
      <c r="B1702" s="1381"/>
      <c r="C1702" s="1381"/>
      <c r="D1702" s="1381">
        <f>C1702*1.0962259996672</f>
        <v>0</v>
      </c>
      <c r="E1702" s="1381">
        <f>D1702*1.0962259996672</f>
        <v>0</v>
      </c>
    </row>
    <row r="1703" spans="1:5" ht="21.9" customHeight="1" outlineLevel="1">
      <c r="A1703" s="1393" t="s">
        <v>893</v>
      </c>
      <c r="B1703" s="1379">
        <v>532460752</v>
      </c>
      <c r="C1703" s="1379">
        <f>C1696+C1700</f>
        <v>319112328</v>
      </c>
      <c r="D1703" s="1379">
        <f>D1696+D1700</f>
        <v>349819230.76792741</v>
      </c>
      <c r="E1703" s="1379">
        <f>E1696+E1700</f>
        <v>383480935.95138204</v>
      </c>
    </row>
    <row r="1704" spans="1:5" s="1366" customFormat="1" ht="21.9" customHeight="1" outlineLevel="1">
      <c r="A1704" s="1363"/>
      <c r="B1704" s="1364"/>
      <c r="C1704" s="1364"/>
      <c r="D1704" s="1364"/>
      <c r="E1704" s="1364"/>
    </row>
    <row r="1705" spans="1:5" s="1366" customFormat="1" ht="21.9" customHeight="1" outlineLevel="1">
      <c r="A1705" s="1366" t="s">
        <v>1063</v>
      </c>
      <c r="B1705" s="1364"/>
      <c r="C1705" s="1364"/>
      <c r="D1705" s="1364"/>
      <c r="E1705" s="1364"/>
    </row>
    <row r="1706" spans="1:5" ht="21.9" customHeight="1" outlineLevel="1">
      <c r="A1706" s="1369" t="s">
        <v>878</v>
      </c>
      <c r="B1706" s="1412" t="s">
        <v>1671</v>
      </c>
      <c r="C1706" s="1412" t="s">
        <v>1680</v>
      </c>
      <c r="D1706" s="1371" t="s">
        <v>859</v>
      </c>
      <c r="E1706" s="1372"/>
    </row>
    <row r="1707" spans="1:5" ht="21.9" customHeight="1" outlineLevel="1">
      <c r="A1707" s="1373"/>
      <c r="B1707" s="1374"/>
      <c r="C1707" s="1374"/>
      <c r="D1707" s="1413" t="s">
        <v>861</v>
      </c>
      <c r="E1707" s="1413" t="s">
        <v>1672</v>
      </c>
    </row>
    <row r="1708" spans="1:5" ht="21.9" customHeight="1" outlineLevel="1">
      <c r="A1708" s="1382" t="s">
        <v>890</v>
      </c>
      <c r="B1708" s="1379">
        <v>997416867</v>
      </c>
      <c r="C1708" s="1379">
        <f>SUM(C1709:C1711)</f>
        <v>811018224</v>
      </c>
      <c r="D1708" s="1379">
        <f>SUM(D1709:D1711)</f>
        <v>889059263.35271704</v>
      </c>
      <c r="E1708" s="1379">
        <f>SUM(E1709:E1711)</f>
        <v>974609879.7322166</v>
      </c>
    </row>
    <row r="1709" spans="1:5" ht="21.9" customHeight="1" outlineLevel="1">
      <c r="A1709" s="1393" t="s">
        <v>880</v>
      </c>
      <c r="B1709" s="1381">
        <v>277765518</v>
      </c>
      <c r="C1709" s="1381">
        <v>298696023</v>
      </c>
      <c r="D1709" s="1381">
        <f t="shared" ref="D1709:E1711" si="46">C1709*1.0962259996672</f>
        <v>327438346.40979195</v>
      </c>
      <c r="E1709" s="1381">
        <f t="shared" si="46"/>
        <v>358946428.6224491</v>
      </c>
    </row>
    <row r="1710" spans="1:5" ht="21.9" customHeight="1" outlineLevel="1">
      <c r="A1710" s="1393" t="s">
        <v>881</v>
      </c>
      <c r="B1710" s="1381">
        <v>486651349</v>
      </c>
      <c r="C1710" s="1381">
        <v>367303538</v>
      </c>
      <c r="D1710" s="1381">
        <f t="shared" si="46"/>
        <v>402647688.12534934</v>
      </c>
      <c r="E1710" s="1381">
        <f t="shared" si="46"/>
        <v>441392864.42889804</v>
      </c>
    </row>
    <row r="1711" spans="1:5" ht="21.9" customHeight="1" outlineLevel="1">
      <c r="A1711" s="1393" t="s">
        <v>882</v>
      </c>
      <c r="B1711" s="1381">
        <v>233000000</v>
      </c>
      <c r="C1711" s="1381">
        <v>145018663</v>
      </c>
      <c r="D1711" s="1381">
        <f t="shared" si="46"/>
        <v>158973228.81757578</v>
      </c>
      <c r="E1711" s="1381">
        <f t="shared" si="46"/>
        <v>174270586.68086952</v>
      </c>
    </row>
    <row r="1712" spans="1:5" ht="21.9" customHeight="1" outlineLevel="1">
      <c r="A1712" s="1382" t="s">
        <v>883</v>
      </c>
      <c r="B1712" s="1379">
        <v>0</v>
      </c>
      <c r="C1712" s="1379">
        <f>C1713+C1714</f>
        <v>140900561</v>
      </c>
      <c r="D1712" s="1379">
        <f>D1713+D1714</f>
        <v>154458858.33589429</v>
      </c>
      <c r="E1712" s="1379">
        <f>E1713+E1714</f>
        <v>169321816.38672012</v>
      </c>
    </row>
    <row r="1713" spans="1:5" ht="21.9" customHeight="1" outlineLevel="1">
      <c r="A1713" s="1393" t="s">
        <v>891</v>
      </c>
      <c r="B1713" s="1381">
        <v>0</v>
      </c>
      <c r="C1713" s="1381">
        <f>'Itemized Budget 2024-25'!L3925</f>
        <v>140900561</v>
      </c>
      <c r="D1713" s="1381">
        <f>C1713*1.0962259996672</f>
        <v>154458858.33589429</v>
      </c>
      <c r="E1713" s="1381">
        <f>D1713*1.0962259996672</f>
        <v>169321816.38672012</v>
      </c>
    </row>
    <row r="1714" spans="1:5" ht="21.9" customHeight="1" outlineLevel="1">
      <c r="A1714" s="1393" t="s">
        <v>892</v>
      </c>
      <c r="B1714" s="1381">
        <v>0</v>
      </c>
      <c r="C1714" s="1381">
        <v>0</v>
      </c>
      <c r="D1714" s="1381">
        <f>C1714*1.0962259996672</f>
        <v>0</v>
      </c>
      <c r="E1714" s="1381">
        <f>D1714*1.0962259996672</f>
        <v>0</v>
      </c>
    </row>
    <row r="1715" spans="1:5" ht="21.9" customHeight="1" outlineLevel="1">
      <c r="A1715" s="1382" t="s">
        <v>893</v>
      </c>
      <c r="B1715" s="1379">
        <v>997416867</v>
      </c>
      <c r="C1715" s="1379">
        <f>C1708+C1712</f>
        <v>951918785</v>
      </c>
      <c r="D1715" s="1379">
        <f>D1708+D1712</f>
        <v>1043518121.6886113</v>
      </c>
      <c r="E1715" s="1379">
        <f>E1708+E1712</f>
        <v>1143931696.1189368</v>
      </c>
    </row>
    <row r="1716" spans="1:5" ht="21.9" customHeight="1" outlineLevel="1">
      <c r="A1716" s="1366"/>
      <c r="B1716" s="1367"/>
      <c r="C1716" s="1367"/>
      <c r="D1716" s="1367"/>
      <c r="E1716" s="1367"/>
    </row>
    <row r="1718" spans="1:5" ht="21.9" customHeight="1">
      <c r="A1718" s="1366" t="s">
        <v>678</v>
      </c>
    </row>
    <row r="1719" spans="1:5" ht="21.9" hidden="1" customHeight="1" outlineLevel="1">
      <c r="A1719" s="1407"/>
    </row>
    <row r="1720" spans="1:5" ht="21.9" hidden="1" customHeight="1" outlineLevel="1">
      <c r="A1720" s="1366" t="s">
        <v>1707</v>
      </c>
      <c r="B1720" s="1368"/>
      <c r="C1720" s="1368"/>
      <c r="D1720" s="1368"/>
      <c r="E1720" s="1368"/>
    </row>
    <row r="1721" spans="1:5" ht="21.9" hidden="1" customHeight="1" outlineLevel="1">
      <c r="A1721" s="1366"/>
    </row>
    <row r="1722" spans="1:5" s="1436" customFormat="1" ht="21.9" hidden="1" customHeight="1" outlineLevel="1">
      <c r="A1722" s="1437" t="s">
        <v>856</v>
      </c>
      <c r="B1722" s="1370" t="s">
        <v>1671</v>
      </c>
      <c r="C1722" s="1370" t="s">
        <v>1680</v>
      </c>
      <c r="D1722" s="1371" t="s">
        <v>859</v>
      </c>
      <c r="E1722" s="1372"/>
    </row>
    <row r="1723" spans="1:5" s="1436" customFormat="1" ht="21.9" hidden="1" customHeight="1" outlineLevel="1">
      <c r="A1723" s="1438"/>
      <c r="B1723" s="1374"/>
      <c r="C1723" s="1374"/>
      <c r="D1723" s="1439" t="s">
        <v>861</v>
      </c>
      <c r="E1723" s="1439" t="s">
        <v>1672</v>
      </c>
    </row>
    <row r="1724" spans="1:5" s="1440" customFormat="1" ht="21.9" hidden="1" customHeight="1" outlineLevel="1">
      <c r="A1724" s="1441" t="s">
        <v>1065</v>
      </c>
      <c r="B1724" s="1381">
        <v>63391081</v>
      </c>
      <c r="C1724" s="1381">
        <f>C1766</f>
        <v>77536047</v>
      </c>
      <c r="D1724" s="1381">
        <f>D1766</f>
        <v>84997030.632817999</v>
      </c>
      <c r="E1724" s="1381">
        <f>E1766</f>
        <v>93190693.983783498</v>
      </c>
    </row>
    <row r="1725" spans="1:5" s="1436" customFormat="1" ht="21.9" hidden="1" customHeight="1" outlineLevel="1">
      <c r="A1725" s="1442" t="s">
        <v>934</v>
      </c>
      <c r="B1725" s="1379">
        <v>63391081</v>
      </c>
      <c r="C1725" s="1379">
        <f>C1724</f>
        <v>77536047</v>
      </c>
      <c r="D1725" s="1379">
        <f>D1724</f>
        <v>84997030.632817999</v>
      </c>
      <c r="E1725" s="1379">
        <f>E1724</f>
        <v>93190693.983783498</v>
      </c>
    </row>
    <row r="1726" spans="1:5" s="1440" customFormat="1" ht="21.9" hidden="1" customHeight="1" outlineLevel="1">
      <c r="A1726" s="1441" t="s">
        <v>1066</v>
      </c>
      <c r="B1726" s="1381">
        <v>66405183.700000003</v>
      </c>
      <c r="C1726" s="1381">
        <f>C1794</f>
        <v>25280156.370000001</v>
      </c>
      <c r="D1726" s="1381">
        <f>D1794</f>
        <v>27712764.688446384</v>
      </c>
      <c r="E1726" s="1381">
        <f>E1794</f>
        <v>30384258.771134738</v>
      </c>
    </row>
    <row r="1727" spans="1:5" s="1436" customFormat="1" ht="21.9" hidden="1" customHeight="1" outlineLevel="1">
      <c r="A1727" s="1442" t="s">
        <v>1067</v>
      </c>
      <c r="B1727" s="1379">
        <v>66405183.700000003</v>
      </c>
      <c r="C1727" s="1379">
        <f>SUM(C1726:C1726)</f>
        <v>25280156.370000001</v>
      </c>
      <c r="D1727" s="1379">
        <f>SUM(D1726:D1726)</f>
        <v>27712764.688446384</v>
      </c>
      <c r="E1727" s="1379">
        <f>SUM(E1726:E1726)</f>
        <v>30384258.771134738</v>
      </c>
    </row>
    <row r="1728" spans="1:5" s="1440" customFormat="1" ht="21.9" hidden="1" customHeight="1" outlineLevel="1">
      <c r="A1728" s="1443" t="s">
        <v>1068</v>
      </c>
      <c r="B1728" s="1381">
        <v>100052708.3</v>
      </c>
      <c r="C1728" s="1381">
        <f>C1807</f>
        <v>19424230.145088594</v>
      </c>
      <c r="D1728" s="1381">
        <f>D1807</f>
        <v>21293346.108565506</v>
      </c>
      <c r="E1728" s="1381">
        <f>E1807</f>
        <v>23346012.046777856</v>
      </c>
    </row>
    <row r="1729" spans="1:5" s="1440" customFormat="1" ht="21.9" hidden="1" customHeight="1" outlineLevel="1">
      <c r="A1729" s="1444" t="s">
        <v>1069</v>
      </c>
      <c r="B1729" s="1379">
        <v>100052708.3</v>
      </c>
      <c r="C1729" s="1379">
        <f>SUM(C1728:C1728)</f>
        <v>19424230.145088594</v>
      </c>
      <c r="D1729" s="1379">
        <f>SUM(D1728:D1728)</f>
        <v>21293346.108565506</v>
      </c>
      <c r="E1729" s="1379">
        <f>SUM(E1728:E1728)</f>
        <v>23346012.046777856</v>
      </c>
    </row>
    <row r="1730" spans="1:5" s="1440" customFormat="1" ht="21.9" hidden="1" customHeight="1" outlineLevel="1">
      <c r="A1730" s="1443" t="s">
        <v>1070</v>
      </c>
      <c r="B1730" s="1445">
        <v>18577938</v>
      </c>
      <c r="C1730" s="1445">
        <f>C1780</f>
        <v>11347600</v>
      </c>
      <c r="D1730" s="1446">
        <f>D1780</f>
        <v>12439534.153823517</v>
      </c>
      <c r="E1730" s="1446">
        <f>E1780</f>
        <v>13638697.869784124</v>
      </c>
    </row>
    <row r="1731" spans="1:5" s="1440" customFormat="1" ht="21.9" hidden="1" customHeight="1" outlineLevel="1">
      <c r="A1731" s="1444" t="s">
        <v>1071</v>
      </c>
      <c r="B1731" s="1372">
        <v>18577938</v>
      </c>
      <c r="C1731" s="1372">
        <f>C1730</f>
        <v>11347600</v>
      </c>
      <c r="D1731" s="1447">
        <f>D1730</f>
        <v>12439534.153823517</v>
      </c>
      <c r="E1731" s="1447">
        <f>E1730</f>
        <v>13638697.869784124</v>
      </c>
    </row>
    <row r="1732" spans="1:5" s="1440" customFormat="1" ht="21.9" hidden="1" customHeight="1" outlineLevel="1">
      <c r="A1732" s="1393" t="s">
        <v>1072</v>
      </c>
      <c r="B1732" s="1446">
        <v>42270065</v>
      </c>
      <c r="C1732" s="1446">
        <f>C1822</f>
        <v>26328002.550000001</v>
      </c>
      <c r="D1732" s="1446">
        <f>D1822</f>
        <v>28861440.914614338</v>
      </c>
      <c r="E1732" s="1446">
        <f>E1822</f>
        <v>31643666.704356514</v>
      </c>
    </row>
    <row r="1733" spans="1:5" s="1436" customFormat="1" ht="21.9" hidden="1" customHeight="1" outlineLevel="1">
      <c r="A1733" s="1448" t="s">
        <v>1073</v>
      </c>
      <c r="B1733" s="1411">
        <v>42270065</v>
      </c>
      <c r="C1733" s="1411">
        <f>C1732</f>
        <v>26328002.550000001</v>
      </c>
      <c r="D1733" s="1447">
        <f>D1732</f>
        <v>28861440.914614338</v>
      </c>
      <c r="E1733" s="1447">
        <f>E1732</f>
        <v>31643666.704356514</v>
      </c>
    </row>
    <row r="1734" spans="1:5" s="1436" customFormat="1" ht="21.9" hidden="1" customHeight="1" outlineLevel="1">
      <c r="A1734" s="1449" t="s">
        <v>1074</v>
      </c>
      <c r="B1734" s="1450">
        <v>0</v>
      </c>
      <c r="C1734" s="1450">
        <f>C1835</f>
        <v>0</v>
      </c>
      <c r="D1734" s="1450">
        <f>D1835</f>
        <v>0</v>
      </c>
      <c r="E1734" s="1450">
        <f>E1835</f>
        <v>0</v>
      </c>
    </row>
    <row r="1735" spans="1:5" s="1436" customFormat="1" ht="21.9" hidden="1" customHeight="1" outlineLevel="1">
      <c r="A1735" s="1448" t="s">
        <v>1075</v>
      </c>
      <c r="B1735" s="1411">
        <v>0</v>
      </c>
      <c r="C1735" s="1411">
        <f>C1734</f>
        <v>0</v>
      </c>
      <c r="D1735" s="1411">
        <f>D1734</f>
        <v>0</v>
      </c>
      <c r="E1735" s="1411">
        <f>E1734</f>
        <v>0</v>
      </c>
    </row>
    <row r="1736" spans="1:5" s="1440" customFormat="1" ht="21.9" hidden="1" customHeight="1" outlineLevel="1">
      <c r="A1736" s="1451" t="s">
        <v>876</v>
      </c>
      <c r="B1736" s="1447">
        <v>290696976</v>
      </c>
      <c r="C1736" s="1447">
        <f>SUM(C1733+C1731+C1729+C1727+C1725+C1735)</f>
        <v>159916036.0650886</v>
      </c>
      <c r="D1736" s="1447">
        <f>SUM(D1733+D1731+D1729+D1727+D1725+D1735)</f>
        <v>175304116.49826777</v>
      </c>
      <c r="E1736" s="1447">
        <f>SUM(E1733+E1731+E1729+E1727+E1725+E1735)</f>
        <v>192203329.37583673</v>
      </c>
    </row>
    <row r="1737" spans="1:5" s="1440" customFormat="1" ht="21.9" hidden="1" customHeight="1" outlineLevel="1">
      <c r="A1737" s="1407"/>
      <c r="B1737" s="1452"/>
      <c r="C1737" s="1452"/>
      <c r="D1737" s="1452"/>
      <c r="E1737" s="1452"/>
    </row>
    <row r="1738" spans="1:5" s="1440" customFormat="1" ht="21.9" hidden="1" customHeight="1" outlineLevel="1">
      <c r="A1738" s="1407"/>
      <c r="B1738" s="1452"/>
      <c r="C1738" s="1452"/>
      <c r="D1738" s="1452"/>
      <c r="E1738" s="1452"/>
    </row>
    <row r="1739" spans="1:5" s="1440" customFormat="1" ht="21.9" hidden="1" customHeight="1" outlineLevel="1">
      <c r="A1739" s="1408" t="s">
        <v>903</v>
      </c>
      <c r="B1739" s="1452"/>
      <c r="C1739" s="1452"/>
      <c r="D1739" s="1452"/>
      <c r="E1739" s="1452"/>
    </row>
    <row r="1740" spans="1:5" s="1440" customFormat="1" ht="21.9" hidden="1" customHeight="1" outlineLevel="1">
      <c r="A1740" s="1366"/>
      <c r="B1740" s="1452"/>
      <c r="C1740" s="1452"/>
      <c r="D1740" s="1452"/>
      <c r="E1740" s="1452"/>
    </row>
    <row r="1741" spans="1:5" s="1436" customFormat="1" ht="21.9" hidden="1" customHeight="1" outlineLevel="1">
      <c r="A1741" s="1437" t="s">
        <v>878</v>
      </c>
      <c r="B1741" s="1370" t="s">
        <v>857</v>
      </c>
      <c r="C1741" s="1370" t="s">
        <v>1680</v>
      </c>
      <c r="D1741" s="1371" t="s">
        <v>859</v>
      </c>
      <c r="E1741" s="1372"/>
    </row>
    <row r="1742" spans="1:5" s="1440" customFormat="1" ht="21.9" hidden="1" customHeight="1" outlineLevel="1">
      <c r="A1742" s="1438"/>
      <c r="B1742" s="1374"/>
      <c r="C1742" s="1374"/>
      <c r="D1742" s="1439" t="s">
        <v>861</v>
      </c>
      <c r="E1742" s="1439" t="s">
        <v>1672</v>
      </c>
    </row>
    <row r="1743" spans="1:5" s="1440" customFormat="1" ht="21.9" hidden="1" customHeight="1" outlineLevel="1">
      <c r="A1743" s="1378" t="s">
        <v>890</v>
      </c>
      <c r="B1743" s="1379">
        <v>125689084</v>
      </c>
      <c r="C1743" s="1379">
        <f>SUM(C1744:C1746)</f>
        <v>91738303</v>
      </c>
      <c r="D1743" s="1379">
        <f>SUM(D1744:D1746)</f>
        <v>100565912.91394749</v>
      </c>
      <c r="E1743" s="1379">
        <f>SUM(E1744:E1746)</f>
        <v>110260407.28468667</v>
      </c>
    </row>
    <row r="1744" spans="1:5" s="1440" customFormat="1" ht="21.9" hidden="1" customHeight="1" outlineLevel="1">
      <c r="A1744" s="1376" t="s">
        <v>880</v>
      </c>
      <c r="B1744" s="1381">
        <v>38873453</v>
      </c>
      <c r="C1744" s="1381">
        <f>C1760+C1788+C1801+C1774+C1816+C1829</f>
        <v>33636755</v>
      </c>
      <c r="D1744" s="1381">
        <f t="shared" ref="C1744:E1746" si="47">D1760+D1788+D1801+D1774+D1816+D1829</f>
        <v>36873485.375435688</v>
      </c>
      <c r="E1744" s="1381">
        <f t="shared" si="47"/>
        <v>40428067.500171885</v>
      </c>
    </row>
    <row r="1745" spans="1:7" s="1440" customFormat="1" ht="21.9" hidden="1" customHeight="1" outlineLevel="1">
      <c r="A1745" s="1376" t="s">
        <v>881</v>
      </c>
      <c r="B1745" s="1381">
        <v>84915631</v>
      </c>
      <c r="C1745" s="1381">
        <f t="shared" si="47"/>
        <v>56301548</v>
      </c>
      <c r="D1745" s="1381">
        <f t="shared" si="47"/>
        <v>61719220.739110842</v>
      </c>
      <c r="E1745" s="1381">
        <f t="shared" si="47"/>
        <v>67668917.019735321</v>
      </c>
    </row>
    <row r="1746" spans="1:7" s="1440" customFormat="1" ht="21.9" hidden="1" customHeight="1" outlineLevel="1">
      <c r="A1746" s="1376" t="s">
        <v>882</v>
      </c>
      <c r="B1746" s="1381">
        <v>1900000</v>
      </c>
      <c r="C1746" s="1381">
        <f t="shared" si="47"/>
        <v>1800000</v>
      </c>
      <c r="D1746" s="1381">
        <f t="shared" si="47"/>
        <v>1973206.7994009601</v>
      </c>
      <c r="E1746" s="1381">
        <f t="shared" si="47"/>
        <v>2163422.764779462</v>
      </c>
    </row>
    <row r="1747" spans="1:7" s="1440" customFormat="1" ht="21.9" hidden="1" customHeight="1" outlineLevel="1">
      <c r="A1747" s="1378" t="s">
        <v>883</v>
      </c>
      <c r="B1747" s="1379">
        <v>165007892</v>
      </c>
      <c r="C1747" s="1379">
        <f>SUM(C1748:C1749)</f>
        <v>68177733.0650886</v>
      </c>
      <c r="D1747" s="1379">
        <f>SUM(D1748:D1749)</f>
        <v>74738203.584320247</v>
      </c>
      <c r="E1747" s="1379">
        <f>SUM(E1748:E1749)</f>
        <v>81942922.09115006</v>
      </c>
    </row>
    <row r="1748" spans="1:7" s="1440" customFormat="1" ht="21.9" hidden="1" customHeight="1" outlineLevel="1">
      <c r="A1748" s="1376" t="s">
        <v>891</v>
      </c>
      <c r="B1748" s="1381">
        <v>165007892</v>
      </c>
      <c r="C1748" s="1381">
        <f t="shared" ref="C1748:E1749" si="48">C1764+C1792+C1805+C1778+C1820+C1833</f>
        <v>68177733.0650886</v>
      </c>
      <c r="D1748" s="1381">
        <f t="shared" si="48"/>
        <v>74738203.584320247</v>
      </c>
      <c r="E1748" s="1381">
        <f t="shared" si="48"/>
        <v>81942922.09115006</v>
      </c>
    </row>
    <row r="1749" spans="1:7" s="1436" customFormat="1" ht="21.9" hidden="1" customHeight="1" outlineLevel="1">
      <c r="A1749" s="1376" t="s">
        <v>885</v>
      </c>
      <c r="B1749" s="1381">
        <v>0</v>
      </c>
      <c r="C1749" s="1381">
        <f t="shared" si="48"/>
        <v>0</v>
      </c>
      <c r="D1749" s="1381">
        <f t="shared" si="48"/>
        <v>0</v>
      </c>
      <c r="E1749" s="1381">
        <f t="shared" si="48"/>
        <v>0</v>
      </c>
    </row>
    <row r="1750" spans="1:7" s="1440" customFormat="1" ht="21.9" hidden="1" customHeight="1" outlineLevel="1">
      <c r="A1750" s="1378" t="s">
        <v>1076</v>
      </c>
      <c r="B1750" s="1379">
        <v>290696976</v>
      </c>
      <c r="C1750" s="1379">
        <f>C1747+C1743</f>
        <v>159916036.0650886</v>
      </c>
      <c r="D1750" s="1379">
        <f>D1747+D1743</f>
        <v>175304116.49826774</v>
      </c>
      <c r="E1750" s="1379">
        <f>E1747+E1743</f>
        <v>192203329.37583673</v>
      </c>
      <c r="G1750" s="1453"/>
    </row>
    <row r="1751" spans="1:7" s="1436" customFormat="1" ht="21.9" hidden="1" customHeight="1" outlineLevel="1">
      <c r="A1751" s="1407"/>
      <c r="B1751" s="1454"/>
      <c r="C1751" s="1454"/>
      <c r="D1751" s="1454"/>
      <c r="E1751" s="1454"/>
    </row>
    <row r="1752" spans="1:7" s="1436" customFormat="1" ht="21.9" hidden="1" customHeight="1" outlineLevel="1">
      <c r="A1752" s="1407"/>
      <c r="B1752" s="1454"/>
      <c r="C1752" s="1454"/>
      <c r="D1752" s="1454"/>
      <c r="E1752" s="1454"/>
    </row>
    <row r="1753" spans="1:7" s="1440" customFormat="1" ht="21.9" hidden="1" customHeight="1" outlineLevel="1">
      <c r="A1753" s="1366" t="s">
        <v>887</v>
      </c>
      <c r="B1753" s="1364"/>
      <c r="C1753" s="1364"/>
      <c r="D1753" s="1364"/>
      <c r="E1753" s="1364"/>
    </row>
    <row r="1754" spans="1:7" s="1436" customFormat="1" ht="21.9" hidden="1" customHeight="1" outlineLevel="1">
      <c r="A1754" s="1366"/>
      <c r="B1754" s="1364"/>
      <c r="C1754" s="1364"/>
      <c r="D1754" s="1364"/>
      <c r="E1754" s="1364"/>
    </row>
    <row r="1755" spans="1:7" s="1440" customFormat="1" ht="21.9" hidden="1" customHeight="1" outlineLevel="1">
      <c r="A1755" s="1366" t="s">
        <v>1077</v>
      </c>
      <c r="B1755" s="1364"/>
      <c r="C1755" s="1364"/>
      <c r="D1755" s="1364"/>
      <c r="E1755" s="1364"/>
    </row>
    <row r="1756" spans="1:7" s="1436" customFormat="1" ht="21.9" hidden="1" customHeight="1" outlineLevel="1">
      <c r="A1756" s="1366" t="s">
        <v>1078</v>
      </c>
      <c r="B1756" s="1364"/>
      <c r="C1756" s="1364"/>
      <c r="D1756" s="1364"/>
      <c r="E1756" s="1364"/>
    </row>
    <row r="1757" spans="1:7" s="1440" customFormat="1" ht="21.9" hidden="1" customHeight="1" outlineLevel="1">
      <c r="A1757" s="1437" t="s">
        <v>878</v>
      </c>
      <c r="B1757" s="1370" t="s">
        <v>857</v>
      </c>
      <c r="C1757" s="1370" t="s">
        <v>1680</v>
      </c>
      <c r="D1757" s="1371" t="s">
        <v>859</v>
      </c>
      <c r="E1757" s="1372"/>
    </row>
    <row r="1758" spans="1:7" s="1440" customFormat="1" ht="21.9" hidden="1" customHeight="1" outlineLevel="1">
      <c r="A1758" s="1438"/>
      <c r="B1758" s="1374"/>
      <c r="C1758" s="1374"/>
      <c r="D1758" s="1439" t="s">
        <v>861</v>
      </c>
      <c r="E1758" s="1439" t="s">
        <v>1672</v>
      </c>
    </row>
    <row r="1759" spans="1:7" s="1436" customFormat="1" ht="21.9" hidden="1" customHeight="1" outlineLevel="1">
      <c r="A1759" s="1378" t="s">
        <v>890</v>
      </c>
      <c r="B1759" s="1379">
        <v>63391081</v>
      </c>
      <c r="C1759" s="1379">
        <f>SUM(C1760:C1762)</f>
        <v>55277457</v>
      </c>
      <c r="D1759" s="1379">
        <f>SUM(D1760:D1762)</f>
        <v>60596585.558885664</v>
      </c>
      <c r="E1759" s="1379">
        <f>SUM(E1760:E1762)</f>
        <v>66438060.473843232</v>
      </c>
    </row>
    <row r="1760" spans="1:7" s="1440" customFormat="1" ht="21.9" hidden="1" customHeight="1" outlineLevel="1">
      <c r="A1760" s="1376" t="s">
        <v>880</v>
      </c>
      <c r="B1760" s="1381">
        <v>33905453</v>
      </c>
      <c r="C1760" s="1381">
        <f>'Itemized Budget 2024-25'!L3935</f>
        <v>33636755</v>
      </c>
      <c r="D1760" s="1455">
        <f>C1760*1.0962259996672</f>
        <v>36873485.375435688</v>
      </c>
      <c r="E1760" s="1456">
        <f>D1760*1.09639940701413</f>
        <v>40428067.500171885</v>
      </c>
    </row>
    <row r="1761" spans="1:5" s="1436" customFormat="1" ht="21.9" hidden="1" customHeight="1" outlineLevel="1">
      <c r="A1761" s="1376" t="s">
        <v>881</v>
      </c>
      <c r="B1761" s="1381">
        <v>28485628</v>
      </c>
      <c r="C1761" s="1381">
        <f>'Itemized Budget 2024-25'!L3970-'Itemized Budget 2024-25'!L3968-'Itemized Budget 2024-25'!L3935</f>
        <v>21140702</v>
      </c>
      <c r="D1761" s="1455">
        <f>C1761*1.0962259996672</f>
        <v>23174987.183616374</v>
      </c>
      <c r="E1761" s="1456">
        <f>D1761*1.09639940701413</f>
        <v>25409042.205677055</v>
      </c>
    </row>
    <row r="1762" spans="1:5" s="1436" customFormat="1" ht="21.9" hidden="1" customHeight="1" outlineLevel="1">
      <c r="A1762" s="1376" t="s">
        <v>882</v>
      </c>
      <c r="B1762" s="1381">
        <v>1000000</v>
      </c>
      <c r="C1762" s="1381">
        <f>'Itemized Budget 2024-25'!L3968</f>
        <v>500000</v>
      </c>
      <c r="D1762" s="1455">
        <f>C1762*1.0962259996672</f>
        <v>548112.99983360001</v>
      </c>
      <c r="E1762" s="1456">
        <f>D1762*1.09639940701413</f>
        <v>600950.76799429499</v>
      </c>
    </row>
    <row r="1763" spans="1:5" s="1436" customFormat="1" ht="21.9" hidden="1" customHeight="1" outlineLevel="1">
      <c r="A1763" s="1378" t="s">
        <v>883</v>
      </c>
      <c r="B1763" s="1379">
        <v>0</v>
      </c>
      <c r="C1763" s="1379">
        <f>SUM(C1764:C1765)</f>
        <v>22258590</v>
      </c>
      <c r="D1763" s="1379">
        <f>SUM(D1764:D1765)</f>
        <v>24400445.073932339</v>
      </c>
      <c r="E1763" s="1379">
        <f>SUM(E1764:E1765)</f>
        <v>26752633.509940267</v>
      </c>
    </row>
    <row r="1764" spans="1:5" s="1436" customFormat="1" ht="21.9" hidden="1" customHeight="1" outlineLevel="1">
      <c r="A1764" s="1376" t="s">
        <v>891</v>
      </c>
      <c r="B1764" s="1381">
        <v>0</v>
      </c>
      <c r="C1764" s="1381">
        <f>'Itemized Budget 2024-25'!L3978</f>
        <v>22258590</v>
      </c>
      <c r="D1764" s="1455">
        <f>C1764*1.0962259996672</f>
        <v>24400445.073932339</v>
      </c>
      <c r="E1764" s="1456">
        <f>D1764*1.09639940701413</f>
        <v>26752633.509940267</v>
      </c>
    </row>
    <row r="1765" spans="1:5" s="1436" customFormat="1" ht="21.9" hidden="1" customHeight="1" outlineLevel="1">
      <c r="A1765" s="1376" t="s">
        <v>892</v>
      </c>
      <c r="B1765" s="1381"/>
      <c r="C1765" s="1381"/>
      <c r="D1765" s="1455">
        <f>C1765*1.0962259996672</f>
        <v>0</v>
      </c>
      <c r="E1765" s="1456">
        <f>D1765*1.09639940701413</f>
        <v>0</v>
      </c>
    </row>
    <row r="1766" spans="1:5" s="1436" customFormat="1" ht="21.9" hidden="1" customHeight="1" outlineLevel="1">
      <c r="A1766" s="1378" t="s">
        <v>1079</v>
      </c>
      <c r="B1766" s="1379">
        <v>63391081</v>
      </c>
      <c r="C1766" s="1379">
        <f>SUM(C1763+C1759)</f>
        <v>77536047</v>
      </c>
      <c r="D1766" s="1379">
        <f>SUM(D1763+D1759)</f>
        <v>84997030.632817999</v>
      </c>
      <c r="E1766" s="1379">
        <f>SUM(E1763+E1759)</f>
        <v>93190693.983783498</v>
      </c>
    </row>
    <row r="1767" spans="1:5" s="1436" customFormat="1" ht="21.9" hidden="1" customHeight="1" outlineLevel="1">
      <c r="A1767" s="1363"/>
      <c r="B1767" s="1364"/>
      <c r="C1767" s="1364"/>
      <c r="D1767" s="1364"/>
      <c r="E1767" s="1364"/>
    </row>
    <row r="1768" spans="1:5" s="1436" customFormat="1" ht="21.9" hidden="1" customHeight="1" outlineLevel="1">
      <c r="A1768" s="1363"/>
      <c r="B1768" s="1364"/>
      <c r="C1768" s="1364"/>
      <c r="D1768" s="1364"/>
      <c r="E1768" s="1364"/>
    </row>
    <row r="1769" spans="1:5" s="1440" customFormat="1" ht="21.9" hidden="1" customHeight="1" outlineLevel="1">
      <c r="A1769" s="1457" t="s">
        <v>1071</v>
      </c>
      <c r="B1769" s="1372"/>
      <c r="C1769" s="1372"/>
      <c r="D1769" s="1381"/>
      <c r="E1769" s="1381"/>
    </row>
    <row r="1770" spans="1:5" s="1440" customFormat="1" ht="21.9" hidden="1" customHeight="1" outlineLevel="1">
      <c r="A1770" s="1444" t="s">
        <v>1070</v>
      </c>
      <c r="B1770" s="1372"/>
      <c r="C1770" s="1372"/>
      <c r="D1770" s="1381"/>
      <c r="E1770" s="1381"/>
    </row>
    <row r="1771" spans="1:5" s="1436" customFormat="1" ht="21.9" hidden="1" customHeight="1" outlineLevel="1">
      <c r="A1771" s="1437" t="s">
        <v>878</v>
      </c>
      <c r="B1771" s="1370" t="s">
        <v>857</v>
      </c>
      <c r="C1771" s="1370" t="s">
        <v>1680</v>
      </c>
      <c r="D1771" s="1371" t="s">
        <v>859</v>
      </c>
      <c r="E1771" s="1372"/>
    </row>
    <row r="1772" spans="1:5" s="1440" customFormat="1" ht="21.9" hidden="1" customHeight="1" outlineLevel="1">
      <c r="A1772" s="1438"/>
      <c r="B1772" s="1374"/>
      <c r="C1772" s="1374"/>
      <c r="D1772" s="1439" t="s">
        <v>860</v>
      </c>
      <c r="E1772" s="1439" t="s">
        <v>861</v>
      </c>
    </row>
    <row r="1773" spans="1:5" s="1440" customFormat="1" ht="21.9" hidden="1" customHeight="1" outlineLevel="1">
      <c r="A1773" s="1378" t="s">
        <v>890</v>
      </c>
      <c r="B1773" s="1379">
        <v>18577938</v>
      </c>
      <c r="C1773" s="1379">
        <f>SUM(C1774:C1776)</f>
        <v>7047600</v>
      </c>
      <c r="D1773" s="1379">
        <f>SUM(D1774:D1776)</f>
        <v>7725762.3552545579</v>
      </c>
      <c r="E1773" s="1379">
        <f>SUM(E1774:E1776)</f>
        <v>8470521.2650331873</v>
      </c>
    </row>
    <row r="1774" spans="1:5" s="1440" customFormat="1" ht="21.9" hidden="1" customHeight="1" outlineLevel="1">
      <c r="A1774" s="1376" t="s">
        <v>880</v>
      </c>
      <c r="B1774" s="1381">
        <v>2968000</v>
      </c>
      <c r="C1774" s="1381"/>
      <c r="D1774" s="1455">
        <f>C1774*1.0962259996672</f>
        <v>0</v>
      </c>
      <c r="E1774" s="1456">
        <f>D1774*1.09639940701413</f>
        <v>0</v>
      </c>
    </row>
    <row r="1775" spans="1:5" s="1440" customFormat="1" ht="21.9" hidden="1" customHeight="1" outlineLevel="1">
      <c r="A1775" s="1376" t="s">
        <v>881</v>
      </c>
      <c r="B1775" s="1381">
        <v>15609938</v>
      </c>
      <c r="C1775" s="1381">
        <f>'Itemized Budget 2024-25'!L4012-'Itemized Budget 2024-25'!L4010</f>
        <v>6347600</v>
      </c>
      <c r="D1775" s="1455">
        <f>C1775*1.0962259996672</f>
        <v>6958404.1554875178</v>
      </c>
      <c r="E1775" s="1456">
        <f>D1775*1.09639940701413</f>
        <v>7629190.1898411736</v>
      </c>
    </row>
    <row r="1776" spans="1:5" s="1440" customFormat="1" ht="21.9" hidden="1" customHeight="1" outlineLevel="1">
      <c r="A1776" s="1376" t="s">
        <v>882</v>
      </c>
      <c r="B1776" s="1381"/>
      <c r="C1776" s="1381">
        <f>'Itemized Budget 2024-25'!L4010</f>
        <v>700000</v>
      </c>
      <c r="D1776" s="1455">
        <f>C1776*1.0962259996672</f>
        <v>767358.19976703997</v>
      </c>
      <c r="E1776" s="1456">
        <f>D1776*1.09639940701413</f>
        <v>841331.07519201294</v>
      </c>
    </row>
    <row r="1777" spans="1:5" s="1440" customFormat="1" ht="21.9" hidden="1" customHeight="1" outlineLevel="1">
      <c r="A1777" s="1378" t="s">
        <v>883</v>
      </c>
      <c r="B1777" s="1379">
        <v>0</v>
      </c>
      <c r="C1777" s="1379">
        <f>SUM(C1778:C1779)</f>
        <v>4300000</v>
      </c>
      <c r="D1777" s="1379">
        <f>SUM(D1778:D1779)</f>
        <v>4713771.7985689593</v>
      </c>
      <c r="E1777" s="1379">
        <f>SUM(E1778:E1779)</f>
        <v>5168176.6047509369</v>
      </c>
    </row>
    <row r="1778" spans="1:5" s="1440" customFormat="1" ht="21.9" hidden="1" customHeight="1" outlineLevel="1">
      <c r="A1778" s="1376" t="s">
        <v>891</v>
      </c>
      <c r="B1778" s="1381">
        <v>0</v>
      </c>
      <c r="C1778" s="1381">
        <f>'Itemized Budget 2024-25'!L4018</f>
        <v>4300000</v>
      </c>
      <c r="D1778" s="1455">
        <f>C1778*1.0962259996672</f>
        <v>4713771.7985689593</v>
      </c>
      <c r="E1778" s="1456">
        <f>D1778*1.09639940701413</f>
        <v>5168176.6047509369</v>
      </c>
    </row>
    <row r="1779" spans="1:5" s="1440" customFormat="1" ht="21.9" hidden="1" customHeight="1" outlineLevel="1">
      <c r="A1779" s="1376" t="s">
        <v>892</v>
      </c>
      <c r="B1779" s="1381">
        <v>0</v>
      </c>
      <c r="C1779" s="1381"/>
      <c r="D1779" s="1455">
        <f>C1779*1.0962259996672</f>
        <v>0</v>
      </c>
      <c r="E1779" s="1456">
        <f>D1779*1.09639940701413</f>
        <v>0</v>
      </c>
    </row>
    <row r="1780" spans="1:5" s="1440" customFormat="1" ht="21.9" hidden="1" customHeight="1" outlineLevel="1">
      <c r="A1780" s="1378" t="s">
        <v>1079</v>
      </c>
      <c r="B1780" s="1379">
        <v>18577938</v>
      </c>
      <c r="C1780" s="1379">
        <f>SUM(C1777+C1773)</f>
        <v>11347600</v>
      </c>
      <c r="D1780" s="1379">
        <f>SUM(D1777+D1773)</f>
        <v>12439534.153823517</v>
      </c>
      <c r="E1780" s="1379">
        <f>SUM(E1777+E1773)</f>
        <v>13638697.869784124</v>
      </c>
    </row>
    <row r="1781" spans="1:5" s="1436" customFormat="1" ht="21.9" hidden="1" customHeight="1" outlineLevel="1">
      <c r="A1781" s="1363"/>
      <c r="B1781" s="1364"/>
      <c r="C1781" s="1364"/>
      <c r="D1781" s="1364"/>
      <c r="E1781" s="1364"/>
    </row>
    <row r="1782" spans="1:5" s="1436" customFormat="1" ht="21.9" hidden="1" customHeight="1" outlineLevel="1">
      <c r="A1782" s="1363"/>
      <c r="B1782" s="1364"/>
      <c r="C1782" s="1364"/>
      <c r="D1782" s="1364"/>
      <c r="E1782" s="1364"/>
    </row>
    <row r="1783" spans="1:5" s="1436" customFormat="1" ht="21.9" hidden="1" customHeight="1" outlineLevel="1">
      <c r="A1783" s="1401" t="s">
        <v>1699</v>
      </c>
      <c r="B1783" s="1379"/>
      <c r="C1783" s="1379"/>
      <c r="D1783" s="1379"/>
      <c r="E1783" s="1381"/>
    </row>
    <row r="1784" spans="1:5" s="1436" customFormat="1" ht="21.9" hidden="1" customHeight="1" outlineLevel="1">
      <c r="A1784" s="1382" t="s">
        <v>1080</v>
      </c>
      <c r="B1784" s="1379"/>
      <c r="C1784" s="1379"/>
      <c r="D1784" s="1379"/>
      <c r="E1784" s="1381"/>
    </row>
    <row r="1785" spans="1:5" s="1436" customFormat="1" ht="21.9" hidden="1" customHeight="1" outlineLevel="1">
      <c r="A1785" s="1437" t="s">
        <v>878</v>
      </c>
      <c r="B1785" s="1412" t="s">
        <v>1671</v>
      </c>
      <c r="C1785" s="1370" t="s">
        <v>1680</v>
      </c>
      <c r="D1785" s="1371" t="s">
        <v>859</v>
      </c>
      <c r="E1785" s="1372"/>
    </row>
    <row r="1786" spans="1:5" s="1436" customFormat="1" ht="21.9" hidden="1" customHeight="1" outlineLevel="1">
      <c r="A1786" s="1438"/>
      <c r="B1786" s="1374"/>
      <c r="C1786" s="1374"/>
      <c r="D1786" s="1458" t="s">
        <v>861</v>
      </c>
      <c r="E1786" s="1458" t="s">
        <v>1672</v>
      </c>
    </row>
    <row r="1787" spans="1:5" s="1436" customFormat="1" ht="21.9" hidden="1" customHeight="1" outlineLevel="1">
      <c r="A1787" s="1378" t="s">
        <v>890</v>
      </c>
      <c r="B1787" s="1379">
        <v>11900000</v>
      </c>
      <c r="C1787" s="1379">
        <f>SUM(C1788:C1790)</f>
        <v>4689000</v>
      </c>
      <c r="D1787" s="1379">
        <f>SUM(D1788:D1790)</f>
        <v>5140203.7124395007</v>
      </c>
      <c r="E1787" s="1379">
        <f>SUM(E1788:E1790)</f>
        <v>5635716.302250498</v>
      </c>
    </row>
    <row r="1788" spans="1:5" s="1436" customFormat="1" ht="21.9" hidden="1" customHeight="1" outlineLevel="1">
      <c r="A1788" s="1376" t="s">
        <v>880</v>
      </c>
      <c r="B1788" s="1381">
        <v>0</v>
      </c>
      <c r="C1788" s="1381"/>
      <c r="D1788" s="1455">
        <f>C1788*1.0962259996672</f>
        <v>0</v>
      </c>
      <c r="E1788" s="1456">
        <f>D1788*1.09639940701413</f>
        <v>0</v>
      </c>
    </row>
    <row r="1789" spans="1:5" s="1436" customFormat="1" ht="21.9" hidden="1" customHeight="1" outlineLevel="1">
      <c r="A1789" s="1376" t="s">
        <v>881</v>
      </c>
      <c r="B1789" s="1381">
        <v>11000000</v>
      </c>
      <c r="C1789" s="1381">
        <f>'Itemized Budget 2024-25'!L4041-'Itemized Budget 2024-25'!L4039</f>
        <v>4089000</v>
      </c>
      <c r="D1789" s="1455">
        <f>C1789*1.0962259996672</f>
        <v>4482468.1126391804</v>
      </c>
      <c r="E1789" s="1456">
        <f>D1789*1.09639940701413</f>
        <v>4914575.3806573441</v>
      </c>
    </row>
    <row r="1790" spans="1:5" s="1436" customFormat="1" ht="21.9" hidden="1" customHeight="1" outlineLevel="1">
      <c r="A1790" s="1376" t="s">
        <v>882</v>
      </c>
      <c r="B1790" s="1381">
        <v>900000</v>
      </c>
      <c r="C1790" s="1381">
        <f>'Itemized Budget 2024-25'!L4039</f>
        <v>600000</v>
      </c>
      <c r="D1790" s="1455">
        <f>C1790*1.0962259996672</f>
        <v>657735.59980031999</v>
      </c>
      <c r="E1790" s="1456">
        <f>D1790*1.09639940701413</f>
        <v>721140.92159315397</v>
      </c>
    </row>
    <row r="1791" spans="1:5" s="1436" customFormat="1" ht="21.9" hidden="1" customHeight="1" outlineLevel="1">
      <c r="A1791" s="1378" t="s">
        <v>883</v>
      </c>
      <c r="B1791" s="1379">
        <v>54505183.700000003</v>
      </c>
      <c r="C1791" s="1379">
        <f>SUM(C1792:C1793)</f>
        <v>20591156.370000001</v>
      </c>
      <c r="D1791" s="1379">
        <f>SUM(D1792:D1793)</f>
        <v>22572560.976006884</v>
      </c>
      <c r="E1791" s="1379">
        <f>SUM(E1792:E1793)</f>
        <v>24748542.468884241</v>
      </c>
    </row>
    <row r="1792" spans="1:5" s="1436" customFormat="1" ht="21.9" hidden="1" customHeight="1" outlineLevel="1">
      <c r="A1792" s="1376" t="s">
        <v>891</v>
      </c>
      <c r="B1792" s="1381">
        <v>54505183.700000003</v>
      </c>
      <c r="C1792" s="1381">
        <f>'Itemized Budget 2024-25'!L4054</f>
        <v>20591156.370000001</v>
      </c>
      <c r="D1792" s="1455">
        <f>C1792*1.0962259996672</f>
        <v>22572560.976006884</v>
      </c>
      <c r="E1792" s="1456">
        <f>D1792*1.09639940701413</f>
        <v>24748542.468884241</v>
      </c>
    </row>
    <row r="1793" spans="1:5" s="1436" customFormat="1" ht="21.9" hidden="1" customHeight="1" outlineLevel="1">
      <c r="A1793" s="1376" t="s">
        <v>892</v>
      </c>
      <c r="B1793" s="1381">
        <v>0</v>
      </c>
      <c r="C1793" s="1381"/>
      <c r="D1793" s="1455">
        <f>C1793*1.0962259996672</f>
        <v>0</v>
      </c>
      <c r="E1793" s="1456">
        <f>D1793*1.09639940701413</f>
        <v>0</v>
      </c>
    </row>
    <row r="1794" spans="1:5" s="1436" customFormat="1" ht="21.9" hidden="1" customHeight="1" outlineLevel="1">
      <c r="A1794" s="1378" t="s">
        <v>1079</v>
      </c>
      <c r="B1794" s="1379">
        <v>66405183.700000003</v>
      </c>
      <c r="C1794" s="1379">
        <f>SUM(C1791+C1787)</f>
        <v>25280156.370000001</v>
      </c>
      <c r="D1794" s="1379">
        <f>SUM(D1791+D1787)</f>
        <v>27712764.688446384</v>
      </c>
      <c r="E1794" s="1379">
        <f>SUM(E1791+E1787)</f>
        <v>30384258.771134738</v>
      </c>
    </row>
    <row r="1795" spans="1:5" s="1436" customFormat="1" ht="21.9" hidden="1" customHeight="1" outlineLevel="1">
      <c r="A1795" s="1366"/>
      <c r="B1795" s="1364"/>
      <c r="C1795" s="1364"/>
      <c r="D1795" s="1364"/>
      <c r="E1795" s="1364"/>
    </row>
    <row r="1796" spans="1:5" s="1440" customFormat="1" ht="21.9" hidden="1" customHeight="1" outlineLevel="1">
      <c r="A1796" s="1457" t="s">
        <v>1069</v>
      </c>
      <c r="B1796" s="1372"/>
      <c r="C1796" s="1372"/>
      <c r="D1796" s="1381"/>
      <c r="E1796" s="1381"/>
    </row>
    <row r="1797" spans="1:5" s="1440" customFormat="1" ht="21.9" hidden="1" customHeight="1" outlineLevel="1">
      <c r="A1797" s="1444" t="s">
        <v>1068</v>
      </c>
      <c r="B1797" s="1372"/>
      <c r="C1797" s="1372"/>
      <c r="D1797" s="1381"/>
      <c r="E1797" s="1381"/>
    </row>
    <row r="1798" spans="1:5" s="1440" customFormat="1" ht="21.9" hidden="1" customHeight="1" outlineLevel="1">
      <c r="A1798" s="1437" t="s">
        <v>878</v>
      </c>
      <c r="B1798" s="1412" t="s">
        <v>1671</v>
      </c>
      <c r="C1798" s="1370" t="s">
        <v>1680</v>
      </c>
      <c r="D1798" s="1371" t="s">
        <v>859</v>
      </c>
      <c r="E1798" s="1372"/>
    </row>
    <row r="1799" spans="1:5" s="1436" customFormat="1" ht="21.9" hidden="1" customHeight="1" outlineLevel="1">
      <c r="A1799" s="1438"/>
      <c r="B1799" s="1374"/>
      <c r="C1799" s="1374"/>
      <c r="D1799" s="1458" t="s">
        <v>861</v>
      </c>
      <c r="E1799" s="1458" t="s">
        <v>1672</v>
      </c>
    </row>
    <row r="1800" spans="1:5" s="1440" customFormat="1" ht="21.9" hidden="1" customHeight="1" outlineLevel="1">
      <c r="A1800" s="1378" t="s">
        <v>890</v>
      </c>
      <c r="B1800" s="1379">
        <v>6550000</v>
      </c>
      <c r="C1800" s="1379">
        <f>SUM(C1801:C1803)</f>
        <v>3999000</v>
      </c>
      <c r="D1800" s="1379">
        <f>SUM(D1801:D1803)</f>
        <v>4383807.7726691328</v>
      </c>
      <c r="E1800" s="1379">
        <f>SUM(E1801:E1803)</f>
        <v>4806404.2424183711</v>
      </c>
    </row>
    <row r="1801" spans="1:5" s="1436" customFormat="1" ht="21.9" hidden="1" customHeight="1" outlineLevel="1">
      <c r="A1801" s="1376" t="s">
        <v>880</v>
      </c>
      <c r="B1801" s="1381">
        <v>0</v>
      </c>
      <c r="C1801" s="1381"/>
      <c r="D1801" s="1455">
        <f>C1801*1.0962259996672</f>
        <v>0</v>
      </c>
      <c r="E1801" s="1456">
        <f>D1801*1.09639940701413</f>
        <v>0</v>
      </c>
    </row>
    <row r="1802" spans="1:5" s="1440" customFormat="1" ht="21.9" hidden="1" customHeight="1" outlineLevel="1">
      <c r="A1802" s="1376" t="s">
        <v>881</v>
      </c>
      <c r="B1802" s="1381">
        <v>6550000</v>
      </c>
      <c r="C1802" s="1381">
        <f>'Itemized Budget 2024-25'!L4079</f>
        <v>3999000</v>
      </c>
      <c r="D1802" s="1455">
        <f>C1802*1.0962259996672</f>
        <v>4383807.7726691328</v>
      </c>
      <c r="E1802" s="1456">
        <f>D1802*1.09639940701413</f>
        <v>4806404.2424183711</v>
      </c>
    </row>
    <row r="1803" spans="1:5" s="1440" customFormat="1" ht="21.9" hidden="1" customHeight="1" outlineLevel="1">
      <c r="A1803" s="1376" t="s">
        <v>882</v>
      </c>
      <c r="B1803" s="1381">
        <v>0</v>
      </c>
      <c r="C1803" s="1381">
        <v>0</v>
      </c>
      <c r="D1803" s="1455">
        <f>C1803*1.0962259996672</f>
        <v>0</v>
      </c>
      <c r="E1803" s="1456">
        <f>D1803*1.09639940701413</f>
        <v>0</v>
      </c>
    </row>
    <row r="1804" spans="1:5" s="1440" customFormat="1" ht="21.9" hidden="1" customHeight="1" outlineLevel="1">
      <c r="A1804" s="1378" t="s">
        <v>883</v>
      </c>
      <c r="B1804" s="1379">
        <v>93502708.299999997</v>
      </c>
      <c r="C1804" s="1379">
        <f>SUM(C1805:C1806)</f>
        <v>15425230.145088594</v>
      </c>
      <c r="D1804" s="1379">
        <f>SUM(D1805:D1806)</f>
        <v>16909538.335896373</v>
      </c>
      <c r="E1804" s="1379">
        <f>SUM(E1805:E1806)</f>
        <v>18539607.804359484</v>
      </c>
    </row>
    <row r="1805" spans="1:5" s="1436" customFormat="1" ht="21.9" hidden="1" customHeight="1" outlineLevel="1">
      <c r="A1805" s="1376" t="s">
        <v>891</v>
      </c>
      <c r="B1805" s="1381">
        <v>93502708.299999997</v>
      </c>
      <c r="C1805" s="1381">
        <f>'Itemized Budget 2024-25'!L4087</f>
        <v>15425230.145088594</v>
      </c>
      <c r="D1805" s="1455">
        <f>C1805*1.0962259996672</f>
        <v>16909538.335896373</v>
      </c>
      <c r="E1805" s="1456">
        <f>D1805*1.09639940701413</f>
        <v>18539607.804359484</v>
      </c>
    </row>
    <row r="1806" spans="1:5" s="1440" customFormat="1" ht="21.9" hidden="1" customHeight="1" outlineLevel="1">
      <c r="A1806" s="1376" t="s">
        <v>892</v>
      </c>
      <c r="B1806" s="1381">
        <v>0</v>
      </c>
      <c r="C1806" s="1381">
        <v>0</v>
      </c>
      <c r="D1806" s="1455">
        <f>C1806*1.0962259996672</f>
        <v>0</v>
      </c>
      <c r="E1806" s="1456">
        <f>D1806*1.09639940701413</f>
        <v>0</v>
      </c>
    </row>
    <row r="1807" spans="1:5" s="1436" customFormat="1" ht="21.9" hidden="1" customHeight="1" outlineLevel="1">
      <c r="A1807" s="1378" t="s">
        <v>1079</v>
      </c>
      <c r="B1807" s="1379">
        <v>100052708.3</v>
      </c>
      <c r="C1807" s="1379">
        <f>SUM(C1804+C1800)</f>
        <v>19424230.145088594</v>
      </c>
      <c r="D1807" s="1379">
        <f>SUM(D1804+D1800)</f>
        <v>21293346.108565506</v>
      </c>
      <c r="E1807" s="1379">
        <f>SUM(E1804+E1800)</f>
        <v>23346012.046777856</v>
      </c>
    </row>
    <row r="1808" spans="1:5" s="1440" customFormat="1" ht="21.9" hidden="1" customHeight="1" outlineLevel="1">
      <c r="A1808" s="1363"/>
      <c r="B1808" s="1364"/>
      <c r="C1808" s="1364"/>
      <c r="D1808" s="1364"/>
      <c r="E1808" s="1364"/>
    </row>
    <row r="1809" spans="1:5" s="1440" customFormat="1" ht="21.9" hidden="1" customHeight="1" outlineLevel="1">
      <c r="A1809" s="1363"/>
      <c r="B1809" s="1364"/>
      <c r="C1809" s="1364"/>
      <c r="D1809" s="1364"/>
      <c r="E1809" s="1364"/>
    </row>
    <row r="1810" spans="1:5" s="1440" customFormat="1" ht="21.9" hidden="1" customHeight="1" outlineLevel="1">
      <c r="A1810" s="1459" t="s">
        <v>1081</v>
      </c>
      <c r="B1810" s="1411"/>
      <c r="C1810" s="1411"/>
      <c r="D1810" s="1381"/>
      <c r="E1810" s="1381"/>
    </row>
    <row r="1811" spans="1:5" s="1440" customFormat="1" ht="21.9" hidden="1" customHeight="1" outlineLevel="1">
      <c r="A1811" s="1448" t="s">
        <v>1082</v>
      </c>
      <c r="B1811" s="1411"/>
      <c r="C1811" s="1411"/>
      <c r="D1811" s="1381"/>
      <c r="E1811" s="1381"/>
    </row>
    <row r="1812" spans="1:5" s="1436" customFormat="1" ht="21.9" hidden="1" customHeight="1" outlineLevel="1">
      <c r="A1812" s="1382" t="s">
        <v>1072</v>
      </c>
      <c r="B1812" s="1381"/>
      <c r="C1812" s="1381"/>
      <c r="D1812" s="1381"/>
      <c r="E1812" s="1381"/>
    </row>
    <row r="1813" spans="1:5" s="1440" customFormat="1" ht="21.9" hidden="1" customHeight="1" outlineLevel="1">
      <c r="A1813" s="1437" t="s">
        <v>878</v>
      </c>
      <c r="B1813" s="1370" t="s">
        <v>1671</v>
      </c>
      <c r="C1813" s="1370" t="s">
        <v>1680</v>
      </c>
      <c r="D1813" s="1371" t="s">
        <v>859</v>
      </c>
      <c r="E1813" s="1372"/>
    </row>
    <row r="1814" spans="1:5" s="1440" customFormat="1" ht="21.9" hidden="1" customHeight="1" outlineLevel="1">
      <c r="A1814" s="1438"/>
      <c r="B1814" s="1374"/>
      <c r="C1814" s="1374"/>
      <c r="D1814" s="1439" t="s">
        <v>861</v>
      </c>
      <c r="E1814" s="1439" t="s">
        <v>1672</v>
      </c>
    </row>
    <row r="1815" spans="1:5" s="1440" customFormat="1" ht="21.9" hidden="1" customHeight="1" outlineLevel="1">
      <c r="A1815" s="1378" t="s">
        <v>890</v>
      </c>
      <c r="B1815" s="1379">
        <v>25270065</v>
      </c>
      <c r="C1815" s="1379">
        <f>SUM(C1816:C1818)</f>
        <v>20725246</v>
      </c>
      <c r="D1815" s="1379">
        <f>SUM(D1816:D1818)</f>
        <v>22719553.514698636</v>
      </c>
      <c r="E1815" s="1379">
        <f>SUM(E1816:E1818)</f>
        <v>24909705.001141381</v>
      </c>
    </row>
    <row r="1816" spans="1:5" s="1440" customFormat="1" ht="21.9" hidden="1" customHeight="1" outlineLevel="1">
      <c r="A1816" s="1376" t="s">
        <v>880</v>
      </c>
      <c r="B1816" s="1456">
        <v>2000000</v>
      </c>
      <c r="C1816" s="1456">
        <v>0</v>
      </c>
      <c r="D1816" s="1456">
        <f>C1816*1.0962259996672</f>
        <v>0</v>
      </c>
      <c r="E1816" s="1456">
        <f>D1816*1.09639940701413</f>
        <v>0</v>
      </c>
    </row>
    <row r="1817" spans="1:5" s="1440" customFormat="1" ht="21.9" hidden="1" customHeight="1" outlineLevel="1">
      <c r="A1817" s="1376" t="s">
        <v>881</v>
      </c>
      <c r="B1817" s="1456">
        <v>23270065</v>
      </c>
      <c r="C1817" s="1456">
        <f>'Itemized Budget 2024-25'!L4112</f>
        <v>20725246</v>
      </c>
      <c r="D1817" s="1455">
        <f>C1817*1.0962259996672</f>
        <v>22719553.514698636</v>
      </c>
      <c r="E1817" s="1456">
        <f>D1817*1.09639940701413</f>
        <v>24909705.001141381</v>
      </c>
    </row>
    <row r="1818" spans="1:5" s="1440" customFormat="1" ht="21.9" hidden="1" customHeight="1" outlineLevel="1">
      <c r="A1818" s="1376" t="s">
        <v>882</v>
      </c>
      <c r="B1818" s="1381">
        <v>0</v>
      </c>
      <c r="C1818" s="1381">
        <v>0</v>
      </c>
      <c r="D1818" s="1455">
        <f>C1818*1.0962259996672</f>
        <v>0</v>
      </c>
      <c r="E1818" s="1456">
        <f>D1818*1.09639940701413</f>
        <v>0</v>
      </c>
    </row>
    <row r="1819" spans="1:5" s="1440" customFormat="1" ht="21.9" hidden="1" customHeight="1" outlineLevel="1">
      <c r="A1819" s="1378" t="s">
        <v>883</v>
      </c>
      <c r="B1819" s="1379">
        <v>17000000</v>
      </c>
      <c r="C1819" s="1379">
        <f>SUM(C1820:C1821)</f>
        <v>5602756.5499999998</v>
      </c>
      <c r="D1819" s="1379">
        <f>SUM(D1820:D1821)</f>
        <v>6141887.3999157017</v>
      </c>
      <c r="E1819" s="1379">
        <f>SUM(E1820:E1821)</f>
        <v>6733961.7032151325</v>
      </c>
    </row>
    <row r="1820" spans="1:5" s="1440" customFormat="1" ht="21.9" hidden="1" customHeight="1" outlineLevel="1">
      <c r="A1820" s="1376" t="s">
        <v>891</v>
      </c>
      <c r="B1820" s="1381">
        <v>17000000</v>
      </c>
      <c r="C1820" s="1381">
        <f>'Itemized Budget 2024-25'!L4123</f>
        <v>5602756.5499999998</v>
      </c>
      <c r="D1820" s="1455">
        <f>C1820*1.0962259996672</f>
        <v>6141887.3999157017</v>
      </c>
      <c r="E1820" s="1456">
        <f>D1820*1.09639940701413</f>
        <v>6733961.7032151325</v>
      </c>
    </row>
    <row r="1821" spans="1:5" s="1440" customFormat="1" ht="21.9" hidden="1" customHeight="1" outlineLevel="1">
      <c r="A1821" s="1376" t="s">
        <v>892</v>
      </c>
      <c r="B1821" s="1381"/>
      <c r="C1821" s="1381"/>
      <c r="D1821" s="1455">
        <f>C1821*1.0962259996672</f>
        <v>0</v>
      </c>
      <c r="E1821" s="1456">
        <f>D1821*1.09639940701413</f>
        <v>0</v>
      </c>
    </row>
    <row r="1822" spans="1:5" s="1440" customFormat="1" ht="21.9" hidden="1" customHeight="1" outlineLevel="1">
      <c r="A1822" s="1378" t="s">
        <v>1079</v>
      </c>
      <c r="B1822" s="1379">
        <v>42270065</v>
      </c>
      <c r="C1822" s="1379">
        <f>SUM(C1819+C1815)</f>
        <v>26328002.550000001</v>
      </c>
      <c r="D1822" s="1379">
        <f>SUM(D1819+D1815)</f>
        <v>28861440.914614338</v>
      </c>
      <c r="E1822" s="1379">
        <f>SUM(E1819+E1815)</f>
        <v>31643666.704356514</v>
      </c>
    </row>
    <row r="1823" spans="1:5" s="1440" customFormat="1" ht="21.9" hidden="1" customHeight="1" outlineLevel="1">
      <c r="A1823" s="1363"/>
      <c r="B1823" s="1364"/>
      <c r="C1823" s="1364"/>
      <c r="D1823" s="1364"/>
      <c r="E1823" s="1364"/>
    </row>
    <row r="1824" spans="1:5" s="1440" customFormat="1" ht="21.9" hidden="1" customHeight="1" outlineLevel="1">
      <c r="A1824" s="1363"/>
      <c r="B1824" s="1364"/>
      <c r="C1824" s="1364"/>
      <c r="D1824" s="1364"/>
      <c r="E1824" s="1364"/>
    </row>
    <row r="1825" spans="1:5" s="1440" customFormat="1" ht="21.9" hidden="1" customHeight="1" outlineLevel="1">
      <c r="A1825" s="1460" t="s">
        <v>1083</v>
      </c>
      <c r="B1825" s="1411"/>
      <c r="C1825" s="1411"/>
      <c r="D1825" s="1381"/>
      <c r="E1825" s="1381"/>
    </row>
    <row r="1826" spans="1:5" s="1440" customFormat="1" ht="21.9" hidden="1" customHeight="1" outlineLevel="1">
      <c r="A1826" s="1437" t="s">
        <v>878</v>
      </c>
      <c r="B1826" s="1370" t="s">
        <v>1671</v>
      </c>
      <c r="C1826" s="1370" t="s">
        <v>1680</v>
      </c>
      <c r="D1826" s="1371" t="s">
        <v>859</v>
      </c>
      <c r="E1826" s="1372"/>
    </row>
    <row r="1827" spans="1:5" s="1440" customFormat="1" ht="21.9" hidden="1" customHeight="1" outlineLevel="1">
      <c r="A1827" s="1438"/>
      <c r="B1827" s="1374"/>
      <c r="C1827" s="1374"/>
      <c r="D1827" s="1439" t="s">
        <v>861</v>
      </c>
      <c r="E1827" s="1439" t="s">
        <v>1672</v>
      </c>
    </row>
    <row r="1828" spans="1:5" s="1440" customFormat="1" ht="21.9" hidden="1" customHeight="1" outlineLevel="1">
      <c r="A1828" s="1378" t="s">
        <v>890</v>
      </c>
      <c r="B1828" s="1379">
        <v>0</v>
      </c>
      <c r="C1828" s="1379">
        <f>SUM(C1829:C1831)</f>
        <v>0</v>
      </c>
      <c r="D1828" s="1379">
        <f>SUM(D1829:D1831)</f>
        <v>0</v>
      </c>
      <c r="E1828" s="1379">
        <f>SUM(E1829:E1831)</f>
        <v>0</v>
      </c>
    </row>
    <row r="1829" spans="1:5" s="1440" customFormat="1" ht="21.9" hidden="1" customHeight="1" outlineLevel="1">
      <c r="A1829" s="1376" t="s">
        <v>880</v>
      </c>
      <c r="B1829" s="1381">
        <v>0</v>
      </c>
      <c r="C1829" s="1381">
        <v>0</v>
      </c>
      <c r="D1829" s="1455">
        <f>C1829*1.0962259996672</f>
        <v>0</v>
      </c>
      <c r="E1829" s="1456">
        <f>D1829*1.09639940701413</f>
        <v>0</v>
      </c>
    </row>
    <row r="1830" spans="1:5" s="1440" customFormat="1" ht="21.9" hidden="1" customHeight="1" outlineLevel="1">
      <c r="A1830" s="1376" t="s">
        <v>881</v>
      </c>
      <c r="B1830" s="1381"/>
      <c r="C1830" s="1381"/>
      <c r="D1830" s="1455">
        <f>C1830*1.0962259996672</f>
        <v>0</v>
      </c>
      <c r="E1830" s="1456">
        <f>D1830*1.09639940701413</f>
        <v>0</v>
      </c>
    </row>
    <row r="1831" spans="1:5" s="1440" customFormat="1" ht="21.9" hidden="1" customHeight="1" outlineLevel="1">
      <c r="A1831" s="1376" t="s">
        <v>882</v>
      </c>
      <c r="B1831" s="1381"/>
      <c r="C1831" s="1381"/>
      <c r="D1831" s="1455">
        <f>C1831*1.0962259996672</f>
        <v>0</v>
      </c>
      <c r="E1831" s="1456">
        <f>D1831*1.09639940701413</f>
        <v>0</v>
      </c>
    </row>
    <row r="1832" spans="1:5" s="1440" customFormat="1" ht="21.9" hidden="1" customHeight="1" outlineLevel="1">
      <c r="A1832" s="1378" t="s">
        <v>883</v>
      </c>
      <c r="B1832" s="1379">
        <v>0</v>
      </c>
      <c r="C1832" s="1379">
        <f>C1833+C1834</f>
        <v>0</v>
      </c>
      <c r="D1832" s="1379">
        <f>D1833+D1834</f>
        <v>0</v>
      </c>
      <c r="E1832" s="1379">
        <f>E1833+E1834</f>
        <v>0</v>
      </c>
    </row>
    <row r="1833" spans="1:5" s="1440" customFormat="1" ht="21.9" hidden="1" customHeight="1" outlineLevel="1">
      <c r="A1833" s="1376" t="s">
        <v>891</v>
      </c>
      <c r="B1833" s="1381"/>
      <c r="C1833" s="1381"/>
      <c r="D1833" s="1455">
        <f>C1833*1.0962259996672</f>
        <v>0</v>
      </c>
      <c r="E1833" s="1456">
        <f>D1833*1.09639940701413</f>
        <v>0</v>
      </c>
    </row>
    <row r="1834" spans="1:5" s="1440" customFormat="1" ht="21.9" hidden="1" customHeight="1" outlineLevel="1">
      <c r="A1834" s="1376" t="s">
        <v>892</v>
      </c>
      <c r="B1834" s="1381">
        <v>0</v>
      </c>
      <c r="C1834" s="1381">
        <v>0</v>
      </c>
      <c r="D1834" s="1455">
        <f>C1834*1.0962259996672</f>
        <v>0</v>
      </c>
      <c r="E1834" s="1456">
        <f>D1834*1.09639940701413</f>
        <v>0</v>
      </c>
    </row>
    <row r="1835" spans="1:5" s="1440" customFormat="1" ht="21.9" hidden="1" customHeight="1" outlineLevel="1">
      <c r="A1835" s="1378" t="s">
        <v>1079</v>
      </c>
      <c r="B1835" s="1379">
        <v>0</v>
      </c>
      <c r="C1835" s="1379">
        <f>SUM(C1832+C1828)</f>
        <v>0</v>
      </c>
      <c r="D1835" s="1379">
        <f>SUM(D1832+D1828)</f>
        <v>0</v>
      </c>
      <c r="E1835" s="1379">
        <f>SUM(E1832+E1828)</f>
        <v>0</v>
      </c>
    </row>
    <row r="1836" spans="1:5" ht="21.9" hidden="1" customHeight="1" outlineLevel="1">
      <c r="B1836" s="1452"/>
      <c r="C1836" s="1452"/>
      <c r="D1836" s="1452"/>
      <c r="E1836" s="1452"/>
    </row>
    <row r="1837" spans="1:5" ht="21.9" customHeight="1" collapsed="1">
      <c r="B1837" s="1461"/>
      <c r="C1837" s="1461"/>
    </row>
    <row r="1838" spans="1:5" ht="21.9" customHeight="1">
      <c r="A1838" s="1366" t="s">
        <v>715</v>
      </c>
      <c r="B1838" s="1367"/>
      <c r="C1838" s="1367"/>
    </row>
    <row r="1839" spans="1:5" ht="21.9" hidden="1" customHeight="1" outlineLevel="1">
      <c r="A1839" s="1407"/>
    </row>
    <row r="1840" spans="1:5" ht="21.9" hidden="1" customHeight="1" outlineLevel="1">
      <c r="A1840" s="1366" t="s">
        <v>1707</v>
      </c>
      <c r="B1840" s="1368"/>
      <c r="C1840" s="1368"/>
      <c r="D1840" s="1368"/>
      <c r="E1840" s="1368"/>
    </row>
    <row r="1841" spans="1:5" ht="21.9" hidden="1" customHeight="1" outlineLevel="1">
      <c r="A1841" s="1366"/>
    </row>
    <row r="1842" spans="1:5" ht="21.9" hidden="1" customHeight="1" outlineLevel="1">
      <c r="A1842" s="1369" t="s">
        <v>856</v>
      </c>
      <c r="B1842" s="1370" t="s">
        <v>1671</v>
      </c>
      <c r="C1842" s="1370" t="s">
        <v>1680</v>
      </c>
      <c r="D1842" s="1371" t="s">
        <v>859</v>
      </c>
      <c r="E1842" s="1372"/>
    </row>
    <row r="1843" spans="1:5" ht="21.9" hidden="1" customHeight="1" outlineLevel="1">
      <c r="A1843" s="1373"/>
      <c r="B1843" s="1374"/>
      <c r="C1843" s="1374"/>
      <c r="D1843" s="1375" t="s">
        <v>861</v>
      </c>
      <c r="E1843" s="1375" t="s">
        <v>1672</v>
      </c>
    </row>
    <row r="1844" spans="1:5" ht="21.9" hidden="1" customHeight="1" outlineLevel="1">
      <c r="A1844" s="1376" t="s">
        <v>1084</v>
      </c>
      <c r="B1844" s="1377">
        <v>63132462</v>
      </c>
      <c r="C1844" s="1377">
        <f>C1883</f>
        <v>50963232</v>
      </c>
      <c r="D1844" s="1377">
        <f>D1883</f>
        <v>55867219.945471436</v>
      </c>
      <c r="E1844" s="1377">
        <f>E1883</f>
        <v>61252786.819742866</v>
      </c>
    </row>
    <row r="1845" spans="1:5" ht="21.9" hidden="1" customHeight="1" outlineLevel="1">
      <c r="A1845" s="1376" t="s">
        <v>1085</v>
      </c>
      <c r="B1845" s="1377">
        <v>10058926</v>
      </c>
      <c r="C1845" s="1377">
        <f>C1946</f>
        <v>9487067</v>
      </c>
      <c r="D1845" s="1377">
        <f>D1946</f>
        <v>10399969.505984703</v>
      </c>
      <c r="E1845" s="1377">
        <f>E1946</f>
        <v>11402520.399326663</v>
      </c>
    </row>
    <row r="1846" spans="1:5" ht="21.9" hidden="1" customHeight="1" outlineLevel="1">
      <c r="A1846" s="1378" t="s">
        <v>1086</v>
      </c>
      <c r="B1846" s="1395">
        <v>73191388</v>
      </c>
      <c r="C1846" s="1395">
        <f>C1844+C1845</f>
        <v>60450299</v>
      </c>
      <c r="D1846" s="1395">
        <f>D1844+D1845</f>
        <v>66267189.451456137</v>
      </c>
      <c r="E1846" s="1395">
        <f>E1844+E1845</f>
        <v>72655307.219069526</v>
      </c>
    </row>
    <row r="1847" spans="1:5" ht="21.9" hidden="1" customHeight="1" outlineLevel="1">
      <c r="A1847" s="1376" t="s">
        <v>1087</v>
      </c>
      <c r="B1847" s="1377">
        <v>9090465</v>
      </c>
      <c r="C1847" s="1377">
        <f>C1897</f>
        <v>10498549.4</v>
      </c>
      <c r="D1847" s="1377">
        <f>D1897</f>
        <v>11508782.811070481</v>
      </c>
      <c r="E1847" s="1377">
        <f>E1897</f>
        <v>12618222.64951209</v>
      </c>
    </row>
    <row r="1848" spans="1:5" ht="21.9" hidden="1" customHeight="1" outlineLevel="1">
      <c r="A1848" s="1378" t="s">
        <v>1088</v>
      </c>
      <c r="B1848" s="1395">
        <v>9090465</v>
      </c>
      <c r="C1848" s="1395">
        <f>C1847</f>
        <v>10498549.4</v>
      </c>
      <c r="D1848" s="1395">
        <f>D1847</f>
        <v>11508782.811070481</v>
      </c>
      <c r="E1848" s="1395">
        <f>E1847</f>
        <v>12618222.64951209</v>
      </c>
    </row>
    <row r="1849" spans="1:5" ht="21.9" hidden="1" customHeight="1" outlineLevel="1">
      <c r="A1849" s="1376" t="s">
        <v>1089</v>
      </c>
      <c r="B1849" s="1377">
        <v>25414658</v>
      </c>
      <c r="C1849" s="1377">
        <f>C1910</f>
        <v>23596106</v>
      </c>
      <c r="D1849" s="1377">
        <f>D1910</f>
        <v>25866664.888103213</v>
      </c>
      <c r="E1849" s="1377">
        <f>E1910</f>
        <v>28360196.04474958</v>
      </c>
    </row>
    <row r="1850" spans="1:5" ht="21.9" hidden="1" customHeight="1" outlineLevel="1">
      <c r="A1850" s="1376" t="s">
        <v>1090</v>
      </c>
      <c r="B1850" s="1377">
        <v>881697</v>
      </c>
      <c r="C1850" s="1377">
        <f>C1922</f>
        <v>966690</v>
      </c>
      <c r="D1850" s="1377">
        <f>D1922</f>
        <v>1059710.7116182854</v>
      </c>
      <c r="E1850" s="1377">
        <f>E1922</f>
        <v>1161866.1958248098</v>
      </c>
    </row>
    <row r="1851" spans="1:5" ht="21.9" hidden="1" customHeight="1" outlineLevel="1">
      <c r="A1851" s="1376" t="s">
        <v>1091</v>
      </c>
      <c r="B1851" s="1377">
        <v>195100</v>
      </c>
      <c r="C1851" s="1377">
        <f>C1934</f>
        <v>2802057</v>
      </c>
      <c r="D1851" s="1377">
        <f>D1934</f>
        <v>3071687.7359494753</v>
      </c>
      <c r="E1851" s="1377">
        <f>E1934</f>
        <v>3367796.6122275805</v>
      </c>
    </row>
    <row r="1852" spans="1:5" ht="21.9" hidden="1" customHeight="1" outlineLevel="1">
      <c r="A1852" s="1378" t="s">
        <v>1092</v>
      </c>
      <c r="B1852" s="1395">
        <v>26491455</v>
      </c>
      <c r="C1852" s="1395">
        <f>SUM(C1849:C1851)</f>
        <v>27364853</v>
      </c>
      <c r="D1852" s="1395">
        <f>SUM(D1849:D1851)</f>
        <v>29998063.335670974</v>
      </c>
      <c r="E1852" s="1395">
        <f>SUM(E1849:E1851)</f>
        <v>32889858.852801971</v>
      </c>
    </row>
    <row r="1853" spans="1:5" ht="21.9" hidden="1" customHeight="1" outlineLevel="1">
      <c r="A1853" s="1376" t="s">
        <v>1093</v>
      </c>
      <c r="B1853" s="1377">
        <v>5484563</v>
      </c>
      <c r="C1853" s="1377">
        <f>C1959</f>
        <v>922584</v>
      </c>
      <c r="D1853" s="1377">
        <f>D1959</f>
        <v>1011360.567676964</v>
      </c>
      <c r="E1853" s="1377">
        <f>E1959</f>
        <v>1108855.1266784973</v>
      </c>
    </row>
    <row r="1854" spans="1:5" ht="21.9" hidden="1" customHeight="1" outlineLevel="1">
      <c r="A1854" s="1378" t="s">
        <v>1094</v>
      </c>
      <c r="B1854" s="1395">
        <v>5484563</v>
      </c>
      <c r="C1854" s="1395">
        <f>C1853</f>
        <v>922584</v>
      </c>
      <c r="D1854" s="1395">
        <f>D1853</f>
        <v>1011360.567676964</v>
      </c>
      <c r="E1854" s="1395">
        <f>E1853</f>
        <v>1108855.1266784973</v>
      </c>
    </row>
    <row r="1855" spans="1:5" ht="21.9" hidden="1" customHeight="1" outlineLevel="1">
      <c r="A1855" s="1378" t="s">
        <v>876</v>
      </c>
      <c r="B1855" s="1395">
        <v>114257871</v>
      </c>
      <c r="C1855" s="1395">
        <f>SUM(C1854+C1852+C1848+C1846)</f>
        <v>99236285.400000006</v>
      </c>
      <c r="D1855" s="1395">
        <f>SUM(D1854+D1852+D1848+D1846)</f>
        <v>108785396.16587456</v>
      </c>
      <c r="E1855" s="1395">
        <f>SUM(E1854+E1852+E1848+E1846)</f>
        <v>119272243.84806208</v>
      </c>
    </row>
    <row r="1856" spans="1:5" ht="21.9" hidden="1" customHeight="1" outlineLevel="1">
      <c r="A1856" s="1407"/>
    </row>
    <row r="1857" spans="1:5" ht="21.9" hidden="1" customHeight="1" outlineLevel="1">
      <c r="A1857" s="1407"/>
    </row>
    <row r="1858" spans="1:5" ht="21.9" hidden="1" customHeight="1" outlineLevel="1">
      <c r="A1858" s="1462" t="s">
        <v>903</v>
      </c>
      <c r="B1858" s="1452"/>
      <c r="C1858" s="1452"/>
      <c r="D1858" s="1452"/>
      <c r="E1858" s="1452"/>
    </row>
    <row r="1859" spans="1:5" ht="21.9" hidden="1" customHeight="1" outlineLevel="1">
      <c r="A1859" s="1369" t="s">
        <v>878</v>
      </c>
      <c r="B1859" s="1412" t="s">
        <v>1671</v>
      </c>
      <c r="C1859" s="1412" t="s">
        <v>1680</v>
      </c>
      <c r="D1859" s="1371" t="s">
        <v>859</v>
      </c>
      <c r="E1859" s="1372"/>
    </row>
    <row r="1860" spans="1:5" ht="21.9" hidden="1" customHeight="1" outlineLevel="1">
      <c r="A1860" s="1373"/>
      <c r="B1860" s="1374"/>
      <c r="C1860" s="1374"/>
      <c r="D1860" s="1413" t="s">
        <v>861</v>
      </c>
      <c r="E1860" s="1413" t="s">
        <v>1672</v>
      </c>
    </row>
    <row r="1861" spans="1:5" ht="21.9" hidden="1" customHeight="1" outlineLevel="1">
      <c r="A1861" s="1378" t="s">
        <v>890</v>
      </c>
      <c r="B1861" s="1395">
        <v>71626537</v>
      </c>
      <c r="C1861" s="1395">
        <f>SUM(C1862:C1864)</f>
        <v>69791817.400000006</v>
      </c>
      <c r="D1861" s="1395">
        <f>SUM(D1862:D1864)</f>
        <v>76507604.797905684</v>
      </c>
      <c r="E1861" s="1395">
        <f>SUM(E1862:E1864)</f>
        <v>83882892.532495201</v>
      </c>
    </row>
    <row r="1862" spans="1:5" ht="21.9" hidden="1" customHeight="1" outlineLevel="1">
      <c r="A1862" s="1376" t="s">
        <v>880</v>
      </c>
      <c r="B1862" s="1377">
        <v>27116262</v>
      </c>
      <c r="C1862" s="1377">
        <f t="shared" ref="C1862:E1867" si="49">C1877+C1891+C1904+C1916+C1928+C1940+C1953</f>
        <v>31360891</v>
      </c>
      <c r="D1862" s="1377">
        <f t="shared" si="49"/>
        <v>34378624.08692909</v>
      </c>
      <c r="E1862" s="1377">
        <f t="shared" si="49"/>
        <v>37692703.062870748</v>
      </c>
    </row>
    <row r="1863" spans="1:5" ht="21.9" hidden="1" customHeight="1" outlineLevel="1">
      <c r="A1863" s="1376" t="s">
        <v>881</v>
      </c>
      <c r="B1863" s="1377">
        <v>44510275</v>
      </c>
      <c r="C1863" s="1377">
        <f t="shared" si="49"/>
        <v>38430926.399999999</v>
      </c>
      <c r="D1863" s="1377">
        <f t="shared" si="49"/>
        <v>42128980.710976586</v>
      </c>
      <c r="E1863" s="1377">
        <f t="shared" si="49"/>
        <v>46190189.469624452</v>
      </c>
    </row>
    <row r="1864" spans="1:5" ht="21.9" hidden="1" customHeight="1" outlineLevel="1">
      <c r="A1864" s="1376" t="s">
        <v>882</v>
      </c>
      <c r="B1864" s="1377">
        <v>0</v>
      </c>
      <c r="C1864" s="1377">
        <f t="shared" si="49"/>
        <v>0</v>
      </c>
      <c r="D1864" s="1377">
        <f t="shared" si="49"/>
        <v>0</v>
      </c>
      <c r="E1864" s="1377">
        <f t="shared" si="49"/>
        <v>0</v>
      </c>
    </row>
    <row r="1865" spans="1:5" ht="21.9" hidden="1" customHeight="1" outlineLevel="1">
      <c r="A1865" s="1378" t="s">
        <v>883</v>
      </c>
      <c r="B1865" s="1395">
        <v>42631334</v>
      </c>
      <c r="C1865" s="1395">
        <f t="shared" si="49"/>
        <v>29444468</v>
      </c>
      <c r="D1865" s="1395">
        <f t="shared" si="49"/>
        <v>32277791.36796888</v>
      </c>
      <c r="E1865" s="1395">
        <f t="shared" si="49"/>
        <v>35389351.31556689</v>
      </c>
    </row>
    <row r="1866" spans="1:5" ht="21.9" hidden="1" customHeight="1" outlineLevel="1">
      <c r="A1866" s="1376" t="s">
        <v>891</v>
      </c>
      <c r="B1866" s="1377">
        <v>42631334</v>
      </c>
      <c r="C1866" s="1377">
        <f t="shared" si="49"/>
        <v>29444468</v>
      </c>
      <c r="D1866" s="1377">
        <f t="shared" si="49"/>
        <v>32277791.36796888</v>
      </c>
      <c r="E1866" s="1377">
        <f t="shared" si="49"/>
        <v>35389351.31556689</v>
      </c>
    </row>
    <row r="1867" spans="1:5" ht="21.9" hidden="1" customHeight="1" outlineLevel="1">
      <c r="A1867" s="1376" t="s">
        <v>892</v>
      </c>
      <c r="B1867" s="1377">
        <v>0</v>
      </c>
      <c r="C1867" s="1377">
        <f t="shared" si="49"/>
        <v>0</v>
      </c>
      <c r="D1867" s="1377">
        <f t="shared" si="49"/>
        <v>0</v>
      </c>
      <c r="E1867" s="1377">
        <f t="shared" si="49"/>
        <v>0</v>
      </c>
    </row>
    <row r="1868" spans="1:5" ht="21.9" hidden="1" customHeight="1" outlineLevel="1">
      <c r="A1868" s="1378" t="s">
        <v>886</v>
      </c>
      <c r="B1868" s="1395">
        <v>114257871</v>
      </c>
      <c r="C1868" s="1395">
        <f>C1865+C1861</f>
        <v>99236285.400000006</v>
      </c>
      <c r="D1868" s="1395">
        <f>D1865+D1861</f>
        <v>108785396.16587457</v>
      </c>
      <c r="E1868" s="1395">
        <f>E1865+E1861</f>
        <v>119272243.8480621</v>
      </c>
    </row>
    <row r="1869" spans="1:5" ht="21.9" hidden="1" customHeight="1" outlineLevel="1">
      <c r="A1869" s="1407"/>
    </row>
    <row r="1870" spans="1:5" ht="21.9" hidden="1" customHeight="1" outlineLevel="1">
      <c r="A1870" s="1407"/>
    </row>
    <row r="1871" spans="1:5" ht="21.9" hidden="1" customHeight="1" outlineLevel="1">
      <c r="A1871" s="1366" t="s">
        <v>1749</v>
      </c>
    </row>
    <row r="1872" spans="1:5" ht="21.9" hidden="1" customHeight="1" outlineLevel="1">
      <c r="A1872" s="1366" t="s">
        <v>1095</v>
      </c>
    </row>
    <row r="1873" spans="1:5" ht="21.9" hidden="1" customHeight="1" outlineLevel="1">
      <c r="A1873" s="1363" t="s">
        <v>1084</v>
      </c>
    </row>
    <row r="1874" spans="1:5" ht="21.9" hidden="1" customHeight="1" outlineLevel="1">
      <c r="A1874" s="1369" t="s">
        <v>878</v>
      </c>
      <c r="B1874" s="1370" t="s">
        <v>1671</v>
      </c>
      <c r="C1874" s="1370" t="s">
        <v>1680</v>
      </c>
      <c r="D1874" s="1371" t="s">
        <v>859</v>
      </c>
      <c r="E1874" s="1372"/>
    </row>
    <row r="1875" spans="1:5" ht="21.9" hidden="1" customHeight="1" outlineLevel="1">
      <c r="A1875" s="1373"/>
      <c r="B1875" s="1374"/>
      <c r="C1875" s="1374"/>
      <c r="D1875" s="1375" t="s">
        <v>861</v>
      </c>
      <c r="E1875" s="1375" t="s">
        <v>1672</v>
      </c>
    </row>
    <row r="1876" spans="1:5" ht="21.9" hidden="1" customHeight="1" outlineLevel="1">
      <c r="A1876" s="1378" t="s">
        <v>890</v>
      </c>
      <c r="B1876" s="1395">
        <v>63132462</v>
      </c>
      <c r="C1876" s="1395">
        <f>SUM(C1877:C1879)</f>
        <v>46534220</v>
      </c>
      <c r="D1876" s="1395">
        <f>SUM(D1877:D1879)</f>
        <v>51012021.838233411</v>
      </c>
      <c r="E1876" s="1395">
        <f>SUM(E1877:E1879)</f>
        <v>55929550.494030967</v>
      </c>
    </row>
    <row r="1877" spans="1:5" ht="21.9" hidden="1" customHeight="1" outlineLevel="1">
      <c r="A1877" s="1376" t="s">
        <v>880</v>
      </c>
      <c r="B1877" s="1377">
        <v>27116262</v>
      </c>
      <c r="C1877" s="1377">
        <f>'Itemized Budget 2024-25'!L4143-'Itemized Budget 2024-25'!L4136</f>
        <v>22765887</v>
      </c>
      <c r="D1877" s="1381">
        <f>C1877*1.0962259996672</f>
        <v>24956557.23488551</v>
      </c>
      <c r="E1877" s="1381">
        <f>D1877*1.09639940701413</f>
        <v>27362354.553442672</v>
      </c>
    </row>
    <row r="1878" spans="1:5" ht="21.9" hidden="1" customHeight="1" outlineLevel="1">
      <c r="A1878" s="1376" t="s">
        <v>881</v>
      </c>
      <c r="B1878" s="1377">
        <v>36016200</v>
      </c>
      <c r="C1878" s="1377">
        <f>'Itemized Budget 2024-25'!L4182-'Itemized Budget 2024-25'!L4133-'Itemized Budget 2024-25'!L4137-'Itemized Budget 2024-25'!L4140</f>
        <v>23768333</v>
      </c>
      <c r="D1878" s="1381">
        <f>C1878*1.0962259996672</f>
        <v>26055464.603347898</v>
      </c>
      <c r="E1878" s="1381">
        <f>D1878*1.09639940701413</f>
        <v>28567195.940588292</v>
      </c>
    </row>
    <row r="1879" spans="1:5" ht="21.9" hidden="1" customHeight="1" outlineLevel="1">
      <c r="A1879" s="1376" t="s">
        <v>882</v>
      </c>
      <c r="B1879" s="1377">
        <v>0</v>
      </c>
      <c r="C1879" s="1377">
        <v>0</v>
      </c>
      <c r="D1879" s="1381">
        <f>C1879*1.0962259996672</f>
        <v>0</v>
      </c>
      <c r="E1879" s="1381">
        <f>D1879*1.09639940701413</f>
        <v>0</v>
      </c>
    </row>
    <row r="1880" spans="1:5" ht="21.9" hidden="1" customHeight="1" outlineLevel="1">
      <c r="A1880" s="1378" t="s">
        <v>883</v>
      </c>
      <c r="B1880" s="1395">
        <v>0</v>
      </c>
      <c r="C1880" s="1395">
        <f>SUM(C1881:C1882)</f>
        <v>4429012</v>
      </c>
      <c r="D1880" s="1395">
        <f>SUM(D1881:D1882)</f>
        <v>4855198.1072380245</v>
      </c>
      <c r="E1880" s="1395">
        <f>SUM(E1881:E1882)</f>
        <v>5323236.3257118966</v>
      </c>
    </row>
    <row r="1881" spans="1:5" ht="21.9" hidden="1" customHeight="1" outlineLevel="1">
      <c r="A1881" s="1376" t="s">
        <v>891</v>
      </c>
      <c r="B1881" s="1377">
        <v>0</v>
      </c>
      <c r="C1881" s="1377">
        <f>'Itemized Budget 2024-25'!L4187</f>
        <v>4429012</v>
      </c>
      <c r="D1881" s="1381">
        <f>C1881*1.0962259996672</f>
        <v>4855198.1072380245</v>
      </c>
      <c r="E1881" s="1381">
        <f>D1881*1.09639940701413</f>
        <v>5323236.3257118966</v>
      </c>
    </row>
    <row r="1882" spans="1:5" ht="21.9" hidden="1" customHeight="1" outlineLevel="1">
      <c r="A1882" s="1376" t="s">
        <v>892</v>
      </c>
      <c r="B1882" s="1377"/>
      <c r="C1882" s="1377"/>
      <c r="D1882" s="1381">
        <f>C1882*1.0962259996672</f>
        <v>0</v>
      </c>
      <c r="E1882" s="1381">
        <f>D1882*1.09639940701413</f>
        <v>0</v>
      </c>
    </row>
    <row r="1883" spans="1:5" ht="21.9" hidden="1" customHeight="1" outlineLevel="1">
      <c r="A1883" s="1378" t="s">
        <v>1096</v>
      </c>
      <c r="B1883" s="1395">
        <v>63132462</v>
      </c>
      <c r="C1883" s="1395">
        <f>SUM(C1880+C1876)</f>
        <v>50963232</v>
      </c>
      <c r="D1883" s="1395">
        <f>D1880+D1876</f>
        <v>55867219.945471436</v>
      </c>
      <c r="E1883" s="1395">
        <f>E1880+E1876</f>
        <v>61252786.819742866</v>
      </c>
    </row>
    <row r="1884" spans="1:5" ht="21.9" hidden="1" customHeight="1" outlineLevel="1">
      <c r="A1884" s="1405"/>
      <c r="B1884" s="1406"/>
      <c r="C1884" s="1406"/>
      <c r="D1884" s="1406"/>
      <c r="E1884" s="1406"/>
    </row>
    <row r="1885" spans="1:5" ht="21.9" hidden="1" customHeight="1" outlineLevel="1"/>
    <row r="1886" spans="1:5" ht="21.9" hidden="1" customHeight="1" outlineLevel="1">
      <c r="A1886" s="1408" t="s">
        <v>1098</v>
      </c>
    </row>
    <row r="1887" spans="1:5" ht="21.9" hidden="1" customHeight="1" outlineLevel="1">
      <c r="A1887" s="1366" t="s">
        <v>1099</v>
      </c>
    </row>
    <row r="1888" spans="1:5" ht="21.9" hidden="1" customHeight="1" outlineLevel="1">
      <c r="A1888" s="1369" t="s">
        <v>878</v>
      </c>
      <c r="B1888" s="1370" t="s">
        <v>1671</v>
      </c>
      <c r="C1888" s="1370" t="s">
        <v>1680</v>
      </c>
      <c r="D1888" s="1371" t="s">
        <v>859</v>
      </c>
      <c r="E1888" s="1372"/>
    </row>
    <row r="1889" spans="1:5" ht="21.9" hidden="1" customHeight="1" outlineLevel="1">
      <c r="A1889" s="1373"/>
      <c r="B1889" s="1374"/>
      <c r="C1889" s="1374"/>
      <c r="D1889" s="1375" t="s">
        <v>861</v>
      </c>
      <c r="E1889" s="1375" t="s">
        <v>1672</v>
      </c>
    </row>
    <row r="1890" spans="1:5" ht="21.9" hidden="1" customHeight="1" outlineLevel="1">
      <c r="A1890" s="1378" t="s">
        <v>890</v>
      </c>
      <c r="B1890" s="1395">
        <v>2490465</v>
      </c>
      <c r="C1890" s="1395">
        <f>SUM(C1891:C1893)</f>
        <v>7791543.4000000004</v>
      </c>
      <c r="D1890" s="1395">
        <f>SUM(D1891:D1893)</f>
        <v>8541292.4526153728</v>
      </c>
      <c r="E1890" s="1395">
        <f>SUM(E1891:E1893)</f>
        <v>9364667.9801817611</v>
      </c>
    </row>
    <row r="1891" spans="1:5" ht="21.9" hidden="1" customHeight="1" outlineLevel="1">
      <c r="A1891" s="1376" t="s">
        <v>880</v>
      </c>
      <c r="B1891" s="1377">
        <v>0</v>
      </c>
      <c r="C1891" s="1377">
        <f>'Itemized Budget 2024-25'!L4200</f>
        <v>4683984</v>
      </c>
      <c r="D1891" s="1381">
        <f>C1891*1.0962259996672</f>
        <v>5134705.0428251699</v>
      </c>
      <c r="E1891" s="1381">
        <f>D1891*1.09639940701413</f>
        <v>5629687.5641459795</v>
      </c>
    </row>
    <row r="1892" spans="1:5" ht="21.9" hidden="1" customHeight="1" outlineLevel="1">
      <c r="A1892" s="1376" t="s">
        <v>881</v>
      </c>
      <c r="B1892" s="1377">
        <v>2490465</v>
      </c>
      <c r="C1892" s="1377">
        <f>'Itemized Budget 2024-25'!L4222</f>
        <v>3107559.4</v>
      </c>
      <c r="D1892" s="1381">
        <f>C1892*1.0962259996672</f>
        <v>3406587.4097902039</v>
      </c>
      <c r="E1892" s="1381">
        <f>D1892*1.09639940701413</f>
        <v>3734980.4160357807</v>
      </c>
    </row>
    <row r="1893" spans="1:5" ht="21.9" hidden="1" customHeight="1" outlineLevel="1">
      <c r="A1893" s="1376" t="s">
        <v>882</v>
      </c>
      <c r="B1893" s="1377">
        <v>0</v>
      </c>
      <c r="C1893" s="1377">
        <v>0</v>
      </c>
      <c r="D1893" s="1381">
        <f>C1893*1.0962259996672</f>
        <v>0</v>
      </c>
      <c r="E1893" s="1381">
        <f>D1893*1.09639940701413</f>
        <v>0</v>
      </c>
    </row>
    <row r="1894" spans="1:5" ht="21.9" hidden="1" customHeight="1" outlineLevel="1">
      <c r="A1894" s="1378" t="s">
        <v>883</v>
      </c>
      <c r="B1894" s="1395">
        <v>6600000</v>
      </c>
      <c r="C1894" s="1395">
        <f>SUM(C1895:C1896)</f>
        <v>2707006</v>
      </c>
      <c r="D1894" s="1395">
        <f>SUM(D1895:D1896)</f>
        <v>2967490.358455108</v>
      </c>
      <c r="E1894" s="1395">
        <f>SUM(E1895:E1896)</f>
        <v>3253554.6693303287</v>
      </c>
    </row>
    <row r="1895" spans="1:5" ht="21.9" hidden="1" customHeight="1" outlineLevel="1">
      <c r="A1895" s="1376" t="s">
        <v>891</v>
      </c>
      <c r="B1895" s="1377">
        <v>6600000</v>
      </c>
      <c r="C1895" s="1377">
        <f>'Itemized Budget 2024-25'!L4230</f>
        <v>2707006</v>
      </c>
      <c r="D1895" s="1381">
        <f>C1895*1.0962259996672</f>
        <v>2967490.358455108</v>
      </c>
      <c r="E1895" s="1381">
        <f>D1895*1.09639940701413</f>
        <v>3253554.6693303287</v>
      </c>
    </row>
    <row r="1896" spans="1:5" ht="21.9" hidden="1" customHeight="1" outlineLevel="1">
      <c r="A1896" s="1376" t="s">
        <v>892</v>
      </c>
      <c r="B1896" s="1377">
        <v>0</v>
      </c>
      <c r="C1896" s="1377">
        <v>0</v>
      </c>
      <c r="D1896" s="1381">
        <f>C1896*1.0962259996672</f>
        <v>0</v>
      </c>
      <c r="E1896" s="1381">
        <f>D1896*1.09639940701413</f>
        <v>0</v>
      </c>
    </row>
    <row r="1897" spans="1:5" ht="21.9" hidden="1" customHeight="1" outlineLevel="1">
      <c r="A1897" s="1378" t="s">
        <v>1096</v>
      </c>
      <c r="B1897" s="1395">
        <v>9090465</v>
      </c>
      <c r="C1897" s="1395">
        <f>SUM(C1894+C1890)</f>
        <v>10498549.4</v>
      </c>
      <c r="D1897" s="1395">
        <f>SUM(D1894+D1890)</f>
        <v>11508782.811070481</v>
      </c>
      <c r="E1897" s="1395">
        <f>SUM(E1894+E1890)</f>
        <v>12618222.64951209</v>
      </c>
    </row>
    <row r="1898" spans="1:5" ht="21.9" hidden="1" customHeight="1" outlineLevel="1"/>
    <row r="1899" spans="1:5" ht="21.9" hidden="1" customHeight="1" outlineLevel="1">
      <c r="A1899" s="1408" t="s">
        <v>1100</v>
      </c>
    </row>
    <row r="1900" spans="1:5" ht="21.9" hidden="1" customHeight="1" outlineLevel="1">
      <c r="A1900" s="1363" t="s">
        <v>1089</v>
      </c>
    </row>
    <row r="1901" spans="1:5" ht="21.9" hidden="1" customHeight="1" outlineLevel="1">
      <c r="A1901" s="1369" t="s">
        <v>878</v>
      </c>
      <c r="B1901" s="1370" t="s">
        <v>1671</v>
      </c>
      <c r="C1901" s="1370" t="s">
        <v>1680</v>
      </c>
      <c r="D1901" s="1371" t="s">
        <v>859</v>
      </c>
      <c r="E1901" s="1372"/>
    </row>
    <row r="1902" spans="1:5" ht="21.9" hidden="1" customHeight="1" outlineLevel="1">
      <c r="A1902" s="1373"/>
      <c r="B1902" s="1374"/>
      <c r="C1902" s="1374"/>
      <c r="D1902" s="1375" t="s">
        <v>861</v>
      </c>
      <c r="E1902" s="1375" t="s">
        <v>1672</v>
      </c>
    </row>
    <row r="1903" spans="1:5" ht="21.9" hidden="1" customHeight="1" outlineLevel="1">
      <c r="A1903" s="1378" t="s">
        <v>890</v>
      </c>
      <c r="B1903" s="1395">
        <v>3193267</v>
      </c>
      <c r="C1903" s="1395">
        <f>SUM(C1904:C1906)</f>
        <v>12031561</v>
      </c>
      <c r="D1903" s="1395">
        <f>SUM(D1904:D1906)</f>
        <v>13189309.984781895</v>
      </c>
      <c r="E1903" s="1395">
        <f>SUM(E1904:E1906)</f>
        <v>14460751.646240413</v>
      </c>
    </row>
    <row r="1904" spans="1:5" ht="21.9" hidden="1" customHeight="1" outlineLevel="1">
      <c r="A1904" s="1376" t="s">
        <v>880</v>
      </c>
      <c r="B1904" s="1377">
        <v>0</v>
      </c>
      <c r="C1904" s="1377">
        <f>'Itemized Budget 2024-25'!L4243</f>
        <v>3911020</v>
      </c>
      <c r="D1904" s="1381">
        <f>C1904*1.0962259996672</f>
        <v>4287361.8092184123</v>
      </c>
      <c r="E1904" s="1381">
        <f>D1904*1.09639940701413</f>
        <v>4700660.9452820951</v>
      </c>
    </row>
    <row r="1905" spans="1:5" ht="21.9" hidden="1" customHeight="1" outlineLevel="1">
      <c r="A1905" s="1376" t="s">
        <v>881</v>
      </c>
      <c r="B1905" s="1377">
        <v>3193267</v>
      </c>
      <c r="C1905" s="1377">
        <f>'Itemized Budget 2024-25'!L4266</f>
        <v>8120541</v>
      </c>
      <c r="D1905" s="1381">
        <f>C1905*1.0962259996672</f>
        <v>8901948.1755634826</v>
      </c>
      <c r="E1905" s="1381">
        <f>D1905*1.09639940701413</f>
        <v>9760090.700958319</v>
      </c>
    </row>
    <row r="1906" spans="1:5" ht="21.9" hidden="1" customHeight="1" outlineLevel="1">
      <c r="A1906" s="1376" t="s">
        <v>882</v>
      </c>
      <c r="B1906" s="1377">
        <v>0</v>
      </c>
      <c r="C1906" s="1377"/>
      <c r="D1906" s="1381">
        <f>C1906*1.0962259996672</f>
        <v>0</v>
      </c>
      <c r="E1906" s="1381">
        <f>D1906*1.09639940701413</f>
        <v>0</v>
      </c>
    </row>
    <row r="1907" spans="1:5" ht="21.9" hidden="1" customHeight="1" outlineLevel="1">
      <c r="A1907" s="1378" t="s">
        <v>883</v>
      </c>
      <c r="B1907" s="1395">
        <v>22221391</v>
      </c>
      <c r="C1907" s="1395">
        <f>SUM(C1908:C1909)</f>
        <v>11564545</v>
      </c>
      <c r="D1907" s="1395">
        <f>SUM(D1908:D1909)</f>
        <v>12677354.903321318</v>
      </c>
      <c r="E1907" s="1395">
        <f>SUM(E1908:E1909)</f>
        <v>13899444.398509167</v>
      </c>
    </row>
    <row r="1908" spans="1:5" ht="21.9" hidden="1" customHeight="1" outlineLevel="1">
      <c r="A1908" s="1376" t="s">
        <v>891</v>
      </c>
      <c r="B1908" s="1377">
        <v>22221391</v>
      </c>
      <c r="C1908" s="1377">
        <f>'Itemized Budget 2024-25'!L4275</f>
        <v>11564545</v>
      </c>
      <c r="D1908" s="1381">
        <f>C1908*1.0962259996672</f>
        <v>12677354.903321318</v>
      </c>
      <c r="E1908" s="1381">
        <f>D1908*1.09639940701413</f>
        <v>13899444.398509167</v>
      </c>
    </row>
    <row r="1909" spans="1:5" ht="21.9" hidden="1" customHeight="1" outlineLevel="1">
      <c r="A1909" s="1376" t="s">
        <v>892</v>
      </c>
      <c r="B1909" s="1377">
        <v>0</v>
      </c>
      <c r="C1909" s="1377">
        <v>0</v>
      </c>
      <c r="D1909" s="1381">
        <f>C1909*1.0962259996672</f>
        <v>0</v>
      </c>
      <c r="E1909" s="1381">
        <f>D1909*1.09639940701413</f>
        <v>0</v>
      </c>
    </row>
    <row r="1910" spans="1:5" ht="21.9" hidden="1" customHeight="1" outlineLevel="1">
      <c r="A1910" s="1378" t="s">
        <v>1096</v>
      </c>
      <c r="B1910" s="1395">
        <v>25414658</v>
      </c>
      <c r="C1910" s="1395">
        <f>C1907+C1903</f>
        <v>23596106</v>
      </c>
      <c r="D1910" s="1395">
        <f>D1907+D1903</f>
        <v>25866664.888103213</v>
      </c>
      <c r="E1910" s="1395">
        <f>E1907+E1903</f>
        <v>28360196.04474958</v>
      </c>
    </row>
    <row r="1911" spans="1:5" ht="21.9" hidden="1" customHeight="1" outlineLevel="1"/>
    <row r="1912" spans="1:5" ht="21.9" hidden="1" customHeight="1" outlineLevel="1">
      <c r="A1912" s="1408" t="s">
        <v>1090</v>
      </c>
    </row>
    <row r="1913" spans="1:5" ht="21.9" hidden="1" customHeight="1" outlineLevel="1">
      <c r="A1913" s="1369" t="s">
        <v>878</v>
      </c>
      <c r="B1913" s="1412" t="s">
        <v>1671</v>
      </c>
      <c r="C1913" s="1412" t="s">
        <v>1680</v>
      </c>
      <c r="D1913" s="1371" t="s">
        <v>859</v>
      </c>
      <c r="E1913" s="1372"/>
    </row>
    <row r="1914" spans="1:5" ht="21.9" hidden="1" customHeight="1" outlineLevel="1">
      <c r="A1914" s="1373"/>
      <c r="B1914" s="1374"/>
      <c r="C1914" s="1374"/>
      <c r="D1914" s="1413" t="s">
        <v>861</v>
      </c>
      <c r="E1914" s="1413" t="s">
        <v>1672</v>
      </c>
    </row>
    <row r="1915" spans="1:5" ht="21.9" hidden="1" customHeight="1" outlineLevel="1">
      <c r="A1915" s="1378" t="s">
        <v>890</v>
      </c>
      <c r="B1915" s="1411">
        <v>881697</v>
      </c>
      <c r="C1915" s="1411">
        <f>SUM(C1916:C1918)</f>
        <v>966690</v>
      </c>
      <c r="D1915" s="1411">
        <f>SUM(D1916:D1918)</f>
        <v>1059710.7116182854</v>
      </c>
      <c r="E1915" s="1411">
        <f>SUM(E1916:E1918)</f>
        <v>1161866.1958248098</v>
      </c>
    </row>
    <row r="1916" spans="1:5" ht="21.9" hidden="1" customHeight="1" outlineLevel="1">
      <c r="A1916" s="1376" t="s">
        <v>880</v>
      </c>
      <c r="B1916" s="1450"/>
      <c r="C1916" s="1450"/>
      <c r="D1916" s="1381">
        <f>C1916*1.0962259996672</f>
        <v>0</v>
      </c>
      <c r="E1916" s="1381">
        <f>D1916*1.09639940701413</f>
        <v>0</v>
      </c>
    </row>
    <row r="1917" spans="1:5" ht="21.9" hidden="1" customHeight="1" outlineLevel="1">
      <c r="A1917" s="1376" t="s">
        <v>881</v>
      </c>
      <c r="B1917" s="1377">
        <v>881697</v>
      </c>
      <c r="C1917" s="1377">
        <f>'Itemized Budget 2024-25'!L4288</f>
        <v>966690</v>
      </c>
      <c r="D1917" s="1381">
        <f>C1917*1.0962259996672</f>
        <v>1059710.7116182854</v>
      </c>
      <c r="E1917" s="1381">
        <f>D1917*1.09639940701413</f>
        <v>1161866.1958248098</v>
      </c>
    </row>
    <row r="1918" spans="1:5" ht="21.9" hidden="1" customHeight="1" outlineLevel="1">
      <c r="A1918" s="1376" t="s">
        <v>882</v>
      </c>
      <c r="B1918" s="1377">
        <v>0</v>
      </c>
      <c r="C1918" s="1377">
        <v>0</v>
      </c>
      <c r="D1918" s="1381">
        <f>C1918*1.0962259996672</f>
        <v>0</v>
      </c>
      <c r="E1918" s="1381">
        <f>D1918*1.09639940701413</f>
        <v>0</v>
      </c>
    </row>
    <row r="1919" spans="1:5" ht="21.9" hidden="1" customHeight="1" outlineLevel="1">
      <c r="A1919" s="1378" t="s">
        <v>883</v>
      </c>
      <c r="B1919" s="1395">
        <v>0</v>
      </c>
      <c r="C1919" s="1395">
        <f>SUM(C1920:C1921)</f>
        <v>0</v>
      </c>
      <c r="D1919" s="1395">
        <f>SUM(D1920:D1921)</f>
        <v>0</v>
      </c>
      <c r="E1919" s="1395">
        <f>SUM(E1920:E1921)</f>
        <v>0</v>
      </c>
    </row>
    <row r="1920" spans="1:5" ht="21.9" hidden="1" customHeight="1" outlineLevel="1">
      <c r="A1920" s="1376" t="s">
        <v>891</v>
      </c>
      <c r="B1920" s="1377"/>
      <c r="C1920" s="1377"/>
      <c r="D1920" s="1381">
        <f>C1920*1.0962259996672</f>
        <v>0</v>
      </c>
      <c r="E1920" s="1381">
        <f>D1920*1.09639940701413</f>
        <v>0</v>
      </c>
    </row>
    <row r="1921" spans="1:5" ht="21.9" hidden="1" customHeight="1" outlineLevel="1">
      <c r="A1921" s="1376" t="s">
        <v>892</v>
      </c>
      <c r="B1921" s="1377">
        <v>0</v>
      </c>
      <c r="C1921" s="1377">
        <v>0</v>
      </c>
      <c r="D1921" s="1381">
        <f>C1921*1.0962259996672</f>
        <v>0</v>
      </c>
      <c r="E1921" s="1381">
        <f>D1921*1.09639940701413</f>
        <v>0</v>
      </c>
    </row>
    <row r="1922" spans="1:5" ht="21.9" hidden="1" customHeight="1" outlineLevel="1">
      <c r="A1922" s="1378" t="s">
        <v>1096</v>
      </c>
      <c r="B1922" s="1395">
        <v>881697</v>
      </c>
      <c r="C1922" s="1395">
        <f>SUM(C1919+C1915)</f>
        <v>966690</v>
      </c>
      <c r="D1922" s="1395">
        <f>D1919+D1915</f>
        <v>1059710.7116182854</v>
      </c>
      <c r="E1922" s="1395">
        <f>E1919+E1915</f>
        <v>1161866.1958248098</v>
      </c>
    </row>
    <row r="1923" spans="1:5" ht="21.9" hidden="1" customHeight="1" outlineLevel="1"/>
    <row r="1924" spans="1:5" ht="21.9" hidden="1" customHeight="1" outlineLevel="1">
      <c r="A1924" s="1363" t="s">
        <v>1091</v>
      </c>
    </row>
    <row r="1925" spans="1:5" ht="21.9" hidden="1" customHeight="1" outlineLevel="1">
      <c r="A1925" s="1369" t="s">
        <v>878</v>
      </c>
      <c r="B1925" s="1370" t="s">
        <v>1671</v>
      </c>
      <c r="C1925" s="1370" t="s">
        <v>1680</v>
      </c>
      <c r="D1925" s="1371" t="s">
        <v>859</v>
      </c>
      <c r="E1925" s="1372"/>
    </row>
    <row r="1926" spans="1:5" ht="21.9" hidden="1" customHeight="1" outlineLevel="1">
      <c r="A1926" s="1373"/>
      <c r="B1926" s="1374"/>
      <c r="C1926" s="1374"/>
      <c r="D1926" s="1375" t="s">
        <v>861</v>
      </c>
      <c r="E1926" s="1375" t="s">
        <v>1748</v>
      </c>
    </row>
    <row r="1927" spans="1:5" ht="21.9" hidden="1" customHeight="1" outlineLevel="1">
      <c r="A1927" s="1378" t="s">
        <v>890</v>
      </c>
      <c r="B1927" s="1395">
        <v>195100</v>
      </c>
      <c r="C1927" s="1395">
        <f>SUM(C1928:C1930)</f>
        <v>302323</v>
      </c>
      <c r="D1927" s="1395">
        <f>SUM(D1928:D1930)</f>
        <v>331414.33289738686</v>
      </c>
      <c r="E1927" s="1395">
        <f>SUM(E1928:E1930)</f>
        <v>363362.47806467843</v>
      </c>
    </row>
    <row r="1928" spans="1:5" ht="21.9" hidden="1" customHeight="1" outlineLevel="1">
      <c r="A1928" s="1376" t="s">
        <v>880</v>
      </c>
      <c r="B1928" s="1377"/>
      <c r="C1928" s="1377"/>
      <c r="D1928" s="1381">
        <f>C1928*1.0962259996672</f>
        <v>0</v>
      </c>
      <c r="E1928" s="1381">
        <f>D1928*1.09639940701413</f>
        <v>0</v>
      </c>
    </row>
    <row r="1929" spans="1:5" ht="21.9" hidden="1" customHeight="1" outlineLevel="1">
      <c r="A1929" s="1376" t="s">
        <v>881</v>
      </c>
      <c r="B1929" s="1377">
        <v>195100</v>
      </c>
      <c r="C1929" s="1377">
        <f>'Itemized Budget 2024-25'!L4297</f>
        <v>302323</v>
      </c>
      <c r="D1929" s="1381">
        <f>C1929*1.0962259996672</f>
        <v>331414.33289738686</v>
      </c>
      <c r="E1929" s="1381">
        <f>D1929*1.09639940701413</f>
        <v>363362.47806467843</v>
      </c>
    </row>
    <row r="1930" spans="1:5" ht="21.9" hidden="1" customHeight="1" outlineLevel="1">
      <c r="A1930" s="1376" t="s">
        <v>882</v>
      </c>
      <c r="B1930" s="1450">
        <v>0</v>
      </c>
      <c r="C1930" s="1450">
        <v>0</v>
      </c>
      <c r="D1930" s="1456">
        <f>C1930*1.0962259996672</f>
        <v>0</v>
      </c>
      <c r="E1930" s="1456">
        <f>D1930*1.09639940701413</f>
        <v>0</v>
      </c>
    </row>
    <row r="1931" spans="1:5" ht="21.9" hidden="1" customHeight="1" outlineLevel="1">
      <c r="A1931" s="1378" t="s">
        <v>883</v>
      </c>
      <c r="B1931" s="1411">
        <v>0</v>
      </c>
      <c r="C1931" s="1411">
        <f>SUM(C1932:C1933)</f>
        <v>2499734</v>
      </c>
      <c r="D1931" s="1395">
        <f>SUM(D1932:D1933)</f>
        <v>2740273.4030520883</v>
      </c>
      <c r="E1931" s="1395">
        <f>SUM(E1932:E1933)</f>
        <v>3004434.1341629019</v>
      </c>
    </row>
    <row r="1932" spans="1:5" ht="21.9" hidden="1" customHeight="1" outlineLevel="1">
      <c r="A1932" s="1376" t="s">
        <v>891</v>
      </c>
      <c r="B1932" s="1377">
        <v>0</v>
      </c>
      <c r="C1932" s="1377">
        <f>'Itemized Budget 2024-25'!L4303</f>
        <v>2499734</v>
      </c>
      <c r="D1932" s="1381">
        <f>C1932*1.0962259996672</f>
        <v>2740273.4030520883</v>
      </c>
      <c r="E1932" s="1381">
        <f>D1932*1.09639940701413</f>
        <v>3004434.1341629019</v>
      </c>
    </row>
    <row r="1933" spans="1:5" ht="21.9" hidden="1" customHeight="1" outlineLevel="1">
      <c r="A1933" s="1376" t="s">
        <v>892</v>
      </c>
      <c r="B1933" s="1377">
        <v>0</v>
      </c>
      <c r="C1933" s="1377">
        <v>0</v>
      </c>
      <c r="D1933" s="1381">
        <f>C1933*1.0962259996672</f>
        <v>0</v>
      </c>
      <c r="E1933" s="1381">
        <f>D1933*1.09639940701413</f>
        <v>0</v>
      </c>
    </row>
    <row r="1934" spans="1:5" ht="21.9" hidden="1" customHeight="1" outlineLevel="1">
      <c r="A1934" s="1378" t="s">
        <v>1096</v>
      </c>
      <c r="B1934" s="1395">
        <v>195100</v>
      </c>
      <c r="C1934" s="1395">
        <f>SUM(C1931+C1927)</f>
        <v>2802057</v>
      </c>
      <c r="D1934" s="1395">
        <f>SUM(D1931+D1927)</f>
        <v>3071687.7359494753</v>
      </c>
      <c r="E1934" s="1395">
        <f>SUM(E1931+E1927)</f>
        <v>3367796.6122275805</v>
      </c>
    </row>
    <row r="1935" spans="1:5" ht="21.9" hidden="1" customHeight="1" outlineLevel="1"/>
    <row r="1936" spans="1:5" ht="21.9" hidden="1" customHeight="1" outlineLevel="1">
      <c r="A1936" s="1408" t="s">
        <v>1097</v>
      </c>
    </row>
    <row r="1937" spans="1:5" ht="21.9" hidden="1" customHeight="1" outlineLevel="1">
      <c r="A1937" s="1369" t="s">
        <v>878</v>
      </c>
      <c r="B1937" s="1370" t="s">
        <v>1671</v>
      </c>
      <c r="C1937" s="1370" t="s">
        <v>1680</v>
      </c>
      <c r="D1937" s="1371" t="s">
        <v>859</v>
      </c>
      <c r="E1937" s="1372"/>
    </row>
    <row r="1938" spans="1:5" ht="21.9" hidden="1" customHeight="1" outlineLevel="1">
      <c r="A1938" s="1373"/>
      <c r="B1938" s="1374"/>
      <c r="C1938" s="1374"/>
      <c r="D1938" s="1375" t="s">
        <v>861</v>
      </c>
      <c r="E1938" s="1375" t="s">
        <v>1672</v>
      </c>
    </row>
    <row r="1939" spans="1:5" ht="21.9" hidden="1" customHeight="1" outlineLevel="1">
      <c r="A1939" s="1378" t="s">
        <v>890</v>
      </c>
      <c r="B1939" s="1395">
        <v>940000</v>
      </c>
      <c r="C1939" s="1395">
        <f>SUM(C1940:C1942)</f>
        <v>1753017</v>
      </c>
      <c r="D1939" s="1395">
        <f>SUM(D1940:D1942)</f>
        <v>1921702.8132585958</v>
      </c>
      <c r="E1939" s="1395">
        <f>SUM(E1940:E1942)</f>
        <v>2106953.8249141099</v>
      </c>
    </row>
    <row r="1940" spans="1:5" ht="21.9" hidden="1" customHeight="1" outlineLevel="1">
      <c r="A1940" s="1376" t="s">
        <v>880</v>
      </c>
      <c r="B1940" s="1377">
        <v>0</v>
      </c>
      <c r="C1940" s="1377"/>
      <c r="D1940" s="1381">
        <f>C1940*1.0962259996672</f>
        <v>0</v>
      </c>
      <c r="E1940" s="1381">
        <f>D1940*1.09639940701413</f>
        <v>0</v>
      </c>
    </row>
    <row r="1941" spans="1:5" ht="21.9" hidden="1" customHeight="1" outlineLevel="1">
      <c r="A1941" s="1376" t="s">
        <v>881</v>
      </c>
      <c r="B1941" s="1377">
        <v>940000</v>
      </c>
      <c r="C1941" s="1377">
        <f>'Itemized Budget 2024-25'!L4323</f>
        <v>1753017</v>
      </c>
      <c r="D1941" s="1381">
        <f>C1941*1.0962259996672</f>
        <v>1921702.8132585958</v>
      </c>
      <c r="E1941" s="1381">
        <f>D1941*1.09639940701413</f>
        <v>2106953.8249141099</v>
      </c>
    </row>
    <row r="1942" spans="1:5" ht="21.9" hidden="1" customHeight="1" outlineLevel="1">
      <c r="A1942" s="1376" t="s">
        <v>882</v>
      </c>
      <c r="B1942" s="1377">
        <v>0</v>
      </c>
      <c r="C1942" s="1377">
        <v>0</v>
      </c>
      <c r="D1942" s="1381">
        <f>C1942*1.0962259996672</f>
        <v>0</v>
      </c>
      <c r="E1942" s="1381">
        <f>D1942*1.09639940701413</f>
        <v>0</v>
      </c>
    </row>
    <row r="1943" spans="1:5" ht="21.9" hidden="1" customHeight="1" outlineLevel="1">
      <c r="A1943" s="1378" t="s">
        <v>883</v>
      </c>
      <c r="B1943" s="1395">
        <v>9118926</v>
      </c>
      <c r="C1943" s="1395">
        <f>SUM(C1944:C1945)</f>
        <v>7734050</v>
      </c>
      <c r="D1943" s="1395">
        <f>SUM(D1944:D1945)</f>
        <v>8478266.6927261073</v>
      </c>
      <c r="E1943" s="1395">
        <f>SUM(E1944:E1945)</f>
        <v>9295566.5744125545</v>
      </c>
    </row>
    <row r="1944" spans="1:5" ht="21.9" hidden="1" customHeight="1" outlineLevel="1">
      <c r="A1944" s="1376" t="s">
        <v>891</v>
      </c>
      <c r="B1944" s="1377">
        <v>9118926</v>
      </c>
      <c r="C1944" s="1377">
        <f>'Itemized Budget 2024-25'!L4333</f>
        <v>7734050</v>
      </c>
      <c r="D1944" s="1381">
        <f>C1944*1.0962259996672</f>
        <v>8478266.6927261073</v>
      </c>
      <c r="E1944" s="1381">
        <f>D1944*1.09639940701413</f>
        <v>9295566.5744125545</v>
      </c>
    </row>
    <row r="1945" spans="1:5" ht="21.9" hidden="1" customHeight="1" outlineLevel="1">
      <c r="A1945" s="1376" t="s">
        <v>892</v>
      </c>
      <c r="B1945" s="1377">
        <v>0</v>
      </c>
      <c r="C1945" s="1377">
        <v>0</v>
      </c>
      <c r="D1945" s="1381">
        <f>C1945*1.0962259996672</f>
        <v>0</v>
      </c>
      <c r="E1945" s="1381">
        <f>D1945*1.09639940701413</f>
        <v>0</v>
      </c>
    </row>
    <row r="1946" spans="1:5" ht="21.9" hidden="1" customHeight="1" outlineLevel="1">
      <c r="A1946" s="1378" t="s">
        <v>1096</v>
      </c>
      <c r="B1946" s="1395">
        <v>10058926</v>
      </c>
      <c r="C1946" s="1395">
        <f>SUM(C1943+C1939)</f>
        <v>9487067</v>
      </c>
      <c r="D1946" s="1395">
        <f>SUM(D1943+D1939)</f>
        <v>10399969.505984703</v>
      </c>
      <c r="E1946" s="1395">
        <f>SUM(E1943+E1939)</f>
        <v>11402520.399326663</v>
      </c>
    </row>
    <row r="1947" spans="1:5" ht="21.9" hidden="1" customHeight="1" outlineLevel="1">
      <c r="A1947" s="1405"/>
      <c r="B1947" s="1406"/>
      <c r="C1947" s="1406"/>
      <c r="D1947" s="1406"/>
      <c r="E1947" s="1406"/>
    </row>
    <row r="1948" spans="1:5" ht="21.9" hidden="1" customHeight="1" outlineLevel="1">
      <c r="A1948" s="1366" t="s">
        <v>1101</v>
      </c>
    </row>
    <row r="1949" spans="1:5" ht="21.9" hidden="1" customHeight="1" outlineLevel="1">
      <c r="A1949" s="1363" t="s">
        <v>1102</v>
      </c>
    </row>
    <row r="1950" spans="1:5" ht="21.9" hidden="1" customHeight="1" outlineLevel="1">
      <c r="A1950" s="1369" t="s">
        <v>878</v>
      </c>
      <c r="B1950" s="1370" t="s">
        <v>1671</v>
      </c>
      <c r="C1950" s="1370" t="s">
        <v>1680</v>
      </c>
      <c r="D1950" s="1371" t="s">
        <v>859</v>
      </c>
      <c r="E1950" s="1372"/>
    </row>
    <row r="1951" spans="1:5" ht="21.9" hidden="1" customHeight="1" outlineLevel="1">
      <c r="A1951" s="1373"/>
      <c r="B1951" s="1374"/>
      <c r="C1951" s="1374"/>
      <c r="D1951" s="1375" t="s">
        <v>861</v>
      </c>
      <c r="E1951" s="1375" t="s">
        <v>1672</v>
      </c>
    </row>
    <row r="1952" spans="1:5" ht="21.9" hidden="1" customHeight="1" outlineLevel="1">
      <c r="A1952" s="1378" t="s">
        <v>890</v>
      </c>
      <c r="B1952" s="1395">
        <v>793546</v>
      </c>
      <c r="C1952" s="1395">
        <f>SUM(C1953:C1955)</f>
        <v>412463</v>
      </c>
      <c r="D1952" s="1395">
        <f>SUM(D1953:D1955)</f>
        <v>452152.66450073227</v>
      </c>
      <c r="E1952" s="1395">
        <f>SUM(E1953:E1955)</f>
        <v>495739.91323846177</v>
      </c>
    </row>
    <row r="1953" spans="1:5" ht="21.9" hidden="1" customHeight="1" outlineLevel="1">
      <c r="A1953" s="1376" t="s">
        <v>880</v>
      </c>
      <c r="B1953" s="1377"/>
      <c r="C1953" s="1377"/>
      <c r="D1953" s="1381">
        <f>C1953*1.0962259996672</f>
        <v>0</v>
      </c>
      <c r="E1953" s="1381">
        <f>D1953*1.09639940701413</f>
        <v>0</v>
      </c>
    </row>
    <row r="1954" spans="1:5" ht="21.9" hidden="1" customHeight="1" outlineLevel="1">
      <c r="A1954" s="1376" t="s">
        <v>881</v>
      </c>
      <c r="B1954" s="1377">
        <v>793546</v>
      </c>
      <c r="C1954" s="1377">
        <f>'Itemized Budget 2024-25'!L4351</f>
        <v>412463</v>
      </c>
      <c r="D1954" s="1381">
        <f>C1954*1.0962259996672</f>
        <v>452152.66450073227</v>
      </c>
      <c r="E1954" s="1381">
        <f>D1954*1.09639940701413</f>
        <v>495739.91323846177</v>
      </c>
    </row>
    <row r="1955" spans="1:5" ht="21.9" hidden="1" customHeight="1" outlineLevel="1">
      <c r="A1955" s="1376" t="s">
        <v>882</v>
      </c>
      <c r="B1955" s="1377">
        <v>0</v>
      </c>
      <c r="C1955" s="1377">
        <v>0</v>
      </c>
      <c r="D1955" s="1381">
        <f>C1955*1.0962259996672</f>
        <v>0</v>
      </c>
      <c r="E1955" s="1381">
        <f>D1955*1.09639940701413</f>
        <v>0</v>
      </c>
    </row>
    <row r="1956" spans="1:5" ht="21.9" hidden="1" customHeight="1" outlineLevel="1">
      <c r="A1956" s="1378" t="s">
        <v>883</v>
      </c>
      <c r="B1956" s="1395">
        <v>4691017</v>
      </c>
      <c r="C1956" s="1395">
        <f>SUM(C1957:C1958)</f>
        <v>510121</v>
      </c>
      <c r="D1956" s="1395">
        <f>SUM(D1957:D1958)</f>
        <v>559207.90317623166</v>
      </c>
      <c r="E1956" s="1395">
        <f>SUM(E1957:E1958)</f>
        <v>613115.21344003547</v>
      </c>
    </row>
    <row r="1957" spans="1:5" ht="21.9" hidden="1" customHeight="1" outlineLevel="1">
      <c r="A1957" s="1376" t="s">
        <v>891</v>
      </c>
      <c r="B1957" s="1377">
        <v>4691017</v>
      </c>
      <c r="C1957" s="1377">
        <f>'Itemized Budget 2024-25'!L4357</f>
        <v>510121</v>
      </c>
      <c r="D1957" s="1381">
        <f>C1957*1.0962259996672</f>
        <v>559207.90317623166</v>
      </c>
      <c r="E1957" s="1381">
        <f>D1957*1.09639940701413</f>
        <v>613115.21344003547</v>
      </c>
    </row>
    <row r="1958" spans="1:5" ht="21.9" hidden="1" customHeight="1" outlineLevel="1">
      <c r="A1958" s="1376" t="s">
        <v>892</v>
      </c>
      <c r="B1958" s="1377"/>
      <c r="C1958" s="1377"/>
      <c r="D1958" s="1381">
        <f>C1958*1.0962259996672</f>
        <v>0</v>
      </c>
      <c r="E1958" s="1381">
        <f>D1958*1.09639940701413</f>
        <v>0</v>
      </c>
    </row>
    <row r="1959" spans="1:5" ht="21.9" hidden="1" customHeight="1" outlineLevel="1">
      <c r="A1959" s="1378" t="s">
        <v>1096</v>
      </c>
      <c r="B1959" s="1395">
        <v>5484563</v>
      </c>
      <c r="C1959" s="1395">
        <f>SUM(C1956+C1952)</f>
        <v>922584</v>
      </c>
      <c r="D1959" s="1395">
        <f>SUM(D1956+D1952)</f>
        <v>1011360.567676964</v>
      </c>
      <c r="E1959" s="1395">
        <f>SUM(E1956+E1952)</f>
        <v>1108855.1266784973</v>
      </c>
    </row>
    <row r="1960" spans="1:5" ht="21.9" hidden="1" customHeight="1" outlineLevel="1">
      <c r="A1960" s="1407"/>
    </row>
    <row r="1961" spans="1:5" ht="21.9" customHeight="1" collapsed="1">
      <c r="A1961" s="1407"/>
    </row>
    <row r="1962" spans="1:5" ht="21.9" customHeight="1">
      <c r="A1962" s="1366" t="s">
        <v>1281</v>
      </c>
      <c r="B1962" s="1367"/>
      <c r="C1962" s="1367"/>
    </row>
    <row r="1963" spans="1:5" ht="21.9" hidden="1" customHeight="1" outlineLevel="1">
      <c r="A1963" s="1366"/>
      <c r="B1963" s="1367"/>
      <c r="C1963" s="1367"/>
    </row>
    <row r="1964" spans="1:5" ht="21.9" hidden="1" customHeight="1" outlineLevel="1">
      <c r="A1964" s="1408" t="s">
        <v>1758</v>
      </c>
      <c r="B1964" s="1368"/>
      <c r="C1964" s="1368"/>
      <c r="D1964" s="1368"/>
      <c r="E1964" s="1368"/>
    </row>
    <row r="1965" spans="1:5" ht="21.9" hidden="1" customHeight="1" outlineLevel="1">
      <c r="A1965" s="1366"/>
    </row>
    <row r="1966" spans="1:5" ht="21.9" hidden="1" customHeight="1" outlineLevel="1">
      <c r="A1966" s="1369" t="s">
        <v>856</v>
      </c>
      <c r="B1966" s="1370" t="s">
        <v>1671</v>
      </c>
      <c r="C1966" s="1370" t="s">
        <v>1680</v>
      </c>
      <c r="D1966" s="1371" t="s">
        <v>859</v>
      </c>
      <c r="E1966" s="1372"/>
    </row>
    <row r="1967" spans="1:5" ht="21.9" hidden="1" customHeight="1" outlineLevel="1">
      <c r="A1967" s="1373"/>
      <c r="B1967" s="1374"/>
      <c r="C1967" s="1374"/>
      <c r="D1967" s="1375" t="s">
        <v>861</v>
      </c>
      <c r="E1967" s="1375" t="s">
        <v>1672</v>
      </c>
    </row>
    <row r="1968" spans="1:5" ht="21.9" hidden="1" customHeight="1" outlineLevel="1">
      <c r="A1968" s="1363" t="s">
        <v>1103</v>
      </c>
      <c r="B1968" s="1463">
        <v>282490088.99541301</v>
      </c>
      <c r="C1968" s="1463">
        <f>C2087</f>
        <v>59690830</v>
      </c>
      <c r="D1968" s="1463">
        <f>D2087</f>
        <v>65434639.787714891</v>
      </c>
      <c r="E1968" s="1463">
        <f>E2087</f>
        <v>71742151.045087799</v>
      </c>
    </row>
    <row r="1969" spans="1:5" ht="21.9" hidden="1" customHeight="1" outlineLevel="1">
      <c r="A1969" s="1405" t="s">
        <v>264</v>
      </c>
      <c r="B1969" s="1464">
        <v>282490088.99541301</v>
      </c>
      <c r="C1969" s="1464">
        <f>C1968</f>
        <v>59690830</v>
      </c>
      <c r="D1969" s="1464">
        <f>D1968</f>
        <v>65434639.787714891</v>
      </c>
      <c r="E1969" s="1464">
        <f>E1968</f>
        <v>71742151.045087799</v>
      </c>
    </row>
    <row r="1970" spans="1:5" ht="21.9" hidden="1" customHeight="1" outlineLevel="1">
      <c r="A1970" s="1376" t="s">
        <v>1104</v>
      </c>
      <c r="B1970" s="1377">
        <v>361515317.75</v>
      </c>
      <c r="C1970" s="1377">
        <f>C2030</f>
        <v>221968330.25</v>
      </c>
      <c r="D1970" s="1377">
        <f>D2030</f>
        <v>243327454.72276542</v>
      </c>
      <c r="E1970" s="1377">
        <f>E2030</f>
        <v>266782778.4606351</v>
      </c>
    </row>
    <row r="1971" spans="1:5" ht="21.9" hidden="1" customHeight="1" outlineLevel="1">
      <c r="A1971" s="1378" t="s">
        <v>1105</v>
      </c>
      <c r="B1971" s="1395">
        <v>361515317.75</v>
      </c>
      <c r="C1971" s="1395">
        <f>C1970</f>
        <v>221968330.25</v>
      </c>
      <c r="D1971" s="1395">
        <f>D1970</f>
        <v>243327454.72276542</v>
      </c>
      <c r="E1971" s="1395">
        <f>E1970</f>
        <v>266782778.4606351</v>
      </c>
    </row>
    <row r="1972" spans="1:5" ht="21.9" hidden="1" customHeight="1" outlineLevel="1">
      <c r="A1972" s="1376" t="s">
        <v>1106</v>
      </c>
      <c r="B1972" s="1377">
        <v>34205452.899999999</v>
      </c>
      <c r="C1972" s="1377">
        <f>C2045</f>
        <v>317790819.25999999</v>
      </c>
      <c r="D1972" s="1377">
        <f>D2045</f>
        <v>348370558.5283519</v>
      </c>
      <c r="E1972" s="1377">
        <f>E2045</f>
        <v>381951414.58232558</v>
      </c>
    </row>
    <row r="1973" spans="1:5" ht="21.9" hidden="1" customHeight="1" outlineLevel="1">
      <c r="A1973" s="1378" t="s">
        <v>1107</v>
      </c>
      <c r="B1973" s="1395">
        <v>34205452.899999999</v>
      </c>
      <c r="C1973" s="1395">
        <f>C1972</f>
        <v>317790819.25999999</v>
      </c>
      <c r="D1973" s="1395">
        <f>D1972</f>
        <v>348370558.5283519</v>
      </c>
      <c r="E1973" s="1395">
        <f>E1972</f>
        <v>381951414.58232558</v>
      </c>
    </row>
    <row r="1974" spans="1:5" ht="21.9" hidden="1" customHeight="1" outlineLevel="1">
      <c r="A1974" s="1378" t="s">
        <v>1705</v>
      </c>
      <c r="B1974" s="1377">
        <v>87687672.140000001</v>
      </c>
      <c r="C1974" s="1377">
        <f>C2058</f>
        <v>90217335</v>
      </c>
      <c r="D1974" s="1377">
        <f>D2058</f>
        <v>98898588.247685671</v>
      </c>
      <c r="E1974" s="1377">
        <f>E2058</f>
        <v>108431825.70011653</v>
      </c>
    </row>
    <row r="1975" spans="1:5" ht="21.9" hidden="1" customHeight="1" outlineLevel="1">
      <c r="A1975" s="1378" t="s">
        <v>1108</v>
      </c>
      <c r="B1975" s="1395">
        <v>87687672.140000001</v>
      </c>
      <c r="C1975" s="1395">
        <f>C1974</f>
        <v>90217335</v>
      </c>
      <c r="D1975" s="1395">
        <f>D1974</f>
        <v>98898588.247685671</v>
      </c>
      <c r="E1975" s="1395">
        <f>E1974</f>
        <v>108431825.70011653</v>
      </c>
    </row>
    <row r="1976" spans="1:5" ht="21.9" hidden="1" customHeight="1" outlineLevel="1">
      <c r="A1976" s="1376" t="s">
        <v>1109</v>
      </c>
      <c r="B1976" s="1377">
        <v>2784770.72</v>
      </c>
      <c r="C1976" s="1377">
        <f>C2072</f>
        <v>2810676</v>
      </c>
      <c r="D1976" s="1377">
        <f>D2072</f>
        <v>3081136.1078406069</v>
      </c>
      <c r="E1976" s="1377">
        <f>E2072</f>
        <v>3378139.3579349327</v>
      </c>
    </row>
    <row r="1977" spans="1:5" ht="21.9" hidden="1" customHeight="1" outlineLevel="1">
      <c r="A1977" s="1378" t="s">
        <v>1110</v>
      </c>
      <c r="B1977" s="1395">
        <v>2784770.72</v>
      </c>
      <c r="C1977" s="1395">
        <f>C1976</f>
        <v>2810676</v>
      </c>
      <c r="D1977" s="1395">
        <f>D1976</f>
        <v>3081136.1078406069</v>
      </c>
      <c r="E1977" s="1395">
        <f>E1976</f>
        <v>3378139.3579349327</v>
      </c>
    </row>
    <row r="1978" spans="1:5" ht="21.9" hidden="1" customHeight="1" outlineLevel="1">
      <c r="A1978" s="1363" t="s">
        <v>1103</v>
      </c>
      <c r="B1978" s="1463"/>
      <c r="C1978" s="1463">
        <f>C2014</f>
        <v>216124641</v>
      </c>
      <c r="D1978" s="1463">
        <f>D2014</f>
        <v>236921450.6329397</v>
      </c>
      <c r="E1978" s="1463">
        <f>E2014</f>
        <v>259759273.56324878</v>
      </c>
    </row>
    <row r="1979" spans="1:5" ht="21.9" hidden="1" customHeight="1" outlineLevel="1">
      <c r="A1979" s="1405" t="s">
        <v>264</v>
      </c>
      <c r="B1979" s="1464"/>
      <c r="C1979" s="1464">
        <f>C1978</f>
        <v>216124641</v>
      </c>
      <c r="D1979" s="1464">
        <f>D1978</f>
        <v>236921450.6329397</v>
      </c>
      <c r="E1979" s="1464">
        <f>E1978</f>
        <v>259759273.56324878</v>
      </c>
    </row>
    <row r="1980" spans="1:5" ht="21.9" hidden="1" customHeight="1" outlineLevel="1">
      <c r="A1980" s="1376" t="s">
        <v>1111</v>
      </c>
      <c r="B1980" s="1377">
        <v>14388403.699999999</v>
      </c>
      <c r="C1980" s="1377">
        <f>C2101</f>
        <v>11363585.166095257</v>
      </c>
      <c r="D1980" s="1377">
        <f t="shared" ref="D1980:E1980" si="50">D2101</f>
        <v>-42886.174198646098</v>
      </c>
      <c r="E1980" s="1377">
        <f t="shared" si="50"/>
        <v>-92094.067238981836</v>
      </c>
    </row>
    <row r="1981" spans="1:5" ht="21.9" hidden="1" customHeight="1" outlineLevel="1">
      <c r="A1981" s="1376" t="s">
        <v>1112</v>
      </c>
      <c r="B1981" s="1377">
        <v>15901779.75</v>
      </c>
      <c r="C1981" s="1377">
        <f>C2113</f>
        <v>18647761</v>
      </c>
      <c r="D1981" s="1377">
        <f>D2113</f>
        <v>20442160.443780024</v>
      </c>
      <c r="E1981" s="1377">
        <f>E2113</f>
        <v>22412663.491439097</v>
      </c>
    </row>
    <row r="1982" spans="1:5" ht="21.9" hidden="1" customHeight="1" outlineLevel="1">
      <c r="A1982" s="1378" t="s">
        <v>1113</v>
      </c>
      <c r="B1982" s="1395">
        <v>30290183.449999999</v>
      </c>
      <c r="C1982" s="1395">
        <f>C1980+C1981</f>
        <v>30011346.166095257</v>
      </c>
      <c r="D1982" s="1395">
        <f>D1980+D1981</f>
        <v>20399274.269581378</v>
      </c>
      <c r="E1982" s="1395">
        <f>E1980+E1981</f>
        <v>22320569.424200114</v>
      </c>
    </row>
    <row r="1983" spans="1:5" ht="21.9" hidden="1" customHeight="1" outlineLevel="1">
      <c r="A1983" s="1378" t="s">
        <v>912</v>
      </c>
      <c r="B1983" s="1395">
        <v>798973485.95541298</v>
      </c>
      <c r="C1983" s="1395">
        <f>C1982+C1977+C1969+C1975+C1973+C1971+C1979</f>
        <v>938613977.67609525</v>
      </c>
      <c r="D1983" s="1395">
        <f>D1982+D1977+D1969+D1975+D1973+D1971+D1979</f>
        <v>1016433102.2968795</v>
      </c>
      <c r="E1983" s="1395">
        <f>E1982+E1977+E1969+E1975+E1973+E1971+E1979</f>
        <v>1114366152.1335487</v>
      </c>
    </row>
    <row r="1984" spans="1:5" ht="21.9" hidden="1" customHeight="1" outlineLevel="1">
      <c r="A1984" s="1405"/>
      <c r="B1984" s="1406"/>
      <c r="C1984" s="1406"/>
      <c r="D1984" s="1406">
        <f>C1983-Programmes!C122</f>
        <v>580217670.67609525</v>
      </c>
      <c r="E1984" s="1406"/>
    </row>
    <row r="1985" spans="1:6" ht="21.9" hidden="1" customHeight="1" outlineLevel="1">
      <c r="A1985" s="1405"/>
      <c r="B1985" s="1406"/>
      <c r="C1985" s="1406"/>
      <c r="D1985" s="1406"/>
      <c r="E1985" s="1406"/>
    </row>
    <row r="1986" spans="1:6" ht="21.9" hidden="1" customHeight="1" outlineLevel="1">
      <c r="A1986" s="1366" t="s">
        <v>913</v>
      </c>
      <c r="B1986" s="1367"/>
      <c r="C1986" s="1367"/>
      <c r="D1986" s="1367"/>
      <c r="E1986" s="1367"/>
    </row>
    <row r="1987" spans="1:6" ht="21.9" hidden="1" customHeight="1" outlineLevel="1">
      <c r="A1987" s="1366"/>
    </row>
    <row r="1988" spans="1:6" ht="21.9" hidden="1" customHeight="1" outlineLevel="1">
      <c r="A1988" s="1369" t="s">
        <v>878</v>
      </c>
      <c r="B1988" s="1370" t="s">
        <v>1671</v>
      </c>
      <c r="C1988" s="1370" t="s">
        <v>1680</v>
      </c>
      <c r="D1988" s="1371" t="s">
        <v>859</v>
      </c>
      <c r="E1988" s="1372"/>
    </row>
    <row r="1989" spans="1:6" ht="21.9" hidden="1" customHeight="1" outlineLevel="1">
      <c r="A1989" s="1373"/>
      <c r="B1989" s="1374"/>
      <c r="C1989" s="1374"/>
      <c r="D1989" s="1375" t="s">
        <v>861</v>
      </c>
      <c r="E1989" s="1375" t="s">
        <v>1672</v>
      </c>
    </row>
    <row r="1990" spans="1:6" ht="21.9" hidden="1" customHeight="1" outlineLevel="1">
      <c r="A1990" s="1378" t="s">
        <v>890</v>
      </c>
      <c r="B1990" s="1395">
        <v>340358541.03541303</v>
      </c>
      <c r="C1990" s="1395">
        <f>C1991+C1992+C1993</f>
        <v>358396307</v>
      </c>
      <c r="D1990" s="1395">
        <f>D1991+D1992+D1993</f>
        <v>392883349.91810763</v>
      </c>
      <c r="E1990" s="1395">
        <f>E1991+E1992+E1993</f>
        <v>430754975.10749406</v>
      </c>
    </row>
    <row r="1991" spans="1:6" ht="21.9" hidden="1" customHeight="1" outlineLevel="1">
      <c r="A1991" s="1376" t="s">
        <v>880</v>
      </c>
      <c r="B1991" s="1377">
        <v>260809502.99541301</v>
      </c>
      <c r="C1991" s="1377">
        <f>C2066+C2095+C2107+C2081+C2024+C2039+C2052+C2008</f>
        <v>260189069</v>
      </c>
      <c r="D1991" s="1377">
        <f>D2066+D2095+D2107+D2081+D2024+D2039+D2052+D2008</f>
        <v>290524843.30423838</v>
      </c>
      <c r="E1991" s="1377">
        <f>E2066+E2095+E2107+E2081+E2024+E2039+E2052+E2008</f>
        <v>318529715.42752057</v>
      </c>
    </row>
    <row r="1992" spans="1:6" ht="21.9" hidden="1" customHeight="1" outlineLevel="1">
      <c r="A1992" s="1376" t="s">
        <v>881</v>
      </c>
      <c r="B1992" s="1377">
        <v>75794038.040000007</v>
      </c>
      <c r="C1992" s="1377">
        <f>C2067+C2108+C2082+C2025+C2040+C2053+C2009+C2096</f>
        <v>88028721</v>
      </c>
      <c r="D1992" s="1377">
        <f t="shared" ref="D1992:E1992" si="51">D2067+D2108+D2082+D2025+D2040+D2053+D2009</f>
        <v>91200551.640414685</v>
      </c>
      <c r="E1992" s="1377">
        <f t="shared" si="51"/>
        <v>99991744.012173355</v>
      </c>
    </row>
    <row r="1993" spans="1:6" ht="21.9" hidden="1" customHeight="1" outlineLevel="1">
      <c r="A1993" s="1376" t="s">
        <v>882</v>
      </c>
      <c r="B1993" s="1377">
        <v>3755000</v>
      </c>
      <c r="C1993" s="1377">
        <f>C2068+C2097+C2109+C2083+C2026+C2041+C2054+C2010</f>
        <v>10178517</v>
      </c>
      <c r="D1993" s="1377">
        <f>D2068+D2097+D2109+D2083+D2026+D2041+D2054+D2010</f>
        <v>11157954.973454589</v>
      </c>
      <c r="E1993" s="1377">
        <f>E2068+E2097+E2109+E2083+E2026+E2041+E2054+E2010</f>
        <v>12233515.66780013</v>
      </c>
    </row>
    <row r="1994" spans="1:6" ht="21.9" hidden="1" customHeight="1" outlineLevel="1">
      <c r="A1994" s="1378" t="s">
        <v>883</v>
      </c>
      <c r="B1994" s="1395">
        <v>458614944.92000002</v>
      </c>
      <c r="C1994" s="1395">
        <f>C1995+C1996</f>
        <v>580217670.67609525</v>
      </c>
      <c r="D1994" s="1395">
        <f>D1995+D1996</f>
        <v>636049696.06147671</v>
      </c>
      <c r="E1994" s="1395">
        <f>E1995+E1996</f>
        <v>697361115.07703006</v>
      </c>
    </row>
    <row r="1995" spans="1:6" ht="21.9" hidden="1" customHeight="1" outlineLevel="1">
      <c r="A1995" s="1376" t="s">
        <v>914</v>
      </c>
      <c r="B1995" s="1377">
        <v>458614944.92000002</v>
      </c>
      <c r="C1995" s="1377">
        <f t="shared" ref="C1995:E1996" si="52">C2070+C2099+C2111+C2085+C2028+C2043+C2056+C2012</f>
        <v>580217670.67609525</v>
      </c>
      <c r="D1995" s="1377">
        <f t="shared" si="52"/>
        <v>636049696.06147671</v>
      </c>
      <c r="E1995" s="1377">
        <f t="shared" si="52"/>
        <v>697361115.07703006</v>
      </c>
    </row>
    <row r="1996" spans="1:6" ht="21.9" hidden="1" customHeight="1" outlineLevel="1">
      <c r="A1996" s="1376" t="s">
        <v>885</v>
      </c>
      <c r="B1996" s="1377">
        <v>0</v>
      </c>
      <c r="C1996" s="1377">
        <f t="shared" si="52"/>
        <v>0</v>
      </c>
      <c r="D1996" s="1377">
        <f t="shared" si="52"/>
        <v>0</v>
      </c>
      <c r="E1996" s="1377">
        <f t="shared" si="52"/>
        <v>0</v>
      </c>
    </row>
    <row r="1997" spans="1:6" ht="21.9" hidden="1" customHeight="1" outlineLevel="1">
      <c r="A1997" s="1378" t="s">
        <v>915</v>
      </c>
      <c r="B1997" s="1395">
        <v>798973485.95541298</v>
      </c>
      <c r="C1997" s="1395">
        <f>C1990+C1994</f>
        <v>938613977.67609525</v>
      </c>
      <c r="D1997" s="1395">
        <f>D1990+D1994</f>
        <v>1028933045.9795843</v>
      </c>
      <c r="E1997" s="1395">
        <f>E1990+E1994</f>
        <v>1128116090.1845241</v>
      </c>
      <c r="F1997" s="1421"/>
    </row>
    <row r="1998" spans="1:6" ht="21.9" hidden="1" customHeight="1" outlineLevel="1">
      <c r="A1998" s="1405"/>
      <c r="B1998" s="1406"/>
      <c r="C1998" s="1406"/>
      <c r="D1998" s="1406"/>
      <c r="E1998" s="1406"/>
      <c r="F1998" s="1421"/>
    </row>
    <row r="1999" spans="1:6" ht="21.9" hidden="1" customHeight="1" outlineLevel="1">
      <c r="A1999" s="1405"/>
      <c r="B1999" s="1406"/>
      <c r="C1999" s="1406"/>
      <c r="D1999" s="1406"/>
      <c r="E1999" s="1406"/>
      <c r="F1999" s="1421"/>
    </row>
    <row r="2000" spans="1:6" ht="21.9" hidden="1" customHeight="1" outlineLevel="1">
      <c r="A2000" s="1366" t="s">
        <v>916</v>
      </c>
    </row>
    <row r="2001" spans="1:5" ht="21.9" hidden="1" customHeight="1" outlineLevel="1"/>
    <row r="2002" spans="1:5" ht="21.9" hidden="1" customHeight="1" outlineLevel="1">
      <c r="A2002" s="1366" t="s">
        <v>1114</v>
      </c>
      <c r="B2002" s="1367"/>
      <c r="C2002" s="1367"/>
    </row>
    <row r="2003" spans="1:5" ht="21.9" hidden="1" customHeight="1" outlineLevel="1">
      <c r="A2003" s="1366" t="s">
        <v>264</v>
      </c>
      <c r="B2003" s="1367"/>
      <c r="C2003" s="1367"/>
    </row>
    <row r="2004" spans="1:5" ht="21.9" hidden="1" customHeight="1" outlineLevel="1">
      <c r="A2004" s="1366" t="s">
        <v>265</v>
      </c>
      <c r="B2004" s="1367"/>
      <c r="C2004" s="1367"/>
    </row>
    <row r="2005" spans="1:5" ht="21.9" hidden="1" customHeight="1" outlineLevel="1">
      <c r="A2005" s="1369" t="s">
        <v>878</v>
      </c>
      <c r="B2005" s="1370" t="s">
        <v>1671</v>
      </c>
      <c r="C2005" s="1370" t="s">
        <v>1680</v>
      </c>
      <c r="D2005" s="1371" t="s">
        <v>859</v>
      </c>
      <c r="E2005" s="1372"/>
    </row>
    <row r="2006" spans="1:5" ht="21.9" hidden="1" customHeight="1" outlineLevel="1">
      <c r="A2006" s="1373"/>
      <c r="B2006" s="1374"/>
      <c r="C2006" s="1374"/>
      <c r="D2006" s="1375" t="s">
        <v>861</v>
      </c>
      <c r="E2006" s="1375" t="s">
        <v>1672</v>
      </c>
    </row>
    <row r="2007" spans="1:5" ht="21.9" hidden="1" customHeight="1" outlineLevel="1">
      <c r="A2007" s="1378" t="s">
        <v>890</v>
      </c>
      <c r="B2007" s="1379">
        <v>282490088.99541301</v>
      </c>
      <c r="C2007" s="1379">
        <f>C2008+C2009+C2010</f>
        <v>216124641</v>
      </c>
      <c r="D2007" s="1379">
        <f>D2008+D2009+D2010</f>
        <v>236921450.6329397</v>
      </c>
      <c r="E2007" s="1379">
        <f>E2008+E2009+E2010</f>
        <v>259759273.56324878</v>
      </c>
    </row>
    <row r="2008" spans="1:5" ht="21.9" hidden="1" customHeight="1" outlineLevel="1">
      <c r="A2008" s="1376" t="s">
        <v>880</v>
      </c>
      <c r="B2008" s="1381">
        <v>260809502.99541301</v>
      </c>
      <c r="C2008" s="1381">
        <f>'Itemized Budget 2024-25'!L4367</f>
        <v>206109444</v>
      </c>
      <c r="D2008" s="1381">
        <f>C2008*1.0962259996672</f>
        <v>225942531.28975075</v>
      </c>
      <c r="E2008" s="1381">
        <f>D2008*1.09639407014138</f>
        <v>247722051.49881592</v>
      </c>
    </row>
    <row r="2009" spans="1:5" ht="21.9" hidden="1" customHeight="1" outlineLevel="1">
      <c r="A2009" s="1376" t="s">
        <v>881</v>
      </c>
      <c r="B2009" s="1381">
        <v>20580586</v>
      </c>
      <c r="C2009" s="1381">
        <f>'Itemized Budget 2024-25'!L4412-'Itemized Budget 2024-25'!L4410-'Itemized Budget 2024-25'!L4408-'Itemized Budget 2024-25'!L4406-'Itemized Budget 2024-25'!L4367</f>
        <v>7078292</v>
      </c>
      <c r="D2009" s="1381">
        <f>C2009*1.0962259996672</f>
        <v>7759407.7236363441</v>
      </c>
      <c r="E2009" s="1381">
        <f>D2009*1.09639407014138</f>
        <v>8507368.6160041112</v>
      </c>
    </row>
    <row r="2010" spans="1:5" ht="21.9" hidden="1" customHeight="1" outlineLevel="1">
      <c r="A2010" s="1376" t="s">
        <v>882</v>
      </c>
      <c r="B2010" s="1381">
        <v>1100000</v>
      </c>
      <c r="C2010" s="1381">
        <f>'Itemized Budget 2024-25'!L4410+'Itemized Budget 2024-25'!L4408+'Itemized Budget 2024-25'!L4406</f>
        <v>2936905</v>
      </c>
      <c r="D2010" s="1381">
        <f>C2010*1.0962259996672</f>
        <v>3219511.6195525979</v>
      </c>
      <c r="E2010" s="1381">
        <f>D2010*1.09639407014138</f>
        <v>3529853.4484287384</v>
      </c>
    </row>
    <row r="2011" spans="1:5" ht="21.9" hidden="1" customHeight="1" outlineLevel="1">
      <c r="A2011" s="1378" t="s">
        <v>883</v>
      </c>
      <c r="B2011" s="1379">
        <v>0</v>
      </c>
      <c r="C2011" s="1379">
        <f>C2012+C2013</f>
        <v>0</v>
      </c>
      <c r="D2011" s="1379">
        <f>D2012+D2013</f>
        <v>0</v>
      </c>
      <c r="E2011" s="1379">
        <f>E2012+E2013</f>
        <v>0</v>
      </c>
    </row>
    <row r="2012" spans="1:5" ht="21.9" hidden="1" customHeight="1" outlineLevel="1">
      <c r="A2012" s="1376" t="s">
        <v>914</v>
      </c>
      <c r="B2012" s="1381"/>
      <c r="C2012" s="1381"/>
      <c r="D2012" s="1381">
        <f>C2012*1.0962259996672</f>
        <v>0</v>
      </c>
      <c r="E2012" s="1381">
        <f>D2012*1.09639407014138</f>
        <v>0</v>
      </c>
    </row>
    <row r="2013" spans="1:5" ht="21.9" hidden="1" customHeight="1" outlineLevel="1">
      <c r="A2013" s="1376" t="s">
        <v>885</v>
      </c>
      <c r="B2013" s="1381"/>
      <c r="C2013" s="1381"/>
      <c r="D2013" s="1381">
        <f>C2013*1.0962259996672</f>
        <v>0</v>
      </c>
      <c r="E2013" s="1381">
        <f>D2013*1.09639407014138</f>
        <v>0</v>
      </c>
    </row>
    <row r="2014" spans="1:5" ht="21.9" hidden="1" customHeight="1" outlineLevel="1">
      <c r="A2014" s="1378" t="s">
        <v>912</v>
      </c>
      <c r="B2014" s="1379">
        <v>282490088.99541301</v>
      </c>
      <c r="C2014" s="1379">
        <f>C2007+C2011</f>
        <v>216124641</v>
      </c>
      <c r="D2014" s="1379">
        <f>D2007+D2011</f>
        <v>236921450.6329397</v>
      </c>
      <c r="E2014" s="1379">
        <f>E2007+E2011</f>
        <v>259759273.56324878</v>
      </c>
    </row>
    <row r="2015" spans="1:5" ht="21.9" hidden="1" customHeight="1" outlineLevel="1">
      <c r="A2015" s="1405"/>
      <c r="B2015" s="1367"/>
      <c r="C2015" s="1367"/>
      <c r="D2015" s="1367"/>
      <c r="E2015" s="1367"/>
    </row>
    <row r="2016" spans="1:5" ht="21.9" hidden="1" customHeight="1" outlineLevel="1">
      <c r="A2016" s="1405"/>
      <c r="B2016" s="1367"/>
      <c r="C2016" s="1367"/>
      <c r="D2016" s="1367"/>
      <c r="E2016" s="1367"/>
    </row>
    <row r="2017" spans="1:5" ht="21.9" hidden="1" customHeight="1" outlineLevel="1">
      <c r="A2017" s="1366" t="s">
        <v>1115</v>
      </c>
    </row>
    <row r="2018" spans="1:5" ht="21.9" hidden="1" customHeight="1" outlineLevel="1">
      <c r="A2018" s="1465" t="s">
        <v>1105</v>
      </c>
    </row>
    <row r="2019" spans="1:5" ht="21.9" hidden="1" customHeight="1" outlineLevel="1">
      <c r="A2019" s="1366" t="s">
        <v>1706</v>
      </c>
    </row>
    <row r="2020" spans="1:5" ht="21.9" hidden="1" customHeight="1" outlineLevel="1">
      <c r="A2020" s="1366"/>
    </row>
    <row r="2021" spans="1:5" ht="21.9" hidden="1" customHeight="1" outlineLevel="1">
      <c r="A2021" s="1369" t="s">
        <v>878</v>
      </c>
      <c r="B2021" s="1370" t="s">
        <v>1671</v>
      </c>
      <c r="C2021" s="1370" t="s">
        <v>1680</v>
      </c>
      <c r="D2021" s="1371" t="s">
        <v>859</v>
      </c>
      <c r="E2021" s="1372"/>
    </row>
    <row r="2022" spans="1:5" ht="21.9" hidden="1" customHeight="1" outlineLevel="1">
      <c r="A2022" s="1373"/>
      <c r="B2022" s="1374"/>
      <c r="C2022" s="1374"/>
      <c r="D2022" s="1375" t="s">
        <v>861</v>
      </c>
      <c r="E2022" s="1375" t="s">
        <v>1672</v>
      </c>
    </row>
    <row r="2023" spans="1:5" ht="21.9" hidden="1" customHeight="1" outlineLevel="1">
      <c r="A2023" s="1378" t="s">
        <v>890</v>
      </c>
      <c r="B2023" s="1379">
        <v>5705445.75</v>
      </c>
      <c r="C2023" s="1379">
        <f>C2024+C2025+C2026</f>
        <v>6908038</v>
      </c>
      <c r="D2023" s="1379">
        <f>D2024+D2025+D2026</f>
        <v>7572770.862289004</v>
      </c>
      <c r="E2023" s="1379">
        <f>E2024+E2025+E2026</f>
        <v>8302741.0679530893</v>
      </c>
    </row>
    <row r="2024" spans="1:5" ht="21.9" hidden="1" customHeight="1" outlineLevel="1">
      <c r="A2024" s="1376" t="s">
        <v>880</v>
      </c>
      <c r="B2024" s="1381">
        <v>0</v>
      </c>
      <c r="C2024" s="1381">
        <v>0</v>
      </c>
      <c r="D2024" s="1381">
        <f>C2024*1.0962259996672</f>
        <v>0</v>
      </c>
      <c r="E2024" s="1381">
        <f>D2024*1.09639407014138</f>
        <v>0</v>
      </c>
    </row>
    <row r="2025" spans="1:5" ht="21.9" hidden="1" customHeight="1" outlineLevel="1">
      <c r="A2025" s="1376" t="s">
        <v>881</v>
      </c>
      <c r="B2025" s="1381">
        <v>5705445.75</v>
      </c>
      <c r="C2025" s="1381">
        <f>'Itemized Budget 2024-25'!L4435-'Itemized Budget 2024-25'!L4433</f>
        <v>4806038</v>
      </c>
      <c r="D2025" s="1381">
        <f>C2025*1.0962259996672</f>
        <v>5268503.8109885501</v>
      </c>
      <c r="E2025" s="1381">
        <f>D2025*1.09639407014138</f>
        <v>5776356.3368851077</v>
      </c>
    </row>
    <row r="2026" spans="1:5" ht="21.9" hidden="1" customHeight="1" outlineLevel="1">
      <c r="A2026" s="1376" t="s">
        <v>882</v>
      </c>
      <c r="B2026" s="1381"/>
      <c r="C2026" s="1381">
        <f>'Itemized Budget 2024-25'!L4433</f>
        <v>2102000</v>
      </c>
      <c r="D2026" s="1381">
        <f>C2026*1.0962259996672</f>
        <v>2304267.0513004544</v>
      </c>
      <c r="E2026" s="1381">
        <f>D2026*1.09639407014138</f>
        <v>2526384.7310679811</v>
      </c>
    </row>
    <row r="2027" spans="1:5" ht="21.9" hidden="1" customHeight="1" outlineLevel="1">
      <c r="A2027" s="1378" t="s">
        <v>883</v>
      </c>
      <c r="B2027" s="1379">
        <v>355809872</v>
      </c>
      <c r="C2027" s="1379">
        <f>C2028+C2029</f>
        <v>215060292.25</v>
      </c>
      <c r="D2027" s="1379">
        <f>D2028+D2029</f>
        <v>235754683.8604764</v>
      </c>
      <c r="E2027" s="1379">
        <f>E2028+E2029</f>
        <v>258480037.39268202</v>
      </c>
    </row>
    <row r="2028" spans="1:5" ht="21.9" hidden="1" customHeight="1" outlineLevel="1">
      <c r="A2028" s="1376" t="s">
        <v>914</v>
      </c>
      <c r="B2028" s="1381">
        <v>355809872</v>
      </c>
      <c r="C2028" s="1381">
        <f>'Itemized Budget 2024-25'!L4449</f>
        <v>215060292.25</v>
      </c>
      <c r="D2028" s="1381">
        <f>C2028*1.0962259996672</f>
        <v>235754683.8604764</v>
      </c>
      <c r="E2028" s="1381">
        <f>D2028*1.09639407014138</f>
        <v>258480037.39268202</v>
      </c>
    </row>
    <row r="2029" spans="1:5" ht="21.9" hidden="1" customHeight="1" outlineLevel="1">
      <c r="A2029" s="1376" t="s">
        <v>885</v>
      </c>
      <c r="B2029" s="1381"/>
      <c r="C2029" s="1381"/>
      <c r="D2029" s="1381">
        <f>C2029*1.0962259996672</f>
        <v>0</v>
      </c>
      <c r="E2029" s="1381">
        <f>D2029*1.09639407014138</f>
        <v>0</v>
      </c>
    </row>
    <row r="2030" spans="1:5" ht="21.9" hidden="1" customHeight="1" outlineLevel="1">
      <c r="A2030" s="1378" t="s">
        <v>912</v>
      </c>
      <c r="B2030" s="1379">
        <v>361515317.75</v>
      </c>
      <c r="C2030" s="1379">
        <f>C2027+C2023</f>
        <v>221968330.25</v>
      </c>
      <c r="D2030" s="1379">
        <f>D2027+D2023</f>
        <v>243327454.72276542</v>
      </c>
      <c r="E2030" s="1379">
        <f>E2027+E2023</f>
        <v>266782778.4606351</v>
      </c>
    </row>
    <row r="2031" spans="1:5" ht="21.9" hidden="1" customHeight="1" outlineLevel="1"/>
    <row r="2032" spans="1:5" ht="21.9" hidden="1" customHeight="1" outlineLevel="1"/>
    <row r="2033" spans="1:5" ht="21.9" hidden="1" customHeight="1" outlineLevel="1">
      <c r="A2033" s="1366" t="s">
        <v>1107</v>
      </c>
    </row>
    <row r="2034" spans="1:5" ht="21.9" hidden="1" customHeight="1" outlineLevel="1">
      <c r="A2034" s="1366" t="s">
        <v>1106</v>
      </c>
    </row>
    <row r="2035" spans="1:5" ht="21.9" hidden="1" customHeight="1" outlineLevel="1"/>
    <row r="2036" spans="1:5" ht="21.9" hidden="1" customHeight="1" outlineLevel="1">
      <c r="A2036" s="1369" t="s">
        <v>878</v>
      </c>
      <c r="B2036" s="1412" t="s">
        <v>1671</v>
      </c>
      <c r="C2036" s="1412" t="s">
        <v>1680</v>
      </c>
      <c r="D2036" s="1371" t="s">
        <v>859</v>
      </c>
      <c r="E2036" s="1372"/>
    </row>
    <row r="2037" spans="1:5" ht="21.9" hidden="1" customHeight="1" outlineLevel="1">
      <c r="A2037" s="1373"/>
      <c r="B2037" s="1374"/>
      <c r="C2037" s="1374"/>
      <c r="D2037" s="1413" t="s">
        <v>861</v>
      </c>
      <c r="E2037" s="1413" t="s">
        <v>1672</v>
      </c>
    </row>
    <row r="2038" spans="1:5" ht="21.9" hidden="1" customHeight="1" outlineLevel="1">
      <c r="A2038" s="1378" t="s">
        <v>890</v>
      </c>
      <c r="B2038" s="1379">
        <v>14205452.9</v>
      </c>
      <c r="C2038" s="1379">
        <f>C2039+C2040+C2041</f>
        <v>39881638</v>
      </c>
      <c r="D2038" s="1379">
        <f>D2039+D2040+D2041</f>
        <v>43719288.484915391</v>
      </c>
      <c r="E2038" s="1379">
        <f>E2039+E2040+E2041</f>
        <v>47933568.645661548</v>
      </c>
    </row>
    <row r="2039" spans="1:5" ht="21.9" hidden="1" customHeight="1" outlineLevel="1">
      <c r="A2039" s="1376" t="s">
        <v>880</v>
      </c>
      <c r="B2039" s="1381"/>
      <c r="C2039" s="1381">
        <v>0</v>
      </c>
      <c r="D2039" s="1381">
        <f>C2039*1.0962259996672</f>
        <v>0</v>
      </c>
      <c r="E2039" s="1381">
        <f>D2039*1.09639407014138</f>
        <v>0</v>
      </c>
    </row>
    <row r="2040" spans="1:5" ht="21.9" hidden="1" customHeight="1" outlineLevel="1">
      <c r="A2040" s="1376" t="s">
        <v>881</v>
      </c>
      <c r="B2040" s="1381">
        <v>14205452.9</v>
      </c>
      <c r="C2040" s="1381">
        <f>'Itemized Budget 2024-25'!L4483</f>
        <v>39881638</v>
      </c>
      <c r="D2040" s="1381">
        <f>C2040*1.0962259996672</f>
        <v>43719288.484915391</v>
      </c>
      <c r="E2040" s="1381">
        <f>D2040*1.09639407014138</f>
        <v>47933568.645661548</v>
      </c>
    </row>
    <row r="2041" spans="1:5" ht="21.9" hidden="1" customHeight="1" outlineLevel="1">
      <c r="A2041" s="1376" t="s">
        <v>882</v>
      </c>
      <c r="B2041" s="1381"/>
      <c r="C2041" s="1381">
        <v>0</v>
      </c>
      <c r="D2041" s="1381">
        <f>C2041*1.0962259996672</f>
        <v>0</v>
      </c>
      <c r="E2041" s="1381">
        <f>D2041*1.09639407014138</f>
        <v>0</v>
      </c>
    </row>
    <row r="2042" spans="1:5" ht="21.9" hidden="1" customHeight="1" outlineLevel="1">
      <c r="A2042" s="1378" t="s">
        <v>883</v>
      </c>
      <c r="B2042" s="1379">
        <v>20000000</v>
      </c>
      <c r="C2042" s="1379">
        <f>C2043+C2044</f>
        <v>277909181.25999999</v>
      </c>
      <c r="D2042" s="1379">
        <f>D2043+D2044</f>
        <v>304651270.04343653</v>
      </c>
      <c r="E2042" s="1379">
        <f>E2043+E2044</f>
        <v>334017845.93666404</v>
      </c>
    </row>
    <row r="2043" spans="1:5" ht="21.9" hidden="1" customHeight="1" outlineLevel="1">
      <c r="A2043" s="1376" t="s">
        <v>914</v>
      </c>
      <c r="B2043" s="1381">
        <v>20000000</v>
      </c>
      <c r="C2043" s="1381">
        <f>'Itemized Budget 2024-25'!L4494</f>
        <v>277909181.25999999</v>
      </c>
      <c r="D2043" s="1381">
        <f>C2043*1.0962259996672</f>
        <v>304651270.04343653</v>
      </c>
      <c r="E2043" s="1381">
        <f>D2043*1.09639407014138</f>
        <v>334017845.93666404</v>
      </c>
    </row>
    <row r="2044" spans="1:5" ht="21.9" hidden="1" customHeight="1" outlineLevel="1">
      <c r="A2044" s="1376" t="s">
        <v>885</v>
      </c>
      <c r="B2044" s="1381">
        <v>0</v>
      </c>
      <c r="C2044" s="1381">
        <v>0</v>
      </c>
      <c r="D2044" s="1381">
        <f>C2044*1.0962259996672</f>
        <v>0</v>
      </c>
      <c r="E2044" s="1381">
        <f>D2044*1.09639407014138</f>
        <v>0</v>
      </c>
    </row>
    <row r="2045" spans="1:5" ht="21.9" hidden="1" customHeight="1" outlineLevel="1">
      <c r="A2045" s="1378" t="s">
        <v>912</v>
      </c>
      <c r="B2045" s="1379">
        <v>34205452.899999999</v>
      </c>
      <c r="C2045" s="1379">
        <f>C2042+C2038</f>
        <v>317790819.25999999</v>
      </c>
      <c r="D2045" s="1379">
        <f>D2042+D2038</f>
        <v>348370558.5283519</v>
      </c>
      <c r="E2045" s="1379">
        <f>E2042+E2038</f>
        <v>381951414.58232558</v>
      </c>
    </row>
    <row r="2046" spans="1:5" ht="21.9" hidden="1" customHeight="1" outlineLevel="1">
      <c r="A2046" s="1405"/>
      <c r="B2046" s="1367"/>
      <c r="C2046" s="1367"/>
      <c r="D2046" s="1367"/>
      <c r="E2046" s="1367"/>
    </row>
    <row r="2047" spans="1:5" ht="21.9" hidden="1" customHeight="1" outlineLevel="1"/>
    <row r="2048" spans="1:5" ht="21.9" hidden="1" customHeight="1" outlineLevel="1">
      <c r="A2048" s="1466" t="s">
        <v>1799</v>
      </c>
    </row>
    <row r="2049" spans="1:5" ht="21.9" hidden="1" customHeight="1" outlineLevel="1">
      <c r="A2049" s="1369" t="s">
        <v>878</v>
      </c>
      <c r="B2049" s="1412" t="s">
        <v>1671</v>
      </c>
      <c r="C2049" s="1412" t="s">
        <v>1680</v>
      </c>
      <c r="D2049" s="1371" t="s">
        <v>859</v>
      </c>
      <c r="E2049" s="1372"/>
    </row>
    <row r="2050" spans="1:5" ht="21.9" hidden="1" customHeight="1" outlineLevel="1">
      <c r="A2050" s="1373"/>
      <c r="B2050" s="1374"/>
      <c r="C2050" s="1374"/>
      <c r="D2050" s="1413" t="s">
        <v>1771</v>
      </c>
      <c r="E2050" s="1413" t="s">
        <v>1672</v>
      </c>
    </row>
    <row r="2051" spans="1:5" ht="21.9" hidden="1" customHeight="1" outlineLevel="1">
      <c r="A2051" s="1378" t="s">
        <v>890</v>
      </c>
      <c r="B2051" s="1379">
        <v>26179999.140000001</v>
      </c>
      <c r="C2051" s="1379">
        <f>C2052+C2053+C2054</f>
        <v>20190034</v>
      </c>
      <c r="D2051" s="1379">
        <f>D2052+D2053+D2054</f>
        <v>22132840.204964753</v>
      </c>
      <c r="E2051" s="1379">
        <f>E2052+E2053+E2054</f>
        <v>24266314.756110076</v>
      </c>
    </row>
    <row r="2052" spans="1:5" ht="21.9" hidden="1" customHeight="1" outlineLevel="1">
      <c r="A2052" s="1376" t="s">
        <v>880</v>
      </c>
      <c r="B2052" s="1381"/>
      <c r="C2052" s="1381">
        <v>0</v>
      </c>
      <c r="D2052" s="1381">
        <f>C2052*1.0962259996672</f>
        <v>0</v>
      </c>
      <c r="E2052" s="1381">
        <f>D2052*1.09639407014138</f>
        <v>0</v>
      </c>
    </row>
    <row r="2053" spans="1:5" ht="21.9" hidden="1" customHeight="1" outlineLevel="1">
      <c r="A2053" s="1376" t="s">
        <v>881</v>
      </c>
      <c r="B2053" s="1381">
        <v>23624999.140000001</v>
      </c>
      <c r="C2053" s="1381">
        <f>'Itemized Budget 2024-25'!L4547-'Itemized Budget 2024-25'!L4545-'Itemized Budget 2024-25'!L4542</f>
        <v>19494792</v>
      </c>
      <c r="D2053" s="1381">
        <f>C2053*1.0962259996672</f>
        <v>21370697.84850413</v>
      </c>
      <c r="E2053" s="1381">
        <f>D2053*1.09639407014138</f>
        <v>23430706.395883072</v>
      </c>
    </row>
    <row r="2054" spans="1:5" ht="21.9" hidden="1" customHeight="1" outlineLevel="1">
      <c r="A2054" s="1376" t="s">
        <v>882</v>
      </c>
      <c r="B2054" s="1381">
        <v>2555000</v>
      </c>
      <c r="C2054" s="1381">
        <f>'Itemized Budget 2024-25'!L4545+'Itemized Budget 2024-25'!L4542</f>
        <v>695242</v>
      </c>
      <c r="D2054" s="1381">
        <f>C2054*1.0962259996672</f>
        <v>762142.35646062344</v>
      </c>
      <c r="E2054" s="1381">
        <f>D2054*1.09639407014138</f>
        <v>835608.36022700532</v>
      </c>
    </row>
    <row r="2055" spans="1:5" ht="21.9" hidden="1" customHeight="1" outlineLevel="1">
      <c r="A2055" s="1378" t="s">
        <v>883</v>
      </c>
      <c r="B2055" s="1379">
        <v>61507673</v>
      </c>
      <c r="C2055" s="1379">
        <f>C2056+C2057</f>
        <v>70027301</v>
      </c>
      <c r="D2055" s="1379">
        <f>D2056+D2057</f>
        <v>76765748.042720914</v>
      </c>
      <c r="E2055" s="1379">
        <f>E2056+E2057</f>
        <v>84165510.944006458</v>
      </c>
    </row>
    <row r="2056" spans="1:5" ht="21.9" hidden="1" customHeight="1" outlineLevel="1">
      <c r="A2056" s="1376" t="s">
        <v>914</v>
      </c>
      <c r="B2056" s="1381">
        <v>61507673</v>
      </c>
      <c r="C2056" s="1381">
        <f>'Itemized Budget 2024-25'!L4563</f>
        <v>70027301</v>
      </c>
      <c r="D2056" s="1381">
        <f>C2056*1.0962259996672</f>
        <v>76765748.042720914</v>
      </c>
      <c r="E2056" s="1381">
        <f>D2056*1.09639407014138</f>
        <v>84165510.944006458</v>
      </c>
    </row>
    <row r="2057" spans="1:5" ht="21.9" hidden="1" customHeight="1" outlineLevel="1">
      <c r="A2057" s="1376" t="s">
        <v>885</v>
      </c>
      <c r="B2057" s="1381"/>
      <c r="C2057" s="1381"/>
      <c r="D2057" s="1381">
        <f>C2057*1.0962259996672</f>
        <v>0</v>
      </c>
      <c r="E2057" s="1381">
        <f>D2057*1.09639407014138</f>
        <v>0</v>
      </c>
    </row>
    <row r="2058" spans="1:5" ht="21.9" hidden="1" customHeight="1" outlineLevel="1">
      <c r="A2058" s="1378" t="s">
        <v>912</v>
      </c>
      <c r="B2058" s="1379">
        <v>87687672.140000001</v>
      </c>
      <c r="C2058" s="1379">
        <f>C2055+C2051</f>
        <v>90217335</v>
      </c>
      <c r="D2058" s="1379">
        <f>D2055+D2051</f>
        <v>98898588.247685671</v>
      </c>
      <c r="E2058" s="1379">
        <f>E2055+E2051</f>
        <v>108431825.70011653</v>
      </c>
    </row>
    <row r="2059" spans="1:5" ht="21.9" hidden="1" customHeight="1" outlineLevel="1">
      <c r="A2059" s="1405"/>
      <c r="B2059" s="1367"/>
      <c r="C2059" s="1367"/>
      <c r="D2059" s="1367"/>
      <c r="E2059" s="1367"/>
    </row>
    <row r="2060" spans="1:5" ht="21.9" hidden="1" customHeight="1" outlineLevel="1">
      <c r="A2060" s="1366"/>
    </row>
    <row r="2061" spans="1:5" ht="21.9" hidden="1" customHeight="1" outlineLevel="1">
      <c r="A2061" s="1366" t="s">
        <v>1110</v>
      </c>
    </row>
    <row r="2062" spans="1:5" ht="21.9" hidden="1" customHeight="1" outlineLevel="1">
      <c r="A2062" s="1366" t="s">
        <v>1109</v>
      </c>
    </row>
    <row r="2063" spans="1:5" ht="21.9" hidden="1" customHeight="1" outlineLevel="1">
      <c r="A2063" s="1369" t="s">
        <v>878</v>
      </c>
      <c r="B2063" s="1412" t="s">
        <v>1671</v>
      </c>
      <c r="C2063" s="1412" t="s">
        <v>1680</v>
      </c>
      <c r="D2063" s="1371" t="s">
        <v>859</v>
      </c>
      <c r="E2063" s="1372"/>
    </row>
    <row r="2064" spans="1:5" ht="21.9" hidden="1" customHeight="1" outlineLevel="1">
      <c r="A2064" s="1373"/>
      <c r="B2064" s="1374"/>
      <c r="C2064" s="1374"/>
      <c r="D2064" s="1413" t="s">
        <v>861</v>
      </c>
      <c r="E2064" s="1413" t="s">
        <v>1672</v>
      </c>
    </row>
    <row r="2065" spans="1:5" ht="21.9" hidden="1" customHeight="1" outlineLevel="1">
      <c r="A2065" s="1378" t="s">
        <v>890</v>
      </c>
      <c r="B2065" s="1379">
        <v>1784771</v>
      </c>
      <c r="C2065" s="1379">
        <f>C2066+C2067+C2068</f>
        <v>2810676</v>
      </c>
      <c r="D2065" s="1379">
        <f>D2066+D2067+D2068</f>
        <v>3081136.1078406069</v>
      </c>
      <c r="E2065" s="1379">
        <f>E2066+E2067+E2068</f>
        <v>3378139.3579349327</v>
      </c>
    </row>
    <row r="2066" spans="1:5" ht="21.9" hidden="1" customHeight="1" outlineLevel="1">
      <c r="A2066" s="1376" t="s">
        <v>880</v>
      </c>
      <c r="B2066" s="1381"/>
      <c r="C2066" s="1381"/>
      <c r="D2066" s="1381">
        <f>C2066*1.0962259996672</f>
        <v>0</v>
      </c>
      <c r="E2066" s="1381">
        <f>D2066*1.09639407014138</f>
        <v>0</v>
      </c>
    </row>
    <row r="2067" spans="1:5" ht="21.9" hidden="1" customHeight="1" outlineLevel="1">
      <c r="A2067" s="1376" t="s">
        <v>881</v>
      </c>
      <c r="B2067" s="1381">
        <v>1684771</v>
      </c>
      <c r="C2067" s="1381">
        <f>'Itemized Budget 2024-25'!L4605-'Itemized Budget 2024-25'!L4603</f>
        <v>2652676</v>
      </c>
      <c r="D2067" s="1381">
        <f>C2067*1.0962259996672</f>
        <v>2907932.3998931893</v>
      </c>
      <c r="E2067" s="1381">
        <f>D2067*1.09639407014138</f>
        <v>3188239.8396148845</v>
      </c>
    </row>
    <row r="2068" spans="1:5" ht="21.9" hidden="1" customHeight="1" outlineLevel="1">
      <c r="A2068" s="1376" t="s">
        <v>882</v>
      </c>
      <c r="B2068" s="1381">
        <v>100000</v>
      </c>
      <c r="C2068" s="1381">
        <f>'Itemized Budget 2024-25'!L4603</f>
        <v>158000</v>
      </c>
      <c r="D2068" s="1381">
        <f>C2068*1.0962259996672</f>
        <v>173203.7079474176</v>
      </c>
      <c r="E2068" s="1381">
        <f>D2068*1.09639407014138</f>
        <v>189899.51832004805</v>
      </c>
    </row>
    <row r="2069" spans="1:5" ht="21.9" hidden="1" customHeight="1" outlineLevel="1">
      <c r="A2069" s="1378" t="s">
        <v>883</v>
      </c>
      <c r="B2069" s="1379">
        <v>999999.72</v>
      </c>
      <c r="C2069" s="1379">
        <f>C2070+C2071</f>
        <v>0</v>
      </c>
      <c r="D2069" s="1379">
        <f>D2070+D2071</f>
        <v>0</v>
      </c>
      <c r="E2069" s="1379">
        <f>E2070+E2071</f>
        <v>0</v>
      </c>
    </row>
    <row r="2070" spans="1:5" ht="21.9" hidden="1" customHeight="1" outlineLevel="1">
      <c r="A2070" s="1376" t="s">
        <v>914</v>
      </c>
      <c r="B2070" s="1381">
        <v>999999.72</v>
      </c>
      <c r="C2070" s="1381">
        <f>'Itemized Budget 2024-25'!L4612</f>
        <v>0</v>
      </c>
      <c r="D2070" s="1381">
        <f>C2070*1.0962259996672</f>
        <v>0</v>
      </c>
      <c r="E2070" s="1381">
        <f>D2070*1.09639407014138</f>
        <v>0</v>
      </c>
    </row>
    <row r="2071" spans="1:5" ht="21.9" hidden="1" customHeight="1" outlineLevel="1">
      <c r="A2071" s="1376" t="s">
        <v>885</v>
      </c>
      <c r="B2071" s="1381"/>
      <c r="C2071" s="1381"/>
      <c r="D2071" s="1381">
        <f>C2071*1.0962259996672</f>
        <v>0</v>
      </c>
      <c r="E2071" s="1381">
        <f>D2071*1.09639407014138</f>
        <v>0</v>
      </c>
    </row>
    <row r="2072" spans="1:5" ht="21.9" hidden="1" customHeight="1" outlineLevel="1">
      <c r="A2072" s="1378" t="s">
        <v>912</v>
      </c>
      <c r="B2072" s="1379">
        <v>2784770.72</v>
      </c>
      <c r="C2072" s="1379">
        <f>C2069+C2065</f>
        <v>2810676</v>
      </c>
      <c r="D2072" s="1379">
        <f>D2069+D2065</f>
        <v>3081136.1078406069</v>
      </c>
      <c r="E2072" s="1379">
        <f>E2069+E2065</f>
        <v>3378139.3579349327</v>
      </c>
    </row>
    <row r="2073" spans="1:5" ht="21.9" hidden="1" customHeight="1" outlineLevel="1">
      <c r="A2073" s="1405"/>
      <c r="B2073" s="1367"/>
      <c r="C2073" s="1367"/>
      <c r="D2073" s="1367"/>
      <c r="E2073" s="1367"/>
    </row>
    <row r="2074" spans="1:5" ht="21.9" hidden="1" customHeight="1" outlineLevel="1"/>
    <row r="2075" spans="1:5" ht="21.9" hidden="1" customHeight="1" outlineLevel="1">
      <c r="A2075" s="1466" t="s">
        <v>1798</v>
      </c>
      <c r="B2075" s="1367"/>
      <c r="C2075" s="1367"/>
    </row>
    <row r="2076" spans="1:5" ht="21.9" hidden="1" customHeight="1" outlineLevel="1">
      <c r="A2076" s="1366" t="s">
        <v>264</v>
      </c>
      <c r="B2076" s="1367"/>
      <c r="C2076" s="1367"/>
    </row>
    <row r="2077" spans="1:5" ht="21.9" hidden="1" customHeight="1" outlineLevel="1">
      <c r="A2077" s="1466" t="s">
        <v>799</v>
      </c>
      <c r="B2077" s="1367"/>
      <c r="C2077" s="1367"/>
    </row>
    <row r="2078" spans="1:5" ht="21.9" hidden="1" customHeight="1" outlineLevel="1">
      <c r="A2078" s="1369" t="s">
        <v>878</v>
      </c>
      <c r="B2078" s="1412" t="s">
        <v>1671</v>
      </c>
      <c r="C2078" s="1412" t="s">
        <v>1680</v>
      </c>
      <c r="D2078" s="1371" t="s">
        <v>859</v>
      </c>
      <c r="E2078" s="1372"/>
    </row>
    <row r="2079" spans="1:5" ht="21.9" hidden="1" customHeight="1" outlineLevel="1">
      <c r="A2079" s="1373"/>
      <c r="B2079" s="1374"/>
      <c r="C2079" s="1374"/>
      <c r="D2079" s="1413" t="s">
        <v>861</v>
      </c>
      <c r="E2079" s="1413" t="s">
        <v>1672</v>
      </c>
    </row>
    <row r="2080" spans="1:5" ht="21.9" hidden="1" customHeight="1" outlineLevel="1">
      <c r="A2080" s="1378" t="s">
        <v>890</v>
      </c>
      <c r="B2080" s="1379">
        <v>282490088.99541301</v>
      </c>
      <c r="C2080" s="1379">
        <f>C2081+C2082+C2083</f>
        <v>59690830</v>
      </c>
      <c r="D2080" s="1379">
        <f>D2081+D2082+D2083</f>
        <v>65434639.787714891</v>
      </c>
      <c r="E2080" s="1379">
        <f>E2081+E2082+E2083</f>
        <v>71742151.045087799</v>
      </c>
    </row>
    <row r="2081" spans="1:5" ht="21.9" hidden="1" customHeight="1" outlineLevel="1">
      <c r="A2081" s="1376" t="s">
        <v>880</v>
      </c>
      <c r="B2081" s="1381">
        <v>260809502.99541301</v>
      </c>
      <c r="C2081" s="1381">
        <f>'Itemized Budget 2024-25'!L4619</f>
        <v>54079625</v>
      </c>
      <c r="D2081" s="1381">
        <f>C2081*1.0962259996672</f>
        <v>59283490.977252297</v>
      </c>
      <c r="E2081" s="1381">
        <f>D2081*1.09639407014138</f>
        <v>64998067.96473942</v>
      </c>
    </row>
    <row r="2082" spans="1:5" ht="21.9" hidden="1" customHeight="1" outlineLevel="1">
      <c r="A2082" s="1376" t="s">
        <v>881</v>
      </c>
      <c r="B2082" s="1381">
        <v>20580586</v>
      </c>
      <c r="C2082" s="1381">
        <f>'Itemized Budget 2024-25'!L4660-'Itemized Budget 2024-25'!L4657-'Itemized Budget 2024-25'!L4619</f>
        <v>5237403</v>
      </c>
      <c r="D2082" s="1381">
        <f>C2082*1.0962259996672</f>
        <v>5741377.3393349918</v>
      </c>
      <c r="E2082" s="1381">
        <f>D2082*1.09639407014138</f>
        <v>6294812.0692909779</v>
      </c>
    </row>
    <row r="2083" spans="1:5" ht="21.9" hidden="1" customHeight="1" outlineLevel="1">
      <c r="A2083" s="1376" t="s">
        <v>882</v>
      </c>
      <c r="B2083" s="1381">
        <v>1100000</v>
      </c>
      <c r="C2083" s="1381">
        <f>'Itemized Budget 2024-25'!L4657</f>
        <v>373802</v>
      </c>
      <c r="D2083" s="1381">
        <f>C2083*1.0962259996672</f>
        <v>409771.47112759866</v>
      </c>
      <c r="E2083" s="1381">
        <f>D2083*1.09639407014138</f>
        <v>449271.01105740882</v>
      </c>
    </row>
    <row r="2084" spans="1:5" ht="21.9" hidden="1" customHeight="1" outlineLevel="1">
      <c r="A2084" s="1378" t="s">
        <v>883</v>
      </c>
      <c r="B2084" s="1379">
        <v>0</v>
      </c>
      <c r="C2084" s="1379">
        <f>C2085+C2086</f>
        <v>0</v>
      </c>
      <c r="D2084" s="1379">
        <f>D2085+D2086</f>
        <v>0</v>
      </c>
      <c r="E2084" s="1379">
        <f>E2085+E2086</f>
        <v>0</v>
      </c>
    </row>
    <row r="2085" spans="1:5" ht="21.9" hidden="1" customHeight="1" outlineLevel="1">
      <c r="A2085" s="1376" t="s">
        <v>914</v>
      </c>
      <c r="B2085" s="1381"/>
      <c r="C2085" s="1381"/>
      <c r="D2085" s="1381">
        <f>C2085*1.0962259996672</f>
        <v>0</v>
      </c>
      <c r="E2085" s="1381">
        <f>D2085*1.09639407014138</f>
        <v>0</v>
      </c>
    </row>
    <row r="2086" spans="1:5" ht="21.9" hidden="1" customHeight="1" outlineLevel="1">
      <c r="A2086" s="1376" t="s">
        <v>885</v>
      </c>
      <c r="B2086" s="1381"/>
      <c r="C2086" s="1381"/>
      <c r="D2086" s="1381">
        <f>C2086*1.0962259996672</f>
        <v>0</v>
      </c>
      <c r="E2086" s="1381">
        <f>D2086*1.09639407014138</f>
        <v>0</v>
      </c>
    </row>
    <row r="2087" spans="1:5" ht="21.9" hidden="1" customHeight="1" outlineLevel="1">
      <c r="A2087" s="1378" t="s">
        <v>912</v>
      </c>
      <c r="B2087" s="1379">
        <v>282490088.99541301</v>
      </c>
      <c r="C2087" s="1379">
        <f>C2080+C2084</f>
        <v>59690830</v>
      </c>
      <c r="D2087" s="1379">
        <f>D2080+D2084</f>
        <v>65434639.787714891</v>
      </c>
      <c r="E2087" s="1379">
        <f>E2080+E2084</f>
        <v>71742151.045087799</v>
      </c>
    </row>
    <row r="2088" spans="1:5" ht="21.9" hidden="1" customHeight="1" outlineLevel="1">
      <c r="A2088" s="1405"/>
      <c r="B2088" s="1367"/>
      <c r="C2088" s="1367"/>
      <c r="D2088" s="1367"/>
      <c r="E2088" s="1367"/>
    </row>
    <row r="2089" spans="1:5" ht="21.9" hidden="1" customHeight="1" outlineLevel="1">
      <c r="A2089" s="1405"/>
      <c r="B2089" s="1367"/>
      <c r="C2089" s="1367"/>
      <c r="D2089" s="1367"/>
      <c r="E2089" s="1367"/>
    </row>
    <row r="2090" spans="1:5" ht="21.9" hidden="1" customHeight="1" outlineLevel="1">
      <c r="A2090" s="1408" t="s">
        <v>1113</v>
      </c>
    </row>
    <row r="2091" spans="1:5" ht="21.9" hidden="1" customHeight="1" outlineLevel="1">
      <c r="A2091" s="1408" t="s">
        <v>1111</v>
      </c>
    </row>
    <row r="2092" spans="1:5" ht="21.9" hidden="1" customHeight="1" outlineLevel="1">
      <c r="A2092" s="1369" t="s">
        <v>878</v>
      </c>
      <c r="B2092" s="1370" t="s">
        <v>1671</v>
      </c>
      <c r="C2092" s="1370" t="s">
        <v>1680</v>
      </c>
      <c r="D2092" s="1371" t="s">
        <v>859</v>
      </c>
      <c r="E2092" s="1372"/>
    </row>
    <row r="2093" spans="1:5" ht="21.9" hidden="1" customHeight="1" outlineLevel="1">
      <c r="A2093" s="1373"/>
      <c r="B2093" s="1374"/>
      <c r="C2093" s="1374"/>
      <c r="D2093" s="1375" t="s">
        <v>861</v>
      </c>
      <c r="E2093" s="1375" t="s">
        <v>1672</v>
      </c>
    </row>
    <row r="2094" spans="1:5" ht="21.9" hidden="1" customHeight="1" outlineLevel="1">
      <c r="A2094" s="1378" t="s">
        <v>890</v>
      </c>
      <c r="B2094" s="1379">
        <v>4789653.5</v>
      </c>
      <c r="C2094" s="1379">
        <f>C2096+C2095+C2097</f>
        <v>5359372</v>
      </c>
      <c r="D2094" s="1379">
        <f>D2095+D2096+D2097</f>
        <v>-6624860.7544163829</v>
      </c>
      <c r="E2094" s="1379">
        <f>E2095+E2096+E2097</f>
        <v>-7308531.9668110069</v>
      </c>
    </row>
    <row r="2095" spans="1:5" ht="21.9" hidden="1" customHeight="1" outlineLevel="1">
      <c r="A2095" s="1376" t="s">
        <v>880</v>
      </c>
      <c r="B2095" s="1381"/>
      <c r="C2095" s="1363"/>
      <c r="D2095" s="1381">
        <f>C2096*1.0962259996672</f>
        <v>5298821.0372353466</v>
      </c>
      <c r="E2095" s="1381">
        <f>D2095*1.09639407014138</f>
        <v>5809595.9639652297</v>
      </c>
    </row>
    <row r="2096" spans="1:5" ht="21.9" hidden="1" customHeight="1" outlineLevel="1">
      <c r="A2096" s="1376" t="s">
        <v>881</v>
      </c>
      <c r="B2096" s="1381">
        <v>4789653.5</v>
      </c>
      <c r="C2096" s="1381">
        <f>'Itemized Budget 2024-25'!L4702-'Itemized Budget 2024-25'!L4700</f>
        <v>4833694</v>
      </c>
      <c r="D2096" s="1381">
        <f>'Itemized Budget 2024-25'!O4715-'Itemized Budget 2024-25'!O4713</f>
        <v>-12499943.682704784</v>
      </c>
      <c r="E2096" s="1381">
        <f>'Itemized Budget 2024-25'!P4715-'Itemized Budget 2024-25'!P4713</f>
        <v>-13749938.050975263</v>
      </c>
    </row>
    <row r="2097" spans="1:5" ht="21.9" hidden="1" customHeight="1" outlineLevel="1">
      <c r="A2097" s="1376" t="s">
        <v>882</v>
      </c>
      <c r="B2097" s="1381"/>
      <c r="C2097" s="1381">
        <f>'Itemized Budget 2024-25'!L4700</f>
        <v>525678</v>
      </c>
      <c r="D2097" s="1381">
        <f>C2097*1.0962259996672</f>
        <v>576261.89105305437</v>
      </c>
      <c r="E2097" s="1381">
        <f>D2097*1.09639407014138</f>
        <v>631810.12019902666</v>
      </c>
    </row>
    <row r="2098" spans="1:5" ht="21.9" hidden="1" customHeight="1" outlineLevel="1">
      <c r="A2098" s="1378" t="s">
        <v>883</v>
      </c>
      <c r="B2098" s="1379">
        <v>9598750.1999999993</v>
      </c>
      <c r="C2098" s="1379">
        <f>C2099+C2100</f>
        <v>6004213.1660952568</v>
      </c>
      <c r="D2098" s="1379">
        <f>D2099+D2100</f>
        <v>6581974.5802177368</v>
      </c>
      <c r="E2098" s="1379">
        <f>E2099+E2100</f>
        <v>7216437.8995720251</v>
      </c>
    </row>
    <row r="2099" spans="1:5" ht="21.9" hidden="1" customHeight="1" outlineLevel="1">
      <c r="A2099" s="1376" t="s">
        <v>914</v>
      </c>
      <c r="B2099" s="1381">
        <v>9598750.1999999993</v>
      </c>
      <c r="C2099" s="1381">
        <f>'Itemized Budget 2024-25'!L4712</f>
        <v>6004213.1660952568</v>
      </c>
      <c r="D2099" s="1381">
        <f>C2099*1.0962259996672</f>
        <v>6581974.5802177368</v>
      </c>
      <c r="E2099" s="1381">
        <f>D2099*1.09639407014138</f>
        <v>7216437.8995720251</v>
      </c>
    </row>
    <row r="2100" spans="1:5" ht="21.9" hidden="1" customHeight="1" outlineLevel="1">
      <c r="A2100" s="1376" t="s">
        <v>885</v>
      </c>
      <c r="B2100" s="1381"/>
      <c r="C2100" s="1381"/>
      <c r="D2100" s="1381">
        <f>C2100*1.0962259996672</f>
        <v>0</v>
      </c>
      <c r="E2100" s="1381">
        <f>D2100*1.09639407014138</f>
        <v>0</v>
      </c>
    </row>
    <row r="2101" spans="1:5" ht="21.9" hidden="1" customHeight="1" outlineLevel="1">
      <c r="A2101" s="1378" t="s">
        <v>912</v>
      </c>
      <c r="B2101" s="1379">
        <v>14388403.699999999</v>
      </c>
      <c r="C2101" s="1379">
        <f>C2098+C2094</f>
        <v>11363585.166095257</v>
      </c>
      <c r="D2101" s="1379">
        <f>D2098+D2094</f>
        <v>-42886.174198646098</v>
      </c>
      <c r="E2101" s="1379">
        <f>E2098+E2094</f>
        <v>-92094.067238981836</v>
      </c>
    </row>
    <row r="2102" spans="1:5" ht="21.9" hidden="1" customHeight="1" outlineLevel="1"/>
    <row r="2103" spans="1:5" ht="21.9" hidden="1" customHeight="1" outlineLevel="1">
      <c r="A2103" s="1408" t="s">
        <v>1112</v>
      </c>
    </row>
    <row r="2104" spans="1:5" ht="21.9" hidden="1" customHeight="1" outlineLevel="1">
      <c r="A2104" s="1369" t="s">
        <v>878</v>
      </c>
      <c r="B2104" s="1370" t="s">
        <v>1671</v>
      </c>
      <c r="C2104" s="1370" t="s">
        <v>1680</v>
      </c>
      <c r="D2104" s="1371" t="s">
        <v>859</v>
      </c>
      <c r="E2104" s="1372"/>
    </row>
    <row r="2105" spans="1:5" ht="21.9" hidden="1" customHeight="1" outlineLevel="1">
      <c r="A2105" s="1373"/>
      <c r="B2105" s="1374"/>
      <c r="C2105" s="1374"/>
      <c r="D2105" s="1375" t="s">
        <v>861</v>
      </c>
      <c r="E2105" s="1375" t="s">
        <v>1672</v>
      </c>
    </row>
    <row r="2106" spans="1:5" ht="21.9" hidden="1" customHeight="1" outlineLevel="1">
      <c r="A2106" s="1378" t="s">
        <v>890</v>
      </c>
      <c r="B2106" s="1379">
        <v>5203129.75</v>
      </c>
      <c r="C2106" s="1379">
        <f>C2107+C2108+C2109</f>
        <v>7431078</v>
      </c>
      <c r="D2106" s="1379">
        <f>D2107+D2108+D2109</f>
        <v>8146140.9091549367</v>
      </c>
      <c r="E2106" s="1379">
        <f>E2107+E2108+E2109</f>
        <v>8931380.5873335805</v>
      </c>
    </row>
    <row r="2107" spans="1:5" ht="21.9" hidden="1" customHeight="1" outlineLevel="1">
      <c r="A2107" s="1376" t="s">
        <v>880</v>
      </c>
      <c r="B2107" s="1381"/>
      <c r="C2107" s="1381"/>
      <c r="D2107" s="1381">
        <f>C2107*1.0962259996672</f>
        <v>0</v>
      </c>
      <c r="E2107" s="1381">
        <f>D2107*1.09639407014138</f>
        <v>0</v>
      </c>
    </row>
    <row r="2108" spans="1:5" ht="21.9" hidden="1" customHeight="1" outlineLevel="1">
      <c r="A2108" s="1376" t="s">
        <v>881</v>
      </c>
      <c r="B2108" s="1381">
        <v>5203129.75</v>
      </c>
      <c r="C2108" s="1381">
        <f>'Itemized Budget 2024-25'!L4746-'Itemized Budget 2024-25'!L4744</f>
        <v>4044188</v>
      </c>
      <c r="D2108" s="1381">
        <f>C2108*1.0962259996672</f>
        <v>4433344.0331420936</v>
      </c>
      <c r="E2108" s="1381">
        <f>D2108*1.09639407014138</f>
        <v>4860692.1088336604</v>
      </c>
    </row>
    <row r="2109" spans="1:5" ht="21.9" hidden="1" customHeight="1" outlineLevel="1">
      <c r="A2109" s="1376" t="s">
        <v>882</v>
      </c>
      <c r="B2109" s="1381"/>
      <c r="C2109" s="1381">
        <f>'Itemized Budget 2024-25'!L4744</f>
        <v>3386890</v>
      </c>
      <c r="D2109" s="1381">
        <f>C2109*1.0962259996672</f>
        <v>3712796.8760128426</v>
      </c>
      <c r="E2109" s="1381">
        <f>D2109*1.09639407014138</f>
        <v>4070688.4784999206</v>
      </c>
    </row>
    <row r="2110" spans="1:5" ht="21.9" hidden="1" customHeight="1" outlineLevel="1">
      <c r="A2110" s="1378" t="s">
        <v>883</v>
      </c>
      <c r="B2110" s="1379">
        <v>10698650</v>
      </c>
      <c r="C2110" s="1379">
        <f>C2111+C2112</f>
        <v>11216683</v>
      </c>
      <c r="D2110" s="1379">
        <f>D2111+D2112</f>
        <v>12296019.534625087</v>
      </c>
      <c r="E2110" s="1379">
        <f>E2111+E2112</f>
        <v>13481282.904105514</v>
      </c>
    </row>
    <row r="2111" spans="1:5" ht="21.9" hidden="1" customHeight="1" outlineLevel="1">
      <c r="A2111" s="1376" t="s">
        <v>914</v>
      </c>
      <c r="B2111" s="1381">
        <v>10698650</v>
      </c>
      <c r="C2111" s="1381">
        <f>'Itemized Budget 2024-25'!L4755</f>
        <v>11216683</v>
      </c>
      <c r="D2111" s="1381">
        <f>C2111*1.0962259996672</f>
        <v>12296019.534625087</v>
      </c>
      <c r="E2111" s="1381">
        <f>D2111*1.09639407014138</f>
        <v>13481282.904105514</v>
      </c>
    </row>
    <row r="2112" spans="1:5" ht="21.9" hidden="1" customHeight="1" outlineLevel="1">
      <c r="A2112" s="1376" t="s">
        <v>885</v>
      </c>
      <c r="B2112" s="1381"/>
      <c r="C2112" s="1381"/>
      <c r="D2112" s="1381">
        <f>C2112*1.0962259996672</f>
        <v>0</v>
      </c>
      <c r="E2112" s="1381">
        <f>D2112*1.09639407014138</f>
        <v>0</v>
      </c>
    </row>
    <row r="2113" spans="1:5" ht="21.9" hidden="1" customHeight="1" outlineLevel="1">
      <c r="A2113" s="1378" t="s">
        <v>912</v>
      </c>
      <c r="B2113" s="1379">
        <v>15901779.75</v>
      </c>
      <c r="C2113" s="1379">
        <f>C2110+C2106</f>
        <v>18647761</v>
      </c>
      <c r="D2113" s="1379">
        <f>D2110+D2106</f>
        <v>20442160.443780024</v>
      </c>
      <c r="E2113" s="1379">
        <f>E2110+E2106</f>
        <v>22412663.491439097</v>
      </c>
    </row>
    <row r="2114" spans="1:5" ht="21.9" customHeight="1" collapsed="1"/>
    <row r="2115" spans="1:5" ht="21.9" customHeight="1">
      <c r="A2115" s="1366" t="s">
        <v>1259</v>
      </c>
    </row>
    <row r="2116" spans="1:5" ht="21.9" hidden="1" customHeight="1" outlineLevel="1">
      <c r="A2116" s="1366" t="s">
        <v>1707</v>
      </c>
      <c r="B2116" s="1368"/>
      <c r="C2116" s="1368"/>
      <c r="D2116" s="1368"/>
      <c r="E2116" s="1368"/>
    </row>
    <row r="2117" spans="1:5" ht="21.9" hidden="1" customHeight="1" outlineLevel="1">
      <c r="A2117" s="1369" t="s">
        <v>856</v>
      </c>
      <c r="B2117" s="1370" t="s">
        <v>1671</v>
      </c>
      <c r="C2117" s="1370" t="s">
        <v>1680</v>
      </c>
      <c r="D2117" s="1371" t="s">
        <v>859</v>
      </c>
      <c r="E2117" s="1372"/>
    </row>
    <row r="2118" spans="1:5" ht="21.9" hidden="1" customHeight="1" outlineLevel="1">
      <c r="A2118" s="1373"/>
      <c r="B2118" s="1374"/>
      <c r="C2118" s="1374"/>
      <c r="D2118" s="1375" t="s">
        <v>861</v>
      </c>
      <c r="E2118" s="1375" t="s">
        <v>1672</v>
      </c>
    </row>
    <row r="2119" spans="1:5" ht="21.9" hidden="1" customHeight="1" outlineLevel="1">
      <c r="A2119" s="1363" t="s">
        <v>933</v>
      </c>
      <c r="B2119" s="1463">
        <v>73077579.0000007</v>
      </c>
      <c r="C2119" s="1463">
        <f>C2157</f>
        <v>79601270</v>
      </c>
      <c r="D2119" s="1463">
        <f>D2157</f>
        <v>87260981.780528694</v>
      </c>
      <c r="E2119" s="1463">
        <f>E2157</f>
        <v>95672422.978886649</v>
      </c>
    </row>
    <row r="2120" spans="1:5" ht="21.9" hidden="1" customHeight="1" outlineLevel="1">
      <c r="A2120" s="1366" t="s">
        <v>1116</v>
      </c>
      <c r="B2120" s="1464">
        <v>73077579.0000007</v>
      </c>
      <c r="C2120" s="1464">
        <f>C2119</f>
        <v>79601270</v>
      </c>
      <c r="D2120" s="1464">
        <f>D2119</f>
        <v>87260981.780528694</v>
      </c>
      <c r="E2120" s="1464">
        <f>E2119</f>
        <v>95672422.978886649</v>
      </c>
    </row>
    <row r="2121" spans="1:5" ht="21.9" hidden="1" customHeight="1" outlineLevel="1">
      <c r="A2121" s="1376" t="s">
        <v>1117</v>
      </c>
      <c r="B2121" s="1381">
        <v>18478995</v>
      </c>
      <c r="C2121" s="1381">
        <f>C2171</f>
        <v>2314100</v>
      </c>
      <c r="D2121" s="1381">
        <f>D2171</f>
        <v>2536776.5858298675</v>
      </c>
      <c r="E2121" s="1381">
        <f>E2171</f>
        <v>2781306.8059773622</v>
      </c>
    </row>
    <row r="2122" spans="1:5" ht="21.9" hidden="1" customHeight="1" outlineLevel="1">
      <c r="A2122" s="1378" t="s">
        <v>1118</v>
      </c>
      <c r="B2122" s="1379">
        <v>18478995</v>
      </c>
      <c r="C2122" s="1379">
        <f>SUM(C2121)</f>
        <v>2314100</v>
      </c>
      <c r="D2122" s="1379">
        <f>SUM(D2121)</f>
        <v>2536776.5858298675</v>
      </c>
      <c r="E2122" s="1379">
        <f>SUM(E2121)</f>
        <v>2781306.8059773622</v>
      </c>
    </row>
    <row r="2123" spans="1:5" ht="21.9" hidden="1" customHeight="1" outlineLevel="1">
      <c r="A2123" s="1376" t="s">
        <v>1119</v>
      </c>
      <c r="B2123" s="1377">
        <v>23211724</v>
      </c>
      <c r="C2123" s="1377">
        <f>C2185</f>
        <v>25291260</v>
      </c>
      <c r="D2123" s="1377">
        <f>D2185</f>
        <v>27724936.776343066</v>
      </c>
      <c r="E2123" s="1377">
        <f>E2185</f>
        <v>30397456.276627205</v>
      </c>
    </row>
    <row r="2124" spans="1:5" ht="21.9" hidden="1" customHeight="1" outlineLevel="1">
      <c r="A2124" s="1376" t="s">
        <v>1120</v>
      </c>
      <c r="B2124" s="1377">
        <v>11950000</v>
      </c>
      <c r="C2124" s="1377">
        <f>C2197</f>
        <v>5111083.9800000004</v>
      </c>
      <c r="D2124" s="1377">
        <f>D2197</f>
        <v>5602903.1453585112</v>
      </c>
      <c r="E2124" s="1377">
        <f>E2197</f>
        <v>6142989.7841475578</v>
      </c>
    </row>
    <row r="2125" spans="1:5" ht="21.9" hidden="1" customHeight="1" outlineLevel="1">
      <c r="A2125" s="1376" t="s">
        <v>1121</v>
      </c>
      <c r="B2125" s="1377">
        <v>7408111</v>
      </c>
      <c r="C2125" s="1377">
        <f>C2210</f>
        <v>44762528</v>
      </c>
      <c r="D2125" s="1377">
        <f>D2210</f>
        <v>49069847.004431024</v>
      </c>
      <c r="E2125" s="1377">
        <f>E2210</f>
        <v>53799889.278402925</v>
      </c>
    </row>
    <row r="2126" spans="1:5" ht="21.9" hidden="1" customHeight="1" outlineLevel="1">
      <c r="A2126" s="1393" t="s">
        <v>1122</v>
      </c>
      <c r="B2126" s="1377"/>
      <c r="C2126" s="1377">
        <f>C2223</f>
        <v>210779745.41939545</v>
      </c>
      <c r="D2126" s="1377">
        <f>D2223</f>
        <v>231062237.13197467</v>
      </c>
      <c r="E2126" s="1377">
        <f>E2223</f>
        <v>253335266.62509838</v>
      </c>
    </row>
    <row r="2127" spans="1:5" ht="21.9" hidden="1" customHeight="1" outlineLevel="1">
      <c r="A2127" s="1378" t="s">
        <v>1123</v>
      </c>
      <c r="B2127" s="1379">
        <f>SUM(B2123:B2126)</f>
        <v>42569835</v>
      </c>
      <c r="C2127" s="1379">
        <f>SUM(C2123:C2126)</f>
        <v>285944617.39939547</v>
      </c>
      <c r="D2127" s="1379">
        <f>SUM(D2123:D2126)</f>
        <v>313459924.05810726</v>
      </c>
      <c r="E2127" s="1379">
        <f>SUM(E2123:E2126)</f>
        <v>343675601.96427608</v>
      </c>
    </row>
    <row r="2128" spans="1:5" ht="21.9" hidden="1" customHeight="1" outlineLevel="1">
      <c r="A2128" s="1382" t="s">
        <v>876</v>
      </c>
      <c r="B2128" s="1379">
        <v>134126409.000001</v>
      </c>
      <c r="C2128" s="1379">
        <f>C2127+C2120+C2122</f>
        <v>367859987.39939547</v>
      </c>
      <c r="D2128" s="1379">
        <f>D2127+D2120+D2122</f>
        <v>403257682.42446578</v>
      </c>
      <c r="E2128" s="1379">
        <f>E2127+E2120+E2122</f>
        <v>442129331.74914008</v>
      </c>
    </row>
    <row r="2129" spans="1:6" ht="21.9" hidden="1" customHeight="1" outlineLevel="1">
      <c r="A2129" s="1366"/>
      <c r="B2129" s="1367"/>
      <c r="C2129" s="1367"/>
      <c r="D2129" s="1367"/>
      <c r="E2129" s="1367"/>
    </row>
    <row r="2130" spans="1:6" ht="21.9" hidden="1" customHeight="1" outlineLevel="1">
      <c r="A2130" s="1366"/>
      <c r="B2130" s="1367"/>
      <c r="C2130" s="1367"/>
      <c r="D2130" s="1367"/>
      <c r="E2130" s="1367"/>
    </row>
    <row r="2131" spans="1:6" ht="21.9" hidden="1" customHeight="1" outlineLevel="1">
      <c r="A2131" s="1366" t="s">
        <v>903</v>
      </c>
      <c r="B2131" s="1367"/>
      <c r="C2131" s="1367"/>
      <c r="D2131" s="1367"/>
      <c r="E2131" s="1367"/>
    </row>
    <row r="2132" spans="1:6" ht="21.9" hidden="1" customHeight="1" outlineLevel="1">
      <c r="A2132" s="1369" t="s">
        <v>878</v>
      </c>
      <c r="B2132" s="1370" t="s">
        <v>1671</v>
      </c>
      <c r="C2132" s="1370" t="s">
        <v>1680</v>
      </c>
      <c r="D2132" s="1371" t="s">
        <v>859</v>
      </c>
      <c r="E2132" s="1372"/>
    </row>
    <row r="2133" spans="1:6" ht="21.9" hidden="1" customHeight="1" outlineLevel="1">
      <c r="A2133" s="1373"/>
      <c r="B2133" s="1374"/>
      <c r="C2133" s="1374"/>
      <c r="D2133" s="1375" t="s">
        <v>861</v>
      </c>
      <c r="E2133" s="1375" t="s">
        <v>1672</v>
      </c>
    </row>
    <row r="2134" spans="1:6" ht="21.9" hidden="1" customHeight="1" outlineLevel="1">
      <c r="A2134" s="1467" t="s">
        <v>890</v>
      </c>
      <c r="B2134" s="1379">
        <v>86358529.0000007</v>
      </c>
      <c r="C2134" s="1379">
        <f>SUM(C2135:C2137)</f>
        <v>102234063.50000237</v>
      </c>
      <c r="D2134" s="1379">
        <f>SUM(D2135:D2137)</f>
        <v>112071638.4603301</v>
      </c>
      <c r="E2134" s="1379">
        <f>SUM(E2135:E2137)</f>
        <v>122874679.83893451</v>
      </c>
    </row>
    <row r="2135" spans="1:6" ht="21.9" hidden="1" customHeight="1" outlineLevel="1">
      <c r="A2135" s="1468" t="s">
        <v>880</v>
      </c>
      <c r="B2135" s="1381">
        <v>46000000.0000007</v>
      </c>
      <c r="C2135" s="1381">
        <f>C2179+C2191+C2204+C2151+C2165+C2217</f>
        <v>56983440</v>
      </c>
      <c r="D2135" s="1381">
        <f>D2179+D2191+D2204+D2151+D2165+D2217</f>
        <v>62466728.478475906</v>
      </c>
      <c r="E2135" s="1381">
        <f>E2179+E2191+E2204+E2151+E2165+E2217</f>
        <v>68488150.684932649</v>
      </c>
    </row>
    <row r="2136" spans="1:6" ht="21.9" hidden="1" customHeight="1" outlineLevel="1">
      <c r="A2136" s="1468" t="s">
        <v>881</v>
      </c>
      <c r="B2136" s="1381">
        <v>39558529</v>
      </c>
      <c r="C2136" s="1381">
        <f t="shared" ref="C2136:E2140" si="53">C2180+C2192+C2205+C2152+C2166+C2218</f>
        <v>45250623.500002369</v>
      </c>
      <c r="D2136" s="1381">
        <f t="shared" si="53"/>
        <v>49604909.981854185</v>
      </c>
      <c r="E2136" s="1381">
        <f t="shared" si="53"/>
        <v>54386529.154001862</v>
      </c>
    </row>
    <row r="2137" spans="1:6" ht="21.9" hidden="1" customHeight="1" outlineLevel="1">
      <c r="A2137" s="1468" t="s">
        <v>882</v>
      </c>
      <c r="B2137" s="1381">
        <v>800000</v>
      </c>
      <c r="C2137" s="1381">
        <f t="shared" si="53"/>
        <v>0</v>
      </c>
      <c r="D2137" s="1381">
        <f t="shared" si="53"/>
        <v>0</v>
      </c>
      <c r="E2137" s="1381">
        <f t="shared" si="53"/>
        <v>0</v>
      </c>
    </row>
    <row r="2138" spans="1:6" ht="21.9" hidden="1" customHeight="1" outlineLevel="1">
      <c r="A2138" s="1467" t="s">
        <v>883</v>
      </c>
      <c r="B2138" s="1379">
        <v>47767880</v>
      </c>
      <c r="C2138" s="1379">
        <f>C2139+C2140</f>
        <v>265625923.89939308</v>
      </c>
      <c r="D2138" s="1379">
        <f>D2139+D2140</f>
        <v>291186043.96413577</v>
      </c>
      <c r="E2138" s="1379">
        <f>E2139+E2140</f>
        <v>319254651.91020554</v>
      </c>
    </row>
    <row r="2139" spans="1:6" ht="21.9" hidden="1" customHeight="1" outlineLevel="1">
      <c r="A2139" s="1468" t="s">
        <v>884</v>
      </c>
      <c r="B2139" s="1381">
        <v>47767880</v>
      </c>
      <c r="C2139" s="1381">
        <f t="shared" si="53"/>
        <v>265625923.89939308</v>
      </c>
      <c r="D2139" s="1381">
        <f>D2183+D2195+D2208+D2155+D2169+D2221</f>
        <v>291186043.96413577</v>
      </c>
      <c r="E2139" s="1381">
        <f>E2183+E2195+E2208+E2155+E2169+E2221</f>
        <v>319254651.91020554</v>
      </c>
    </row>
    <row r="2140" spans="1:6" ht="21.9" hidden="1" customHeight="1" outlineLevel="1">
      <c r="A2140" s="1468" t="s">
        <v>885</v>
      </c>
      <c r="B2140" s="1381">
        <v>0</v>
      </c>
      <c r="C2140" s="1381">
        <f t="shared" si="53"/>
        <v>0</v>
      </c>
      <c r="D2140" s="1381">
        <f>D2184+D2196+D2209+D2156+D2170+D2222</f>
        <v>0</v>
      </c>
      <c r="E2140" s="1381">
        <f>E2184+E2196+E2209+E2156+E2170+E2222</f>
        <v>0</v>
      </c>
    </row>
    <row r="2141" spans="1:6" ht="21.9" hidden="1" customHeight="1" outlineLevel="1">
      <c r="A2141" s="1467" t="s">
        <v>886</v>
      </c>
      <c r="B2141" s="1379">
        <v>134126409.000001</v>
      </c>
      <c r="C2141" s="1379">
        <f>C2138+C2134</f>
        <v>367859987.39939547</v>
      </c>
      <c r="D2141" s="1379">
        <f>D2138+D2134</f>
        <v>403257682.42446589</v>
      </c>
      <c r="E2141" s="1379">
        <f>E2138+E2134</f>
        <v>442129331.74914002</v>
      </c>
      <c r="F2141" s="1421"/>
    </row>
    <row r="2142" spans="1:6" ht="21.9" hidden="1" customHeight="1" outlineLevel="1">
      <c r="A2142" s="1469"/>
      <c r="B2142" s="1367"/>
      <c r="C2142" s="1367"/>
      <c r="D2142" s="1367"/>
      <c r="E2142" s="1367"/>
      <c r="F2142" s="1421"/>
    </row>
    <row r="2143" spans="1:6" ht="21.9" hidden="1" customHeight="1" outlineLevel="1">
      <c r="A2143" s="1469"/>
      <c r="B2143" s="1367"/>
      <c r="C2143" s="1367"/>
      <c r="D2143" s="1367"/>
      <c r="E2143" s="1367"/>
      <c r="F2143" s="1421"/>
    </row>
    <row r="2144" spans="1:6" ht="21.9" hidden="1" customHeight="1" outlineLevel="1">
      <c r="A2144" s="1366" t="s">
        <v>887</v>
      </c>
      <c r="B2144" s="1367"/>
      <c r="C2144" s="1367"/>
      <c r="D2144" s="1367"/>
      <c r="E2144" s="1367"/>
      <c r="F2144" s="1421"/>
    </row>
    <row r="2145" spans="1:6" ht="21.9" hidden="1" customHeight="1" outlineLevel="1">
      <c r="A2145" s="1366"/>
      <c r="B2145" s="1367"/>
      <c r="C2145" s="1367"/>
      <c r="D2145" s="1367"/>
      <c r="E2145" s="1367"/>
      <c r="F2145" s="1421"/>
    </row>
    <row r="2146" spans="1:6" ht="21.9" hidden="1" customHeight="1" outlineLevel="1">
      <c r="A2146" s="1366" t="s">
        <v>940</v>
      </c>
      <c r="B2146" s="1367"/>
      <c r="C2146" s="1367"/>
      <c r="D2146" s="1367"/>
      <c r="E2146" s="1367"/>
      <c r="F2146" s="1421"/>
    </row>
    <row r="2147" spans="1:6" ht="21.9" hidden="1" customHeight="1" outlineLevel="1">
      <c r="A2147" s="1366" t="s">
        <v>941</v>
      </c>
      <c r="B2147" s="1367"/>
      <c r="C2147" s="1367"/>
      <c r="D2147" s="1367"/>
      <c r="E2147" s="1367"/>
      <c r="F2147" s="1421"/>
    </row>
    <row r="2148" spans="1:6" ht="21.9" hidden="1" customHeight="1" outlineLevel="1">
      <c r="A2148" s="1369" t="s">
        <v>878</v>
      </c>
      <c r="B2148" s="1370" t="s">
        <v>1671</v>
      </c>
      <c r="C2148" s="1370" t="s">
        <v>1680</v>
      </c>
      <c r="D2148" s="1371" t="s">
        <v>859</v>
      </c>
      <c r="E2148" s="1372"/>
      <c r="F2148" s="1421"/>
    </row>
    <row r="2149" spans="1:6" ht="21.9" hidden="1" customHeight="1" outlineLevel="1">
      <c r="A2149" s="1373"/>
      <c r="B2149" s="1374"/>
      <c r="C2149" s="1374"/>
      <c r="D2149" s="1375" t="s">
        <v>861</v>
      </c>
      <c r="E2149" s="1375" t="s">
        <v>1672</v>
      </c>
      <c r="F2149" s="1421"/>
    </row>
    <row r="2150" spans="1:6" ht="21.9" hidden="1" customHeight="1" outlineLevel="1">
      <c r="A2150" s="1382" t="s">
        <v>890</v>
      </c>
      <c r="B2150" s="1379">
        <v>73077579.0000007</v>
      </c>
      <c r="C2150" s="1379">
        <f>SUM(C2151:C2153)</f>
        <v>79601270</v>
      </c>
      <c r="D2150" s="1379">
        <f>SUM(D2151:D2153)</f>
        <v>87260981.780528694</v>
      </c>
      <c r="E2150" s="1379">
        <f>SUM(E2151:E2153)</f>
        <v>95672422.978886649</v>
      </c>
      <c r="F2150" s="1421"/>
    </row>
    <row r="2151" spans="1:6" ht="21.9" hidden="1" customHeight="1" outlineLevel="1">
      <c r="A2151" s="1393" t="s">
        <v>880</v>
      </c>
      <c r="B2151" s="1381">
        <v>44600000.0000007</v>
      </c>
      <c r="C2151" s="1381">
        <f>'Itemized Budget 2024-25'!L4767</f>
        <v>56983440</v>
      </c>
      <c r="D2151" s="1381">
        <f>C2151*1.0962259996672</f>
        <v>62466728.478475906</v>
      </c>
      <c r="E2151" s="1381">
        <f>D2151*1.09639407014138</f>
        <v>68488150.684932649</v>
      </c>
      <c r="F2151" s="1421"/>
    </row>
    <row r="2152" spans="1:6" ht="21.9" hidden="1" customHeight="1" outlineLevel="1">
      <c r="A2152" s="1393" t="s">
        <v>881</v>
      </c>
      <c r="B2152" s="1381">
        <v>28477579</v>
      </c>
      <c r="C2152" s="1381">
        <f>'Itemized Budget 2024-25'!L4806-'Itemized Budget 2024-25'!L4767</f>
        <v>22617830</v>
      </c>
      <c r="D2152" s="1381">
        <f>C2152*1.0962259996672</f>
        <v>24794253.302052785</v>
      </c>
      <c r="E2152" s="1381">
        <f>D2152*1.09639407014138</f>
        <v>27184272.293954</v>
      </c>
      <c r="F2152" s="1421"/>
    </row>
    <row r="2153" spans="1:6" ht="21.9" hidden="1" customHeight="1" outlineLevel="1">
      <c r="A2153" s="1393" t="s">
        <v>942</v>
      </c>
      <c r="B2153" s="1381"/>
      <c r="C2153" s="1381"/>
      <c r="D2153" s="1381">
        <f>C2153*1.0962259996672</f>
        <v>0</v>
      </c>
      <c r="E2153" s="1381">
        <f>D2153*1.09639407014138</f>
        <v>0</v>
      </c>
      <c r="F2153" s="1421"/>
    </row>
    <row r="2154" spans="1:6" ht="21.9" hidden="1" customHeight="1" outlineLevel="1">
      <c r="A2154" s="1382" t="s">
        <v>883</v>
      </c>
      <c r="B2154" s="1379">
        <v>0</v>
      </c>
      <c r="C2154" s="1379">
        <f>SUM(C2155:C2156)</f>
        <v>0</v>
      </c>
      <c r="D2154" s="1379">
        <f>SUM(D2155:D2156)</f>
        <v>0</v>
      </c>
      <c r="E2154" s="1379">
        <f>SUM(E2155:E2156)</f>
        <v>0</v>
      </c>
      <c r="F2154" s="1421"/>
    </row>
    <row r="2155" spans="1:6" ht="21.9" hidden="1" customHeight="1" outlineLevel="1">
      <c r="A2155" s="1393" t="s">
        <v>891</v>
      </c>
      <c r="B2155" s="1381"/>
      <c r="C2155" s="1381"/>
      <c r="D2155" s="1381">
        <f>C2155*1.0962259996672</f>
        <v>0</v>
      </c>
      <c r="E2155" s="1381">
        <f>D2155*1.09639407014138</f>
        <v>0</v>
      </c>
      <c r="F2155" s="1421"/>
    </row>
    <row r="2156" spans="1:6" ht="21.9" hidden="1" customHeight="1" outlineLevel="1">
      <c r="A2156" s="1393" t="s">
        <v>892</v>
      </c>
      <c r="B2156" s="1381"/>
      <c r="C2156" s="1381"/>
      <c r="D2156" s="1381">
        <f>C2156*1.0962259996672</f>
        <v>0</v>
      </c>
      <c r="E2156" s="1381">
        <f>D2156*1.09639407014138</f>
        <v>0</v>
      </c>
      <c r="F2156" s="1421"/>
    </row>
    <row r="2157" spans="1:6" ht="21.9" hidden="1" customHeight="1" outlineLevel="1">
      <c r="A2157" s="1382" t="s">
        <v>893</v>
      </c>
      <c r="B2157" s="1379">
        <v>73077579.0000007</v>
      </c>
      <c r="C2157" s="1379">
        <f>SUM(C2154,C2150)</f>
        <v>79601270</v>
      </c>
      <c r="D2157" s="1379">
        <f>SUM(D2154,D2150)</f>
        <v>87260981.780528694</v>
      </c>
      <c r="E2157" s="1379">
        <f>SUM(E2154,E2150)</f>
        <v>95672422.978886649</v>
      </c>
      <c r="F2157" s="1421"/>
    </row>
    <row r="2158" spans="1:6" ht="21.9" hidden="1" customHeight="1" outlineLevel="1">
      <c r="A2158" s="1469"/>
      <c r="B2158" s="1367"/>
      <c r="C2158" s="1367"/>
      <c r="D2158" s="1367"/>
      <c r="E2158" s="1367"/>
      <c r="F2158" s="1421"/>
    </row>
    <row r="2159" spans="1:6" ht="21.9" hidden="1" customHeight="1" outlineLevel="1">
      <c r="A2159" s="1469"/>
      <c r="B2159" s="1367"/>
      <c r="C2159" s="1367"/>
      <c r="D2159" s="1367"/>
      <c r="E2159" s="1367"/>
      <c r="F2159" s="1421"/>
    </row>
    <row r="2160" spans="1:6" ht="21.9" hidden="1" customHeight="1" outlineLevel="1">
      <c r="A2160" s="1408" t="s">
        <v>1124</v>
      </c>
      <c r="B2160" s="1367"/>
      <c r="C2160" s="1367"/>
      <c r="D2160" s="1367"/>
      <c r="E2160" s="1367"/>
    </row>
    <row r="2161" spans="1:5" ht="21.9" hidden="1" customHeight="1" outlineLevel="1">
      <c r="A2161" s="1366" t="s">
        <v>1125</v>
      </c>
      <c r="B2161" s="1367"/>
      <c r="C2161" s="1367"/>
      <c r="D2161" s="1367"/>
      <c r="E2161" s="1367"/>
    </row>
    <row r="2162" spans="1:5" ht="21.9" hidden="1" customHeight="1" outlineLevel="1">
      <c r="A2162" s="1369" t="s">
        <v>878</v>
      </c>
      <c r="B2162" s="1370" t="s">
        <v>1671</v>
      </c>
      <c r="C2162" s="1412" t="s">
        <v>1680</v>
      </c>
      <c r="D2162" s="1371" t="s">
        <v>859</v>
      </c>
      <c r="E2162" s="1372"/>
    </row>
    <row r="2163" spans="1:5" ht="21.9" hidden="1" customHeight="1" outlineLevel="1">
      <c r="A2163" s="1373"/>
      <c r="B2163" s="1374"/>
      <c r="C2163" s="1374"/>
      <c r="D2163" s="1375" t="s">
        <v>861</v>
      </c>
      <c r="E2163" s="1375" t="s">
        <v>1672</v>
      </c>
    </row>
    <row r="2164" spans="1:5" ht="21.9" hidden="1" customHeight="1" outlineLevel="1">
      <c r="A2164" s="1467" t="s">
        <v>890</v>
      </c>
      <c r="B2164" s="1379">
        <v>3455950</v>
      </c>
      <c r="C2164" s="1379">
        <f>SUM(C2165:C2167)</f>
        <v>2314100</v>
      </c>
      <c r="D2164" s="1379">
        <f>SUM(D2165:D2167)</f>
        <v>2536776.5858298675</v>
      </c>
      <c r="E2164" s="1379">
        <f>SUM(E2165:E2167)</f>
        <v>2781306.8059773622</v>
      </c>
    </row>
    <row r="2165" spans="1:5" ht="21.9" hidden="1" customHeight="1" outlineLevel="1">
      <c r="A2165" s="1468" t="s">
        <v>880</v>
      </c>
      <c r="B2165" s="1381">
        <v>0</v>
      </c>
      <c r="C2165" s="1381"/>
      <c r="D2165" s="1381">
        <f>C2165*1.0962259996672</f>
        <v>0</v>
      </c>
      <c r="E2165" s="1381">
        <f>D2165*1.09639407014138</f>
        <v>0</v>
      </c>
    </row>
    <row r="2166" spans="1:5" ht="21.9" hidden="1" customHeight="1" outlineLevel="1">
      <c r="A2166" s="1468" t="s">
        <v>881</v>
      </c>
      <c r="B2166" s="1381">
        <v>3455950</v>
      </c>
      <c r="C2166" s="1381">
        <f>'Itemized Budget 2024-25'!L4832</f>
        <v>2314100</v>
      </c>
      <c r="D2166" s="1381">
        <f>C2166*1.0962259996672</f>
        <v>2536776.5858298675</v>
      </c>
      <c r="E2166" s="1381">
        <f>D2166*1.09639407014138</f>
        <v>2781306.8059773622</v>
      </c>
    </row>
    <row r="2167" spans="1:5" ht="21.9" hidden="1" customHeight="1" outlineLevel="1">
      <c r="A2167" s="1468" t="s">
        <v>882</v>
      </c>
      <c r="B2167" s="1381"/>
      <c r="C2167" s="1381"/>
      <c r="D2167" s="1381">
        <f>C2167*1.0962259996672</f>
        <v>0</v>
      </c>
      <c r="E2167" s="1381">
        <f>D2167*1.09639407014138</f>
        <v>0</v>
      </c>
    </row>
    <row r="2168" spans="1:5" ht="21.9" hidden="1" customHeight="1" outlineLevel="1">
      <c r="A2168" s="1382" t="s">
        <v>883</v>
      </c>
      <c r="B2168" s="1379">
        <v>15023045</v>
      </c>
      <c r="C2168" s="1379">
        <f>SUM(C2169:C2170)</f>
        <v>0</v>
      </c>
      <c r="D2168" s="1379">
        <f>SUM(D2169:D2170)</f>
        <v>0</v>
      </c>
      <c r="E2168" s="1379">
        <f>SUM(E2169:E2170)</f>
        <v>0</v>
      </c>
    </row>
    <row r="2169" spans="1:5" s="1366" customFormat="1" ht="21.9" hidden="1" customHeight="1" outlineLevel="1">
      <c r="A2169" s="1393" t="s">
        <v>891</v>
      </c>
      <c r="B2169" s="1381">
        <v>15023045</v>
      </c>
      <c r="C2169" s="1381">
        <f>'Itemized Budget 2024-25'!L4842</f>
        <v>0</v>
      </c>
      <c r="D2169" s="1381">
        <f>C2169*1.0962259996672</f>
        <v>0</v>
      </c>
      <c r="E2169" s="1381">
        <f>D2169*1.09639407014138</f>
        <v>0</v>
      </c>
    </row>
    <row r="2170" spans="1:5" ht="21.9" hidden="1" customHeight="1" outlineLevel="1">
      <c r="A2170" s="1393" t="s">
        <v>892</v>
      </c>
      <c r="B2170" s="1381"/>
      <c r="C2170" s="1381"/>
      <c r="D2170" s="1381">
        <f>C2170*1.0962259996672</f>
        <v>0</v>
      </c>
      <c r="E2170" s="1381">
        <f>D2170*1.09639407014138</f>
        <v>0</v>
      </c>
    </row>
    <row r="2171" spans="1:5" ht="21.9" hidden="1" customHeight="1" outlineLevel="1">
      <c r="A2171" s="1382" t="s">
        <v>893</v>
      </c>
      <c r="B2171" s="1379">
        <v>18478995</v>
      </c>
      <c r="C2171" s="1379">
        <f>SUM(C2168,C2164)</f>
        <v>2314100</v>
      </c>
      <c r="D2171" s="1379">
        <f>SUM(D2168,D2164)</f>
        <v>2536776.5858298675</v>
      </c>
      <c r="E2171" s="1379">
        <f>SUM(E2168,E2164)</f>
        <v>2781306.8059773622</v>
      </c>
    </row>
    <row r="2172" spans="1:5" ht="21.9" hidden="1" customHeight="1" outlineLevel="1">
      <c r="A2172" s="1366"/>
      <c r="B2172" s="1367"/>
      <c r="C2172" s="1367"/>
      <c r="D2172" s="1367"/>
      <c r="E2172" s="1367"/>
    </row>
    <row r="2173" spans="1:5" ht="21.9" hidden="1" customHeight="1" outlineLevel="1">
      <c r="A2173" s="1366"/>
      <c r="B2173" s="1367"/>
      <c r="C2173" s="1367"/>
      <c r="D2173" s="1367"/>
      <c r="E2173" s="1367"/>
    </row>
    <row r="2174" spans="1:5" ht="21.9" hidden="1" customHeight="1" outlineLevel="1">
      <c r="A2174" s="1408" t="s">
        <v>1126</v>
      </c>
    </row>
    <row r="2175" spans="1:5" ht="21.9" hidden="1" customHeight="1" outlineLevel="1">
      <c r="A2175" s="1366" t="s">
        <v>1119</v>
      </c>
      <c r="B2175" s="1367"/>
      <c r="C2175" s="1367"/>
      <c r="D2175" s="1367"/>
      <c r="E2175" s="1367"/>
    </row>
    <row r="2176" spans="1:5" ht="21.9" hidden="1" customHeight="1" outlineLevel="1">
      <c r="A2176" s="1369" t="s">
        <v>878</v>
      </c>
      <c r="B2176" s="1370" t="s">
        <v>1671</v>
      </c>
      <c r="C2176" s="1370" t="s">
        <v>1680</v>
      </c>
      <c r="D2176" s="1371" t="s">
        <v>859</v>
      </c>
      <c r="E2176" s="1372"/>
    </row>
    <row r="2177" spans="1:5" ht="21.9" hidden="1" customHeight="1" outlineLevel="1">
      <c r="A2177" s="1373"/>
      <c r="B2177" s="1374"/>
      <c r="C2177" s="1374"/>
      <c r="D2177" s="1375" t="s">
        <v>861</v>
      </c>
      <c r="E2177" s="1375" t="s">
        <v>1672</v>
      </c>
    </row>
    <row r="2178" spans="1:5" ht="21.9" hidden="1" customHeight="1" outlineLevel="1">
      <c r="A2178" s="1382" t="s">
        <v>890</v>
      </c>
      <c r="B2178" s="1379">
        <v>3650000</v>
      </c>
      <c r="C2178" s="1379">
        <f>SUM(C2179:C2181)</f>
        <v>3275500</v>
      </c>
      <c r="D2178" s="1379">
        <f>SUM(D2179:D2181)</f>
        <v>3590688.2619099133</v>
      </c>
      <c r="E2178" s="1379">
        <f>SUM(E2179:E2181)</f>
        <v>3936809.318084287</v>
      </c>
    </row>
    <row r="2179" spans="1:5" ht="21.9" hidden="1" customHeight="1" outlineLevel="1">
      <c r="A2179" s="1393" t="s">
        <v>880</v>
      </c>
      <c r="B2179" s="1381">
        <v>1400000</v>
      </c>
      <c r="C2179" s="1381"/>
      <c r="D2179" s="1381">
        <f>C2179*1.0962259996672</f>
        <v>0</v>
      </c>
      <c r="E2179" s="1381">
        <f>D2179*1.09639407014138</f>
        <v>0</v>
      </c>
    </row>
    <row r="2180" spans="1:5" ht="21.9" hidden="1" customHeight="1" outlineLevel="1">
      <c r="A2180" s="1393" t="s">
        <v>881</v>
      </c>
      <c r="B2180" s="1381">
        <v>2250000</v>
      </c>
      <c r="C2180" s="1381">
        <f>'Itemized Budget 2024-25'!L4964</f>
        <v>3275500</v>
      </c>
      <c r="D2180" s="1381">
        <f>C2180*1.0962259996672</f>
        <v>3590688.2619099133</v>
      </c>
      <c r="E2180" s="1381">
        <f>D2180*1.09639407014138</f>
        <v>3936809.318084287</v>
      </c>
    </row>
    <row r="2181" spans="1:5" ht="21.9" hidden="1" customHeight="1" outlineLevel="1">
      <c r="A2181" s="1393" t="s">
        <v>882</v>
      </c>
      <c r="B2181" s="1381">
        <v>0</v>
      </c>
      <c r="C2181" s="1381">
        <v>0</v>
      </c>
      <c r="D2181" s="1381">
        <f>C2181*1.0962259996672</f>
        <v>0</v>
      </c>
      <c r="E2181" s="1381">
        <f>D2181*1.09639407014138</f>
        <v>0</v>
      </c>
    </row>
    <row r="2182" spans="1:5" ht="21.9" hidden="1" customHeight="1" outlineLevel="1">
      <c r="A2182" s="1382" t="s">
        <v>883</v>
      </c>
      <c r="B2182" s="1379">
        <v>19561724</v>
      </c>
      <c r="C2182" s="1379">
        <f>SUM(C2183:C2184)</f>
        <v>22015760</v>
      </c>
      <c r="D2182" s="1379">
        <f>SUM(D2183:D2184)</f>
        <v>24134248.514433153</v>
      </c>
      <c r="E2182" s="1379">
        <f>SUM(E2183:E2184)</f>
        <v>26460646.958542917</v>
      </c>
    </row>
    <row r="2183" spans="1:5" ht="21.9" hidden="1" customHeight="1" outlineLevel="1">
      <c r="A2183" s="1393" t="s">
        <v>891</v>
      </c>
      <c r="B2183" s="1381">
        <v>19561724</v>
      </c>
      <c r="C2183" s="1381">
        <f>'Itemized Budget 2024-25'!L4971</f>
        <v>22015760</v>
      </c>
      <c r="D2183" s="1381">
        <f>C2183*1.0962259996672</f>
        <v>24134248.514433153</v>
      </c>
      <c r="E2183" s="1381">
        <f>D2183*1.09639407014138</f>
        <v>26460646.958542917</v>
      </c>
    </row>
    <row r="2184" spans="1:5" ht="21.9" hidden="1" customHeight="1" outlineLevel="1">
      <c r="A2184" s="1393" t="s">
        <v>892</v>
      </c>
      <c r="B2184" s="1381"/>
      <c r="C2184" s="1381"/>
      <c r="D2184" s="1381">
        <f>C2184*1.0962259996672</f>
        <v>0</v>
      </c>
      <c r="E2184" s="1381">
        <f>D2184*1.09639407014138</f>
        <v>0</v>
      </c>
    </row>
    <row r="2185" spans="1:5" ht="21.9" hidden="1" customHeight="1" outlineLevel="1">
      <c r="A2185" s="1382" t="s">
        <v>893</v>
      </c>
      <c r="B2185" s="1379">
        <v>23211724</v>
      </c>
      <c r="C2185" s="1379">
        <f>C2178+C2182</f>
        <v>25291260</v>
      </c>
      <c r="D2185" s="1379">
        <f>D2178+D2182</f>
        <v>27724936.776343066</v>
      </c>
      <c r="E2185" s="1379">
        <f>E2178+E2182</f>
        <v>30397456.276627205</v>
      </c>
    </row>
    <row r="2186" spans="1:5" ht="21.9" hidden="1" customHeight="1" outlineLevel="1">
      <c r="A2186" s="1366"/>
      <c r="B2186" s="1367"/>
      <c r="C2186" s="1367"/>
      <c r="D2186" s="1367"/>
      <c r="E2186" s="1367"/>
    </row>
    <row r="2187" spans="1:5" ht="21.9" hidden="1" customHeight="1" outlineLevel="1">
      <c r="A2187" s="1408" t="s">
        <v>1120</v>
      </c>
    </row>
    <row r="2188" spans="1:5" ht="21.9" hidden="1" customHeight="1" outlineLevel="1">
      <c r="A2188" s="1369" t="s">
        <v>878</v>
      </c>
      <c r="B2188" s="1370" t="s">
        <v>1671</v>
      </c>
      <c r="C2188" s="1370" t="s">
        <v>1680</v>
      </c>
      <c r="D2188" s="1371" t="s">
        <v>859</v>
      </c>
      <c r="E2188" s="1372"/>
    </row>
    <row r="2189" spans="1:5" ht="21.9" hidden="1" customHeight="1" outlineLevel="1">
      <c r="A2189" s="1373"/>
      <c r="B2189" s="1374"/>
      <c r="C2189" s="1374"/>
      <c r="D2189" s="1375" t="s">
        <v>861</v>
      </c>
      <c r="E2189" s="1375" t="s">
        <v>1672</v>
      </c>
    </row>
    <row r="2190" spans="1:5" ht="21.9" hidden="1" customHeight="1" outlineLevel="1">
      <c r="A2190" s="1382" t="s">
        <v>890</v>
      </c>
      <c r="B2190" s="1379">
        <v>2450000</v>
      </c>
      <c r="C2190" s="1379">
        <f>SUM(C2191:C2193)</f>
        <v>5111083.9800000004</v>
      </c>
      <c r="D2190" s="1379">
        <f>SUM(D2191:D2193)</f>
        <v>5602903.1453585112</v>
      </c>
      <c r="E2190" s="1379">
        <f>SUM(E2191:E2193)</f>
        <v>6142989.7841475578</v>
      </c>
    </row>
    <row r="2191" spans="1:5" ht="21.9" hidden="1" customHeight="1" outlineLevel="1">
      <c r="A2191" s="1393" t="s">
        <v>880</v>
      </c>
      <c r="B2191" s="1381">
        <v>0</v>
      </c>
      <c r="C2191" s="1381">
        <f>0</f>
        <v>0</v>
      </c>
      <c r="D2191" s="1381">
        <f>C2191*1.0962259996672</f>
        <v>0</v>
      </c>
      <c r="E2191" s="1381">
        <f>D2191*1.09639407014138</f>
        <v>0</v>
      </c>
    </row>
    <row r="2192" spans="1:5" ht="21.9" hidden="1" customHeight="1" outlineLevel="1">
      <c r="A2192" s="1393" t="s">
        <v>881</v>
      </c>
      <c r="B2192" s="1381">
        <v>2450000</v>
      </c>
      <c r="C2192" s="1381">
        <f>'Itemized Budget 2024-25'!L4882</f>
        <v>5111083.9800000004</v>
      </c>
      <c r="D2192" s="1381">
        <f>C2192*1.0962259996672</f>
        <v>5602903.1453585112</v>
      </c>
      <c r="E2192" s="1381">
        <f>D2192*1.09639407014138</f>
        <v>6142989.7841475578</v>
      </c>
    </row>
    <row r="2193" spans="1:5" ht="21.9" hidden="1" customHeight="1" outlineLevel="1">
      <c r="A2193" s="1393" t="s">
        <v>882</v>
      </c>
      <c r="B2193" s="1381">
        <v>0</v>
      </c>
      <c r="C2193" s="1381">
        <v>0</v>
      </c>
      <c r="D2193" s="1381">
        <f>C2193*1.0962259996672</f>
        <v>0</v>
      </c>
      <c r="E2193" s="1381">
        <f>D2193*1.09639407014138</f>
        <v>0</v>
      </c>
    </row>
    <row r="2194" spans="1:5" ht="21.9" hidden="1" customHeight="1" outlineLevel="1">
      <c r="A2194" s="1382" t="s">
        <v>883</v>
      </c>
      <c r="B2194" s="1379">
        <v>9500000</v>
      </c>
      <c r="C2194" s="1379">
        <f>SUM(C2195:C2196)</f>
        <v>0</v>
      </c>
      <c r="D2194" s="1379">
        <f>SUM(D2195:D2196)</f>
        <v>0</v>
      </c>
      <c r="E2194" s="1379">
        <f>SUM(E2195:E2196)</f>
        <v>0</v>
      </c>
    </row>
    <row r="2195" spans="1:5" ht="21.9" hidden="1" customHeight="1" outlineLevel="1">
      <c r="A2195" s="1393" t="s">
        <v>891</v>
      </c>
      <c r="B2195" s="1381">
        <v>9500000</v>
      </c>
      <c r="C2195" s="1381"/>
      <c r="D2195" s="1381">
        <f>C2195*1.0962259996672</f>
        <v>0</v>
      </c>
      <c r="E2195" s="1381">
        <f>D2195*1.09639407014138</f>
        <v>0</v>
      </c>
    </row>
    <row r="2196" spans="1:5" ht="21.9" hidden="1" customHeight="1" outlineLevel="1">
      <c r="A2196" s="1393" t="s">
        <v>892</v>
      </c>
      <c r="B2196" s="1381"/>
      <c r="C2196" s="1381"/>
      <c r="D2196" s="1381">
        <f>C2196*1.0962259996672</f>
        <v>0</v>
      </c>
      <c r="E2196" s="1381">
        <f>D2196*1.09639407014138</f>
        <v>0</v>
      </c>
    </row>
    <row r="2197" spans="1:5" ht="21.9" hidden="1" customHeight="1" outlineLevel="1">
      <c r="A2197" s="1467" t="s">
        <v>893</v>
      </c>
      <c r="B2197" s="1379">
        <v>11950000</v>
      </c>
      <c r="C2197" s="1379">
        <f>SUM(C2194,C2190)</f>
        <v>5111083.9800000004</v>
      </c>
      <c r="D2197" s="1379">
        <f>SUM(D2194,D2190)</f>
        <v>5602903.1453585112</v>
      </c>
      <c r="E2197" s="1379">
        <f>SUM(E2194,E2190)</f>
        <v>6142989.7841475578</v>
      </c>
    </row>
    <row r="2198" spans="1:5" ht="21.9" hidden="1" customHeight="1" outlineLevel="1">
      <c r="A2198" s="1469"/>
      <c r="B2198" s="1367"/>
      <c r="C2198" s="1367"/>
      <c r="D2198" s="1367"/>
      <c r="E2198" s="1367"/>
    </row>
    <row r="2199" spans="1:5" ht="21.9" hidden="1" customHeight="1" outlineLevel="1">
      <c r="A2199" s="1469"/>
      <c r="B2199" s="1367"/>
      <c r="C2199" s="1367"/>
      <c r="D2199" s="1367"/>
      <c r="E2199" s="1367"/>
    </row>
    <row r="2200" spans="1:5" ht="21.9" hidden="1" customHeight="1" outlineLevel="1">
      <c r="A2200" s="1408" t="s">
        <v>1121</v>
      </c>
    </row>
    <row r="2201" spans="1:5" ht="21.9" hidden="1" customHeight="1" outlineLevel="1">
      <c r="A2201" s="1369" t="s">
        <v>878</v>
      </c>
      <c r="B2201" s="1370" t="s">
        <v>1671</v>
      </c>
      <c r="C2201" s="1370" t="s">
        <v>1680</v>
      </c>
      <c r="D2201" s="1371" t="s">
        <v>859</v>
      </c>
      <c r="E2201" s="1372"/>
    </row>
    <row r="2202" spans="1:5" ht="21.9" hidden="1" customHeight="1" outlineLevel="1">
      <c r="A2202" s="1373"/>
      <c r="B2202" s="1374"/>
      <c r="C2202" s="1374"/>
      <c r="D2202" s="1375" t="s">
        <v>861</v>
      </c>
      <c r="E2202" s="1375" t="s">
        <v>1672</v>
      </c>
    </row>
    <row r="2203" spans="1:5" ht="21.9" hidden="1" customHeight="1" outlineLevel="1">
      <c r="A2203" s="1382" t="s">
        <v>890</v>
      </c>
      <c r="B2203" s="1379">
        <v>3725000</v>
      </c>
      <c r="C2203" s="1379">
        <f>SUM(C2204:C2206)</f>
        <v>5076400</v>
      </c>
      <c r="D2203" s="1379">
        <f>SUM(D2204:D2206)</f>
        <v>5564881.6647105739</v>
      </c>
      <c r="E2203" s="1379">
        <f>SUM(E2204:E2206)</f>
        <v>6101303.2582271639</v>
      </c>
    </row>
    <row r="2204" spans="1:5" ht="21.9" hidden="1" customHeight="1" outlineLevel="1">
      <c r="A2204" s="1393" t="s">
        <v>880</v>
      </c>
      <c r="B2204" s="1381">
        <v>0</v>
      </c>
      <c r="C2204" s="1381">
        <f>0</f>
        <v>0</v>
      </c>
      <c r="D2204" s="1381">
        <f>C2204*1.0962259996672</f>
        <v>0</v>
      </c>
      <c r="E2204" s="1381">
        <f>D2204*1.09639407014138</f>
        <v>0</v>
      </c>
    </row>
    <row r="2205" spans="1:5" ht="21.9" hidden="1" customHeight="1" outlineLevel="1">
      <c r="A2205" s="1393" t="s">
        <v>881</v>
      </c>
      <c r="B2205" s="1381">
        <v>2925000</v>
      </c>
      <c r="C2205" s="1381">
        <f>'Itemized Budget 2024-25'!L4919</f>
        <v>5076400</v>
      </c>
      <c r="D2205" s="1381">
        <f>C2205*1.0962259996672</f>
        <v>5564881.6647105739</v>
      </c>
      <c r="E2205" s="1381">
        <f>D2205*1.09639407014138</f>
        <v>6101303.2582271639</v>
      </c>
    </row>
    <row r="2206" spans="1:5" ht="21.9" hidden="1" customHeight="1" outlineLevel="1">
      <c r="A2206" s="1393" t="s">
        <v>882</v>
      </c>
      <c r="B2206" s="1381">
        <v>800000</v>
      </c>
      <c r="C2206" s="1381"/>
      <c r="D2206" s="1381">
        <f>C2206*1.0962259996672</f>
        <v>0</v>
      </c>
      <c r="E2206" s="1381">
        <f>D2206*1.09639407014138</f>
        <v>0</v>
      </c>
    </row>
    <row r="2207" spans="1:5" ht="21.9" hidden="1" customHeight="1" outlineLevel="1">
      <c r="A2207" s="1382" t="s">
        <v>883</v>
      </c>
      <c r="B2207" s="1379">
        <v>3683111</v>
      </c>
      <c r="C2207" s="1379">
        <f>SUM(C2208:C2209)</f>
        <v>39686128</v>
      </c>
      <c r="D2207" s="1379">
        <f>SUM(D2208:D2209)</f>
        <v>43504965.33972045</v>
      </c>
      <c r="E2207" s="1379">
        <f>SUM(E2208:E2209)</f>
        <v>47698586.020175762</v>
      </c>
    </row>
    <row r="2208" spans="1:5" ht="21.9" hidden="1" customHeight="1" outlineLevel="1">
      <c r="A2208" s="1393" t="s">
        <v>891</v>
      </c>
      <c r="B2208" s="1381">
        <v>3683111</v>
      </c>
      <c r="C2208" s="1381">
        <f>'Itemized Budget 2024-25'!L4930</f>
        <v>39686128</v>
      </c>
      <c r="D2208" s="1381">
        <f>C2208*1.0962259996672</f>
        <v>43504965.33972045</v>
      </c>
      <c r="E2208" s="1381">
        <f>D2208*1.09639407014138</f>
        <v>47698586.020175762</v>
      </c>
    </row>
    <row r="2209" spans="1:5" ht="21.9" hidden="1" customHeight="1" outlineLevel="1">
      <c r="A2209" s="1393" t="s">
        <v>892</v>
      </c>
      <c r="B2209" s="1381"/>
      <c r="C2209" s="1381"/>
      <c r="D2209" s="1381">
        <f>C2209*1.0962259996672</f>
        <v>0</v>
      </c>
      <c r="E2209" s="1381">
        <f>D2209*1.09639407014138</f>
        <v>0</v>
      </c>
    </row>
    <row r="2210" spans="1:5" ht="21.9" hidden="1" customHeight="1" outlineLevel="1">
      <c r="A2210" s="1467" t="s">
        <v>893</v>
      </c>
      <c r="B2210" s="1379">
        <v>7408111</v>
      </c>
      <c r="C2210" s="1379">
        <f>SUM(C2207,C2203)</f>
        <v>44762528</v>
      </c>
      <c r="D2210" s="1379">
        <f>SUM(D2207,D2203)</f>
        <v>49069847.004431024</v>
      </c>
      <c r="E2210" s="1379">
        <f>SUM(E2207,E2203)</f>
        <v>53799889.278402925</v>
      </c>
    </row>
    <row r="2211" spans="1:5" ht="21.9" hidden="1" customHeight="1" outlineLevel="1">
      <c r="A2211" s="1469"/>
      <c r="B2211" s="1367"/>
      <c r="C2211" s="1367"/>
      <c r="D2211" s="1367"/>
      <c r="E2211" s="1367"/>
    </row>
    <row r="2212" spans="1:5" ht="21.9" hidden="1" customHeight="1" outlineLevel="1"/>
    <row r="2213" spans="1:5" ht="21.9" hidden="1" customHeight="1" outlineLevel="1">
      <c r="A2213" s="1401" t="s">
        <v>843</v>
      </c>
    </row>
    <row r="2214" spans="1:5" ht="21.9" hidden="1" customHeight="1" outlineLevel="1">
      <c r="A2214" s="1369" t="s">
        <v>878</v>
      </c>
      <c r="B2214" s="1370" t="s">
        <v>1671</v>
      </c>
      <c r="C2214" s="1370" t="s">
        <v>1680</v>
      </c>
      <c r="D2214" s="1371" t="s">
        <v>859</v>
      </c>
      <c r="E2214" s="1372"/>
    </row>
    <row r="2215" spans="1:5" ht="21.9" hidden="1" customHeight="1" outlineLevel="1">
      <c r="A2215" s="1373"/>
      <c r="B2215" s="1374"/>
      <c r="C2215" s="1374"/>
      <c r="D2215" s="1375" t="s">
        <v>861</v>
      </c>
      <c r="E2215" s="1375" t="s">
        <v>1672</v>
      </c>
    </row>
    <row r="2216" spans="1:5" ht="21.9" hidden="1" customHeight="1" outlineLevel="1">
      <c r="A2216" s="1382" t="s">
        <v>890</v>
      </c>
      <c r="B2216" s="1379"/>
      <c r="C2216" s="1379">
        <f>SUM(C2217:C2219)</f>
        <v>6855709.5200023651</v>
      </c>
      <c r="D2216" s="1379">
        <f>SUM(D2217:D2219)</f>
        <v>7515407.0219925316</v>
      </c>
      <c r="E2216" s="1379">
        <f>SUM(E2217:E2219)</f>
        <v>8239847.6936114989</v>
      </c>
    </row>
    <row r="2217" spans="1:5" ht="21.9" hidden="1" customHeight="1" outlineLevel="1">
      <c r="A2217" s="1393" t="s">
        <v>880</v>
      </c>
      <c r="B2217" s="1381"/>
      <c r="C2217" s="1381">
        <f>0</f>
        <v>0</v>
      </c>
      <c r="D2217" s="1381">
        <f>C2217*1.0962259996672</f>
        <v>0</v>
      </c>
      <c r="E2217" s="1381">
        <f>D2217*1.09639407014138</f>
        <v>0</v>
      </c>
    </row>
    <row r="2218" spans="1:5" ht="21.9" hidden="1" customHeight="1" outlineLevel="1">
      <c r="A2218" s="1393" t="s">
        <v>881</v>
      </c>
      <c r="B2218" s="1381"/>
      <c r="C2218" s="1381">
        <f>'Itemized Budget 2024-25'!L5006</f>
        <v>6855709.5200023651</v>
      </c>
      <c r="D2218" s="1381">
        <f>C2218*1.0962259996672</f>
        <v>7515407.0219925316</v>
      </c>
      <c r="E2218" s="1381">
        <f>D2218*1.09639407014138</f>
        <v>8239847.6936114989</v>
      </c>
    </row>
    <row r="2219" spans="1:5" ht="21.9" hidden="1" customHeight="1" outlineLevel="1">
      <c r="A2219" s="1393" t="s">
        <v>882</v>
      </c>
      <c r="B2219" s="1381"/>
      <c r="C2219" s="1381">
        <f>'Itemized Budget 2024-25'!L4936</f>
        <v>0</v>
      </c>
      <c r="D2219" s="1381">
        <f>C2219*1.0962259996672</f>
        <v>0</v>
      </c>
      <c r="E2219" s="1381">
        <f>D2219*1.09639407014138</f>
        <v>0</v>
      </c>
    </row>
    <row r="2220" spans="1:5" ht="21.9" hidden="1" customHeight="1" outlineLevel="1">
      <c r="A2220" s="1382" t="s">
        <v>883</v>
      </c>
      <c r="B2220" s="1379"/>
      <c r="C2220" s="1379">
        <f>SUM(C2221:C2222)</f>
        <v>203924035.89939308</v>
      </c>
      <c r="D2220" s="1379">
        <f>SUM(D2221:D2222)</f>
        <v>223546830.10998213</v>
      </c>
      <c r="E2220" s="1379">
        <f>SUM(E2221:E2222)</f>
        <v>245095418.93148687</v>
      </c>
    </row>
    <row r="2221" spans="1:5" ht="21.9" hidden="1" customHeight="1" outlineLevel="1">
      <c r="A2221" s="1393" t="s">
        <v>891</v>
      </c>
      <c r="B2221" s="1381"/>
      <c r="C2221" s="1381">
        <f>'Itemized Budget 2024-25'!L5029</f>
        <v>203924035.89939308</v>
      </c>
      <c r="D2221" s="1381">
        <f>C2221*1.0962259996672</f>
        <v>223546830.10998213</v>
      </c>
      <c r="E2221" s="1381">
        <f>D2221*1.09639407014138</f>
        <v>245095418.93148687</v>
      </c>
    </row>
    <row r="2222" spans="1:5" ht="21.9" hidden="1" customHeight="1" outlineLevel="1">
      <c r="A2222" s="1393" t="s">
        <v>892</v>
      </c>
      <c r="B2222" s="1381"/>
      <c r="C2222" s="1381"/>
      <c r="D2222" s="1381">
        <f>C2222*1.0962259996672</f>
        <v>0</v>
      </c>
      <c r="E2222" s="1381">
        <f>D2222*1.09639407014138</f>
        <v>0</v>
      </c>
    </row>
    <row r="2223" spans="1:5" ht="21.9" hidden="1" customHeight="1" outlineLevel="1">
      <c r="A2223" s="1467" t="s">
        <v>893</v>
      </c>
      <c r="B2223" s="1379"/>
      <c r="C2223" s="1379">
        <f>SUM(C2220,C2216)</f>
        <v>210779745.41939545</v>
      </c>
      <c r="D2223" s="1379">
        <f>SUM(D2220,D2216)</f>
        <v>231062237.13197467</v>
      </c>
      <c r="E2223" s="1379">
        <f>SUM(E2220,E2216)</f>
        <v>253335266.62509838</v>
      </c>
    </row>
    <row r="2224" spans="1:5" ht="21.9" customHeight="1" collapsed="1"/>
  </sheetData>
  <pageMargins left="0.7" right="0.7" top="0.75" bottom="0.75" header="0.3" footer="0.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FF"/>
  </sheetPr>
  <dimension ref="B2:K64"/>
  <sheetViews>
    <sheetView showGridLines="0" zoomScale="85" workbookViewId="0">
      <pane xSplit="5" ySplit="4" topLeftCell="F11" activePane="bottomRight" state="frozen"/>
      <selection pane="topRight"/>
      <selection pane="bottomLeft"/>
      <selection pane="bottomRight" activeCell="E10" sqref="E10"/>
    </sheetView>
  </sheetViews>
  <sheetFormatPr defaultColWidth="8.5546875" defaultRowHeight="15"/>
  <cols>
    <col min="1" max="1" width="8.5546875" style="5"/>
    <col min="2" max="2" width="6.5546875" style="5" bestFit="1" customWidth="1"/>
    <col min="3" max="3" width="11.5546875" style="5" bestFit="1" customWidth="1"/>
    <col min="4" max="4" width="24.109375" style="5" customWidth="1"/>
    <col min="5" max="5" width="47.5546875" style="5" customWidth="1"/>
    <col min="6" max="6" width="16.5546875" style="6" bestFit="1" customWidth="1"/>
    <col min="7" max="7" width="18.88671875" style="6" bestFit="1" customWidth="1"/>
    <col min="8" max="9" width="20.109375" style="6" bestFit="1" customWidth="1"/>
    <col min="10" max="10" width="14.5546875" style="6" bestFit="1" customWidth="1"/>
    <col min="11" max="11" width="91.88671875" style="5" bestFit="1" customWidth="1"/>
    <col min="12" max="16384" width="8.5546875" style="5"/>
  </cols>
  <sheetData>
    <row r="2" spans="2:11">
      <c r="B2" s="5" t="s">
        <v>2107</v>
      </c>
    </row>
    <row r="4" spans="2:11" ht="75">
      <c r="B4" s="7" t="s">
        <v>3</v>
      </c>
      <c r="C4" s="7" t="s">
        <v>4</v>
      </c>
      <c r="D4" s="8" t="s">
        <v>5</v>
      </c>
      <c r="E4" s="9" t="s">
        <v>6</v>
      </c>
      <c r="F4" s="10" t="s">
        <v>1310</v>
      </c>
      <c r="G4" s="10" t="s">
        <v>2035</v>
      </c>
      <c r="H4" s="10" t="s">
        <v>2034</v>
      </c>
      <c r="I4" s="10" t="s">
        <v>2037</v>
      </c>
      <c r="J4" s="10" t="s">
        <v>2036</v>
      </c>
      <c r="K4" s="11" t="s">
        <v>2077</v>
      </c>
    </row>
    <row r="5" spans="2:11">
      <c r="B5" s="12"/>
      <c r="C5" s="12"/>
      <c r="D5" s="13" t="s">
        <v>8</v>
      </c>
      <c r="E5" s="14"/>
      <c r="F5" s="15"/>
      <c r="G5" s="16"/>
      <c r="H5" s="16"/>
      <c r="I5" s="16"/>
      <c r="J5" s="15"/>
      <c r="K5" s="17" t="s">
        <v>8</v>
      </c>
    </row>
    <row r="6" spans="2:11">
      <c r="B6" s="18"/>
      <c r="C6" s="18"/>
      <c r="D6" s="19">
        <v>2210910</v>
      </c>
      <c r="E6" s="20" t="s">
        <v>1531</v>
      </c>
      <c r="F6" s="21">
        <v>171000000</v>
      </c>
      <c r="G6" s="22"/>
      <c r="H6" s="22">
        <v>87000000</v>
      </c>
      <c r="I6" s="22"/>
      <c r="J6" s="23">
        <v>258000000</v>
      </c>
      <c r="K6" s="24" t="s">
        <v>2077</v>
      </c>
    </row>
    <row r="7" spans="2:11" ht="30">
      <c r="B7" s="25"/>
      <c r="C7" s="25"/>
      <c r="D7" s="19">
        <v>3111401</v>
      </c>
      <c r="E7" s="20" t="s">
        <v>76</v>
      </c>
      <c r="F7" s="21">
        <v>22500000</v>
      </c>
      <c r="G7" s="22"/>
      <c r="H7" s="22">
        <v>-1500000</v>
      </c>
      <c r="I7" s="22"/>
      <c r="J7" s="23">
        <v>21000000</v>
      </c>
      <c r="K7" s="24" t="s">
        <v>2080</v>
      </c>
    </row>
    <row r="8" spans="2:11" ht="30">
      <c r="B8" s="26"/>
      <c r="C8" s="26"/>
      <c r="D8" s="19">
        <v>3110504</v>
      </c>
      <c r="E8" s="20" t="s">
        <v>81</v>
      </c>
      <c r="F8" s="21">
        <v>540000000</v>
      </c>
      <c r="G8" s="22"/>
      <c r="H8" s="22">
        <v>-36000000</v>
      </c>
      <c r="I8" s="22"/>
      <c r="J8" s="23">
        <v>504000000</v>
      </c>
      <c r="K8" s="24" t="s">
        <v>2080</v>
      </c>
    </row>
    <row r="9" spans="2:11" ht="30">
      <c r="B9" s="25"/>
      <c r="C9" s="25"/>
      <c r="D9" s="19">
        <v>3110504</v>
      </c>
      <c r="E9" s="20" t="s">
        <v>82</v>
      </c>
      <c r="F9" s="21">
        <v>187500000</v>
      </c>
      <c r="G9" s="22"/>
      <c r="H9" s="22">
        <v>-12500000</v>
      </c>
      <c r="I9" s="22"/>
      <c r="J9" s="23">
        <v>175000000</v>
      </c>
      <c r="K9" s="24" t="s">
        <v>2080</v>
      </c>
    </row>
    <row r="10" spans="2:11" ht="45">
      <c r="B10" s="27"/>
      <c r="C10" s="27"/>
      <c r="D10" s="28">
        <v>2211308</v>
      </c>
      <c r="E10" s="29" t="s">
        <v>1795</v>
      </c>
      <c r="F10" s="30">
        <v>30000000</v>
      </c>
      <c r="G10" s="31"/>
      <c r="H10" s="31">
        <v>125000000</v>
      </c>
      <c r="I10" s="31">
        <v>0</v>
      </c>
      <c r="J10" s="23">
        <v>155000000</v>
      </c>
      <c r="K10" s="24" t="s">
        <v>2080</v>
      </c>
    </row>
    <row r="11" spans="2:11">
      <c r="B11" s="32"/>
      <c r="C11" s="33"/>
      <c r="D11" s="13" t="s">
        <v>177</v>
      </c>
      <c r="E11" s="34"/>
      <c r="F11" s="35"/>
      <c r="G11" s="16"/>
      <c r="H11" s="16"/>
      <c r="I11" s="16"/>
      <c r="J11" s="15"/>
      <c r="K11" s="17" t="s">
        <v>177</v>
      </c>
    </row>
    <row r="12" spans="2:11" ht="30">
      <c r="B12" s="36"/>
      <c r="C12" s="36"/>
      <c r="D12" s="19" t="s">
        <v>1520</v>
      </c>
      <c r="E12" s="20" t="s">
        <v>1521</v>
      </c>
      <c r="F12" s="37">
        <v>30000000</v>
      </c>
      <c r="G12" s="37"/>
      <c r="H12" s="37">
        <v>-5000000</v>
      </c>
      <c r="I12" s="37"/>
      <c r="J12" s="23">
        <v>25000000</v>
      </c>
      <c r="K12" s="17" t="s">
        <v>2080</v>
      </c>
    </row>
    <row r="13" spans="2:11" ht="60">
      <c r="B13" s="38"/>
      <c r="C13" s="26"/>
      <c r="D13" s="39">
        <v>3110599</v>
      </c>
      <c r="E13" s="40" t="s">
        <v>1526</v>
      </c>
      <c r="F13" s="37">
        <v>12000000</v>
      </c>
      <c r="G13" s="41"/>
      <c r="H13" s="41">
        <v>-7000000</v>
      </c>
      <c r="I13" s="37">
        <v>-155250</v>
      </c>
      <c r="J13" s="23">
        <v>4844750</v>
      </c>
      <c r="K13" s="17" t="s">
        <v>2080</v>
      </c>
    </row>
    <row r="14" spans="2:11">
      <c r="B14" s="42"/>
      <c r="C14" s="42"/>
      <c r="D14" s="13" t="s">
        <v>1251</v>
      </c>
      <c r="E14" s="43"/>
      <c r="F14" s="44"/>
      <c r="G14" s="45"/>
      <c r="H14" s="45"/>
      <c r="I14" s="45"/>
      <c r="J14" s="15"/>
      <c r="K14" s="17" t="s">
        <v>1251</v>
      </c>
    </row>
    <row r="15" spans="2:11" ht="30">
      <c r="B15" s="46"/>
      <c r="C15" s="46"/>
      <c r="D15" s="47"/>
      <c r="E15" s="48" t="s">
        <v>1319</v>
      </c>
      <c r="F15" s="49">
        <v>5000000</v>
      </c>
      <c r="G15" s="50"/>
      <c r="H15" s="50">
        <v>-5000000</v>
      </c>
      <c r="I15" s="50"/>
      <c r="J15" s="23">
        <v>0</v>
      </c>
      <c r="K15" s="17" t="s">
        <v>2080</v>
      </c>
    </row>
    <row r="16" spans="2:11" ht="45">
      <c r="B16" s="46"/>
      <c r="C16" s="46"/>
      <c r="D16" s="47">
        <v>3110504</v>
      </c>
      <c r="E16" s="51" t="s">
        <v>2074</v>
      </c>
      <c r="F16" s="49">
        <v>120000000</v>
      </c>
      <c r="G16" s="49"/>
      <c r="H16" s="52">
        <v>-40000000</v>
      </c>
      <c r="I16" s="52"/>
      <c r="J16" s="23">
        <v>80000000</v>
      </c>
      <c r="K16" s="17" t="s">
        <v>2080</v>
      </c>
    </row>
    <row r="17" spans="2:11">
      <c r="B17" s="46"/>
      <c r="C17" s="46"/>
      <c r="D17" s="47">
        <v>3110505</v>
      </c>
      <c r="E17" s="51" t="s">
        <v>1322</v>
      </c>
      <c r="F17" s="49">
        <v>50151840</v>
      </c>
      <c r="G17" s="52"/>
      <c r="H17" s="52">
        <v>-10151840</v>
      </c>
      <c r="I17" s="52"/>
      <c r="J17" s="23">
        <v>40000000</v>
      </c>
      <c r="K17" s="17" t="s">
        <v>2077</v>
      </c>
    </row>
    <row r="18" spans="2:11">
      <c r="B18" s="53"/>
      <c r="C18" s="53"/>
      <c r="D18" s="13" t="s">
        <v>1252</v>
      </c>
      <c r="E18" s="14"/>
      <c r="F18" s="54"/>
      <c r="G18" s="16"/>
      <c r="H18" s="16"/>
      <c r="I18" s="16"/>
      <c r="J18" s="15"/>
      <c r="K18" s="17" t="s">
        <v>1252</v>
      </c>
    </row>
    <row r="19" spans="2:11" ht="30">
      <c r="B19" s="55"/>
      <c r="C19" s="55"/>
      <c r="D19" s="19">
        <v>2640101</v>
      </c>
      <c r="E19" s="20" t="s">
        <v>1818</v>
      </c>
      <c r="F19" s="21">
        <v>86400000</v>
      </c>
      <c r="G19" s="22"/>
      <c r="H19" s="22">
        <v>-14400000</v>
      </c>
      <c r="I19" s="22"/>
      <c r="J19" s="23">
        <v>72000000</v>
      </c>
      <c r="K19" s="56" t="s">
        <v>2077</v>
      </c>
    </row>
    <row r="20" spans="2:11" ht="30">
      <c r="B20" s="55"/>
      <c r="C20" s="55"/>
      <c r="D20" s="19">
        <v>2640101</v>
      </c>
      <c r="E20" s="20" t="s">
        <v>1817</v>
      </c>
      <c r="F20" s="21">
        <v>3600000</v>
      </c>
      <c r="G20" s="22"/>
      <c r="H20" s="22">
        <v>-600000</v>
      </c>
      <c r="I20" s="22"/>
      <c r="J20" s="23">
        <v>3000000</v>
      </c>
      <c r="K20" s="56" t="s">
        <v>2077</v>
      </c>
    </row>
    <row r="21" spans="2:11" ht="45">
      <c r="B21" s="55"/>
      <c r="C21" s="55"/>
      <c r="D21" s="19">
        <v>2640101</v>
      </c>
      <c r="E21" s="20" t="s">
        <v>1819</v>
      </c>
      <c r="F21" s="21">
        <v>30000000</v>
      </c>
      <c r="G21" s="22"/>
      <c r="H21" s="22">
        <v>-5000000</v>
      </c>
      <c r="I21" s="22"/>
      <c r="J21" s="23">
        <v>25000000</v>
      </c>
      <c r="K21" s="56" t="s">
        <v>2077</v>
      </c>
    </row>
    <row r="22" spans="2:11" ht="30">
      <c r="B22" s="55"/>
      <c r="C22" s="55"/>
      <c r="D22" s="57">
        <v>3110504</v>
      </c>
      <c r="E22" s="58" t="s">
        <v>346</v>
      </c>
      <c r="F22" s="30">
        <v>19601207.120000001</v>
      </c>
      <c r="G22" s="22"/>
      <c r="H22" s="30">
        <v>-4601207</v>
      </c>
      <c r="I22" s="22"/>
      <c r="J22" s="23">
        <v>15000000.120000001</v>
      </c>
      <c r="K22" s="56" t="s">
        <v>2077</v>
      </c>
    </row>
    <row r="23" spans="2:11" ht="30">
      <c r="B23" s="55"/>
      <c r="C23" s="55"/>
      <c r="D23" s="57">
        <v>3110504</v>
      </c>
      <c r="E23" s="58" t="s">
        <v>2032</v>
      </c>
      <c r="F23" s="30">
        <v>10000000</v>
      </c>
      <c r="G23" s="22"/>
      <c r="H23" s="30">
        <v>-10000000</v>
      </c>
      <c r="I23" s="22"/>
      <c r="J23" s="23">
        <v>0</v>
      </c>
      <c r="K23" s="56" t="s">
        <v>2077</v>
      </c>
    </row>
    <row r="24" spans="2:11">
      <c r="B24" s="59"/>
      <c r="C24" s="53"/>
      <c r="D24" s="13" t="s">
        <v>1253</v>
      </c>
      <c r="E24" s="34"/>
      <c r="F24" s="60"/>
      <c r="G24" s="16"/>
      <c r="H24" s="16"/>
      <c r="I24" s="16"/>
      <c r="J24" s="15"/>
      <c r="K24" s="17" t="s">
        <v>1253</v>
      </c>
    </row>
    <row r="25" spans="2:11" ht="45">
      <c r="B25" s="61"/>
      <c r="C25" s="55"/>
      <c r="D25" s="62">
        <v>3110499</v>
      </c>
      <c r="E25" s="63" t="s">
        <v>1499</v>
      </c>
      <c r="F25" s="64">
        <v>40000000</v>
      </c>
      <c r="G25" s="65"/>
      <c r="H25" s="64">
        <v>-10000000</v>
      </c>
      <c r="I25" s="65"/>
      <c r="J25" s="23">
        <v>30000000</v>
      </c>
      <c r="K25" s="17" t="s">
        <v>2077</v>
      </c>
    </row>
    <row r="26" spans="2:11" ht="60">
      <c r="B26" s="61"/>
      <c r="C26" s="55"/>
      <c r="D26" s="62">
        <v>3110599</v>
      </c>
      <c r="E26" s="63" t="s">
        <v>1754</v>
      </c>
      <c r="F26" s="64">
        <v>6750000</v>
      </c>
      <c r="G26" s="66"/>
      <c r="H26" s="64" t="s">
        <v>2083</v>
      </c>
      <c r="I26" s="66"/>
      <c r="J26" s="23">
        <v>3375000</v>
      </c>
      <c r="K26" s="17" t="s">
        <v>2077</v>
      </c>
    </row>
    <row r="27" spans="2:11">
      <c r="B27" s="67"/>
      <c r="C27" s="67"/>
      <c r="D27" s="68" t="s">
        <v>392</v>
      </c>
      <c r="E27" s="69"/>
      <c r="F27" s="54"/>
      <c r="G27" s="70"/>
      <c r="H27" s="70"/>
      <c r="I27" s="70"/>
      <c r="J27" s="15"/>
      <c r="K27" s="17" t="s">
        <v>392</v>
      </c>
    </row>
    <row r="28" spans="2:11" ht="90">
      <c r="B28" s="71"/>
      <c r="C28" s="71"/>
      <c r="D28" s="39">
        <v>2110101</v>
      </c>
      <c r="E28" s="72" t="s">
        <v>2106</v>
      </c>
      <c r="F28" s="21">
        <v>891170557</v>
      </c>
      <c r="G28" s="41"/>
      <c r="H28" s="41">
        <v>68877343</v>
      </c>
      <c r="I28" s="41"/>
      <c r="J28" s="23">
        <v>960047900</v>
      </c>
      <c r="K28" s="17" t="s">
        <v>2080</v>
      </c>
    </row>
    <row r="29" spans="2:11" ht="45">
      <c r="B29" s="71"/>
      <c r="C29" s="71"/>
      <c r="D29" s="39">
        <v>2110202</v>
      </c>
      <c r="E29" s="73" t="s">
        <v>2105</v>
      </c>
      <c r="F29" s="21">
        <v>12656000</v>
      </c>
      <c r="G29" s="41"/>
      <c r="H29" s="41">
        <v>25200000</v>
      </c>
      <c r="I29" s="41"/>
      <c r="J29" s="23">
        <v>37856000</v>
      </c>
      <c r="K29" s="17" t="s">
        <v>2077</v>
      </c>
    </row>
    <row r="30" spans="2:11" ht="45">
      <c r="B30" s="71"/>
      <c r="C30" s="71"/>
      <c r="D30" s="39">
        <v>3111401</v>
      </c>
      <c r="E30" s="73" t="s">
        <v>2084</v>
      </c>
      <c r="F30" s="21"/>
      <c r="G30" s="41"/>
      <c r="H30" s="41">
        <v>615096</v>
      </c>
      <c r="I30" s="41">
        <v>1080456</v>
      </c>
      <c r="J30" s="23">
        <v>1695552</v>
      </c>
      <c r="K30" s="17" t="s">
        <v>2077</v>
      </c>
    </row>
    <row r="31" spans="2:11" ht="30">
      <c r="B31" s="71"/>
      <c r="C31" s="71"/>
      <c r="D31" s="39">
        <v>3110202</v>
      </c>
      <c r="E31" s="74" t="s">
        <v>2101</v>
      </c>
      <c r="F31" s="30">
        <v>16000000</v>
      </c>
      <c r="G31" s="30">
        <v>4568966</v>
      </c>
      <c r="H31" s="30">
        <v>10150000</v>
      </c>
      <c r="I31" s="21">
        <v>-6000000</v>
      </c>
      <c r="J31" s="23">
        <v>24718966</v>
      </c>
      <c r="K31" s="75" t="s">
        <v>2077</v>
      </c>
    </row>
    <row r="32" spans="2:11" ht="30">
      <c r="B32" s="71"/>
      <c r="C32" s="71"/>
      <c r="D32" s="39">
        <v>3110202</v>
      </c>
      <c r="E32" s="76" t="s">
        <v>2102</v>
      </c>
      <c r="F32" s="30">
        <v>9000000</v>
      </c>
      <c r="G32" s="30">
        <v>7768</v>
      </c>
      <c r="H32" s="30">
        <v>21850000</v>
      </c>
      <c r="I32" s="21">
        <v>-1000000</v>
      </c>
      <c r="J32" s="23">
        <v>29857768</v>
      </c>
      <c r="K32" s="75" t="s">
        <v>2077</v>
      </c>
    </row>
    <row r="33" spans="2:11" ht="165">
      <c r="B33" s="71"/>
      <c r="C33" s="71"/>
      <c r="D33" s="39">
        <v>3110202</v>
      </c>
      <c r="E33" s="76" t="s">
        <v>2086</v>
      </c>
      <c r="F33" s="64"/>
      <c r="G33" s="41"/>
      <c r="H33" s="64">
        <v>63022929.586235002</v>
      </c>
      <c r="I33" s="41"/>
      <c r="J33" s="23">
        <v>63022929.586235002</v>
      </c>
      <c r="K33" s="75" t="s">
        <v>2077</v>
      </c>
    </row>
    <row r="34" spans="2:11" ht="225">
      <c r="B34" s="71"/>
      <c r="C34" s="71"/>
      <c r="D34" s="39">
        <v>3110202</v>
      </c>
      <c r="E34" s="76" t="s">
        <v>2087</v>
      </c>
      <c r="F34" s="64"/>
      <c r="G34" s="41"/>
      <c r="H34" s="64">
        <v>42500000</v>
      </c>
      <c r="I34" s="41"/>
      <c r="J34" s="23">
        <v>42500000</v>
      </c>
      <c r="K34" s="75" t="s">
        <v>2077</v>
      </c>
    </row>
    <row r="35" spans="2:11">
      <c r="B35" s="77"/>
      <c r="C35" s="77"/>
      <c r="D35" s="39">
        <v>2211001</v>
      </c>
      <c r="E35" s="73" t="s">
        <v>471</v>
      </c>
      <c r="F35" s="64">
        <v>224606061</v>
      </c>
      <c r="G35" s="41"/>
      <c r="H35" s="41">
        <v>70000000</v>
      </c>
      <c r="I35" s="41"/>
      <c r="J35" s="23">
        <v>294606061</v>
      </c>
      <c r="K35" s="17" t="s">
        <v>2080</v>
      </c>
    </row>
    <row r="36" spans="2:11" ht="30">
      <c r="B36" s="77"/>
      <c r="C36" s="77"/>
      <c r="D36" s="39">
        <v>2211002</v>
      </c>
      <c r="E36" s="73" t="s">
        <v>472</v>
      </c>
      <c r="F36" s="64">
        <v>115393939</v>
      </c>
      <c r="G36" s="41"/>
      <c r="H36" s="41">
        <v>35000000</v>
      </c>
      <c r="I36" s="41"/>
      <c r="J36" s="23">
        <v>150393939</v>
      </c>
      <c r="K36" s="17" t="s">
        <v>2080</v>
      </c>
    </row>
    <row r="37" spans="2:11" ht="45">
      <c r="B37" s="77"/>
      <c r="C37" s="77"/>
      <c r="D37" s="39">
        <v>2211001</v>
      </c>
      <c r="E37" s="73" t="s">
        <v>2092</v>
      </c>
      <c r="F37" s="64"/>
      <c r="G37" s="41"/>
      <c r="H37" s="41">
        <v>10664566</v>
      </c>
      <c r="I37" s="41"/>
      <c r="J37" s="23">
        <v>10664566</v>
      </c>
      <c r="K37" s="17" t="s">
        <v>2077</v>
      </c>
    </row>
    <row r="38" spans="2:11">
      <c r="B38" s="42"/>
      <c r="C38" s="42"/>
      <c r="D38" s="13" t="s">
        <v>1254</v>
      </c>
      <c r="E38" s="34"/>
      <c r="F38" s="78"/>
      <c r="G38" s="79"/>
      <c r="H38" s="79"/>
      <c r="I38" s="79"/>
      <c r="J38" s="15"/>
      <c r="K38" s="17" t="s">
        <v>1254</v>
      </c>
    </row>
    <row r="39" spans="2:11" ht="30">
      <c r="B39" s="46"/>
      <c r="C39" s="46"/>
      <c r="D39" s="80">
        <v>3110202</v>
      </c>
      <c r="E39" s="74" t="s">
        <v>1423</v>
      </c>
      <c r="F39" s="81">
        <v>25000000</v>
      </c>
      <c r="G39" s="31"/>
      <c r="H39" s="31">
        <v>-4000000</v>
      </c>
      <c r="I39" s="82">
        <v>-7000000</v>
      </c>
      <c r="J39" s="23">
        <v>14000000</v>
      </c>
      <c r="K39" s="24" t="s">
        <v>2077</v>
      </c>
    </row>
    <row r="40" spans="2:11" ht="45">
      <c r="B40" s="46"/>
      <c r="C40" s="46"/>
      <c r="D40" s="80">
        <v>3111499</v>
      </c>
      <c r="E40" s="74" t="s">
        <v>1433</v>
      </c>
      <c r="F40" s="81">
        <v>20000000</v>
      </c>
      <c r="G40" s="31"/>
      <c r="H40" s="31">
        <v>-5000000</v>
      </c>
      <c r="I40" s="82">
        <v>-3000000</v>
      </c>
      <c r="J40" s="23">
        <v>12000000</v>
      </c>
      <c r="K40" s="24" t="s">
        <v>2077</v>
      </c>
    </row>
    <row r="41" spans="2:11" ht="30">
      <c r="B41" s="46"/>
      <c r="C41" s="46"/>
      <c r="D41" s="80">
        <v>2210704</v>
      </c>
      <c r="E41" s="74" t="s">
        <v>1435</v>
      </c>
      <c r="F41" s="81">
        <v>3000000</v>
      </c>
      <c r="G41" s="31"/>
      <c r="H41" s="31">
        <v>-1000000</v>
      </c>
      <c r="I41" s="31"/>
      <c r="J41" s="23">
        <v>2000000</v>
      </c>
      <c r="K41" s="83" t="s">
        <v>2077</v>
      </c>
    </row>
    <row r="42" spans="2:11">
      <c r="B42" s="33"/>
      <c r="C42" s="33"/>
      <c r="D42" s="13" t="s">
        <v>1255</v>
      </c>
      <c r="E42" s="34"/>
      <c r="F42" s="35"/>
      <c r="G42" s="16"/>
      <c r="H42" s="16"/>
      <c r="I42" s="16"/>
      <c r="J42" s="15"/>
      <c r="K42" s="17" t="s">
        <v>1255</v>
      </c>
    </row>
    <row r="43" spans="2:11" ht="45">
      <c r="B43" s="84"/>
      <c r="C43" s="85"/>
      <c r="D43" s="80">
        <v>3110504</v>
      </c>
      <c r="E43" s="86" t="s">
        <v>1460</v>
      </c>
      <c r="F43" s="87">
        <v>31000000</v>
      </c>
      <c r="G43" s="31"/>
      <c r="H43" s="82">
        <v>-5433992</v>
      </c>
      <c r="I43" s="31"/>
      <c r="J43" s="23">
        <v>25566008</v>
      </c>
      <c r="K43" s="88" t="s">
        <v>2077</v>
      </c>
    </row>
    <row r="44" spans="2:11" ht="45">
      <c r="B44" s="89"/>
      <c r="C44" s="90"/>
      <c r="D44" s="91">
        <v>3110299</v>
      </c>
      <c r="E44" s="74" t="s">
        <v>1846</v>
      </c>
      <c r="F44" s="87">
        <v>6566008</v>
      </c>
      <c r="G44" s="31"/>
      <c r="H44" s="31">
        <v>-6566008</v>
      </c>
      <c r="I44" s="31"/>
      <c r="J44" s="23">
        <v>0</v>
      </c>
      <c r="K44" s="17" t="s">
        <v>2077</v>
      </c>
    </row>
    <row r="45" spans="2:11">
      <c r="B45" s="12"/>
      <c r="C45" s="12"/>
      <c r="D45" s="13" t="s">
        <v>1256</v>
      </c>
      <c r="E45" s="34"/>
      <c r="F45" s="35"/>
      <c r="G45" s="16"/>
      <c r="H45" s="16"/>
      <c r="I45" s="16"/>
      <c r="J45" s="15"/>
      <c r="K45" s="17" t="s">
        <v>1256</v>
      </c>
    </row>
    <row r="46" spans="2:11" ht="60">
      <c r="B46" s="92"/>
      <c r="C46" s="92"/>
      <c r="D46" s="61">
        <v>2211031</v>
      </c>
      <c r="E46" s="74" t="s">
        <v>591</v>
      </c>
      <c r="F46" s="64">
        <v>6729000</v>
      </c>
      <c r="G46" s="93">
        <v>0</v>
      </c>
      <c r="H46" s="93">
        <v>-5000000</v>
      </c>
      <c r="I46" s="93"/>
      <c r="J46" s="23">
        <v>1729000</v>
      </c>
      <c r="K46" s="17" t="s">
        <v>2077</v>
      </c>
    </row>
    <row r="47" spans="2:11" ht="75">
      <c r="B47" s="92"/>
      <c r="C47" s="92"/>
      <c r="D47" s="61">
        <v>3110504</v>
      </c>
      <c r="E47" s="74" t="s">
        <v>1482</v>
      </c>
      <c r="F47" s="64">
        <v>40000000</v>
      </c>
      <c r="G47" s="82">
        <v>12941041.476212207</v>
      </c>
      <c r="H47" s="82">
        <v>-20000000</v>
      </c>
      <c r="I47" s="82">
        <v>-15000000</v>
      </c>
      <c r="J47" s="23">
        <v>17941041.476212204</v>
      </c>
      <c r="K47" s="17" t="s">
        <v>2077</v>
      </c>
    </row>
    <row r="48" spans="2:11" ht="30">
      <c r="B48" s="92"/>
      <c r="C48" s="92"/>
      <c r="D48" s="61">
        <v>2211029</v>
      </c>
      <c r="E48" s="74" t="s">
        <v>1494</v>
      </c>
      <c r="F48" s="64">
        <v>10212600</v>
      </c>
      <c r="G48" s="93">
        <v>2399900</v>
      </c>
      <c r="H48" s="22">
        <v>-7679600</v>
      </c>
      <c r="I48" s="22"/>
      <c r="J48" s="23">
        <v>4932900</v>
      </c>
      <c r="K48" s="17" t="s">
        <v>2077</v>
      </c>
    </row>
    <row r="49" spans="2:11">
      <c r="B49" s="42"/>
      <c r="C49" s="42"/>
      <c r="D49" s="13" t="s">
        <v>1257</v>
      </c>
      <c r="E49" s="34"/>
      <c r="F49" s="35"/>
      <c r="G49" s="16"/>
      <c r="H49" s="16"/>
      <c r="I49" s="16"/>
      <c r="J49" s="15"/>
      <c r="K49" s="17" t="s">
        <v>1257</v>
      </c>
    </row>
    <row r="50" spans="2:11" ht="30">
      <c r="B50" s="46"/>
      <c r="C50" s="46"/>
      <c r="D50" s="80">
        <v>2210299</v>
      </c>
      <c r="E50" s="74" t="s">
        <v>2076</v>
      </c>
      <c r="F50" s="30"/>
      <c r="G50" s="30"/>
      <c r="H50" s="82">
        <v>36200000</v>
      </c>
      <c r="I50" s="31"/>
      <c r="J50" s="23">
        <v>36200000</v>
      </c>
      <c r="K50" s="17" t="s">
        <v>2077</v>
      </c>
    </row>
    <row r="51" spans="2:11">
      <c r="B51" s="42"/>
      <c r="C51" s="42"/>
      <c r="D51" s="13" t="s">
        <v>660</v>
      </c>
      <c r="E51" s="34"/>
      <c r="F51" s="35"/>
      <c r="G51" s="16"/>
      <c r="H51" s="16"/>
      <c r="I51" s="16"/>
      <c r="J51" s="15"/>
      <c r="K51" s="17" t="s">
        <v>660</v>
      </c>
    </row>
    <row r="52" spans="2:11">
      <c r="B52" s="42"/>
      <c r="C52" s="42"/>
      <c r="D52" s="13" t="s">
        <v>676</v>
      </c>
      <c r="E52" s="94"/>
      <c r="F52" s="95"/>
      <c r="G52" s="16"/>
      <c r="H52" s="16"/>
      <c r="I52" s="16"/>
      <c r="J52" s="15"/>
      <c r="K52" s="17" t="s">
        <v>676</v>
      </c>
    </row>
    <row r="53" spans="2:11">
      <c r="B53" s="42"/>
      <c r="C53" s="42"/>
      <c r="D53" s="33" t="s">
        <v>678</v>
      </c>
      <c r="E53" s="34"/>
      <c r="F53" s="96"/>
      <c r="G53" s="16"/>
      <c r="H53" s="16"/>
      <c r="I53" s="16"/>
      <c r="J53" s="15"/>
      <c r="K53" s="17" t="s">
        <v>678</v>
      </c>
    </row>
    <row r="54" spans="2:11" ht="60">
      <c r="B54" s="25"/>
      <c r="C54" s="25"/>
      <c r="D54" s="61">
        <v>3110504</v>
      </c>
      <c r="E54" s="74" t="s">
        <v>1355</v>
      </c>
      <c r="F54" s="30">
        <v>20100000</v>
      </c>
      <c r="G54" s="22"/>
      <c r="H54" s="82">
        <v>-5000000</v>
      </c>
      <c r="I54" s="22"/>
      <c r="J54" s="23">
        <v>15100000</v>
      </c>
      <c r="K54" s="17" t="s">
        <v>2077</v>
      </c>
    </row>
    <row r="55" spans="2:11">
      <c r="B55" s="97"/>
      <c r="C55" s="97"/>
      <c r="D55" s="13" t="s">
        <v>715</v>
      </c>
      <c r="E55" s="34"/>
      <c r="F55" s="98"/>
      <c r="G55" s="16"/>
      <c r="H55" s="16"/>
      <c r="I55" s="16"/>
      <c r="J55" s="15"/>
      <c r="K55" s="17" t="s">
        <v>715</v>
      </c>
    </row>
    <row r="56" spans="2:11">
      <c r="B56" s="89"/>
      <c r="C56" s="89"/>
      <c r="D56" s="61">
        <v>3111401</v>
      </c>
      <c r="E56" s="74" t="s">
        <v>2079</v>
      </c>
      <c r="F56" s="21"/>
      <c r="G56" s="22"/>
      <c r="H56" s="22">
        <v>4720341</v>
      </c>
      <c r="I56" s="22"/>
      <c r="J56" s="23">
        <v>4720341</v>
      </c>
      <c r="K56" s="17" t="s">
        <v>2080</v>
      </c>
    </row>
    <row r="57" spans="2:11">
      <c r="B57" s="42"/>
      <c r="C57" s="42"/>
      <c r="D57" s="13" t="s">
        <v>1258</v>
      </c>
      <c r="E57" s="34"/>
      <c r="F57" s="95"/>
      <c r="G57" s="16"/>
      <c r="H57" s="16"/>
      <c r="I57" s="16"/>
      <c r="J57" s="15"/>
      <c r="K57" s="17" t="s">
        <v>1258</v>
      </c>
    </row>
    <row r="58" spans="2:11" ht="30">
      <c r="B58" s="46"/>
      <c r="C58" s="46"/>
      <c r="D58" s="39">
        <v>3111499</v>
      </c>
      <c r="E58" s="99" t="s">
        <v>1327</v>
      </c>
      <c r="F58" s="100">
        <v>5102000</v>
      </c>
      <c r="G58" s="101"/>
      <c r="H58" s="100">
        <v>-5000000</v>
      </c>
      <c r="I58" s="101"/>
      <c r="J58" s="23">
        <v>102000</v>
      </c>
      <c r="K58" s="17" t="s">
        <v>2077</v>
      </c>
    </row>
    <row r="59" spans="2:11" ht="30">
      <c r="B59" s="46"/>
      <c r="C59" s="46"/>
      <c r="D59" s="61">
        <v>3110504</v>
      </c>
      <c r="E59" s="74" t="s">
        <v>1339</v>
      </c>
      <c r="F59" s="100">
        <v>5412055</v>
      </c>
      <c r="G59" s="100">
        <v>2700000</v>
      </c>
      <c r="H59" s="22">
        <v>-5412055</v>
      </c>
      <c r="I59" s="22">
        <v>4500000</v>
      </c>
      <c r="J59" s="23">
        <v>7200000</v>
      </c>
      <c r="K59" s="102" t="s">
        <v>2077</v>
      </c>
    </row>
    <row r="60" spans="2:11" ht="45">
      <c r="B60" s="46"/>
      <c r="C60" s="46"/>
      <c r="D60" s="61">
        <v>3111499</v>
      </c>
      <c r="E60" s="99" t="s">
        <v>1775</v>
      </c>
      <c r="F60" s="100">
        <v>2525678</v>
      </c>
      <c r="G60" s="101"/>
      <c r="H60" s="100">
        <v>-2000000</v>
      </c>
      <c r="I60" s="101"/>
      <c r="J60" s="23">
        <v>525678</v>
      </c>
      <c r="K60" s="17" t="s">
        <v>2077</v>
      </c>
    </row>
    <row r="61" spans="2:11" ht="45">
      <c r="B61" s="46"/>
      <c r="C61" s="46"/>
      <c r="D61" s="61">
        <v>3111499</v>
      </c>
      <c r="E61" s="99" t="s">
        <v>1347</v>
      </c>
      <c r="F61" s="100">
        <v>7200000</v>
      </c>
      <c r="G61" s="101"/>
      <c r="H61" s="100">
        <v>-4200000</v>
      </c>
      <c r="I61" s="101"/>
      <c r="J61" s="23">
        <v>3000000</v>
      </c>
      <c r="K61" s="17" t="s">
        <v>2077</v>
      </c>
    </row>
    <row r="62" spans="2:11">
      <c r="B62" s="42"/>
      <c r="C62" s="42"/>
      <c r="D62" s="13" t="s">
        <v>1259</v>
      </c>
      <c r="E62" s="103"/>
      <c r="F62" s="104"/>
      <c r="G62" s="16"/>
      <c r="H62" s="16"/>
      <c r="I62" s="16"/>
      <c r="J62" s="15"/>
      <c r="K62" s="17" t="s">
        <v>1259</v>
      </c>
    </row>
    <row r="63" spans="2:11" ht="30">
      <c r="B63" s="46"/>
      <c r="C63" s="46"/>
      <c r="D63" s="105">
        <v>3111112</v>
      </c>
      <c r="E63" s="106" t="s">
        <v>2078</v>
      </c>
      <c r="F63" s="107"/>
      <c r="G63" s="107"/>
      <c r="H63" s="107">
        <v>15000000</v>
      </c>
      <c r="I63" s="107"/>
      <c r="J63" s="23">
        <v>15000000</v>
      </c>
      <c r="K63" s="108" t="s">
        <v>2077</v>
      </c>
    </row>
    <row r="64" spans="2:11">
      <c r="B64" s="46"/>
      <c r="C64" s="46"/>
      <c r="D64" s="105">
        <v>3110506</v>
      </c>
      <c r="E64" s="74" t="s">
        <v>1407</v>
      </c>
      <c r="F64" s="30">
        <v>110000000</v>
      </c>
      <c r="G64" s="31"/>
      <c r="H64" s="31">
        <v>-45000000</v>
      </c>
      <c r="I64" s="31"/>
      <c r="J64" s="23">
        <v>65000000</v>
      </c>
      <c r="K64" s="17" t="s">
        <v>2077</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pageSetUpPr fitToPage="1"/>
  </sheetPr>
  <dimension ref="A1:G145"/>
  <sheetViews>
    <sheetView zoomScale="70" workbookViewId="0">
      <selection activeCell="C107" sqref="C107"/>
    </sheetView>
  </sheetViews>
  <sheetFormatPr defaultColWidth="8.5546875" defaultRowHeight="21"/>
  <cols>
    <col min="1" max="1" width="20" style="1470" customWidth="1"/>
    <col min="2" max="2" width="69.44140625" style="1471" customWidth="1"/>
    <col min="3" max="3" width="24.44140625" style="1471" customWidth="1"/>
    <col min="4" max="4" width="24.5546875" style="1471" customWidth="1"/>
    <col min="5" max="5" width="23.109375" style="1471" bestFit="1" customWidth="1"/>
    <col min="6" max="6" width="8.5546875" style="1471"/>
    <col min="7" max="7" width="11.5546875" style="1471" customWidth="1"/>
    <col min="8" max="16384" width="8.5546875" style="1471"/>
  </cols>
  <sheetData>
    <row r="1" spans="1:5">
      <c r="A1" s="2274" t="s">
        <v>2608</v>
      </c>
      <c r="B1" s="2274"/>
      <c r="C1" s="2274"/>
      <c r="D1" s="2274"/>
      <c r="E1" s="2274"/>
    </row>
    <row r="2" spans="1:5">
      <c r="A2" s="2275" t="s">
        <v>1127</v>
      </c>
      <c r="B2" s="2275"/>
      <c r="C2" s="2275"/>
      <c r="D2" s="2275"/>
      <c r="E2" s="2275"/>
    </row>
    <row r="3" spans="1:5">
      <c r="A3" s="2275" t="s">
        <v>2484</v>
      </c>
      <c r="B3" s="2275"/>
      <c r="C3" s="2275"/>
      <c r="D3" s="2275"/>
      <c r="E3" s="2275"/>
    </row>
    <row r="4" spans="1:5" s="1472" customFormat="1" ht="34.799999999999997">
      <c r="A4" s="2276" t="s">
        <v>1128</v>
      </c>
      <c r="B4" s="2276" t="s">
        <v>1129</v>
      </c>
      <c r="C4" s="1473" t="s">
        <v>1130</v>
      </c>
      <c r="D4" s="1473" t="s">
        <v>1131</v>
      </c>
      <c r="E4" s="1473" t="s">
        <v>929</v>
      </c>
    </row>
    <row r="5" spans="1:5">
      <c r="A5" s="2276"/>
      <c r="B5" s="2276"/>
      <c r="C5" s="1473" t="s">
        <v>1132</v>
      </c>
      <c r="D5" s="1473" t="s">
        <v>1132</v>
      </c>
      <c r="E5" s="1473" t="s">
        <v>1132</v>
      </c>
    </row>
    <row r="6" spans="1:5">
      <c r="A6" s="2273" t="s">
        <v>1133</v>
      </c>
      <c r="B6" s="1474" t="s">
        <v>510</v>
      </c>
      <c r="C6" s="1475">
        <f>SUM(C7:C23)</f>
        <v>1369068206.2299302</v>
      </c>
      <c r="D6" s="1475">
        <f>SUM(D7:D23)</f>
        <v>1088098782.1231112</v>
      </c>
      <c r="E6" s="1475">
        <f>C6+D6</f>
        <v>2457166988.3530416</v>
      </c>
    </row>
    <row r="7" spans="1:5" ht="36">
      <c r="A7" s="2273"/>
      <c r="B7" s="1476" t="s">
        <v>863</v>
      </c>
      <c r="C7" s="1477">
        <f>Tables!C69</f>
        <v>931391188</v>
      </c>
      <c r="D7" s="1477">
        <f>Tables!C74</f>
        <v>955573467.5</v>
      </c>
      <c r="E7" s="1477">
        <f>C7+D7</f>
        <v>1886964655.5</v>
      </c>
    </row>
    <row r="8" spans="1:5">
      <c r="A8" s="2273"/>
      <c r="B8" s="1476" t="s">
        <v>93</v>
      </c>
      <c r="C8" s="1477">
        <f>Tables!C83</f>
        <v>13667516</v>
      </c>
      <c r="D8" s="1477">
        <f>Tables!C87</f>
        <v>0</v>
      </c>
      <c r="E8" s="1477">
        <f t="shared" ref="E8:E23" si="0">C8+D8</f>
        <v>13667516</v>
      </c>
    </row>
    <row r="9" spans="1:5">
      <c r="A9" s="2273"/>
      <c r="B9" s="1478" t="s">
        <v>1676</v>
      </c>
      <c r="C9" s="1477">
        <f>Tables!C97</f>
        <v>16566710</v>
      </c>
      <c r="D9" s="1477">
        <f>Tables!C101</f>
        <v>0</v>
      </c>
      <c r="E9" s="1477">
        <f t="shared" si="0"/>
        <v>16566710</v>
      </c>
    </row>
    <row r="10" spans="1:5">
      <c r="A10" s="2273"/>
      <c r="B10" s="1391" t="s">
        <v>1677</v>
      </c>
      <c r="C10" s="1477">
        <f>Tables!C111</f>
        <v>9050000</v>
      </c>
      <c r="D10" s="1477">
        <f>Tables!C115</f>
        <v>0</v>
      </c>
      <c r="E10" s="1477">
        <f t="shared" si="0"/>
        <v>9050000</v>
      </c>
    </row>
    <row r="11" spans="1:5">
      <c r="A11" s="2273"/>
      <c r="B11" s="1478" t="s">
        <v>1678</v>
      </c>
      <c r="C11" s="1477">
        <f>Tables!C124</f>
        <v>10119545</v>
      </c>
      <c r="D11" s="1477">
        <f>Tables!C128</f>
        <v>0</v>
      </c>
      <c r="E11" s="1477">
        <f t="shared" si="0"/>
        <v>10119545</v>
      </c>
    </row>
    <row r="12" spans="1:5">
      <c r="A12" s="2273"/>
      <c r="B12" s="1478" t="s">
        <v>1679</v>
      </c>
      <c r="C12" s="1477">
        <f>Tables!C137</f>
        <v>7250000</v>
      </c>
      <c r="D12" s="1477">
        <f>Tables!C141</f>
        <v>0</v>
      </c>
      <c r="E12" s="1477">
        <f t="shared" si="0"/>
        <v>7250000</v>
      </c>
    </row>
    <row r="13" spans="1:5" ht="36">
      <c r="A13" s="2273"/>
      <c r="B13" s="1391" t="s">
        <v>1673</v>
      </c>
      <c r="C13" s="1477">
        <f>Tables!C151</f>
        <v>22725500</v>
      </c>
      <c r="D13" s="1477">
        <f>Tables!C155</f>
        <v>0</v>
      </c>
      <c r="E13" s="1477">
        <f t="shared" si="0"/>
        <v>22725500</v>
      </c>
    </row>
    <row r="14" spans="1:5">
      <c r="A14" s="2273"/>
      <c r="B14" s="1476" t="s">
        <v>1134</v>
      </c>
      <c r="C14" s="1477">
        <f>Tables!C179</f>
        <v>7216429.674643755</v>
      </c>
      <c r="D14" s="1477">
        <f>Tables!C183</f>
        <v>0</v>
      </c>
      <c r="E14" s="1477">
        <f t="shared" si="0"/>
        <v>7216429.674643755</v>
      </c>
    </row>
    <row r="15" spans="1:5">
      <c r="A15" s="2273"/>
      <c r="B15" s="1391" t="s">
        <v>109</v>
      </c>
      <c r="C15" s="1477">
        <f>Tables!C193</f>
        <v>3568000</v>
      </c>
      <c r="D15" s="1477">
        <f>Tables!C197</f>
        <v>0</v>
      </c>
      <c r="E15" s="1477">
        <f t="shared" si="0"/>
        <v>3568000</v>
      </c>
    </row>
    <row r="16" spans="1:5">
      <c r="A16" s="2273"/>
      <c r="B16" s="1376" t="s">
        <v>1577</v>
      </c>
      <c r="C16" s="1477">
        <f>Tables!C207</f>
        <v>37695473.755286314</v>
      </c>
      <c r="D16" s="1477">
        <f>Tables!C211</f>
        <v>0</v>
      </c>
      <c r="E16" s="1477">
        <f t="shared" si="0"/>
        <v>37695473.755286314</v>
      </c>
    </row>
    <row r="17" spans="1:5">
      <c r="A17" s="2273"/>
      <c r="B17" s="1479" t="s">
        <v>871</v>
      </c>
      <c r="C17" s="1477">
        <f>Tables!C221</f>
        <v>12878022.699999999</v>
      </c>
      <c r="D17" s="1477">
        <f>Tables!C225</f>
        <v>0</v>
      </c>
      <c r="E17" s="1477">
        <f t="shared" si="0"/>
        <v>12878022.699999999</v>
      </c>
    </row>
    <row r="18" spans="1:5">
      <c r="A18" s="2273"/>
      <c r="B18" s="1376" t="s">
        <v>1669</v>
      </c>
      <c r="C18" s="1476">
        <f>Tables!C234</f>
        <v>5725053.5999999996</v>
      </c>
      <c r="D18" s="1476">
        <f>Tables!C238</f>
        <v>0</v>
      </c>
      <c r="E18" s="1477">
        <f t="shared" si="0"/>
        <v>5725053.5999999996</v>
      </c>
    </row>
    <row r="19" spans="1:5">
      <c r="A19" s="2273"/>
      <c r="B19" s="1479" t="s">
        <v>872</v>
      </c>
      <c r="C19" s="1477">
        <f>Tables!C247</f>
        <v>147790000</v>
      </c>
      <c r="D19" s="1477">
        <f>Tables!C251</f>
        <v>0</v>
      </c>
      <c r="E19" s="1477">
        <f t="shared" si="0"/>
        <v>147790000</v>
      </c>
    </row>
    <row r="20" spans="1:5">
      <c r="A20" s="2273"/>
      <c r="B20" s="1479" t="s">
        <v>138</v>
      </c>
      <c r="C20" s="1477">
        <f>Tables!C260</f>
        <v>40529000</v>
      </c>
      <c r="D20" s="1477">
        <f>Tables!C264</f>
        <v>0</v>
      </c>
      <c r="E20" s="1477">
        <f t="shared" si="0"/>
        <v>40529000</v>
      </c>
    </row>
    <row r="21" spans="1:5" ht="36">
      <c r="A21" s="2273"/>
      <c r="B21" s="1476" t="s">
        <v>873</v>
      </c>
      <c r="C21" s="1477">
        <f>Tables!C273</f>
        <v>69222252.5</v>
      </c>
      <c r="D21" s="1477">
        <f>Tables!C277</f>
        <v>132525314.62311122</v>
      </c>
      <c r="E21" s="1477">
        <f t="shared" si="0"/>
        <v>201747567.12311122</v>
      </c>
    </row>
    <row r="22" spans="1:5">
      <c r="A22" s="2273"/>
      <c r="B22" s="1476" t="s">
        <v>875</v>
      </c>
      <c r="C22" s="1477">
        <f>Tables!C286</f>
        <v>17657227</v>
      </c>
      <c r="D22" s="1477">
        <f>Tables!C290</f>
        <v>0</v>
      </c>
      <c r="E22" s="1477">
        <f t="shared" si="0"/>
        <v>17657227</v>
      </c>
    </row>
    <row r="23" spans="1:5">
      <c r="A23" s="2273"/>
      <c r="B23" s="1476" t="s">
        <v>1561</v>
      </c>
      <c r="C23" s="1477">
        <f>Tables!C165</f>
        <v>16016288</v>
      </c>
      <c r="D23" s="1477">
        <f>Tables!C169</f>
        <v>0</v>
      </c>
      <c r="E23" s="1477">
        <f t="shared" si="0"/>
        <v>16016288</v>
      </c>
    </row>
    <row r="24" spans="1:5">
      <c r="A24" s="2273" t="s">
        <v>1135</v>
      </c>
      <c r="B24" s="1474" t="s">
        <v>510</v>
      </c>
      <c r="C24" s="1475">
        <f>SUM(C25:C30)</f>
        <v>157371211.002</v>
      </c>
      <c r="D24" s="1475">
        <f>SUM(D25:D30)</f>
        <v>29323991</v>
      </c>
      <c r="E24" s="1475">
        <f>C24+D24</f>
        <v>186695202.002</v>
      </c>
    </row>
    <row r="25" spans="1:5" ht="36">
      <c r="A25" s="2273"/>
      <c r="B25" s="1476" t="s">
        <v>863</v>
      </c>
      <c r="C25" s="1477">
        <f>Tables!C394</f>
        <v>27337483.002</v>
      </c>
      <c r="D25" s="1477">
        <f>Tables!C398</f>
        <v>0</v>
      </c>
      <c r="E25" s="1477">
        <f>C25+D25</f>
        <v>27337483.002</v>
      </c>
    </row>
    <row r="26" spans="1:5">
      <c r="A26" s="2273"/>
      <c r="B26" s="1476" t="s">
        <v>906</v>
      </c>
      <c r="C26" s="1477">
        <f>Tables!C407</f>
        <v>24527016.34</v>
      </c>
      <c r="D26" s="1477">
        <f>Tables!C411</f>
        <v>1027261</v>
      </c>
      <c r="E26" s="1477">
        <f>C26+D26</f>
        <v>25554277.34</v>
      </c>
    </row>
    <row r="27" spans="1:5">
      <c r="A27" s="2273"/>
      <c r="B27" s="1476" t="s">
        <v>1136</v>
      </c>
      <c r="C27" s="1477">
        <f>Tables!C420</f>
        <v>36614246.009999998</v>
      </c>
      <c r="D27" s="1477">
        <f>Tables!C424</f>
        <v>2500000</v>
      </c>
      <c r="E27" s="1477">
        <f t="shared" ref="E27:E123" si="1">C27+D27</f>
        <v>39114246.009999998</v>
      </c>
    </row>
    <row r="28" spans="1:5">
      <c r="A28" s="2273"/>
      <c r="B28" s="1476" t="s">
        <v>232</v>
      </c>
      <c r="C28" s="1477">
        <f>Tables!C433</f>
        <v>11068424.65</v>
      </c>
      <c r="D28" s="1477">
        <f>Tables!C437</f>
        <v>16125547</v>
      </c>
      <c r="E28" s="1477">
        <f t="shared" si="1"/>
        <v>27193971.649999999</v>
      </c>
    </row>
    <row r="29" spans="1:5">
      <c r="A29" s="2273"/>
      <c r="B29" s="1476" t="s">
        <v>1137</v>
      </c>
      <c r="C29" s="1477">
        <f>Tables!C446</f>
        <v>41811575</v>
      </c>
      <c r="D29" s="1477">
        <f>Tables!C450</f>
        <v>0</v>
      </c>
      <c r="E29" s="1477">
        <f t="shared" si="1"/>
        <v>41811575</v>
      </c>
    </row>
    <row r="30" spans="1:5">
      <c r="A30" s="2273"/>
      <c r="B30" s="1476" t="s">
        <v>901</v>
      </c>
      <c r="C30" s="1477">
        <f>Tables!C459</f>
        <v>16012466</v>
      </c>
      <c r="D30" s="1477">
        <f>Tables!C463</f>
        <v>9671183</v>
      </c>
      <c r="E30" s="1477">
        <f t="shared" si="1"/>
        <v>25683649</v>
      </c>
    </row>
    <row r="31" spans="1:5" s="1480" customFormat="1" ht="20.399999999999999">
      <c r="A31" s="2273" t="s">
        <v>1138</v>
      </c>
      <c r="B31" s="1474" t="s">
        <v>510</v>
      </c>
      <c r="C31" s="1475">
        <f>SUM(C32:C36)</f>
        <v>139446794</v>
      </c>
      <c r="D31" s="1475">
        <f t="shared" ref="D31" si="2">SUM(D32:D36)</f>
        <v>592511933</v>
      </c>
      <c r="E31" s="1475">
        <f>C31+D31</f>
        <v>731958727</v>
      </c>
    </row>
    <row r="32" spans="1:5" ht="36">
      <c r="A32" s="2273"/>
      <c r="B32" s="1476" t="s">
        <v>1139</v>
      </c>
      <c r="C32" s="1477">
        <f>Tables!C507</f>
        <v>96865852</v>
      </c>
      <c r="D32" s="1477">
        <f>Tables!C511</f>
        <v>0</v>
      </c>
      <c r="E32" s="1477">
        <f t="shared" si="1"/>
        <v>96865852</v>
      </c>
    </row>
    <row r="33" spans="1:7" ht="36">
      <c r="A33" s="2273"/>
      <c r="B33" s="1476" t="s">
        <v>1760</v>
      </c>
      <c r="C33" s="1477">
        <f>Tables!C521</f>
        <v>16774891.85</v>
      </c>
      <c r="D33" s="1477">
        <f>Tables!C525</f>
        <v>0</v>
      </c>
      <c r="E33" s="1477">
        <f t="shared" si="1"/>
        <v>16774891.85</v>
      </c>
    </row>
    <row r="34" spans="1:7">
      <c r="A34" s="2273"/>
      <c r="B34" s="1476" t="s">
        <v>283</v>
      </c>
      <c r="C34" s="1477">
        <f>Tables!C533</f>
        <v>7124118.6500000004</v>
      </c>
      <c r="D34" s="1477">
        <f>Tables!C537</f>
        <v>325949389</v>
      </c>
      <c r="E34" s="1477">
        <f t="shared" si="1"/>
        <v>333073507.64999998</v>
      </c>
    </row>
    <row r="35" spans="1:7">
      <c r="A35" s="2273"/>
      <c r="B35" s="1476" t="s">
        <v>921</v>
      </c>
      <c r="C35" s="1477">
        <f>Tables!C547</f>
        <v>6141346</v>
      </c>
      <c r="D35" s="1477">
        <f>Tables!C551</f>
        <v>95330499</v>
      </c>
      <c r="E35" s="1477">
        <f t="shared" si="1"/>
        <v>101471845</v>
      </c>
    </row>
    <row r="36" spans="1:7">
      <c r="A36" s="2273"/>
      <c r="B36" s="1476" t="s">
        <v>1759</v>
      </c>
      <c r="C36" s="1477">
        <f>Tables!C561</f>
        <v>12540585.5</v>
      </c>
      <c r="D36" s="1477">
        <f>Tables!C565</f>
        <v>171232045</v>
      </c>
      <c r="E36" s="1477">
        <f t="shared" si="1"/>
        <v>183772630.5</v>
      </c>
    </row>
    <row r="37" spans="1:7" s="1480" customFormat="1" ht="20.399999999999999">
      <c r="A37" s="2273" t="s">
        <v>1140</v>
      </c>
      <c r="B37" s="1474" t="s">
        <v>510</v>
      </c>
      <c r="C37" s="1475">
        <f>SUM(C38:C41)</f>
        <v>941467773.00659633</v>
      </c>
      <c r="D37" s="1475">
        <f t="shared" ref="D37:E37" si="3">SUM(D38:D41)</f>
        <v>126319062.20881446</v>
      </c>
      <c r="E37" s="1475">
        <f t="shared" si="3"/>
        <v>1067786835.2154108</v>
      </c>
      <c r="G37" s="1481"/>
    </row>
    <row r="38" spans="1:7" ht="36">
      <c r="A38" s="2273"/>
      <c r="B38" s="1476" t="s">
        <v>1141</v>
      </c>
      <c r="C38" s="1477">
        <f>Tables!C603</f>
        <v>799987768.89999998</v>
      </c>
      <c r="D38" s="1477">
        <f>Tables!C607</f>
        <v>0</v>
      </c>
      <c r="E38" s="1477">
        <f t="shared" si="1"/>
        <v>799987768.89999998</v>
      </c>
    </row>
    <row r="39" spans="1:7">
      <c r="A39" s="2273"/>
      <c r="B39" s="1476" t="s">
        <v>1142</v>
      </c>
      <c r="C39" s="1477">
        <f>Tables!C617</f>
        <v>95872002.146596476</v>
      </c>
      <c r="D39" s="1477">
        <f>Tables!C621</f>
        <v>68776020.944195449</v>
      </c>
      <c r="E39" s="1477">
        <f t="shared" si="1"/>
        <v>164648023.09079194</v>
      </c>
    </row>
    <row r="40" spans="1:7">
      <c r="A40" s="2273"/>
      <c r="B40" s="1476" t="s">
        <v>1143</v>
      </c>
      <c r="C40" s="1477">
        <f>Tables!C631</f>
        <v>24611660.280000001</v>
      </c>
      <c r="D40" s="1477">
        <f>Tables!C635</f>
        <v>55545041.264619008</v>
      </c>
      <c r="E40" s="1477">
        <f t="shared" si="1"/>
        <v>80156701.544619009</v>
      </c>
    </row>
    <row r="41" spans="1:7">
      <c r="A41" s="2273"/>
      <c r="B41" s="1476" t="s">
        <v>1144</v>
      </c>
      <c r="C41" s="1477">
        <f>Tables!C646</f>
        <v>20996341.68</v>
      </c>
      <c r="D41" s="1477">
        <f>Tables!C650</f>
        <v>1998000</v>
      </c>
      <c r="E41" s="1477">
        <f t="shared" si="1"/>
        <v>22994341.68</v>
      </c>
    </row>
    <row r="42" spans="1:7" s="1480" customFormat="1" ht="20.399999999999999">
      <c r="A42" s="2273" t="s">
        <v>1145</v>
      </c>
      <c r="B42" s="1474" t="s">
        <v>510</v>
      </c>
      <c r="C42" s="1475">
        <f>SUM(C43:C46)</f>
        <v>214260323</v>
      </c>
      <c r="D42" s="1475">
        <f t="shared" ref="D42:E42" si="4">SUM(D43:D46)</f>
        <v>285970041.5739609</v>
      </c>
      <c r="E42" s="1475">
        <f t="shared" si="4"/>
        <v>500230364.5739609</v>
      </c>
    </row>
    <row r="43" spans="1:7" ht="36">
      <c r="A43" s="2273"/>
      <c r="B43" s="1376" t="s">
        <v>1139</v>
      </c>
      <c r="C43" s="1482">
        <f>Tables!C687</f>
        <v>161765041</v>
      </c>
      <c r="D43" s="1482">
        <f>Tables!C691</f>
        <v>0</v>
      </c>
      <c r="E43" s="1477">
        <f t="shared" si="1"/>
        <v>161765041</v>
      </c>
    </row>
    <row r="44" spans="1:7">
      <c r="A44" s="2273"/>
      <c r="B44" s="1376" t="s">
        <v>1146</v>
      </c>
      <c r="C44" s="1482">
        <f>Tables!C701</f>
        <v>6024350</v>
      </c>
      <c r="D44" s="1482">
        <f>Tables!C705</f>
        <v>9380000</v>
      </c>
      <c r="E44" s="1477">
        <f t="shared" si="1"/>
        <v>15404350</v>
      </c>
    </row>
    <row r="45" spans="1:7">
      <c r="A45" s="2273"/>
      <c r="B45" s="1376" t="s">
        <v>1147</v>
      </c>
      <c r="C45" s="1482">
        <f>Tables!C714</f>
        <v>5742800</v>
      </c>
      <c r="D45" s="1482">
        <f>Tables!C718</f>
        <v>193651462.95480514</v>
      </c>
      <c r="E45" s="1477">
        <f t="shared" si="1"/>
        <v>199394262.95480514</v>
      </c>
    </row>
    <row r="46" spans="1:7">
      <c r="A46" s="2273"/>
      <c r="B46" s="1483" t="s">
        <v>1762</v>
      </c>
      <c r="C46" s="1482">
        <f>Tables!C727</f>
        <v>40728132</v>
      </c>
      <c r="D46" s="1482">
        <f>Tables!C731</f>
        <v>82938578.619155765</v>
      </c>
      <c r="E46" s="1477">
        <f t="shared" si="1"/>
        <v>123666710.61915576</v>
      </c>
    </row>
    <row r="47" spans="1:7" s="1480" customFormat="1" ht="20.399999999999999">
      <c r="A47" s="2273" t="s">
        <v>1148</v>
      </c>
      <c r="B47" s="1474" t="s">
        <v>510</v>
      </c>
      <c r="C47" s="1484">
        <f>SUM(C48:C61)</f>
        <v>3979513261.2974596</v>
      </c>
      <c r="D47" s="1484">
        <f t="shared" ref="D47:E47" si="5">SUM(D48:D61)</f>
        <v>385137009.30000186</v>
      </c>
      <c r="E47" s="1484">
        <f t="shared" si="5"/>
        <v>4364650270.5974617</v>
      </c>
      <c r="G47" s="1481"/>
    </row>
    <row r="48" spans="1:7" ht="36">
      <c r="A48" s="2273"/>
      <c r="B48" s="1483" t="s">
        <v>1149</v>
      </c>
      <c r="C48" s="1482">
        <f>Tables!C780</f>
        <v>957823460.72416532</v>
      </c>
      <c r="D48" s="1482">
        <f>Tables!C784</f>
        <v>15000000</v>
      </c>
      <c r="E48" s="1477">
        <f t="shared" si="1"/>
        <v>972823460.72416532</v>
      </c>
    </row>
    <row r="49" spans="1:5" ht="36">
      <c r="A49" s="2273"/>
      <c r="B49" s="1483" t="s">
        <v>1715</v>
      </c>
      <c r="C49" s="1482">
        <f>Tables!C793</f>
        <v>3000000</v>
      </c>
      <c r="D49" s="1482">
        <f>Tables!C797</f>
        <v>0</v>
      </c>
      <c r="E49" s="1477">
        <f t="shared" si="1"/>
        <v>3000000</v>
      </c>
    </row>
    <row r="50" spans="1:5" ht="36">
      <c r="A50" s="2273"/>
      <c r="B50" s="1483" t="s">
        <v>1716</v>
      </c>
      <c r="C50" s="1482">
        <f>Tables!C806</f>
        <v>102207361.964</v>
      </c>
      <c r="D50" s="1482">
        <f>Tables!C810</f>
        <v>220332408.00000185</v>
      </c>
      <c r="E50" s="1477">
        <f t="shared" si="1"/>
        <v>322539769.96400183</v>
      </c>
    </row>
    <row r="51" spans="1:5">
      <c r="A51" s="2273"/>
      <c r="B51" s="1483" t="s">
        <v>1763</v>
      </c>
      <c r="C51" s="1482">
        <f>Tables!C819</f>
        <v>1670000</v>
      </c>
      <c r="D51" s="1482">
        <f>Tables!C823</f>
        <v>0</v>
      </c>
      <c r="E51" s="1477">
        <f t="shared" si="1"/>
        <v>1670000</v>
      </c>
    </row>
    <row r="52" spans="1:5" ht="36">
      <c r="A52" s="2273"/>
      <c r="B52" s="1483" t="s">
        <v>1764</v>
      </c>
      <c r="C52" s="1482">
        <f>Tables!C844</f>
        <v>559971361.79869449</v>
      </c>
      <c r="D52" s="1482">
        <f>Tables!C848</f>
        <v>10359558</v>
      </c>
      <c r="E52" s="1477">
        <f t="shared" si="1"/>
        <v>570330919.79869449</v>
      </c>
    </row>
    <row r="53" spans="1:5" ht="36">
      <c r="A53" s="2273"/>
      <c r="B53" s="1483" t="s">
        <v>1692</v>
      </c>
      <c r="C53" s="1482">
        <f>Tables!C887</f>
        <v>1068716408.954</v>
      </c>
      <c r="D53" s="1482">
        <f>Tables!C891</f>
        <v>45791901.299999997</v>
      </c>
      <c r="E53" s="1477">
        <f t="shared" si="1"/>
        <v>1114508310.2539999</v>
      </c>
    </row>
    <row r="54" spans="1:5" ht="36">
      <c r="A54" s="2273"/>
      <c r="B54" s="1483" t="s">
        <v>1709</v>
      </c>
      <c r="C54" s="1482">
        <f>Tables!C900</f>
        <v>2000000</v>
      </c>
      <c r="D54" s="1482">
        <f>Tables!C904</f>
        <v>3557250</v>
      </c>
      <c r="E54" s="1477">
        <f t="shared" si="1"/>
        <v>5557250</v>
      </c>
    </row>
    <row r="55" spans="1:5" ht="36">
      <c r="A55" s="2273"/>
      <c r="B55" s="1483" t="s">
        <v>1711</v>
      </c>
      <c r="C55" s="1482">
        <f>Tables!C913</f>
        <v>3244170.2199999997</v>
      </c>
      <c r="D55" s="1482">
        <f>Tables!C917</f>
        <v>0</v>
      </c>
      <c r="E55" s="1477">
        <f t="shared" si="1"/>
        <v>3244170.2199999997</v>
      </c>
    </row>
    <row r="56" spans="1:5" ht="36">
      <c r="A56" s="2273"/>
      <c r="B56" s="1483" t="s">
        <v>1717</v>
      </c>
      <c r="C56" s="1482">
        <f>Tables!C926</f>
        <v>2659869</v>
      </c>
      <c r="D56" s="1482">
        <f>Tables!C930</f>
        <v>0</v>
      </c>
      <c r="E56" s="1477">
        <f t="shared" si="1"/>
        <v>2659869</v>
      </c>
    </row>
    <row r="57" spans="1:5" ht="36">
      <c r="A57" s="2273"/>
      <c r="B57" s="1483" t="s">
        <v>1718</v>
      </c>
      <c r="C57" s="1482">
        <f>Tables!C939</f>
        <v>4042442.7220000001</v>
      </c>
      <c r="D57" s="1482">
        <f>Tables!C943</f>
        <v>0</v>
      </c>
      <c r="E57" s="1477">
        <f t="shared" si="1"/>
        <v>4042442.7220000001</v>
      </c>
    </row>
    <row r="58" spans="1:5" ht="36">
      <c r="A58" s="2273"/>
      <c r="B58" s="1483" t="s">
        <v>1765</v>
      </c>
      <c r="C58" s="1482">
        <f>Tables!C951</f>
        <v>1681200</v>
      </c>
      <c r="D58" s="1482">
        <f>Tables!C955</f>
        <v>0</v>
      </c>
      <c r="E58" s="1477">
        <f t="shared" si="1"/>
        <v>1681200</v>
      </c>
    </row>
    <row r="59" spans="1:5" ht="36">
      <c r="A59" s="2273"/>
      <c r="B59" s="1483" t="s">
        <v>1720</v>
      </c>
      <c r="C59" s="1482">
        <f>Tables!C963</f>
        <v>2302574.4729999998</v>
      </c>
      <c r="D59" s="1482">
        <f>Tables!C967</f>
        <v>0</v>
      </c>
      <c r="E59" s="1477">
        <f t="shared" si="1"/>
        <v>2302574.4729999998</v>
      </c>
    </row>
    <row r="60" spans="1:5">
      <c r="A60" s="2273"/>
      <c r="B60" s="1483" t="s">
        <v>1721</v>
      </c>
      <c r="C60" s="1482">
        <f>Tables!C975</f>
        <v>3627337.4416</v>
      </c>
      <c r="D60" s="1482">
        <f>Tables!C979</f>
        <v>0</v>
      </c>
      <c r="E60" s="1477">
        <f t="shared" si="1"/>
        <v>3627337.4416</v>
      </c>
    </row>
    <row r="61" spans="1:5">
      <c r="A61" s="2273"/>
      <c r="B61" s="1483" t="s">
        <v>1693</v>
      </c>
      <c r="C61" s="1482">
        <f>Tables!C989</f>
        <v>1266567074</v>
      </c>
      <c r="D61" s="1482">
        <f>Tables!C993</f>
        <v>90095892</v>
      </c>
      <c r="E61" s="1477">
        <f t="shared" si="1"/>
        <v>1356662966</v>
      </c>
    </row>
    <row r="62" spans="1:5" s="1480" customFormat="1" ht="20.399999999999999">
      <c r="A62" s="2273" t="s">
        <v>496</v>
      </c>
      <c r="B62" s="1474" t="s">
        <v>510</v>
      </c>
      <c r="C62" s="1475">
        <f>SUM(C63:C67)</f>
        <v>194406966</v>
      </c>
      <c r="D62" s="1475">
        <f>SUM(D63:D67)</f>
        <v>631896664.94775796</v>
      </c>
      <c r="E62" s="1475">
        <f>SUM(E63:E67)</f>
        <v>826303630.94775796</v>
      </c>
    </row>
    <row r="63" spans="1:5">
      <c r="A63" s="2273"/>
      <c r="B63" s="1476" t="s">
        <v>1150</v>
      </c>
      <c r="C63" s="1477">
        <f>Tables!C1032</f>
        <v>110943406</v>
      </c>
      <c r="D63" s="1477">
        <f>Tables!C1036</f>
        <v>0</v>
      </c>
      <c r="E63" s="1477">
        <f t="shared" si="1"/>
        <v>110943406</v>
      </c>
    </row>
    <row r="64" spans="1:5">
      <c r="A64" s="2273"/>
      <c r="B64" s="1476" t="s">
        <v>1151</v>
      </c>
      <c r="C64" s="1477">
        <f>Tables!C1046</f>
        <v>25841857</v>
      </c>
      <c r="D64" s="1477">
        <f>Tables!C1050</f>
        <v>84896664.947757974</v>
      </c>
      <c r="E64" s="1477">
        <f t="shared" si="1"/>
        <v>110738521.94775797</v>
      </c>
    </row>
    <row r="65" spans="1:5">
      <c r="A65" s="2273"/>
      <c r="B65" s="1476" t="s">
        <v>976</v>
      </c>
      <c r="C65" s="1477">
        <f>Tables!C1058</f>
        <v>14074735</v>
      </c>
      <c r="D65" s="1477">
        <f>Tables!C1062</f>
        <v>544500000</v>
      </c>
      <c r="E65" s="1477">
        <f t="shared" si="1"/>
        <v>558574735</v>
      </c>
    </row>
    <row r="66" spans="1:5">
      <c r="A66" s="2273"/>
      <c r="B66" s="1476" t="s">
        <v>977</v>
      </c>
      <c r="C66" s="1477">
        <f>Tables!C1071</f>
        <v>27031629</v>
      </c>
      <c r="D66" s="1477">
        <f>Tables!C1075</f>
        <v>0</v>
      </c>
      <c r="E66" s="1477">
        <f t="shared" si="1"/>
        <v>27031629</v>
      </c>
    </row>
    <row r="67" spans="1:5" ht="36">
      <c r="A67" s="2273"/>
      <c r="B67" s="1485" t="s">
        <v>979</v>
      </c>
      <c r="C67" s="1477">
        <f>Tables!C1083</f>
        <v>16515339</v>
      </c>
      <c r="D67" s="1477">
        <f>Tables!C1087</f>
        <v>2500000</v>
      </c>
      <c r="E67" s="1477">
        <f t="shared" si="1"/>
        <v>19015339</v>
      </c>
    </row>
    <row r="68" spans="1:5" s="1480" customFormat="1" ht="20.399999999999999">
      <c r="A68" s="2273" t="s">
        <v>1152</v>
      </c>
      <c r="B68" s="1474" t="s">
        <v>510</v>
      </c>
      <c r="C68" s="1475">
        <f>SUM(C69:C80)</f>
        <v>120676860.99999999</v>
      </c>
      <c r="D68" s="1475">
        <f>SUM(D69:D80)</f>
        <v>364715801.19567716</v>
      </c>
      <c r="E68" s="1475">
        <f>SUM(E69:E80)</f>
        <v>485392662.19567716</v>
      </c>
    </row>
    <row r="69" spans="1:5" ht="36">
      <c r="A69" s="2273"/>
      <c r="B69" s="1476" t="s">
        <v>1153</v>
      </c>
      <c r="C69" s="1477">
        <f>Tables!C1136</f>
        <v>34931367</v>
      </c>
      <c r="D69" s="1477">
        <f>Tables!C1140</f>
        <v>0</v>
      </c>
      <c r="E69" s="1477">
        <f t="shared" si="1"/>
        <v>34931367</v>
      </c>
    </row>
    <row r="70" spans="1:5">
      <c r="A70" s="2273"/>
      <c r="B70" s="1476" t="s">
        <v>1154</v>
      </c>
      <c r="C70" s="1477">
        <f>Tables!C1150</f>
        <v>17154434</v>
      </c>
      <c r="D70" s="1477">
        <f>Tables!C1154</f>
        <v>0</v>
      </c>
      <c r="E70" s="1477">
        <f t="shared" si="1"/>
        <v>17154434</v>
      </c>
    </row>
    <row r="71" spans="1:5">
      <c r="A71" s="2273"/>
      <c r="B71" s="1476" t="s">
        <v>529</v>
      </c>
      <c r="C71" s="1477">
        <f>Tables!C1163</f>
        <v>992178</v>
      </c>
      <c r="D71" s="1477">
        <f>Tables!C1167</f>
        <v>0</v>
      </c>
      <c r="E71" s="1477">
        <f t="shared" si="1"/>
        <v>992178</v>
      </c>
    </row>
    <row r="72" spans="1:5">
      <c r="A72" s="2273"/>
      <c r="B72" s="1476" t="s">
        <v>1767</v>
      </c>
      <c r="C72" s="1477">
        <f>Tables!C1177</f>
        <v>989728</v>
      </c>
      <c r="D72" s="1477">
        <f>Tables!C1181</f>
        <v>248875174</v>
      </c>
      <c r="E72" s="1477">
        <f t="shared" si="1"/>
        <v>249864902</v>
      </c>
    </row>
    <row r="73" spans="1:5">
      <c r="A73" s="2273"/>
      <c r="B73" s="1476" t="s">
        <v>536</v>
      </c>
      <c r="C73" s="1477">
        <f>Tables!C1191</f>
        <v>1525179</v>
      </c>
      <c r="D73" s="1477">
        <f>Tables!C1195</f>
        <v>15445014</v>
      </c>
      <c r="E73" s="1477">
        <f t="shared" si="1"/>
        <v>16970193</v>
      </c>
    </row>
    <row r="74" spans="1:5">
      <c r="A74" s="2273"/>
      <c r="B74" s="1476" t="s">
        <v>540</v>
      </c>
      <c r="C74" s="1477">
        <f>Tables!C1205</f>
        <v>1300642</v>
      </c>
      <c r="D74" s="1477">
        <f>Tables!C1209</f>
        <v>0</v>
      </c>
      <c r="E74" s="1477">
        <f t="shared" si="1"/>
        <v>1300642</v>
      </c>
    </row>
    <row r="75" spans="1:5">
      <c r="A75" s="2273"/>
      <c r="B75" s="1476" t="s">
        <v>997</v>
      </c>
      <c r="C75" s="1477">
        <f>Tables!C1219</f>
        <v>9822840.9999999888</v>
      </c>
      <c r="D75" s="1477">
        <f>Tables!C1223</f>
        <v>40000000</v>
      </c>
      <c r="E75" s="1477">
        <f t="shared" si="1"/>
        <v>49822840.999999985</v>
      </c>
    </row>
    <row r="76" spans="1:5">
      <c r="A76" s="2273"/>
      <c r="B76" s="1476" t="s">
        <v>999</v>
      </c>
      <c r="C76" s="1477">
        <f>Tables!C1233</f>
        <v>3277462</v>
      </c>
      <c r="D76" s="1477">
        <f>Tables!C1237</f>
        <v>56029605.195677191</v>
      </c>
      <c r="E76" s="1477">
        <f t="shared" si="1"/>
        <v>59307067.195677191</v>
      </c>
    </row>
    <row r="77" spans="1:5" ht="36">
      <c r="A77" s="2273"/>
      <c r="B77" s="1476" t="s">
        <v>1001</v>
      </c>
      <c r="C77" s="1477">
        <f>Tables!C1246</f>
        <v>5760877</v>
      </c>
      <c r="D77" s="1477">
        <f>Tables!C1250</f>
        <v>2000000</v>
      </c>
      <c r="E77" s="1477">
        <f t="shared" si="1"/>
        <v>7760877</v>
      </c>
    </row>
    <row r="78" spans="1:5">
      <c r="A78" s="2273"/>
      <c r="B78" s="1476" t="s">
        <v>1002</v>
      </c>
      <c r="C78" s="1477">
        <f>Tables!C1258</f>
        <v>1644445</v>
      </c>
      <c r="D78" s="1477">
        <f>Tables!C1262</f>
        <v>800000</v>
      </c>
      <c r="E78" s="1477">
        <f t="shared" si="1"/>
        <v>2444445</v>
      </c>
    </row>
    <row r="79" spans="1:5">
      <c r="A79" s="2273"/>
      <c r="B79" s="1476" t="s">
        <v>1003</v>
      </c>
      <c r="C79" s="1477">
        <f>Tables!C1272</f>
        <v>40378800</v>
      </c>
      <c r="D79" s="1477">
        <f>Tables!C1277</f>
        <v>0</v>
      </c>
      <c r="E79" s="1477">
        <f t="shared" si="1"/>
        <v>40378800</v>
      </c>
    </row>
    <row r="80" spans="1:5">
      <c r="A80" s="2273"/>
      <c r="B80" s="1476" t="s">
        <v>1003</v>
      </c>
      <c r="C80" s="1477">
        <f>Tables!C1286</f>
        <v>2898908</v>
      </c>
      <c r="D80" s="1477">
        <f>Tables!C1290</f>
        <v>1566008</v>
      </c>
      <c r="E80" s="1477">
        <f t="shared" si="1"/>
        <v>4464916</v>
      </c>
    </row>
    <row r="81" spans="1:7" s="1480" customFormat="1" ht="20.399999999999999">
      <c r="A81" s="2273" t="s">
        <v>1155</v>
      </c>
      <c r="B81" s="1474" t="s">
        <v>510</v>
      </c>
      <c r="C81" s="1475">
        <f>SUM(C82:C90)</f>
        <v>170128787.74000001</v>
      </c>
      <c r="D81" s="1475">
        <f t="shared" ref="D81:E81" si="6">SUM(D82:D90)</f>
        <v>43956563.476212204</v>
      </c>
      <c r="E81" s="1475">
        <f t="shared" si="6"/>
        <v>214085351.21621218</v>
      </c>
      <c r="G81" s="1481"/>
    </row>
    <row r="82" spans="1:7" ht="36">
      <c r="A82" s="2273"/>
      <c r="B82" s="1476" t="s">
        <v>1156</v>
      </c>
      <c r="C82" s="1477">
        <f>Tables!C1336</f>
        <v>78426788.140000001</v>
      </c>
      <c r="D82" s="1477">
        <f>Tables!C1340</f>
        <v>0</v>
      </c>
      <c r="E82" s="1477">
        <f t="shared" si="1"/>
        <v>78426788.140000001</v>
      </c>
    </row>
    <row r="83" spans="1:7">
      <c r="A83" s="2273"/>
      <c r="B83" s="1476" t="s">
        <v>1021</v>
      </c>
      <c r="C83" s="1477">
        <f>Tables!C1349</f>
        <v>23962225</v>
      </c>
      <c r="D83" s="1477">
        <f>Tables!C1353</f>
        <v>0</v>
      </c>
      <c r="E83" s="1477">
        <f t="shared" si="1"/>
        <v>23962225</v>
      </c>
    </row>
    <row r="84" spans="1:7">
      <c r="A84" s="2273"/>
      <c r="B84" s="1476" t="s">
        <v>1020</v>
      </c>
      <c r="C84" s="1477">
        <f>Tables!C1363</f>
        <v>7122800</v>
      </c>
      <c r="D84" s="1477">
        <f>Tables!C1367</f>
        <v>10315522</v>
      </c>
      <c r="E84" s="1477">
        <f t="shared" si="1"/>
        <v>17438322</v>
      </c>
    </row>
    <row r="85" spans="1:7">
      <c r="A85" s="2273"/>
      <c r="B85" s="1476" t="s">
        <v>1010</v>
      </c>
      <c r="C85" s="1477">
        <f>Tables!C1376</f>
        <v>21864600</v>
      </c>
      <c r="D85" s="1477">
        <f>Tables!C1380</f>
        <v>0</v>
      </c>
      <c r="E85" s="1477">
        <f t="shared" si="1"/>
        <v>21864600</v>
      </c>
    </row>
    <row r="86" spans="1:7" ht="36">
      <c r="A86" s="2273"/>
      <c r="B86" s="1476" t="s">
        <v>1009</v>
      </c>
      <c r="C86" s="1477">
        <f>Tables!C1388</f>
        <v>937400</v>
      </c>
      <c r="D86" s="1477">
        <f>Tables!C1392</f>
        <v>25141041.476212204</v>
      </c>
      <c r="E86" s="1477">
        <f t="shared" si="1"/>
        <v>26078441.476212204</v>
      </c>
    </row>
    <row r="87" spans="1:7">
      <c r="A87" s="2273"/>
      <c r="B87" s="1476" t="s">
        <v>1024</v>
      </c>
      <c r="C87" s="1477">
        <f>Tables!C1400</f>
        <v>7044812.5999999996</v>
      </c>
      <c r="D87" s="1477">
        <f>Tables!C1404</f>
        <v>0</v>
      </c>
      <c r="E87" s="1477">
        <f t="shared" si="1"/>
        <v>7044812.5999999996</v>
      </c>
    </row>
    <row r="88" spans="1:7">
      <c r="A88" s="2273"/>
      <c r="B88" s="1476" t="s">
        <v>1768</v>
      </c>
      <c r="C88" s="1477">
        <f>Tables!C1414</f>
        <v>13635782</v>
      </c>
      <c r="D88" s="1477">
        <f>Tables!C1418</f>
        <v>8500000</v>
      </c>
      <c r="E88" s="1477">
        <f t="shared" si="1"/>
        <v>22135782</v>
      </c>
    </row>
    <row r="89" spans="1:7">
      <c r="A89" s="2273"/>
      <c r="B89" s="1476" t="s">
        <v>1026</v>
      </c>
      <c r="C89" s="1477">
        <f>Tables!C1427</f>
        <v>14425100</v>
      </c>
      <c r="D89" s="1477">
        <f>Tables!C1431</f>
        <v>0</v>
      </c>
      <c r="E89" s="1477">
        <f t="shared" si="1"/>
        <v>14425100</v>
      </c>
    </row>
    <row r="90" spans="1:7">
      <c r="A90" s="2273"/>
      <c r="B90" s="1476" t="s">
        <v>1769</v>
      </c>
      <c r="C90" s="1477">
        <f>Tables!C1439</f>
        <v>2709280</v>
      </c>
      <c r="D90" s="1477">
        <f>Tables!C1443</f>
        <v>0</v>
      </c>
      <c r="E90" s="1477">
        <f t="shared" si="1"/>
        <v>2709280</v>
      </c>
    </row>
    <row r="91" spans="1:7" s="1480" customFormat="1" ht="20.399999999999999">
      <c r="A91" s="2273" t="s">
        <v>1157</v>
      </c>
      <c r="B91" s="1474" t="s">
        <v>510</v>
      </c>
      <c r="C91" s="1475">
        <f>SUM(C92:C99)</f>
        <v>443653372.36719048</v>
      </c>
      <c r="D91" s="1475">
        <f t="shared" ref="D91:E91" si="7">SUM(D92:D99)</f>
        <v>94723298.549999997</v>
      </c>
      <c r="E91" s="1475">
        <f t="shared" si="7"/>
        <v>538376670.91719043</v>
      </c>
    </row>
    <row r="92" spans="1:7" ht="36">
      <c r="A92" s="2273"/>
      <c r="B92" s="1476" t="s">
        <v>1158</v>
      </c>
      <c r="C92" s="1477">
        <f>Tables!C1486</f>
        <v>282478664.17719042</v>
      </c>
      <c r="D92" s="1477">
        <f>Tables!C1490</f>
        <v>94723298.549999997</v>
      </c>
      <c r="E92" s="1477">
        <f t="shared" si="1"/>
        <v>377201962.72719043</v>
      </c>
    </row>
    <row r="93" spans="1:7">
      <c r="A93" s="2273"/>
      <c r="B93" s="1476" t="s">
        <v>1159</v>
      </c>
      <c r="C93" s="1477">
        <f>Tables!C1500</f>
        <v>21304968.25965178</v>
      </c>
      <c r="D93" s="1477">
        <f>Tables!C1504</f>
        <v>0</v>
      </c>
      <c r="E93" s="1477">
        <f t="shared" si="1"/>
        <v>21304968.25965178</v>
      </c>
    </row>
    <row r="94" spans="1:7" ht="36">
      <c r="A94" s="2273"/>
      <c r="B94" s="1476" t="s">
        <v>1045</v>
      </c>
      <c r="C94" s="1477">
        <f>Tables!C1513</f>
        <v>15129321.047798842</v>
      </c>
      <c r="D94" s="1477">
        <f>Tables!C1517</f>
        <v>0</v>
      </c>
      <c r="E94" s="1477">
        <f t="shared" si="1"/>
        <v>15129321.047798842</v>
      </c>
    </row>
    <row r="95" spans="1:7">
      <c r="A95" s="2273"/>
      <c r="B95" s="1476" t="s">
        <v>1160</v>
      </c>
      <c r="C95" s="1477">
        <f>Tables!C1526</f>
        <v>9059852.5089217275</v>
      </c>
      <c r="D95" s="1477">
        <f>Tables!C1530</f>
        <v>0</v>
      </c>
      <c r="E95" s="1477">
        <f t="shared" si="1"/>
        <v>9059852.5089217275</v>
      </c>
    </row>
    <row r="96" spans="1:7">
      <c r="A96" s="2273"/>
      <c r="B96" s="1476" t="s">
        <v>1048</v>
      </c>
      <c r="C96" s="1477">
        <f>Tables!C1540</f>
        <v>87927883.184599996</v>
      </c>
      <c r="D96" s="1477">
        <f>Tables!C1544</f>
        <v>0</v>
      </c>
      <c r="E96" s="1477">
        <f t="shared" si="1"/>
        <v>87927883.184599996</v>
      </c>
    </row>
    <row r="97" spans="1:5">
      <c r="A97" s="2273"/>
      <c r="B97" s="1476" t="s">
        <v>1050</v>
      </c>
      <c r="C97" s="1477">
        <f>Tables!C1553</f>
        <v>6958400</v>
      </c>
      <c r="D97" s="1477">
        <f>Tables!C1557</f>
        <v>0</v>
      </c>
      <c r="E97" s="1477">
        <f t="shared" si="1"/>
        <v>6958400</v>
      </c>
    </row>
    <row r="98" spans="1:5">
      <c r="A98" s="2273"/>
      <c r="B98" s="1476" t="s">
        <v>1051</v>
      </c>
      <c r="C98" s="1477">
        <f>Tables!C1566</f>
        <v>13985354.997370809</v>
      </c>
      <c r="D98" s="1477">
        <f>Tables!C1570</f>
        <v>0</v>
      </c>
      <c r="E98" s="1477">
        <f t="shared" si="1"/>
        <v>13985354.997370809</v>
      </c>
    </row>
    <row r="99" spans="1:5" ht="36">
      <c r="A99" s="2273"/>
      <c r="B99" s="1476" t="s">
        <v>1052</v>
      </c>
      <c r="C99" s="1477">
        <f>Tables!C1578</f>
        <v>6808928.1916568363</v>
      </c>
      <c r="D99" s="1477">
        <f>Tables!C1582</f>
        <v>0</v>
      </c>
      <c r="E99" s="1477">
        <f t="shared" si="1"/>
        <v>6808928.1916568363</v>
      </c>
    </row>
    <row r="100" spans="1:5" s="1480" customFormat="1" ht="20.399999999999999">
      <c r="A100" s="2273" t="s">
        <v>1161</v>
      </c>
      <c r="B100" s="1474" t="s">
        <v>510</v>
      </c>
      <c r="C100" s="1475">
        <f>SUM(C101:C104)</f>
        <v>63978064.048314273</v>
      </c>
      <c r="D100" s="1475">
        <f t="shared" ref="D100:E100" si="8">SUM(D101:D104)</f>
        <v>24734068.422483109</v>
      </c>
      <c r="E100" s="1475">
        <f t="shared" si="8"/>
        <v>88712132.47079739</v>
      </c>
    </row>
    <row r="101" spans="1:5" ht="36">
      <c r="A101" s="2273"/>
      <c r="B101" s="1476" t="s">
        <v>1158</v>
      </c>
      <c r="C101" s="1477">
        <f>Tables!C1621</f>
        <v>40661558.048314273</v>
      </c>
      <c r="D101" s="1477">
        <f>Tables!C1625</f>
        <v>0</v>
      </c>
      <c r="E101" s="1477">
        <f t="shared" si="1"/>
        <v>40661558.048314273</v>
      </c>
    </row>
    <row r="102" spans="1:5" ht="36">
      <c r="A102" s="2273"/>
      <c r="B102" s="1476" t="s">
        <v>1162</v>
      </c>
      <c r="C102" s="1477">
        <f>Tables!C1634</f>
        <v>9427000</v>
      </c>
      <c r="D102" s="1477">
        <f>Tables!C1651</f>
        <v>0</v>
      </c>
      <c r="E102" s="1477">
        <f t="shared" si="1"/>
        <v>9427000</v>
      </c>
    </row>
    <row r="103" spans="1:5">
      <c r="A103" s="2273"/>
      <c r="B103" s="1476" t="s">
        <v>1770</v>
      </c>
      <c r="C103" s="1477">
        <f>Tables!C1647</f>
        <v>8024200</v>
      </c>
      <c r="D103" s="1477">
        <f>Tables!C1651</f>
        <v>0</v>
      </c>
      <c r="E103" s="1477">
        <f t="shared" si="1"/>
        <v>8024200</v>
      </c>
    </row>
    <row r="104" spans="1:5">
      <c r="A104" s="2273"/>
      <c r="B104" s="1476" t="s">
        <v>1163</v>
      </c>
      <c r="C104" s="1477">
        <f>Tables!C1660</f>
        <v>5865306</v>
      </c>
      <c r="D104" s="1477">
        <f>Tables!C1664</f>
        <v>24734068.422483109</v>
      </c>
      <c r="E104" s="1477">
        <f t="shared" si="1"/>
        <v>30599374.422483109</v>
      </c>
    </row>
    <row r="105" spans="1:5" s="1480" customFormat="1" ht="20.399999999999999">
      <c r="A105" s="2273" t="s">
        <v>1164</v>
      </c>
      <c r="B105" s="1474" t="s">
        <v>510</v>
      </c>
      <c r="C105" s="1475">
        <f>SUM(C106:C107)</f>
        <v>1130130552</v>
      </c>
      <c r="D105" s="1475">
        <f t="shared" ref="D105:E105" si="9">SUM(D106:D107)</f>
        <v>140900561</v>
      </c>
      <c r="E105" s="1475">
        <f t="shared" si="9"/>
        <v>1271031113</v>
      </c>
    </row>
    <row r="106" spans="1:5" ht="36">
      <c r="A106" s="2273"/>
      <c r="B106" s="1476" t="s">
        <v>1165</v>
      </c>
      <c r="C106" s="1477">
        <f>Tables!C1696</f>
        <v>319112328</v>
      </c>
      <c r="D106" s="1477">
        <f>Tables!C1700</f>
        <v>0</v>
      </c>
      <c r="E106" s="1477">
        <f t="shared" si="1"/>
        <v>319112328</v>
      </c>
    </row>
    <row r="107" spans="1:5">
      <c r="A107" s="2273"/>
      <c r="B107" s="1476" t="s">
        <v>1166</v>
      </c>
      <c r="C107" s="1477">
        <f>Tables!C1708</f>
        <v>811018224</v>
      </c>
      <c r="D107" s="1477">
        <f>Tables!C1712</f>
        <v>140900561</v>
      </c>
      <c r="E107" s="1477">
        <f t="shared" si="1"/>
        <v>951918785</v>
      </c>
    </row>
    <row r="108" spans="1:5" s="1480" customFormat="1" ht="20.399999999999999">
      <c r="A108" s="2273" t="s">
        <v>1167</v>
      </c>
      <c r="B108" s="1474" t="s">
        <v>510</v>
      </c>
      <c r="C108" s="1475">
        <f>SUM(C109:C113)</f>
        <v>91738303</v>
      </c>
      <c r="D108" s="1475">
        <f>SUM(D109:D113)</f>
        <v>68177733.0650886</v>
      </c>
      <c r="E108" s="1475">
        <f>SUM(E109:E113)</f>
        <v>159916036.0650886</v>
      </c>
    </row>
    <row r="109" spans="1:5" ht="36">
      <c r="A109" s="2273"/>
      <c r="B109" s="1476" t="s">
        <v>1168</v>
      </c>
      <c r="C109" s="1477">
        <f>Tables!C1759</f>
        <v>55277457</v>
      </c>
      <c r="D109" s="1477">
        <f>Tables!C1763</f>
        <v>22258590</v>
      </c>
      <c r="E109" s="1477">
        <f t="shared" si="1"/>
        <v>77536047</v>
      </c>
    </row>
    <row r="110" spans="1:5">
      <c r="A110" s="2273"/>
      <c r="B110" s="1476" t="s">
        <v>1071</v>
      </c>
      <c r="C110" s="1477">
        <f>Tables!C1773</f>
        <v>7047600</v>
      </c>
      <c r="D110" s="1477">
        <f>Tables!C1777</f>
        <v>4300000</v>
      </c>
      <c r="E110" s="1477">
        <f t="shared" si="1"/>
        <v>11347600</v>
      </c>
    </row>
    <row r="111" spans="1:5" ht="36">
      <c r="A111" s="2273"/>
      <c r="B111" s="1476" t="s">
        <v>1699</v>
      </c>
      <c r="C111" s="1477">
        <f>Tables!C1787</f>
        <v>4689000</v>
      </c>
      <c r="D111" s="1477">
        <f>Tables!C1791</f>
        <v>20591156.370000001</v>
      </c>
      <c r="E111" s="1477">
        <f t="shared" si="1"/>
        <v>25280156.370000001</v>
      </c>
    </row>
    <row r="112" spans="1:5">
      <c r="A112" s="2273"/>
      <c r="B112" s="1476" t="s">
        <v>1069</v>
      </c>
      <c r="C112" s="1477">
        <f>Tables!C1800</f>
        <v>3999000</v>
      </c>
      <c r="D112" s="1477">
        <f>Tables!C1804</f>
        <v>15425230.145088594</v>
      </c>
      <c r="E112" s="1477">
        <f t="shared" si="1"/>
        <v>19424230.145088594</v>
      </c>
    </row>
    <row r="113" spans="1:5">
      <c r="A113" s="2273"/>
      <c r="B113" s="1476" t="s">
        <v>1081</v>
      </c>
      <c r="C113" s="1477">
        <f>Tables!C1815</f>
        <v>20725246</v>
      </c>
      <c r="D113" s="1477">
        <f>Tables!C1819</f>
        <v>5602756.5499999998</v>
      </c>
      <c r="E113" s="1477">
        <f t="shared" si="1"/>
        <v>26328002.550000001</v>
      </c>
    </row>
    <row r="114" spans="1:5" s="1480" customFormat="1" ht="20.399999999999999">
      <c r="A114" s="2273" t="s">
        <v>1169</v>
      </c>
      <c r="B114" s="1474" t="s">
        <v>510</v>
      </c>
      <c r="C114" s="1475">
        <f>SUM(C115:C121)</f>
        <v>69791817.400000006</v>
      </c>
      <c r="D114" s="1475">
        <f t="shared" ref="D114:E114" si="10">SUM(D115:D121)</f>
        <v>29444468</v>
      </c>
      <c r="E114" s="1475">
        <f t="shared" si="10"/>
        <v>99236285.400000006</v>
      </c>
    </row>
    <row r="115" spans="1:5" ht="36">
      <c r="A115" s="2273"/>
      <c r="B115" s="1476" t="s">
        <v>1168</v>
      </c>
      <c r="C115" s="1477">
        <f>Tables!C1876</f>
        <v>46534220</v>
      </c>
      <c r="D115" s="1477">
        <f>Tables!C1880</f>
        <v>4429012</v>
      </c>
      <c r="E115" s="1477">
        <f t="shared" si="1"/>
        <v>50963232</v>
      </c>
    </row>
    <row r="116" spans="1:5">
      <c r="A116" s="2273"/>
      <c r="B116" s="1476" t="s">
        <v>1098</v>
      </c>
      <c r="C116" s="1477">
        <f>Tables!C1890</f>
        <v>7791543.4000000004</v>
      </c>
      <c r="D116" s="1477">
        <f>Tables!C1894</f>
        <v>2707006</v>
      </c>
      <c r="E116" s="1477">
        <f t="shared" si="1"/>
        <v>10498549.4</v>
      </c>
    </row>
    <row r="117" spans="1:5">
      <c r="A117" s="2273"/>
      <c r="B117" s="1476" t="s">
        <v>1100</v>
      </c>
      <c r="C117" s="1477">
        <f>Tables!C1903</f>
        <v>12031561</v>
      </c>
      <c r="D117" s="1477">
        <f>Tables!C1907</f>
        <v>11564545</v>
      </c>
      <c r="E117" s="1477">
        <f t="shared" si="1"/>
        <v>23596106</v>
      </c>
    </row>
    <row r="118" spans="1:5">
      <c r="A118" s="2273"/>
      <c r="B118" s="1476" t="s">
        <v>1090</v>
      </c>
      <c r="C118" s="1477">
        <f>Tables!C1915</f>
        <v>966690</v>
      </c>
      <c r="D118" s="1477">
        <f>Tables!C1919</f>
        <v>0</v>
      </c>
      <c r="E118" s="1477">
        <f t="shared" si="1"/>
        <v>966690</v>
      </c>
    </row>
    <row r="119" spans="1:5">
      <c r="A119" s="2273"/>
      <c r="B119" s="1376" t="s">
        <v>1091</v>
      </c>
      <c r="C119" s="1477">
        <f>Tables!C1927</f>
        <v>302323</v>
      </c>
      <c r="D119" s="1477">
        <f>Tables!C1931</f>
        <v>2499734</v>
      </c>
      <c r="E119" s="1477">
        <f t="shared" si="1"/>
        <v>2802057</v>
      </c>
    </row>
    <row r="120" spans="1:5">
      <c r="A120" s="2273"/>
      <c r="B120" s="1476" t="s">
        <v>1097</v>
      </c>
      <c r="C120" s="1477">
        <f>Tables!C1939</f>
        <v>1753017</v>
      </c>
      <c r="D120" s="1477">
        <f>Tables!C1943</f>
        <v>7734050</v>
      </c>
      <c r="E120" s="1477">
        <f t="shared" si="1"/>
        <v>9487067</v>
      </c>
    </row>
    <row r="121" spans="1:5">
      <c r="A121" s="2273"/>
      <c r="B121" s="1476" t="s">
        <v>750</v>
      </c>
      <c r="C121" s="1477">
        <f>Tables!C1952</f>
        <v>412463</v>
      </c>
      <c r="D121" s="1477">
        <f>Tables!C1956</f>
        <v>510121</v>
      </c>
      <c r="E121" s="1477">
        <f t="shared" si="1"/>
        <v>922584</v>
      </c>
    </row>
    <row r="122" spans="1:5" s="1480" customFormat="1" ht="20.399999999999999">
      <c r="A122" s="2273" t="s">
        <v>1170</v>
      </c>
      <c r="B122" s="1474" t="s">
        <v>510</v>
      </c>
      <c r="C122" s="1475">
        <f>SUM(C123:C130)</f>
        <v>358396307</v>
      </c>
      <c r="D122" s="1475">
        <f t="shared" ref="D122:E122" si="11">SUM(D123:D130)</f>
        <v>580217670.67609525</v>
      </c>
      <c r="E122" s="1475">
        <f t="shared" si="11"/>
        <v>938613977.67609525</v>
      </c>
    </row>
    <row r="123" spans="1:5" ht="36">
      <c r="A123" s="2273"/>
      <c r="B123" s="1476" t="s">
        <v>1139</v>
      </c>
      <c r="C123" s="1477">
        <f>Tables!C2007</f>
        <v>216124641</v>
      </c>
      <c r="D123" s="1477">
        <f>Tables!C2011</f>
        <v>0</v>
      </c>
      <c r="E123" s="1477">
        <f t="shared" si="1"/>
        <v>216124641</v>
      </c>
    </row>
    <row r="124" spans="1:5" ht="36">
      <c r="A124" s="2273"/>
      <c r="B124" s="1376" t="s">
        <v>1105</v>
      </c>
      <c r="C124" s="1477">
        <f>Tables!C2023</f>
        <v>6908038</v>
      </c>
      <c r="D124" s="1477">
        <f>Tables!C2027</f>
        <v>215060292.25</v>
      </c>
      <c r="E124" s="1477">
        <f t="shared" ref="E124:E137" si="12">C124+D124</f>
        <v>221968330.25</v>
      </c>
    </row>
    <row r="125" spans="1:5" ht="36">
      <c r="A125" s="2273"/>
      <c r="B125" s="1376" t="s">
        <v>1107</v>
      </c>
      <c r="C125" s="1477">
        <f>Tables!C2038</f>
        <v>39881638</v>
      </c>
      <c r="D125" s="1477">
        <f>Tables!C2042</f>
        <v>277909181.25999999</v>
      </c>
      <c r="E125" s="1477">
        <f t="shared" si="12"/>
        <v>317790819.25999999</v>
      </c>
    </row>
    <row r="126" spans="1:5">
      <c r="A126" s="2273"/>
      <c r="B126" s="1376" t="s">
        <v>1108</v>
      </c>
      <c r="C126" s="1477">
        <f>Tables!C2051</f>
        <v>20190034</v>
      </c>
      <c r="D126" s="1477">
        <f>Tables!C2055</f>
        <v>70027301</v>
      </c>
      <c r="E126" s="1477">
        <f t="shared" si="12"/>
        <v>90217335</v>
      </c>
    </row>
    <row r="127" spans="1:5">
      <c r="A127" s="2273"/>
      <c r="B127" s="1376" t="s">
        <v>1110</v>
      </c>
      <c r="C127" s="1477">
        <f>Tables!C2065</f>
        <v>2810676</v>
      </c>
      <c r="D127" s="1477">
        <f>Tables!C2069</f>
        <v>0</v>
      </c>
      <c r="E127" s="1477">
        <f t="shared" si="12"/>
        <v>2810676</v>
      </c>
    </row>
    <row r="128" spans="1:5" ht="36">
      <c r="A128" s="2273"/>
      <c r="B128" s="1376" t="s">
        <v>264</v>
      </c>
      <c r="C128" s="1477">
        <f>Tables!C2080</f>
        <v>59690830</v>
      </c>
      <c r="D128" s="1477">
        <f>Tables!C2084</f>
        <v>0</v>
      </c>
      <c r="E128" s="1477">
        <f t="shared" si="12"/>
        <v>59690830</v>
      </c>
    </row>
    <row r="129" spans="1:5" ht="36">
      <c r="A129" s="2273"/>
      <c r="B129" s="1376" t="s">
        <v>1772</v>
      </c>
      <c r="C129" s="1477">
        <f>Tables!C2094</f>
        <v>5359372</v>
      </c>
      <c r="D129" s="1477">
        <f>Tables!C2098</f>
        <v>6004213.1660952568</v>
      </c>
      <c r="E129" s="1477">
        <f t="shared" si="12"/>
        <v>11363585.166095257</v>
      </c>
    </row>
    <row r="130" spans="1:5">
      <c r="A130" s="2273"/>
      <c r="B130" s="1376" t="s">
        <v>1112</v>
      </c>
      <c r="C130" s="1477">
        <f>Tables!C2106</f>
        <v>7431078</v>
      </c>
      <c r="D130" s="1477">
        <f>Tables!C2110</f>
        <v>11216683</v>
      </c>
      <c r="E130" s="1477">
        <f t="shared" si="12"/>
        <v>18647761</v>
      </c>
    </row>
    <row r="131" spans="1:5" s="1480" customFormat="1" ht="20.399999999999999">
      <c r="A131" s="2273" t="s">
        <v>1171</v>
      </c>
      <c r="B131" s="1474" t="s">
        <v>510</v>
      </c>
      <c r="C131" s="1475">
        <f>C133+C132+C137+C134+C135+C136</f>
        <v>102234063.50000237</v>
      </c>
      <c r="D131" s="1475">
        <f t="shared" ref="D131:E131" si="13">D133+D132+D137+D134+D135+D136</f>
        <v>265625923.89939308</v>
      </c>
      <c r="E131" s="1475">
        <f t="shared" si="13"/>
        <v>367859987.39939547</v>
      </c>
    </row>
    <row r="132" spans="1:5" s="1480" customFormat="1" ht="36">
      <c r="A132" s="2273"/>
      <c r="B132" s="1376" t="s">
        <v>1139</v>
      </c>
      <c r="C132" s="1477">
        <f>Tables!C2150</f>
        <v>79601270</v>
      </c>
      <c r="D132" s="1477">
        <f>Tables!C2154</f>
        <v>0</v>
      </c>
      <c r="E132" s="1477">
        <f t="shared" si="12"/>
        <v>79601270</v>
      </c>
    </row>
    <row r="133" spans="1:5">
      <c r="A133" s="2273"/>
      <c r="B133" s="1376" t="s">
        <v>1124</v>
      </c>
      <c r="C133" s="1482">
        <f>Tables!C2164</f>
        <v>2314100</v>
      </c>
      <c r="D133" s="1482">
        <f>Tables!C2168</f>
        <v>0</v>
      </c>
      <c r="E133" s="1477">
        <f t="shared" si="12"/>
        <v>2314100</v>
      </c>
    </row>
    <row r="134" spans="1:5">
      <c r="A134" s="2273"/>
      <c r="B134" s="1376" t="s">
        <v>1126</v>
      </c>
      <c r="C134" s="1482">
        <f>Tables!C2178</f>
        <v>3275500</v>
      </c>
      <c r="D134" s="1482">
        <f>Tables!C2182</f>
        <v>22015760</v>
      </c>
      <c r="E134" s="1477">
        <f t="shared" si="12"/>
        <v>25291260</v>
      </c>
    </row>
    <row r="135" spans="1:5">
      <c r="A135" s="2273"/>
      <c r="B135" s="1376" t="s">
        <v>1120</v>
      </c>
      <c r="C135" s="1482">
        <f>Tables!C2190</f>
        <v>5111083.9800000004</v>
      </c>
      <c r="D135" s="1482">
        <f>Tables!C2194</f>
        <v>0</v>
      </c>
      <c r="E135" s="1477">
        <f t="shared" si="12"/>
        <v>5111083.9800000004</v>
      </c>
    </row>
    <row r="136" spans="1:5">
      <c r="A136" s="2273"/>
      <c r="B136" s="1376" t="s">
        <v>1121</v>
      </c>
      <c r="C136" s="1482">
        <f>Tables!C2203</f>
        <v>5076400</v>
      </c>
      <c r="D136" s="1482">
        <f>Tables!C2207</f>
        <v>39686128</v>
      </c>
      <c r="E136" s="1477">
        <f t="shared" si="12"/>
        <v>44762528</v>
      </c>
    </row>
    <row r="137" spans="1:5">
      <c r="A137" s="2273"/>
      <c r="B137" s="1376" t="s">
        <v>843</v>
      </c>
      <c r="C137" s="1482">
        <f>Tables!C2216</f>
        <v>6855709.5200023651</v>
      </c>
      <c r="D137" s="1482">
        <f>Tables!C2220</f>
        <v>203924035.89939308</v>
      </c>
      <c r="E137" s="1477">
        <f t="shared" si="12"/>
        <v>210779745.41939545</v>
      </c>
    </row>
    <row r="138" spans="1:5">
      <c r="A138" s="1486"/>
      <c r="B138" s="1487"/>
      <c r="C138" s="1488"/>
      <c r="D138" s="1488"/>
      <c r="E138" s="1488"/>
    </row>
    <row r="139" spans="1:5" ht="61.2">
      <c r="A139" s="1486" t="s">
        <v>1172</v>
      </c>
      <c r="B139" s="1489"/>
      <c r="C139" s="1490">
        <f>C24+C131+C114+C108+C105+C100+C91+C81+C68+C62+C47+C42+C37+C31+C6+C122</f>
        <v>9546262662.5914936</v>
      </c>
      <c r="D139" s="1490">
        <f t="shared" ref="D139:E139" si="14">D24+D131+D114+D108+D105+D100+D91+D81+D68+D62+D47+D42+D37+D31+D6+D122</f>
        <v>4751753572.4385958</v>
      </c>
      <c r="E139" s="1490">
        <f t="shared" si="14"/>
        <v>14298016235.030092</v>
      </c>
    </row>
    <row r="140" spans="1:5" s="1480" customFormat="1" ht="20.399999999999999">
      <c r="A140" s="1486"/>
      <c r="B140" s="1489" t="s">
        <v>1173</v>
      </c>
      <c r="C140" s="1491">
        <f>C139-C105</f>
        <v>8416132110.5914936</v>
      </c>
      <c r="D140" s="1491">
        <f>D139-D105</f>
        <v>4610853011.4385958</v>
      </c>
      <c r="E140" s="1491">
        <f>E139-E105</f>
        <v>13026985122.030092</v>
      </c>
    </row>
    <row r="141" spans="1:5" s="1480" customFormat="1" ht="20.399999999999999">
      <c r="A141" s="1486"/>
      <c r="B141" s="1489" t="s">
        <v>1174</v>
      </c>
      <c r="C141" s="1491">
        <f>C105</f>
        <v>1130130552</v>
      </c>
      <c r="D141" s="1491">
        <f>D105</f>
        <v>140900561</v>
      </c>
      <c r="E141" s="1491">
        <f>E105</f>
        <v>1271031113</v>
      </c>
    </row>
    <row r="142" spans="1:5" s="1480" customFormat="1" ht="20.399999999999999">
      <c r="A142" s="1486"/>
      <c r="B142" s="1489" t="s">
        <v>1175</v>
      </c>
      <c r="C142" s="1492">
        <f>C140+C141</f>
        <v>9546262662.5914936</v>
      </c>
      <c r="D142" s="1492">
        <f t="shared" ref="D142" si="15">D140+D141</f>
        <v>4751753572.4385958</v>
      </c>
      <c r="E142" s="1492">
        <f>E140+E141</f>
        <v>14298016235.030092</v>
      </c>
    </row>
    <row r="143" spans="1:5">
      <c r="A143" s="1493"/>
      <c r="B143" s="1489" t="s">
        <v>1176</v>
      </c>
      <c r="C143" s="1494">
        <f>C142/E142</f>
        <v>0.66766343705801523</v>
      </c>
      <c r="D143" s="1494">
        <f>D142/E142</f>
        <v>0.3323365629419846</v>
      </c>
      <c r="E143" s="1494">
        <f>E142/E142</f>
        <v>1</v>
      </c>
    </row>
    <row r="144" spans="1:5">
      <c r="E144" s="1495"/>
    </row>
    <row r="145" spans="5:5">
      <c r="E145" s="1496"/>
    </row>
  </sheetData>
  <mergeCells count="21">
    <mergeCell ref="A1:E1"/>
    <mergeCell ref="A3:E3"/>
    <mergeCell ref="A2:E2"/>
    <mergeCell ref="B4:B5"/>
    <mergeCell ref="A122:A130"/>
    <mergeCell ref="A4:A5"/>
    <mergeCell ref="A114:A121"/>
    <mergeCell ref="A24:A30"/>
    <mergeCell ref="A105:A107"/>
    <mergeCell ref="A108:A113"/>
    <mergeCell ref="A37:A41"/>
    <mergeCell ref="A91:A99"/>
    <mergeCell ref="A68:A80"/>
    <mergeCell ref="A81:A90"/>
    <mergeCell ref="A62:A67"/>
    <mergeCell ref="A100:A104"/>
    <mergeCell ref="A131:A137"/>
    <mergeCell ref="A31:A36"/>
    <mergeCell ref="A6:A23"/>
    <mergeCell ref="A42:A46"/>
    <mergeCell ref="A47:A61"/>
  </mergeCells>
  <pageMargins left="0.70866141732283505" right="0.70866141732283505" top="0.74803149606299202" bottom="0.74803149606299202" header="0.31496062992126" footer="0.31496062992126"/>
  <pageSetup paperSize="9" scale="19" orientation="portrait" r:id="rId1"/>
  <headerFooter>
    <oddFooter>Page &amp;P of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B1:N4949"/>
  <sheetViews>
    <sheetView zoomScale="85" workbookViewId="0">
      <selection activeCell="E13" sqref="E13"/>
    </sheetView>
  </sheetViews>
  <sheetFormatPr defaultColWidth="9.109375" defaultRowHeight="15"/>
  <cols>
    <col min="1" max="1" width="10.44140625" style="1497" bestFit="1" customWidth="1"/>
    <col min="2" max="2" width="12.44140625" style="1498" customWidth="1"/>
    <col min="3" max="3" width="10.5546875" style="1498" customWidth="1"/>
    <col min="4" max="4" width="18.109375" style="1499" customWidth="1"/>
    <col min="5" max="5" width="88.44140625" style="1500" customWidth="1"/>
    <col min="6" max="6" width="26.5546875" style="102" bestFit="1" customWidth="1"/>
    <col min="7" max="7" width="5" style="1497" customWidth="1"/>
    <col min="8" max="8" width="4.5546875" style="1498" hidden="1" customWidth="1"/>
    <col min="9" max="9" width="5.109375" style="1498" hidden="1" customWidth="1"/>
    <col min="10" max="10" width="18.109375" style="1499" hidden="1" customWidth="1"/>
    <col min="11" max="11" width="88.44140625" style="1500" hidden="1" customWidth="1"/>
    <col min="12" max="12" width="28.88671875" style="102" bestFit="1" customWidth="1"/>
    <col min="13" max="13" width="5.44140625" style="1497" customWidth="1"/>
    <col min="14" max="14" width="19.44140625" style="102" customWidth="1"/>
    <col min="15" max="16384" width="9.109375" style="1497"/>
  </cols>
  <sheetData>
    <row r="1" spans="2:14">
      <c r="B1" s="1501" t="s">
        <v>1796</v>
      </c>
      <c r="C1" s="1501"/>
      <c r="D1" s="1501"/>
      <c r="E1" s="1502"/>
      <c r="F1" s="1501"/>
      <c r="H1" s="1501" t="s">
        <v>1796</v>
      </c>
      <c r="I1" s="1501"/>
      <c r="J1" s="1501"/>
      <c r="K1" s="1502"/>
      <c r="L1" s="1501"/>
      <c r="N1" s="1501" t="s">
        <v>1666</v>
      </c>
    </row>
    <row r="2" spans="2:14">
      <c r="B2" s="1503" t="s">
        <v>3</v>
      </c>
      <c r="C2" s="1503" t="s">
        <v>4</v>
      </c>
      <c r="D2" s="1504" t="s">
        <v>5</v>
      </c>
      <c r="E2" s="1505" t="s">
        <v>6</v>
      </c>
      <c r="F2" s="1506" t="s">
        <v>1859</v>
      </c>
      <c r="H2" s="1503" t="s">
        <v>3</v>
      </c>
      <c r="I2" s="1503" t="s">
        <v>4</v>
      </c>
      <c r="J2" s="1504" t="s">
        <v>5</v>
      </c>
      <c r="K2" s="1505" t="s">
        <v>6</v>
      </c>
      <c r="L2" s="1506" t="s">
        <v>1863</v>
      </c>
      <c r="N2" s="1506"/>
    </row>
    <row r="3" spans="2:14">
      <c r="B3" s="36"/>
      <c r="C3" s="36"/>
      <c r="D3" s="1507" t="s">
        <v>8</v>
      </c>
      <c r="E3" s="1508"/>
      <c r="F3" s="131"/>
      <c r="H3" s="36"/>
      <c r="I3" s="36"/>
      <c r="J3" s="1507" t="s">
        <v>8</v>
      </c>
      <c r="K3" s="1508"/>
      <c r="L3" s="131"/>
      <c r="N3" s="131"/>
    </row>
    <row r="4" spans="2:14">
      <c r="B4" s="36"/>
      <c r="C4" s="36" t="s">
        <v>9</v>
      </c>
      <c r="D4" s="1507" t="s">
        <v>10</v>
      </c>
      <c r="E4" s="1508"/>
      <c r="F4" s="131"/>
      <c r="H4" s="36"/>
      <c r="I4" s="36" t="s">
        <v>9</v>
      </c>
      <c r="J4" s="1507" t="s">
        <v>10</v>
      </c>
      <c r="K4" s="1508"/>
      <c r="L4" s="131"/>
      <c r="N4" s="131"/>
    </row>
    <row r="5" spans="2:14">
      <c r="B5" s="36"/>
      <c r="C5" s="36"/>
      <c r="D5" s="1507" t="s">
        <v>11</v>
      </c>
      <c r="E5" s="1508"/>
      <c r="F5" s="131"/>
      <c r="H5" s="36"/>
      <c r="I5" s="36"/>
      <c r="J5" s="1507" t="s">
        <v>11</v>
      </c>
      <c r="K5" s="1508"/>
      <c r="L5" s="131"/>
      <c r="N5" s="131"/>
    </row>
    <row r="6" spans="2:14">
      <c r="B6" s="36"/>
      <c r="C6" s="36"/>
      <c r="D6" s="1507" t="s">
        <v>12</v>
      </c>
      <c r="E6" s="1508"/>
      <c r="F6" s="131"/>
      <c r="H6" s="36"/>
      <c r="I6" s="36"/>
      <c r="J6" s="1507" t="s">
        <v>12</v>
      </c>
      <c r="K6" s="1508"/>
      <c r="L6" s="131"/>
      <c r="N6" s="131"/>
    </row>
    <row r="7" spans="2:14">
      <c r="B7" s="27"/>
      <c r="C7" s="27"/>
      <c r="D7" s="1509">
        <v>2110100</v>
      </c>
      <c r="E7" s="1510" t="s">
        <v>13</v>
      </c>
      <c r="F7" s="1511">
        <v>508750023</v>
      </c>
      <c r="H7" s="27"/>
      <c r="I7" s="27"/>
      <c r="J7" s="1509">
        <v>2110100</v>
      </c>
      <c r="K7" s="1510" t="s">
        <v>13</v>
      </c>
      <c r="L7" s="1511">
        <v>508750023</v>
      </c>
      <c r="N7" s="1512">
        <f>F7-L7</f>
        <v>0</v>
      </c>
    </row>
    <row r="8" spans="2:14">
      <c r="B8" s="25"/>
      <c r="C8" s="25"/>
      <c r="D8" s="19">
        <v>2110101</v>
      </c>
      <c r="E8" s="86" t="s">
        <v>14</v>
      </c>
      <c r="F8" s="1513">
        <v>508750023</v>
      </c>
      <c r="H8" s="25"/>
      <c r="I8" s="25"/>
      <c r="J8" s="19">
        <v>2110101</v>
      </c>
      <c r="K8" s="86" t="s">
        <v>14</v>
      </c>
      <c r="L8" s="1513">
        <v>508750023</v>
      </c>
      <c r="N8" s="1514">
        <f t="shared" ref="N8:N71" si="0">F8-L8</f>
        <v>0</v>
      </c>
    </row>
    <row r="9" spans="2:14">
      <c r="B9" s="26"/>
      <c r="C9" s="26"/>
      <c r="D9" s="55">
        <v>2110200</v>
      </c>
      <c r="E9" s="1515" t="s">
        <v>15</v>
      </c>
      <c r="F9" s="1511">
        <v>580000</v>
      </c>
      <c r="H9" s="26"/>
      <c r="I9" s="26"/>
      <c r="J9" s="55">
        <v>2110200</v>
      </c>
      <c r="K9" s="1515" t="s">
        <v>15</v>
      </c>
      <c r="L9" s="1511">
        <v>580000</v>
      </c>
      <c r="N9" s="1512">
        <f t="shared" si="0"/>
        <v>0</v>
      </c>
    </row>
    <row r="10" spans="2:14">
      <c r="B10" s="25"/>
      <c r="C10" s="25"/>
      <c r="D10" s="19">
        <v>2110202</v>
      </c>
      <c r="E10" s="86" t="s">
        <v>15</v>
      </c>
      <c r="F10" s="1516">
        <v>580000</v>
      </c>
      <c r="H10" s="25"/>
      <c r="I10" s="25"/>
      <c r="J10" s="19">
        <v>2110202</v>
      </c>
      <c r="K10" s="86" t="s">
        <v>15</v>
      </c>
      <c r="L10" s="1516">
        <v>580000</v>
      </c>
      <c r="N10" s="1517">
        <f t="shared" si="0"/>
        <v>0</v>
      </c>
    </row>
    <row r="11" spans="2:14">
      <c r="B11" s="25"/>
      <c r="C11" s="25"/>
      <c r="D11" s="55">
        <v>2210100</v>
      </c>
      <c r="E11" s="1515" t="s">
        <v>16</v>
      </c>
      <c r="F11" s="1511">
        <v>2330000</v>
      </c>
      <c r="H11" s="25"/>
      <c r="I11" s="25"/>
      <c r="J11" s="55">
        <v>2210100</v>
      </c>
      <c r="K11" s="1515" t="s">
        <v>16</v>
      </c>
      <c r="L11" s="1511">
        <v>2330000</v>
      </c>
      <c r="N11" s="1512">
        <f t="shared" si="0"/>
        <v>0</v>
      </c>
    </row>
    <row r="12" spans="2:14">
      <c r="B12" s="25"/>
      <c r="C12" s="25"/>
      <c r="D12" s="19">
        <v>2210101</v>
      </c>
      <c r="E12" s="86" t="s">
        <v>17</v>
      </c>
      <c r="F12" s="1516">
        <v>1550000</v>
      </c>
      <c r="H12" s="25"/>
      <c r="I12" s="25"/>
      <c r="J12" s="19">
        <v>2210101</v>
      </c>
      <c r="K12" s="86" t="s">
        <v>17</v>
      </c>
      <c r="L12" s="1516">
        <v>1550000</v>
      </c>
      <c r="N12" s="1517">
        <f t="shared" si="0"/>
        <v>0</v>
      </c>
    </row>
    <row r="13" spans="2:14">
      <c r="B13" s="25"/>
      <c r="C13" s="25"/>
      <c r="D13" s="19">
        <v>2210102</v>
      </c>
      <c r="E13" s="86" t="s">
        <v>18</v>
      </c>
      <c r="F13" s="1516">
        <v>780000</v>
      </c>
      <c r="H13" s="25"/>
      <c r="I13" s="25"/>
      <c r="J13" s="19">
        <v>2210102</v>
      </c>
      <c r="K13" s="86" t="s">
        <v>18</v>
      </c>
      <c r="L13" s="1516">
        <v>780000</v>
      </c>
      <c r="N13" s="1517">
        <f t="shared" si="0"/>
        <v>0</v>
      </c>
    </row>
    <row r="14" spans="2:14">
      <c r="B14" s="26"/>
      <c r="C14" s="26"/>
      <c r="D14" s="55" t="s">
        <v>19</v>
      </c>
      <c r="E14" s="1515" t="s">
        <v>20</v>
      </c>
      <c r="F14" s="1511">
        <v>1572000</v>
      </c>
      <c r="H14" s="26"/>
      <c r="I14" s="26"/>
      <c r="J14" s="55" t="s">
        <v>19</v>
      </c>
      <c r="K14" s="1515" t="s">
        <v>20</v>
      </c>
      <c r="L14" s="1511">
        <v>1572000</v>
      </c>
      <c r="N14" s="1512">
        <f t="shared" si="0"/>
        <v>0</v>
      </c>
    </row>
    <row r="15" spans="2:14">
      <c r="B15" s="25"/>
      <c r="C15" s="25"/>
      <c r="D15" s="19">
        <v>2210201</v>
      </c>
      <c r="E15" s="86" t="s">
        <v>21</v>
      </c>
      <c r="F15" s="1516">
        <v>892000</v>
      </c>
      <c r="H15" s="25"/>
      <c r="I15" s="25"/>
      <c r="J15" s="19">
        <v>2210201</v>
      </c>
      <c r="K15" s="86" t="s">
        <v>21</v>
      </c>
      <c r="L15" s="1516">
        <v>892000</v>
      </c>
      <c r="N15" s="1517">
        <f t="shared" si="0"/>
        <v>0</v>
      </c>
    </row>
    <row r="16" spans="2:14">
      <c r="B16" s="25"/>
      <c r="C16" s="25"/>
      <c r="D16" s="19">
        <v>2210202</v>
      </c>
      <c r="E16" s="86" t="s">
        <v>22</v>
      </c>
      <c r="F16" s="1516">
        <v>580000</v>
      </c>
      <c r="H16" s="25"/>
      <c r="I16" s="25"/>
      <c r="J16" s="19">
        <v>2210202</v>
      </c>
      <c r="K16" s="86" t="s">
        <v>22</v>
      </c>
      <c r="L16" s="1516">
        <v>580000</v>
      </c>
      <c r="N16" s="1517">
        <f t="shared" si="0"/>
        <v>0</v>
      </c>
    </row>
    <row r="17" spans="2:14">
      <c r="B17" s="25"/>
      <c r="C17" s="25"/>
      <c r="D17" s="19">
        <v>2210203</v>
      </c>
      <c r="E17" s="20" t="s">
        <v>23</v>
      </c>
      <c r="F17" s="1516">
        <v>100000</v>
      </c>
      <c r="H17" s="25"/>
      <c r="I17" s="25"/>
      <c r="J17" s="19">
        <v>2210203</v>
      </c>
      <c r="K17" s="20" t="s">
        <v>23</v>
      </c>
      <c r="L17" s="1516">
        <v>100000</v>
      </c>
      <c r="N17" s="1517">
        <f t="shared" si="0"/>
        <v>0</v>
      </c>
    </row>
    <row r="18" spans="2:14">
      <c r="B18" s="26"/>
      <c r="C18" s="26"/>
      <c r="D18" s="55">
        <v>2210300</v>
      </c>
      <c r="E18" s="1518" t="s">
        <v>24</v>
      </c>
      <c r="F18" s="1511">
        <v>2240000</v>
      </c>
      <c r="H18" s="26"/>
      <c r="I18" s="26"/>
      <c r="J18" s="55">
        <v>2210300</v>
      </c>
      <c r="K18" s="1518" t="s">
        <v>24</v>
      </c>
      <c r="L18" s="1511">
        <v>2240000</v>
      </c>
      <c r="N18" s="1512">
        <f t="shared" si="0"/>
        <v>0</v>
      </c>
    </row>
    <row r="19" spans="2:14">
      <c r="B19" s="25"/>
      <c r="C19" s="25"/>
      <c r="D19" s="19">
        <v>2210301</v>
      </c>
      <c r="E19" s="20" t="s">
        <v>25</v>
      </c>
      <c r="F19" s="1516">
        <v>500000</v>
      </c>
      <c r="H19" s="25"/>
      <c r="I19" s="25"/>
      <c r="J19" s="19">
        <v>2210301</v>
      </c>
      <c r="K19" s="20" t="s">
        <v>25</v>
      </c>
      <c r="L19" s="1516">
        <v>500000</v>
      </c>
      <c r="N19" s="1517">
        <f t="shared" si="0"/>
        <v>0</v>
      </c>
    </row>
    <row r="20" spans="2:14">
      <c r="B20" s="25"/>
      <c r="C20" s="25"/>
      <c r="D20" s="19">
        <v>2210302</v>
      </c>
      <c r="E20" s="20" t="s">
        <v>26</v>
      </c>
      <c r="F20" s="1516">
        <v>500000</v>
      </c>
      <c r="H20" s="25"/>
      <c r="I20" s="25"/>
      <c r="J20" s="19">
        <v>2210302</v>
      </c>
      <c r="K20" s="20" t="s">
        <v>26</v>
      </c>
      <c r="L20" s="1516">
        <v>500000</v>
      </c>
      <c r="N20" s="1517">
        <f t="shared" si="0"/>
        <v>0</v>
      </c>
    </row>
    <row r="21" spans="2:14">
      <c r="B21" s="25"/>
      <c r="C21" s="25"/>
      <c r="D21" s="19">
        <v>2210303</v>
      </c>
      <c r="E21" s="20" t="s">
        <v>27</v>
      </c>
      <c r="F21" s="1516">
        <v>660000</v>
      </c>
      <c r="H21" s="25"/>
      <c r="I21" s="25"/>
      <c r="J21" s="19">
        <v>2210303</v>
      </c>
      <c r="K21" s="20" t="s">
        <v>27</v>
      </c>
      <c r="L21" s="1516">
        <v>660000</v>
      </c>
      <c r="N21" s="1517">
        <f t="shared" si="0"/>
        <v>0</v>
      </c>
    </row>
    <row r="22" spans="2:14">
      <c r="B22" s="25"/>
      <c r="C22" s="25"/>
      <c r="D22" s="19">
        <v>2210304</v>
      </c>
      <c r="E22" s="20" t="s">
        <v>28</v>
      </c>
      <c r="F22" s="1516">
        <v>580000</v>
      </c>
      <c r="H22" s="25"/>
      <c r="I22" s="25"/>
      <c r="J22" s="19">
        <v>2210304</v>
      </c>
      <c r="K22" s="20" t="s">
        <v>28</v>
      </c>
      <c r="L22" s="1516">
        <v>580000</v>
      </c>
      <c r="N22" s="1517">
        <f t="shared" si="0"/>
        <v>0</v>
      </c>
    </row>
    <row r="23" spans="2:14">
      <c r="B23" s="26"/>
      <c r="C23" s="26"/>
      <c r="D23" s="55">
        <v>2210400</v>
      </c>
      <c r="E23" s="1518" t="s">
        <v>29</v>
      </c>
      <c r="F23" s="1511">
        <v>1740000</v>
      </c>
      <c r="H23" s="26"/>
      <c r="I23" s="26"/>
      <c r="J23" s="55">
        <v>2210400</v>
      </c>
      <c r="K23" s="1518" t="s">
        <v>29</v>
      </c>
      <c r="L23" s="1511">
        <v>1740000</v>
      </c>
      <c r="N23" s="1512">
        <f t="shared" si="0"/>
        <v>0</v>
      </c>
    </row>
    <row r="24" spans="2:14">
      <c r="B24" s="25"/>
      <c r="C24" s="25"/>
      <c r="D24" s="19">
        <v>2210401</v>
      </c>
      <c r="E24" s="20" t="s">
        <v>25</v>
      </c>
      <c r="F24" s="1516">
        <v>580000</v>
      </c>
      <c r="H24" s="25"/>
      <c r="I24" s="25"/>
      <c r="J24" s="19">
        <v>2210401</v>
      </c>
      <c r="K24" s="20" t="s">
        <v>25</v>
      </c>
      <c r="L24" s="1516">
        <v>580000</v>
      </c>
      <c r="N24" s="1517">
        <f t="shared" si="0"/>
        <v>0</v>
      </c>
    </row>
    <row r="25" spans="2:14">
      <c r="B25" s="25"/>
      <c r="C25" s="25"/>
      <c r="D25" s="19">
        <v>2210402</v>
      </c>
      <c r="E25" s="20" t="s">
        <v>30</v>
      </c>
      <c r="F25" s="1516">
        <v>870000</v>
      </c>
      <c r="H25" s="25"/>
      <c r="I25" s="25"/>
      <c r="J25" s="19">
        <v>2210402</v>
      </c>
      <c r="K25" s="20" t="s">
        <v>30</v>
      </c>
      <c r="L25" s="1516">
        <v>870000</v>
      </c>
      <c r="N25" s="1517">
        <f t="shared" si="0"/>
        <v>0</v>
      </c>
    </row>
    <row r="26" spans="2:14">
      <c r="B26" s="25"/>
      <c r="C26" s="25"/>
      <c r="D26" s="19">
        <v>2210404</v>
      </c>
      <c r="E26" s="20" t="s">
        <v>28</v>
      </c>
      <c r="F26" s="1516">
        <v>290000</v>
      </c>
      <c r="H26" s="25"/>
      <c r="I26" s="25"/>
      <c r="J26" s="19">
        <v>2210404</v>
      </c>
      <c r="K26" s="20" t="s">
        <v>28</v>
      </c>
      <c r="L26" s="1516">
        <v>290000</v>
      </c>
      <c r="N26" s="1517">
        <f t="shared" si="0"/>
        <v>0</v>
      </c>
    </row>
    <row r="27" spans="2:14">
      <c r="B27" s="26"/>
      <c r="C27" s="26"/>
      <c r="D27" s="55">
        <v>2210500</v>
      </c>
      <c r="E27" s="1518" t="s">
        <v>31</v>
      </c>
      <c r="F27" s="1511">
        <v>1600000</v>
      </c>
      <c r="H27" s="26"/>
      <c r="I27" s="26"/>
      <c r="J27" s="55">
        <v>2210500</v>
      </c>
      <c r="K27" s="1518" t="s">
        <v>31</v>
      </c>
      <c r="L27" s="1511">
        <v>1600000</v>
      </c>
      <c r="N27" s="1512">
        <f t="shared" si="0"/>
        <v>0</v>
      </c>
    </row>
    <row r="28" spans="2:14">
      <c r="B28" s="25"/>
      <c r="C28" s="25"/>
      <c r="D28" s="19">
        <v>2210503</v>
      </c>
      <c r="E28" s="20" t="s">
        <v>32</v>
      </c>
      <c r="F28" s="1516">
        <v>600000</v>
      </c>
      <c r="H28" s="25"/>
      <c r="I28" s="25"/>
      <c r="J28" s="19">
        <v>2210503</v>
      </c>
      <c r="K28" s="20" t="s">
        <v>32</v>
      </c>
      <c r="L28" s="1516">
        <v>600000</v>
      </c>
      <c r="N28" s="1517">
        <f t="shared" si="0"/>
        <v>0</v>
      </c>
    </row>
    <row r="29" spans="2:14">
      <c r="B29" s="25"/>
      <c r="C29" s="25"/>
      <c r="D29" s="19">
        <v>2210504</v>
      </c>
      <c r="E29" s="20" t="s">
        <v>33</v>
      </c>
      <c r="F29" s="1516">
        <v>500000</v>
      </c>
      <c r="H29" s="25"/>
      <c r="I29" s="25"/>
      <c r="J29" s="19">
        <v>2210504</v>
      </c>
      <c r="K29" s="20" t="s">
        <v>33</v>
      </c>
      <c r="L29" s="1516">
        <v>500000</v>
      </c>
      <c r="N29" s="1517">
        <f t="shared" si="0"/>
        <v>0</v>
      </c>
    </row>
    <row r="30" spans="2:14">
      <c r="B30" s="25"/>
      <c r="C30" s="25"/>
      <c r="D30" s="19">
        <v>2210599</v>
      </c>
      <c r="E30" s="20" t="s">
        <v>34</v>
      </c>
      <c r="F30" s="1516">
        <v>500000</v>
      </c>
      <c r="H30" s="25"/>
      <c r="I30" s="25"/>
      <c r="J30" s="19">
        <v>2210599</v>
      </c>
      <c r="K30" s="20" t="s">
        <v>34</v>
      </c>
      <c r="L30" s="1516">
        <v>500000</v>
      </c>
      <c r="N30" s="1517">
        <f t="shared" si="0"/>
        <v>0</v>
      </c>
    </row>
    <row r="31" spans="2:14">
      <c r="B31" s="26"/>
      <c r="C31" s="26"/>
      <c r="D31" s="55">
        <v>2210700</v>
      </c>
      <c r="E31" s="1518" t="s">
        <v>35</v>
      </c>
      <c r="F31" s="1511">
        <v>2756000</v>
      </c>
      <c r="H31" s="26"/>
      <c r="I31" s="26"/>
      <c r="J31" s="55">
        <v>2210700</v>
      </c>
      <c r="K31" s="1518" t="s">
        <v>35</v>
      </c>
      <c r="L31" s="1511">
        <v>2756000</v>
      </c>
      <c r="N31" s="1512">
        <f t="shared" si="0"/>
        <v>0</v>
      </c>
    </row>
    <row r="32" spans="2:14">
      <c r="B32" s="25"/>
      <c r="C32" s="25"/>
      <c r="D32" s="61">
        <v>2210701</v>
      </c>
      <c r="E32" s="86" t="s">
        <v>36</v>
      </c>
      <c r="F32" s="1516">
        <v>500000</v>
      </c>
      <c r="H32" s="25"/>
      <c r="I32" s="25"/>
      <c r="J32" s="61">
        <v>2210701</v>
      </c>
      <c r="K32" s="86" t="s">
        <v>36</v>
      </c>
      <c r="L32" s="1516">
        <v>500000</v>
      </c>
      <c r="N32" s="1517">
        <f t="shared" si="0"/>
        <v>0</v>
      </c>
    </row>
    <row r="33" spans="2:14">
      <c r="B33" s="25"/>
      <c r="C33" s="25"/>
      <c r="D33" s="61">
        <v>2210702</v>
      </c>
      <c r="E33" s="86" t="s">
        <v>37</v>
      </c>
      <c r="F33" s="1516">
        <v>500000</v>
      </c>
      <c r="H33" s="25"/>
      <c r="I33" s="25"/>
      <c r="J33" s="61">
        <v>2210702</v>
      </c>
      <c r="K33" s="86" t="s">
        <v>37</v>
      </c>
      <c r="L33" s="1516">
        <v>500000</v>
      </c>
      <c r="N33" s="1517">
        <f t="shared" si="0"/>
        <v>0</v>
      </c>
    </row>
    <row r="34" spans="2:14">
      <c r="B34" s="25"/>
      <c r="C34" s="25"/>
      <c r="D34" s="61">
        <v>2210704</v>
      </c>
      <c r="E34" s="86" t="s">
        <v>38</v>
      </c>
      <c r="F34" s="1516">
        <v>300000</v>
      </c>
      <c r="H34" s="25"/>
      <c r="I34" s="25"/>
      <c r="J34" s="61">
        <v>2210704</v>
      </c>
      <c r="K34" s="86" t="s">
        <v>38</v>
      </c>
      <c r="L34" s="1516">
        <v>300000</v>
      </c>
      <c r="N34" s="1517">
        <f t="shared" si="0"/>
        <v>0</v>
      </c>
    </row>
    <row r="35" spans="2:14">
      <c r="B35" s="25"/>
      <c r="C35" s="25"/>
      <c r="D35" s="61">
        <v>2210710</v>
      </c>
      <c r="E35" s="86" t="s">
        <v>39</v>
      </c>
      <c r="F35" s="1516">
        <v>600000</v>
      </c>
      <c r="H35" s="25"/>
      <c r="I35" s="25"/>
      <c r="J35" s="61">
        <v>2210710</v>
      </c>
      <c r="K35" s="86" t="s">
        <v>39</v>
      </c>
      <c r="L35" s="1516">
        <v>600000</v>
      </c>
      <c r="N35" s="1517">
        <f t="shared" si="0"/>
        <v>0</v>
      </c>
    </row>
    <row r="36" spans="2:14">
      <c r="B36" s="25"/>
      <c r="C36" s="25"/>
      <c r="D36" s="61">
        <v>2210715</v>
      </c>
      <c r="E36" s="86" t="s">
        <v>40</v>
      </c>
      <c r="F36" s="1516">
        <v>580000</v>
      </c>
      <c r="H36" s="25"/>
      <c r="I36" s="25"/>
      <c r="J36" s="61">
        <v>2210715</v>
      </c>
      <c r="K36" s="86" t="s">
        <v>40</v>
      </c>
      <c r="L36" s="1516">
        <v>580000</v>
      </c>
      <c r="N36" s="1517">
        <f t="shared" si="0"/>
        <v>0</v>
      </c>
    </row>
    <row r="37" spans="2:14">
      <c r="B37" s="25"/>
      <c r="C37" s="25"/>
      <c r="D37" s="61">
        <v>2210799</v>
      </c>
      <c r="E37" s="86" t="s">
        <v>41</v>
      </c>
      <c r="F37" s="1516">
        <v>276000</v>
      </c>
      <c r="H37" s="25"/>
      <c r="I37" s="25"/>
      <c r="J37" s="61">
        <v>2210799</v>
      </c>
      <c r="K37" s="86" t="s">
        <v>41</v>
      </c>
      <c r="L37" s="1516">
        <v>276000</v>
      </c>
      <c r="N37" s="1517">
        <f t="shared" si="0"/>
        <v>0</v>
      </c>
    </row>
    <row r="38" spans="2:14">
      <c r="B38" s="26"/>
      <c r="C38" s="26"/>
      <c r="D38" s="55">
        <v>2210800</v>
      </c>
      <c r="E38" s="1518" t="s">
        <v>42</v>
      </c>
      <c r="F38" s="1511">
        <v>15040000</v>
      </c>
      <c r="H38" s="26"/>
      <c r="I38" s="26"/>
      <c r="J38" s="55">
        <v>2210800</v>
      </c>
      <c r="K38" s="1518" t="s">
        <v>42</v>
      </c>
      <c r="L38" s="1511">
        <v>15040000</v>
      </c>
      <c r="N38" s="1512">
        <f t="shared" si="0"/>
        <v>0</v>
      </c>
    </row>
    <row r="39" spans="2:14">
      <c r="B39" s="25"/>
      <c r="C39" s="25"/>
      <c r="D39" s="19">
        <v>2210801</v>
      </c>
      <c r="E39" s="20" t="s">
        <v>1527</v>
      </c>
      <c r="F39" s="1516">
        <v>2980000</v>
      </c>
      <c r="H39" s="25"/>
      <c r="I39" s="25"/>
      <c r="J39" s="19">
        <v>2210801</v>
      </c>
      <c r="K39" s="20" t="s">
        <v>1527</v>
      </c>
      <c r="L39" s="1516">
        <v>2980000</v>
      </c>
      <c r="N39" s="1517">
        <f t="shared" si="0"/>
        <v>0</v>
      </c>
    </row>
    <row r="40" spans="2:14">
      <c r="B40" s="25"/>
      <c r="C40" s="25"/>
      <c r="D40" s="19">
        <v>2210801</v>
      </c>
      <c r="E40" s="1519" t="s">
        <v>1528</v>
      </c>
      <c r="F40" s="1516">
        <v>1500000</v>
      </c>
      <c r="H40" s="25"/>
      <c r="I40" s="25"/>
      <c r="J40" s="19">
        <v>2210801</v>
      </c>
      <c r="K40" s="1519" t="s">
        <v>1528</v>
      </c>
      <c r="L40" s="1516">
        <v>1500000</v>
      </c>
      <c r="N40" s="1517">
        <f t="shared" si="0"/>
        <v>0</v>
      </c>
    </row>
    <row r="41" spans="2:14">
      <c r="B41" s="25"/>
      <c r="C41" s="25"/>
      <c r="D41" s="19">
        <v>2210805</v>
      </c>
      <c r="E41" s="20" t="s">
        <v>1529</v>
      </c>
      <c r="F41" s="1513">
        <v>6000000</v>
      </c>
      <c r="H41" s="25"/>
      <c r="I41" s="25"/>
      <c r="J41" s="19">
        <v>2210805</v>
      </c>
      <c r="K41" s="20" t="s">
        <v>1529</v>
      </c>
      <c r="L41" s="1513">
        <v>6000000</v>
      </c>
      <c r="N41" s="1514">
        <f t="shared" si="0"/>
        <v>0</v>
      </c>
    </row>
    <row r="42" spans="2:14">
      <c r="B42" s="25"/>
      <c r="C42" s="25"/>
      <c r="D42" s="19">
        <v>2210802</v>
      </c>
      <c r="E42" s="20" t="s">
        <v>45</v>
      </c>
      <c r="F42" s="1516">
        <v>500000</v>
      </c>
      <c r="H42" s="25"/>
      <c r="I42" s="25"/>
      <c r="J42" s="19">
        <v>2210802</v>
      </c>
      <c r="K42" s="20" t="s">
        <v>45</v>
      </c>
      <c r="L42" s="1516">
        <v>500000</v>
      </c>
      <c r="N42" s="1517">
        <f t="shared" si="0"/>
        <v>0</v>
      </c>
    </row>
    <row r="43" spans="2:14">
      <c r="B43" s="25"/>
      <c r="C43" s="25"/>
      <c r="D43" s="19">
        <v>2210899</v>
      </c>
      <c r="E43" s="20" t="s">
        <v>1530</v>
      </c>
      <c r="F43" s="1516">
        <v>4060000</v>
      </c>
      <c r="H43" s="25"/>
      <c r="I43" s="25"/>
      <c r="J43" s="19">
        <v>2210899</v>
      </c>
      <c r="K43" s="20" t="s">
        <v>1530</v>
      </c>
      <c r="L43" s="1516">
        <v>4060000</v>
      </c>
      <c r="N43" s="1517">
        <f t="shared" si="0"/>
        <v>0</v>
      </c>
    </row>
    <row r="44" spans="2:14">
      <c r="B44" s="26"/>
      <c r="C44" s="26"/>
      <c r="D44" s="55">
        <v>2210900</v>
      </c>
      <c r="E44" s="1518" t="s">
        <v>46</v>
      </c>
      <c r="F44" s="1511">
        <v>212000000</v>
      </c>
      <c r="H44" s="26"/>
      <c r="I44" s="26"/>
      <c r="J44" s="55">
        <v>2210900</v>
      </c>
      <c r="K44" s="1518" t="s">
        <v>46</v>
      </c>
      <c r="L44" s="1511">
        <v>197000000</v>
      </c>
      <c r="N44" s="1511">
        <f t="shared" si="0"/>
        <v>15000000</v>
      </c>
    </row>
    <row r="45" spans="2:14">
      <c r="B45" s="25"/>
      <c r="C45" s="25"/>
      <c r="D45" s="19">
        <v>2210902</v>
      </c>
      <c r="E45" s="20" t="s">
        <v>47</v>
      </c>
      <c r="F45" s="1513">
        <v>1000000</v>
      </c>
      <c r="H45" s="25"/>
      <c r="I45" s="25"/>
      <c r="J45" s="19">
        <v>2210902</v>
      </c>
      <c r="K45" s="20" t="s">
        <v>47</v>
      </c>
      <c r="L45" s="1513">
        <v>1000000</v>
      </c>
      <c r="N45" s="1513">
        <f t="shared" si="0"/>
        <v>0</v>
      </c>
    </row>
    <row r="46" spans="2:14">
      <c r="B46" s="1520"/>
      <c r="C46" s="1520"/>
      <c r="D46" s="1521">
        <v>2210904</v>
      </c>
      <c r="E46" s="1522" t="s">
        <v>48</v>
      </c>
      <c r="F46" s="1523">
        <v>40000000</v>
      </c>
      <c r="H46" s="25"/>
      <c r="I46" s="25"/>
      <c r="J46" s="19">
        <v>2210904</v>
      </c>
      <c r="K46" s="20" t="s">
        <v>48</v>
      </c>
      <c r="L46" s="1513">
        <v>25000000</v>
      </c>
      <c r="N46" s="1513">
        <f t="shared" si="0"/>
        <v>15000000</v>
      </c>
    </row>
    <row r="47" spans="2:14">
      <c r="B47" s="18"/>
      <c r="C47" s="18"/>
      <c r="D47" s="19">
        <v>2210910</v>
      </c>
      <c r="E47" s="20" t="s">
        <v>1531</v>
      </c>
      <c r="F47" s="1513">
        <v>171000000</v>
      </c>
      <c r="H47" s="18"/>
      <c r="I47" s="18"/>
      <c r="J47" s="19">
        <v>2210910</v>
      </c>
      <c r="K47" s="20" t="s">
        <v>1531</v>
      </c>
      <c r="L47" s="1513">
        <v>171000000</v>
      </c>
      <c r="N47" s="1513">
        <f t="shared" si="0"/>
        <v>0</v>
      </c>
    </row>
    <row r="48" spans="2:14">
      <c r="B48" s="26"/>
      <c r="C48" s="26"/>
      <c r="D48" s="55">
        <v>2211100</v>
      </c>
      <c r="E48" s="1518" t="s">
        <v>51</v>
      </c>
      <c r="F48" s="1511">
        <v>1690000</v>
      </c>
      <c r="H48" s="26"/>
      <c r="I48" s="26"/>
      <c r="J48" s="55">
        <v>2211100</v>
      </c>
      <c r="K48" s="1518" t="s">
        <v>51</v>
      </c>
      <c r="L48" s="1511">
        <v>1690000</v>
      </c>
      <c r="N48" s="1511">
        <f t="shared" si="0"/>
        <v>0</v>
      </c>
    </row>
    <row r="49" spans="2:14">
      <c r="B49" s="25"/>
      <c r="C49" s="25"/>
      <c r="D49" s="19">
        <v>2211101</v>
      </c>
      <c r="E49" s="20" t="s">
        <v>289</v>
      </c>
      <c r="F49" s="1516">
        <v>580000</v>
      </c>
      <c r="H49" s="25"/>
      <c r="I49" s="25"/>
      <c r="J49" s="19">
        <v>2211101</v>
      </c>
      <c r="K49" s="20" t="s">
        <v>289</v>
      </c>
      <c r="L49" s="1516">
        <v>580000</v>
      </c>
      <c r="N49" s="1516">
        <f t="shared" si="0"/>
        <v>0</v>
      </c>
    </row>
    <row r="50" spans="2:14">
      <c r="B50" s="26"/>
      <c r="C50" s="26"/>
      <c r="D50" s="19">
        <v>2211102</v>
      </c>
      <c r="E50" s="20" t="s">
        <v>53</v>
      </c>
      <c r="F50" s="1516">
        <v>580000</v>
      </c>
      <c r="H50" s="26"/>
      <c r="I50" s="26"/>
      <c r="J50" s="19">
        <v>2211102</v>
      </c>
      <c r="K50" s="20" t="s">
        <v>53</v>
      </c>
      <c r="L50" s="1516">
        <v>580000</v>
      </c>
      <c r="N50" s="1516">
        <f t="shared" si="0"/>
        <v>0</v>
      </c>
    </row>
    <row r="51" spans="2:14">
      <c r="B51" s="25"/>
      <c r="C51" s="25"/>
      <c r="D51" s="19">
        <v>2211103</v>
      </c>
      <c r="E51" s="20" t="s">
        <v>54</v>
      </c>
      <c r="F51" s="1516">
        <v>530000</v>
      </c>
      <c r="H51" s="25"/>
      <c r="I51" s="25"/>
      <c r="J51" s="19">
        <v>2211103</v>
      </c>
      <c r="K51" s="20" t="s">
        <v>54</v>
      </c>
      <c r="L51" s="1516">
        <v>530000</v>
      </c>
      <c r="N51" s="1516">
        <f t="shared" si="0"/>
        <v>0</v>
      </c>
    </row>
    <row r="52" spans="2:14">
      <c r="B52" s="25"/>
      <c r="C52" s="25"/>
      <c r="D52" s="55">
        <v>2211200</v>
      </c>
      <c r="E52" s="1518" t="s">
        <v>55</v>
      </c>
      <c r="F52" s="1511">
        <v>4860000</v>
      </c>
      <c r="H52" s="25"/>
      <c r="I52" s="25"/>
      <c r="J52" s="55">
        <v>2211200</v>
      </c>
      <c r="K52" s="1518" t="s">
        <v>55</v>
      </c>
      <c r="L52" s="1511">
        <v>4860000</v>
      </c>
      <c r="N52" s="1511">
        <f t="shared" si="0"/>
        <v>0</v>
      </c>
    </row>
    <row r="53" spans="2:14">
      <c r="B53" s="25"/>
      <c r="C53" s="25"/>
      <c r="D53" s="19">
        <v>2211201</v>
      </c>
      <c r="E53" s="20" t="s">
        <v>1532</v>
      </c>
      <c r="F53" s="1516">
        <v>4860000</v>
      </c>
      <c r="H53" s="25"/>
      <c r="I53" s="25"/>
      <c r="J53" s="19">
        <v>2211201</v>
      </c>
      <c r="K53" s="20" t="s">
        <v>1532</v>
      </c>
      <c r="L53" s="1516">
        <v>4860000</v>
      </c>
      <c r="N53" s="1516">
        <f t="shared" si="0"/>
        <v>0</v>
      </c>
    </row>
    <row r="54" spans="2:14">
      <c r="B54" s="26"/>
      <c r="C54" s="26"/>
      <c r="D54" s="55">
        <v>2211300</v>
      </c>
      <c r="E54" s="1518" t="s">
        <v>57</v>
      </c>
      <c r="F54" s="1511">
        <v>54110000</v>
      </c>
      <c r="H54" s="26"/>
      <c r="I54" s="26"/>
      <c r="J54" s="55">
        <v>2211300</v>
      </c>
      <c r="K54" s="1518" t="s">
        <v>57</v>
      </c>
      <c r="L54" s="1511">
        <v>34110000</v>
      </c>
      <c r="N54" s="1511">
        <f t="shared" si="0"/>
        <v>20000000</v>
      </c>
    </row>
    <row r="55" spans="2:14">
      <c r="B55" s="25"/>
      <c r="C55" s="25"/>
      <c r="D55" s="19">
        <v>2211305</v>
      </c>
      <c r="E55" s="1524" t="s">
        <v>1533</v>
      </c>
      <c r="F55" s="1516">
        <v>1440000</v>
      </c>
      <c r="H55" s="25"/>
      <c r="I55" s="25"/>
      <c r="J55" s="19">
        <v>2211305</v>
      </c>
      <c r="K55" s="1524" t="s">
        <v>1533</v>
      </c>
      <c r="L55" s="1516">
        <v>1440000</v>
      </c>
      <c r="N55" s="1516">
        <f t="shared" si="0"/>
        <v>0</v>
      </c>
    </row>
    <row r="56" spans="2:14">
      <c r="B56" s="26"/>
      <c r="C56" s="26"/>
      <c r="D56" s="19">
        <v>2211306</v>
      </c>
      <c r="E56" s="1524" t="s">
        <v>58</v>
      </c>
      <c r="F56" s="1516">
        <v>290000</v>
      </c>
      <c r="H56" s="26"/>
      <c r="I56" s="26"/>
      <c r="J56" s="19">
        <v>2211306</v>
      </c>
      <c r="K56" s="1524" t="s">
        <v>58</v>
      </c>
      <c r="L56" s="1516">
        <v>290000</v>
      </c>
      <c r="N56" s="1516">
        <f t="shared" si="0"/>
        <v>0</v>
      </c>
    </row>
    <row r="57" spans="2:14">
      <c r="B57" s="18"/>
      <c r="C57" s="18"/>
      <c r="D57" s="19">
        <v>2211310</v>
      </c>
      <c r="E57" s="20" t="s">
        <v>59</v>
      </c>
      <c r="F57" s="1516">
        <v>580000</v>
      </c>
      <c r="H57" s="18"/>
      <c r="I57" s="18"/>
      <c r="J57" s="19">
        <v>2211310</v>
      </c>
      <c r="K57" s="20" t="s">
        <v>59</v>
      </c>
      <c r="L57" s="1516">
        <v>580000</v>
      </c>
      <c r="N57" s="1516">
        <f t="shared" si="0"/>
        <v>0</v>
      </c>
    </row>
    <row r="58" spans="2:14">
      <c r="B58" s="25"/>
      <c r="C58" s="25"/>
      <c r="D58" s="19">
        <v>2211320</v>
      </c>
      <c r="E58" s="20" t="s">
        <v>1534</v>
      </c>
      <c r="F58" s="1516">
        <v>1800000</v>
      </c>
      <c r="H58" s="25"/>
      <c r="I58" s="25"/>
      <c r="J58" s="19">
        <v>2211320</v>
      </c>
      <c r="K58" s="20" t="s">
        <v>1534</v>
      </c>
      <c r="L58" s="1516">
        <v>1800000</v>
      </c>
      <c r="N58" s="1516">
        <f t="shared" si="0"/>
        <v>0</v>
      </c>
    </row>
    <row r="59" spans="2:14">
      <c r="B59" s="1520"/>
      <c r="C59" s="1520"/>
      <c r="D59" s="1521">
        <v>2211399</v>
      </c>
      <c r="E59" s="1522" t="s">
        <v>61</v>
      </c>
      <c r="F59" s="1525">
        <v>50000000</v>
      </c>
      <c r="H59" s="25"/>
      <c r="I59" s="25"/>
      <c r="J59" s="19">
        <v>2211399</v>
      </c>
      <c r="K59" s="20" t="s">
        <v>61</v>
      </c>
      <c r="L59" s="1516">
        <v>30000000</v>
      </c>
      <c r="N59" s="1516">
        <f t="shared" si="0"/>
        <v>20000000</v>
      </c>
    </row>
    <row r="60" spans="2:14">
      <c r="B60" s="25"/>
      <c r="C60" s="25"/>
      <c r="D60" s="55">
        <v>2220100</v>
      </c>
      <c r="E60" s="1518" t="s">
        <v>62</v>
      </c>
      <c r="F60" s="1511">
        <v>1960000</v>
      </c>
      <c r="H60" s="25"/>
      <c r="I60" s="25"/>
      <c r="J60" s="55">
        <v>2220100</v>
      </c>
      <c r="K60" s="1518" t="s">
        <v>62</v>
      </c>
      <c r="L60" s="1511">
        <v>1960000</v>
      </c>
      <c r="N60" s="1511">
        <f t="shared" si="0"/>
        <v>0</v>
      </c>
    </row>
    <row r="61" spans="2:14">
      <c r="B61" s="25"/>
      <c r="C61" s="25"/>
      <c r="D61" s="61">
        <v>2220101</v>
      </c>
      <c r="E61" s="86" t="s">
        <v>63</v>
      </c>
      <c r="F61" s="1516">
        <v>1160000</v>
      </c>
      <c r="H61" s="25"/>
      <c r="I61" s="25"/>
      <c r="J61" s="61">
        <v>2220101</v>
      </c>
      <c r="K61" s="86" t="s">
        <v>63</v>
      </c>
      <c r="L61" s="1516">
        <v>1160000</v>
      </c>
      <c r="N61" s="1516">
        <f t="shared" si="0"/>
        <v>0</v>
      </c>
    </row>
    <row r="62" spans="2:14">
      <c r="B62" s="26"/>
      <c r="C62" s="26"/>
      <c r="D62" s="61">
        <v>2220105</v>
      </c>
      <c r="E62" s="86" t="s">
        <v>64</v>
      </c>
      <c r="F62" s="1516">
        <v>800000</v>
      </c>
      <c r="H62" s="26"/>
      <c r="I62" s="26"/>
      <c r="J62" s="61">
        <v>2220105</v>
      </c>
      <c r="K62" s="86" t="s">
        <v>64</v>
      </c>
      <c r="L62" s="1516">
        <v>800000</v>
      </c>
      <c r="N62" s="1516">
        <f t="shared" si="0"/>
        <v>0</v>
      </c>
    </row>
    <row r="63" spans="2:14">
      <c r="B63" s="25"/>
      <c r="C63" s="25"/>
      <c r="D63" s="1526" t="s">
        <v>66</v>
      </c>
      <c r="E63" s="1518" t="s">
        <v>67</v>
      </c>
      <c r="F63" s="1511">
        <v>900000</v>
      </c>
      <c r="H63" s="25"/>
      <c r="I63" s="25"/>
      <c r="J63" s="1526" t="s">
        <v>66</v>
      </c>
      <c r="K63" s="1518" t="s">
        <v>67</v>
      </c>
      <c r="L63" s="1511">
        <v>900000</v>
      </c>
      <c r="N63" s="1511">
        <f t="shared" si="0"/>
        <v>0</v>
      </c>
    </row>
    <row r="64" spans="2:14">
      <c r="B64" s="25"/>
      <c r="C64" s="25"/>
      <c r="D64" s="19">
        <v>3111003</v>
      </c>
      <c r="E64" s="20" t="s">
        <v>1535</v>
      </c>
      <c r="F64" s="1516">
        <v>900000</v>
      </c>
      <c r="H64" s="25"/>
      <c r="I64" s="25"/>
      <c r="J64" s="19">
        <v>3111003</v>
      </c>
      <c r="K64" s="20" t="s">
        <v>1535</v>
      </c>
      <c r="L64" s="1516">
        <v>900000</v>
      </c>
      <c r="N64" s="1516">
        <f t="shared" si="0"/>
        <v>0</v>
      </c>
    </row>
    <row r="65" spans="2:14">
      <c r="B65" s="25"/>
      <c r="C65" s="25"/>
      <c r="D65" s="55">
        <v>3111000</v>
      </c>
      <c r="E65" s="1518" t="s">
        <v>69</v>
      </c>
      <c r="F65" s="1511">
        <v>950000</v>
      </c>
      <c r="H65" s="25"/>
      <c r="I65" s="25"/>
      <c r="J65" s="55">
        <v>3111000</v>
      </c>
      <c r="K65" s="1518" t="s">
        <v>69</v>
      </c>
      <c r="L65" s="1511">
        <v>950000</v>
      </c>
      <c r="N65" s="1511">
        <f t="shared" si="0"/>
        <v>0</v>
      </c>
    </row>
    <row r="66" spans="2:14">
      <c r="B66" s="25"/>
      <c r="C66" s="25"/>
      <c r="D66" s="19">
        <v>3111001</v>
      </c>
      <c r="E66" s="20" t="s">
        <v>70</v>
      </c>
      <c r="F66" s="1516">
        <v>370000</v>
      </c>
      <c r="H66" s="25"/>
      <c r="I66" s="25"/>
      <c r="J66" s="19">
        <v>3111001</v>
      </c>
      <c r="K66" s="20" t="s">
        <v>70</v>
      </c>
      <c r="L66" s="1516">
        <v>370000</v>
      </c>
      <c r="N66" s="1516">
        <f t="shared" si="0"/>
        <v>0</v>
      </c>
    </row>
    <row r="67" spans="2:14">
      <c r="B67" s="26"/>
      <c r="C67" s="26"/>
      <c r="D67" s="19">
        <v>3111002</v>
      </c>
      <c r="E67" s="20" t="s">
        <v>71</v>
      </c>
      <c r="F67" s="1516">
        <v>580000</v>
      </c>
      <c r="H67" s="26"/>
      <c r="I67" s="26"/>
      <c r="J67" s="19">
        <v>3111002</v>
      </c>
      <c r="K67" s="20" t="s">
        <v>71</v>
      </c>
      <c r="L67" s="1516">
        <v>580000</v>
      </c>
      <c r="N67" s="1516">
        <f t="shared" si="0"/>
        <v>0</v>
      </c>
    </row>
    <row r="68" spans="2:14">
      <c r="B68" s="26"/>
      <c r="C68" s="26"/>
      <c r="D68" s="55">
        <v>3111400</v>
      </c>
      <c r="E68" s="1518" t="s">
        <v>75</v>
      </c>
      <c r="F68" s="1511">
        <v>21300000</v>
      </c>
      <c r="H68" s="26"/>
      <c r="I68" s="26"/>
      <c r="J68" s="55">
        <v>3111400</v>
      </c>
      <c r="K68" s="1518" t="s">
        <v>75</v>
      </c>
      <c r="L68" s="1511">
        <v>21300000</v>
      </c>
      <c r="N68" s="1511">
        <f t="shared" si="0"/>
        <v>0</v>
      </c>
    </row>
    <row r="69" spans="2:14">
      <c r="B69" s="25"/>
      <c r="C69" s="25"/>
      <c r="D69" s="19">
        <v>3111401</v>
      </c>
      <c r="E69" s="20" t="s">
        <v>76</v>
      </c>
      <c r="F69" s="1513">
        <v>21300000</v>
      </c>
      <c r="H69" s="25"/>
      <c r="I69" s="25"/>
      <c r="J69" s="19">
        <v>3111401</v>
      </c>
      <c r="K69" s="20" t="s">
        <v>76</v>
      </c>
      <c r="L69" s="1513">
        <v>21300000</v>
      </c>
      <c r="N69" s="1513">
        <f t="shared" si="0"/>
        <v>0</v>
      </c>
    </row>
    <row r="70" spans="2:14">
      <c r="B70" s="26"/>
      <c r="C70" s="26"/>
      <c r="D70" s="55"/>
      <c r="E70" s="1518"/>
      <c r="F70" s="1527">
        <v>0</v>
      </c>
      <c r="H70" s="26"/>
      <c r="I70" s="26"/>
      <c r="J70" s="55"/>
      <c r="K70" s="1518"/>
      <c r="L70" s="1527">
        <v>0</v>
      </c>
      <c r="N70" s="1527">
        <f t="shared" si="0"/>
        <v>0</v>
      </c>
    </row>
    <row r="71" spans="2:14">
      <c r="B71" s="25"/>
      <c r="C71" s="25"/>
      <c r="D71" s="19"/>
      <c r="E71" s="20"/>
      <c r="F71" s="1516">
        <v>0</v>
      </c>
      <c r="H71" s="25"/>
      <c r="I71" s="25"/>
      <c r="J71" s="19"/>
      <c r="K71" s="20"/>
      <c r="L71" s="1516">
        <v>0</v>
      </c>
      <c r="N71" s="1516">
        <f t="shared" si="0"/>
        <v>0</v>
      </c>
    </row>
    <row r="72" spans="2:14">
      <c r="B72" s="36"/>
      <c r="C72" s="36"/>
      <c r="D72" s="1528"/>
      <c r="E72" s="1529" t="s">
        <v>77</v>
      </c>
      <c r="F72" s="1530">
        <v>834378023</v>
      </c>
      <c r="H72" s="36"/>
      <c r="I72" s="36"/>
      <c r="J72" s="1528"/>
      <c r="K72" s="1529" t="s">
        <v>77</v>
      </c>
      <c r="L72" s="1530">
        <v>799378023</v>
      </c>
      <c r="N72" s="1530">
        <f t="shared" ref="N72:N135" si="1">F72-L72</f>
        <v>35000000</v>
      </c>
    </row>
    <row r="73" spans="2:14">
      <c r="B73" s="25"/>
      <c r="C73" s="25"/>
      <c r="D73" s="1531"/>
      <c r="E73" s="1518"/>
      <c r="F73" s="139"/>
      <c r="H73" s="25"/>
      <c r="I73" s="25"/>
      <c r="J73" s="1531"/>
      <c r="K73" s="1518"/>
      <c r="L73" s="139"/>
      <c r="N73" s="139">
        <f t="shared" si="1"/>
        <v>0</v>
      </c>
    </row>
    <row r="74" spans="2:14">
      <c r="B74" s="26"/>
      <c r="C74" s="26"/>
      <c r="D74" s="1531" t="s">
        <v>78</v>
      </c>
      <c r="E74" s="1518"/>
      <c r="F74" s="139"/>
      <c r="H74" s="26"/>
      <c r="I74" s="26"/>
      <c r="J74" s="1531" t="s">
        <v>78</v>
      </c>
      <c r="K74" s="1518"/>
      <c r="L74" s="139"/>
      <c r="N74" s="139">
        <f t="shared" si="1"/>
        <v>0</v>
      </c>
    </row>
    <row r="75" spans="2:14">
      <c r="B75" s="26"/>
      <c r="C75" s="26"/>
      <c r="D75" s="55">
        <v>3110200</v>
      </c>
      <c r="E75" s="1518" t="s">
        <v>79</v>
      </c>
      <c r="F75" s="1511">
        <v>17000000</v>
      </c>
      <c r="H75" s="26"/>
      <c r="I75" s="26"/>
      <c r="J75" s="55">
        <v>3110200</v>
      </c>
      <c r="K75" s="1518" t="s">
        <v>79</v>
      </c>
      <c r="L75" s="1511">
        <v>17000000</v>
      </c>
      <c r="N75" s="1511">
        <f t="shared" si="1"/>
        <v>0</v>
      </c>
    </row>
    <row r="76" spans="2:14">
      <c r="B76" s="26"/>
      <c r="C76" s="26"/>
      <c r="D76" s="19">
        <v>3110202</v>
      </c>
      <c r="E76" s="1532" t="s">
        <v>1536</v>
      </c>
      <c r="F76" s="1513">
        <v>15000000</v>
      </c>
      <c r="H76" s="26"/>
      <c r="I76" s="26"/>
      <c r="J76" s="19">
        <v>3110202</v>
      </c>
      <c r="K76" s="1532" t="s">
        <v>1536</v>
      </c>
      <c r="L76" s="1513">
        <v>15000000</v>
      </c>
      <c r="N76" s="1513">
        <f t="shared" si="1"/>
        <v>0</v>
      </c>
    </row>
    <row r="77" spans="2:14">
      <c r="B77" s="26"/>
      <c r="C77" s="26"/>
      <c r="D77" s="19"/>
      <c r="E77" s="1532"/>
      <c r="F77" s="1513"/>
      <c r="H77" s="26"/>
      <c r="I77" s="26"/>
      <c r="J77" s="19"/>
      <c r="K77" s="1532"/>
      <c r="L77" s="1513"/>
      <c r="N77" s="1513">
        <f t="shared" si="1"/>
        <v>0</v>
      </c>
    </row>
    <row r="78" spans="2:14">
      <c r="B78" s="26"/>
      <c r="C78" s="26"/>
      <c r="D78" s="19">
        <v>3110202</v>
      </c>
      <c r="E78" s="1532" t="s">
        <v>1537</v>
      </c>
      <c r="F78" s="1513">
        <v>2000000</v>
      </c>
      <c r="H78" s="26"/>
      <c r="I78" s="26"/>
      <c r="J78" s="19">
        <v>3110202</v>
      </c>
      <c r="K78" s="1532" t="s">
        <v>1537</v>
      </c>
      <c r="L78" s="1513">
        <v>2000000</v>
      </c>
      <c r="N78" s="1513">
        <f t="shared" si="1"/>
        <v>0</v>
      </c>
    </row>
    <row r="79" spans="2:14">
      <c r="B79" s="26"/>
      <c r="C79" s="26"/>
      <c r="D79" s="55" t="s">
        <v>72</v>
      </c>
      <c r="E79" s="1533" t="s">
        <v>73</v>
      </c>
      <c r="F79" s="1511">
        <v>7500000</v>
      </c>
      <c r="H79" s="26"/>
      <c r="I79" s="26"/>
      <c r="J79" s="55" t="s">
        <v>72</v>
      </c>
      <c r="K79" s="1533" t="s">
        <v>73</v>
      </c>
      <c r="L79" s="1511">
        <v>7500000</v>
      </c>
      <c r="N79" s="1511">
        <f t="shared" si="1"/>
        <v>0</v>
      </c>
    </row>
    <row r="80" spans="2:14">
      <c r="B80" s="25"/>
      <c r="C80" s="25"/>
      <c r="D80" s="19" t="s">
        <v>1538</v>
      </c>
      <c r="E80" s="1532" t="s">
        <v>1539</v>
      </c>
      <c r="F80" s="1513">
        <v>7500000</v>
      </c>
      <c r="H80" s="25"/>
      <c r="I80" s="25"/>
      <c r="J80" s="19" t="s">
        <v>1538</v>
      </c>
      <c r="K80" s="1532" t="s">
        <v>1539</v>
      </c>
      <c r="L80" s="1513">
        <v>7500000</v>
      </c>
      <c r="N80" s="1513">
        <f t="shared" si="1"/>
        <v>0</v>
      </c>
    </row>
    <row r="81" spans="2:14">
      <c r="B81" s="26"/>
      <c r="C81" s="26"/>
      <c r="D81" s="55">
        <v>3110500</v>
      </c>
      <c r="E81" s="1518" t="s">
        <v>80</v>
      </c>
      <c r="F81" s="1511">
        <v>720474535</v>
      </c>
      <c r="H81" s="26"/>
      <c r="I81" s="26"/>
      <c r="J81" s="55">
        <v>3110500</v>
      </c>
      <c r="K81" s="1518" t="s">
        <v>80</v>
      </c>
      <c r="L81" s="1511">
        <v>720474535</v>
      </c>
      <c r="N81" s="1511">
        <f t="shared" si="1"/>
        <v>0</v>
      </c>
    </row>
    <row r="82" spans="2:14">
      <c r="B82" s="26"/>
      <c r="C82" s="26"/>
      <c r="D82" s="19">
        <v>3110504</v>
      </c>
      <c r="E82" s="20" t="s">
        <v>81</v>
      </c>
      <c r="F82" s="1513">
        <v>511200000</v>
      </c>
      <c r="H82" s="26"/>
      <c r="I82" s="26"/>
      <c r="J82" s="19">
        <v>3110504</v>
      </c>
      <c r="K82" s="20" t="s">
        <v>81</v>
      </c>
      <c r="L82" s="1513">
        <v>511200000</v>
      </c>
      <c r="N82" s="1513">
        <f t="shared" si="1"/>
        <v>0</v>
      </c>
    </row>
    <row r="83" spans="2:14">
      <c r="B83" s="25"/>
      <c r="C83" s="25"/>
      <c r="D83" s="19">
        <v>3110504</v>
      </c>
      <c r="E83" s="20" t="s">
        <v>82</v>
      </c>
      <c r="F83" s="1513">
        <v>177500000</v>
      </c>
      <c r="H83" s="25"/>
      <c r="I83" s="25"/>
      <c r="J83" s="19">
        <v>3110504</v>
      </c>
      <c r="K83" s="20" t="s">
        <v>82</v>
      </c>
      <c r="L83" s="1513">
        <v>177500000</v>
      </c>
      <c r="N83" s="1513">
        <f t="shared" si="1"/>
        <v>0</v>
      </c>
    </row>
    <row r="84" spans="2:14">
      <c r="B84" s="25"/>
      <c r="C84" s="25"/>
      <c r="D84" s="19" t="s">
        <v>1461</v>
      </c>
      <c r="E84" s="20" t="s">
        <v>1540</v>
      </c>
      <c r="F84" s="1513">
        <v>31774535</v>
      </c>
      <c r="H84" s="25"/>
      <c r="I84" s="25"/>
      <c r="J84" s="19" t="s">
        <v>1461</v>
      </c>
      <c r="K84" s="20" t="s">
        <v>1540</v>
      </c>
      <c r="L84" s="1513">
        <v>31774535</v>
      </c>
      <c r="N84" s="1513">
        <f t="shared" si="1"/>
        <v>0</v>
      </c>
    </row>
    <row r="85" spans="2:14">
      <c r="B85" s="36"/>
      <c r="C85" s="36"/>
      <c r="D85" s="1534"/>
      <c r="E85" s="1529" t="s">
        <v>83</v>
      </c>
      <c r="F85" s="1530">
        <v>744974535</v>
      </c>
      <c r="H85" s="36"/>
      <c r="I85" s="36"/>
      <c r="J85" s="1534"/>
      <c r="K85" s="1529" t="s">
        <v>83</v>
      </c>
      <c r="L85" s="1530">
        <v>744974535</v>
      </c>
      <c r="N85" s="1530">
        <f t="shared" si="1"/>
        <v>0</v>
      </c>
    </row>
    <row r="86" spans="2:14">
      <c r="B86" s="36"/>
      <c r="C86" s="36"/>
      <c r="D86" s="1534"/>
      <c r="E86" s="1529" t="s">
        <v>84</v>
      </c>
      <c r="F86" s="1530">
        <v>1579352558</v>
      </c>
      <c r="H86" s="36"/>
      <c r="I86" s="36"/>
      <c r="J86" s="1534"/>
      <c r="K86" s="1529" t="s">
        <v>84</v>
      </c>
      <c r="L86" s="1530">
        <v>1544352558</v>
      </c>
      <c r="N86" s="1530">
        <f t="shared" si="1"/>
        <v>35000000</v>
      </c>
    </row>
    <row r="87" spans="2:14">
      <c r="B87" s="36"/>
      <c r="C87" s="36"/>
      <c r="D87" s="1534"/>
      <c r="E87" s="1529"/>
      <c r="F87" s="1530"/>
      <c r="H87" s="36"/>
      <c r="I87" s="36"/>
      <c r="J87" s="1534"/>
      <c r="K87" s="1529"/>
      <c r="L87" s="1530"/>
      <c r="N87" s="1530">
        <f t="shared" si="1"/>
        <v>0</v>
      </c>
    </row>
    <row r="88" spans="2:14">
      <c r="B88" s="36"/>
      <c r="C88" s="36">
        <v>1</v>
      </c>
      <c r="D88" s="1534" t="s">
        <v>93</v>
      </c>
      <c r="E88" s="1529"/>
      <c r="F88" s="139"/>
      <c r="H88" s="36"/>
      <c r="I88" s="36">
        <v>1</v>
      </c>
      <c r="J88" s="1534" t="s">
        <v>93</v>
      </c>
      <c r="K88" s="1529"/>
      <c r="L88" s="139"/>
      <c r="N88" s="139">
        <f t="shared" si="1"/>
        <v>0</v>
      </c>
    </row>
    <row r="89" spans="2:14">
      <c r="B89" s="36"/>
      <c r="C89" s="36"/>
      <c r="D89" s="1534" t="s">
        <v>94</v>
      </c>
      <c r="E89" s="1529"/>
      <c r="F89" s="1530"/>
      <c r="H89" s="36"/>
      <c r="I89" s="36"/>
      <c r="J89" s="1534" t="s">
        <v>94</v>
      </c>
      <c r="K89" s="1529"/>
      <c r="L89" s="1530"/>
      <c r="N89" s="1530">
        <f t="shared" si="1"/>
        <v>0</v>
      </c>
    </row>
    <row r="90" spans="2:14">
      <c r="B90" s="36"/>
      <c r="C90" s="36"/>
      <c r="D90" s="1535">
        <v>2210100</v>
      </c>
      <c r="E90" s="1536" t="s">
        <v>16</v>
      </c>
      <c r="F90" s="1537">
        <v>1100000</v>
      </c>
      <c r="H90" s="36"/>
      <c r="I90" s="36"/>
      <c r="J90" s="1535">
        <v>2210100</v>
      </c>
      <c r="K90" s="1536" t="s">
        <v>16</v>
      </c>
      <c r="L90" s="1537">
        <v>1100000</v>
      </c>
      <c r="N90" s="1537">
        <f t="shared" si="1"/>
        <v>0</v>
      </c>
    </row>
    <row r="91" spans="2:14">
      <c r="B91" s="36"/>
      <c r="C91" s="36"/>
      <c r="D91" s="1538">
        <v>2210101</v>
      </c>
      <c r="E91" s="1539" t="s">
        <v>17</v>
      </c>
      <c r="F91" s="1540">
        <v>800000</v>
      </c>
      <c r="H91" s="36"/>
      <c r="I91" s="36"/>
      <c r="J91" s="1538">
        <v>2210101</v>
      </c>
      <c r="K91" s="1539" t="s">
        <v>17</v>
      </c>
      <c r="L91" s="1540">
        <v>800000</v>
      </c>
      <c r="N91" s="1540">
        <f t="shared" si="1"/>
        <v>0</v>
      </c>
    </row>
    <row r="92" spans="2:14">
      <c r="B92" s="36"/>
      <c r="C92" s="36"/>
      <c r="D92" s="1538">
        <v>2210102</v>
      </c>
      <c r="E92" s="1539" t="s">
        <v>18</v>
      </c>
      <c r="F92" s="1540">
        <v>300000</v>
      </c>
      <c r="H92" s="36"/>
      <c r="I92" s="36"/>
      <c r="J92" s="1538">
        <v>2210102</v>
      </c>
      <c r="K92" s="1539" t="s">
        <v>18</v>
      </c>
      <c r="L92" s="1540">
        <v>300000</v>
      </c>
      <c r="N92" s="1540">
        <f t="shared" si="1"/>
        <v>0</v>
      </c>
    </row>
    <row r="93" spans="2:14">
      <c r="B93" s="36"/>
      <c r="C93" s="36"/>
      <c r="D93" s="1509">
        <v>2210200</v>
      </c>
      <c r="E93" s="1541" t="s">
        <v>20</v>
      </c>
      <c r="F93" s="1537">
        <v>220000</v>
      </c>
      <c r="H93" s="36"/>
      <c r="I93" s="36"/>
      <c r="J93" s="1509">
        <v>2210200</v>
      </c>
      <c r="K93" s="1541" t="s">
        <v>20</v>
      </c>
      <c r="L93" s="1537">
        <v>220000</v>
      </c>
      <c r="N93" s="1537">
        <f t="shared" si="1"/>
        <v>0</v>
      </c>
    </row>
    <row r="94" spans="2:14">
      <c r="B94" s="36"/>
      <c r="C94" s="36"/>
      <c r="D94" s="28">
        <v>2210201</v>
      </c>
      <c r="E94" s="1542" t="s">
        <v>21</v>
      </c>
      <c r="F94" s="1540">
        <v>120000</v>
      </c>
      <c r="H94" s="36"/>
      <c r="I94" s="36"/>
      <c r="J94" s="28">
        <v>2210201</v>
      </c>
      <c r="K94" s="1542" t="s">
        <v>21</v>
      </c>
      <c r="L94" s="1540">
        <v>120000</v>
      </c>
      <c r="N94" s="1540">
        <f t="shared" si="1"/>
        <v>0</v>
      </c>
    </row>
    <row r="95" spans="2:14">
      <c r="B95" s="36"/>
      <c r="C95" s="36"/>
      <c r="D95" s="28">
        <v>2210202</v>
      </c>
      <c r="E95" s="1542" t="s">
        <v>22</v>
      </c>
      <c r="F95" s="1540">
        <v>100000</v>
      </c>
      <c r="H95" s="36"/>
      <c r="I95" s="36"/>
      <c r="J95" s="28">
        <v>2210202</v>
      </c>
      <c r="K95" s="1542" t="s">
        <v>22</v>
      </c>
      <c r="L95" s="1540">
        <v>100000</v>
      </c>
      <c r="N95" s="1540">
        <f t="shared" si="1"/>
        <v>0</v>
      </c>
    </row>
    <row r="96" spans="2:14">
      <c r="B96" s="36"/>
      <c r="C96" s="36"/>
      <c r="D96" s="1509">
        <v>2210300</v>
      </c>
      <c r="E96" s="1541" t="s">
        <v>24</v>
      </c>
      <c r="F96" s="1537">
        <v>2250000</v>
      </c>
      <c r="H96" s="36"/>
      <c r="I96" s="36"/>
      <c r="J96" s="1509">
        <v>2210300</v>
      </c>
      <c r="K96" s="1541" t="s">
        <v>24</v>
      </c>
      <c r="L96" s="1537">
        <v>2250000</v>
      </c>
      <c r="N96" s="1537">
        <f t="shared" si="1"/>
        <v>0</v>
      </c>
    </row>
    <row r="97" spans="2:14">
      <c r="B97" s="36"/>
      <c r="C97" s="36"/>
      <c r="D97" s="28">
        <v>2210301</v>
      </c>
      <c r="E97" s="1542" t="s">
        <v>25</v>
      </c>
      <c r="F97" s="1540">
        <v>800000</v>
      </c>
      <c r="H97" s="36"/>
      <c r="I97" s="36"/>
      <c r="J97" s="28">
        <v>2210301</v>
      </c>
      <c r="K97" s="1542" t="s">
        <v>25</v>
      </c>
      <c r="L97" s="1540">
        <v>800000</v>
      </c>
      <c r="N97" s="1540">
        <f t="shared" si="1"/>
        <v>0</v>
      </c>
    </row>
    <row r="98" spans="2:14">
      <c r="B98" s="36"/>
      <c r="C98" s="36"/>
      <c r="D98" s="28">
        <v>2210302</v>
      </c>
      <c r="E98" s="1542" t="s">
        <v>26</v>
      </c>
      <c r="F98" s="1540">
        <v>700000</v>
      </c>
      <c r="H98" s="36"/>
      <c r="I98" s="36"/>
      <c r="J98" s="28">
        <v>2210302</v>
      </c>
      <c r="K98" s="1542" t="s">
        <v>26</v>
      </c>
      <c r="L98" s="1540">
        <v>700000</v>
      </c>
      <c r="N98" s="1540">
        <f t="shared" si="1"/>
        <v>0</v>
      </c>
    </row>
    <row r="99" spans="2:14">
      <c r="B99" s="36"/>
      <c r="C99" s="36"/>
      <c r="D99" s="28">
        <v>2210303</v>
      </c>
      <c r="E99" s="1542" t="s">
        <v>27</v>
      </c>
      <c r="F99" s="1540">
        <v>750000</v>
      </c>
      <c r="H99" s="36"/>
      <c r="I99" s="36"/>
      <c r="J99" s="28">
        <v>2210303</v>
      </c>
      <c r="K99" s="1542" t="s">
        <v>27</v>
      </c>
      <c r="L99" s="1540">
        <v>750000</v>
      </c>
      <c r="N99" s="1540">
        <f t="shared" si="1"/>
        <v>0</v>
      </c>
    </row>
    <row r="100" spans="2:14">
      <c r="B100" s="36"/>
      <c r="C100" s="36"/>
      <c r="D100" s="1509">
        <v>2210500</v>
      </c>
      <c r="E100" s="1541" t="s">
        <v>31</v>
      </c>
      <c r="F100" s="1537">
        <v>200000</v>
      </c>
      <c r="H100" s="36"/>
      <c r="I100" s="36"/>
      <c r="J100" s="1509">
        <v>2210500</v>
      </c>
      <c r="K100" s="1541" t="s">
        <v>31</v>
      </c>
      <c r="L100" s="1537">
        <v>200000</v>
      </c>
      <c r="N100" s="1537">
        <f t="shared" si="1"/>
        <v>0</v>
      </c>
    </row>
    <row r="101" spans="2:14">
      <c r="B101" s="36"/>
      <c r="C101" s="36"/>
      <c r="D101" s="28">
        <v>2210503</v>
      </c>
      <c r="E101" s="1542" t="s">
        <v>32</v>
      </c>
      <c r="F101" s="1540">
        <v>200000</v>
      </c>
      <c r="H101" s="36"/>
      <c r="I101" s="36"/>
      <c r="J101" s="28">
        <v>2210503</v>
      </c>
      <c r="K101" s="1542" t="s">
        <v>32</v>
      </c>
      <c r="L101" s="1540">
        <v>200000</v>
      </c>
      <c r="N101" s="1540">
        <f t="shared" si="1"/>
        <v>0</v>
      </c>
    </row>
    <row r="102" spans="2:14">
      <c r="B102" s="36"/>
      <c r="C102" s="36"/>
      <c r="D102" s="1509">
        <v>2210700</v>
      </c>
      <c r="E102" s="1541" t="s">
        <v>35</v>
      </c>
      <c r="F102" s="1537">
        <v>1800000</v>
      </c>
      <c r="H102" s="36"/>
      <c r="I102" s="36"/>
      <c r="J102" s="1509">
        <v>2210700</v>
      </c>
      <c r="K102" s="1541" t="s">
        <v>35</v>
      </c>
      <c r="L102" s="1537">
        <v>1800000</v>
      </c>
      <c r="N102" s="1537">
        <f t="shared" si="1"/>
        <v>0</v>
      </c>
    </row>
    <row r="103" spans="2:14">
      <c r="B103" s="36"/>
      <c r="C103" s="36"/>
      <c r="D103" s="28">
        <v>2210701</v>
      </c>
      <c r="E103" s="1542" t="s">
        <v>36</v>
      </c>
      <c r="F103" s="1540">
        <v>100000</v>
      </c>
      <c r="H103" s="36"/>
      <c r="I103" s="36"/>
      <c r="J103" s="28">
        <v>2210701</v>
      </c>
      <c r="K103" s="1542" t="s">
        <v>36</v>
      </c>
      <c r="L103" s="1540">
        <v>100000</v>
      </c>
      <c r="N103" s="1540">
        <f t="shared" si="1"/>
        <v>0</v>
      </c>
    </row>
    <row r="104" spans="2:14">
      <c r="B104" s="36"/>
      <c r="C104" s="36"/>
      <c r="D104" s="28">
        <v>2210702</v>
      </c>
      <c r="E104" s="1542" t="s">
        <v>95</v>
      </c>
      <c r="F104" s="1540">
        <v>500000</v>
      </c>
      <c r="H104" s="36"/>
      <c r="I104" s="36"/>
      <c r="J104" s="28">
        <v>2210702</v>
      </c>
      <c r="K104" s="1542" t="s">
        <v>95</v>
      </c>
      <c r="L104" s="1540">
        <v>500000</v>
      </c>
      <c r="N104" s="1540">
        <f t="shared" si="1"/>
        <v>0</v>
      </c>
    </row>
    <row r="105" spans="2:14">
      <c r="B105" s="36"/>
      <c r="C105" s="36"/>
      <c r="D105" s="28">
        <v>2210704</v>
      </c>
      <c r="E105" s="1542" t="s">
        <v>38</v>
      </c>
      <c r="F105" s="1540">
        <v>100000</v>
      </c>
      <c r="H105" s="36"/>
      <c r="I105" s="36"/>
      <c r="J105" s="28">
        <v>2210704</v>
      </c>
      <c r="K105" s="1542" t="s">
        <v>38</v>
      </c>
      <c r="L105" s="1540">
        <v>100000</v>
      </c>
      <c r="N105" s="1540">
        <f t="shared" si="1"/>
        <v>0</v>
      </c>
    </row>
    <row r="106" spans="2:14">
      <c r="B106" s="36"/>
      <c r="C106" s="36"/>
      <c r="D106" s="28">
        <v>2210710</v>
      </c>
      <c r="E106" s="1542" t="s">
        <v>39</v>
      </c>
      <c r="F106" s="1540">
        <v>100000</v>
      </c>
      <c r="H106" s="36"/>
      <c r="I106" s="36"/>
      <c r="J106" s="28">
        <v>2210710</v>
      </c>
      <c r="K106" s="1542" t="s">
        <v>39</v>
      </c>
      <c r="L106" s="1540">
        <v>100000</v>
      </c>
      <c r="N106" s="1540">
        <f t="shared" si="1"/>
        <v>0</v>
      </c>
    </row>
    <row r="107" spans="2:14">
      <c r="B107" s="36"/>
      <c r="C107" s="36"/>
      <c r="D107" s="28">
        <v>2210715</v>
      </c>
      <c r="E107" s="1542" t="s">
        <v>40</v>
      </c>
      <c r="F107" s="1540">
        <v>500000</v>
      </c>
      <c r="H107" s="36"/>
      <c r="I107" s="36"/>
      <c r="J107" s="28">
        <v>2210715</v>
      </c>
      <c r="K107" s="1542" t="s">
        <v>40</v>
      </c>
      <c r="L107" s="1540">
        <v>500000</v>
      </c>
      <c r="N107" s="1540">
        <f t="shared" si="1"/>
        <v>0</v>
      </c>
    </row>
    <row r="108" spans="2:14">
      <c r="B108" s="36"/>
      <c r="C108" s="36"/>
      <c r="D108" s="28">
        <v>2210799</v>
      </c>
      <c r="E108" s="1542" t="s">
        <v>96</v>
      </c>
      <c r="F108" s="1540">
        <v>500000</v>
      </c>
      <c r="H108" s="36"/>
      <c r="I108" s="36"/>
      <c r="J108" s="28">
        <v>2210799</v>
      </c>
      <c r="K108" s="1542" t="s">
        <v>96</v>
      </c>
      <c r="L108" s="1540">
        <v>500000</v>
      </c>
      <c r="N108" s="1540">
        <f t="shared" si="1"/>
        <v>0</v>
      </c>
    </row>
    <row r="109" spans="2:14">
      <c r="B109" s="36"/>
      <c r="C109" s="36"/>
      <c r="D109" s="1509">
        <v>2210800</v>
      </c>
      <c r="E109" s="1541" t="s">
        <v>42</v>
      </c>
      <c r="F109" s="1537">
        <v>1000000</v>
      </c>
      <c r="H109" s="36"/>
      <c r="I109" s="36"/>
      <c r="J109" s="1509">
        <v>2210800</v>
      </c>
      <c r="K109" s="1541" t="s">
        <v>42</v>
      </c>
      <c r="L109" s="1537">
        <v>1000000</v>
      </c>
      <c r="N109" s="1537">
        <f t="shared" si="1"/>
        <v>0</v>
      </c>
    </row>
    <row r="110" spans="2:14">
      <c r="B110" s="36"/>
      <c r="C110" s="36"/>
      <c r="D110" s="28">
        <v>2210801</v>
      </c>
      <c r="E110" s="1542" t="s">
        <v>43</v>
      </c>
      <c r="F110" s="1540">
        <v>500000</v>
      </c>
      <c r="H110" s="36"/>
      <c r="I110" s="36"/>
      <c r="J110" s="28">
        <v>2210801</v>
      </c>
      <c r="K110" s="1542" t="s">
        <v>43</v>
      </c>
      <c r="L110" s="1540">
        <v>500000</v>
      </c>
      <c r="N110" s="1540">
        <f t="shared" si="1"/>
        <v>0</v>
      </c>
    </row>
    <row r="111" spans="2:14">
      <c r="B111" s="36"/>
      <c r="C111" s="36"/>
      <c r="D111" s="28">
        <v>2210802</v>
      </c>
      <c r="E111" s="1542" t="s">
        <v>97</v>
      </c>
      <c r="F111" s="1540">
        <v>500000</v>
      </c>
      <c r="H111" s="36"/>
      <c r="I111" s="36"/>
      <c r="J111" s="28">
        <v>2210802</v>
      </c>
      <c r="K111" s="1542" t="s">
        <v>97</v>
      </c>
      <c r="L111" s="1540">
        <v>500000</v>
      </c>
      <c r="N111" s="1540">
        <f t="shared" si="1"/>
        <v>0</v>
      </c>
    </row>
    <row r="112" spans="2:14">
      <c r="B112" s="36"/>
      <c r="C112" s="36"/>
      <c r="D112" s="1509">
        <v>2211100</v>
      </c>
      <c r="E112" s="1541" t="s">
        <v>51</v>
      </c>
      <c r="F112" s="1537">
        <v>2400000</v>
      </c>
      <c r="H112" s="36"/>
      <c r="I112" s="36"/>
      <c r="J112" s="1509">
        <v>2211100</v>
      </c>
      <c r="K112" s="1541" t="s">
        <v>51</v>
      </c>
      <c r="L112" s="1537">
        <v>2400000</v>
      </c>
      <c r="N112" s="1537">
        <f t="shared" si="1"/>
        <v>0</v>
      </c>
    </row>
    <row r="113" spans="2:14">
      <c r="B113" s="36"/>
      <c r="C113" s="36"/>
      <c r="D113" s="28">
        <v>2211101</v>
      </c>
      <c r="E113" s="1542" t="s">
        <v>52</v>
      </c>
      <c r="F113" s="1540">
        <v>700000</v>
      </c>
      <c r="H113" s="36"/>
      <c r="I113" s="36"/>
      <c r="J113" s="28">
        <v>2211101</v>
      </c>
      <c r="K113" s="1542" t="s">
        <v>52</v>
      </c>
      <c r="L113" s="1540">
        <v>700000</v>
      </c>
      <c r="N113" s="1540">
        <f t="shared" si="1"/>
        <v>0</v>
      </c>
    </row>
    <row r="114" spans="2:14">
      <c r="B114" s="36"/>
      <c r="C114" s="36"/>
      <c r="D114" s="28">
        <v>2211102</v>
      </c>
      <c r="E114" s="1542" t="s">
        <v>53</v>
      </c>
      <c r="F114" s="1540">
        <v>800000</v>
      </c>
      <c r="H114" s="36"/>
      <c r="I114" s="36"/>
      <c r="J114" s="28">
        <v>2211102</v>
      </c>
      <c r="K114" s="1542" t="s">
        <v>53</v>
      </c>
      <c r="L114" s="1540">
        <v>800000</v>
      </c>
      <c r="N114" s="1540">
        <f t="shared" si="1"/>
        <v>0</v>
      </c>
    </row>
    <row r="115" spans="2:14">
      <c r="B115" s="36"/>
      <c r="C115" s="36"/>
      <c r="D115" s="28">
        <v>2211103</v>
      </c>
      <c r="E115" s="1542" t="s">
        <v>54</v>
      </c>
      <c r="F115" s="1540">
        <v>900000</v>
      </c>
      <c r="H115" s="36"/>
      <c r="I115" s="36"/>
      <c r="J115" s="28">
        <v>2211103</v>
      </c>
      <c r="K115" s="1542" t="s">
        <v>54</v>
      </c>
      <c r="L115" s="1540">
        <v>900000</v>
      </c>
      <c r="N115" s="1540">
        <f t="shared" si="1"/>
        <v>0</v>
      </c>
    </row>
    <row r="116" spans="2:14">
      <c r="B116" s="36"/>
      <c r="C116" s="36"/>
      <c r="D116" s="55">
        <v>2211000</v>
      </c>
      <c r="E116" s="1518" t="s">
        <v>49</v>
      </c>
      <c r="F116" s="1511">
        <v>1300000</v>
      </c>
      <c r="H116" s="36"/>
      <c r="I116" s="36"/>
      <c r="J116" s="55">
        <v>2211000</v>
      </c>
      <c r="K116" s="1518" t="s">
        <v>49</v>
      </c>
      <c r="L116" s="1511">
        <v>1300000</v>
      </c>
      <c r="N116" s="1511">
        <f t="shared" si="1"/>
        <v>0</v>
      </c>
    </row>
    <row r="117" spans="2:14">
      <c r="B117" s="36"/>
      <c r="C117" s="36"/>
      <c r="D117" s="19">
        <v>2211016</v>
      </c>
      <c r="E117" s="20" t="s">
        <v>50</v>
      </c>
      <c r="F117" s="1516">
        <v>800000</v>
      </c>
      <c r="H117" s="36"/>
      <c r="I117" s="36"/>
      <c r="J117" s="19">
        <v>2211016</v>
      </c>
      <c r="K117" s="20" t="s">
        <v>50</v>
      </c>
      <c r="L117" s="1516">
        <v>800000</v>
      </c>
      <c r="N117" s="1516">
        <f t="shared" si="1"/>
        <v>0</v>
      </c>
    </row>
    <row r="118" spans="2:14">
      <c r="B118" s="36"/>
      <c r="C118" s="36"/>
      <c r="D118" s="19" t="s">
        <v>1541</v>
      </c>
      <c r="E118" s="1524" t="s">
        <v>1542</v>
      </c>
      <c r="F118" s="1516">
        <v>500000</v>
      </c>
      <c r="H118" s="36"/>
      <c r="I118" s="36"/>
      <c r="J118" s="19" t="s">
        <v>1541</v>
      </c>
      <c r="K118" s="1524" t="s">
        <v>1542</v>
      </c>
      <c r="L118" s="1516">
        <v>500000</v>
      </c>
      <c r="N118" s="1516">
        <f t="shared" si="1"/>
        <v>0</v>
      </c>
    </row>
    <row r="119" spans="2:14">
      <c r="B119" s="36"/>
      <c r="C119" s="36"/>
      <c r="D119" s="1509">
        <v>2211200</v>
      </c>
      <c r="E119" s="1541" t="s">
        <v>55</v>
      </c>
      <c r="F119" s="1537">
        <v>1500000</v>
      </c>
      <c r="H119" s="36"/>
      <c r="I119" s="36"/>
      <c r="J119" s="1509">
        <v>2211200</v>
      </c>
      <c r="K119" s="1541" t="s">
        <v>55</v>
      </c>
      <c r="L119" s="1537">
        <v>1500000</v>
      </c>
      <c r="N119" s="1537">
        <f t="shared" si="1"/>
        <v>0</v>
      </c>
    </row>
    <row r="120" spans="2:14">
      <c r="B120" s="36"/>
      <c r="C120" s="36"/>
      <c r="D120" s="28">
        <v>2211201</v>
      </c>
      <c r="E120" s="1542" t="s">
        <v>56</v>
      </c>
      <c r="F120" s="1540">
        <v>1500000</v>
      </c>
      <c r="H120" s="36"/>
      <c r="I120" s="36"/>
      <c r="J120" s="28">
        <v>2211201</v>
      </c>
      <c r="K120" s="1542" t="s">
        <v>56</v>
      </c>
      <c r="L120" s="1540">
        <v>1500000</v>
      </c>
      <c r="N120" s="1540">
        <f t="shared" si="1"/>
        <v>0</v>
      </c>
    </row>
    <row r="121" spans="2:14">
      <c r="B121" s="36"/>
      <c r="C121" s="36"/>
      <c r="D121" s="1509">
        <v>2220100</v>
      </c>
      <c r="E121" s="1541" t="s">
        <v>62</v>
      </c>
      <c r="F121" s="1537">
        <v>600000</v>
      </c>
      <c r="H121" s="36"/>
      <c r="I121" s="36"/>
      <c r="J121" s="1509">
        <v>2220100</v>
      </c>
      <c r="K121" s="1541" t="s">
        <v>62</v>
      </c>
      <c r="L121" s="1537">
        <v>600000</v>
      </c>
      <c r="N121" s="1537">
        <f t="shared" si="1"/>
        <v>0</v>
      </c>
    </row>
    <row r="122" spans="2:14">
      <c r="B122" s="36"/>
      <c r="C122" s="36"/>
      <c r="D122" s="28">
        <v>2220101</v>
      </c>
      <c r="E122" s="1542" t="s">
        <v>250</v>
      </c>
      <c r="F122" s="1540">
        <v>300000</v>
      </c>
      <c r="H122" s="36"/>
      <c r="I122" s="36"/>
      <c r="J122" s="28">
        <v>2220101</v>
      </c>
      <c r="K122" s="1542" t="s">
        <v>250</v>
      </c>
      <c r="L122" s="1540">
        <v>300000</v>
      </c>
      <c r="N122" s="1540">
        <f t="shared" si="1"/>
        <v>0</v>
      </c>
    </row>
    <row r="123" spans="2:14">
      <c r="B123" s="36"/>
      <c r="C123" s="36"/>
      <c r="D123" s="39">
        <v>2220105</v>
      </c>
      <c r="E123" s="73" t="s">
        <v>404</v>
      </c>
      <c r="F123" s="1540">
        <v>300000</v>
      </c>
      <c r="H123" s="36"/>
      <c r="I123" s="36"/>
      <c r="J123" s="39">
        <v>2220105</v>
      </c>
      <c r="K123" s="73" t="s">
        <v>404</v>
      </c>
      <c r="L123" s="1540">
        <v>300000</v>
      </c>
      <c r="N123" s="1540">
        <f t="shared" si="1"/>
        <v>0</v>
      </c>
    </row>
    <row r="124" spans="2:14">
      <c r="B124" s="36"/>
      <c r="C124" s="36"/>
      <c r="D124" s="1543">
        <v>2220200</v>
      </c>
      <c r="E124" s="1544" t="s">
        <v>405</v>
      </c>
      <c r="F124" s="1537">
        <v>800000</v>
      </c>
      <c r="H124" s="36"/>
      <c r="I124" s="36"/>
      <c r="J124" s="1543">
        <v>2220200</v>
      </c>
      <c r="K124" s="1544" t="s">
        <v>405</v>
      </c>
      <c r="L124" s="1537">
        <v>800000</v>
      </c>
      <c r="N124" s="1537">
        <f t="shared" si="1"/>
        <v>0</v>
      </c>
    </row>
    <row r="125" spans="2:14">
      <c r="B125" s="36"/>
      <c r="C125" s="36"/>
      <c r="D125" s="39">
        <v>2220205</v>
      </c>
      <c r="E125" s="73" t="s">
        <v>1543</v>
      </c>
      <c r="F125" s="1540">
        <v>800000</v>
      </c>
      <c r="H125" s="36"/>
      <c r="I125" s="36"/>
      <c r="J125" s="39">
        <v>2220205</v>
      </c>
      <c r="K125" s="73" t="s">
        <v>1543</v>
      </c>
      <c r="L125" s="1540">
        <v>800000</v>
      </c>
      <c r="N125" s="1540">
        <f t="shared" si="1"/>
        <v>0</v>
      </c>
    </row>
    <row r="126" spans="2:14">
      <c r="B126" s="36"/>
      <c r="C126" s="36"/>
      <c r="D126" s="1509">
        <v>3111000</v>
      </c>
      <c r="E126" s="1541" t="s">
        <v>69</v>
      </c>
      <c r="F126" s="1537">
        <v>1100000</v>
      </c>
      <c r="H126" s="36"/>
      <c r="I126" s="36"/>
      <c r="J126" s="1509">
        <v>3111000</v>
      </c>
      <c r="K126" s="1541" t="s">
        <v>69</v>
      </c>
      <c r="L126" s="1537">
        <v>1100000</v>
      </c>
      <c r="N126" s="1537">
        <f t="shared" si="1"/>
        <v>0</v>
      </c>
    </row>
    <row r="127" spans="2:14">
      <c r="B127" s="36"/>
      <c r="C127" s="36"/>
      <c r="D127" s="28" t="s">
        <v>98</v>
      </c>
      <c r="E127" s="1542" t="s">
        <v>70</v>
      </c>
      <c r="F127" s="1540">
        <v>600000</v>
      </c>
      <c r="H127" s="36"/>
      <c r="I127" s="36"/>
      <c r="J127" s="28" t="s">
        <v>98</v>
      </c>
      <c r="K127" s="1542" t="s">
        <v>70</v>
      </c>
      <c r="L127" s="1540">
        <v>600000</v>
      </c>
      <c r="N127" s="1540">
        <f t="shared" si="1"/>
        <v>0</v>
      </c>
    </row>
    <row r="128" spans="2:14">
      <c r="B128" s="36"/>
      <c r="C128" s="36"/>
      <c r="D128" s="28">
        <v>3111002</v>
      </c>
      <c r="E128" s="1542" t="s">
        <v>71</v>
      </c>
      <c r="F128" s="1540">
        <v>500000</v>
      </c>
      <c r="H128" s="36"/>
      <c r="I128" s="36"/>
      <c r="J128" s="28">
        <v>3111002</v>
      </c>
      <c r="K128" s="1542" t="s">
        <v>71</v>
      </c>
      <c r="L128" s="1540">
        <v>500000</v>
      </c>
      <c r="N128" s="1540">
        <f t="shared" si="1"/>
        <v>0</v>
      </c>
    </row>
    <row r="129" spans="2:14">
      <c r="B129" s="36"/>
      <c r="C129" s="36"/>
      <c r="D129" s="1545">
        <v>3111400</v>
      </c>
      <c r="E129" s="1546" t="s">
        <v>531</v>
      </c>
      <c r="F129" s="1537">
        <v>500000</v>
      </c>
      <c r="H129" s="36"/>
      <c r="I129" s="36"/>
      <c r="J129" s="1545">
        <v>3111400</v>
      </c>
      <c r="K129" s="1546" t="s">
        <v>531</v>
      </c>
      <c r="L129" s="1537">
        <v>500000</v>
      </c>
      <c r="N129" s="1537">
        <f t="shared" si="1"/>
        <v>0</v>
      </c>
    </row>
    <row r="130" spans="2:14">
      <c r="B130" s="36"/>
      <c r="C130" s="36"/>
      <c r="D130" s="80">
        <v>3111403</v>
      </c>
      <c r="E130" s="158" t="s">
        <v>1544</v>
      </c>
      <c r="F130" s="1540">
        <v>500000</v>
      </c>
      <c r="H130" s="36"/>
      <c r="I130" s="36"/>
      <c r="J130" s="80">
        <v>3111403</v>
      </c>
      <c r="K130" s="158" t="s">
        <v>1544</v>
      </c>
      <c r="L130" s="1540">
        <v>500000</v>
      </c>
      <c r="N130" s="1540">
        <f t="shared" si="1"/>
        <v>0</v>
      </c>
    </row>
    <row r="131" spans="2:14">
      <c r="B131" s="36"/>
      <c r="C131" s="36"/>
      <c r="D131" s="55"/>
      <c r="E131" s="1518"/>
      <c r="F131" s="1527">
        <v>0</v>
      </c>
      <c r="H131" s="36"/>
      <c r="I131" s="36"/>
      <c r="J131" s="55"/>
      <c r="K131" s="1518"/>
      <c r="L131" s="1527">
        <v>0</v>
      </c>
      <c r="N131" s="1527">
        <f t="shared" si="1"/>
        <v>0</v>
      </c>
    </row>
    <row r="132" spans="2:14">
      <c r="B132" s="36"/>
      <c r="C132" s="36"/>
      <c r="D132" s="19"/>
      <c r="E132" s="20"/>
      <c r="F132" s="1516">
        <v>0</v>
      </c>
      <c r="H132" s="36"/>
      <c r="I132" s="36"/>
      <c r="J132" s="19"/>
      <c r="K132" s="20"/>
      <c r="L132" s="1516">
        <v>0</v>
      </c>
      <c r="N132" s="1516">
        <f t="shared" si="1"/>
        <v>0</v>
      </c>
    </row>
    <row r="133" spans="2:14">
      <c r="B133" s="36"/>
      <c r="C133" s="36"/>
      <c r="D133" s="19"/>
      <c r="E133" s="1529" t="s">
        <v>1546</v>
      </c>
      <c r="F133" s="1527">
        <v>14770000</v>
      </c>
      <c r="H133" s="36"/>
      <c r="I133" s="36"/>
      <c r="J133" s="19"/>
      <c r="K133" s="1529" t="s">
        <v>1546</v>
      </c>
      <c r="L133" s="1527">
        <v>14770000</v>
      </c>
      <c r="N133" s="1527">
        <f t="shared" si="1"/>
        <v>0</v>
      </c>
    </row>
    <row r="134" spans="2:14">
      <c r="B134" s="36"/>
      <c r="C134" s="36"/>
      <c r="D134" s="1547"/>
      <c r="E134" s="1529" t="s">
        <v>84</v>
      </c>
      <c r="F134" s="1530">
        <v>14770000</v>
      </c>
      <c r="H134" s="36"/>
      <c r="I134" s="36"/>
      <c r="J134" s="1547"/>
      <c r="K134" s="1529" t="s">
        <v>84</v>
      </c>
      <c r="L134" s="1530">
        <v>14770000</v>
      </c>
      <c r="N134" s="1530">
        <f t="shared" si="1"/>
        <v>0</v>
      </c>
    </row>
    <row r="135" spans="2:14">
      <c r="B135" s="36"/>
      <c r="C135" s="36"/>
      <c r="D135" s="1534"/>
      <c r="E135" s="1529"/>
      <c r="F135" s="1530"/>
      <c r="H135" s="36"/>
      <c r="I135" s="36"/>
      <c r="J135" s="1534"/>
      <c r="K135" s="1529"/>
      <c r="L135" s="1530"/>
      <c r="N135" s="1530">
        <f t="shared" si="1"/>
        <v>0</v>
      </c>
    </row>
    <row r="136" spans="2:14">
      <c r="B136" s="36"/>
      <c r="C136" s="1548" t="s">
        <v>146</v>
      </c>
      <c r="D136" s="1549" t="s">
        <v>1547</v>
      </c>
      <c r="E136" s="1550"/>
      <c r="F136" s="1551"/>
      <c r="H136" s="36"/>
      <c r="I136" s="1548" t="s">
        <v>146</v>
      </c>
      <c r="J136" s="1549" t="s">
        <v>1547</v>
      </c>
      <c r="K136" s="1550"/>
      <c r="L136" s="1551"/>
      <c r="N136" s="1551">
        <f t="shared" ref="N136:N199" si="2">F136-L136</f>
        <v>0</v>
      </c>
    </row>
    <row r="137" spans="2:14">
      <c r="B137" s="36"/>
      <c r="C137" s="1552"/>
      <c r="D137" s="1535">
        <v>2210100</v>
      </c>
      <c r="E137" s="1536" t="s">
        <v>16</v>
      </c>
      <c r="F137" s="1553">
        <v>1000000</v>
      </c>
      <c r="H137" s="36"/>
      <c r="I137" s="1552"/>
      <c r="J137" s="1535">
        <v>2210100</v>
      </c>
      <c r="K137" s="1536" t="s">
        <v>16</v>
      </c>
      <c r="L137" s="1553">
        <v>1000000</v>
      </c>
      <c r="N137" s="1553">
        <f t="shared" si="2"/>
        <v>0</v>
      </c>
    </row>
    <row r="138" spans="2:14">
      <c r="B138" s="36"/>
      <c r="C138" s="1552"/>
      <c r="D138" s="1538">
        <v>2210101</v>
      </c>
      <c r="E138" s="1539" t="s">
        <v>17</v>
      </c>
      <c r="F138" s="1554">
        <v>800000</v>
      </c>
      <c r="H138" s="36"/>
      <c r="I138" s="1552"/>
      <c r="J138" s="1538">
        <v>2210101</v>
      </c>
      <c r="K138" s="1539" t="s">
        <v>17</v>
      </c>
      <c r="L138" s="1554">
        <v>800000</v>
      </c>
      <c r="N138" s="1554">
        <f t="shared" si="2"/>
        <v>0</v>
      </c>
    </row>
    <row r="139" spans="2:14">
      <c r="B139" s="36"/>
      <c r="C139" s="1552"/>
      <c r="D139" s="1538">
        <v>2210102</v>
      </c>
      <c r="E139" s="1539" t="s">
        <v>18</v>
      </c>
      <c r="F139" s="1554">
        <v>200000</v>
      </c>
      <c r="H139" s="36"/>
      <c r="I139" s="1552"/>
      <c r="J139" s="1538">
        <v>2210102</v>
      </c>
      <c r="K139" s="1539" t="s">
        <v>18</v>
      </c>
      <c r="L139" s="1554">
        <v>200000</v>
      </c>
      <c r="N139" s="1554">
        <f t="shared" si="2"/>
        <v>0</v>
      </c>
    </row>
    <row r="140" spans="2:14">
      <c r="B140" s="36"/>
      <c r="C140" s="1555"/>
      <c r="D140" s="1556">
        <v>2210200</v>
      </c>
      <c r="E140" s="1557" t="s">
        <v>20</v>
      </c>
      <c r="F140" s="1553">
        <v>220000</v>
      </c>
      <c r="H140" s="36"/>
      <c r="I140" s="1555"/>
      <c r="J140" s="1556">
        <v>2210200</v>
      </c>
      <c r="K140" s="1557" t="s">
        <v>20</v>
      </c>
      <c r="L140" s="1553">
        <v>220000</v>
      </c>
      <c r="N140" s="1553">
        <f t="shared" si="2"/>
        <v>0</v>
      </c>
    </row>
    <row r="141" spans="2:14">
      <c r="B141" s="36"/>
      <c r="C141" s="1552"/>
      <c r="D141" s="1558">
        <v>2210201</v>
      </c>
      <c r="E141" s="1559" t="s">
        <v>21</v>
      </c>
      <c r="F141" s="1554">
        <v>120000</v>
      </c>
      <c r="H141" s="36"/>
      <c r="I141" s="1552"/>
      <c r="J141" s="1558">
        <v>2210201</v>
      </c>
      <c r="K141" s="1559" t="s">
        <v>21</v>
      </c>
      <c r="L141" s="1554">
        <v>120000</v>
      </c>
      <c r="N141" s="1554">
        <f t="shared" si="2"/>
        <v>0</v>
      </c>
    </row>
    <row r="142" spans="2:14">
      <c r="B142" s="36"/>
      <c r="C142" s="1552"/>
      <c r="D142" s="1558">
        <v>2210202</v>
      </c>
      <c r="E142" s="1559" t="s">
        <v>22</v>
      </c>
      <c r="F142" s="1554">
        <v>100000</v>
      </c>
      <c r="H142" s="36"/>
      <c r="I142" s="1552"/>
      <c r="J142" s="1558">
        <v>2210202</v>
      </c>
      <c r="K142" s="1559" t="s">
        <v>22</v>
      </c>
      <c r="L142" s="1554">
        <v>100000</v>
      </c>
      <c r="N142" s="1554">
        <f t="shared" si="2"/>
        <v>0</v>
      </c>
    </row>
    <row r="143" spans="2:14">
      <c r="B143" s="36"/>
      <c r="C143" s="1555"/>
      <c r="D143" s="1556">
        <v>2210300</v>
      </c>
      <c r="E143" s="1557" t="s">
        <v>24</v>
      </c>
      <c r="F143" s="1553">
        <v>2500000</v>
      </c>
      <c r="H143" s="36"/>
      <c r="I143" s="1555"/>
      <c r="J143" s="1556">
        <v>2210300</v>
      </c>
      <c r="K143" s="1557" t="s">
        <v>24</v>
      </c>
      <c r="L143" s="1553">
        <v>2500000</v>
      </c>
      <c r="N143" s="1553">
        <f t="shared" si="2"/>
        <v>0</v>
      </c>
    </row>
    <row r="144" spans="2:14">
      <c r="B144" s="36"/>
      <c r="C144" s="1552"/>
      <c r="D144" s="1558">
        <v>2210301</v>
      </c>
      <c r="E144" s="1559" t="s">
        <v>25</v>
      </c>
      <c r="F144" s="1554">
        <v>800000</v>
      </c>
      <c r="H144" s="36"/>
      <c r="I144" s="1552"/>
      <c r="J144" s="1558">
        <v>2210301</v>
      </c>
      <c r="K144" s="1559" t="s">
        <v>25</v>
      </c>
      <c r="L144" s="1554">
        <v>800000</v>
      </c>
      <c r="N144" s="1554">
        <f t="shared" si="2"/>
        <v>0</v>
      </c>
    </row>
    <row r="145" spans="2:14">
      <c r="B145" s="36"/>
      <c r="C145" s="1552"/>
      <c r="D145" s="1558">
        <v>2210302</v>
      </c>
      <c r="E145" s="1559" t="s">
        <v>26</v>
      </c>
      <c r="F145" s="1554">
        <v>700000</v>
      </c>
      <c r="H145" s="36"/>
      <c r="I145" s="1552"/>
      <c r="J145" s="1558">
        <v>2210302</v>
      </c>
      <c r="K145" s="1559" t="s">
        <v>26</v>
      </c>
      <c r="L145" s="1554">
        <v>700000</v>
      </c>
      <c r="N145" s="1554">
        <f t="shared" si="2"/>
        <v>0</v>
      </c>
    </row>
    <row r="146" spans="2:14">
      <c r="B146" s="36"/>
      <c r="C146" s="1552"/>
      <c r="D146" s="1558">
        <v>2210303</v>
      </c>
      <c r="E146" s="1559" t="s">
        <v>27</v>
      </c>
      <c r="F146" s="1554">
        <v>1000000</v>
      </c>
      <c r="H146" s="36"/>
      <c r="I146" s="1552"/>
      <c r="J146" s="1558">
        <v>2210303</v>
      </c>
      <c r="K146" s="1559" t="s">
        <v>27</v>
      </c>
      <c r="L146" s="1554">
        <v>1000000</v>
      </c>
      <c r="N146" s="1554">
        <f t="shared" si="2"/>
        <v>0</v>
      </c>
    </row>
    <row r="147" spans="2:14">
      <c r="B147" s="36"/>
      <c r="C147" s="1555"/>
      <c r="D147" s="1556">
        <v>2210700</v>
      </c>
      <c r="E147" s="1557" t="s">
        <v>35</v>
      </c>
      <c r="F147" s="1553">
        <v>4300000</v>
      </c>
      <c r="H147" s="36"/>
      <c r="I147" s="1555"/>
      <c r="J147" s="1556">
        <v>2210700</v>
      </c>
      <c r="K147" s="1557" t="s">
        <v>35</v>
      </c>
      <c r="L147" s="1553">
        <v>4300000</v>
      </c>
      <c r="N147" s="1553">
        <f t="shared" si="2"/>
        <v>0</v>
      </c>
    </row>
    <row r="148" spans="2:14">
      <c r="B148" s="36"/>
      <c r="C148" s="1552"/>
      <c r="D148" s="1558">
        <v>2210701</v>
      </c>
      <c r="E148" s="1559" t="s">
        <v>36</v>
      </c>
      <c r="F148" s="1554">
        <v>100000</v>
      </c>
      <c r="H148" s="36"/>
      <c r="I148" s="1552"/>
      <c r="J148" s="1558">
        <v>2210701</v>
      </c>
      <c r="K148" s="1559" t="s">
        <v>36</v>
      </c>
      <c r="L148" s="1554">
        <v>100000</v>
      </c>
      <c r="N148" s="1554">
        <f t="shared" si="2"/>
        <v>0</v>
      </c>
    </row>
    <row r="149" spans="2:14">
      <c r="B149" s="36"/>
      <c r="C149" s="1552"/>
      <c r="D149" s="1558">
        <v>2210702</v>
      </c>
      <c r="E149" s="1559" t="s">
        <v>95</v>
      </c>
      <c r="F149" s="1554">
        <v>500000</v>
      </c>
      <c r="H149" s="36"/>
      <c r="I149" s="1552"/>
      <c r="J149" s="1558">
        <v>2210702</v>
      </c>
      <c r="K149" s="1559" t="s">
        <v>95</v>
      </c>
      <c r="L149" s="1554">
        <v>500000</v>
      </c>
      <c r="N149" s="1554">
        <f t="shared" si="2"/>
        <v>0</v>
      </c>
    </row>
    <row r="150" spans="2:14">
      <c r="B150" s="36"/>
      <c r="C150" s="1552"/>
      <c r="D150" s="1558">
        <v>2210704</v>
      </c>
      <c r="E150" s="1559" t="s">
        <v>38</v>
      </c>
      <c r="F150" s="1554">
        <v>100000</v>
      </c>
      <c r="H150" s="36"/>
      <c r="I150" s="1552"/>
      <c r="J150" s="1558">
        <v>2210704</v>
      </c>
      <c r="K150" s="1559" t="s">
        <v>38</v>
      </c>
      <c r="L150" s="1554">
        <v>100000</v>
      </c>
      <c r="N150" s="1554">
        <f t="shared" si="2"/>
        <v>0</v>
      </c>
    </row>
    <row r="151" spans="2:14">
      <c r="B151" s="36"/>
      <c r="C151" s="1552"/>
      <c r="D151" s="1558">
        <v>2210710</v>
      </c>
      <c r="E151" s="1559" t="s">
        <v>39</v>
      </c>
      <c r="F151" s="1554">
        <v>100000</v>
      </c>
      <c r="H151" s="36"/>
      <c r="I151" s="1552"/>
      <c r="J151" s="1558">
        <v>2210710</v>
      </c>
      <c r="K151" s="1559" t="s">
        <v>39</v>
      </c>
      <c r="L151" s="1554">
        <v>100000</v>
      </c>
      <c r="N151" s="1554">
        <f t="shared" si="2"/>
        <v>0</v>
      </c>
    </row>
    <row r="152" spans="2:14">
      <c r="B152" s="36"/>
      <c r="C152" s="1552"/>
      <c r="D152" s="1558">
        <v>2210715</v>
      </c>
      <c r="E152" s="1559" t="s">
        <v>40</v>
      </c>
      <c r="F152" s="1554">
        <v>500000</v>
      </c>
      <c r="H152" s="36"/>
      <c r="I152" s="1552"/>
      <c r="J152" s="1558">
        <v>2210715</v>
      </c>
      <c r="K152" s="1559" t="s">
        <v>40</v>
      </c>
      <c r="L152" s="1554">
        <v>500000</v>
      </c>
      <c r="N152" s="1554">
        <f t="shared" si="2"/>
        <v>0</v>
      </c>
    </row>
    <row r="153" spans="2:14">
      <c r="B153" s="36"/>
      <c r="C153" s="1552"/>
      <c r="D153" s="1560">
        <v>2210716</v>
      </c>
      <c r="E153" s="1561" t="s">
        <v>1548</v>
      </c>
      <c r="F153" s="174">
        <v>2500000</v>
      </c>
      <c r="H153" s="36"/>
      <c r="I153" s="1552"/>
      <c r="J153" s="1560">
        <v>2210716</v>
      </c>
      <c r="K153" s="1561" t="s">
        <v>1548</v>
      </c>
      <c r="L153" s="174">
        <v>2500000</v>
      </c>
      <c r="N153" s="174">
        <f t="shared" si="2"/>
        <v>0</v>
      </c>
    </row>
    <row r="154" spans="2:14">
      <c r="B154" s="36"/>
      <c r="C154" s="1552"/>
      <c r="D154" s="1558">
        <v>2210799</v>
      </c>
      <c r="E154" s="1559" t="s">
        <v>129</v>
      </c>
      <c r="F154" s="1554">
        <v>500000</v>
      </c>
      <c r="H154" s="36"/>
      <c r="I154" s="1552"/>
      <c r="J154" s="1558">
        <v>2210799</v>
      </c>
      <c r="K154" s="1559" t="s">
        <v>129</v>
      </c>
      <c r="L154" s="1554">
        <v>500000</v>
      </c>
      <c r="N154" s="1554">
        <f t="shared" si="2"/>
        <v>0</v>
      </c>
    </row>
    <row r="155" spans="2:14">
      <c r="B155" s="36"/>
      <c r="C155" s="1555"/>
      <c r="D155" s="1556">
        <v>2210800</v>
      </c>
      <c r="E155" s="1557" t="s">
        <v>42</v>
      </c>
      <c r="F155" s="1553">
        <v>1200000</v>
      </c>
      <c r="H155" s="36"/>
      <c r="I155" s="1555"/>
      <c r="J155" s="1556">
        <v>2210800</v>
      </c>
      <c r="K155" s="1557" t="s">
        <v>42</v>
      </c>
      <c r="L155" s="1553">
        <v>1200000</v>
      </c>
      <c r="N155" s="1553">
        <f t="shared" si="2"/>
        <v>0</v>
      </c>
    </row>
    <row r="156" spans="2:14">
      <c r="B156" s="36"/>
      <c r="C156" s="1552"/>
      <c r="D156" s="1558">
        <v>2210801</v>
      </c>
      <c r="E156" s="1559" t="s">
        <v>43</v>
      </c>
      <c r="F156" s="1554">
        <v>800000</v>
      </c>
      <c r="H156" s="36"/>
      <c r="I156" s="1552"/>
      <c r="J156" s="1558">
        <v>2210801</v>
      </c>
      <c r="K156" s="1559" t="s">
        <v>43</v>
      </c>
      <c r="L156" s="1554">
        <v>800000</v>
      </c>
      <c r="N156" s="1554">
        <f t="shared" si="2"/>
        <v>0</v>
      </c>
    </row>
    <row r="157" spans="2:14">
      <c r="B157" s="36"/>
      <c r="C157" s="1552"/>
      <c r="D157" s="1558">
        <v>2210802</v>
      </c>
      <c r="E157" s="1559" t="s">
        <v>97</v>
      </c>
      <c r="F157" s="1554">
        <v>400000</v>
      </c>
      <c r="H157" s="36"/>
      <c r="I157" s="1552"/>
      <c r="J157" s="1558">
        <v>2210802</v>
      </c>
      <c r="K157" s="1559" t="s">
        <v>97</v>
      </c>
      <c r="L157" s="1554">
        <v>400000</v>
      </c>
      <c r="N157" s="1554">
        <f t="shared" si="2"/>
        <v>0</v>
      </c>
    </row>
    <row r="158" spans="2:14">
      <c r="B158" s="36"/>
      <c r="C158" s="1555"/>
      <c r="D158" s="1556">
        <v>2211100</v>
      </c>
      <c r="E158" s="1557" t="s">
        <v>51</v>
      </c>
      <c r="F158" s="1553">
        <v>3400000</v>
      </c>
      <c r="H158" s="36"/>
      <c r="I158" s="1555"/>
      <c r="J158" s="1556">
        <v>2211100</v>
      </c>
      <c r="K158" s="1557" t="s">
        <v>51</v>
      </c>
      <c r="L158" s="1553">
        <v>3400000</v>
      </c>
      <c r="N158" s="1553">
        <f t="shared" si="2"/>
        <v>0</v>
      </c>
    </row>
    <row r="159" spans="2:14">
      <c r="B159" s="36"/>
      <c r="C159" s="1552"/>
      <c r="D159" s="1558">
        <v>2211101</v>
      </c>
      <c r="E159" s="1559" t="s">
        <v>52</v>
      </c>
      <c r="F159" s="1554">
        <v>1700000</v>
      </c>
      <c r="H159" s="36"/>
      <c r="I159" s="1552"/>
      <c r="J159" s="1558">
        <v>2211101</v>
      </c>
      <c r="K159" s="1559" t="s">
        <v>52</v>
      </c>
      <c r="L159" s="1554">
        <v>1700000</v>
      </c>
      <c r="N159" s="1554">
        <f t="shared" si="2"/>
        <v>0</v>
      </c>
    </row>
    <row r="160" spans="2:14">
      <c r="B160" s="36"/>
      <c r="C160" s="1552"/>
      <c r="D160" s="1558">
        <v>2211102</v>
      </c>
      <c r="E160" s="1559" t="s">
        <v>53</v>
      </c>
      <c r="F160" s="1554">
        <v>800000</v>
      </c>
      <c r="H160" s="36"/>
      <c r="I160" s="1552"/>
      <c r="J160" s="1558">
        <v>2211102</v>
      </c>
      <c r="K160" s="1559" t="s">
        <v>53</v>
      </c>
      <c r="L160" s="1554">
        <v>800000</v>
      </c>
      <c r="N160" s="1554">
        <f t="shared" si="2"/>
        <v>0</v>
      </c>
    </row>
    <row r="161" spans="2:14">
      <c r="B161" s="36"/>
      <c r="C161" s="1552"/>
      <c r="D161" s="1558">
        <v>2211103</v>
      </c>
      <c r="E161" s="1559" t="s">
        <v>54</v>
      </c>
      <c r="F161" s="1554">
        <v>900000</v>
      </c>
      <c r="H161" s="36"/>
      <c r="I161" s="1552"/>
      <c r="J161" s="1558">
        <v>2211103</v>
      </c>
      <c r="K161" s="1559" t="s">
        <v>54</v>
      </c>
      <c r="L161" s="1554">
        <v>900000</v>
      </c>
      <c r="N161" s="1554">
        <f t="shared" si="2"/>
        <v>0</v>
      </c>
    </row>
    <row r="162" spans="2:14">
      <c r="B162" s="36"/>
      <c r="C162" s="1555"/>
      <c r="D162" s="1556">
        <v>2211200</v>
      </c>
      <c r="E162" s="1557" t="s">
        <v>55</v>
      </c>
      <c r="F162" s="1553">
        <v>1500000</v>
      </c>
      <c r="H162" s="36"/>
      <c r="I162" s="1555"/>
      <c r="J162" s="1556">
        <v>2211200</v>
      </c>
      <c r="K162" s="1557" t="s">
        <v>55</v>
      </c>
      <c r="L162" s="1553">
        <v>1500000</v>
      </c>
      <c r="N162" s="1553">
        <f t="shared" si="2"/>
        <v>0</v>
      </c>
    </row>
    <row r="163" spans="2:14">
      <c r="B163" s="36"/>
      <c r="C163" s="1552"/>
      <c r="D163" s="1558">
        <v>2211201</v>
      </c>
      <c r="E163" s="1559" t="s">
        <v>56</v>
      </c>
      <c r="F163" s="1554">
        <v>1500000</v>
      </c>
      <c r="H163" s="36"/>
      <c r="I163" s="1552"/>
      <c r="J163" s="1558">
        <v>2211201</v>
      </c>
      <c r="K163" s="1559" t="s">
        <v>56</v>
      </c>
      <c r="L163" s="1554">
        <v>1500000</v>
      </c>
      <c r="N163" s="1554">
        <f t="shared" si="2"/>
        <v>0</v>
      </c>
    </row>
    <row r="164" spans="2:14">
      <c r="B164" s="36"/>
      <c r="C164" s="1555"/>
      <c r="D164" s="1556">
        <v>2220100</v>
      </c>
      <c r="E164" s="1557" t="s">
        <v>62</v>
      </c>
      <c r="F164" s="1553">
        <v>1200000</v>
      </c>
      <c r="H164" s="36"/>
      <c r="I164" s="1555"/>
      <c r="J164" s="1556">
        <v>2220100</v>
      </c>
      <c r="K164" s="1557" t="s">
        <v>62</v>
      </c>
      <c r="L164" s="1553">
        <v>1200000</v>
      </c>
      <c r="N164" s="1553">
        <f t="shared" si="2"/>
        <v>0</v>
      </c>
    </row>
    <row r="165" spans="2:14">
      <c r="B165" s="36"/>
      <c r="C165" s="1552"/>
      <c r="D165" s="1558">
        <v>2220101</v>
      </c>
      <c r="E165" s="1559" t="s">
        <v>250</v>
      </c>
      <c r="F165" s="1554">
        <v>600000</v>
      </c>
      <c r="H165" s="36"/>
      <c r="I165" s="1552"/>
      <c r="J165" s="1558">
        <v>2220101</v>
      </c>
      <c r="K165" s="1559" t="s">
        <v>250</v>
      </c>
      <c r="L165" s="1554">
        <v>600000</v>
      </c>
      <c r="N165" s="1554">
        <f t="shared" si="2"/>
        <v>0</v>
      </c>
    </row>
    <row r="166" spans="2:14">
      <c r="B166" s="36"/>
      <c r="C166" s="1552"/>
      <c r="D166" s="39">
        <v>2220105</v>
      </c>
      <c r="E166" s="73" t="s">
        <v>404</v>
      </c>
      <c r="F166" s="1554">
        <v>600000</v>
      </c>
      <c r="H166" s="36"/>
      <c r="I166" s="1552"/>
      <c r="J166" s="39">
        <v>2220105</v>
      </c>
      <c r="K166" s="73" t="s">
        <v>404</v>
      </c>
      <c r="L166" s="1554">
        <v>600000</v>
      </c>
      <c r="N166" s="1554">
        <f t="shared" si="2"/>
        <v>0</v>
      </c>
    </row>
    <row r="167" spans="2:14">
      <c r="B167" s="36"/>
      <c r="C167" s="1555"/>
      <c r="D167" s="1543">
        <v>2220200</v>
      </c>
      <c r="E167" s="1544" t="s">
        <v>405</v>
      </c>
      <c r="F167" s="1553">
        <v>800000</v>
      </c>
      <c r="H167" s="36"/>
      <c r="I167" s="1555"/>
      <c r="J167" s="1543">
        <v>2220200</v>
      </c>
      <c r="K167" s="1544" t="s">
        <v>405</v>
      </c>
      <c r="L167" s="1553">
        <v>800000</v>
      </c>
      <c r="N167" s="1553">
        <f t="shared" si="2"/>
        <v>0</v>
      </c>
    </row>
    <row r="168" spans="2:14">
      <c r="B168" s="36"/>
      <c r="C168" s="1552"/>
      <c r="D168" s="39">
        <v>2220205</v>
      </c>
      <c r="E168" s="73" t="s">
        <v>1543</v>
      </c>
      <c r="F168" s="1554">
        <v>800000</v>
      </c>
      <c r="H168" s="36"/>
      <c r="I168" s="1552"/>
      <c r="J168" s="39">
        <v>2220205</v>
      </c>
      <c r="K168" s="73" t="s">
        <v>1543</v>
      </c>
      <c r="L168" s="1554">
        <v>800000</v>
      </c>
      <c r="N168" s="1554">
        <f t="shared" si="2"/>
        <v>0</v>
      </c>
    </row>
    <row r="169" spans="2:14">
      <c r="B169" s="36"/>
      <c r="C169" s="1555"/>
      <c r="D169" s="1556">
        <v>3111000</v>
      </c>
      <c r="E169" s="1557" t="s">
        <v>69</v>
      </c>
      <c r="F169" s="1553">
        <v>1300000</v>
      </c>
      <c r="H169" s="36"/>
      <c r="I169" s="1555"/>
      <c r="J169" s="1556">
        <v>3111000</v>
      </c>
      <c r="K169" s="1557" t="s">
        <v>69</v>
      </c>
      <c r="L169" s="1553">
        <v>1300000</v>
      </c>
      <c r="N169" s="1553">
        <f t="shared" si="2"/>
        <v>0</v>
      </c>
    </row>
    <row r="170" spans="2:14">
      <c r="B170" s="36"/>
      <c r="C170" s="1552"/>
      <c r="D170" s="1558" t="s">
        <v>98</v>
      </c>
      <c r="E170" s="1559" t="s">
        <v>70</v>
      </c>
      <c r="F170" s="1554">
        <v>800000</v>
      </c>
      <c r="H170" s="36"/>
      <c r="I170" s="1552"/>
      <c r="J170" s="1558" t="s">
        <v>98</v>
      </c>
      <c r="K170" s="1559" t="s">
        <v>70</v>
      </c>
      <c r="L170" s="1554">
        <v>800000</v>
      </c>
      <c r="N170" s="1554">
        <f t="shared" si="2"/>
        <v>0</v>
      </c>
    </row>
    <row r="171" spans="2:14">
      <c r="B171" s="36"/>
      <c r="C171" s="1552"/>
      <c r="D171" s="1558">
        <v>3111002</v>
      </c>
      <c r="E171" s="1559" t="s">
        <v>71</v>
      </c>
      <c r="F171" s="1554">
        <v>500000</v>
      </c>
      <c r="H171" s="36"/>
      <c r="I171" s="1552"/>
      <c r="J171" s="1558">
        <v>3111002</v>
      </c>
      <c r="K171" s="1559" t="s">
        <v>71</v>
      </c>
      <c r="L171" s="1554">
        <v>500000</v>
      </c>
      <c r="N171" s="1554">
        <f t="shared" si="2"/>
        <v>0</v>
      </c>
    </row>
    <row r="172" spans="2:14">
      <c r="B172" s="36"/>
      <c r="C172" s="1555"/>
      <c r="D172" s="1562">
        <v>3111400</v>
      </c>
      <c r="E172" s="1563" t="s">
        <v>531</v>
      </c>
      <c r="F172" s="1553">
        <v>1000000</v>
      </c>
      <c r="H172" s="36"/>
      <c r="I172" s="1555"/>
      <c r="J172" s="1562">
        <v>3111400</v>
      </c>
      <c r="K172" s="1563" t="s">
        <v>531</v>
      </c>
      <c r="L172" s="1553">
        <v>1000000</v>
      </c>
      <c r="N172" s="1553">
        <f t="shared" si="2"/>
        <v>0</v>
      </c>
    </row>
    <row r="173" spans="2:14">
      <c r="B173" s="36"/>
      <c r="C173" s="1552"/>
      <c r="D173" s="1564">
        <v>3111403</v>
      </c>
      <c r="E173" s="1565" t="s">
        <v>1549</v>
      </c>
      <c r="F173" s="1554">
        <v>1000000</v>
      </c>
      <c r="H173" s="36"/>
      <c r="I173" s="1552"/>
      <c r="J173" s="1564">
        <v>3111403</v>
      </c>
      <c r="K173" s="1565" t="s">
        <v>1549</v>
      </c>
      <c r="L173" s="1554">
        <v>1000000</v>
      </c>
      <c r="N173" s="1554">
        <f t="shared" si="2"/>
        <v>0</v>
      </c>
    </row>
    <row r="174" spans="2:14">
      <c r="B174" s="36"/>
      <c r="C174" s="1552"/>
      <c r="D174" s="1566"/>
      <c r="E174" s="1567"/>
      <c r="F174" s="1568">
        <v>0</v>
      </c>
      <c r="H174" s="36"/>
      <c r="I174" s="1552"/>
      <c r="J174" s="1566"/>
      <c r="K174" s="1567"/>
      <c r="L174" s="1568">
        <v>0</v>
      </c>
      <c r="N174" s="1568">
        <f t="shared" si="2"/>
        <v>0</v>
      </c>
    </row>
    <row r="175" spans="2:14">
      <c r="B175" s="36"/>
      <c r="C175" s="1552"/>
      <c r="D175" s="1560"/>
      <c r="E175" s="1569"/>
      <c r="F175" s="1570"/>
      <c r="H175" s="36"/>
      <c r="I175" s="1552"/>
      <c r="J175" s="1560"/>
      <c r="K175" s="1569"/>
      <c r="L175" s="1570"/>
      <c r="N175" s="1570">
        <f t="shared" si="2"/>
        <v>0</v>
      </c>
    </row>
    <row r="176" spans="2:14">
      <c r="B176" s="36"/>
      <c r="C176" s="1555"/>
      <c r="D176" s="1571"/>
      <c r="E176" s="1557" t="s">
        <v>99</v>
      </c>
      <c r="F176" s="1553">
        <v>18420000</v>
      </c>
      <c r="H176" s="36"/>
      <c r="I176" s="1555"/>
      <c r="J176" s="1571"/>
      <c r="K176" s="1557" t="s">
        <v>99</v>
      </c>
      <c r="L176" s="1553">
        <v>18420000</v>
      </c>
      <c r="N176" s="1553">
        <f t="shared" si="2"/>
        <v>0</v>
      </c>
    </row>
    <row r="177" spans="2:14">
      <c r="B177" s="36"/>
      <c r="C177" s="1555"/>
      <c r="D177" s="1571"/>
      <c r="E177" s="1557" t="s">
        <v>84</v>
      </c>
      <c r="F177" s="1553">
        <v>18420000</v>
      </c>
      <c r="H177" s="36"/>
      <c r="I177" s="1555"/>
      <c r="J177" s="1571"/>
      <c r="K177" s="1557" t="s">
        <v>84</v>
      </c>
      <c r="L177" s="1553">
        <v>18420000</v>
      </c>
      <c r="N177" s="1553">
        <f t="shared" si="2"/>
        <v>0</v>
      </c>
    </row>
    <row r="178" spans="2:14">
      <c r="B178" s="36"/>
      <c r="C178" s="1555"/>
      <c r="D178" s="1571"/>
      <c r="E178" s="1557"/>
      <c r="F178" s="1553"/>
      <c r="H178" s="36"/>
      <c r="I178" s="1555"/>
      <c r="J178" s="1571"/>
      <c r="K178" s="1557"/>
      <c r="L178" s="1553"/>
      <c r="N178" s="1553">
        <f t="shared" si="2"/>
        <v>0</v>
      </c>
    </row>
    <row r="179" spans="2:14">
      <c r="B179" s="36"/>
      <c r="C179" s="1572" t="s">
        <v>146</v>
      </c>
      <c r="D179" s="1573" t="s">
        <v>1550</v>
      </c>
      <c r="E179" s="1574"/>
      <c r="F179" s="25"/>
      <c r="H179" s="36"/>
      <c r="I179" s="1572" t="s">
        <v>146</v>
      </c>
      <c r="J179" s="1573" t="s">
        <v>1550</v>
      </c>
      <c r="K179" s="1574"/>
      <c r="L179" s="25"/>
      <c r="N179" s="25">
        <f t="shared" si="2"/>
        <v>0</v>
      </c>
    </row>
    <row r="180" spans="2:14">
      <c r="B180" s="36"/>
      <c r="C180" s="1555"/>
      <c r="D180" s="1575">
        <v>2210100</v>
      </c>
      <c r="E180" s="1576" t="s">
        <v>16</v>
      </c>
      <c r="F180" s="1537">
        <v>1000000</v>
      </c>
      <c r="H180" s="36"/>
      <c r="I180" s="1555"/>
      <c r="J180" s="1575">
        <v>2210100</v>
      </c>
      <c r="K180" s="1576" t="s">
        <v>16</v>
      </c>
      <c r="L180" s="1537">
        <v>1000000</v>
      </c>
      <c r="N180" s="1537">
        <f t="shared" si="2"/>
        <v>0</v>
      </c>
    </row>
    <row r="181" spans="2:14">
      <c r="B181" s="36"/>
      <c r="C181" s="1555"/>
      <c r="D181" s="1538">
        <v>2210101</v>
      </c>
      <c r="E181" s="1539" t="s">
        <v>17</v>
      </c>
      <c r="F181" s="1540">
        <v>800000</v>
      </c>
      <c r="H181" s="36"/>
      <c r="I181" s="1555"/>
      <c r="J181" s="1538">
        <v>2210101</v>
      </c>
      <c r="K181" s="1539" t="s">
        <v>17</v>
      </c>
      <c r="L181" s="1540">
        <v>800000</v>
      </c>
      <c r="N181" s="1540">
        <f t="shared" si="2"/>
        <v>0</v>
      </c>
    </row>
    <row r="182" spans="2:14">
      <c r="B182" s="36"/>
      <c r="C182" s="1555"/>
      <c r="D182" s="1538">
        <v>2210102</v>
      </c>
      <c r="E182" s="1539" t="s">
        <v>18</v>
      </c>
      <c r="F182" s="1540">
        <v>200000</v>
      </c>
      <c r="H182" s="36"/>
      <c r="I182" s="1555"/>
      <c r="J182" s="1538">
        <v>2210102</v>
      </c>
      <c r="K182" s="1539" t="s">
        <v>18</v>
      </c>
      <c r="L182" s="1540">
        <v>200000</v>
      </c>
      <c r="N182" s="1540">
        <f t="shared" si="2"/>
        <v>0</v>
      </c>
    </row>
    <row r="183" spans="2:14">
      <c r="B183" s="36"/>
      <c r="C183" s="1555"/>
      <c r="D183" s="1509">
        <v>2210200</v>
      </c>
      <c r="E183" s="1541" t="s">
        <v>20</v>
      </c>
      <c r="F183" s="1537">
        <v>170000</v>
      </c>
      <c r="H183" s="36"/>
      <c r="I183" s="1555"/>
      <c r="J183" s="1509">
        <v>2210200</v>
      </c>
      <c r="K183" s="1541" t="s">
        <v>20</v>
      </c>
      <c r="L183" s="1537">
        <v>170000</v>
      </c>
      <c r="N183" s="1537">
        <f t="shared" si="2"/>
        <v>0</v>
      </c>
    </row>
    <row r="184" spans="2:14">
      <c r="B184" s="36"/>
      <c r="C184" s="1555"/>
      <c r="D184" s="28">
        <v>2210201</v>
      </c>
      <c r="E184" s="1542" t="s">
        <v>21</v>
      </c>
      <c r="F184" s="1540">
        <v>120000</v>
      </c>
      <c r="H184" s="36"/>
      <c r="I184" s="1555"/>
      <c r="J184" s="28">
        <v>2210201</v>
      </c>
      <c r="K184" s="1542" t="s">
        <v>21</v>
      </c>
      <c r="L184" s="1540">
        <v>120000</v>
      </c>
      <c r="N184" s="1540">
        <f t="shared" si="2"/>
        <v>0</v>
      </c>
    </row>
    <row r="185" spans="2:14">
      <c r="B185" s="36"/>
      <c r="C185" s="1555"/>
      <c r="D185" s="28">
        <v>2210202</v>
      </c>
      <c r="E185" s="1542" t="s">
        <v>22</v>
      </c>
      <c r="F185" s="1540">
        <v>50000</v>
      </c>
      <c r="H185" s="36"/>
      <c r="I185" s="1555"/>
      <c r="J185" s="28">
        <v>2210202</v>
      </c>
      <c r="K185" s="1542" t="s">
        <v>22</v>
      </c>
      <c r="L185" s="1540">
        <v>50000</v>
      </c>
      <c r="N185" s="1540">
        <f t="shared" si="2"/>
        <v>0</v>
      </c>
    </row>
    <row r="186" spans="2:14">
      <c r="B186" s="36"/>
      <c r="C186" s="1555"/>
      <c r="D186" s="1509">
        <v>2210300</v>
      </c>
      <c r="E186" s="1541" t="s">
        <v>24</v>
      </c>
      <c r="F186" s="1537">
        <v>1200000</v>
      </c>
      <c r="H186" s="36"/>
      <c r="I186" s="1555"/>
      <c r="J186" s="1509">
        <v>2210300</v>
      </c>
      <c r="K186" s="1541" t="s">
        <v>24</v>
      </c>
      <c r="L186" s="1537">
        <v>1200000</v>
      </c>
      <c r="N186" s="1537">
        <f t="shared" si="2"/>
        <v>0</v>
      </c>
    </row>
    <row r="187" spans="2:14">
      <c r="B187" s="36"/>
      <c r="C187" s="36"/>
      <c r="D187" s="28">
        <v>2210301</v>
      </c>
      <c r="E187" s="1542" t="s">
        <v>25</v>
      </c>
      <c r="F187" s="1540">
        <v>200000</v>
      </c>
      <c r="H187" s="36"/>
      <c r="I187" s="36"/>
      <c r="J187" s="28">
        <v>2210301</v>
      </c>
      <c r="K187" s="1542" t="s">
        <v>25</v>
      </c>
      <c r="L187" s="1540">
        <v>200000</v>
      </c>
      <c r="N187" s="1540">
        <f t="shared" si="2"/>
        <v>0</v>
      </c>
    </row>
    <row r="188" spans="2:14">
      <c r="B188" s="36"/>
      <c r="C188" s="36"/>
      <c r="D188" s="28">
        <v>2210302</v>
      </c>
      <c r="E188" s="1542" t="s">
        <v>26</v>
      </c>
      <c r="F188" s="1540">
        <v>500000</v>
      </c>
      <c r="H188" s="36"/>
      <c r="I188" s="36"/>
      <c r="J188" s="28">
        <v>2210302</v>
      </c>
      <c r="K188" s="1542" t="s">
        <v>26</v>
      </c>
      <c r="L188" s="1540">
        <v>500000</v>
      </c>
      <c r="N188" s="1540">
        <f t="shared" si="2"/>
        <v>0</v>
      </c>
    </row>
    <row r="189" spans="2:14">
      <c r="B189" s="36"/>
      <c r="C189" s="36"/>
      <c r="D189" s="28">
        <v>2210303</v>
      </c>
      <c r="E189" s="1542" t="s">
        <v>27</v>
      </c>
      <c r="F189" s="1540">
        <v>500000</v>
      </c>
      <c r="H189" s="36"/>
      <c r="I189" s="36"/>
      <c r="J189" s="28">
        <v>2210303</v>
      </c>
      <c r="K189" s="1542" t="s">
        <v>27</v>
      </c>
      <c r="L189" s="1540">
        <v>500000</v>
      </c>
      <c r="N189" s="1540">
        <f t="shared" si="2"/>
        <v>0</v>
      </c>
    </row>
    <row r="190" spans="2:14">
      <c r="B190" s="36"/>
      <c r="C190" s="36"/>
      <c r="D190" s="1509">
        <v>2210500</v>
      </c>
      <c r="E190" s="1541" t="s">
        <v>31</v>
      </c>
      <c r="F190" s="1537">
        <v>100000</v>
      </c>
      <c r="H190" s="36"/>
      <c r="I190" s="36"/>
      <c r="J190" s="1509">
        <v>2210500</v>
      </c>
      <c r="K190" s="1541" t="s">
        <v>31</v>
      </c>
      <c r="L190" s="1537">
        <v>100000</v>
      </c>
      <c r="N190" s="1537">
        <f t="shared" si="2"/>
        <v>0</v>
      </c>
    </row>
    <row r="191" spans="2:14">
      <c r="B191" s="36"/>
      <c r="C191" s="36"/>
      <c r="D191" s="28">
        <v>2210503</v>
      </c>
      <c r="E191" s="1542" t="s">
        <v>32</v>
      </c>
      <c r="F191" s="1540">
        <v>100000</v>
      </c>
      <c r="H191" s="36"/>
      <c r="I191" s="36"/>
      <c r="J191" s="28">
        <v>2210503</v>
      </c>
      <c r="K191" s="1542" t="s">
        <v>32</v>
      </c>
      <c r="L191" s="1540">
        <v>100000</v>
      </c>
      <c r="N191" s="1540">
        <f t="shared" si="2"/>
        <v>0</v>
      </c>
    </row>
    <row r="192" spans="2:14">
      <c r="B192" s="36"/>
      <c r="C192" s="36"/>
      <c r="D192" s="1509">
        <v>2210700</v>
      </c>
      <c r="E192" s="1541" t="s">
        <v>35</v>
      </c>
      <c r="F192" s="1537">
        <v>800000</v>
      </c>
      <c r="H192" s="36"/>
      <c r="I192" s="36"/>
      <c r="J192" s="1509">
        <v>2210700</v>
      </c>
      <c r="K192" s="1541" t="s">
        <v>35</v>
      </c>
      <c r="L192" s="1537">
        <v>800000</v>
      </c>
      <c r="N192" s="1537">
        <f t="shared" si="2"/>
        <v>0</v>
      </c>
    </row>
    <row r="193" spans="2:14">
      <c r="B193" s="36"/>
      <c r="C193" s="36"/>
      <c r="D193" s="28">
        <v>2210701</v>
      </c>
      <c r="E193" s="1542" t="s">
        <v>36</v>
      </c>
      <c r="F193" s="1540">
        <v>100000</v>
      </c>
      <c r="H193" s="36"/>
      <c r="I193" s="36"/>
      <c r="J193" s="28">
        <v>2210701</v>
      </c>
      <c r="K193" s="1542" t="s">
        <v>36</v>
      </c>
      <c r="L193" s="1540">
        <v>100000</v>
      </c>
      <c r="N193" s="1540">
        <f t="shared" si="2"/>
        <v>0</v>
      </c>
    </row>
    <row r="194" spans="2:14">
      <c r="B194" s="36"/>
      <c r="C194" s="36"/>
      <c r="D194" s="28">
        <v>2210702</v>
      </c>
      <c r="E194" s="1542" t="s">
        <v>95</v>
      </c>
      <c r="F194" s="1540">
        <v>100000</v>
      </c>
      <c r="H194" s="36"/>
      <c r="I194" s="36"/>
      <c r="J194" s="28">
        <v>2210702</v>
      </c>
      <c r="K194" s="1542" t="s">
        <v>95</v>
      </c>
      <c r="L194" s="1540">
        <v>100000</v>
      </c>
      <c r="N194" s="1540">
        <f t="shared" si="2"/>
        <v>0</v>
      </c>
    </row>
    <row r="195" spans="2:14">
      <c r="B195" s="36"/>
      <c r="C195" s="36"/>
      <c r="D195" s="28">
        <v>2210715</v>
      </c>
      <c r="E195" s="1542" t="s">
        <v>40</v>
      </c>
      <c r="F195" s="1540">
        <v>500000</v>
      </c>
      <c r="H195" s="36"/>
      <c r="I195" s="36"/>
      <c r="J195" s="28">
        <v>2210715</v>
      </c>
      <c r="K195" s="1542" t="s">
        <v>40</v>
      </c>
      <c r="L195" s="1540">
        <v>500000</v>
      </c>
      <c r="N195" s="1540">
        <f t="shared" si="2"/>
        <v>0</v>
      </c>
    </row>
    <row r="196" spans="2:14">
      <c r="B196" s="36"/>
      <c r="C196" s="36"/>
      <c r="D196" s="28">
        <v>2210799</v>
      </c>
      <c r="E196" s="1542" t="s">
        <v>96</v>
      </c>
      <c r="F196" s="1540">
        <v>100000</v>
      </c>
      <c r="H196" s="36"/>
      <c r="I196" s="36"/>
      <c r="J196" s="28">
        <v>2210799</v>
      </c>
      <c r="K196" s="1542" t="s">
        <v>96</v>
      </c>
      <c r="L196" s="1540">
        <v>100000</v>
      </c>
      <c r="N196" s="1540">
        <f t="shared" si="2"/>
        <v>0</v>
      </c>
    </row>
    <row r="197" spans="2:14">
      <c r="B197" s="36"/>
      <c r="C197" s="36"/>
      <c r="D197" s="1509">
        <v>2210800</v>
      </c>
      <c r="E197" s="1541" t="s">
        <v>42</v>
      </c>
      <c r="F197" s="1537">
        <v>1500000</v>
      </c>
      <c r="H197" s="36"/>
      <c r="I197" s="36"/>
      <c r="J197" s="1509">
        <v>2210800</v>
      </c>
      <c r="K197" s="1541" t="s">
        <v>42</v>
      </c>
      <c r="L197" s="1537">
        <v>1500000</v>
      </c>
      <c r="N197" s="1537">
        <f t="shared" si="2"/>
        <v>0</v>
      </c>
    </row>
    <row r="198" spans="2:14">
      <c r="B198" s="36"/>
      <c r="C198" s="36"/>
      <c r="D198" s="28">
        <v>2210801</v>
      </c>
      <c r="E198" s="1542" t="s">
        <v>43</v>
      </c>
      <c r="F198" s="1540">
        <v>1000000</v>
      </c>
      <c r="H198" s="36"/>
      <c r="I198" s="36"/>
      <c r="J198" s="28">
        <v>2210801</v>
      </c>
      <c r="K198" s="1542" t="s">
        <v>43</v>
      </c>
      <c r="L198" s="1540">
        <v>1000000</v>
      </c>
      <c r="N198" s="1540">
        <f t="shared" si="2"/>
        <v>0</v>
      </c>
    </row>
    <row r="199" spans="2:14">
      <c r="B199" s="36"/>
      <c r="C199" s="36"/>
      <c r="D199" s="28">
        <v>2210802</v>
      </c>
      <c r="E199" s="1542" t="s">
        <v>97</v>
      </c>
      <c r="F199" s="1540">
        <v>500000</v>
      </c>
      <c r="H199" s="36"/>
      <c r="I199" s="36"/>
      <c r="J199" s="28">
        <v>2210802</v>
      </c>
      <c r="K199" s="1542" t="s">
        <v>97</v>
      </c>
      <c r="L199" s="1540">
        <v>500000</v>
      </c>
      <c r="N199" s="1540">
        <f t="shared" si="2"/>
        <v>0</v>
      </c>
    </row>
    <row r="200" spans="2:14">
      <c r="B200" s="36"/>
      <c r="C200" s="36"/>
      <c r="D200" s="1509">
        <v>2211100</v>
      </c>
      <c r="E200" s="1541" t="s">
        <v>51</v>
      </c>
      <c r="F200" s="1537">
        <v>1600000</v>
      </c>
      <c r="H200" s="36"/>
      <c r="I200" s="36"/>
      <c r="J200" s="1509">
        <v>2211100</v>
      </c>
      <c r="K200" s="1541" t="s">
        <v>51</v>
      </c>
      <c r="L200" s="1537">
        <v>1600000</v>
      </c>
      <c r="N200" s="1537">
        <f t="shared" ref="N200:N263" si="3">F200-L200</f>
        <v>0</v>
      </c>
    </row>
    <row r="201" spans="2:14">
      <c r="B201" s="36"/>
      <c r="C201" s="36"/>
      <c r="D201" s="28">
        <v>2211101</v>
      </c>
      <c r="E201" s="1542" t="s">
        <v>52</v>
      </c>
      <c r="F201" s="1540">
        <v>500000</v>
      </c>
      <c r="H201" s="36"/>
      <c r="I201" s="36"/>
      <c r="J201" s="28">
        <v>2211101</v>
      </c>
      <c r="K201" s="1542" t="s">
        <v>52</v>
      </c>
      <c r="L201" s="1540">
        <v>500000</v>
      </c>
      <c r="N201" s="1540">
        <f t="shared" si="3"/>
        <v>0</v>
      </c>
    </row>
    <row r="202" spans="2:14">
      <c r="B202" s="36"/>
      <c r="C202" s="36"/>
      <c r="D202" s="28">
        <v>2211102</v>
      </c>
      <c r="E202" s="1542" t="s">
        <v>53</v>
      </c>
      <c r="F202" s="1540">
        <v>800000</v>
      </c>
      <c r="H202" s="36"/>
      <c r="I202" s="36"/>
      <c r="J202" s="28">
        <v>2211102</v>
      </c>
      <c r="K202" s="1542" t="s">
        <v>53</v>
      </c>
      <c r="L202" s="1540">
        <v>800000</v>
      </c>
      <c r="N202" s="1540">
        <f t="shared" si="3"/>
        <v>0</v>
      </c>
    </row>
    <row r="203" spans="2:14">
      <c r="B203" s="36"/>
      <c r="C203" s="36"/>
      <c r="D203" s="28">
        <v>2211103</v>
      </c>
      <c r="E203" s="1542" t="s">
        <v>54</v>
      </c>
      <c r="F203" s="1540">
        <v>300000</v>
      </c>
      <c r="H203" s="36"/>
      <c r="I203" s="36"/>
      <c r="J203" s="28">
        <v>2211103</v>
      </c>
      <c r="K203" s="1542" t="s">
        <v>54</v>
      </c>
      <c r="L203" s="1540">
        <v>300000</v>
      </c>
      <c r="N203" s="1540">
        <f t="shared" si="3"/>
        <v>0</v>
      </c>
    </row>
    <row r="204" spans="2:14">
      <c r="B204" s="36"/>
      <c r="C204" s="36"/>
      <c r="D204" s="1509">
        <v>2211200</v>
      </c>
      <c r="E204" s="1541" t="s">
        <v>55</v>
      </c>
      <c r="F204" s="1537">
        <v>500000</v>
      </c>
      <c r="H204" s="36"/>
      <c r="I204" s="36"/>
      <c r="J204" s="1509">
        <v>2211200</v>
      </c>
      <c r="K204" s="1541" t="s">
        <v>55</v>
      </c>
      <c r="L204" s="1537">
        <v>500000</v>
      </c>
      <c r="N204" s="1537">
        <f t="shared" si="3"/>
        <v>0</v>
      </c>
    </row>
    <row r="205" spans="2:14">
      <c r="B205" s="36"/>
      <c r="C205" s="36"/>
      <c r="D205" s="28">
        <v>2211201</v>
      </c>
      <c r="E205" s="1542" t="s">
        <v>56</v>
      </c>
      <c r="F205" s="1540">
        <v>500000</v>
      </c>
      <c r="H205" s="36"/>
      <c r="I205" s="36"/>
      <c r="J205" s="28">
        <v>2211201</v>
      </c>
      <c r="K205" s="1542" t="s">
        <v>56</v>
      </c>
      <c r="L205" s="1540">
        <v>500000</v>
      </c>
      <c r="N205" s="1540">
        <f t="shared" si="3"/>
        <v>0</v>
      </c>
    </row>
    <row r="206" spans="2:14">
      <c r="B206" s="36"/>
      <c r="C206" s="36"/>
      <c r="D206" s="1509">
        <v>2220100</v>
      </c>
      <c r="E206" s="1541" t="s">
        <v>62</v>
      </c>
      <c r="F206" s="1537">
        <v>500000</v>
      </c>
      <c r="H206" s="36"/>
      <c r="I206" s="36"/>
      <c r="J206" s="1509">
        <v>2220100</v>
      </c>
      <c r="K206" s="1541" t="s">
        <v>62</v>
      </c>
      <c r="L206" s="1537">
        <v>500000</v>
      </c>
      <c r="N206" s="1537">
        <f t="shared" si="3"/>
        <v>0</v>
      </c>
    </row>
    <row r="207" spans="2:14">
      <c r="B207" s="36"/>
      <c r="C207" s="36"/>
      <c r="D207" s="28">
        <v>2220101</v>
      </c>
      <c r="E207" s="1542" t="s">
        <v>250</v>
      </c>
      <c r="F207" s="1540">
        <v>300000</v>
      </c>
      <c r="H207" s="36"/>
      <c r="I207" s="36"/>
      <c r="J207" s="28">
        <v>2220101</v>
      </c>
      <c r="K207" s="1542" t="s">
        <v>250</v>
      </c>
      <c r="L207" s="1540">
        <v>300000</v>
      </c>
      <c r="N207" s="1540">
        <f t="shared" si="3"/>
        <v>0</v>
      </c>
    </row>
    <row r="208" spans="2:14">
      <c r="B208" s="36"/>
      <c r="C208" s="36"/>
      <c r="D208" s="39">
        <v>2220105</v>
      </c>
      <c r="E208" s="73" t="s">
        <v>404</v>
      </c>
      <c r="F208" s="1540">
        <v>200000</v>
      </c>
      <c r="H208" s="36"/>
      <c r="I208" s="36"/>
      <c r="J208" s="39">
        <v>2220105</v>
      </c>
      <c r="K208" s="73" t="s">
        <v>404</v>
      </c>
      <c r="L208" s="1540">
        <v>200000</v>
      </c>
      <c r="N208" s="1540">
        <f t="shared" si="3"/>
        <v>0</v>
      </c>
    </row>
    <row r="209" spans="2:14">
      <c r="B209" s="36"/>
      <c r="C209" s="36"/>
      <c r="D209" s="1543">
        <v>2220200</v>
      </c>
      <c r="E209" s="1544" t="s">
        <v>405</v>
      </c>
      <c r="F209" s="1537">
        <v>500000</v>
      </c>
      <c r="H209" s="36"/>
      <c r="I209" s="36"/>
      <c r="J209" s="1543">
        <v>2220200</v>
      </c>
      <c r="K209" s="1544" t="s">
        <v>405</v>
      </c>
      <c r="L209" s="1537">
        <v>500000</v>
      </c>
      <c r="N209" s="1537">
        <f t="shared" si="3"/>
        <v>0</v>
      </c>
    </row>
    <row r="210" spans="2:14">
      <c r="B210" s="36"/>
      <c r="C210" s="36"/>
      <c r="D210" s="39">
        <v>2220205</v>
      </c>
      <c r="E210" s="73" t="s">
        <v>1543</v>
      </c>
      <c r="F210" s="1540">
        <v>500000</v>
      </c>
      <c r="H210" s="36"/>
      <c r="I210" s="36"/>
      <c r="J210" s="39">
        <v>2220205</v>
      </c>
      <c r="K210" s="73" t="s">
        <v>1543</v>
      </c>
      <c r="L210" s="1540">
        <v>500000</v>
      </c>
      <c r="N210" s="1540">
        <f t="shared" si="3"/>
        <v>0</v>
      </c>
    </row>
    <row r="211" spans="2:14">
      <c r="B211" s="36"/>
      <c r="C211" s="36"/>
      <c r="D211" s="1509">
        <v>3111000</v>
      </c>
      <c r="E211" s="1541" t="s">
        <v>69</v>
      </c>
      <c r="F211" s="1537">
        <v>1000000</v>
      </c>
      <c r="H211" s="36"/>
      <c r="I211" s="36"/>
      <c r="J211" s="1509">
        <v>3111000</v>
      </c>
      <c r="K211" s="1541" t="s">
        <v>69</v>
      </c>
      <c r="L211" s="1537">
        <v>1000000</v>
      </c>
      <c r="N211" s="1537">
        <f t="shared" si="3"/>
        <v>0</v>
      </c>
    </row>
    <row r="212" spans="2:14">
      <c r="B212" s="36"/>
      <c r="C212" s="36"/>
      <c r="D212" s="28" t="s">
        <v>98</v>
      </c>
      <c r="E212" s="1542" t="s">
        <v>70</v>
      </c>
      <c r="F212" s="1540">
        <v>500000</v>
      </c>
      <c r="H212" s="36"/>
      <c r="I212" s="36"/>
      <c r="J212" s="28" t="s">
        <v>98</v>
      </c>
      <c r="K212" s="1542" t="s">
        <v>70</v>
      </c>
      <c r="L212" s="1540">
        <v>500000</v>
      </c>
      <c r="N212" s="1540">
        <f t="shared" si="3"/>
        <v>0</v>
      </c>
    </row>
    <row r="213" spans="2:14">
      <c r="B213" s="36"/>
      <c r="C213" s="36"/>
      <c r="D213" s="28">
        <v>3111002</v>
      </c>
      <c r="E213" s="1542" t="s">
        <v>71</v>
      </c>
      <c r="F213" s="1540">
        <v>500000</v>
      </c>
      <c r="H213" s="36"/>
      <c r="I213" s="36"/>
      <c r="J213" s="28">
        <v>3111002</v>
      </c>
      <c r="K213" s="1542" t="s">
        <v>71</v>
      </c>
      <c r="L213" s="1540">
        <v>500000</v>
      </c>
      <c r="N213" s="1540">
        <f t="shared" si="3"/>
        <v>0</v>
      </c>
    </row>
    <row r="214" spans="2:14">
      <c r="B214" s="36"/>
      <c r="C214" s="36"/>
      <c r="D214" s="55"/>
      <c r="E214" s="1518"/>
      <c r="F214" s="1527">
        <v>0</v>
      </c>
      <c r="H214" s="36"/>
      <c r="I214" s="36"/>
      <c r="J214" s="55"/>
      <c r="K214" s="1518"/>
      <c r="L214" s="1527">
        <v>0</v>
      </c>
      <c r="N214" s="1527">
        <f t="shared" si="3"/>
        <v>0</v>
      </c>
    </row>
    <row r="215" spans="2:14">
      <c r="B215" s="36"/>
      <c r="C215" s="36"/>
      <c r="D215" s="19"/>
      <c r="E215" s="20"/>
      <c r="F215" s="1516"/>
      <c r="H215" s="36"/>
      <c r="I215" s="36"/>
      <c r="J215" s="19"/>
      <c r="K215" s="20"/>
      <c r="L215" s="1516"/>
      <c r="N215" s="1516">
        <f t="shared" si="3"/>
        <v>0</v>
      </c>
    </row>
    <row r="216" spans="2:14">
      <c r="B216" s="36"/>
      <c r="C216" s="36"/>
      <c r="D216" s="1577"/>
      <c r="E216" s="1529" t="s">
        <v>99</v>
      </c>
      <c r="F216" s="1537">
        <v>8870000</v>
      </c>
      <c r="H216" s="36"/>
      <c r="I216" s="36"/>
      <c r="J216" s="1577"/>
      <c r="K216" s="1529" t="s">
        <v>99</v>
      </c>
      <c r="L216" s="1537">
        <v>8870000</v>
      </c>
      <c r="N216" s="1537">
        <f t="shared" si="3"/>
        <v>0</v>
      </c>
    </row>
    <row r="217" spans="2:14">
      <c r="B217" s="36"/>
      <c r="C217" s="36"/>
      <c r="D217" s="1577"/>
      <c r="E217" s="1529" t="s">
        <v>84</v>
      </c>
      <c r="F217" s="1537">
        <v>8870000</v>
      </c>
      <c r="H217" s="36"/>
      <c r="I217" s="36"/>
      <c r="J217" s="1577"/>
      <c r="K217" s="1529" t="s">
        <v>84</v>
      </c>
      <c r="L217" s="1537">
        <v>8870000</v>
      </c>
      <c r="N217" s="1537">
        <f t="shared" si="3"/>
        <v>0</v>
      </c>
    </row>
    <row r="218" spans="2:14">
      <c r="B218" s="36"/>
      <c r="C218" s="36"/>
      <c r="D218" s="1577"/>
      <c r="E218" s="1529"/>
      <c r="F218" s="1537"/>
      <c r="H218" s="36"/>
      <c r="I218" s="36"/>
      <c r="J218" s="1577"/>
      <c r="K218" s="1529"/>
      <c r="L218" s="1537"/>
      <c r="N218" s="1537">
        <f t="shared" si="3"/>
        <v>0</v>
      </c>
    </row>
    <row r="219" spans="2:14">
      <c r="B219" s="36"/>
      <c r="C219" s="1552" t="s">
        <v>146</v>
      </c>
      <c r="D219" s="1578" t="s">
        <v>1556</v>
      </c>
      <c r="E219" s="1579"/>
      <c r="F219" s="1551"/>
      <c r="H219" s="36"/>
      <c r="I219" s="1552" t="s">
        <v>146</v>
      </c>
      <c r="J219" s="1578" t="s">
        <v>1556</v>
      </c>
      <c r="K219" s="1579"/>
      <c r="L219" s="1551"/>
      <c r="N219" s="1551">
        <f t="shared" si="3"/>
        <v>0</v>
      </c>
    </row>
    <row r="220" spans="2:14">
      <c r="B220" s="36"/>
      <c r="C220" s="1552"/>
      <c r="D220" s="1535">
        <v>2210100</v>
      </c>
      <c r="E220" s="1536" t="s">
        <v>16</v>
      </c>
      <c r="F220" s="1553">
        <v>1000000</v>
      </c>
      <c r="H220" s="36"/>
      <c r="I220" s="1552"/>
      <c r="J220" s="1535">
        <v>2210100</v>
      </c>
      <c r="K220" s="1536" t="s">
        <v>16</v>
      </c>
      <c r="L220" s="1553">
        <v>1000000</v>
      </c>
      <c r="N220" s="1553">
        <f t="shared" si="3"/>
        <v>0</v>
      </c>
    </row>
    <row r="221" spans="2:14">
      <c r="B221" s="36"/>
      <c r="C221" s="1552"/>
      <c r="D221" s="1538">
        <v>2210101</v>
      </c>
      <c r="E221" s="1539" t="s">
        <v>17</v>
      </c>
      <c r="F221" s="1554">
        <v>800000</v>
      </c>
      <c r="H221" s="36"/>
      <c r="I221" s="1552"/>
      <c r="J221" s="1538">
        <v>2210101</v>
      </c>
      <c r="K221" s="1539" t="s">
        <v>17</v>
      </c>
      <c r="L221" s="1554">
        <v>800000</v>
      </c>
      <c r="N221" s="1554">
        <f t="shared" si="3"/>
        <v>0</v>
      </c>
    </row>
    <row r="222" spans="2:14">
      <c r="B222" s="36"/>
      <c r="C222" s="1552"/>
      <c r="D222" s="1538">
        <v>2210102</v>
      </c>
      <c r="E222" s="1539" t="s">
        <v>18</v>
      </c>
      <c r="F222" s="1554">
        <v>200000</v>
      </c>
      <c r="H222" s="36"/>
      <c r="I222" s="1552"/>
      <c r="J222" s="1538">
        <v>2210102</v>
      </c>
      <c r="K222" s="1539" t="s">
        <v>18</v>
      </c>
      <c r="L222" s="1554">
        <v>200000</v>
      </c>
      <c r="N222" s="1554">
        <f t="shared" si="3"/>
        <v>0</v>
      </c>
    </row>
    <row r="223" spans="2:14">
      <c r="B223" s="36"/>
      <c r="C223" s="1555"/>
      <c r="D223" s="1556">
        <v>2210200</v>
      </c>
      <c r="E223" s="1557" t="s">
        <v>20</v>
      </c>
      <c r="F223" s="1553">
        <v>220000</v>
      </c>
      <c r="H223" s="36"/>
      <c r="I223" s="1555"/>
      <c r="J223" s="1556">
        <v>2210200</v>
      </c>
      <c r="K223" s="1557" t="s">
        <v>20</v>
      </c>
      <c r="L223" s="1553">
        <v>220000</v>
      </c>
      <c r="N223" s="1553">
        <f t="shared" si="3"/>
        <v>0</v>
      </c>
    </row>
    <row r="224" spans="2:14">
      <c r="B224" s="36"/>
      <c r="C224" s="1552"/>
      <c r="D224" s="1558">
        <v>2210201</v>
      </c>
      <c r="E224" s="1559" t="s">
        <v>21</v>
      </c>
      <c r="F224" s="1554">
        <v>120000</v>
      </c>
      <c r="H224" s="36"/>
      <c r="I224" s="1552"/>
      <c r="J224" s="1558">
        <v>2210201</v>
      </c>
      <c r="K224" s="1559" t="s">
        <v>21</v>
      </c>
      <c r="L224" s="1554">
        <v>120000</v>
      </c>
      <c r="N224" s="1554">
        <f t="shared" si="3"/>
        <v>0</v>
      </c>
    </row>
    <row r="225" spans="2:14">
      <c r="B225" s="36"/>
      <c r="C225" s="1552"/>
      <c r="D225" s="1558">
        <v>2210202</v>
      </c>
      <c r="E225" s="1559" t="s">
        <v>22</v>
      </c>
      <c r="F225" s="1554">
        <v>100000</v>
      </c>
      <c r="H225" s="36"/>
      <c r="I225" s="1552"/>
      <c r="J225" s="1558">
        <v>2210202</v>
      </c>
      <c r="K225" s="1559" t="s">
        <v>22</v>
      </c>
      <c r="L225" s="1554">
        <v>100000</v>
      </c>
      <c r="N225" s="1554">
        <f t="shared" si="3"/>
        <v>0</v>
      </c>
    </row>
    <row r="226" spans="2:14">
      <c r="B226" s="36"/>
      <c r="C226" s="1555"/>
      <c r="D226" s="1556">
        <v>2210300</v>
      </c>
      <c r="E226" s="1557" t="s">
        <v>24</v>
      </c>
      <c r="F226" s="1553">
        <v>1500000</v>
      </c>
      <c r="H226" s="36"/>
      <c r="I226" s="1555"/>
      <c r="J226" s="1556">
        <v>2210300</v>
      </c>
      <c r="K226" s="1557" t="s">
        <v>24</v>
      </c>
      <c r="L226" s="1553">
        <v>1500000</v>
      </c>
      <c r="N226" s="1553">
        <f t="shared" si="3"/>
        <v>0</v>
      </c>
    </row>
    <row r="227" spans="2:14">
      <c r="B227" s="36"/>
      <c r="C227" s="1552"/>
      <c r="D227" s="1558">
        <v>2210301</v>
      </c>
      <c r="E227" s="1559" t="s">
        <v>25</v>
      </c>
      <c r="F227" s="1554">
        <v>500000</v>
      </c>
      <c r="H227" s="36"/>
      <c r="I227" s="1552"/>
      <c r="J227" s="1558">
        <v>2210301</v>
      </c>
      <c r="K227" s="1559" t="s">
        <v>25</v>
      </c>
      <c r="L227" s="1554">
        <v>500000</v>
      </c>
      <c r="N227" s="1554">
        <f t="shared" si="3"/>
        <v>0</v>
      </c>
    </row>
    <row r="228" spans="2:14">
      <c r="B228" s="36"/>
      <c r="C228" s="1552"/>
      <c r="D228" s="1558">
        <v>2210302</v>
      </c>
      <c r="E228" s="1559" t="s">
        <v>26</v>
      </c>
      <c r="F228" s="1554">
        <v>500000</v>
      </c>
      <c r="H228" s="36"/>
      <c r="I228" s="1552"/>
      <c r="J228" s="1558">
        <v>2210302</v>
      </c>
      <c r="K228" s="1559" t="s">
        <v>26</v>
      </c>
      <c r="L228" s="1554">
        <v>500000</v>
      </c>
      <c r="N228" s="1554">
        <f t="shared" si="3"/>
        <v>0</v>
      </c>
    </row>
    <row r="229" spans="2:14">
      <c r="B229" s="36"/>
      <c r="C229" s="1552"/>
      <c r="D229" s="1558">
        <v>2210303</v>
      </c>
      <c r="E229" s="1559" t="s">
        <v>27</v>
      </c>
      <c r="F229" s="1554">
        <v>500000</v>
      </c>
      <c r="H229" s="36"/>
      <c r="I229" s="1552"/>
      <c r="J229" s="1558">
        <v>2210303</v>
      </c>
      <c r="K229" s="1559" t="s">
        <v>27</v>
      </c>
      <c r="L229" s="1554">
        <v>500000</v>
      </c>
      <c r="N229" s="1554">
        <f t="shared" si="3"/>
        <v>0</v>
      </c>
    </row>
    <row r="230" spans="2:14">
      <c r="B230" s="36"/>
      <c r="C230" s="1555"/>
      <c r="D230" s="1556">
        <v>2210500</v>
      </c>
      <c r="E230" s="1557" t="s">
        <v>31</v>
      </c>
      <c r="F230" s="1553">
        <v>200000</v>
      </c>
      <c r="H230" s="36"/>
      <c r="I230" s="1555"/>
      <c r="J230" s="1556">
        <v>2210500</v>
      </c>
      <c r="K230" s="1557" t="s">
        <v>31</v>
      </c>
      <c r="L230" s="1553">
        <v>200000</v>
      </c>
      <c r="N230" s="1553">
        <f t="shared" si="3"/>
        <v>0</v>
      </c>
    </row>
    <row r="231" spans="2:14">
      <c r="B231" s="36"/>
      <c r="C231" s="1552"/>
      <c r="D231" s="1558">
        <v>2210503</v>
      </c>
      <c r="E231" s="1559" t="s">
        <v>32</v>
      </c>
      <c r="F231" s="1554">
        <v>200000</v>
      </c>
      <c r="H231" s="36"/>
      <c r="I231" s="1552"/>
      <c r="J231" s="1558">
        <v>2210503</v>
      </c>
      <c r="K231" s="1559" t="s">
        <v>32</v>
      </c>
      <c r="L231" s="1554">
        <v>200000</v>
      </c>
      <c r="N231" s="1554">
        <f t="shared" si="3"/>
        <v>0</v>
      </c>
    </row>
    <row r="232" spans="2:14">
      <c r="B232" s="36"/>
      <c r="C232" s="1555"/>
      <c r="D232" s="1556">
        <v>2210700</v>
      </c>
      <c r="E232" s="1557" t="s">
        <v>35</v>
      </c>
      <c r="F232" s="1553">
        <v>800000</v>
      </c>
      <c r="H232" s="36"/>
      <c r="I232" s="1555"/>
      <c r="J232" s="1556">
        <v>2210700</v>
      </c>
      <c r="K232" s="1557" t="s">
        <v>35</v>
      </c>
      <c r="L232" s="1553">
        <v>800000</v>
      </c>
      <c r="N232" s="1553">
        <f t="shared" si="3"/>
        <v>0</v>
      </c>
    </row>
    <row r="233" spans="2:14">
      <c r="B233" s="36"/>
      <c r="C233" s="1552"/>
      <c r="D233" s="1558">
        <v>2210701</v>
      </c>
      <c r="E233" s="1559" t="s">
        <v>36</v>
      </c>
      <c r="F233" s="1554">
        <v>100000</v>
      </c>
      <c r="H233" s="36"/>
      <c r="I233" s="1552"/>
      <c r="J233" s="1558">
        <v>2210701</v>
      </c>
      <c r="K233" s="1559" t="s">
        <v>36</v>
      </c>
      <c r="L233" s="1554">
        <v>100000</v>
      </c>
      <c r="N233" s="1554">
        <f t="shared" si="3"/>
        <v>0</v>
      </c>
    </row>
    <row r="234" spans="2:14">
      <c r="B234" s="36"/>
      <c r="C234" s="1552"/>
      <c r="D234" s="1558">
        <v>2210702</v>
      </c>
      <c r="E234" s="1559" t="s">
        <v>95</v>
      </c>
      <c r="F234" s="1554">
        <v>100000</v>
      </c>
      <c r="H234" s="36"/>
      <c r="I234" s="1552"/>
      <c r="J234" s="1558">
        <v>2210702</v>
      </c>
      <c r="K234" s="1559" t="s">
        <v>95</v>
      </c>
      <c r="L234" s="1554">
        <v>100000</v>
      </c>
      <c r="N234" s="1554">
        <f t="shared" si="3"/>
        <v>0</v>
      </c>
    </row>
    <row r="235" spans="2:14">
      <c r="B235" s="36"/>
      <c r="C235" s="1552"/>
      <c r="D235" s="1558">
        <v>2210704</v>
      </c>
      <c r="E235" s="1559" t="s">
        <v>38</v>
      </c>
      <c r="F235" s="1554">
        <v>100000</v>
      </c>
      <c r="H235" s="36"/>
      <c r="I235" s="1552"/>
      <c r="J235" s="1558">
        <v>2210704</v>
      </c>
      <c r="K235" s="1559" t="s">
        <v>38</v>
      </c>
      <c r="L235" s="1554">
        <v>100000</v>
      </c>
      <c r="N235" s="1554">
        <f t="shared" si="3"/>
        <v>0</v>
      </c>
    </row>
    <row r="236" spans="2:14">
      <c r="B236" s="36"/>
      <c r="C236" s="1552"/>
      <c r="D236" s="1558">
        <v>2210710</v>
      </c>
      <c r="E236" s="1559" t="s">
        <v>39</v>
      </c>
      <c r="F236" s="1554">
        <v>100000</v>
      </c>
      <c r="H236" s="36"/>
      <c r="I236" s="1552"/>
      <c r="J236" s="1558">
        <v>2210710</v>
      </c>
      <c r="K236" s="1559" t="s">
        <v>39</v>
      </c>
      <c r="L236" s="1554">
        <v>100000</v>
      </c>
      <c r="N236" s="1554">
        <f t="shared" si="3"/>
        <v>0</v>
      </c>
    </row>
    <row r="237" spans="2:14">
      <c r="B237" s="36"/>
      <c r="C237" s="1552"/>
      <c r="D237" s="1558">
        <v>2210715</v>
      </c>
      <c r="E237" s="1559" t="s">
        <v>40</v>
      </c>
      <c r="F237" s="1554">
        <v>200000</v>
      </c>
      <c r="H237" s="36"/>
      <c r="I237" s="1552"/>
      <c r="J237" s="1558">
        <v>2210715</v>
      </c>
      <c r="K237" s="1559" t="s">
        <v>40</v>
      </c>
      <c r="L237" s="1554">
        <v>200000</v>
      </c>
      <c r="N237" s="1554">
        <f t="shared" si="3"/>
        <v>0</v>
      </c>
    </row>
    <row r="238" spans="2:14">
      <c r="B238" s="36"/>
      <c r="C238" s="1552"/>
      <c r="D238" s="1558">
        <v>2210799</v>
      </c>
      <c r="E238" s="1559" t="s">
        <v>129</v>
      </c>
      <c r="F238" s="1554">
        <v>200000</v>
      </c>
      <c r="H238" s="36"/>
      <c r="I238" s="1552"/>
      <c r="J238" s="1558">
        <v>2210799</v>
      </c>
      <c r="K238" s="1559" t="s">
        <v>129</v>
      </c>
      <c r="L238" s="1554">
        <v>200000</v>
      </c>
      <c r="N238" s="1554">
        <f t="shared" si="3"/>
        <v>0</v>
      </c>
    </row>
    <row r="239" spans="2:14">
      <c r="B239" s="36"/>
      <c r="C239" s="1555"/>
      <c r="D239" s="1556">
        <v>2210800</v>
      </c>
      <c r="E239" s="1557" t="s">
        <v>42</v>
      </c>
      <c r="F239" s="1553">
        <v>1400000</v>
      </c>
      <c r="H239" s="36"/>
      <c r="I239" s="1555"/>
      <c r="J239" s="1556">
        <v>2210800</v>
      </c>
      <c r="K239" s="1557" t="s">
        <v>42</v>
      </c>
      <c r="L239" s="1553">
        <v>1400000</v>
      </c>
      <c r="N239" s="1553">
        <f t="shared" si="3"/>
        <v>0</v>
      </c>
    </row>
    <row r="240" spans="2:14">
      <c r="B240" s="36"/>
      <c r="C240" s="1552"/>
      <c r="D240" s="1558">
        <v>2210801</v>
      </c>
      <c r="E240" s="1559" t="s">
        <v>43</v>
      </c>
      <c r="F240" s="1554">
        <v>1200000</v>
      </c>
      <c r="H240" s="36"/>
      <c r="I240" s="1552"/>
      <c r="J240" s="1558">
        <v>2210801</v>
      </c>
      <c r="K240" s="1559" t="s">
        <v>43</v>
      </c>
      <c r="L240" s="1554">
        <v>1200000</v>
      </c>
      <c r="N240" s="1554">
        <f t="shared" si="3"/>
        <v>0</v>
      </c>
    </row>
    <row r="241" spans="2:14">
      <c r="B241" s="36"/>
      <c r="C241" s="1552"/>
      <c r="D241" s="1558">
        <v>2210802</v>
      </c>
      <c r="E241" s="1559" t="s">
        <v>97</v>
      </c>
      <c r="F241" s="1554">
        <v>200000</v>
      </c>
      <c r="H241" s="36"/>
      <c r="I241" s="1552"/>
      <c r="J241" s="1558">
        <v>2210802</v>
      </c>
      <c r="K241" s="1559" t="s">
        <v>97</v>
      </c>
      <c r="L241" s="1554">
        <v>200000</v>
      </c>
      <c r="N241" s="1554">
        <f t="shared" si="3"/>
        <v>0</v>
      </c>
    </row>
    <row r="242" spans="2:14">
      <c r="B242" s="36"/>
      <c r="C242" s="1555"/>
      <c r="D242" s="1556">
        <v>2211100</v>
      </c>
      <c r="E242" s="1557" t="s">
        <v>51</v>
      </c>
      <c r="F242" s="1553">
        <v>2000000</v>
      </c>
      <c r="H242" s="36"/>
      <c r="I242" s="1555"/>
      <c r="J242" s="1556">
        <v>2211100</v>
      </c>
      <c r="K242" s="1557" t="s">
        <v>51</v>
      </c>
      <c r="L242" s="1553">
        <v>2000000</v>
      </c>
      <c r="N242" s="1553">
        <f t="shared" si="3"/>
        <v>0</v>
      </c>
    </row>
    <row r="243" spans="2:14">
      <c r="B243" s="36"/>
      <c r="C243" s="1552"/>
      <c r="D243" s="1558">
        <v>2211101</v>
      </c>
      <c r="E243" s="1559" t="s">
        <v>52</v>
      </c>
      <c r="F243" s="1554">
        <v>750000</v>
      </c>
      <c r="H243" s="36"/>
      <c r="I243" s="1552"/>
      <c r="J243" s="1558">
        <v>2211101</v>
      </c>
      <c r="K243" s="1559" t="s">
        <v>52</v>
      </c>
      <c r="L243" s="1554">
        <v>750000</v>
      </c>
      <c r="N243" s="1554">
        <f t="shared" si="3"/>
        <v>0</v>
      </c>
    </row>
    <row r="244" spans="2:14">
      <c r="B244" s="36"/>
      <c r="C244" s="1552"/>
      <c r="D244" s="1558">
        <v>2211102</v>
      </c>
      <c r="E244" s="1559" t="s">
        <v>53</v>
      </c>
      <c r="F244" s="1554">
        <v>750000</v>
      </c>
      <c r="H244" s="36"/>
      <c r="I244" s="1552"/>
      <c r="J244" s="1558">
        <v>2211102</v>
      </c>
      <c r="K244" s="1559" t="s">
        <v>53</v>
      </c>
      <c r="L244" s="1554">
        <v>750000</v>
      </c>
      <c r="N244" s="1554">
        <f t="shared" si="3"/>
        <v>0</v>
      </c>
    </row>
    <row r="245" spans="2:14">
      <c r="B245" s="36"/>
      <c r="C245" s="1552"/>
      <c r="D245" s="1558">
        <v>2211103</v>
      </c>
      <c r="E245" s="1559" t="s">
        <v>54</v>
      </c>
      <c r="F245" s="1554">
        <v>500000</v>
      </c>
      <c r="H245" s="36"/>
      <c r="I245" s="1552"/>
      <c r="J245" s="1558">
        <v>2211103</v>
      </c>
      <c r="K245" s="1559" t="s">
        <v>54</v>
      </c>
      <c r="L245" s="1554">
        <v>500000</v>
      </c>
      <c r="N245" s="1554">
        <f t="shared" si="3"/>
        <v>0</v>
      </c>
    </row>
    <row r="246" spans="2:14">
      <c r="B246" s="36"/>
      <c r="C246" s="1555"/>
      <c r="D246" s="1556">
        <v>2211200</v>
      </c>
      <c r="E246" s="1557" t="s">
        <v>55</v>
      </c>
      <c r="F246" s="1553">
        <v>1500000</v>
      </c>
      <c r="H246" s="36"/>
      <c r="I246" s="1555"/>
      <c r="J246" s="1556">
        <v>2211200</v>
      </c>
      <c r="K246" s="1557" t="s">
        <v>55</v>
      </c>
      <c r="L246" s="1553">
        <v>1500000</v>
      </c>
      <c r="N246" s="1553">
        <f t="shared" si="3"/>
        <v>0</v>
      </c>
    </row>
    <row r="247" spans="2:14">
      <c r="B247" s="36"/>
      <c r="C247" s="1552"/>
      <c r="D247" s="1558">
        <v>2211201</v>
      </c>
      <c r="E247" s="1559" t="s">
        <v>56</v>
      </c>
      <c r="F247" s="1554">
        <v>1500000</v>
      </c>
      <c r="H247" s="36"/>
      <c r="I247" s="1552"/>
      <c r="J247" s="1558">
        <v>2211201</v>
      </c>
      <c r="K247" s="1559" t="s">
        <v>56</v>
      </c>
      <c r="L247" s="1554">
        <v>1500000</v>
      </c>
      <c r="N247" s="1554">
        <f t="shared" si="3"/>
        <v>0</v>
      </c>
    </row>
    <row r="248" spans="2:14">
      <c r="B248" s="36"/>
      <c r="C248" s="1555"/>
      <c r="D248" s="1556">
        <v>2220100</v>
      </c>
      <c r="E248" s="1557" t="s">
        <v>62</v>
      </c>
      <c r="F248" s="1553">
        <v>1200000</v>
      </c>
      <c r="H248" s="36"/>
      <c r="I248" s="1555"/>
      <c r="J248" s="1556">
        <v>2220100</v>
      </c>
      <c r="K248" s="1557" t="s">
        <v>62</v>
      </c>
      <c r="L248" s="1553">
        <v>1200000</v>
      </c>
      <c r="N248" s="1553">
        <f t="shared" si="3"/>
        <v>0</v>
      </c>
    </row>
    <row r="249" spans="2:14">
      <c r="B249" s="36"/>
      <c r="C249" s="1552"/>
      <c r="D249" s="1558">
        <v>2220101</v>
      </c>
      <c r="E249" s="1559" t="s">
        <v>250</v>
      </c>
      <c r="F249" s="1554">
        <v>600000</v>
      </c>
      <c r="H249" s="36"/>
      <c r="I249" s="1552"/>
      <c r="J249" s="1558">
        <v>2220101</v>
      </c>
      <c r="K249" s="1559" t="s">
        <v>250</v>
      </c>
      <c r="L249" s="1554">
        <v>600000</v>
      </c>
      <c r="N249" s="1554">
        <f t="shared" si="3"/>
        <v>0</v>
      </c>
    </row>
    <row r="250" spans="2:14">
      <c r="B250" s="36"/>
      <c r="C250" s="1552"/>
      <c r="D250" s="39">
        <v>2220105</v>
      </c>
      <c r="E250" s="73" t="s">
        <v>404</v>
      </c>
      <c r="F250" s="1554">
        <v>600000</v>
      </c>
      <c r="H250" s="36"/>
      <c r="I250" s="1552"/>
      <c r="J250" s="39">
        <v>2220105</v>
      </c>
      <c r="K250" s="73" t="s">
        <v>404</v>
      </c>
      <c r="L250" s="1554">
        <v>600000</v>
      </c>
      <c r="N250" s="1554">
        <f t="shared" si="3"/>
        <v>0</v>
      </c>
    </row>
    <row r="251" spans="2:14">
      <c r="B251" s="36"/>
      <c r="C251" s="1555"/>
      <c r="D251" s="1543">
        <v>2220200</v>
      </c>
      <c r="E251" s="1544" t="s">
        <v>405</v>
      </c>
      <c r="F251" s="1553">
        <v>500000</v>
      </c>
      <c r="H251" s="36"/>
      <c r="I251" s="1555"/>
      <c r="J251" s="1543">
        <v>2220200</v>
      </c>
      <c r="K251" s="1544" t="s">
        <v>405</v>
      </c>
      <c r="L251" s="1553">
        <v>500000</v>
      </c>
      <c r="N251" s="1553">
        <f t="shared" si="3"/>
        <v>0</v>
      </c>
    </row>
    <row r="252" spans="2:14">
      <c r="B252" s="36"/>
      <c r="C252" s="1552"/>
      <c r="D252" s="39">
        <v>2220205</v>
      </c>
      <c r="E252" s="73" t="s">
        <v>1543</v>
      </c>
      <c r="F252" s="1554">
        <v>500000</v>
      </c>
      <c r="H252" s="36"/>
      <c r="I252" s="1552"/>
      <c r="J252" s="39">
        <v>2220205</v>
      </c>
      <c r="K252" s="73" t="s">
        <v>1543</v>
      </c>
      <c r="L252" s="1554">
        <v>500000</v>
      </c>
      <c r="N252" s="1554">
        <f t="shared" si="3"/>
        <v>0</v>
      </c>
    </row>
    <row r="253" spans="2:14">
      <c r="B253" s="36"/>
      <c r="C253" s="1555"/>
      <c r="D253" s="1556">
        <v>3111000</v>
      </c>
      <c r="E253" s="1557" t="s">
        <v>69</v>
      </c>
      <c r="F253" s="1553">
        <v>1800000</v>
      </c>
      <c r="H253" s="36"/>
      <c r="I253" s="1555"/>
      <c r="J253" s="1556">
        <v>3111000</v>
      </c>
      <c r="K253" s="1557" t="s">
        <v>69</v>
      </c>
      <c r="L253" s="1553">
        <v>1800000</v>
      </c>
      <c r="N253" s="1553">
        <f t="shared" si="3"/>
        <v>0</v>
      </c>
    </row>
    <row r="254" spans="2:14">
      <c r="B254" s="36"/>
      <c r="C254" s="1552"/>
      <c r="D254" s="1558" t="s">
        <v>98</v>
      </c>
      <c r="E254" s="1559" t="s">
        <v>70</v>
      </c>
      <c r="F254" s="1554">
        <v>400000</v>
      </c>
      <c r="H254" s="36"/>
      <c r="I254" s="1552"/>
      <c r="J254" s="1558" t="s">
        <v>98</v>
      </c>
      <c r="K254" s="1559" t="s">
        <v>70</v>
      </c>
      <c r="L254" s="1554">
        <v>400000</v>
      </c>
      <c r="N254" s="1554">
        <f t="shared" si="3"/>
        <v>0</v>
      </c>
    </row>
    <row r="255" spans="2:14">
      <c r="B255" s="36"/>
      <c r="C255" s="1552"/>
      <c r="D255" s="1558">
        <v>3111002</v>
      </c>
      <c r="E255" s="1559" t="s">
        <v>71</v>
      </c>
      <c r="F255" s="1554">
        <v>400000</v>
      </c>
      <c r="H255" s="36"/>
      <c r="I255" s="1552"/>
      <c r="J255" s="1558">
        <v>3111002</v>
      </c>
      <c r="K255" s="1559" t="s">
        <v>71</v>
      </c>
      <c r="L255" s="1554">
        <v>400000</v>
      </c>
      <c r="N255" s="1554">
        <f t="shared" si="3"/>
        <v>0</v>
      </c>
    </row>
    <row r="256" spans="2:14">
      <c r="B256" s="36"/>
      <c r="C256" s="1552"/>
      <c r="D256" s="1558" t="s">
        <v>1557</v>
      </c>
      <c r="E256" s="1565" t="s">
        <v>1558</v>
      </c>
      <c r="F256" s="1554">
        <v>1000000</v>
      </c>
      <c r="H256" s="36"/>
      <c r="I256" s="1552"/>
      <c r="J256" s="1558" t="s">
        <v>1557</v>
      </c>
      <c r="K256" s="1565" t="s">
        <v>1558</v>
      </c>
      <c r="L256" s="1554">
        <v>1000000</v>
      </c>
      <c r="N256" s="1554">
        <f t="shared" si="3"/>
        <v>0</v>
      </c>
    </row>
    <row r="257" spans="2:14">
      <c r="B257" s="36"/>
      <c r="C257" s="1552"/>
      <c r="D257" s="1566"/>
      <c r="E257" s="1567"/>
      <c r="F257" s="1568">
        <v>0</v>
      </c>
      <c r="H257" s="36"/>
      <c r="I257" s="1552"/>
      <c r="J257" s="1566"/>
      <c r="K257" s="1567"/>
      <c r="L257" s="1568">
        <v>0</v>
      </c>
      <c r="N257" s="1568">
        <f t="shared" si="3"/>
        <v>0</v>
      </c>
    </row>
    <row r="258" spans="2:14">
      <c r="B258" s="36"/>
      <c r="C258" s="1552"/>
      <c r="D258" s="1560"/>
      <c r="E258" s="1569"/>
      <c r="F258" s="1570"/>
      <c r="H258" s="36"/>
      <c r="I258" s="1552"/>
      <c r="J258" s="1560"/>
      <c r="K258" s="1569"/>
      <c r="L258" s="1570"/>
      <c r="N258" s="1570">
        <f t="shared" si="3"/>
        <v>0</v>
      </c>
    </row>
    <row r="259" spans="2:14">
      <c r="B259" s="36"/>
      <c r="C259" s="1555"/>
      <c r="D259" s="1571"/>
      <c r="E259" s="1580" t="s">
        <v>99</v>
      </c>
      <c r="F259" s="1553">
        <v>12120000</v>
      </c>
      <c r="H259" s="36"/>
      <c r="I259" s="1555"/>
      <c r="J259" s="1571"/>
      <c r="K259" s="1580" t="s">
        <v>99</v>
      </c>
      <c r="L259" s="1553">
        <v>12120000</v>
      </c>
      <c r="N259" s="1553">
        <f t="shared" si="3"/>
        <v>0</v>
      </c>
    </row>
    <row r="260" spans="2:14">
      <c r="B260" s="36"/>
      <c r="C260" s="1555"/>
      <c r="D260" s="1571"/>
      <c r="E260" s="1580" t="s">
        <v>84</v>
      </c>
      <c r="F260" s="1553">
        <v>12120000</v>
      </c>
      <c r="H260" s="36"/>
      <c r="I260" s="1555"/>
      <c r="J260" s="1571"/>
      <c r="K260" s="1580" t="s">
        <v>84</v>
      </c>
      <c r="L260" s="1553">
        <v>12120000</v>
      </c>
      <c r="N260" s="1553">
        <f t="shared" si="3"/>
        <v>0</v>
      </c>
    </row>
    <row r="261" spans="2:14">
      <c r="B261" s="36"/>
      <c r="C261" s="36"/>
      <c r="D261" s="1577"/>
      <c r="E261" s="1529"/>
      <c r="F261" s="1537"/>
      <c r="H261" s="36"/>
      <c r="I261" s="36"/>
      <c r="J261" s="1577"/>
      <c r="K261" s="1529"/>
      <c r="L261" s="1537"/>
      <c r="N261" s="1537">
        <f t="shared" si="3"/>
        <v>0</v>
      </c>
    </row>
    <row r="262" spans="2:14">
      <c r="B262" s="36"/>
      <c r="C262" s="1552" t="s">
        <v>146</v>
      </c>
      <c r="D262" s="1549" t="s">
        <v>1551</v>
      </c>
      <c r="E262" s="1550"/>
      <c r="F262" s="1530"/>
      <c r="H262" s="36"/>
      <c r="I262" s="1552" t="s">
        <v>146</v>
      </c>
      <c r="J262" s="1549" t="s">
        <v>1551</v>
      </c>
      <c r="K262" s="1550"/>
      <c r="L262" s="1530"/>
      <c r="N262" s="1530">
        <f t="shared" si="3"/>
        <v>0</v>
      </c>
    </row>
    <row r="263" spans="2:14">
      <c r="B263" s="36"/>
      <c r="C263" s="36"/>
      <c r="D263" s="1556">
        <v>2210200</v>
      </c>
      <c r="E263" s="1557" t="s">
        <v>20</v>
      </c>
      <c r="F263" s="1553">
        <v>150000</v>
      </c>
      <c r="H263" s="36"/>
      <c r="I263" s="36"/>
      <c r="J263" s="1556">
        <v>2210200</v>
      </c>
      <c r="K263" s="1557" t="s">
        <v>20</v>
      </c>
      <c r="L263" s="1553">
        <v>150000</v>
      </c>
      <c r="N263" s="1553">
        <f t="shared" si="3"/>
        <v>0</v>
      </c>
    </row>
    <row r="264" spans="2:14">
      <c r="B264" s="36"/>
      <c r="C264" s="36"/>
      <c r="D264" s="1558">
        <v>2210201</v>
      </c>
      <c r="E264" s="1559" t="s">
        <v>21</v>
      </c>
      <c r="F264" s="1554">
        <v>50000</v>
      </c>
      <c r="H264" s="36"/>
      <c r="I264" s="36"/>
      <c r="J264" s="1558">
        <v>2210201</v>
      </c>
      <c r="K264" s="1559" t="s">
        <v>21</v>
      </c>
      <c r="L264" s="1554">
        <v>50000</v>
      </c>
      <c r="N264" s="1554">
        <f t="shared" ref="N264:N327" si="4">F264-L264</f>
        <v>0</v>
      </c>
    </row>
    <row r="265" spans="2:14">
      <c r="B265" s="36"/>
      <c r="C265" s="36"/>
      <c r="D265" s="1558">
        <v>2210202</v>
      </c>
      <c r="E265" s="1559" t="s">
        <v>22</v>
      </c>
      <c r="F265" s="1554">
        <v>100000</v>
      </c>
      <c r="H265" s="36"/>
      <c r="I265" s="36"/>
      <c r="J265" s="1558">
        <v>2210202</v>
      </c>
      <c r="K265" s="1559" t="s">
        <v>22</v>
      </c>
      <c r="L265" s="1554">
        <v>100000</v>
      </c>
      <c r="N265" s="1554">
        <f t="shared" si="4"/>
        <v>0</v>
      </c>
    </row>
    <row r="266" spans="2:14">
      <c r="B266" s="36"/>
      <c r="C266" s="36"/>
      <c r="D266" s="1556">
        <v>2210300</v>
      </c>
      <c r="E266" s="1557" t="s">
        <v>24</v>
      </c>
      <c r="F266" s="1553">
        <v>1300000</v>
      </c>
      <c r="H266" s="36"/>
      <c r="I266" s="36"/>
      <c r="J266" s="1556">
        <v>2210300</v>
      </c>
      <c r="K266" s="1557" t="s">
        <v>24</v>
      </c>
      <c r="L266" s="1553">
        <v>1300000</v>
      </c>
      <c r="N266" s="1553">
        <f t="shared" si="4"/>
        <v>0</v>
      </c>
    </row>
    <row r="267" spans="2:14">
      <c r="B267" s="36"/>
      <c r="C267" s="36"/>
      <c r="D267" s="1558">
        <v>2210301</v>
      </c>
      <c r="E267" s="1559" t="s">
        <v>25</v>
      </c>
      <c r="F267" s="1554">
        <v>300000</v>
      </c>
      <c r="H267" s="36"/>
      <c r="I267" s="36"/>
      <c r="J267" s="1558">
        <v>2210301</v>
      </c>
      <c r="K267" s="1559" t="s">
        <v>25</v>
      </c>
      <c r="L267" s="1554">
        <v>300000</v>
      </c>
      <c r="N267" s="1554">
        <f t="shared" si="4"/>
        <v>0</v>
      </c>
    </row>
    <row r="268" spans="2:14">
      <c r="B268" s="36"/>
      <c r="C268" s="36"/>
      <c r="D268" s="1558">
        <v>2210302</v>
      </c>
      <c r="E268" s="1559" t="s">
        <v>26</v>
      </c>
      <c r="F268" s="1554">
        <v>500000</v>
      </c>
      <c r="H268" s="36"/>
      <c r="I268" s="36"/>
      <c r="J268" s="1558">
        <v>2210302</v>
      </c>
      <c r="K268" s="1559" t="s">
        <v>26</v>
      </c>
      <c r="L268" s="1554">
        <v>500000</v>
      </c>
      <c r="N268" s="1554">
        <f t="shared" si="4"/>
        <v>0</v>
      </c>
    </row>
    <row r="269" spans="2:14">
      <c r="B269" s="36"/>
      <c r="C269" s="36"/>
      <c r="D269" s="1558">
        <v>2210303</v>
      </c>
      <c r="E269" s="1559" t="s">
        <v>27</v>
      </c>
      <c r="F269" s="1554">
        <v>500000</v>
      </c>
      <c r="H269" s="36"/>
      <c r="I269" s="36"/>
      <c r="J269" s="1558">
        <v>2210303</v>
      </c>
      <c r="K269" s="1559" t="s">
        <v>27</v>
      </c>
      <c r="L269" s="1554">
        <v>500000</v>
      </c>
      <c r="N269" s="1554">
        <f t="shared" si="4"/>
        <v>0</v>
      </c>
    </row>
    <row r="270" spans="2:14">
      <c r="B270" s="36"/>
      <c r="C270" s="36"/>
      <c r="D270" s="1556">
        <v>2210500</v>
      </c>
      <c r="E270" s="1557" t="s">
        <v>31</v>
      </c>
      <c r="F270" s="1553">
        <v>100000</v>
      </c>
      <c r="H270" s="36"/>
      <c r="I270" s="36"/>
      <c r="J270" s="1556">
        <v>2210500</v>
      </c>
      <c r="K270" s="1557" t="s">
        <v>31</v>
      </c>
      <c r="L270" s="1553">
        <v>100000</v>
      </c>
      <c r="N270" s="1553">
        <f t="shared" si="4"/>
        <v>0</v>
      </c>
    </row>
    <row r="271" spans="2:14">
      <c r="B271" s="36"/>
      <c r="C271" s="36"/>
      <c r="D271" s="1558">
        <v>2210503</v>
      </c>
      <c r="E271" s="1559" t="s">
        <v>32</v>
      </c>
      <c r="F271" s="1554">
        <v>100000</v>
      </c>
      <c r="H271" s="36"/>
      <c r="I271" s="36"/>
      <c r="J271" s="1558">
        <v>2210503</v>
      </c>
      <c r="K271" s="1559" t="s">
        <v>32</v>
      </c>
      <c r="L271" s="1554">
        <v>100000</v>
      </c>
      <c r="N271" s="1554">
        <f t="shared" si="4"/>
        <v>0</v>
      </c>
    </row>
    <row r="272" spans="2:14">
      <c r="B272" s="36"/>
      <c r="C272" s="36"/>
      <c r="D272" s="1556">
        <v>2210700</v>
      </c>
      <c r="E272" s="1557" t="s">
        <v>35</v>
      </c>
      <c r="F272" s="1553">
        <v>650000</v>
      </c>
      <c r="H272" s="36"/>
      <c r="I272" s="36"/>
      <c r="J272" s="1556">
        <v>2210700</v>
      </c>
      <c r="K272" s="1557" t="s">
        <v>35</v>
      </c>
      <c r="L272" s="1553">
        <v>650000</v>
      </c>
      <c r="N272" s="1553">
        <f t="shared" si="4"/>
        <v>0</v>
      </c>
    </row>
    <row r="273" spans="2:14">
      <c r="B273" s="36"/>
      <c r="C273" s="36"/>
      <c r="D273" s="1558">
        <v>2210701</v>
      </c>
      <c r="E273" s="1559" t="s">
        <v>36</v>
      </c>
      <c r="F273" s="1554">
        <v>100000</v>
      </c>
      <c r="H273" s="36"/>
      <c r="I273" s="36"/>
      <c r="J273" s="1558">
        <v>2210701</v>
      </c>
      <c r="K273" s="1559" t="s">
        <v>36</v>
      </c>
      <c r="L273" s="1554">
        <v>100000</v>
      </c>
      <c r="N273" s="1554">
        <f t="shared" si="4"/>
        <v>0</v>
      </c>
    </row>
    <row r="274" spans="2:14">
      <c r="B274" s="36"/>
      <c r="C274" s="36"/>
      <c r="D274" s="1558">
        <v>2210702</v>
      </c>
      <c r="E274" s="1559" t="s">
        <v>95</v>
      </c>
      <c r="F274" s="1554">
        <v>50000</v>
      </c>
      <c r="H274" s="36"/>
      <c r="I274" s="36"/>
      <c r="J274" s="1558">
        <v>2210702</v>
      </c>
      <c r="K274" s="1559" t="s">
        <v>95</v>
      </c>
      <c r="L274" s="1554">
        <v>50000</v>
      </c>
      <c r="N274" s="1554">
        <f t="shared" si="4"/>
        <v>0</v>
      </c>
    </row>
    <row r="275" spans="2:14">
      <c r="B275" s="36"/>
      <c r="C275" s="36"/>
      <c r="D275" s="1558">
        <v>2210704</v>
      </c>
      <c r="E275" s="1559" t="s">
        <v>38</v>
      </c>
      <c r="F275" s="1554">
        <v>50000</v>
      </c>
      <c r="H275" s="36"/>
      <c r="I275" s="36"/>
      <c r="J275" s="1558">
        <v>2210704</v>
      </c>
      <c r="K275" s="1559" t="s">
        <v>38</v>
      </c>
      <c r="L275" s="1554">
        <v>50000</v>
      </c>
      <c r="N275" s="1554">
        <f t="shared" si="4"/>
        <v>0</v>
      </c>
    </row>
    <row r="276" spans="2:14">
      <c r="B276" s="36"/>
      <c r="C276" s="36"/>
      <c r="D276" s="1558">
        <v>2210710</v>
      </c>
      <c r="E276" s="1559" t="s">
        <v>39</v>
      </c>
      <c r="F276" s="1554">
        <v>100000</v>
      </c>
      <c r="H276" s="36"/>
      <c r="I276" s="36"/>
      <c r="J276" s="1558">
        <v>2210710</v>
      </c>
      <c r="K276" s="1559" t="s">
        <v>39</v>
      </c>
      <c r="L276" s="1554">
        <v>100000</v>
      </c>
      <c r="N276" s="1554">
        <f t="shared" si="4"/>
        <v>0</v>
      </c>
    </row>
    <row r="277" spans="2:14">
      <c r="B277" s="36"/>
      <c r="C277" s="36"/>
      <c r="D277" s="1558">
        <v>2210715</v>
      </c>
      <c r="E277" s="1559" t="s">
        <v>40</v>
      </c>
      <c r="F277" s="1554">
        <v>300000</v>
      </c>
      <c r="H277" s="36"/>
      <c r="I277" s="36"/>
      <c r="J277" s="1558">
        <v>2210715</v>
      </c>
      <c r="K277" s="1559" t="s">
        <v>40</v>
      </c>
      <c r="L277" s="1554">
        <v>300000</v>
      </c>
      <c r="N277" s="1554">
        <f t="shared" si="4"/>
        <v>0</v>
      </c>
    </row>
    <row r="278" spans="2:14">
      <c r="B278" s="36"/>
      <c r="C278" s="36"/>
      <c r="D278" s="1558">
        <v>2210799</v>
      </c>
      <c r="E278" s="1559" t="s">
        <v>129</v>
      </c>
      <c r="F278" s="1554">
        <v>50000</v>
      </c>
      <c r="H278" s="36"/>
      <c r="I278" s="36"/>
      <c r="J278" s="1558">
        <v>2210799</v>
      </c>
      <c r="K278" s="1559" t="s">
        <v>129</v>
      </c>
      <c r="L278" s="1554">
        <v>50000</v>
      </c>
      <c r="N278" s="1554">
        <f t="shared" si="4"/>
        <v>0</v>
      </c>
    </row>
    <row r="279" spans="2:14">
      <c r="B279" s="36"/>
      <c r="C279" s="36"/>
      <c r="D279" s="1556">
        <v>2210800</v>
      </c>
      <c r="E279" s="1557" t="s">
        <v>42</v>
      </c>
      <c r="F279" s="1553">
        <v>1200000</v>
      </c>
      <c r="H279" s="36"/>
      <c r="I279" s="36"/>
      <c r="J279" s="1556">
        <v>2210800</v>
      </c>
      <c r="K279" s="1557" t="s">
        <v>42</v>
      </c>
      <c r="L279" s="1553">
        <v>1200000</v>
      </c>
      <c r="N279" s="1553">
        <f t="shared" si="4"/>
        <v>0</v>
      </c>
    </row>
    <row r="280" spans="2:14">
      <c r="B280" s="36"/>
      <c r="C280" s="36"/>
      <c r="D280" s="1558">
        <v>2210801</v>
      </c>
      <c r="E280" s="1559" t="s">
        <v>43</v>
      </c>
      <c r="F280" s="1554">
        <v>1100000</v>
      </c>
      <c r="H280" s="36"/>
      <c r="I280" s="36"/>
      <c r="J280" s="1558">
        <v>2210801</v>
      </c>
      <c r="K280" s="1559" t="s">
        <v>43</v>
      </c>
      <c r="L280" s="1554">
        <v>1100000</v>
      </c>
      <c r="N280" s="1554">
        <f t="shared" si="4"/>
        <v>0</v>
      </c>
    </row>
    <row r="281" spans="2:14">
      <c r="B281" s="36"/>
      <c r="C281" s="36"/>
      <c r="D281" s="1558">
        <v>2210802</v>
      </c>
      <c r="E281" s="1559" t="s">
        <v>97</v>
      </c>
      <c r="F281" s="1554">
        <v>100000</v>
      </c>
      <c r="H281" s="36"/>
      <c r="I281" s="36"/>
      <c r="J281" s="1558">
        <v>2210802</v>
      </c>
      <c r="K281" s="1559" t="s">
        <v>97</v>
      </c>
      <c r="L281" s="1554">
        <v>100000</v>
      </c>
      <c r="N281" s="1554">
        <f t="shared" si="4"/>
        <v>0</v>
      </c>
    </row>
    <row r="282" spans="2:14">
      <c r="B282" s="36"/>
      <c r="C282" s="36"/>
      <c r="D282" s="1556">
        <v>2211100</v>
      </c>
      <c r="E282" s="1557" t="s">
        <v>51</v>
      </c>
      <c r="F282" s="1553">
        <v>1100000</v>
      </c>
      <c r="H282" s="36"/>
      <c r="I282" s="36"/>
      <c r="J282" s="1556">
        <v>2211100</v>
      </c>
      <c r="K282" s="1557" t="s">
        <v>51</v>
      </c>
      <c r="L282" s="1553">
        <v>1100000</v>
      </c>
      <c r="N282" s="1553">
        <f t="shared" si="4"/>
        <v>0</v>
      </c>
    </row>
    <row r="283" spans="2:14">
      <c r="B283" s="36"/>
      <c r="C283" s="36"/>
      <c r="D283" s="1558">
        <v>2211101</v>
      </c>
      <c r="E283" s="1559" t="s">
        <v>52</v>
      </c>
      <c r="F283" s="1554">
        <v>500000</v>
      </c>
      <c r="H283" s="36"/>
      <c r="I283" s="36"/>
      <c r="J283" s="1558">
        <v>2211101</v>
      </c>
      <c r="K283" s="1559" t="s">
        <v>52</v>
      </c>
      <c r="L283" s="1554">
        <v>500000</v>
      </c>
      <c r="N283" s="1554">
        <f t="shared" si="4"/>
        <v>0</v>
      </c>
    </row>
    <row r="284" spans="2:14">
      <c r="B284" s="36"/>
      <c r="C284" s="36"/>
      <c r="D284" s="1558">
        <v>2211102</v>
      </c>
      <c r="E284" s="1559" t="s">
        <v>53</v>
      </c>
      <c r="F284" s="1554">
        <v>500000</v>
      </c>
      <c r="H284" s="36"/>
      <c r="I284" s="36"/>
      <c r="J284" s="1558">
        <v>2211102</v>
      </c>
      <c r="K284" s="1559" t="s">
        <v>53</v>
      </c>
      <c r="L284" s="1554">
        <v>500000</v>
      </c>
      <c r="N284" s="1554">
        <f t="shared" si="4"/>
        <v>0</v>
      </c>
    </row>
    <row r="285" spans="2:14">
      <c r="B285" s="36"/>
      <c r="C285" s="36"/>
      <c r="D285" s="1558">
        <v>2211103</v>
      </c>
      <c r="E285" s="1559" t="s">
        <v>54</v>
      </c>
      <c r="F285" s="1554">
        <v>100000</v>
      </c>
      <c r="H285" s="36"/>
      <c r="I285" s="36"/>
      <c r="J285" s="1558">
        <v>2211103</v>
      </c>
      <c r="K285" s="1559" t="s">
        <v>54</v>
      </c>
      <c r="L285" s="1554">
        <v>100000</v>
      </c>
      <c r="N285" s="1554">
        <f t="shared" si="4"/>
        <v>0</v>
      </c>
    </row>
    <row r="286" spans="2:14">
      <c r="B286" s="36"/>
      <c r="C286" s="36"/>
      <c r="D286" s="1556">
        <v>2211200</v>
      </c>
      <c r="E286" s="1557" t="s">
        <v>55</v>
      </c>
      <c r="F286" s="1553">
        <v>200000</v>
      </c>
      <c r="H286" s="36"/>
      <c r="I286" s="36"/>
      <c r="J286" s="1556">
        <v>2211200</v>
      </c>
      <c r="K286" s="1557" t="s">
        <v>55</v>
      </c>
      <c r="L286" s="1553">
        <v>200000</v>
      </c>
      <c r="N286" s="1553">
        <f t="shared" si="4"/>
        <v>0</v>
      </c>
    </row>
    <row r="287" spans="2:14">
      <c r="B287" s="36"/>
      <c r="C287" s="36"/>
      <c r="D287" s="1558">
        <v>2211201</v>
      </c>
      <c r="E287" s="1559" t="s">
        <v>56</v>
      </c>
      <c r="F287" s="1554">
        <v>200000</v>
      </c>
      <c r="H287" s="36"/>
      <c r="I287" s="36"/>
      <c r="J287" s="1558">
        <v>2211201</v>
      </c>
      <c r="K287" s="1559" t="s">
        <v>56</v>
      </c>
      <c r="L287" s="1554">
        <v>200000</v>
      </c>
      <c r="N287" s="1554">
        <f t="shared" si="4"/>
        <v>0</v>
      </c>
    </row>
    <row r="288" spans="2:14">
      <c r="B288" s="36"/>
      <c r="C288" s="36"/>
      <c r="D288" s="1556">
        <v>2220100</v>
      </c>
      <c r="E288" s="1557" t="s">
        <v>62</v>
      </c>
      <c r="F288" s="1553">
        <v>200000</v>
      </c>
      <c r="H288" s="36"/>
      <c r="I288" s="36"/>
      <c r="J288" s="1556">
        <v>2220100</v>
      </c>
      <c r="K288" s="1557" t="s">
        <v>62</v>
      </c>
      <c r="L288" s="1553">
        <v>200000</v>
      </c>
      <c r="N288" s="1553">
        <f t="shared" si="4"/>
        <v>0</v>
      </c>
    </row>
    <row r="289" spans="2:14">
      <c r="B289" s="36"/>
      <c r="C289" s="36"/>
      <c r="D289" s="1558">
        <v>2220101</v>
      </c>
      <c r="E289" s="1559" t="s">
        <v>250</v>
      </c>
      <c r="F289" s="1554">
        <v>100000</v>
      </c>
      <c r="H289" s="36"/>
      <c r="I289" s="36"/>
      <c r="J289" s="1558">
        <v>2220101</v>
      </c>
      <c r="K289" s="1559" t="s">
        <v>250</v>
      </c>
      <c r="L289" s="1554">
        <v>100000</v>
      </c>
      <c r="N289" s="1554">
        <f t="shared" si="4"/>
        <v>0</v>
      </c>
    </row>
    <row r="290" spans="2:14">
      <c r="B290" s="36"/>
      <c r="C290" s="36"/>
      <c r="D290" s="39">
        <v>2220105</v>
      </c>
      <c r="E290" s="73" t="s">
        <v>404</v>
      </c>
      <c r="F290" s="1554">
        <v>100000</v>
      </c>
      <c r="H290" s="36"/>
      <c r="I290" s="36"/>
      <c r="J290" s="39">
        <v>2220105</v>
      </c>
      <c r="K290" s="73" t="s">
        <v>404</v>
      </c>
      <c r="L290" s="1554">
        <v>100000</v>
      </c>
      <c r="N290" s="1554">
        <f t="shared" si="4"/>
        <v>0</v>
      </c>
    </row>
    <row r="291" spans="2:14">
      <c r="B291" s="36"/>
      <c r="C291" s="36"/>
      <c r="D291" s="1556">
        <v>3111000</v>
      </c>
      <c r="E291" s="1557" t="s">
        <v>69</v>
      </c>
      <c r="F291" s="1553">
        <v>200000</v>
      </c>
      <c r="H291" s="36"/>
      <c r="I291" s="36"/>
      <c r="J291" s="1556">
        <v>3111000</v>
      </c>
      <c r="K291" s="1557" t="s">
        <v>69</v>
      </c>
      <c r="L291" s="1553">
        <v>200000</v>
      </c>
      <c r="N291" s="1553">
        <f t="shared" si="4"/>
        <v>0</v>
      </c>
    </row>
    <row r="292" spans="2:14">
      <c r="B292" s="36"/>
      <c r="C292" s="36"/>
      <c r="D292" s="1558" t="s">
        <v>98</v>
      </c>
      <c r="E292" s="1559" t="s">
        <v>70</v>
      </c>
      <c r="F292" s="1554">
        <v>100000</v>
      </c>
      <c r="H292" s="36"/>
      <c r="I292" s="36"/>
      <c r="J292" s="1558" t="s">
        <v>98</v>
      </c>
      <c r="K292" s="1559" t="s">
        <v>70</v>
      </c>
      <c r="L292" s="1554">
        <v>100000</v>
      </c>
      <c r="N292" s="1554">
        <f t="shared" si="4"/>
        <v>0</v>
      </c>
    </row>
    <row r="293" spans="2:14">
      <c r="B293" s="36"/>
      <c r="C293" s="36"/>
      <c r="D293" s="1558">
        <v>3111002</v>
      </c>
      <c r="E293" s="1559" t="s">
        <v>71</v>
      </c>
      <c r="F293" s="1554">
        <v>100000</v>
      </c>
      <c r="H293" s="36"/>
      <c r="I293" s="36"/>
      <c r="J293" s="1558">
        <v>3111002</v>
      </c>
      <c r="K293" s="1559" t="s">
        <v>71</v>
      </c>
      <c r="L293" s="1554">
        <v>100000</v>
      </c>
      <c r="N293" s="1554">
        <f t="shared" si="4"/>
        <v>0</v>
      </c>
    </row>
    <row r="294" spans="2:14">
      <c r="B294" s="36"/>
      <c r="C294" s="36"/>
      <c r="D294" s="1562">
        <v>3111400</v>
      </c>
      <c r="E294" s="1563" t="s">
        <v>531</v>
      </c>
      <c r="F294" s="1553">
        <v>500000</v>
      </c>
      <c r="H294" s="36"/>
      <c r="I294" s="36"/>
      <c r="J294" s="1562">
        <v>3111400</v>
      </c>
      <c r="K294" s="1563" t="s">
        <v>531</v>
      </c>
      <c r="L294" s="1553">
        <v>500000</v>
      </c>
      <c r="N294" s="1553">
        <f t="shared" si="4"/>
        <v>0</v>
      </c>
    </row>
    <row r="295" spans="2:14">
      <c r="B295" s="36"/>
      <c r="C295" s="36"/>
      <c r="D295" s="1564">
        <v>3111403</v>
      </c>
      <c r="E295" s="1565" t="s">
        <v>1552</v>
      </c>
      <c r="F295" s="1554">
        <v>500000</v>
      </c>
      <c r="H295" s="36"/>
      <c r="I295" s="36"/>
      <c r="J295" s="1564">
        <v>3111403</v>
      </c>
      <c r="K295" s="1565" t="s">
        <v>1552</v>
      </c>
      <c r="L295" s="1554">
        <v>500000</v>
      </c>
      <c r="N295" s="1554">
        <f t="shared" si="4"/>
        <v>0</v>
      </c>
    </row>
    <row r="296" spans="2:14">
      <c r="B296" s="36"/>
      <c r="C296" s="36"/>
      <c r="D296" s="1566"/>
      <c r="E296" s="1567"/>
      <c r="F296" s="1568">
        <v>0</v>
      </c>
      <c r="H296" s="36"/>
      <c r="I296" s="36"/>
      <c r="J296" s="1566"/>
      <c r="K296" s="1567"/>
      <c r="L296" s="1568">
        <v>0</v>
      </c>
      <c r="N296" s="1568">
        <f t="shared" si="4"/>
        <v>0</v>
      </c>
    </row>
    <row r="297" spans="2:14">
      <c r="B297" s="36"/>
      <c r="C297" s="36"/>
      <c r="D297" s="1560"/>
      <c r="E297" s="1569"/>
      <c r="F297" s="1570"/>
      <c r="H297" s="36"/>
      <c r="I297" s="36"/>
      <c r="J297" s="1560"/>
      <c r="K297" s="1569"/>
      <c r="L297" s="1570"/>
      <c r="N297" s="1570">
        <f t="shared" si="4"/>
        <v>0</v>
      </c>
    </row>
    <row r="298" spans="2:14">
      <c r="B298" s="36"/>
      <c r="C298" s="36"/>
      <c r="D298" s="1571"/>
      <c r="E298" s="1580" t="s">
        <v>99</v>
      </c>
      <c r="F298" s="1553">
        <v>5600000</v>
      </c>
      <c r="H298" s="36"/>
      <c r="I298" s="36"/>
      <c r="J298" s="1571"/>
      <c r="K298" s="1580" t="s">
        <v>99</v>
      </c>
      <c r="L298" s="1553">
        <v>5600000</v>
      </c>
      <c r="N298" s="1553">
        <f t="shared" si="4"/>
        <v>0</v>
      </c>
    </row>
    <row r="299" spans="2:14">
      <c r="B299" s="36"/>
      <c r="C299" s="36"/>
      <c r="D299" s="1571"/>
      <c r="E299" s="1580" t="s">
        <v>84</v>
      </c>
      <c r="F299" s="1553">
        <v>5600000</v>
      </c>
      <c r="H299" s="36"/>
      <c r="I299" s="36"/>
      <c r="J299" s="1571"/>
      <c r="K299" s="1580" t="s">
        <v>84</v>
      </c>
      <c r="L299" s="1553">
        <v>5600000</v>
      </c>
      <c r="N299" s="1553">
        <f t="shared" si="4"/>
        <v>0</v>
      </c>
    </row>
    <row r="300" spans="2:14">
      <c r="B300" s="36"/>
      <c r="C300" s="36"/>
      <c r="D300" s="1581"/>
      <c r="E300" s="1582" t="s">
        <v>1553</v>
      </c>
      <c r="F300" s="1568">
        <v>894158023</v>
      </c>
      <c r="H300" s="36"/>
      <c r="I300" s="36"/>
      <c r="J300" s="1581"/>
      <c r="K300" s="1582" t="s">
        <v>1553</v>
      </c>
      <c r="L300" s="1568">
        <v>859158023</v>
      </c>
      <c r="N300" s="1568">
        <f t="shared" si="4"/>
        <v>35000000</v>
      </c>
    </row>
    <row r="301" spans="2:14">
      <c r="B301" s="36"/>
      <c r="C301" s="36"/>
      <c r="D301" s="1581"/>
      <c r="E301" s="1582" t="s">
        <v>1554</v>
      </c>
      <c r="F301" s="1568">
        <v>744974535</v>
      </c>
      <c r="H301" s="36"/>
      <c r="I301" s="36"/>
      <c r="J301" s="1581"/>
      <c r="K301" s="1582" t="s">
        <v>1554</v>
      </c>
      <c r="L301" s="1568">
        <v>744974535</v>
      </c>
      <c r="N301" s="1568">
        <f t="shared" si="4"/>
        <v>0</v>
      </c>
    </row>
    <row r="302" spans="2:14">
      <c r="B302" s="1583"/>
      <c r="C302" s="1583"/>
      <c r="D302" s="1534"/>
      <c r="E302" s="1580" t="s">
        <v>1555</v>
      </c>
      <c r="F302" s="1530">
        <v>1639132558</v>
      </c>
      <c r="H302" s="1583"/>
      <c r="I302" s="1583"/>
      <c r="J302" s="1534"/>
      <c r="K302" s="1580" t="s">
        <v>1555</v>
      </c>
      <c r="L302" s="1530">
        <v>1604132558</v>
      </c>
      <c r="N302" s="1530">
        <f t="shared" si="4"/>
        <v>35000000</v>
      </c>
    </row>
    <row r="303" spans="2:14">
      <c r="B303" s="1583"/>
      <c r="C303" s="1583"/>
      <c r="D303" s="1534"/>
      <c r="E303" s="1580"/>
      <c r="F303" s="1530"/>
      <c r="H303" s="1583"/>
      <c r="I303" s="1583"/>
      <c r="J303" s="1534"/>
      <c r="K303" s="1580"/>
      <c r="L303" s="1530"/>
      <c r="N303" s="1530">
        <f t="shared" si="4"/>
        <v>0</v>
      </c>
    </row>
    <row r="304" spans="2:14">
      <c r="B304" s="1583"/>
      <c r="C304" s="1583"/>
      <c r="D304" s="1534" t="s">
        <v>1559</v>
      </c>
      <c r="E304" s="1529"/>
      <c r="F304" s="1513"/>
      <c r="H304" s="1583"/>
      <c r="I304" s="1583"/>
      <c r="J304" s="1534" t="s">
        <v>1559</v>
      </c>
      <c r="K304" s="1529"/>
      <c r="L304" s="1513"/>
      <c r="N304" s="1513">
        <f t="shared" si="4"/>
        <v>0</v>
      </c>
    </row>
    <row r="305" spans="2:14">
      <c r="B305" s="1583"/>
      <c r="C305" s="1583"/>
      <c r="D305" s="1534" t="s">
        <v>1560</v>
      </c>
      <c r="E305" s="1529"/>
      <c r="F305" s="1511"/>
      <c r="H305" s="1583"/>
      <c r="I305" s="1583"/>
      <c r="J305" s="1534" t="s">
        <v>1560</v>
      </c>
      <c r="K305" s="1529"/>
      <c r="L305" s="1511"/>
      <c r="N305" s="1511">
        <f t="shared" si="4"/>
        <v>0</v>
      </c>
    </row>
    <row r="306" spans="2:14">
      <c r="B306" s="1583"/>
      <c r="C306" s="1583"/>
      <c r="D306" s="55">
        <v>2210200</v>
      </c>
      <c r="E306" s="1518" t="s">
        <v>20</v>
      </c>
      <c r="F306" s="1511">
        <v>360000</v>
      </c>
      <c r="H306" s="1583"/>
      <c r="I306" s="1583"/>
      <c r="J306" s="55">
        <v>2210200</v>
      </c>
      <c r="K306" s="1518" t="s">
        <v>20</v>
      </c>
      <c r="L306" s="1511">
        <v>360000</v>
      </c>
      <c r="N306" s="1511">
        <f t="shared" si="4"/>
        <v>0</v>
      </c>
    </row>
    <row r="307" spans="2:14">
      <c r="B307" s="1583"/>
      <c r="C307" s="1583"/>
      <c r="D307" s="19">
        <v>2210201</v>
      </c>
      <c r="E307" s="20" t="s">
        <v>21</v>
      </c>
      <c r="F307" s="1516">
        <v>260000</v>
      </c>
      <c r="H307" s="1583"/>
      <c r="I307" s="1583"/>
      <c r="J307" s="19">
        <v>2210201</v>
      </c>
      <c r="K307" s="20" t="s">
        <v>21</v>
      </c>
      <c r="L307" s="1516">
        <v>260000</v>
      </c>
      <c r="N307" s="1516">
        <f t="shared" si="4"/>
        <v>0</v>
      </c>
    </row>
    <row r="308" spans="2:14">
      <c r="B308" s="1583"/>
      <c r="C308" s="1583"/>
      <c r="D308" s="19">
        <v>2210202</v>
      </c>
      <c r="E308" s="20" t="s">
        <v>22</v>
      </c>
      <c r="F308" s="1516">
        <v>100000</v>
      </c>
      <c r="H308" s="1583"/>
      <c r="I308" s="1583"/>
      <c r="J308" s="19">
        <v>2210202</v>
      </c>
      <c r="K308" s="20" t="s">
        <v>22</v>
      </c>
      <c r="L308" s="1516">
        <v>100000</v>
      </c>
      <c r="N308" s="1516">
        <f t="shared" si="4"/>
        <v>0</v>
      </c>
    </row>
    <row r="309" spans="2:14">
      <c r="B309" s="1583"/>
      <c r="C309" s="1583"/>
      <c r="D309" s="55">
        <v>2210300</v>
      </c>
      <c r="E309" s="1518" t="s">
        <v>24</v>
      </c>
      <c r="F309" s="1511">
        <v>2616000</v>
      </c>
      <c r="H309" s="1583"/>
      <c r="I309" s="1583"/>
      <c r="J309" s="55">
        <v>2210300</v>
      </c>
      <c r="K309" s="1518" t="s">
        <v>24</v>
      </c>
      <c r="L309" s="1511">
        <v>2616000</v>
      </c>
      <c r="N309" s="1511">
        <f t="shared" si="4"/>
        <v>0</v>
      </c>
    </row>
    <row r="310" spans="2:14">
      <c r="B310" s="1583"/>
      <c r="C310" s="1583"/>
      <c r="D310" s="19">
        <v>2210301</v>
      </c>
      <c r="E310" s="20" t="s">
        <v>25</v>
      </c>
      <c r="F310" s="1516">
        <v>800000</v>
      </c>
      <c r="H310" s="1583"/>
      <c r="I310" s="1583"/>
      <c r="J310" s="19">
        <v>2210301</v>
      </c>
      <c r="K310" s="20" t="s">
        <v>25</v>
      </c>
      <c r="L310" s="1516">
        <v>800000</v>
      </c>
      <c r="N310" s="1516">
        <f t="shared" si="4"/>
        <v>0</v>
      </c>
    </row>
    <row r="311" spans="2:14">
      <c r="B311" s="1583"/>
      <c r="C311" s="1583"/>
      <c r="D311" s="19">
        <v>2210302</v>
      </c>
      <c r="E311" s="20" t="s">
        <v>26</v>
      </c>
      <c r="F311" s="1516">
        <v>606000</v>
      </c>
      <c r="H311" s="1583"/>
      <c r="I311" s="1583"/>
      <c r="J311" s="19">
        <v>2210302</v>
      </c>
      <c r="K311" s="20" t="s">
        <v>26</v>
      </c>
      <c r="L311" s="1516">
        <v>606000</v>
      </c>
      <c r="N311" s="1516">
        <f t="shared" si="4"/>
        <v>0</v>
      </c>
    </row>
    <row r="312" spans="2:14">
      <c r="B312" s="1583"/>
      <c r="C312" s="1583"/>
      <c r="D312" s="19">
        <v>2210303</v>
      </c>
      <c r="E312" s="20" t="s">
        <v>27</v>
      </c>
      <c r="F312" s="1516">
        <v>1210000</v>
      </c>
      <c r="H312" s="1583"/>
      <c r="I312" s="1583"/>
      <c r="J312" s="19">
        <v>2210303</v>
      </c>
      <c r="K312" s="20" t="s">
        <v>27</v>
      </c>
      <c r="L312" s="1516">
        <v>1210000</v>
      </c>
      <c r="N312" s="1516">
        <f t="shared" si="4"/>
        <v>0</v>
      </c>
    </row>
    <row r="313" spans="2:14">
      <c r="B313" s="1583"/>
      <c r="C313" s="1583"/>
      <c r="D313" s="55">
        <v>2210400</v>
      </c>
      <c r="E313" s="1518" t="s">
        <v>29</v>
      </c>
      <c r="F313" s="1511">
        <v>740000</v>
      </c>
      <c r="H313" s="1583"/>
      <c r="I313" s="1583"/>
      <c r="J313" s="55">
        <v>2210400</v>
      </c>
      <c r="K313" s="1518" t="s">
        <v>29</v>
      </c>
      <c r="L313" s="1511">
        <v>740000</v>
      </c>
      <c r="N313" s="1511">
        <f t="shared" si="4"/>
        <v>0</v>
      </c>
    </row>
    <row r="314" spans="2:14">
      <c r="B314" s="1583"/>
      <c r="C314" s="1583"/>
      <c r="D314" s="19">
        <v>2210401</v>
      </c>
      <c r="E314" s="20" t="s">
        <v>25</v>
      </c>
      <c r="F314" s="1516">
        <v>280000</v>
      </c>
      <c r="H314" s="1583"/>
      <c r="I314" s="1583"/>
      <c r="J314" s="19">
        <v>2210401</v>
      </c>
      <c r="K314" s="20" t="s">
        <v>25</v>
      </c>
      <c r="L314" s="1516">
        <v>280000</v>
      </c>
      <c r="N314" s="1516">
        <f t="shared" si="4"/>
        <v>0</v>
      </c>
    </row>
    <row r="315" spans="2:14">
      <c r="B315" s="1583"/>
      <c r="C315" s="1583"/>
      <c r="D315" s="19">
        <v>2210402</v>
      </c>
      <c r="E315" s="20" t="s">
        <v>30</v>
      </c>
      <c r="F315" s="1516">
        <v>370000</v>
      </c>
      <c r="H315" s="1583"/>
      <c r="I315" s="1583"/>
      <c r="J315" s="19">
        <v>2210402</v>
      </c>
      <c r="K315" s="20" t="s">
        <v>30</v>
      </c>
      <c r="L315" s="1516">
        <v>370000</v>
      </c>
      <c r="N315" s="1516">
        <f t="shared" si="4"/>
        <v>0</v>
      </c>
    </row>
    <row r="316" spans="2:14">
      <c r="B316" s="1583"/>
      <c r="C316" s="1583"/>
      <c r="D316" s="19">
        <v>2210404</v>
      </c>
      <c r="E316" s="20" t="s">
        <v>28</v>
      </c>
      <c r="F316" s="1516">
        <v>90000</v>
      </c>
      <c r="H316" s="1583"/>
      <c r="I316" s="1583"/>
      <c r="J316" s="19">
        <v>2210404</v>
      </c>
      <c r="K316" s="20" t="s">
        <v>28</v>
      </c>
      <c r="L316" s="1516">
        <v>90000</v>
      </c>
      <c r="N316" s="1516">
        <f t="shared" si="4"/>
        <v>0</v>
      </c>
    </row>
    <row r="317" spans="2:14">
      <c r="B317" s="1583"/>
      <c r="C317" s="1583"/>
      <c r="D317" s="55">
        <v>2210700</v>
      </c>
      <c r="E317" s="1518" t="s">
        <v>35</v>
      </c>
      <c r="F317" s="1511">
        <v>1524000</v>
      </c>
      <c r="H317" s="1583"/>
      <c r="I317" s="1583"/>
      <c r="J317" s="55">
        <v>2210700</v>
      </c>
      <c r="K317" s="1518" t="s">
        <v>35</v>
      </c>
      <c r="L317" s="1511">
        <v>1524000</v>
      </c>
      <c r="N317" s="1511">
        <f t="shared" si="4"/>
        <v>0</v>
      </c>
    </row>
    <row r="318" spans="2:14">
      <c r="B318" s="1583"/>
      <c r="C318" s="1583"/>
      <c r="D318" s="19">
        <v>2210701</v>
      </c>
      <c r="E318" s="20" t="s">
        <v>36</v>
      </c>
      <c r="F318" s="1513">
        <v>300000</v>
      </c>
      <c r="H318" s="1583"/>
      <c r="I318" s="1583"/>
      <c r="J318" s="19">
        <v>2210701</v>
      </c>
      <c r="K318" s="20" t="s">
        <v>36</v>
      </c>
      <c r="L318" s="1513">
        <v>300000</v>
      </c>
      <c r="N318" s="1513">
        <f t="shared" si="4"/>
        <v>0</v>
      </c>
    </row>
    <row r="319" spans="2:14">
      <c r="B319" s="1583"/>
      <c r="C319" s="1583"/>
      <c r="D319" s="19">
        <v>2210702</v>
      </c>
      <c r="E319" s="20" t="s">
        <v>95</v>
      </c>
      <c r="F319" s="1513">
        <v>200000</v>
      </c>
      <c r="H319" s="1583"/>
      <c r="I319" s="1583"/>
      <c r="J319" s="19">
        <v>2210702</v>
      </c>
      <c r="K319" s="20" t="s">
        <v>95</v>
      </c>
      <c r="L319" s="1513">
        <v>200000</v>
      </c>
      <c r="N319" s="1513">
        <f t="shared" si="4"/>
        <v>0</v>
      </c>
    </row>
    <row r="320" spans="2:14">
      <c r="B320" s="1583"/>
      <c r="C320" s="1583"/>
      <c r="D320" s="19">
        <v>2210704</v>
      </c>
      <c r="E320" s="20" t="s">
        <v>38</v>
      </c>
      <c r="F320" s="1513">
        <v>300000</v>
      </c>
      <c r="H320" s="1583"/>
      <c r="I320" s="1583"/>
      <c r="J320" s="19">
        <v>2210704</v>
      </c>
      <c r="K320" s="20" t="s">
        <v>38</v>
      </c>
      <c r="L320" s="1513">
        <v>300000</v>
      </c>
      <c r="N320" s="1513">
        <f t="shared" si="4"/>
        <v>0</v>
      </c>
    </row>
    <row r="321" spans="2:14">
      <c r="B321" s="1583"/>
      <c r="C321" s="1583"/>
      <c r="D321" s="19">
        <v>2210710</v>
      </c>
      <c r="E321" s="20" t="s">
        <v>39</v>
      </c>
      <c r="F321" s="1513">
        <v>200000</v>
      </c>
      <c r="H321" s="1583"/>
      <c r="I321" s="1583"/>
      <c r="J321" s="19">
        <v>2210710</v>
      </c>
      <c r="K321" s="20" t="s">
        <v>39</v>
      </c>
      <c r="L321" s="1513">
        <v>200000</v>
      </c>
      <c r="N321" s="1513">
        <f t="shared" si="4"/>
        <v>0</v>
      </c>
    </row>
    <row r="322" spans="2:14">
      <c r="B322" s="1583"/>
      <c r="C322" s="1583"/>
      <c r="D322" s="19">
        <v>2210715</v>
      </c>
      <c r="E322" s="20" t="s">
        <v>40</v>
      </c>
      <c r="F322" s="1513">
        <v>424000</v>
      </c>
      <c r="H322" s="1583"/>
      <c r="I322" s="1583"/>
      <c r="J322" s="19">
        <v>2210715</v>
      </c>
      <c r="K322" s="20" t="s">
        <v>40</v>
      </c>
      <c r="L322" s="1513">
        <v>424000</v>
      </c>
      <c r="N322" s="1513">
        <f t="shared" si="4"/>
        <v>0</v>
      </c>
    </row>
    <row r="323" spans="2:14">
      <c r="B323" s="1583"/>
      <c r="C323" s="1583"/>
      <c r="D323" s="19">
        <v>2210799</v>
      </c>
      <c r="E323" s="20" t="s">
        <v>129</v>
      </c>
      <c r="F323" s="1516">
        <v>100000</v>
      </c>
      <c r="H323" s="1583"/>
      <c r="I323" s="1583"/>
      <c r="J323" s="19">
        <v>2210799</v>
      </c>
      <c r="K323" s="20" t="s">
        <v>129</v>
      </c>
      <c r="L323" s="1516">
        <v>100000</v>
      </c>
      <c r="N323" s="1516">
        <f t="shared" si="4"/>
        <v>0</v>
      </c>
    </row>
    <row r="324" spans="2:14">
      <c r="B324" s="1583"/>
      <c r="C324" s="1583"/>
      <c r="D324" s="55">
        <v>2210800</v>
      </c>
      <c r="E324" s="1518" t="s">
        <v>42</v>
      </c>
      <c r="F324" s="1511">
        <v>4877500</v>
      </c>
      <c r="H324" s="1583"/>
      <c r="I324" s="1583"/>
      <c r="J324" s="55">
        <v>2210800</v>
      </c>
      <c r="K324" s="1518" t="s">
        <v>42</v>
      </c>
      <c r="L324" s="1511">
        <v>4877500</v>
      </c>
      <c r="N324" s="1511">
        <f t="shared" si="4"/>
        <v>0</v>
      </c>
    </row>
    <row r="325" spans="2:14">
      <c r="B325" s="1583"/>
      <c r="C325" s="1583"/>
      <c r="D325" s="19">
        <v>2210801</v>
      </c>
      <c r="E325" s="20" t="s">
        <v>1545</v>
      </c>
      <c r="F325" s="1516">
        <v>3871500</v>
      </c>
      <c r="H325" s="1583"/>
      <c r="I325" s="1583"/>
      <c r="J325" s="19">
        <v>2210801</v>
      </c>
      <c r="K325" s="20" t="s">
        <v>1545</v>
      </c>
      <c r="L325" s="1516">
        <v>3871500</v>
      </c>
      <c r="N325" s="1516">
        <f t="shared" si="4"/>
        <v>0</v>
      </c>
    </row>
    <row r="326" spans="2:14">
      <c r="B326" s="1583"/>
      <c r="C326" s="1583"/>
      <c r="D326" s="19">
        <v>2210802</v>
      </c>
      <c r="E326" s="20" t="s">
        <v>97</v>
      </c>
      <c r="F326" s="1516">
        <v>1006000</v>
      </c>
      <c r="H326" s="1583"/>
      <c r="I326" s="1583"/>
      <c r="J326" s="19">
        <v>2210802</v>
      </c>
      <c r="K326" s="20" t="s">
        <v>97</v>
      </c>
      <c r="L326" s="1516">
        <v>1006000</v>
      </c>
      <c r="N326" s="1516">
        <f t="shared" si="4"/>
        <v>0</v>
      </c>
    </row>
    <row r="327" spans="2:14">
      <c r="B327" s="1583"/>
      <c r="C327" s="1583"/>
      <c r="D327" s="55">
        <v>2211000</v>
      </c>
      <c r="E327" s="1518" t="s">
        <v>49</v>
      </c>
      <c r="F327" s="1511">
        <v>1000000</v>
      </c>
      <c r="H327" s="1583"/>
      <c r="I327" s="1583"/>
      <c r="J327" s="55">
        <v>2211000</v>
      </c>
      <c r="K327" s="1518" t="s">
        <v>49</v>
      </c>
      <c r="L327" s="1511">
        <v>1000000</v>
      </c>
      <c r="N327" s="1511">
        <f t="shared" si="4"/>
        <v>0</v>
      </c>
    </row>
    <row r="328" spans="2:14">
      <c r="B328" s="1583"/>
      <c r="C328" s="1583"/>
      <c r="D328" s="19">
        <v>2211016</v>
      </c>
      <c r="E328" s="20" t="s">
        <v>50</v>
      </c>
      <c r="F328" s="1516">
        <v>1000000</v>
      </c>
      <c r="H328" s="1583"/>
      <c r="I328" s="1583"/>
      <c r="J328" s="19">
        <v>2211016</v>
      </c>
      <c r="K328" s="20" t="s">
        <v>50</v>
      </c>
      <c r="L328" s="1516">
        <v>1000000</v>
      </c>
      <c r="N328" s="1516">
        <f t="shared" ref="N328:N391" si="5">F328-L328</f>
        <v>0</v>
      </c>
    </row>
    <row r="329" spans="2:14">
      <c r="B329" s="1583"/>
      <c r="C329" s="1583"/>
      <c r="D329" s="55">
        <v>2211100</v>
      </c>
      <c r="E329" s="1518" t="s">
        <v>51</v>
      </c>
      <c r="F329" s="1511">
        <v>3151500</v>
      </c>
      <c r="H329" s="1583"/>
      <c r="I329" s="1583"/>
      <c r="J329" s="55">
        <v>2211100</v>
      </c>
      <c r="K329" s="1518" t="s">
        <v>51</v>
      </c>
      <c r="L329" s="1511">
        <v>3151500</v>
      </c>
      <c r="N329" s="1511">
        <f t="shared" si="5"/>
        <v>0</v>
      </c>
    </row>
    <row r="330" spans="2:14">
      <c r="B330" s="1583"/>
      <c r="C330" s="1583"/>
      <c r="D330" s="19">
        <v>2211101</v>
      </c>
      <c r="E330" s="20" t="s">
        <v>52</v>
      </c>
      <c r="F330" s="1516">
        <v>1831500</v>
      </c>
      <c r="H330" s="1583"/>
      <c r="I330" s="1583"/>
      <c r="J330" s="19">
        <v>2211101</v>
      </c>
      <c r="K330" s="20" t="s">
        <v>52</v>
      </c>
      <c r="L330" s="1516">
        <v>1831500</v>
      </c>
      <c r="N330" s="1516">
        <f t="shared" si="5"/>
        <v>0</v>
      </c>
    </row>
    <row r="331" spans="2:14">
      <c r="B331" s="1583"/>
      <c r="C331" s="1583"/>
      <c r="D331" s="19">
        <v>2211102</v>
      </c>
      <c r="E331" s="20" t="s">
        <v>53</v>
      </c>
      <c r="F331" s="1516">
        <v>740000</v>
      </c>
      <c r="H331" s="1583"/>
      <c r="I331" s="1583"/>
      <c r="J331" s="19">
        <v>2211102</v>
      </c>
      <c r="K331" s="20" t="s">
        <v>53</v>
      </c>
      <c r="L331" s="1516">
        <v>740000</v>
      </c>
      <c r="N331" s="1516">
        <f t="shared" si="5"/>
        <v>0</v>
      </c>
    </row>
    <row r="332" spans="2:14">
      <c r="B332" s="1583"/>
      <c r="C332" s="1583"/>
      <c r="D332" s="19">
        <v>2211103</v>
      </c>
      <c r="E332" s="20" t="s">
        <v>54</v>
      </c>
      <c r="F332" s="1516">
        <v>580000</v>
      </c>
      <c r="H332" s="1583"/>
      <c r="I332" s="1583"/>
      <c r="J332" s="19">
        <v>2211103</v>
      </c>
      <c r="K332" s="20" t="s">
        <v>54</v>
      </c>
      <c r="L332" s="1516">
        <v>580000</v>
      </c>
      <c r="N332" s="1516">
        <f t="shared" si="5"/>
        <v>0</v>
      </c>
    </row>
    <row r="333" spans="2:14">
      <c r="B333" s="1583"/>
      <c r="C333" s="1583"/>
      <c r="D333" s="55">
        <v>2211200</v>
      </c>
      <c r="E333" s="1518" t="s">
        <v>55</v>
      </c>
      <c r="F333" s="1511">
        <v>1406000</v>
      </c>
      <c r="H333" s="1583"/>
      <c r="I333" s="1583"/>
      <c r="J333" s="55">
        <v>2211200</v>
      </c>
      <c r="K333" s="1518" t="s">
        <v>55</v>
      </c>
      <c r="L333" s="1511">
        <v>1406000</v>
      </c>
      <c r="N333" s="1511">
        <f t="shared" si="5"/>
        <v>0</v>
      </c>
    </row>
    <row r="334" spans="2:14">
      <c r="B334" s="1583"/>
      <c r="C334" s="1583"/>
      <c r="D334" s="19">
        <v>2211201</v>
      </c>
      <c r="E334" s="20" t="s">
        <v>55</v>
      </c>
      <c r="F334" s="1516">
        <v>1406000</v>
      </c>
      <c r="H334" s="1583"/>
      <c r="I334" s="1583"/>
      <c r="J334" s="19">
        <v>2211201</v>
      </c>
      <c r="K334" s="20" t="s">
        <v>55</v>
      </c>
      <c r="L334" s="1516">
        <v>1406000</v>
      </c>
      <c r="N334" s="1516">
        <f t="shared" si="5"/>
        <v>0</v>
      </c>
    </row>
    <row r="335" spans="2:14">
      <c r="B335" s="1583"/>
      <c r="C335" s="1583"/>
      <c r="D335" s="55">
        <v>2220100</v>
      </c>
      <c r="E335" s="1518" t="s">
        <v>62</v>
      </c>
      <c r="F335" s="1511">
        <v>1464000</v>
      </c>
      <c r="H335" s="1583"/>
      <c r="I335" s="1583"/>
      <c r="J335" s="55">
        <v>2220100</v>
      </c>
      <c r="K335" s="1518" t="s">
        <v>62</v>
      </c>
      <c r="L335" s="1511">
        <v>1464000</v>
      </c>
      <c r="N335" s="1511">
        <f t="shared" si="5"/>
        <v>0</v>
      </c>
    </row>
    <row r="336" spans="2:14">
      <c r="B336" s="1583"/>
      <c r="C336" s="1583"/>
      <c r="D336" s="19">
        <v>2220101</v>
      </c>
      <c r="E336" s="20" t="s">
        <v>85</v>
      </c>
      <c r="F336" s="1516">
        <v>1464000</v>
      </c>
      <c r="H336" s="1583"/>
      <c r="I336" s="1583"/>
      <c r="J336" s="19">
        <v>2220101</v>
      </c>
      <c r="K336" s="20" t="s">
        <v>85</v>
      </c>
      <c r="L336" s="1516">
        <v>1464000</v>
      </c>
      <c r="N336" s="1516">
        <f t="shared" si="5"/>
        <v>0</v>
      </c>
    </row>
    <row r="337" spans="2:14">
      <c r="B337" s="1583"/>
      <c r="C337" s="1583"/>
      <c r="D337" s="55">
        <v>2220200</v>
      </c>
      <c r="E337" s="1518" t="s">
        <v>86</v>
      </c>
      <c r="F337" s="1511">
        <v>1000000</v>
      </c>
      <c r="H337" s="1583"/>
      <c r="I337" s="1583"/>
      <c r="J337" s="55">
        <v>2220200</v>
      </c>
      <c r="K337" s="1518" t="s">
        <v>86</v>
      </c>
      <c r="L337" s="1511">
        <v>1000000</v>
      </c>
      <c r="N337" s="1511">
        <f t="shared" si="5"/>
        <v>0</v>
      </c>
    </row>
    <row r="338" spans="2:14">
      <c r="B338" s="1583"/>
      <c r="C338" s="1583"/>
      <c r="D338" s="19">
        <v>2220202</v>
      </c>
      <c r="E338" s="20" t="s">
        <v>130</v>
      </c>
      <c r="F338" s="1516">
        <v>1000000</v>
      </c>
      <c r="H338" s="1583"/>
      <c r="I338" s="1583"/>
      <c r="J338" s="19">
        <v>2220202</v>
      </c>
      <c r="K338" s="20" t="s">
        <v>130</v>
      </c>
      <c r="L338" s="1516">
        <v>1000000</v>
      </c>
      <c r="N338" s="1516">
        <f t="shared" si="5"/>
        <v>0</v>
      </c>
    </row>
    <row r="339" spans="2:14">
      <c r="B339" s="1583"/>
      <c r="C339" s="1583"/>
      <c r="D339" s="55">
        <v>3111400</v>
      </c>
      <c r="E339" s="1584" t="s">
        <v>90</v>
      </c>
      <c r="F339" s="1511">
        <v>0</v>
      </c>
      <c r="H339" s="1583"/>
      <c r="I339" s="1583"/>
      <c r="J339" s="55">
        <v>3111400</v>
      </c>
      <c r="K339" s="1584" t="s">
        <v>90</v>
      </c>
      <c r="L339" s="1511">
        <v>0</v>
      </c>
      <c r="N339" s="1511">
        <f t="shared" si="5"/>
        <v>0</v>
      </c>
    </row>
    <row r="340" spans="2:14">
      <c r="B340" s="1583"/>
      <c r="C340" s="1583"/>
      <c r="D340" s="19">
        <v>3111401</v>
      </c>
      <c r="E340" s="1585" t="s">
        <v>131</v>
      </c>
      <c r="F340" s="1516">
        <v>0</v>
      </c>
      <c r="H340" s="1583"/>
      <c r="I340" s="1583"/>
      <c r="J340" s="19">
        <v>3111401</v>
      </c>
      <c r="K340" s="1585" t="s">
        <v>131</v>
      </c>
      <c r="L340" s="1516">
        <v>0</v>
      </c>
      <c r="N340" s="1516">
        <f t="shared" si="5"/>
        <v>0</v>
      </c>
    </row>
    <row r="341" spans="2:14">
      <c r="B341" s="1583"/>
      <c r="C341" s="1583"/>
      <c r="D341" s="55">
        <v>3111000</v>
      </c>
      <c r="E341" s="1518" t="s">
        <v>69</v>
      </c>
      <c r="F341" s="1511">
        <v>1500000</v>
      </c>
      <c r="H341" s="1583"/>
      <c r="I341" s="1583"/>
      <c r="J341" s="55">
        <v>3111000</v>
      </c>
      <c r="K341" s="1518" t="s">
        <v>69</v>
      </c>
      <c r="L341" s="1511">
        <v>1500000</v>
      </c>
      <c r="N341" s="1511">
        <f t="shared" si="5"/>
        <v>0</v>
      </c>
    </row>
    <row r="342" spans="2:14">
      <c r="B342" s="1583"/>
      <c r="C342" s="1583"/>
      <c r="D342" s="19">
        <v>3111001</v>
      </c>
      <c r="E342" s="20" t="s">
        <v>70</v>
      </c>
      <c r="F342" s="1516">
        <v>1000000</v>
      </c>
      <c r="H342" s="1583"/>
      <c r="I342" s="1583"/>
      <c r="J342" s="19">
        <v>3111001</v>
      </c>
      <c r="K342" s="20" t="s">
        <v>70</v>
      </c>
      <c r="L342" s="1516">
        <v>1000000</v>
      </c>
      <c r="N342" s="1516">
        <f t="shared" si="5"/>
        <v>0</v>
      </c>
    </row>
    <row r="343" spans="2:14">
      <c r="B343" s="1583"/>
      <c r="C343" s="1583"/>
      <c r="D343" s="19">
        <v>3111002</v>
      </c>
      <c r="E343" s="20" t="s">
        <v>71</v>
      </c>
      <c r="F343" s="1516">
        <v>500000</v>
      </c>
      <c r="H343" s="1583"/>
      <c r="I343" s="1583"/>
      <c r="J343" s="19">
        <v>3111002</v>
      </c>
      <c r="K343" s="20" t="s">
        <v>71</v>
      </c>
      <c r="L343" s="1516">
        <v>500000</v>
      </c>
      <c r="N343" s="1516">
        <f t="shared" si="5"/>
        <v>0</v>
      </c>
    </row>
    <row r="344" spans="2:14">
      <c r="B344" s="1583"/>
      <c r="C344" s="1583"/>
      <c r="D344" s="55"/>
      <c r="E344" s="1518"/>
      <c r="F344" s="1527">
        <v>0</v>
      </c>
      <c r="H344" s="1583"/>
      <c r="I344" s="1583"/>
      <c r="J344" s="55"/>
      <c r="K344" s="1518"/>
      <c r="L344" s="1527">
        <v>0</v>
      </c>
      <c r="N344" s="1527">
        <f t="shared" si="5"/>
        <v>0</v>
      </c>
    </row>
    <row r="345" spans="2:14">
      <c r="B345" s="1583"/>
      <c r="C345" s="1583"/>
      <c r="D345" s="19"/>
      <c r="E345" s="20"/>
      <c r="F345" s="1516"/>
      <c r="H345" s="1583"/>
      <c r="I345" s="1583"/>
      <c r="J345" s="19"/>
      <c r="K345" s="20"/>
      <c r="L345" s="1516"/>
      <c r="N345" s="1516">
        <f t="shared" si="5"/>
        <v>0</v>
      </c>
    </row>
    <row r="346" spans="2:14">
      <c r="B346" s="1583"/>
      <c r="C346" s="1583"/>
      <c r="D346" s="1547"/>
      <c r="E346" s="1574" t="s">
        <v>99</v>
      </c>
      <c r="F346" s="1511">
        <v>19639000</v>
      </c>
      <c r="H346" s="1583"/>
      <c r="I346" s="1583"/>
      <c r="J346" s="1547"/>
      <c r="K346" s="1574" t="s">
        <v>99</v>
      </c>
      <c r="L346" s="1511">
        <v>19639000</v>
      </c>
      <c r="N346" s="1511">
        <f t="shared" si="5"/>
        <v>0</v>
      </c>
    </row>
    <row r="347" spans="2:14">
      <c r="B347" s="1583"/>
      <c r="C347" s="1583"/>
      <c r="D347" s="1534"/>
      <c r="E347" s="1574" t="s">
        <v>84</v>
      </c>
      <c r="F347" s="1511">
        <v>19639000</v>
      </c>
      <c r="H347" s="1583"/>
      <c r="I347" s="1583"/>
      <c r="J347" s="1534"/>
      <c r="K347" s="1574" t="s">
        <v>84</v>
      </c>
      <c r="L347" s="1511">
        <v>19639000</v>
      </c>
      <c r="N347" s="1511">
        <f t="shared" si="5"/>
        <v>0</v>
      </c>
    </row>
    <row r="348" spans="2:14">
      <c r="B348" s="1583"/>
      <c r="C348" s="1583"/>
      <c r="D348" s="1534"/>
      <c r="E348" s="1580"/>
      <c r="F348" s="1530"/>
      <c r="H348" s="1583"/>
      <c r="I348" s="1583"/>
      <c r="J348" s="1534"/>
      <c r="K348" s="1580"/>
      <c r="L348" s="1530"/>
      <c r="N348" s="1530">
        <f t="shared" si="5"/>
        <v>0</v>
      </c>
    </row>
    <row r="349" spans="2:14">
      <c r="B349" s="1583"/>
      <c r="C349" s="1583"/>
      <c r="D349" s="1534"/>
      <c r="E349" s="1529" t="s">
        <v>1561</v>
      </c>
      <c r="F349" s="1531"/>
      <c r="H349" s="1583"/>
      <c r="I349" s="1583"/>
      <c r="J349" s="1534"/>
      <c r="K349" s="1529" t="s">
        <v>1561</v>
      </c>
      <c r="L349" s="1531"/>
      <c r="N349" s="1531">
        <f t="shared" si="5"/>
        <v>0</v>
      </c>
    </row>
    <row r="350" spans="2:14">
      <c r="B350" s="1583"/>
      <c r="C350" s="1583"/>
      <c r="D350" s="1534"/>
      <c r="E350" s="1529" t="s">
        <v>1562</v>
      </c>
      <c r="F350" s="1531"/>
      <c r="H350" s="1583"/>
      <c r="I350" s="1583"/>
      <c r="J350" s="1534"/>
      <c r="K350" s="1529" t="s">
        <v>1562</v>
      </c>
      <c r="L350" s="1531"/>
      <c r="N350" s="1531">
        <f t="shared" si="5"/>
        <v>0</v>
      </c>
    </row>
    <row r="351" spans="2:14">
      <c r="B351" s="1583"/>
      <c r="C351" s="1583"/>
      <c r="D351" s="1586">
        <v>2210200</v>
      </c>
      <c r="E351" s="1587" t="s">
        <v>20</v>
      </c>
      <c r="F351" s="1511">
        <v>500000</v>
      </c>
      <c r="H351" s="1583"/>
      <c r="I351" s="1583"/>
      <c r="J351" s="1586">
        <v>2210200</v>
      </c>
      <c r="K351" s="1587" t="s">
        <v>20</v>
      </c>
      <c r="L351" s="1511">
        <v>500000</v>
      </c>
      <c r="N351" s="1511">
        <f t="shared" si="5"/>
        <v>0</v>
      </c>
    </row>
    <row r="352" spans="2:14">
      <c r="B352" s="1583"/>
      <c r="C352" s="1583"/>
      <c r="D352" s="1588">
        <v>2210201</v>
      </c>
      <c r="E352" s="1589" t="s">
        <v>21</v>
      </c>
      <c r="F352" s="1590">
        <v>300000</v>
      </c>
      <c r="H352" s="1583"/>
      <c r="I352" s="1583"/>
      <c r="J352" s="1588">
        <v>2210201</v>
      </c>
      <c r="K352" s="1589" t="s">
        <v>21</v>
      </c>
      <c r="L352" s="1590">
        <v>300000</v>
      </c>
      <c r="N352" s="1590">
        <f t="shared" si="5"/>
        <v>0</v>
      </c>
    </row>
    <row r="353" spans="2:14">
      <c r="B353" s="1583"/>
      <c r="C353" s="1583"/>
      <c r="D353" s="1588">
        <v>2210202</v>
      </c>
      <c r="E353" s="1589" t="s">
        <v>22</v>
      </c>
      <c r="F353" s="1590">
        <v>200000</v>
      </c>
      <c r="H353" s="1583"/>
      <c r="I353" s="1583"/>
      <c r="J353" s="1588">
        <v>2210202</v>
      </c>
      <c r="K353" s="1589" t="s">
        <v>22</v>
      </c>
      <c r="L353" s="1590">
        <v>200000</v>
      </c>
      <c r="N353" s="1590">
        <f t="shared" si="5"/>
        <v>0</v>
      </c>
    </row>
    <row r="354" spans="2:14">
      <c r="B354" s="1583"/>
      <c r="C354" s="1583"/>
      <c r="D354" s="1586">
        <v>2210300</v>
      </c>
      <c r="E354" s="1587" t="s">
        <v>24</v>
      </c>
      <c r="F354" s="1511">
        <v>2748899</v>
      </c>
      <c r="H354" s="1583"/>
      <c r="I354" s="1583"/>
      <c r="J354" s="1586">
        <v>2210300</v>
      </c>
      <c r="K354" s="1587" t="s">
        <v>24</v>
      </c>
      <c r="L354" s="1511">
        <v>2748899</v>
      </c>
      <c r="N354" s="1511">
        <f t="shared" si="5"/>
        <v>0</v>
      </c>
    </row>
    <row r="355" spans="2:14">
      <c r="B355" s="1583"/>
      <c r="C355" s="1583"/>
      <c r="D355" s="1588">
        <v>2210301</v>
      </c>
      <c r="E355" s="1589" t="s">
        <v>25</v>
      </c>
      <c r="F355" s="1590">
        <v>500000</v>
      </c>
      <c r="H355" s="1583"/>
      <c r="I355" s="1583"/>
      <c r="J355" s="1588">
        <v>2210301</v>
      </c>
      <c r="K355" s="1589" t="s">
        <v>25</v>
      </c>
      <c r="L355" s="1590">
        <v>500000</v>
      </c>
      <c r="N355" s="1590">
        <f t="shared" si="5"/>
        <v>0</v>
      </c>
    </row>
    <row r="356" spans="2:14">
      <c r="B356" s="1583"/>
      <c r="C356" s="1583"/>
      <c r="D356" s="1588">
        <v>2210302</v>
      </c>
      <c r="E356" s="1589" t="s">
        <v>26</v>
      </c>
      <c r="F356" s="1590">
        <v>998899</v>
      </c>
      <c r="H356" s="1583"/>
      <c r="I356" s="1583"/>
      <c r="J356" s="1588">
        <v>2210302</v>
      </c>
      <c r="K356" s="1589" t="s">
        <v>26</v>
      </c>
      <c r="L356" s="1590">
        <v>998899</v>
      </c>
      <c r="N356" s="1590">
        <f t="shared" si="5"/>
        <v>0</v>
      </c>
    </row>
    <row r="357" spans="2:14">
      <c r="B357" s="1583"/>
      <c r="C357" s="1583"/>
      <c r="D357" s="1588">
        <v>2210303</v>
      </c>
      <c r="E357" s="1589" t="s">
        <v>27</v>
      </c>
      <c r="F357" s="1590">
        <v>1250000</v>
      </c>
      <c r="H357" s="1583"/>
      <c r="I357" s="1583"/>
      <c r="J357" s="1588">
        <v>2210303</v>
      </c>
      <c r="K357" s="1589" t="s">
        <v>27</v>
      </c>
      <c r="L357" s="1590">
        <v>1250000</v>
      </c>
      <c r="N357" s="1590">
        <f t="shared" si="5"/>
        <v>0</v>
      </c>
    </row>
    <row r="358" spans="2:14">
      <c r="B358" s="1583"/>
      <c r="C358" s="1583"/>
      <c r="D358" s="1586">
        <v>2210700</v>
      </c>
      <c r="E358" s="1587" t="s">
        <v>35</v>
      </c>
      <c r="F358" s="1511">
        <v>986000</v>
      </c>
      <c r="H358" s="1583"/>
      <c r="I358" s="1583"/>
      <c r="J358" s="1586">
        <v>2210700</v>
      </c>
      <c r="K358" s="1587" t="s">
        <v>35</v>
      </c>
      <c r="L358" s="1511">
        <v>986000</v>
      </c>
      <c r="N358" s="1511">
        <f t="shared" si="5"/>
        <v>0</v>
      </c>
    </row>
    <row r="359" spans="2:14">
      <c r="B359" s="1583"/>
      <c r="C359" s="1583"/>
      <c r="D359" s="1588">
        <v>2210701</v>
      </c>
      <c r="E359" s="1589" t="s">
        <v>36</v>
      </c>
      <c r="F359" s="1591">
        <v>580000</v>
      </c>
      <c r="H359" s="1583"/>
      <c r="I359" s="1583"/>
      <c r="J359" s="1588">
        <v>2210701</v>
      </c>
      <c r="K359" s="1589" t="s">
        <v>36</v>
      </c>
      <c r="L359" s="1591">
        <v>580000</v>
      </c>
      <c r="N359" s="1591">
        <f t="shared" si="5"/>
        <v>0</v>
      </c>
    </row>
    <row r="360" spans="2:14">
      <c r="B360" s="1583"/>
      <c r="C360" s="1583"/>
      <c r="D360" s="1588">
        <v>2210704</v>
      </c>
      <c r="E360" s="1589" t="s">
        <v>38</v>
      </c>
      <c r="F360" s="1591">
        <v>116000</v>
      </c>
      <c r="H360" s="1583"/>
      <c r="I360" s="1583"/>
      <c r="J360" s="1588">
        <v>2210704</v>
      </c>
      <c r="K360" s="1589" t="s">
        <v>38</v>
      </c>
      <c r="L360" s="1591">
        <v>116000</v>
      </c>
      <c r="N360" s="1591">
        <f t="shared" si="5"/>
        <v>0</v>
      </c>
    </row>
    <row r="361" spans="2:14">
      <c r="B361" s="1583"/>
      <c r="C361" s="1583"/>
      <c r="D361" s="1588">
        <v>2210710</v>
      </c>
      <c r="E361" s="1589" t="s">
        <v>39</v>
      </c>
      <c r="F361" s="1591">
        <v>290000</v>
      </c>
      <c r="H361" s="1583"/>
      <c r="I361" s="1583"/>
      <c r="J361" s="1588">
        <v>2210710</v>
      </c>
      <c r="K361" s="1589" t="s">
        <v>39</v>
      </c>
      <c r="L361" s="1591">
        <v>290000</v>
      </c>
      <c r="N361" s="1591">
        <f t="shared" si="5"/>
        <v>0</v>
      </c>
    </row>
    <row r="362" spans="2:14">
      <c r="B362" s="1583"/>
      <c r="C362" s="1583"/>
      <c r="D362" s="1586">
        <v>2210800</v>
      </c>
      <c r="E362" s="1587" t="s">
        <v>42</v>
      </c>
      <c r="F362" s="1511">
        <v>4748500</v>
      </c>
      <c r="H362" s="1583"/>
      <c r="I362" s="1583"/>
      <c r="J362" s="1586">
        <v>2210800</v>
      </c>
      <c r="K362" s="1587" t="s">
        <v>42</v>
      </c>
      <c r="L362" s="1511">
        <v>4748500</v>
      </c>
      <c r="N362" s="1511">
        <f t="shared" si="5"/>
        <v>0</v>
      </c>
    </row>
    <row r="363" spans="2:14" ht="30">
      <c r="B363" s="1583"/>
      <c r="C363" s="1583"/>
      <c r="D363" s="1588">
        <v>2210801</v>
      </c>
      <c r="E363" s="1589" t="s">
        <v>1563</v>
      </c>
      <c r="F363" s="1590">
        <v>4748500</v>
      </c>
      <c r="H363" s="1583"/>
      <c r="I363" s="1583"/>
      <c r="J363" s="1588">
        <v>2210801</v>
      </c>
      <c r="K363" s="1589" t="s">
        <v>1563</v>
      </c>
      <c r="L363" s="1590">
        <v>4748500</v>
      </c>
      <c r="N363" s="1590">
        <f t="shared" si="5"/>
        <v>0</v>
      </c>
    </row>
    <row r="364" spans="2:14">
      <c r="B364" s="1583"/>
      <c r="C364" s="1583"/>
      <c r="D364" s="1586">
        <v>2211100</v>
      </c>
      <c r="E364" s="1587" t="s">
        <v>51</v>
      </c>
      <c r="F364" s="1511">
        <v>2000000</v>
      </c>
      <c r="H364" s="1583"/>
      <c r="I364" s="1583"/>
      <c r="J364" s="1586">
        <v>2211100</v>
      </c>
      <c r="K364" s="1587" t="s">
        <v>51</v>
      </c>
      <c r="L364" s="1511">
        <v>2000000</v>
      </c>
      <c r="N364" s="1511">
        <f t="shared" si="5"/>
        <v>0</v>
      </c>
    </row>
    <row r="365" spans="2:14">
      <c r="B365" s="1583"/>
      <c r="C365" s="1583"/>
      <c r="D365" s="1588">
        <v>2211101</v>
      </c>
      <c r="E365" s="1589" t="s">
        <v>52</v>
      </c>
      <c r="F365" s="1590">
        <v>500000</v>
      </c>
      <c r="H365" s="1583"/>
      <c r="I365" s="1583"/>
      <c r="J365" s="1588">
        <v>2211101</v>
      </c>
      <c r="K365" s="1589" t="s">
        <v>52</v>
      </c>
      <c r="L365" s="1590">
        <v>500000</v>
      </c>
      <c r="N365" s="1590">
        <f t="shared" si="5"/>
        <v>0</v>
      </c>
    </row>
    <row r="366" spans="2:14">
      <c r="B366" s="1583"/>
      <c r="C366" s="1583"/>
      <c r="D366" s="1588">
        <v>2211102</v>
      </c>
      <c r="E366" s="1589" t="s">
        <v>53</v>
      </c>
      <c r="F366" s="1590">
        <v>800000</v>
      </c>
      <c r="H366" s="1583"/>
      <c r="I366" s="1583"/>
      <c r="J366" s="1588">
        <v>2211102</v>
      </c>
      <c r="K366" s="1589" t="s">
        <v>53</v>
      </c>
      <c r="L366" s="1590">
        <v>800000</v>
      </c>
      <c r="N366" s="1590">
        <f t="shared" si="5"/>
        <v>0</v>
      </c>
    </row>
    <row r="367" spans="2:14">
      <c r="B367" s="1583"/>
      <c r="C367" s="1583"/>
      <c r="D367" s="1588">
        <v>2211103</v>
      </c>
      <c r="E367" s="1589" t="s">
        <v>54</v>
      </c>
      <c r="F367" s="1590">
        <v>700000</v>
      </c>
      <c r="H367" s="1583"/>
      <c r="I367" s="1583"/>
      <c r="J367" s="1588">
        <v>2211103</v>
      </c>
      <c r="K367" s="1589" t="s">
        <v>54</v>
      </c>
      <c r="L367" s="1590">
        <v>700000</v>
      </c>
      <c r="N367" s="1590">
        <f t="shared" si="5"/>
        <v>0</v>
      </c>
    </row>
    <row r="368" spans="2:14">
      <c r="B368" s="1583"/>
      <c r="C368" s="1583"/>
      <c r="D368" s="1586">
        <v>2211200</v>
      </c>
      <c r="E368" s="1587" t="s">
        <v>55</v>
      </c>
      <c r="F368" s="1511">
        <v>1500000</v>
      </c>
      <c r="H368" s="1583"/>
      <c r="I368" s="1583"/>
      <c r="J368" s="1586">
        <v>2211200</v>
      </c>
      <c r="K368" s="1587" t="s">
        <v>55</v>
      </c>
      <c r="L368" s="1511">
        <v>1500000</v>
      </c>
      <c r="N368" s="1511">
        <f t="shared" si="5"/>
        <v>0</v>
      </c>
    </row>
    <row r="369" spans="2:14">
      <c r="B369" s="1583"/>
      <c r="C369" s="1583"/>
      <c r="D369" s="1588">
        <v>2211201</v>
      </c>
      <c r="E369" s="1589" t="s">
        <v>55</v>
      </c>
      <c r="F369" s="1590">
        <v>1500000</v>
      </c>
      <c r="H369" s="1583"/>
      <c r="I369" s="1583"/>
      <c r="J369" s="1588">
        <v>2211201</v>
      </c>
      <c r="K369" s="1589" t="s">
        <v>55</v>
      </c>
      <c r="L369" s="1590">
        <v>1500000</v>
      </c>
      <c r="N369" s="1590">
        <f t="shared" si="5"/>
        <v>0</v>
      </c>
    </row>
    <row r="370" spans="2:14">
      <c r="B370" s="1583"/>
      <c r="C370" s="1583"/>
      <c r="D370" s="1586">
        <v>2220100</v>
      </c>
      <c r="E370" s="1587" t="s">
        <v>62</v>
      </c>
      <c r="F370" s="1511">
        <v>1240000</v>
      </c>
      <c r="H370" s="1583"/>
      <c r="I370" s="1583"/>
      <c r="J370" s="1586">
        <v>2220100</v>
      </c>
      <c r="K370" s="1587" t="s">
        <v>62</v>
      </c>
      <c r="L370" s="1511">
        <v>1240000</v>
      </c>
      <c r="N370" s="1511">
        <f t="shared" si="5"/>
        <v>0</v>
      </c>
    </row>
    <row r="371" spans="2:14">
      <c r="B371" s="1583"/>
      <c r="C371" s="1583"/>
      <c r="D371" s="1588">
        <v>2220101</v>
      </c>
      <c r="E371" s="1589" t="s">
        <v>85</v>
      </c>
      <c r="F371" s="1590">
        <v>1240000</v>
      </c>
      <c r="H371" s="1583"/>
      <c r="I371" s="1583"/>
      <c r="J371" s="1588">
        <v>2220101</v>
      </c>
      <c r="K371" s="1589" t="s">
        <v>85</v>
      </c>
      <c r="L371" s="1590">
        <v>1240000</v>
      </c>
      <c r="N371" s="1590">
        <f t="shared" si="5"/>
        <v>0</v>
      </c>
    </row>
    <row r="372" spans="2:14">
      <c r="B372" s="1583"/>
      <c r="C372" s="1583"/>
      <c r="D372" s="1586">
        <v>2220200</v>
      </c>
      <c r="E372" s="1587" t="s">
        <v>86</v>
      </c>
      <c r="F372" s="1511">
        <v>600000</v>
      </c>
      <c r="H372" s="1583"/>
      <c r="I372" s="1583"/>
      <c r="J372" s="1586">
        <v>2220200</v>
      </c>
      <c r="K372" s="1587" t="s">
        <v>86</v>
      </c>
      <c r="L372" s="1511">
        <v>600000</v>
      </c>
      <c r="N372" s="1511">
        <f t="shared" si="5"/>
        <v>0</v>
      </c>
    </row>
    <row r="373" spans="2:14">
      <c r="B373" s="1583"/>
      <c r="C373" s="1583"/>
      <c r="D373" s="1588">
        <v>2220202</v>
      </c>
      <c r="E373" s="1589" t="s">
        <v>130</v>
      </c>
      <c r="F373" s="1590">
        <v>600000</v>
      </c>
      <c r="H373" s="1583"/>
      <c r="I373" s="1583"/>
      <c r="J373" s="1588">
        <v>2220202</v>
      </c>
      <c r="K373" s="1589" t="s">
        <v>130</v>
      </c>
      <c r="L373" s="1590">
        <v>600000</v>
      </c>
      <c r="N373" s="1590">
        <f t="shared" si="5"/>
        <v>0</v>
      </c>
    </row>
    <row r="374" spans="2:14">
      <c r="B374" s="1583"/>
      <c r="C374" s="1583"/>
      <c r="D374" s="1586">
        <v>3111000</v>
      </c>
      <c r="E374" s="1587" t="s">
        <v>69</v>
      </c>
      <c r="F374" s="1511">
        <v>700000</v>
      </c>
      <c r="H374" s="1583"/>
      <c r="I374" s="1583"/>
      <c r="J374" s="1586">
        <v>3111000</v>
      </c>
      <c r="K374" s="1587" t="s">
        <v>69</v>
      </c>
      <c r="L374" s="1511">
        <v>700000</v>
      </c>
      <c r="N374" s="1511">
        <f t="shared" si="5"/>
        <v>0</v>
      </c>
    </row>
    <row r="375" spans="2:14">
      <c r="B375" s="1583"/>
      <c r="C375" s="1583"/>
      <c r="D375" s="1588">
        <v>3111001</v>
      </c>
      <c r="E375" s="1589" t="s">
        <v>70</v>
      </c>
      <c r="F375" s="1590">
        <v>300000</v>
      </c>
      <c r="H375" s="1583"/>
      <c r="I375" s="1583"/>
      <c r="J375" s="1588">
        <v>3111001</v>
      </c>
      <c r="K375" s="1589" t="s">
        <v>70</v>
      </c>
      <c r="L375" s="1590">
        <v>300000</v>
      </c>
      <c r="N375" s="1590">
        <f t="shared" si="5"/>
        <v>0</v>
      </c>
    </row>
    <row r="376" spans="2:14">
      <c r="B376" s="1583"/>
      <c r="C376" s="1583"/>
      <c r="D376" s="1588">
        <v>3111002</v>
      </c>
      <c r="E376" s="1589" t="s">
        <v>71</v>
      </c>
      <c r="F376" s="1590">
        <v>400000</v>
      </c>
      <c r="H376" s="1583"/>
      <c r="I376" s="1583"/>
      <c r="J376" s="1588">
        <v>3111002</v>
      </c>
      <c r="K376" s="1589" t="s">
        <v>71</v>
      </c>
      <c r="L376" s="1590">
        <v>400000</v>
      </c>
      <c r="N376" s="1590">
        <f t="shared" si="5"/>
        <v>0</v>
      </c>
    </row>
    <row r="377" spans="2:14">
      <c r="B377" s="1583"/>
      <c r="C377" s="1583"/>
      <c r="D377" s="55"/>
      <c r="E377" s="1518"/>
      <c r="F377" s="1527">
        <v>0</v>
      </c>
      <c r="H377" s="1583"/>
      <c r="I377" s="1583"/>
      <c r="J377" s="55"/>
      <c r="K377" s="1518"/>
      <c r="L377" s="1527">
        <v>0</v>
      </c>
      <c r="N377" s="1527">
        <f t="shared" si="5"/>
        <v>0</v>
      </c>
    </row>
    <row r="378" spans="2:14">
      <c r="B378" s="1583"/>
      <c r="C378" s="1583"/>
      <c r="D378" s="19"/>
      <c r="E378" s="20"/>
      <c r="F378" s="1516"/>
      <c r="H378" s="1583"/>
      <c r="I378" s="1583"/>
      <c r="J378" s="19"/>
      <c r="K378" s="20"/>
      <c r="L378" s="1516"/>
      <c r="N378" s="1516">
        <f t="shared" si="5"/>
        <v>0</v>
      </c>
    </row>
    <row r="379" spans="2:14">
      <c r="B379" s="1583"/>
      <c r="C379" s="1583"/>
      <c r="D379" s="1534"/>
      <c r="E379" s="1529" t="s">
        <v>99</v>
      </c>
      <c r="F379" s="1511">
        <v>15023399</v>
      </c>
      <c r="H379" s="1583"/>
      <c r="I379" s="1583"/>
      <c r="J379" s="1534"/>
      <c r="K379" s="1529" t="s">
        <v>99</v>
      </c>
      <c r="L379" s="1511">
        <v>15023399</v>
      </c>
      <c r="N379" s="1511">
        <f t="shared" si="5"/>
        <v>0</v>
      </c>
    </row>
    <row r="380" spans="2:14">
      <c r="B380" s="1583"/>
      <c r="C380" s="1583"/>
      <c r="D380" s="1534"/>
      <c r="E380" s="1529" t="s">
        <v>84</v>
      </c>
      <c r="F380" s="1511">
        <v>15023399</v>
      </c>
      <c r="H380" s="1583"/>
      <c r="I380" s="1583"/>
      <c r="J380" s="1534"/>
      <c r="K380" s="1529" t="s">
        <v>84</v>
      </c>
      <c r="L380" s="1511">
        <v>15023399</v>
      </c>
      <c r="N380" s="1511">
        <f t="shared" si="5"/>
        <v>0</v>
      </c>
    </row>
    <row r="381" spans="2:14">
      <c r="B381" s="1583"/>
      <c r="C381" s="1583"/>
      <c r="D381" s="1507"/>
      <c r="E381" s="1529" t="s">
        <v>1564</v>
      </c>
      <c r="F381" s="1527">
        <v>34662399</v>
      </c>
      <c r="H381" s="1583"/>
      <c r="I381" s="1583"/>
      <c r="J381" s="1507"/>
      <c r="K381" s="1529" t="s">
        <v>1564</v>
      </c>
      <c r="L381" s="1527">
        <v>34662399</v>
      </c>
      <c r="N381" s="1527">
        <f t="shared" si="5"/>
        <v>0</v>
      </c>
    </row>
    <row r="382" spans="2:14">
      <c r="B382" s="1583"/>
      <c r="C382" s="1583"/>
      <c r="D382" s="1507"/>
      <c r="E382" s="1529"/>
      <c r="F382" s="1527"/>
      <c r="H382" s="1583"/>
      <c r="I382" s="1583"/>
      <c r="J382" s="1507"/>
      <c r="K382" s="1529"/>
      <c r="L382" s="1527"/>
      <c r="N382" s="1527">
        <f t="shared" si="5"/>
        <v>0</v>
      </c>
    </row>
    <row r="383" spans="2:14">
      <c r="B383" s="1583"/>
      <c r="C383" s="1583"/>
      <c r="D383" s="1507"/>
      <c r="E383" s="1508" t="s">
        <v>1565</v>
      </c>
      <c r="F383" s="1527">
        <v>928820422</v>
      </c>
      <c r="H383" s="1583"/>
      <c r="I383" s="1583"/>
      <c r="J383" s="1507"/>
      <c r="K383" s="1508" t="s">
        <v>1565</v>
      </c>
      <c r="L383" s="1527">
        <v>893820422</v>
      </c>
      <c r="N383" s="1527">
        <f t="shared" si="5"/>
        <v>35000000</v>
      </c>
    </row>
    <row r="384" spans="2:14">
      <c r="B384" s="1583"/>
      <c r="C384" s="1583"/>
      <c r="D384" s="61"/>
      <c r="E384" s="1508" t="s">
        <v>1566</v>
      </c>
      <c r="F384" s="1527">
        <v>744974535</v>
      </c>
      <c r="H384" s="1583"/>
      <c r="I384" s="1583"/>
      <c r="J384" s="61"/>
      <c r="K384" s="1508" t="s">
        <v>1566</v>
      </c>
      <c r="L384" s="1527">
        <v>744974535</v>
      </c>
      <c r="N384" s="1527">
        <f t="shared" si="5"/>
        <v>0</v>
      </c>
    </row>
    <row r="385" spans="2:14">
      <c r="B385" s="1583"/>
      <c r="C385" s="1583"/>
      <c r="D385" s="61"/>
      <c r="E385" s="1529" t="s">
        <v>1567</v>
      </c>
      <c r="F385" s="1527">
        <v>1673794957</v>
      </c>
      <c r="H385" s="1583"/>
      <c r="I385" s="1583"/>
      <c r="J385" s="61"/>
      <c r="K385" s="1529" t="s">
        <v>1567</v>
      </c>
      <c r="L385" s="1527">
        <v>1638794957</v>
      </c>
      <c r="N385" s="1527">
        <f t="shared" si="5"/>
        <v>35000000</v>
      </c>
    </row>
    <row r="386" spans="2:14">
      <c r="B386" s="1583"/>
      <c r="C386" s="1583"/>
      <c r="D386" s="1534"/>
      <c r="E386" s="1580"/>
      <c r="F386" s="1530"/>
      <c r="H386" s="1583"/>
      <c r="I386" s="1583"/>
      <c r="J386" s="1534"/>
      <c r="K386" s="1580"/>
      <c r="L386" s="1530"/>
      <c r="N386" s="1530">
        <f t="shared" si="5"/>
        <v>0</v>
      </c>
    </row>
    <row r="387" spans="2:14">
      <c r="B387" s="1583"/>
      <c r="C387" s="1583" t="s">
        <v>100</v>
      </c>
      <c r="D387" s="1534" t="s">
        <v>101</v>
      </c>
      <c r="E387" s="1529"/>
      <c r="F387" s="1530"/>
      <c r="H387" s="1583"/>
      <c r="I387" s="1583" t="s">
        <v>100</v>
      </c>
      <c r="J387" s="1534" t="s">
        <v>101</v>
      </c>
      <c r="K387" s="1529"/>
      <c r="L387" s="1530"/>
      <c r="N387" s="1530">
        <f t="shared" si="5"/>
        <v>0</v>
      </c>
    </row>
    <row r="388" spans="2:14">
      <c r="B388" s="27"/>
      <c r="C388" s="27" t="s">
        <v>100</v>
      </c>
      <c r="D388" s="1577" t="s">
        <v>101</v>
      </c>
      <c r="E388" s="1541"/>
      <c r="F388" s="1530"/>
      <c r="H388" s="27"/>
      <c r="I388" s="27" t="s">
        <v>100</v>
      </c>
      <c r="J388" s="1577" t="s">
        <v>101</v>
      </c>
      <c r="K388" s="1541"/>
      <c r="L388" s="1530"/>
      <c r="N388" s="1530">
        <f t="shared" si="5"/>
        <v>0</v>
      </c>
    </row>
    <row r="389" spans="2:14">
      <c r="B389" s="46"/>
      <c r="C389" s="46"/>
      <c r="D389" s="1577" t="s">
        <v>1266</v>
      </c>
      <c r="E389" s="1592"/>
      <c r="F389" s="1513"/>
      <c r="H389" s="46"/>
      <c r="I389" s="46"/>
      <c r="J389" s="1577" t="s">
        <v>1266</v>
      </c>
      <c r="K389" s="1592"/>
      <c r="L389" s="1513"/>
      <c r="N389" s="1513">
        <f t="shared" si="5"/>
        <v>0</v>
      </c>
    </row>
    <row r="390" spans="2:14">
      <c r="B390" s="46"/>
      <c r="C390" s="46"/>
      <c r="D390" s="1577" t="s">
        <v>1675</v>
      </c>
      <c r="E390" s="1592"/>
      <c r="F390" s="1511"/>
      <c r="H390" s="46"/>
      <c r="I390" s="46"/>
      <c r="J390" s="1577" t="s">
        <v>1675</v>
      </c>
      <c r="K390" s="1592"/>
      <c r="L390" s="1511"/>
      <c r="N390" s="1511">
        <f t="shared" si="5"/>
        <v>0</v>
      </c>
    </row>
    <row r="391" spans="2:14">
      <c r="B391" s="46"/>
      <c r="C391" s="46"/>
      <c r="D391" s="1545">
        <v>2210100</v>
      </c>
      <c r="E391" s="1546" t="s">
        <v>16</v>
      </c>
      <c r="F391" s="1593">
        <v>6000</v>
      </c>
      <c r="H391" s="46"/>
      <c r="I391" s="46"/>
      <c r="J391" s="1545">
        <v>2210100</v>
      </c>
      <c r="K391" s="1546" t="s">
        <v>16</v>
      </c>
      <c r="L391" s="1593">
        <v>6000</v>
      </c>
      <c r="N391" s="1593">
        <f t="shared" si="5"/>
        <v>0</v>
      </c>
    </row>
    <row r="392" spans="2:14">
      <c r="B392" s="46"/>
      <c r="C392" s="46"/>
      <c r="D392" s="80">
        <v>2210101</v>
      </c>
      <c r="E392" s="158" t="s">
        <v>17</v>
      </c>
      <c r="F392" s="169">
        <v>3400</v>
      </c>
      <c r="H392" s="46"/>
      <c r="I392" s="46"/>
      <c r="J392" s="80">
        <v>2210101</v>
      </c>
      <c r="K392" s="158" t="s">
        <v>17</v>
      </c>
      <c r="L392" s="169">
        <v>3400</v>
      </c>
      <c r="N392" s="169">
        <f t="shared" ref="N392:N455" si="6">F392-L392</f>
        <v>0</v>
      </c>
    </row>
    <row r="393" spans="2:14">
      <c r="B393" s="46"/>
      <c r="C393" s="46"/>
      <c r="D393" s="80">
        <v>2210102</v>
      </c>
      <c r="E393" s="158" t="s">
        <v>18</v>
      </c>
      <c r="F393" s="169">
        <v>2600</v>
      </c>
      <c r="H393" s="46"/>
      <c r="I393" s="46"/>
      <c r="J393" s="80">
        <v>2210102</v>
      </c>
      <c r="K393" s="158" t="s">
        <v>18</v>
      </c>
      <c r="L393" s="169">
        <v>2600</v>
      </c>
      <c r="N393" s="169">
        <f t="shared" si="6"/>
        <v>0</v>
      </c>
    </row>
    <row r="394" spans="2:14">
      <c r="B394" s="27"/>
      <c r="C394" s="27"/>
      <c r="D394" s="1509">
        <v>2210200</v>
      </c>
      <c r="E394" s="1592" t="s">
        <v>20</v>
      </c>
      <c r="F394" s="1593">
        <v>301200</v>
      </c>
      <c r="H394" s="27"/>
      <c r="I394" s="27"/>
      <c r="J394" s="1509">
        <v>2210200</v>
      </c>
      <c r="K394" s="1592" t="s">
        <v>20</v>
      </c>
      <c r="L394" s="1593">
        <v>301200</v>
      </c>
      <c r="N394" s="1593">
        <f t="shared" si="6"/>
        <v>0</v>
      </c>
    </row>
    <row r="395" spans="2:14">
      <c r="B395" s="46"/>
      <c r="C395" s="46"/>
      <c r="D395" s="28">
        <v>2210201</v>
      </c>
      <c r="E395" s="1594" t="s">
        <v>21</v>
      </c>
      <c r="F395" s="169">
        <v>300000</v>
      </c>
      <c r="H395" s="46"/>
      <c r="I395" s="46"/>
      <c r="J395" s="28">
        <v>2210201</v>
      </c>
      <c r="K395" s="1594" t="s">
        <v>21</v>
      </c>
      <c r="L395" s="169">
        <v>300000</v>
      </c>
      <c r="N395" s="169">
        <f t="shared" si="6"/>
        <v>0</v>
      </c>
    </row>
    <row r="396" spans="2:14">
      <c r="B396" s="46"/>
      <c r="C396" s="46"/>
      <c r="D396" s="28">
        <v>2210202</v>
      </c>
      <c r="E396" s="1594" t="s">
        <v>22</v>
      </c>
      <c r="F396" s="169">
        <v>1200</v>
      </c>
      <c r="H396" s="46"/>
      <c r="I396" s="46"/>
      <c r="J396" s="28">
        <v>2210202</v>
      </c>
      <c r="K396" s="1594" t="s">
        <v>22</v>
      </c>
      <c r="L396" s="169">
        <v>1200</v>
      </c>
      <c r="N396" s="169">
        <f t="shared" si="6"/>
        <v>0</v>
      </c>
    </row>
    <row r="397" spans="2:14">
      <c r="B397" s="27"/>
      <c r="C397" s="27"/>
      <c r="D397" s="1509" t="s">
        <v>102</v>
      </c>
      <c r="E397" s="1592" t="s">
        <v>24</v>
      </c>
      <c r="F397" s="1593">
        <v>1249150</v>
      </c>
      <c r="H397" s="27"/>
      <c r="I397" s="27"/>
      <c r="J397" s="1509" t="s">
        <v>102</v>
      </c>
      <c r="K397" s="1592" t="s">
        <v>24</v>
      </c>
      <c r="L397" s="1593">
        <v>1249150</v>
      </c>
      <c r="N397" s="1593">
        <f t="shared" si="6"/>
        <v>0</v>
      </c>
    </row>
    <row r="398" spans="2:14">
      <c r="B398" s="46"/>
      <c r="C398" s="46"/>
      <c r="D398" s="28">
        <v>2210301</v>
      </c>
      <c r="E398" s="1594" t="s">
        <v>25</v>
      </c>
      <c r="F398" s="169">
        <v>345000</v>
      </c>
      <c r="H398" s="46"/>
      <c r="I398" s="46"/>
      <c r="J398" s="28">
        <v>2210301</v>
      </c>
      <c r="K398" s="1594" t="s">
        <v>25</v>
      </c>
      <c r="L398" s="169">
        <v>345000</v>
      </c>
      <c r="N398" s="169">
        <f t="shared" si="6"/>
        <v>0</v>
      </c>
    </row>
    <row r="399" spans="2:14">
      <c r="B399" s="46"/>
      <c r="C399" s="46"/>
      <c r="D399" s="28">
        <v>2210302</v>
      </c>
      <c r="E399" s="1594" t="s">
        <v>26</v>
      </c>
      <c r="F399" s="169">
        <v>342000</v>
      </c>
      <c r="H399" s="46"/>
      <c r="I399" s="46"/>
      <c r="J399" s="28">
        <v>2210302</v>
      </c>
      <c r="K399" s="1594" t="s">
        <v>26</v>
      </c>
      <c r="L399" s="169">
        <v>342000</v>
      </c>
      <c r="N399" s="169">
        <f t="shared" si="6"/>
        <v>0</v>
      </c>
    </row>
    <row r="400" spans="2:14">
      <c r="B400" s="46"/>
      <c r="C400" s="46"/>
      <c r="D400" s="28">
        <v>2210303</v>
      </c>
      <c r="E400" s="1594" t="s">
        <v>27</v>
      </c>
      <c r="F400" s="169">
        <v>562150</v>
      </c>
      <c r="H400" s="46"/>
      <c r="I400" s="46"/>
      <c r="J400" s="28">
        <v>2210303</v>
      </c>
      <c r="K400" s="1594" t="s">
        <v>27</v>
      </c>
      <c r="L400" s="169">
        <v>562150</v>
      </c>
      <c r="N400" s="169">
        <f t="shared" si="6"/>
        <v>0</v>
      </c>
    </row>
    <row r="401" spans="2:14">
      <c r="B401" s="1509"/>
      <c r="C401" s="1509"/>
      <c r="D401" s="1595">
        <v>2211000</v>
      </c>
      <c r="E401" s="1596" t="s">
        <v>103</v>
      </c>
      <c r="F401" s="1593">
        <v>400000</v>
      </c>
      <c r="H401" s="1509"/>
      <c r="I401" s="1509"/>
      <c r="J401" s="1597">
        <v>2211000</v>
      </c>
      <c r="K401" s="1596" t="s">
        <v>103</v>
      </c>
      <c r="L401" s="1593">
        <v>400000</v>
      </c>
      <c r="N401" s="1593">
        <f t="shared" si="6"/>
        <v>0</v>
      </c>
    </row>
    <row r="402" spans="2:14">
      <c r="B402" s="1509"/>
      <c r="C402" s="1509"/>
      <c r="D402" s="1598">
        <v>2211016</v>
      </c>
      <c r="E402" s="1599" t="s">
        <v>104</v>
      </c>
      <c r="F402" s="169">
        <v>400000</v>
      </c>
      <c r="H402" s="1509"/>
      <c r="I402" s="1509"/>
      <c r="J402" s="105">
        <v>2211016</v>
      </c>
      <c r="K402" s="1599" t="s">
        <v>104</v>
      </c>
      <c r="L402" s="169">
        <v>400000</v>
      </c>
      <c r="N402" s="169">
        <f t="shared" si="6"/>
        <v>0</v>
      </c>
    </row>
    <row r="403" spans="2:14">
      <c r="B403" s="27"/>
      <c r="C403" s="27"/>
      <c r="D403" s="1509">
        <v>2210400</v>
      </c>
      <c r="E403" s="1592" t="s">
        <v>29</v>
      </c>
      <c r="F403" s="1593">
        <v>613000</v>
      </c>
      <c r="H403" s="27"/>
      <c r="I403" s="27"/>
      <c r="J403" s="1509">
        <v>2210400</v>
      </c>
      <c r="K403" s="1592" t="s">
        <v>29</v>
      </c>
      <c r="L403" s="1593">
        <v>613000</v>
      </c>
      <c r="N403" s="1593">
        <f t="shared" si="6"/>
        <v>0</v>
      </c>
    </row>
    <row r="404" spans="2:14">
      <c r="B404" s="46"/>
      <c r="C404" s="46"/>
      <c r="D404" s="28">
        <v>2210401</v>
      </c>
      <c r="E404" s="1594" t="s">
        <v>25</v>
      </c>
      <c r="F404" s="169">
        <v>213000</v>
      </c>
      <c r="H404" s="46"/>
      <c r="I404" s="46"/>
      <c r="J404" s="28">
        <v>2210401</v>
      </c>
      <c r="K404" s="1594" t="s">
        <v>25</v>
      </c>
      <c r="L404" s="169">
        <v>213000</v>
      </c>
      <c r="N404" s="169">
        <f t="shared" si="6"/>
        <v>0</v>
      </c>
    </row>
    <row r="405" spans="2:14">
      <c r="B405" s="46"/>
      <c r="C405" s="46"/>
      <c r="D405" s="28">
        <v>2210402</v>
      </c>
      <c r="E405" s="1594" t="s">
        <v>30</v>
      </c>
      <c r="F405" s="169">
        <v>342000</v>
      </c>
      <c r="H405" s="46"/>
      <c r="I405" s="46"/>
      <c r="J405" s="28">
        <v>2210402</v>
      </c>
      <c r="K405" s="1594" t="s">
        <v>30</v>
      </c>
      <c r="L405" s="169">
        <v>342000</v>
      </c>
      <c r="N405" s="169">
        <f t="shared" si="6"/>
        <v>0</v>
      </c>
    </row>
    <row r="406" spans="2:14">
      <c r="B406" s="46"/>
      <c r="C406" s="46"/>
      <c r="D406" s="28">
        <v>2210404</v>
      </c>
      <c r="E406" s="1594" t="s">
        <v>28</v>
      </c>
      <c r="F406" s="169">
        <v>58000</v>
      </c>
      <c r="H406" s="46"/>
      <c r="I406" s="46"/>
      <c r="J406" s="28">
        <v>2210404</v>
      </c>
      <c r="K406" s="1594" t="s">
        <v>28</v>
      </c>
      <c r="L406" s="169">
        <v>58000</v>
      </c>
      <c r="N406" s="169">
        <f t="shared" si="6"/>
        <v>0</v>
      </c>
    </row>
    <row r="407" spans="2:14">
      <c r="B407" s="27"/>
      <c r="C407" s="27"/>
      <c r="D407" s="1509">
        <v>2210500</v>
      </c>
      <c r="E407" s="1592" t="s">
        <v>31</v>
      </c>
      <c r="F407" s="1593">
        <v>1546999.674643755</v>
      </c>
      <c r="H407" s="27"/>
      <c r="I407" s="27"/>
      <c r="J407" s="1509">
        <v>2210500</v>
      </c>
      <c r="K407" s="1592" t="s">
        <v>31</v>
      </c>
      <c r="L407" s="1593">
        <v>1546999.674643755</v>
      </c>
      <c r="N407" s="1593">
        <f t="shared" si="6"/>
        <v>0</v>
      </c>
    </row>
    <row r="408" spans="2:14">
      <c r="B408" s="46"/>
      <c r="C408" s="46"/>
      <c r="D408" s="80">
        <v>2210502</v>
      </c>
      <c r="E408" s="158" t="s">
        <v>105</v>
      </c>
      <c r="F408" s="169">
        <v>750000</v>
      </c>
      <c r="H408" s="46"/>
      <c r="I408" s="46"/>
      <c r="J408" s="80">
        <v>2210502</v>
      </c>
      <c r="K408" s="158" t="s">
        <v>105</v>
      </c>
      <c r="L408" s="169">
        <v>750000</v>
      </c>
      <c r="N408" s="169">
        <f t="shared" si="6"/>
        <v>0</v>
      </c>
    </row>
    <row r="409" spans="2:14">
      <c r="B409" s="46"/>
      <c r="C409" s="46"/>
      <c r="D409" s="28">
        <v>2210503</v>
      </c>
      <c r="E409" s="1594" t="s">
        <v>32</v>
      </c>
      <c r="F409" s="169">
        <v>30000</v>
      </c>
      <c r="H409" s="46"/>
      <c r="I409" s="46"/>
      <c r="J409" s="28">
        <v>2210503</v>
      </c>
      <c r="K409" s="1594" t="s">
        <v>32</v>
      </c>
      <c r="L409" s="169">
        <v>30000</v>
      </c>
      <c r="N409" s="169">
        <f t="shared" si="6"/>
        <v>0</v>
      </c>
    </row>
    <row r="410" spans="2:14">
      <c r="B410" s="46"/>
      <c r="C410" s="46"/>
      <c r="D410" s="80">
        <v>2210504</v>
      </c>
      <c r="E410" s="158" t="s">
        <v>106</v>
      </c>
      <c r="F410" s="169">
        <v>766999.67464375496</v>
      </c>
      <c r="H410" s="46"/>
      <c r="I410" s="46"/>
      <c r="J410" s="80">
        <v>2210504</v>
      </c>
      <c r="K410" s="158" t="s">
        <v>106</v>
      </c>
      <c r="L410" s="169">
        <v>766999.67464375496</v>
      </c>
      <c r="N410" s="169">
        <f t="shared" si="6"/>
        <v>0</v>
      </c>
    </row>
    <row r="411" spans="2:14">
      <c r="B411" s="46"/>
      <c r="C411" s="46"/>
      <c r="D411" s="1509">
        <v>2210700</v>
      </c>
      <c r="E411" s="1592" t="s">
        <v>35</v>
      </c>
      <c r="F411" s="1593">
        <v>580000</v>
      </c>
      <c r="H411" s="46"/>
      <c r="I411" s="46"/>
      <c r="J411" s="1509">
        <v>2210700</v>
      </c>
      <c r="K411" s="1592" t="s">
        <v>35</v>
      </c>
      <c r="L411" s="1593">
        <v>580000</v>
      </c>
      <c r="N411" s="1593">
        <f t="shared" si="6"/>
        <v>0</v>
      </c>
    </row>
    <row r="412" spans="2:14">
      <c r="B412" s="46"/>
      <c r="C412" s="46"/>
      <c r="D412" s="28">
        <v>2210701</v>
      </c>
      <c r="E412" s="1594" t="s">
        <v>36</v>
      </c>
      <c r="F412" s="169">
        <v>123000</v>
      </c>
      <c r="H412" s="46"/>
      <c r="I412" s="46"/>
      <c r="J412" s="28">
        <v>2210701</v>
      </c>
      <c r="K412" s="1594" t="s">
        <v>36</v>
      </c>
      <c r="L412" s="169">
        <v>123000</v>
      </c>
      <c r="N412" s="169">
        <f t="shared" si="6"/>
        <v>0</v>
      </c>
    </row>
    <row r="413" spans="2:14">
      <c r="B413" s="46"/>
      <c r="C413" s="46"/>
      <c r="D413" s="28">
        <v>2210702</v>
      </c>
      <c r="E413" s="1594" t="s">
        <v>95</v>
      </c>
      <c r="F413" s="169">
        <v>235000</v>
      </c>
      <c r="H413" s="46"/>
      <c r="I413" s="46"/>
      <c r="J413" s="28">
        <v>2210702</v>
      </c>
      <c r="K413" s="1594" t="s">
        <v>95</v>
      </c>
      <c r="L413" s="169">
        <v>235000</v>
      </c>
      <c r="N413" s="169">
        <f t="shared" si="6"/>
        <v>0</v>
      </c>
    </row>
    <row r="414" spans="2:14">
      <c r="B414" s="46"/>
      <c r="C414" s="46"/>
      <c r="D414" s="28">
        <v>2210703</v>
      </c>
      <c r="E414" s="1594" t="s">
        <v>107</v>
      </c>
      <c r="F414" s="169">
        <v>116000</v>
      </c>
      <c r="H414" s="46"/>
      <c r="I414" s="46"/>
      <c r="J414" s="28">
        <v>2210703</v>
      </c>
      <c r="K414" s="1594" t="s">
        <v>107</v>
      </c>
      <c r="L414" s="169">
        <v>116000</v>
      </c>
      <c r="N414" s="169">
        <f t="shared" si="6"/>
        <v>0</v>
      </c>
    </row>
    <row r="415" spans="2:14">
      <c r="B415" s="46"/>
      <c r="C415" s="46"/>
      <c r="D415" s="28">
        <v>2210704</v>
      </c>
      <c r="E415" s="1594" t="s">
        <v>38</v>
      </c>
      <c r="F415" s="169">
        <v>23000</v>
      </c>
      <c r="H415" s="46"/>
      <c r="I415" s="46"/>
      <c r="J415" s="28">
        <v>2210704</v>
      </c>
      <c r="K415" s="1594" t="s">
        <v>38</v>
      </c>
      <c r="L415" s="169">
        <v>23000</v>
      </c>
      <c r="N415" s="169">
        <f t="shared" si="6"/>
        <v>0</v>
      </c>
    </row>
    <row r="416" spans="2:14">
      <c r="B416" s="46"/>
      <c r="C416" s="46"/>
      <c r="D416" s="28">
        <v>2210710</v>
      </c>
      <c r="E416" s="1594" t="s">
        <v>39</v>
      </c>
      <c r="F416" s="169">
        <v>23000</v>
      </c>
      <c r="H416" s="46"/>
      <c r="I416" s="46"/>
      <c r="J416" s="28">
        <v>2210710</v>
      </c>
      <c r="K416" s="1594" t="s">
        <v>39</v>
      </c>
      <c r="L416" s="169">
        <v>23000</v>
      </c>
      <c r="N416" s="169">
        <f t="shared" si="6"/>
        <v>0</v>
      </c>
    </row>
    <row r="417" spans="2:14">
      <c r="B417" s="46"/>
      <c r="C417" s="46"/>
      <c r="D417" s="28">
        <v>2210715</v>
      </c>
      <c r="E417" s="1594" t="s">
        <v>40</v>
      </c>
      <c r="F417" s="169">
        <v>60000</v>
      </c>
      <c r="H417" s="46"/>
      <c r="I417" s="46"/>
      <c r="J417" s="28">
        <v>2210715</v>
      </c>
      <c r="K417" s="1594" t="s">
        <v>40</v>
      </c>
      <c r="L417" s="169">
        <v>60000</v>
      </c>
      <c r="N417" s="169">
        <f t="shared" si="6"/>
        <v>0</v>
      </c>
    </row>
    <row r="418" spans="2:14">
      <c r="B418" s="27"/>
      <c r="C418" s="27"/>
      <c r="D418" s="1509">
        <v>2210800</v>
      </c>
      <c r="E418" s="1592" t="s">
        <v>42</v>
      </c>
      <c r="F418" s="1593">
        <v>783000</v>
      </c>
      <c r="H418" s="27"/>
      <c r="I418" s="27"/>
      <c r="J418" s="1509">
        <v>2210800</v>
      </c>
      <c r="K418" s="1592" t="s">
        <v>42</v>
      </c>
      <c r="L418" s="1593">
        <v>783000</v>
      </c>
      <c r="N418" s="1593">
        <f t="shared" si="6"/>
        <v>0</v>
      </c>
    </row>
    <row r="419" spans="2:14">
      <c r="B419" s="46"/>
      <c r="C419" s="46"/>
      <c r="D419" s="28">
        <v>2210801</v>
      </c>
      <c r="E419" s="1594" t="s">
        <v>43</v>
      </c>
      <c r="F419" s="169">
        <v>543000</v>
      </c>
      <c r="H419" s="46"/>
      <c r="I419" s="46"/>
      <c r="J419" s="28">
        <v>2210801</v>
      </c>
      <c r="K419" s="1594" t="s">
        <v>43</v>
      </c>
      <c r="L419" s="169">
        <v>543000</v>
      </c>
      <c r="N419" s="169">
        <f t="shared" si="6"/>
        <v>0</v>
      </c>
    </row>
    <row r="420" spans="2:14">
      <c r="B420" s="46"/>
      <c r="C420" s="46"/>
      <c r="D420" s="28">
        <v>2210802</v>
      </c>
      <c r="E420" s="1594" t="s">
        <v>97</v>
      </c>
      <c r="F420" s="169">
        <v>240000</v>
      </c>
      <c r="H420" s="46"/>
      <c r="I420" s="46"/>
      <c r="J420" s="28">
        <v>2210802</v>
      </c>
      <c r="K420" s="1594" t="s">
        <v>97</v>
      </c>
      <c r="L420" s="169">
        <v>240000</v>
      </c>
      <c r="N420" s="169">
        <f t="shared" si="6"/>
        <v>0</v>
      </c>
    </row>
    <row r="421" spans="2:14">
      <c r="B421" s="27"/>
      <c r="C421" s="27"/>
      <c r="D421" s="1509">
        <v>2211100</v>
      </c>
      <c r="E421" s="1592" t="s">
        <v>51</v>
      </c>
      <c r="F421" s="1593">
        <v>402000</v>
      </c>
      <c r="H421" s="27"/>
      <c r="I421" s="27"/>
      <c r="J421" s="1509">
        <v>2211100</v>
      </c>
      <c r="K421" s="1592" t="s">
        <v>51</v>
      </c>
      <c r="L421" s="1593">
        <v>402000</v>
      </c>
      <c r="N421" s="1593">
        <f t="shared" si="6"/>
        <v>0</v>
      </c>
    </row>
    <row r="422" spans="2:14">
      <c r="B422" s="46"/>
      <c r="C422" s="46"/>
      <c r="D422" s="28">
        <v>2211101</v>
      </c>
      <c r="E422" s="1594" t="s">
        <v>52</v>
      </c>
      <c r="F422" s="169">
        <v>54000</v>
      </c>
      <c r="H422" s="46"/>
      <c r="I422" s="46"/>
      <c r="J422" s="28">
        <v>2211101</v>
      </c>
      <c r="K422" s="1594" t="s">
        <v>52</v>
      </c>
      <c r="L422" s="169">
        <v>54000</v>
      </c>
      <c r="N422" s="169">
        <f t="shared" si="6"/>
        <v>0</v>
      </c>
    </row>
    <row r="423" spans="2:14" ht="30">
      <c r="B423" s="46"/>
      <c r="C423" s="46"/>
      <c r="D423" s="28">
        <v>2211102</v>
      </c>
      <c r="E423" s="1594" t="s">
        <v>108</v>
      </c>
      <c r="F423" s="169">
        <v>0</v>
      </c>
      <c r="H423" s="46"/>
      <c r="I423" s="46"/>
      <c r="J423" s="28">
        <v>2211102</v>
      </c>
      <c r="K423" s="1594" t="s">
        <v>108</v>
      </c>
      <c r="L423" s="169">
        <v>0</v>
      </c>
      <c r="N423" s="169">
        <f t="shared" si="6"/>
        <v>0</v>
      </c>
    </row>
    <row r="424" spans="2:14">
      <c r="B424" s="46"/>
      <c r="C424" s="46"/>
      <c r="D424" s="28">
        <v>2211103</v>
      </c>
      <c r="E424" s="1594" t="s">
        <v>54</v>
      </c>
      <c r="F424" s="169">
        <v>348000</v>
      </c>
      <c r="H424" s="46"/>
      <c r="I424" s="46"/>
      <c r="J424" s="28">
        <v>2211103</v>
      </c>
      <c r="K424" s="1594" t="s">
        <v>54</v>
      </c>
      <c r="L424" s="169">
        <v>348000</v>
      </c>
      <c r="N424" s="169">
        <f t="shared" si="6"/>
        <v>0</v>
      </c>
    </row>
    <row r="425" spans="2:14">
      <c r="B425" s="27"/>
      <c r="C425" s="27"/>
      <c r="D425" s="1509">
        <v>2211200</v>
      </c>
      <c r="E425" s="1592" t="s">
        <v>55</v>
      </c>
      <c r="F425" s="1593">
        <v>432000</v>
      </c>
      <c r="H425" s="27"/>
      <c r="I425" s="27"/>
      <c r="J425" s="1509">
        <v>2211200</v>
      </c>
      <c r="K425" s="1592" t="s">
        <v>55</v>
      </c>
      <c r="L425" s="1593">
        <v>432000</v>
      </c>
      <c r="N425" s="1593">
        <f t="shared" si="6"/>
        <v>0</v>
      </c>
    </row>
    <row r="426" spans="2:14">
      <c r="B426" s="46"/>
      <c r="C426" s="46"/>
      <c r="D426" s="28">
        <v>2211201</v>
      </c>
      <c r="E426" s="1594" t="s">
        <v>56</v>
      </c>
      <c r="F426" s="169">
        <v>432000</v>
      </c>
      <c r="H426" s="46"/>
      <c r="I426" s="46"/>
      <c r="J426" s="28">
        <v>2211201</v>
      </c>
      <c r="K426" s="1594" t="s">
        <v>56</v>
      </c>
      <c r="L426" s="169">
        <v>432000</v>
      </c>
      <c r="N426" s="169">
        <f t="shared" si="6"/>
        <v>0</v>
      </c>
    </row>
    <row r="427" spans="2:14">
      <c r="B427" s="27"/>
      <c r="C427" s="27"/>
      <c r="D427" s="1509" t="s">
        <v>162</v>
      </c>
      <c r="E427" s="1592" t="s">
        <v>57</v>
      </c>
      <c r="F427" s="1600">
        <v>200000</v>
      </c>
      <c r="H427" s="27"/>
      <c r="I427" s="27"/>
      <c r="J427" s="1509" t="s">
        <v>162</v>
      </c>
      <c r="K427" s="1592" t="s">
        <v>57</v>
      </c>
      <c r="L427" s="1600">
        <v>200000</v>
      </c>
      <c r="N427" s="1600">
        <f t="shared" si="6"/>
        <v>0</v>
      </c>
    </row>
    <row r="428" spans="2:14">
      <c r="B428" s="46"/>
      <c r="C428" s="46"/>
      <c r="D428" s="28">
        <v>2211399</v>
      </c>
      <c r="E428" s="1601" t="s">
        <v>1571</v>
      </c>
      <c r="F428" s="169">
        <v>200000</v>
      </c>
      <c r="H428" s="46"/>
      <c r="I428" s="46"/>
      <c r="J428" s="28">
        <v>2211399</v>
      </c>
      <c r="K428" s="1601" t="s">
        <v>1571</v>
      </c>
      <c r="L428" s="169">
        <v>200000</v>
      </c>
      <c r="N428" s="169">
        <f t="shared" si="6"/>
        <v>0</v>
      </c>
    </row>
    <row r="429" spans="2:14">
      <c r="B429" s="27"/>
      <c r="C429" s="27"/>
      <c r="D429" s="1509">
        <v>2220100</v>
      </c>
      <c r="E429" s="1592" t="s">
        <v>62</v>
      </c>
      <c r="F429" s="1593">
        <v>143000</v>
      </c>
      <c r="H429" s="27"/>
      <c r="I429" s="27"/>
      <c r="J429" s="1509">
        <v>2220100</v>
      </c>
      <c r="K429" s="1592" t="s">
        <v>62</v>
      </c>
      <c r="L429" s="1593">
        <v>143000</v>
      </c>
      <c r="N429" s="1593">
        <f t="shared" si="6"/>
        <v>0</v>
      </c>
    </row>
    <row r="430" spans="2:14">
      <c r="B430" s="46"/>
      <c r="C430" s="46"/>
      <c r="D430" s="28">
        <v>2220101</v>
      </c>
      <c r="E430" s="1594" t="s">
        <v>85</v>
      </c>
      <c r="F430" s="169">
        <v>143000</v>
      </c>
      <c r="H430" s="46"/>
      <c r="I430" s="46"/>
      <c r="J430" s="28">
        <v>2220101</v>
      </c>
      <c r="K430" s="1594" t="s">
        <v>85</v>
      </c>
      <c r="L430" s="169">
        <v>143000</v>
      </c>
      <c r="N430" s="169">
        <f t="shared" si="6"/>
        <v>0</v>
      </c>
    </row>
    <row r="431" spans="2:14">
      <c r="B431" s="27"/>
      <c r="C431" s="27"/>
      <c r="D431" s="1545">
        <v>2220200</v>
      </c>
      <c r="E431" s="1546" t="s">
        <v>124</v>
      </c>
      <c r="F431" s="1600">
        <v>96000</v>
      </c>
      <c r="H431" s="27"/>
      <c r="I431" s="27"/>
      <c r="J431" s="1545">
        <v>2220200</v>
      </c>
      <c r="K431" s="1546" t="s">
        <v>124</v>
      </c>
      <c r="L431" s="1600">
        <v>96000</v>
      </c>
      <c r="N431" s="1600">
        <f t="shared" si="6"/>
        <v>0</v>
      </c>
    </row>
    <row r="432" spans="2:14">
      <c r="B432" s="46"/>
      <c r="C432" s="46"/>
      <c r="D432" s="80">
        <v>2220202</v>
      </c>
      <c r="E432" s="158" t="s">
        <v>87</v>
      </c>
      <c r="F432" s="169">
        <v>58000</v>
      </c>
      <c r="H432" s="46"/>
      <c r="I432" s="46"/>
      <c r="J432" s="80">
        <v>2220202</v>
      </c>
      <c r="K432" s="158" t="s">
        <v>87</v>
      </c>
      <c r="L432" s="169">
        <v>58000</v>
      </c>
      <c r="N432" s="169">
        <f t="shared" si="6"/>
        <v>0</v>
      </c>
    </row>
    <row r="433" spans="2:14">
      <c r="B433" s="46"/>
      <c r="C433" s="46"/>
      <c r="D433" s="80">
        <v>2220205</v>
      </c>
      <c r="E433" s="158" t="s">
        <v>125</v>
      </c>
      <c r="F433" s="169">
        <v>38000</v>
      </c>
      <c r="H433" s="46"/>
      <c r="I433" s="46"/>
      <c r="J433" s="80">
        <v>2220205</v>
      </c>
      <c r="K433" s="158" t="s">
        <v>125</v>
      </c>
      <c r="L433" s="169">
        <v>38000</v>
      </c>
      <c r="N433" s="169">
        <f t="shared" si="6"/>
        <v>0</v>
      </c>
    </row>
    <row r="434" spans="2:14">
      <c r="B434" s="27"/>
      <c r="C434" s="27"/>
      <c r="D434" s="1509">
        <v>3111000</v>
      </c>
      <c r="E434" s="1592" t="s">
        <v>69</v>
      </c>
      <c r="F434" s="1593">
        <v>268000</v>
      </c>
      <c r="H434" s="27"/>
      <c r="I434" s="27"/>
      <c r="J434" s="1509">
        <v>3111000</v>
      </c>
      <c r="K434" s="1592" t="s">
        <v>69</v>
      </c>
      <c r="L434" s="1593">
        <v>268000</v>
      </c>
      <c r="N434" s="1593">
        <f t="shared" si="6"/>
        <v>0</v>
      </c>
    </row>
    <row r="435" spans="2:14">
      <c r="B435" s="46"/>
      <c r="C435" s="46"/>
      <c r="D435" s="28" t="s">
        <v>98</v>
      </c>
      <c r="E435" s="1594" t="s">
        <v>70</v>
      </c>
      <c r="F435" s="169">
        <v>123000</v>
      </c>
      <c r="H435" s="46"/>
      <c r="I435" s="46"/>
      <c r="J435" s="28" t="s">
        <v>98</v>
      </c>
      <c r="K435" s="1594" t="s">
        <v>70</v>
      </c>
      <c r="L435" s="169">
        <v>123000</v>
      </c>
      <c r="N435" s="169">
        <f t="shared" si="6"/>
        <v>0</v>
      </c>
    </row>
    <row r="436" spans="2:14">
      <c r="B436" s="46"/>
      <c r="C436" s="46"/>
      <c r="D436" s="28">
        <v>3111002</v>
      </c>
      <c r="E436" s="1542" t="s">
        <v>71</v>
      </c>
      <c r="F436" s="169">
        <v>145000</v>
      </c>
      <c r="H436" s="46"/>
      <c r="I436" s="46"/>
      <c r="J436" s="28">
        <v>3111002</v>
      </c>
      <c r="K436" s="1542" t="s">
        <v>71</v>
      </c>
      <c r="L436" s="169">
        <v>145000</v>
      </c>
      <c r="N436" s="169">
        <f t="shared" si="6"/>
        <v>0</v>
      </c>
    </row>
    <row r="437" spans="2:14" ht="30">
      <c r="B437" s="46"/>
      <c r="C437" s="46"/>
      <c r="D437" s="28" t="s">
        <v>1572</v>
      </c>
      <c r="E437" s="1542" t="s">
        <v>1573</v>
      </c>
      <c r="F437" s="169">
        <v>0</v>
      </c>
      <c r="H437" s="46"/>
      <c r="I437" s="46"/>
      <c r="J437" s="28" t="s">
        <v>1572</v>
      </c>
      <c r="K437" s="1542" t="s">
        <v>1573</v>
      </c>
      <c r="L437" s="169">
        <v>0</v>
      </c>
      <c r="N437" s="169">
        <f t="shared" si="6"/>
        <v>0</v>
      </c>
    </row>
    <row r="438" spans="2:14">
      <c r="B438" s="27"/>
      <c r="C438" s="27"/>
      <c r="D438" s="1602"/>
      <c r="E438" s="1541"/>
      <c r="F438" s="1603">
        <v>0</v>
      </c>
      <c r="H438" s="27"/>
      <c r="I438" s="27"/>
      <c r="J438" s="1602"/>
      <c r="K438" s="1541"/>
      <c r="L438" s="1603">
        <v>0</v>
      </c>
      <c r="N438" s="1603">
        <f t="shared" si="6"/>
        <v>0</v>
      </c>
    </row>
    <row r="439" spans="2:14">
      <c r="B439" s="46"/>
      <c r="C439" s="46"/>
      <c r="D439" s="1604"/>
      <c r="E439" s="1542"/>
      <c r="F439" s="169">
        <v>0</v>
      </c>
      <c r="H439" s="46"/>
      <c r="I439" s="46"/>
      <c r="J439" s="1604"/>
      <c r="K439" s="1542"/>
      <c r="L439" s="169">
        <v>0</v>
      </c>
      <c r="N439" s="169">
        <f t="shared" si="6"/>
        <v>0</v>
      </c>
    </row>
    <row r="440" spans="2:14">
      <c r="B440" s="46"/>
      <c r="C440" s="46"/>
      <c r="D440" s="1605"/>
      <c r="E440" s="1592" t="s">
        <v>99</v>
      </c>
      <c r="F440" s="1593">
        <v>7020349.674643755</v>
      </c>
      <c r="H440" s="46"/>
      <c r="I440" s="46"/>
      <c r="J440" s="1605"/>
      <c r="K440" s="1592" t="s">
        <v>99</v>
      </c>
      <c r="L440" s="1593">
        <v>7020349.674643755</v>
      </c>
      <c r="N440" s="1593">
        <f t="shared" si="6"/>
        <v>0</v>
      </c>
    </row>
    <row r="441" spans="2:14">
      <c r="B441" s="46"/>
      <c r="C441" s="46"/>
      <c r="D441" s="1605"/>
      <c r="E441" s="1541" t="s">
        <v>84</v>
      </c>
      <c r="F441" s="1593">
        <v>7020349.674643755</v>
      </c>
      <c r="H441" s="46"/>
      <c r="I441" s="46"/>
      <c r="J441" s="1605"/>
      <c r="K441" s="1541" t="s">
        <v>84</v>
      </c>
      <c r="L441" s="1593">
        <v>7020349.674643755</v>
      </c>
      <c r="N441" s="1593">
        <f t="shared" si="6"/>
        <v>0</v>
      </c>
    </row>
    <row r="442" spans="2:14">
      <c r="B442" s="46"/>
      <c r="C442" s="46"/>
      <c r="D442" s="1605"/>
      <c r="E442" s="1541"/>
      <c r="F442" s="1593"/>
      <c r="H442" s="46"/>
      <c r="I442" s="46"/>
      <c r="J442" s="1605"/>
      <c r="K442" s="1541"/>
      <c r="L442" s="1593"/>
      <c r="N442" s="1593">
        <f t="shared" si="6"/>
        <v>0</v>
      </c>
    </row>
    <row r="443" spans="2:14">
      <c r="B443" s="46"/>
      <c r="C443" s="46"/>
      <c r="D443" s="1577" t="s">
        <v>109</v>
      </c>
      <c r="E443" s="1592"/>
      <c r="F443" s="1606"/>
      <c r="H443" s="46"/>
      <c r="I443" s="46"/>
      <c r="J443" s="1577" t="s">
        <v>109</v>
      </c>
      <c r="K443" s="1592"/>
      <c r="L443" s="1606"/>
      <c r="N443" s="1606">
        <f t="shared" si="6"/>
        <v>0</v>
      </c>
    </row>
    <row r="444" spans="2:14">
      <c r="B444" s="46"/>
      <c r="C444" s="46"/>
      <c r="D444" s="1577" t="s">
        <v>109</v>
      </c>
      <c r="E444" s="1592"/>
      <c r="F444" s="1593"/>
      <c r="H444" s="46"/>
      <c r="I444" s="46"/>
      <c r="J444" s="1577" t="s">
        <v>109</v>
      </c>
      <c r="K444" s="1592"/>
      <c r="L444" s="1593"/>
      <c r="N444" s="1593">
        <f t="shared" si="6"/>
        <v>0</v>
      </c>
    </row>
    <row r="445" spans="2:14">
      <c r="B445" s="27"/>
      <c r="C445" s="27"/>
      <c r="D445" s="1509">
        <v>2210200</v>
      </c>
      <c r="E445" s="1592" t="s">
        <v>20</v>
      </c>
      <c r="F445" s="1593">
        <v>194000</v>
      </c>
      <c r="H445" s="27"/>
      <c r="I445" s="27"/>
      <c r="J445" s="1509">
        <v>2210200</v>
      </c>
      <c r="K445" s="1592" t="s">
        <v>20</v>
      </c>
      <c r="L445" s="1593">
        <v>194000</v>
      </c>
      <c r="N445" s="1593">
        <f t="shared" si="6"/>
        <v>0</v>
      </c>
    </row>
    <row r="446" spans="2:14">
      <c r="B446" s="46"/>
      <c r="C446" s="46"/>
      <c r="D446" s="28">
        <v>2210201</v>
      </c>
      <c r="E446" s="1594" t="s">
        <v>21</v>
      </c>
      <c r="F446" s="169">
        <v>174000</v>
      </c>
      <c r="H446" s="46"/>
      <c r="I446" s="46"/>
      <c r="J446" s="28">
        <v>2210201</v>
      </c>
      <c r="K446" s="1594" t="s">
        <v>21</v>
      </c>
      <c r="L446" s="169">
        <v>174000</v>
      </c>
      <c r="N446" s="169">
        <f t="shared" si="6"/>
        <v>0</v>
      </c>
    </row>
    <row r="447" spans="2:14">
      <c r="B447" s="46"/>
      <c r="C447" s="46"/>
      <c r="D447" s="28">
        <v>2210202</v>
      </c>
      <c r="E447" s="1594" t="s">
        <v>22</v>
      </c>
      <c r="F447" s="169">
        <v>20000</v>
      </c>
      <c r="H447" s="46"/>
      <c r="I447" s="46"/>
      <c r="J447" s="28">
        <v>2210202</v>
      </c>
      <c r="K447" s="1594" t="s">
        <v>22</v>
      </c>
      <c r="L447" s="169">
        <v>20000</v>
      </c>
      <c r="N447" s="169">
        <f t="shared" si="6"/>
        <v>0</v>
      </c>
    </row>
    <row r="448" spans="2:14">
      <c r="B448" s="27"/>
      <c r="C448" s="27"/>
      <c r="D448" s="1509" t="s">
        <v>102</v>
      </c>
      <c r="E448" s="1592" t="s">
        <v>24</v>
      </c>
      <c r="F448" s="1593">
        <v>274000</v>
      </c>
      <c r="H448" s="27"/>
      <c r="I448" s="27"/>
      <c r="J448" s="1509" t="s">
        <v>102</v>
      </c>
      <c r="K448" s="1592" t="s">
        <v>24</v>
      </c>
      <c r="L448" s="1593">
        <v>274000</v>
      </c>
      <c r="N448" s="1593">
        <f t="shared" si="6"/>
        <v>0</v>
      </c>
    </row>
    <row r="449" spans="2:14">
      <c r="B449" s="46"/>
      <c r="C449" s="46"/>
      <c r="D449" s="28">
        <v>2210301</v>
      </c>
      <c r="E449" s="1594" t="s">
        <v>25</v>
      </c>
      <c r="F449" s="169">
        <v>142000</v>
      </c>
      <c r="H449" s="46"/>
      <c r="I449" s="46"/>
      <c r="J449" s="28">
        <v>2210301</v>
      </c>
      <c r="K449" s="1594" t="s">
        <v>25</v>
      </c>
      <c r="L449" s="169">
        <v>142000</v>
      </c>
      <c r="N449" s="169">
        <f t="shared" si="6"/>
        <v>0</v>
      </c>
    </row>
    <row r="450" spans="2:14">
      <c r="B450" s="46"/>
      <c r="C450" s="46"/>
      <c r="D450" s="28">
        <v>2210302</v>
      </c>
      <c r="E450" s="1594" t="s">
        <v>26</v>
      </c>
      <c r="F450" s="169">
        <v>32000</v>
      </c>
      <c r="H450" s="46"/>
      <c r="I450" s="46"/>
      <c r="J450" s="28">
        <v>2210302</v>
      </c>
      <c r="K450" s="1594" t="s">
        <v>26</v>
      </c>
      <c r="L450" s="169">
        <v>32000</v>
      </c>
      <c r="N450" s="169">
        <f t="shared" si="6"/>
        <v>0</v>
      </c>
    </row>
    <row r="451" spans="2:14">
      <c r="B451" s="46"/>
      <c r="C451" s="46"/>
      <c r="D451" s="28">
        <v>2210303</v>
      </c>
      <c r="E451" s="1594" t="s">
        <v>27</v>
      </c>
      <c r="F451" s="169">
        <v>100000</v>
      </c>
      <c r="H451" s="46"/>
      <c r="I451" s="46"/>
      <c r="J451" s="28">
        <v>2210303</v>
      </c>
      <c r="K451" s="1594" t="s">
        <v>27</v>
      </c>
      <c r="L451" s="169">
        <v>100000</v>
      </c>
      <c r="N451" s="169">
        <f t="shared" si="6"/>
        <v>0</v>
      </c>
    </row>
    <row r="452" spans="2:14">
      <c r="B452" s="1509"/>
      <c r="C452" s="1509"/>
      <c r="D452" s="1595">
        <v>2211000</v>
      </c>
      <c r="E452" s="1596" t="s">
        <v>103</v>
      </c>
      <c r="F452" s="1593">
        <v>12000</v>
      </c>
      <c r="H452" s="1509"/>
      <c r="I452" s="1509"/>
      <c r="J452" s="1597">
        <v>2211000</v>
      </c>
      <c r="K452" s="1596" t="s">
        <v>103</v>
      </c>
      <c r="L452" s="1593">
        <v>12000</v>
      </c>
      <c r="N452" s="1593">
        <f t="shared" si="6"/>
        <v>0</v>
      </c>
    </row>
    <row r="453" spans="2:14">
      <c r="B453" s="1509"/>
      <c r="C453" s="1509"/>
      <c r="D453" s="1598">
        <v>2211016</v>
      </c>
      <c r="E453" s="1599" t="s">
        <v>104</v>
      </c>
      <c r="F453" s="169">
        <v>12000</v>
      </c>
      <c r="H453" s="1509"/>
      <c r="I453" s="1509"/>
      <c r="J453" s="105">
        <v>2211016</v>
      </c>
      <c r="K453" s="1599" t="s">
        <v>104</v>
      </c>
      <c r="L453" s="169">
        <v>12000</v>
      </c>
      <c r="N453" s="169">
        <f t="shared" si="6"/>
        <v>0</v>
      </c>
    </row>
    <row r="454" spans="2:14">
      <c r="B454" s="27"/>
      <c r="C454" s="27"/>
      <c r="D454" s="1509">
        <v>2210400</v>
      </c>
      <c r="E454" s="1592" t="s">
        <v>29</v>
      </c>
      <c r="F454" s="1593">
        <v>0</v>
      </c>
      <c r="H454" s="27"/>
      <c r="I454" s="27"/>
      <c r="J454" s="1509">
        <v>2210400</v>
      </c>
      <c r="K454" s="1592" t="s">
        <v>29</v>
      </c>
      <c r="L454" s="1593">
        <v>0</v>
      </c>
      <c r="N454" s="1593">
        <f t="shared" si="6"/>
        <v>0</v>
      </c>
    </row>
    <row r="455" spans="2:14">
      <c r="B455" s="46"/>
      <c r="C455" s="46"/>
      <c r="D455" s="28">
        <v>2210401</v>
      </c>
      <c r="E455" s="1594" t="s">
        <v>25</v>
      </c>
      <c r="F455" s="169">
        <v>0</v>
      </c>
      <c r="H455" s="46"/>
      <c r="I455" s="46"/>
      <c r="J455" s="28">
        <v>2210401</v>
      </c>
      <c r="K455" s="1594" t="s">
        <v>25</v>
      </c>
      <c r="L455" s="169">
        <v>0</v>
      </c>
      <c r="N455" s="169">
        <f t="shared" si="6"/>
        <v>0</v>
      </c>
    </row>
    <row r="456" spans="2:14">
      <c r="B456" s="46"/>
      <c r="C456" s="46"/>
      <c r="D456" s="28">
        <v>2210402</v>
      </c>
      <c r="E456" s="1594" t="s">
        <v>30</v>
      </c>
      <c r="F456" s="169">
        <v>0</v>
      </c>
      <c r="H456" s="46"/>
      <c r="I456" s="46"/>
      <c r="J456" s="28">
        <v>2210402</v>
      </c>
      <c r="K456" s="1594" t="s">
        <v>30</v>
      </c>
      <c r="L456" s="169">
        <v>0</v>
      </c>
      <c r="N456" s="169">
        <f t="shared" ref="N456:N519" si="7">F456-L456</f>
        <v>0</v>
      </c>
    </row>
    <row r="457" spans="2:14">
      <c r="B457" s="46"/>
      <c r="C457" s="46"/>
      <c r="D457" s="28">
        <v>2210404</v>
      </c>
      <c r="E457" s="1594" t="s">
        <v>28</v>
      </c>
      <c r="F457" s="169">
        <v>0</v>
      </c>
      <c r="H457" s="46"/>
      <c r="I457" s="46"/>
      <c r="J457" s="28">
        <v>2210404</v>
      </c>
      <c r="K457" s="1594" t="s">
        <v>28</v>
      </c>
      <c r="L457" s="169">
        <v>0</v>
      </c>
      <c r="N457" s="169">
        <f t="shared" si="7"/>
        <v>0</v>
      </c>
    </row>
    <row r="458" spans="2:14">
      <c r="B458" s="27"/>
      <c r="C458" s="27"/>
      <c r="D458" s="1509">
        <v>2210500</v>
      </c>
      <c r="E458" s="1592" t="s">
        <v>31</v>
      </c>
      <c r="F458" s="1593">
        <v>53000</v>
      </c>
      <c r="H458" s="27"/>
      <c r="I458" s="27"/>
      <c r="J458" s="1509">
        <v>2210500</v>
      </c>
      <c r="K458" s="1592" t="s">
        <v>31</v>
      </c>
      <c r="L458" s="1593">
        <v>53000</v>
      </c>
      <c r="N458" s="1593">
        <f t="shared" si="7"/>
        <v>0</v>
      </c>
    </row>
    <row r="459" spans="2:14">
      <c r="B459" s="46"/>
      <c r="C459" s="46"/>
      <c r="D459" s="80">
        <v>2210502</v>
      </c>
      <c r="E459" s="158" t="s">
        <v>105</v>
      </c>
      <c r="F459" s="169">
        <v>22000</v>
      </c>
      <c r="H459" s="46"/>
      <c r="I459" s="46"/>
      <c r="J459" s="80">
        <v>2210502</v>
      </c>
      <c r="K459" s="158" t="s">
        <v>105</v>
      </c>
      <c r="L459" s="169">
        <v>22000</v>
      </c>
      <c r="N459" s="169">
        <f t="shared" si="7"/>
        <v>0</v>
      </c>
    </row>
    <row r="460" spans="2:14">
      <c r="B460" s="46"/>
      <c r="C460" s="46"/>
      <c r="D460" s="28">
        <v>2210503</v>
      </c>
      <c r="E460" s="1594" t="s">
        <v>32</v>
      </c>
      <c r="F460" s="169">
        <v>16000</v>
      </c>
      <c r="H460" s="46"/>
      <c r="I460" s="46"/>
      <c r="J460" s="28">
        <v>2210503</v>
      </c>
      <c r="K460" s="1594" t="s">
        <v>32</v>
      </c>
      <c r="L460" s="169">
        <v>16000</v>
      </c>
      <c r="N460" s="169">
        <f t="shared" si="7"/>
        <v>0</v>
      </c>
    </row>
    <row r="461" spans="2:14">
      <c r="B461" s="46"/>
      <c r="C461" s="46"/>
      <c r="D461" s="80">
        <v>2210504</v>
      </c>
      <c r="E461" s="158" t="s">
        <v>110</v>
      </c>
      <c r="F461" s="169">
        <v>15000</v>
      </c>
      <c r="H461" s="46"/>
      <c r="I461" s="46"/>
      <c r="J461" s="80">
        <v>2210504</v>
      </c>
      <c r="K461" s="158" t="s">
        <v>110</v>
      </c>
      <c r="L461" s="169">
        <v>15000</v>
      </c>
      <c r="N461" s="169">
        <f t="shared" si="7"/>
        <v>0</v>
      </c>
    </row>
    <row r="462" spans="2:14">
      <c r="B462" s="46"/>
      <c r="C462" s="46"/>
      <c r="D462" s="1509">
        <v>2210700</v>
      </c>
      <c r="E462" s="1592" t="s">
        <v>35</v>
      </c>
      <c r="F462" s="1593">
        <v>284300</v>
      </c>
      <c r="H462" s="46"/>
      <c r="I462" s="46"/>
      <c r="J462" s="1509">
        <v>2210700</v>
      </c>
      <c r="K462" s="1592" t="s">
        <v>35</v>
      </c>
      <c r="L462" s="1593">
        <v>284300</v>
      </c>
      <c r="N462" s="1593">
        <f t="shared" si="7"/>
        <v>0</v>
      </c>
    </row>
    <row r="463" spans="2:14">
      <c r="B463" s="46"/>
      <c r="C463" s="46"/>
      <c r="D463" s="28">
        <v>2210701</v>
      </c>
      <c r="E463" s="1594" t="s">
        <v>36</v>
      </c>
      <c r="F463" s="169">
        <v>16000</v>
      </c>
      <c r="H463" s="46"/>
      <c r="I463" s="46"/>
      <c r="J463" s="28">
        <v>2210701</v>
      </c>
      <c r="K463" s="1594" t="s">
        <v>36</v>
      </c>
      <c r="L463" s="169">
        <v>16000</v>
      </c>
      <c r="N463" s="169">
        <f t="shared" si="7"/>
        <v>0</v>
      </c>
    </row>
    <row r="464" spans="2:14">
      <c r="B464" s="46"/>
      <c r="C464" s="46"/>
      <c r="D464" s="28">
        <v>2210702</v>
      </c>
      <c r="E464" s="1594" t="s">
        <v>95</v>
      </c>
      <c r="F464" s="169">
        <v>4300</v>
      </c>
      <c r="H464" s="46"/>
      <c r="I464" s="46"/>
      <c r="J464" s="28">
        <v>2210702</v>
      </c>
      <c r="K464" s="1594" t="s">
        <v>95</v>
      </c>
      <c r="L464" s="169">
        <v>4300</v>
      </c>
      <c r="N464" s="169">
        <f t="shared" si="7"/>
        <v>0</v>
      </c>
    </row>
    <row r="465" spans="2:14">
      <c r="B465" s="46"/>
      <c r="C465" s="46"/>
      <c r="D465" s="28">
        <v>2210703</v>
      </c>
      <c r="E465" s="1594" t="s">
        <v>107</v>
      </c>
      <c r="F465" s="169">
        <v>61000</v>
      </c>
      <c r="H465" s="46"/>
      <c r="I465" s="46"/>
      <c r="J465" s="28">
        <v>2210703</v>
      </c>
      <c r="K465" s="1594" t="s">
        <v>107</v>
      </c>
      <c r="L465" s="169">
        <v>61000</v>
      </c>
      <c r="N465" s="169">
        <f t="shared" si="7"/>
        <v>0</v>
      </c>
    </row>
    <row r="466" spans="2:14">
      <c r="B466" s="46"/>
      <c r="C466" s="46"/>
      <c r="D466" s="28">
        <v>2210704</v>
      </c>
      <c r="E466" s="1594" t="s">
        <v>38</v>
      </c>
      <c r="F466" s="169">
        <v>23000</v>
      </c>
      <c r="H466" s="46"/>
      <c r="I466" s="46"/>
      <c r="J466" s="28">
        <v>2210704</v>
      </c>
      <c r="K466" s="1594" t="s">
        <v>38</v>
      </c>
      <c r="L466" s="169">
        <v>23000</v>
      </c>
      <c r="N466" s="169">
        <f t="shared" si="7"/>
        <v>0</v>
      </c>
    </row>
    <row r="467" spans="2:14">
      <c r="B467" s="46"/>
      <c r="C467" s="46"/>
      <c r="D467" s="28">
        <v>2210710</v>
      </c>
      <c r="E467" s="1594" t="s">
        <v>39</v>
      </c>
      <c r="F467" s="169">
        <v>124000</v>
      </c>
      <c r="H467" s="46"/>
      <c r="I467" s="46"/>
      <c r="J467" s="28">
        <v>2210710</v>
      </c>
      <c r="K467" s="1594" t="s">
        <v>39</v>
      </c>
      <c r="L467" s="169">
        <v>124000</v>
      </c>
      <c r="N467" s="169">
        <f t="shared" si="7"/>
        <v>0</v>
      </c>
    </row>
    <row r="468" spans="2:14">
      <c r="B468" s="46"/>
      <c r="C468" s="46"/>
      <c r="D468" s="28">
        <v>2210715</v>
      </c>
      <c r="E468" s="1594" t="s">
        <v>40</v>
      </c>
      <c r="F468" s="169">
        <v>56000</v>
      </c>
      <c r="H468" s="46"/>
      <c r="I468" s="46"/>
      <c r="J468" s="28">
        <v>2210715</v>
      </c>
      <c r="K468" s="1594" t="s">
        <v>40</v>
      </c>
      <c r="L468" s="169">
        <v>56000</v>
      </c>
      <c r="N468" s="169">
        <f t="shared" si="7"/>
        <v>0</v>
      </c>
    </row>
    <row r="469" spans="2:14">
      <c r="B469" s="27"/>
      <c r="C469" s="27"/>
      <c r="D469" s="1509">
        <v>2210800</v>
      </c>
      <c r="E469" s="1592" t="s">
        <v>42</v>
      </c>
      <c r="F469" s="1593">
        <v>99500</v>
      </c>
      <c r="H469" s="27"/>
      <c r="I469" s="27"/>
      <c r="J469" s="1509">
        <v>2210800</v>
      </c>
      <c r="K469" s="1592" t="s">
        <v>42</v>
      </c>
      <c r="L469" s="1593">
        <v>99500</v>
      </c>
      <c r="N469" s="1593">
        <f t="shared" si="7"/>
        <v>0</v>
      </c>
    </row>
    <row r="470" spans="2:14">
      <c r="B470" s="46"/>
      <c r="C470" s="46"/>
      <c r="D470" s="28">
        <v>2210801</v>
      </c>
      <c r="E470" s="1594" t="s">
        <v>43</v>
      </c>
      <c r="F470" s="169">
        <v>20500</v>
      </c>
      <c r="H470" s="46"/>
      <c r="I470" s="46"/>
      <c r="J470" s="28">
        <v>2210801</v>
      </c>
      <c r="K470" s="1594" t="s">
        <v>43</v>
      </c>
      <c r="L470" s="169">
        <v>20500</v>
      </c>
      <c r="N470" s="169">
        <f t="shared" si="7"/>
        <v>0</v>
      </c>
    </row>
    <row r="471" spans="2:14">
      <c r="B471" s="46"/>
      <c r="C471" s="46"/>
      <c r="D471" s="28">
        <v>2210802</v>
      </c>
      <c r="E471" s="1594" t="s">
        <v>97</v>
      </c>
      <c r="F471" s="169">
        <v>79000</v>
      </c>
      <c r="H471" s="46"/>
      <c r="I471" s="46"/>
      <c r="J471" s="28">
        <v>2210802</v>
      </c>
      <c r="K471" s="1594" t="s">
        <v>97</v>
      </c>
      <c r="L471" s="169">
        <v>79000</v>
      </c>
      <c r="N471" s="169">
        <f t="shared" si="7"/>
        <v>0</v>
      </c>
    </row>
    <row r="472" spans="2:14">
      <c r="B472" s="27"/>
      <c r="C472" s="27"/>
      <c r="D472" s="1509">
        <v>2211100</v>
      </c>
      <c r="E472" s="1592" t="s">
        <v>51</v>
      </c>
      <c r="F472" s="1593">
        <v>97900</v>
      </c>
      <c r="H472" s="27"/>
      <c r="I472" s="27"/>
      <c r="J472" s="1509">
        <v>2211100</v>
      </c>
      <c r="K472" s="1592" t="s">
        <v>51</v>
      </c>
      <c r="L472" s="1593">
        <v>97900</v>
      </c>
      <c r="N472" s="1593">
        <f t="shared" si="7"/>
        <v>0</v>
      </c>
    </row>
    <row r="473" spans="2:14">
      <c r="B473" s="46"/>
      <c r="C473" s="46"/>
      <c r="D473" s="28">
        <v>2211101</v>
      </c>
      <c r="E473" s="1594" t="s">
        <v>52</v>
      </c>
      <c r="F473" s="169">
        <v>78000</v>
      </c>
      <c r="H473" s="46"/>
      <c r="I473" s="46"/>
      <c r="J473" s="28">
        <v>2211101</v>
      </c>
      <c r="K473" s="1594" t="s">
        <v>52</v>
      </c>
      <c r="L473" s="169">
        <v>78000</v>
      </c>
      <c r="N473" s="169">
        <f t="shared" si="7"/>
        <v>0</v>
      </c>
    </row>
    <row r="474" spans="2:14">
      <c r="B474" s="46"/>
      <c r="C474" s="46"/>
      <c r="D474" s="28">
        <v>2211102</v>
      </c>
      <c r="E474" s="1594" t="s">
        <v>53</v>
      </c>
      <c r="F474" s="169">
        <v>8900</v>
      </c>
      <c r="H474" s="46"/>
      <c r="I474" s="46"/>
      <c r="J474" s="28">
        <v>2211102</v>
      </c>
      <c r="K474" s="1594" t="s">
        <v>53</v>
      </c>
      <c r="L474" s="169">
        <v>8900</v>
      </c>
      <c r="N474" s="169">
        <f t="shared" si="7"/>
        <v>0</v>
      </c>
    </row>
    <row r="475" spans="2:14">
      <c r="B475" s="46"/>
      <c r="C475" s="46"/>
      <c r="D475" s="28">
        <v>2211103</v>
      </c>
      <c r="E475" s="1594" t="s">
        <v>54</v>
      </c>
      <c r="F475" s="169">
        <v>11000</v>
      </c>
      <c r="H475" s="46"/>
      <c r="I475" s="46"/>
      <c r="J475" s="28">
        <v>2211103</v>
      </c>
      <c r="K475" s="1594" t="s">
        <v>54</v>
      </c>
      <c r="L475" s="169">
        <v>11000</v>
      </c>
      <c r="N475" s="169">
        <f t="shared" si="7"/>
        <v>0</v>
      </c>
    </row>
    <row r="476" spans="2:14">
      <c r="B476" s="27"/>
      <c r="C476" s="27"/>
      <c r="D476" s="1509">
        <v>2211200</v>
      </c>
      <c r="E476" s="1592" t="s">
        <v>55</v>
      </c>
      <c r="F476" s="1593">
        <v>115000</v>
      </c>
      <c r="H476" s="27"/>
      <c r="I476" s="27"/>
      <c r="J476" s="1509">
        <v>2211200</v>
      </c>
      <c r="K476" s="1592" t="s">
        <v>55</v>
      </c>
      <c r="L476" s="1593">
        <v>115000</v>
      </c>
      <c r="N476" s="1593">
        <f t="shared" si="7"/>
        <v>0</v>
      </c>
    </row>
    <row r="477" spans="2:14">
      <c r="B477" s="46"/>
      <c r="C477" s="46"/>
      <c r="D477" s="28">
        <v>2211201</v>
      </c>
      <c r="E477" s="1594" t="s">
        <v>56</v>
      </c>
      <c r="F477" s="169">
        <v>115000</v>
      </c>
      <c r="H477" s="46"/>
      <c r="I477" s="46"/>
      <c r="J477" s="28">
        <v>2211201</v>
      </c>
      <c r="K477" s="1594" t="s">
        <v>56</v>
      </c>
      <c r="L477" s="169">
        <v>115000</v>
      </c>
      <c r="N477" s="169">
        <f t="shared" si="7"/>
        <v>0</v>
      </c>
    </row>
    <row r="478" spans="2:14">
      <c r="B478" s="27"/>
      <c r="C478" s="27"/>
      <c r="D478" s="1509">
        <v>2220100</v>
      </c>
      <c r="E478" s="1592" t="s">
        <v>62</v>
      </c>
      <c r="F478" s="1593">
        <v>21000</v>
      </c>
      <c r="H478" s="27"/>
      <c r="I478" s="27"/>
      <c r="J478" s="1509">
        <v>2220100</v>
      </c>
      <c r="K478" s="1592" t="s">
        <v>62</v>
      </c>
      <c r="L478" s="1593">
        <v>21000</v>
      </c>
      <c r="N478" s="1593">
        <f t="shared" si="7"/>
        <v>0</v>
      </c>
    </row>
    <row r="479" spans="2:14">
      <c r="B479" s="46"/>
      <c r="C479" s="46"/>
      <c r="D479" s="28">
        <v>2220101</v>
      </c>
      <c r="E479" s="1594" t="s">
        <v>85</v>
      </c>
      <c r="F479" s="169">
        <v>21000</v>
      </c>
      <c r="H479" s="46"/>
      <c r="I479" s="46"/>
      <c r="J479" s="28">
        <v>2220101</v>
      </c>
      <c r="K479" s="1594" t="s">
        <v>85</v>
      </c>
      <c r="L479" s="169">
        <v>21000</v>
      </c>
      <c r="N479" s="169">
        <f t="shared" si="7"/>
        <v>0</v>
      </c>
    </row>
    <row r="480" spans="2:14">
      <c r="B480" s="27"/>
      <c r="C480" s="27"/>
      <c r="D480" s="1509">
        <v>3111000</v>
      </c>
      <c r="E480" s="1592" t="s">
        <v>69</v>
      </c>
      <c r="F480" s="1593">
        <v>58000</v>
      </c>
      <c r="H480" s="27"/>
      <c r="I480" s="27"/>
      <c r="J480" s="1509">
        <v>3111000</v>
      </c>
      <c r="K480" s="1592" t="s">
        <v>69</v>
      </c>
      <c r="L480" s="1593">
        <v>58000</v>
      </c>
      <c r="N480" s="1593">
        <f t="shared" si="7"/>
        <v>0</v>
      </c>
    </row>
    <row r="481" spans="2:14">
      <c r="B481" s="46"/>
      <c r="C481" s="46"/>
      <c r="D481" s="28" t="s">
        <v>98</v>
      </c>
      <c r="E481" s="1594" t="s">
        <v>70</v>
      </c>
      <c r="F481" s="169">
        <v>13000</v>
      </c>
      <c r="H481" s="46"/>
      <c r="I481" s="46"/>
      <c r="J481" s="28" t="s">
        <v>98</v>
      </c>
      <c r="K481" s="1594" t="s">
        <v>70</v>
      </c>
      <c r="L481" s="169">
        <v>13000</v>
      </c>
      <c r="N481" s="169">
        <f t="shared" si="7"/>
        <v>0</v>
      </c>
    </row>
    <row r="482" spans="2:14">
      <c r="B482" s="46"/>
      <c r="C482" s="46"/>
      <c r="D482" s="28">
        <v>3111002</v>
      </c>
      <c r="E482" s="1542" t="s">
        <v>71</v>
      </c>
      <c r="F482" s="169">
        <v>45000</v>
      </c>
      <c r="H482" s="46"/>
      <c r="I482" s="46"/>
      <c r="J482" s="28">
        <v>3111002</v>
      </c>
      <c r="K482" s="1542" t="s">
        <v>71</v>
      </c>
      <c r="L482" s="169">
        <v>45000</v>
      </c>
      <c r="N482" s="169">
        <f t="shared" si="7"/>
        <v>0</v>
      </c>
    </row>
    <row r="483" spans="2:14">
      <c r="B483" s="27"/>
      <c r="C483" s="27"/>
      <c r="D483" s="1602"/>
      <c r="E483" s="1541"/>
      <c r="F483" s="1603">
        <v>0</v>
      </c>
      <c r="H483" s="27"/>
      <c r="I483" s="27"/>
      <c r="J483" s="1602"/>
      <c r="K483" s="1541"/>
      <c r="L483" s="1603">
        <v>0</v>
      </c>
      <c r="N483" s="1603">
        <f t="shared" si="7"/>
        <v>0</v>
      </c>
    </row>
    <row r="484" spans="2:14">
      <c r="B484" s="46"/>
      <c r="C484" s="46"/>
      <c r="D484" s="1604"/>
      <c r="E484" s="1542"/>
      <c r="F484" s="169">
        <v>0</v>
      </c>
      <c r="H484" s="46"/>
      <c r="I484" s="46"/>
      <c r="J484" s="1604"/>
      <c r="K484" s="1542"/>
      <c r="L484" s="169">
        <v>0</v>
      </c>
      <c r="N484" s="169">
        <f t="shared" si="7"/>
        <v>0</v>
      </c>
    </row>
    <row r="485" spans="2:14">
      <c r="B485" s="46"/>
      <c r="C485" s="46"/>
      <c r="D485" s="1605"/>
      <c r="E485" s="1592" t="s">
        <v>99</v>
      </c>
      <c r="F485" s="1593">
        <v>1208700</v>
      </c>
      <c r="H485" s="46"/>
      <c r="I485" s="46"/>
      <c r="J485" s="1605"/>
      <c r="K485" s="1592" t="s">
        <v>99</v>
      </c>
      <c r="L485" s="1593">
        <v>1208700</v>
      </c>
      <c r="N485" s="1593">
        <f t="shared" si="7"/>
        <v>0</v>
      </c>
    </row>
    <row r="486" spans="2:14">
      <c r="B486" s="46"/>
      <c r="C486" s="46"/>
      <c r="D486" s="1605"/>
      <c r="E486" s="1541" t="s">
        <v>84</v>
      </c>
      <c r="F486" s="1593">
        <v>1208700</v>
      </c>
      <c r="H486" s="46"/>
      <c r="I486" s="46"/>
      <c r="J486" s="1605"/>
      <c r="K486" s="1541" t="s">
        <v>84</v>
      </c>
      <c r="L486" s="1593">
        <v>1208700</v>
      </c>
      <c r="N486" s="1593">
        <f t="shared" si="7"/>
        <v>0</v>
      </c>
    </row>
    <row r="487" spans="2:14">
      <c r="B487" s="46"/>
      <c r="C487" s="46"/>
      <c r="D487" s="1605"/>
      <c r="E487" s="1541"/>
      <c r="F487" s="1593"/>
      <c r="H487" s="46"/>
      <c r="I487" s="46"/>
      <c r="J487" s="1605"/>
      <c r="K487" s="1541"/>
      <c r="L487" s="1593"/>
      <c r="N487" s="1593">
        <f t="shared" si="7"/>
        <v>0</v>
      </c>
    </row>
    <row r="488" spans="2:14">
      <c r="B488" s="46"/>
      <c r="C488" s="46"/>
      <c r="D488" s="1545" t="s">
        <v>1577</v>
      </c>
      <c r="E488" s="1510"/>
      <c r="F488" s="1593"/>
      <c r="H488" s="46"/>
      <c r="I488" s="46"/>
      <c r="J488" s="1545" t="s">
        <v>1577</v>
      </c>
      <c r="K488" s="1510"/>
      <c r="L488" s="1593"/>
      <c r="N488" s="1593">
        <f t="shared" si="7"/>
        <v>0</v>
      </c>
    </row>
    <row r="489" spans="2:14">
      <c r="B489" s="46"/>
      <c r="C489" s="46"/>
      <c r="D489" s="1545" t="s">
        <v>1577</v>
      </c>
      <c r="E489" s="1510"/>
      <c r="F489" s="1593"/>
      <c r="H489" s="46"/>
      <c r="I489" s="46"/>
      <c r="J489" s="1545" t="s">
        <v>1577</v>
      </c>
      <c r="K489" s="1510"/>
      <c r="L489" s="1593"/>
      <c r="N489" s="1593">
        <f t="shared" si="7"/>
        <v>0</v>
      </c>
    </row>
    <row r="490" spans="2:14">
      <c r="B490" s="46"/>
      <c r="C490" s="46"/>
      <c r="D490" s="1545">
        <v>2210200</v>
      </c>
      <c r="E490" s="1510" t="s">
        <v>20</v>
      </c>
      <c r="F490" s="1593">
        <v>196000</v>
      </c>
      <c r="H490" s="46"/>
      <c r="I490" s="46"/>
      <c r="J490" s="1545">
        <v>2210200</v>
      </c>
      <c r="K490" s="1510" t="s">
        <v>20</v>
      </c>
      <c r="L490" s="1593">
        <v>196000</v>
      </c>
      <c r="N490" s="1593">
        <f t="shared" si="7"/>
        <v>0</v>
      </c>
    </row>
    <row r="491" spans="2:14">
      <c r="B491" s="46"/>
      <c r="C491" s="46"/>
      <c r="D491" s="80">
        <v>2210201</v>
      </c>
      <c r="E491" s="162" t="s">
        <v>113</v>
      </c>
      <c r="F491" s="141">
        <v>116000</v>
      </c>
      <c r="H491" s="46"/>
      <c r="I491" s="46"/>
      <c r="J491" s="80">
        <v>2210201</v>
      </c>
      <c r="K491" s="162" t="s">
        <v>113</v>
      </c>
      <c r="L491" s="141">
        <v>116000</v>
      </c>
      <c r="N491" s="141">
        <f t="shared" si="7"/>
        <v>0</v>
      </c>
    </row>
    <row r="492" spans="2:14">
      <c r="B492" s="46"/>
      <c r="C492" s="46"/>
      <c r="D492" s="80">
        <v>2210103</v>
      </c>
      <c r="E492" s="162" t="s">
        <v>23</v>
      </c>
      <c r="F492" s="141">
        <v>80000</v>
      </c>
      <c r="H492" s="46"/>
      <c r="I492" s="46"/>
      <c r="J492" s="80">
        <v>2210103</v>
      </c>
      <c r="K492" s="162" t="s">
        <v>23</v>
      </c>
      <c r="L492" s="141">
        <v>80000</v>
      </c>
      <c r="N492" s="141">
        <f t="shared" si="7"/>
        <v>0</v>
      </c>
    </row>
    <row r="493" spans="2:14">
      <c r="B493" s="46"/>
      <c r="C493" s="46"/>
      <c r="D493" s="1545">
        <v>2210700</v>
      </c>
      <c r="E493" s="1510" t="s">
        <v>114</v>
      </c>
      <c r="F493" s="1593">
        <v>0</v>
      </c>
      <c r="H493" s="46"/>
      <c r="I493" s="46"/>
      <c r="J493" s="1545">
        <v>2210700</v>
      </c>
      <c r="K493" s="1510" t="s">
        <v>114</v>
      </c>
      <c r="L493" s="1593">
        <v>0</v>
      </c>
      <c r="N493" s="1593">
        <f t="shared" si="7"/>
        <v>0</v>
      </c>
    </row>
    <row r="494" spans="2:14">
      <c r="B494" s="46"/>
      <c r="C494" s="46"/>
      <c r="D494" s="80">
        <v>2210701</v>
      </c>
      <c r="E494" s="162" t="s">
        <v>36</v>
      </c>
      <c r="F494" s="141">
        <v>0</v>
      </c>
      <c r="H494" s="46"/>
      <c r="I494" s="46"/>
      <c r="J494" s="80">
        <v>2210701</v>
      </c>
      <c r="K494" s="162" t="s">
        <v>36</v>
      </c>
      <c r="L494" s="141">
        <v>0</v>
      </c>
      <c r="N494" s="141">
        <f t="shared" si="7"/>
        <v>0</v>
      </c>
    </row>
    <row r="495" spans="2:14">
      <c r="B495" s="46"/>
      <c r="C495" s="46"/>
      <c r="D495" s="80">
        <v>2210704</v>
      </c>
      <c r="E495" s="162" t="s">
        <v>38</v>
      </c>
      <c r="F495" s="141">
        <v>0</v>
      </c>
      <c r="H495" s="46"/>
      <c r="I495" s="46"/>
      <c r="J495" s="80">
        <v>2210704</v>
      </c>
      <c r="K495" s="162" t="s">
        <v>38</v>
      </c>
      <c r="L495" s="141">
        <v>0</v>
      </c>
      <c r="N495" s="141">
        <f t="shared" si="7"/>
        <v>0</v>
      </c>
    </row>
    <row r="496" spans="2:14">
      <c r="B496" s="46"/>
      <c r="C496" s="46"/>
      <c r="D496" s="80">
        <v>2210708</v>
      </c>
      <c r="E496" s="162" t="s">
        <v>115</v>
      </c>
      <c r="F496" s="141">
        <v>0</v>
      </c>
      <c r="H496" s="46"/>
      <c r="I496" s="46"/>
      <c r="J496" s="80">
        <v>2210708</v>
      </c>
      <c r="K496" s="162" t="s">
        <v>115</v>
      </c>
      <c r="L496" s="141">
        <v>0</v>
      </c>
      <c r="N496" s="141">
        <f t="shared" si="7"/>
        <v>0</v>
      </c>
    </row>
    <row r="497" spans="2:14">
      <c r="B497" s="46"/>
      <c r="C497" s="46"/>
      <c r="D497" s="80">
        <v>2210710</v>
      </c>
      <c r="E497" s="162" t="s">
        <v>39</v>
      </c>
      <c r="F497" s="141">
        <v>0</v>
      </c>
      <c r="H497" s="46"/>
      <c r="I497" s="46"/>
      <c r="J497" s="80">
        <v>2210710</v>
      </c>
      <c r="K497" s="162" t="s">
        <v>39</v>
      </c>
      <c r="L497" s="141">
        <v>0</v>
      </c>
      <c r="N497" s="141">
        <f t="shared" si="7"/>
        <v>0</v>
      </c>
    </row>
    <row r="498" spans="2:14">
      <c r="B498" s="46"/>
      <c r="C498" s="46"/>
      <c r="D498" s="1509" t="s">
        <v>102</v>
      </c>
      <c r="E498" s="1592" t="s">
        <v>24</v>
      </c>
      <c r="F498" s="1593">
        <v>1439000</v>
      </c>
      <c r="H498" s="46"/>
      <c r="I498" s="46"/>
      <c r="J498" s="1509" t="s">
        <v>102</v>
      </c>
      <c r="K498" s="1592" t="s">
        <v>24</v>
      </c>
      <c r="L498" s="1593">
        <v>1439000</v>
      </c>
      <c r="N498" s="1593">
        <f t="shared" si="7"/>
        <v>0</v>
      </c>
    </row>
    <row r="499" spans="2:14">
      <c r="B499" s="46"/>
      <c r="C499" s="46"/>
      <c r="D499" s="28">
        <v>2210301</v>
      </c>
      <c r="E499" s="1594" t="s">
        <v>25</v>
      </c>
      <c r="F499" s="169">
        <v>340000</v>
      </c>
      <c r="H499" s="46"/>
      <c r="I499" s="46"/>
      <c r="J499" s="28">
        <v>2210301</v>
      </c>
      <c r="K499" s="1594" t="s">
        <v>25</v>
      </c>
      <c r="L499" s="169">
        <v>340000</v>
      </c>
      <c r="N499" s="169">
        <f t="shared" si="7"/>
        <v>0</v>
      </c>
    </row>
    <row r="500" spans="2:14">
      <c r="B500" s="46"/>
      <c r="C500" s="46"/>
      <c r="D500" s="28">
        <v>2210302</v>
      </c>
      <c r="E500" s="1594" t="s">
        <v>26</v>
      </c>
      <c r="F500" s="169">
        <v>735000</v>
      </c>
      <c r="H500" s="46"/>
      <c r="I500" s="46"/>
      <c r="J500" s="28">
        <v>2210302</v>
      </c>
      <c r="K500" s="1594" t="s">
        <v>26</v>
      </c>
      <c r="L500" s="169">
        <v>735000</v>
      </c>
      <c r="N500" s="169">
        <f t="shared" si="7"/>
        <v>0</v>
      </c>
    </row>
    <row r="501" spans="2:14">
      <c r="B501" s="46"/>
      <c r="C501" s="46"/>
      <c r="D501" s="28">
        <v>2210303</v>
      </c>
      <c r="E501" s="1594" t="s">
        <v>27</v>
      </c>
      <c r="F501" s="169">
        <v>364000</v>
      </c>
      <c r="H501" s="46"/>
      <c r="I501" s="46"/>
      <c r="J501" s="28">
        <v>2210303</v>
      </c>
      <c r="K501" s="1594" t="s">
        <v>27</v>
      </c>
      <c r="L501" s="169">
        <v>364000</v>
      </c>
      <c r="N501" s="169">
        <f t="shared" si="7"/>
        <v>0</v>
      </c>
    </row>
    <row r="502" spans="2:14">
      <c r="B502" s="46"/>
      <c r="C502" s="46"/>
      <c r="D502" s="1509">
        <v>2210400</v>
      </c>
      <c r="E502" s="1541" t="s">
        <v>29</v>
      </c>
      <c r="F502" s="1593">
        <v>679720.1552863121</v>
      </c>
      <c r="H502" s="46"/>
      <c r="I502" s="46"/>
      <c r="J502" s="1509">
        <v>2210400</v>
      </c>
      <c r="K502" s="1541" t="s">
        <v>29</v>
      </c>
      <c r="L502" s="1593">
        <v>679720.1552863121</v>
      </c>
      <c r="N502" s="1593">
        <f t="shared" si="7"/>
        <v>0</v>
      </c>
    </row>
    <row r="503" spans="2:14">
      <c r="B503" s="46"/>
      <c r="C503" s="46"/>
      <c r="D503" s="28">
        <v>2210401</v>
      </c>
      <c r="E503" s="1542" t="s">
        <v>25</v>
      </c>
      <c r="F503" s="141">
        <v>290000</v>
      </c>
      <c r="H503" s="46"/>
      <c r="I503" s="46"/>
      <c r="J503" s="28">
        <v>2210401</v>
      </c>
      <c r="K503" s="1542" t="s">
        <v>25</v>
      </c>
      <c r="L503" s="141">
        <v>290000</v>
      </c>
      <c r="N503" s="141">
        <f t="shared" si="7"/>
        <v>0</v>
      </c>
    </row>
    <row r="504" spans="2:14">
      <c r="B504" s="46"/>
      <c r="C504" s="46"/>
      <c r="D504" s="28">
        <v>2210402</v>
      </c>
      <c r="E504" s="1542" t="s">
        <v>30</v>
      </c>
      <c r="F504" s="141">
        <v>331720.1552863121</v>
      </c>
      <c r="H504" s="46"/>
      <c r="I504" s="46"/>
      <c r="J504" s="28">
        <v>2210402</v>
      </c>
      <c r="K504" s="1542" t="s">
        <v>30</v>
      </c>
      <c r="L504" s="141">
        <v>331720.1552863121</v>
      </c>
      <c r="N504" s="141">
        <f t="shared" si="7"/>
        <v>0</v>
      </c>
    </row>
    <row r="505" spans="2:14">
      <c r="B505" s="46"/>
      <c r="C505" s="46"/>
      <c r="D505" s="28">
        <v>2210404</v>
      </c>
      <c r="E505" s="1542" t="s">
        <v>28</v>
      </c>
      <c r="F505" s="141">
        <v>58000</v>
      </c>
      <c r="H505" s="46"/>
      <c r="I505" s="46"/>
      <c r="J505" s="28">
        <v>2210404</v>
      </c>
      <c r="K505" s="1542" t="s">
        <v>28</v>
      </c>
      <c r="L505" s="141">
        <v>58000</v>
      </c>
      <c r="N505" s="141">
        <f t="shared" si="7"/>
        <v>0</v>
      </c>
    </row>
    <row r="506" spans="2:14">
      <c r="B506" s="46"/>
      <c r="C506" s="46"/>
      <c r="D506" s="1509">
        <v>2210800</v>
      </c>
      <c r="E506" s="1592" t="s">
        <v>42</v>
      </c>
      <c r="F506" s="1593">
        <v>4098473.6</v>
      </c>
      <c r="H506" s="46"/>
      <c r="I506" s="46"/>
      <c r="J506" s="1509">
        <v>2210800</v>
      </c>
      <c r="K506" s="1592" t="s">
        <v>42</v>
      </c>
      <c r="L506" s="1593">
        <v>4098473.6</v>
      </c>
      <c r="N506" s="1593">
        <f t="shared" si="7"/>
        <v>0</v>
      </c>
    </row>
    <row r="507" spans="2:14">
      <c r="B507" s="46"/>
      <c r="C507" s="46"/>
      <c r="D507" s="28">
        <v>2210801</v>
      </c>
      <c r="E507" s="1594" t="s">
        <v>43</v>
      </c>
      <c r="F507" s="169">
        <v>1508473.6</v>
      </c>
      <c r="H507" s="46"/>
      <c r="I507" s="46"/>
      <c r="J507" s="28">
        <v>2210801</v>
      </c>
      <c r="K507" s="1594" t="s">
        <v>43</v>
      </c>
      <c r="L507" s="169">
        <v>1508473.6</v>
      </c>
      <c r="N507" s="169">
        <f t="shared" si="7"/>
        <v>0</v>
      </c>
    </row>
    <row r="508" spans="2:14" ht="45">
      <c r="B508" s="46"/>
      <c r="C508" s="46"/>
      <c r="D508" s="28">
        <v>2210802</v>
      </c>
      <c r="E508" s="1594" t="s">
        <v>1578</v>
      </c>
      <c r="F508" s="169">
        <v>2590000</v>
      </c>
      <c r="H508" s="46"/>
      <c r="I508" s="46"/>
      <c r="J508" s="28">
        <v>2210802</v>
      </c>
      <c r="K508" s="1594" t="s">
        <v>1578</v>
      </c>
      <c r="L508" s="169">
        <v>2590000</v>
      </c>
      <c r="N508" s="169">
        <f t="shared" si="7"/>
        <v>0</v>
      </c>
    </row>
    <row r="509" spans="2:14">
      <c r="B509" s="46"/>
      <c r="C509" s="46"/>
      <c r="D509" s="1509">
        <v>2211200</v>
      </c>
      <c r="E509" s="1541" t="s">
        <v>55</v>
      </c>
      <c r="F509" s="1593">
        <v>0</v>
      </c>
      <c r="H509" s="46"/>
      <c r="I509" s="46"/>
      <c r="J509" s="1509">
        <v>2211200</v>
      </c>
      <c r="K509" s="1541" t="s">
        <v>55</v>
      </c>
      <c r="L509" s="1593">
        <v>0</v>
      </c>
      <c r="N509" s="1593">
        <f t="shared" si="7"/>
        <v>0</v>
      </c>
    </row>
    <row r="510" spans="2:14">
      <c r="B510" s="46"/>
      <c r="C510" s="46"/>
      <c r="D510" s="28">
        <v>2211201</v>
      </c>
      <c r="E510" s="1542" t="s">
        <v>56</v>
      </c>
      <c r="F510" s="141">
        <v>0</v>
      </c>
      <c r="H510" s="46"/>
      <c r="I510" s="46"/>
      <c r="J510" s="28">
        <v>2211201</v>
      </c>
      <c r="K510" s="1542" t="s">
        <v>56</v>
      </c>
      <c r="L510" s="141">
        <v>0</v>
      </c>
      <c r="N510" s="141">
        <f t="shared" si="7"/>
        <v>0</v>
      </c>
    </row>
    <row r="511" spans="2:14">
      <c r="B511" s="46"/>
      <c r="C511" s="46"/>
      <c r="D511" s="1545">
        <v>2210300</v>
      </c>
      <c r="E511" s="1510" t="s">
        <v>24</v>
      </c>
      <c r="F511" s="1593">
        <v>162000</v>
      </c>
      <c r="H511" s="46"/>
      <c r="I511" s="46"/>
      <c r="J511" s="1545">
        <v>2210300</v>
      </c>
      <c r="K511" s="1510" t="s">
        <v>24</v>
      </c>
      <c r="L511" s="1593">
        <v>162000</v>
      </c>
      <c r="N511" s="1593">
        <f t="shared" si="7"/>
        <v>0</v>
      </c>
    </row>
    <row r="512" spans="2:14">
      <c r="B512" s="46"/>
      <c r="C512" s="46"/>
      <c r="D512" s="80">
        <v>2210302</v>
      </c>
      <c r="E512" s="162" t="s">
        <v>26</v>
      </c>
      <c r="F512" s="141">
        <v>162000</v>
      </c>
      <c r="H512" s="46"/>
      <c r="I512" s="46"/>
      <c r="J512" s="80">
        <v>2210302</v>
      </c>
      <c r="K512" s="162" t="s">
        <v>26</v>
      </c>
      <c r="L512" s="141">
        <v>162000</v>
      </c>
      <c r="N512" s="141">
        <f t="shared" si="7"/>
        <v>0</v>
      </c>
    </row>
    <row r="513" spans="2:14">
      <c r="B513" s="46"/>
      <c r="C513" s="46"/>
      <c r="D513" s="1509">
        <v>2211300</v>
      </c>
      <c r="E513" s="1541" t="s">
        <v>57</v>
      </c>
      <c r="F513" s="1593">
        <v>32000000</v>
      </c>
      <c r="H513" s="46"/>
      <c r="I513" s="46"/>
      <c r="J513" s="1509">
        <v>2211300</v>
      </c>
      <c r="K513" s="1541" t="s">
        <v>57</v>
      </c>
      <c r="L513" s="1593">
        <v>32000000</v>
      </c>
      <c r="N513" s="1593">
        <f t="shared" si="7"/>
        <v>0</v>
      </c>
    </row>
    <row r="514" spans="2:14">
      <c r="B514" s="46"/>
      <c r="C514" s="46"/>
      <c r="D514" s="28" t="s">
        <v>121</v>
      </c>
      <c r="E514" s="1607" t="s">
        <v>1847</v>
      </c>
      <c r="F514" s="1606">
        <v>2000000</v>
      </c>
      <c r="H514" s="46"/>
      <c r="I514" s="46"/>
      <c r="J514" s="28" t="s">
        <v>121</v>
      </c>
      <c r="K514" s="1607" t="s">
        <v>1847</v>
      </c>
      <c r="L514" s="1606">
        <v>2000000</v>
      </c>
      <c r="N514" s="1606">
        <f t="shared" si="7"/>
        <v>0</v>
      </c>
    </row>
    <row r="515" spans="2:14">
      <c r="B515" s="46"/>
      <c r="C515" s="46"/>
      <c r="D515" s="28" t="s">
        <v>121</v>
      </c>
      <c r="E515" s="1607" t="s">
        <v>1816</v>
      </c>
      <c r="F515" s="1606">
        <v>10000000</v>
      </c>
      <c r="H515" s="46"/>
      <c r="I515" s="46"/>
      <c r="J515" s="28" t="s">
        <v>121</v>
      </c>
      <c r="K515" s="1607" t="s">
        <v>1816</v>
      </c>
      <c r="L515" s="1606">
        <v>10000000</v>
      </c>
      <c r="N515" s="1606">
        <f t="shared" si="7"/>
        <v>0</v>
      </c>
    </row>
    <row r="516" spans="2:14">
      <c r="B516" s="46"/>
      <c r="C516" s="46"/>
      <c r="D516" s="28" t="s">
        <v>121</v>
      </c>
      <c r="E516" s="1607" t="s">
        <v>1848</v>
      </c>
      <c r="F516" s="141">
        <v>5000000</v>
      </c>
      <c r="H516" s="46"/>
      <c r="I516" s="46"/>
      <c r="J516" s="28" t="s">
        <v>121</v>
      </c>
      <c r="K516" s="1607" t="s">
        <v>1848</v>
      </c>
      <c r="L516" s="141">
        <v>5000000</v>
      </c>
      <c r="N516" s="141">
        <f t="shared" si="7"/>
        <v>0</v>
      </c>
    </row>
    <row r="517" spans="2:14">
      <c r="B517" s="46"/>
      <c r="C517" s="46"/>
      <c r="D517" s="28" t="s">
        <v>121</v>
      </c>
      <c r="E517" s="1607" t="s">
        <v>1824</v>
      </c>
      <c r="F517" s="141">
        <v>15000000</v>
      </c>
      <c r="H517" s="46"/>
      <c r="I517" s="46"/>
      <c r="J517" s="28" t="s">
        <v>121</v>
      </c>
      <c r="K517" s="1607" t="s">
        <v>1824</v>
      </c>
      <c r="L517" s="141">
        <v>15000000</v>
      </c>
      <c r="N517" s="141">
        <f t="shared" si="7"/>
        <v>0</v>
      </c>
    </row>
    <row r="518" spans="2:14">
      <c r="B518" s="46"/>
      <c r="C518" s="46"/>
      <c r="D518" s="1545">
        <v>3111000</v>
      </c>
      <c r="E518" s="1510" t="s">
        <v>69</v>
      </c>
      <c r="F518" s="1593">
        <v>7680000</v>
      </c>
      <c r="H518" s="46"/>
      <c r="I518" s="46"/>
      <c r="J518" s="1545">
        <v>3111000</v>
      </c>
      <c r="K518" s="1510" t="s">
        <v>69</v>
      </c>
      <c r="L518" s="1593">
        <v>7680000</v>
      </c>
      <c r="N518" s="1593">
        <f t="shared" si="7"/>
        <v>0</v>
      </c>
    </row>
    <row r="519" spans="2:14">
      <c r="B519" s="46"/>
      <c r="C519" s="46"/>
      <c r="D519" s="80">
        <v>3111001</v>
      </c>
      <c r="E519" s="162" t="s">
        <v>1579</v>
      </c>
      <c r="F519" s="141">
        <v>5180000</v>
      </c>
      <c r="H519" s="46"/>
      <c r="I519" s="46"/>
      <c r="J519" s="80">
        <v>3111001</v>
      </c>
      <c r="K519" s="162" t="s">
        <v>1579</v>
      </c>
      <c r="L519" s="141">
        <v>5180000</v>
      </c>
      <c r="N519" s="141">
        <f t="shared" si="7"/>
        <v>0</v>
      </c>
    </row>
    <row r="520" spans="2:14">
      <c r="B520" s="46"/>
      <c r="C520" s="46"/>
      <c r="D520" s="28">
        <v>3111002</v>
      </c>
      <c r="E520" s="1542" t="s">
        <v>71</v>
      </c>
      <c r="F520" s="141">
        <v>2500000</v>
      </c>
      <c r="H520" s="46"/>
      <c r="I520" s="46"/>
      <c r="J520" s="28">
        <v>3111002</v>
      </c>
      <c r="K520" s="1542" t="s">
        <v>71</v>
      </c>
      <c r="L520" s="141">
        <v>2500000</v>
      </c>
      <c r="N520" s="141">
        <f t="shared" ref="N520:N583" si="8">F520-L520</f>
        <v>0</v>
      </c>
    </row>
    <row r="521" spans="2:14">
      <c r="B521" s="46"/>
      <c r="C521" s="46"/>
      <c r="D521" s="1602"/>
      <c r="E521" s="1541"/>
      <c r="F521" s="1603">
        <v>0</v>
      </c>
      <c r="H521" s="46"/>
      <c r="I521" s="46"/>
      <c r="J521" s="1602"/>
      <c r="K521" s="1541"/>
      <c r="L521" s="1603">
        <v>0</v>
      </c>
      <c r="N521" s="1603">
        <f t="shared" si="8"/>
        <v>0</v>
      </c>
    </row>
    <row r="522" spans="2:14">
      <c r="B522" s="46"/>
      <c r="C522" s="46"/>
      <c r="D522" s="1604"/>
      <c r="E522" s="1542"/>
      <c r="F522" s="169">
        <v>0</v>
      </c>
      <c r="H522" s="46"/>
      <c r="I522" s="46"/>
      <c r="J522" s="1604"/>
      <c r="K522" s="1542"/>
      <c r="L522" s="169">
        <v>0</v>
      </c>
      <c r="N522" s="169">
        <f t="shared" si="8"/>
        <v>0</v>
      </c>
    </row>
    <row r="523" spans="2:14">
      <c r="B523" s="46"/>
      <c r="C523" s="46"/>
      <c r="D523" s="1545"/>
      <c r="E523" s="1510" t="s">
        <v>128</v>
      </c>
      <c r="F523" s="1593">
        <v>46255193.755286314</v>
      </c>
      <c r="H523" s="46"/>
      <c r="I523" s="46"/>
      <c r="J523" s="1545"/>
      <c r="K523" s="1510" t="s">
        <v>128</v>
      </c>
      <c r="L523" s="1593">
        <v>46255193.755286314</v>
      </c>
      <c r="N523" s="1593">
        <f t="shared" si="8"/>
        <v>0</v>
      </c>
    </row>
    <row r="524" spans="2:14">
      <c r="B524" s="46"/>
      <c r="C524" s="46"/>
      <c r="D524" s="1605"/>
      <c r="E524" s="1541"/>
      <c r="F524" s="1593"/>
      <c r="H524" s="46"/>
      <c r="I524" s="46"/>
      <c r="J524" s="1605"/>
      <c r="K524" s="1541"/>
      <c r="L524" s="1593"/>
      <c r="N524" s="1593">
        <f t="shared" si="8"/>
        <v>0</v>
      </c>
    </row>
    <row r="525" spans="2:14">
      <c r="B525" s="27"/>
      <c r="C525" s="27"/>
      <c r="D525" s="1605"/>
      <c r="E525" s="1541"/>
      <c r="F525" s="1593"/>
      <c r="H525" s="27"/>
      <c r="I525" s="27"/>
      <c r="J525" s="1605"/>
      <c r="K525" s="1541"/>
      <c r="L525" s="1593"/>
      <c r="N525" s="1593">
        <f t="shared" si="8"/>
        <v>0</v>
      </c>
    </row>
    <row r="526" spans="2:14">
      <c r="B526" s="27"/>
      <c r="C526" s="27"/>
      <c r="D526" s="1545" t="s">
        <v>111</v>
      </c>
      <c r="E526" s="1546"/>
      <c r="F526" s="1545"/>
      <c r="H526" s="27"/>
      <c r="I526" s="27"/>
      <c r="J526" s="1545" t="s">
        <v>111</v>
      </c>
      <c r="K526" s="1546"/>
      <c r="L526" s="1545"/>
      <c r="N526" s="1545">
        <f t="shared" si="8"/>
        <v>0</v>
      </c>
    </row>
    <row r="527" spans="2:14">
      <c r="B527" s="27"/>
      <c r="C527" s="27"/>
      <c r="D527" s="1545" t="s">
        <v>112</v>
      </c>
      <c r="E527" s="1546"/>
      <c r="F527" s="1593"/>
      <c r="H527" s="27"/>
      <c r="I527" s="27"/>
      <c r="J527" s="1545" t="s">
        <v>112</v>
      </c>
      <c r="K527" s="1546"/>
      <c r="L527" s="1593"/>
      <c r="N527" s="1593">
        <f t="shared" si="8"/>
        <v>0</v>
      </c>
    </row>
    <row r="528" spans="2:14">
      <c r="B528" s="46"/>
      <c r="C528" s="46"/>
      <c r="D528" s="1545">
        <v>2210100</v>
      </c>
      <c r="E528" s="1546" t="s">
        <v>16</v>
      </c>
      <c r="F528" s="1593">
        <v>116000</v>
      </c>
      <c r="H528" s="46"/>
      <c r="I528" s="46"/>
      <c r="J528" s="1545">
        <v>2210100</v>
      </c>
      <c r="K528" s="1546" t="s">
        <v>16</v>
      </c>
      <c r="L528" s="1593">
        <v>116000</v>
      </c>
      <c r="N528" s="1593">
        <f t="shared" si="8"/>
        <v>0</v>
      </c>
    </row>
    <row r="529" spans="2:14">
      <c r="B529" s="46"/>
      <c r="C529" s="46"/>
      <c r="D529" s="80">
        <v>2210101</v>
      </c>
      <c r="E529" s="158" t="s">
        <v>17</v>
      </c>
      <c r="F529" s="169">
        <v>58000</v>
      </c>
      <c r="H529" s="46"/>
      <c r="I529" s="46"/>
      <c r="J529" s="80">
        <v>2210101</v>
      </c>
      <c r="K529" s="158" t="s">
        <v>17</v>
      </c>
      <c r="L529" s="169">
        <v>58000</v>
      </c>
      <c r="N529" s="169">
        <f t="shared" si="8"/>
        <v>0</v>
      </c>
    </row>
    <row r="530" spans="2:14">
      <c r="B530" s="27"/>
      <c r="C530" s="27"/>
      <c r="D530" s="80">
        <v>2210102</v>
      </c>
      <c r="E530" s="158" t="s">
        <v>18</v>
      </c>
      <c r="F530" s="169">
        <v>58000</v>
      </c>
      <c r="H530" s="27"/>
      <c r="I530" s="27"/>
      <c r="J530" s="80">
        <v>2210102</v>
      </c>
      <c r="K530" s="158" t="s">
        <v>18</v>
      </c>
      <c r="L530" s="169">
        <v>58000</v>
      </c>
      <c r="N530" s="169">
        <f t="shared" si="8"/>
        <v>0</v>
      </c>
    </row>
    <row r="531" spans="2:14">
      <c r="B531" s="46"/>
      <c r="C531" s="46"/>
      <c r="D531" s="1545">
        <v>2210200</v>
      </c>
      <c r="E531" s="1546" t="s">
        <v>20</v>
      </c>
      <c r="F531" s="1593">
        <v>591600</v>
      </c>
      <c r="H531" s="46"/>
      <c r="I531" s="46"/>
      <c r="J531" s="1545">
        <v>2210200</v>
      </c>
      <c r="K531" s="1546" t="s">
        <v>20</v>
      </c>
      <c r="L531" s="1593">
        <v>591600</v>
      </c>
      <c r="N531" s="1593">
        <f t="shared" si="8"/>
        <v>0</v>
      </c>
    </row>
    <row r="532" spans="2:14">
      <c r="B532" s="46"/>
      <c r="C532" s="46"/>
      <c r="D532" s="80">
        <v>2210201</v>
      </c>
      <c r="E532" s="158" t="s">
        <v>113</v>
      </c>
      <c r="F532" s="169">
        <v>580000</v>
      </c>
      <c r="H532" s="46"/>
      <c r="I532" s="46"/>
      <c r="J532" s="80">
        <v>2210201</v>
      </c>
      <c r="K532" s="158" t="s">
        <v>113</v>
      </c>
      <c r="L532" s="169">
        <v>580000</v>
      </c>
      <c r="N532" s="169">
        <f t="shared" si="8"/>
        <v>0</v>
      </c>
    </row>
    <row r="533" spans="2:14">
      <c r="B533" s="27"/>
      <c r="C533" s="27"/>
      <c r="D533" s="80">
        <v>2210103</v>
      </c>
      <c r="E533" s="158" t="s">
        <v>23</v>
      </c>
      <c r="F533" s="169">
        <v>11600</v>
      </c>
      <c r="H533" s="27"/>
      <c r="I533" s="27"/>
      <c r="J533" s="80">
        <v>2210103</v>
      </c>
      <c r="K533" s="158" t="s">
        <v>23</v>
      </c>
      <c r="L533" s="169">
        <v>11600</v>
      </c>
      <c r="N533" s="169">
        <f t="shared" si="8"/>
        <v>0</v>
      </c>
    </row>
    <row r="534" spans="2:14">
      <c r="B534" s="46"/>
      <c r="C534" s="46"/>
      <c r="D534" s="1545">
        <v>2210300</v>
      </c>
      <c r="E534" s="1546" t="s">
        <v>24</v>
      </c>
      <c r="F534" s="1593">
        <v>1230000</v>
      </c>
      <c r="H534" s="46"/>
      <c r="I534" s="46"/>
      <c r="J534" s="1545">
        <v>2210300</v>
      </c>
      <c r="K534" s="1546" t="s">
        <v>24</v>
      </c>
      <c r="L534" s="1593">
        <v>1230000</v>
      </c>
      <c r="N534" s="1593">
        <f t="shared" si="8"/>
        <v>0</v>
      </c>
    </row>
    <row r="535" spans="2:14">
      <c r="B535" s="46"/>
      <c r="C535" s="46"/>
      <c r="D535" s="80">
        <v>2210301</v>
      </c>
      <c r="E535" s="158" t="s">
        <v>25</v>
      </c>
      <c r="F535" s="169">
        <v>378500</v>
      </c>
      <c r="H535" s="46"/>
      <c r="I535" s="46"/>
      <c r="J535" s="80">
        <v>2210301</v>
      </c>
      <c r="K535" s="158" t="s">
        <v>25</v>
      </c>
      <c r="L535" s="169">
        <v>378500</v>
      </c>
      <c r="N535" s="169">
        <f t="shared" si="8"/>
        <v>0</v>
      </c>
    </row>
    <row r="536" spans="2:14">
      <c r="B536" s="46"/>
      <c r="C536" s="46"/>
      <c r="D536" s="80">
        <v>2210302</v>
      </c>
      <c r="E536" s="158" t="s">
        <v>26</v>
      </c>
      <c r="F536" s="169">
        <v>342500</v>
      </c>
      <c r="H536" s="46"/>
      <c r="I536" s="46"/>
      <c r="J536" s="80">
        <v>2210302</v>
      </c>
      <c r="K536" s="158" t="s">
        <v>26</v>
      </c>
      <c r="L536" s="169">
        <v>342500</v>
      </c>
      <c r="N536" s="169">
        <f t="shared" si="8"/>
        <v>0</v>
      </c>
    </row>
    <row r="537" spans="2:14">
      <c r="B537" s="46"/>
      <c r="C537" s="46"/>
      <c r="D537" s="80">
        <v>2210303</v>
      </c>
      <c r="E537" s="158" t="s">
        <v>27</v>
      </c>
      <c r="F537" s="169">
        <v>335000</v>
      </c>
      <c r="H537" s="46"/>
      <c r="I537" s="46"/>
      <c r="J537" s="80">
        <v>2210303</v>
      </c>
      <c r="K537" s="158" t="s">
        <v>27</v>
      </c>
      <c r="L537" s="169">
        <v>335000</v>
      </c>
      <c r="N537" s="169">
        <f t="shared" si="8"/>
        <v>0</v>
      </c>
    </row>
    <row r="538" spans="2:14">
      <c r="B538" s="27"/>
      <c r="C538" s="27"/>
      <c r="D538" s="80">
        <v>2210304</v>
      </c>
      <c r="E538" s="158" t="s">
        <v>28</v>
      </c>
      <c r="F538" s="169">
        <v>174000</v>
      </c>
      <c r="H538" s="27"/>
      <c r="I538" s="27"/>
      <c r="J538" s="80">
        <v>2210304</v>
      </c>
      <c r="K538" s="158" t="s">
        <v>28</v>
      </c>
      <c r="L538" s="169">
        <v>174000</v>
      </c>
      <c r="N538" s="169">
        <f t="shared" si="8"/>
        <v>0</v>
      </c>
    </row>
    <row r="539" spans="2:14">
      <c r="B539" s="46"/>
      <c r="C539" s="46"/>
      <c r="D539" s="1509">
        <v>2210400</v>
      </c>
      <c r="E539" s="1592" t="s">
        <v>29</v>
      </c>
      <c r="F539" s="1593">
        <v>460000</v>
      </c>
      <c r="H539" s="46"/>
      <c r="I539" s="46"/>
      <c r="J539" s="1509">
        <v>2210400</v>
      </c>
      <c r="K539" s="1592" t="s">
        <v>29</v>
      </c>
      <c r="L539" s="1593">
        <v>460000</v>
      </c>
      <c r="N539" s="1593">
        <f t="shared" si="8"/>
        <v>0</v>
      </c>
    </row>
    <row r="540" spans="2:14">
      <c r="B540" s="46"/>
      <c r="C540" s="46"/>
      <c r="D540" s="28">
        <v>2210401</v>
      </c>
      <c r="E540" s="1594" t="s">
        <v>25</v>
      </c>
      <c r="F540" s="169">
        <v>232000</v>
      </c>
      <c r="H540" s="46"/>
      <c r="I540" s="46"/>
      <c r="J540" s="28">
        <v>2210401</v>
      </c>
      <c r="K540" s="1594" t="s">
        <v>25</v>
      </c>
      <c r="L540" s="169">
        <v>232000</v>
      </c>
      <c r="N540" s="169">
        <f t="shared" si="8"/>
        <v>0</v>
      </c>
    </row>
    <row r="541" spans="2:14">
      <c r="B541" s="46"/>
      <c r="C541" s="46"/>
      <c r="D541" s="28">
        <v>2210402</v>
      </c>
      <c r="E541" s="1594" t="s">
        <v>30</v>
      </c>
      <c r="F541" s="169">
        <v>170000</v>
      </c>
      <c r="H541" s="46"/>
      <c r="I541" s="46"/>
      <c r="J541" s="28">
        <v>2210402</v>
      </c>
      <c r="K541" s="1594" t="s">
        <v>30</v>
      </c>
      <c r="L541" s="169">
        <v>170000</v>
      </c>
      <c r="N541" s="169">
        <f t="shared" si="8"/>
        <v>0</v>
      </c>
    </row>
    <row r="542" spans="2:14">
      <c r="B542" s="27"/>
      <c r="C542" s="27"/>
      <c r="D542" s="28">
        <v>2210404</v>
      </c>
      <c r="E542" s="1594" t="s">
        <v>28</v>
      </c>
      <c r="F542" s="169">
        <v>58000</v>
      </c>
      <c r="H542" s="27"/>
      <c r="I542" s="27"/>
      <c r="J542" s="28">
        <v>2210404</v>
      </c>
      <c r="K542" s="1594" t="s">
        <v>28</v>
      </c>
      <c r="L542" s="169">
        <v>58000</v>
      </c>
      <c r="N542" s="169">
        <f t="shared" si="8"/>
        <v>0</v>
      </c>
    </row>
    <row r="543" spans="2:14">
      <c r="B543" s="46"/>
      <c r="C543" s="46"/>
      <c r="D543" s="1545">
        <v>2210500</v>
      </c>
      <c r="E543" s="1546" t="s">
        <v>31</v>
      </c>
      <c r="F543" s="1593">
        <v>153700</v>
      </c>
      <c r="H543" s="46"/>
      <c r="I543" s="46"/>
      <c r="J543" s="1545">
        <v>2210500</v>
      </c>
      <c r="K543" s="1546" t="s">
        <v>31</v>
      </c>
      <c r="L543" s="1593">
        <v>153700</v>
      </c>
      <c r="N543" s="1593">
        <f t="shared" si="8"/>
        <v>0</v>
      </c>
    </row>
    <row r="544" spans="2:14">
      <c r="B544" s="46"/>
      <c r="C544" s="46"/>
      <c r="D544" s="80">
        <v>2210502</v>
      </c>
      <c r="E544" s="158" t="s">
        <v>105</v>
      </c>
      <c r="F544" s="169">
        <v>95700</v>
      </c>
      <c r="H544" s="46"/>
      <c r="I544" s="46"/>
      <c r="J544" s="80">
        <v>2210502</v>
      </c>
      <c r="K544" s="158" t="s">
        <v>105</v>
      </c>
      <c r="L544" s="169">
        <v>95700</v>
      </c>
      <c r="N544" s="169">
        <f t="shared" si="8"/>
        <v>0</v>
      </c>
    </row>
    <row r="545" spans="2:14">
      <c r="B545" s="27"/>
      <c r="C545" s="27"/>
      <c r="D545" s="80">
        <v>2210503</v>
      </c>
      <c r="E545" s="158" t="s">
        <v>32</v>
      </c>
      <c r="F545" s="169">
        <v>58000</v>
      </c>
      <c r="H545" s="27"/>
      <c r="I545" s="27"/>
      <c r="J545" s="80">
        <v>2210503</v>
      </c>
      <c r="K545" s="158" t="s">
        <v>32</v>
      </c>
      <c r="L545" s="169">
        <v>58000</v>
      </c>
      <c r="N545" s="169">
        <f t="shared" si="8"/>
        <v>0</v>
      </c>
    </row>
    <row r="546" spans="2:14">
      <c r="B546" s="46"/>
      <c r="C546" s="46"/>
      <c r="D546" s="1545">
        <v>2210700</v>
      </c>
      <c r="E546" s="1546" t="s">
        <v>114</v>
      </c>
      <c r="F546" s="1593">
        <v>1250000</v>
      </c>
      <c r="H546" s="46"/>
      <c r="I546" s="46"/>
      <c r="J546" s="1545">
        <v>2210700</v>
      </c>
      <c r="K546" s="1546" t="s">
        <v>114</v>
      </c>
      <c r="L546" s="1593">
        <v>1250000</v>
      </c>
      <c r="N546" s="1593">
        <f t="shared" si="8"/>
        <v>0</v>
      </c>
    </row>
    <row r="547" spans="2:14">
      <c r="B547" s="46"/>
      <c r="C547" s="46"/>
      <c r="D547" s="80">
        <v>2210701</v>
      </c>
      <c r="E547" s="158" t="s">
        <v>36</v>
      </c>
      <c r="F547" s="169">
        <v>464000</v>
      </c>
      <c r="H547" s="46"/>
      <c r="I547" s="46"/>
      <c r="J547" s="80">
        <v>2210701</v>
      </c>
      <c r="K547" s="158" t="s">
        <v>36</v>
      </c>
      <c r="L547" s="169">
        <v>464000</v>
      </c>
      <c r="N547" s="169">
        <f t="shared" si="8"/>
        <v>0</v>
      </c>
    </row>
    <row r="548" spans="2:14">
      <c r="B548" s="46"/>
      <c r="C548" s="46"/>
      <c r="D548" s="80">
        <v>2210703</v>
      </c>
      <c r="E548" s="158" t="s">
        <v>107</v>
      </c>
      <c r="F548" s="169">
        <v>145000</v>
      </c>
      <c r="H548" s="46"/>
      <c r="I548" s="46"/>
      <c r="J548" s="80">
        <v>2210703</v>
      </c>
      <c r="K548" s="158" t="s">
        <v>107</v>
      </c>
      <c r="L548" s="169">
        <v>145000</v>
      </c>
      <c r="N548" s="169">
        <f t="shared" si="8"/>
        <v>0</v>
      </c>
    </row>
    <row r="549" spans="2:14">
      <c r="B549" s="46"/>
      <c r="C549" s="46"/>
      <c r="D549" s="80">
        <v>2210704</v>
      </c>
      <c r="E549" s="158" t="s">
        <v>38</v>
      </c>
      <c r="F549" s="169">
        <v>87000</v>
      </c>
      <c r="H549" s="46"/>
      <c r="I549" s="46"/>
      <c r="J549" s="80">
        <v>2210704</v>
      </c>
      <c r="K549" s="158" t="s">
        <v>38</v>
      </c>
      <c r="L549" s="169">
        <v>87000</v>
      </c>
      <c r="N549" s="169">
        <f t="shared" si="8"/>
        <v>0</v>
      </c>
    </row>
    <row r="550" spans="2:14">
      <c r="B550" s="46"/>
      <c r="C550" s="46"/>
      <c r="D550" s="80">
        <v>2210708</v>
      </c>
      <c r="E550" s="158" t="s">
        <v>115</v>
      </c>
      <c r="F550" s="169">
        <v>174000</v>
      </c>
      <c r="H550" s="46"/>
      <c r="I550" s="46"/>
      <c r="J550" s="80">
        <v>2210708</v>
      </c>
      <c r="K550" s="158" t="s">
        <v>115</v>
      </c>
      <c r="L550" s="169">
        <v>174000</v>
      </c>
      <c r="N550" s="169">
        <f t="shared" si="8"/>
        <v>0</v>
      </c>
    </row>
    <row r="551" spans="2:14">
      <c r="B551" s="27"/>
      <c r="C551" s="27"/>
      <c r="D551" s="80">
        <v>2210710</v>
      </c>
      <c r="E551" s="158" t="s">
        <v>39</v>
      </c>
      <c r="F551" s="169">
        <v>380000</v>
      </c>
      <c r="H551" s="27"/>
      <c r="I551" s="27"/>
      <c r="J551" s="80">
        <v>2210710</v>
      </c>
      <c r="K551" s="158" t="s">
        <v>39</v>
      </c>
      <c r="L551" s="169">
        <v>380000</v>
      </c>
      <c r="N551" s="169">
        <f t="shared" si="8"/>
        <v>0</v>
      </c>
    </row>
    <row r="552" spans="2:14">
      <c r="B552" s="46"/>
      <c r="C552" s="46"/>
      <c r="D552" s="1545">
        <v>2210800</v>
      </c>
      <c r="E552" s="1546" t="s">
        <v>42</v>
      </c>
      <c r="F552" s="1593">
        <v>570800</v>
      </c>
      <c r="H552" s="46"/>
      <c r="I552" s="46"/>
      <c r="J552" s="1545">
        <v>2210800</v>
      </c>
      <c r="K552" s="1546" t="s">
        <v>42</v>
      </c>
      <c r="L552" s="1593">
        <v>570800</v>
      </c>
      <c r="N552" s="1593">
        <f t="shared" si="8"/>
        <v>0</v>
      </c>
    </row>
    <row r="553" spans="2:14">
      <c r="B553" s="46"/>
      <c r="C553" s="46"/>
      <c r="D553" s="80">
        <v>2210801</v>
      </c>
      <c r="E553" s="158" t="s">
        <v>43</v>
      </c>
      <c r="F553" s="169">
        <v>174000</v>
      </c>
      <c r="H553" s="46"/>
      <c r="I553" s="46"/>
      <c r="J553" s="80">
        <v>2210801</v>
      </c>
      <c r="K553" s="158" t="s">
        <v>43</v>
      </c>
      <c r="L553" s="169">
        <v>174000</v>
      </c>
      <c r="N553" s="169">
        <f t="shared" si="8"/>
        <v>0</v>
      </c>
    </row>
    <row r="554" spans="2:14">
      <c r="B554" s="46"/>
      <c r="C554" s="46"/>
      <c r="D554" s="80">
        <v>2210802</v>
      </c>
      <c r="E554" s="158" t="s">
        <v>97</v>
      </c>
      <c r="F554" s="169">
        <v>261000</v>
      </c>
      <c r="H554" s="46"/>
      <c r="I554" s="46"/>
      <c r="J554" s="80">
        <v>2210802</v>
      </c>
      <c r="K554" s="158" t="s">
        <v>97</v>
      </c>
      <c r="L554" s="169">
        <v>261000</v>
      </c>
      <c r="N554" s="169">
        <f t="shared" si="8"/>
        <v>0</v>
      </c>
    </row>
    <row r="555" spans="2:14">
      <c r="B555" s="46"/>
      <c r="C555" s="46"/>
      <c r="D555" s="80">
        <v>2210805</v>
      </c>
      <c r="E555" s="158" t="s">
        <v>116</v>
      </c>
      <c r="F555" s="169">
        <v>120000</v>
      </c>
      <c r="H555" s="46"/>
      <c r="I555" s="46"/>
      <c r="J555" s="80">
        <v>2210805</v>
      </c>
      <c r="K555" s="158" t="s">
        <v>116</v>
      </c>
      <c r="L555" s="169">
        <v>120000</v>
      </c>
      <c r="N555" s="169">
        <f t="shared" si="8"/>
        <v>0</v>
      </c>
    </row>
    <row r="556" spans="2:14">
      <c r="B556" s="27"/>
      <c r="C556" s="27"/>
      <c r="D556" s="80">
        <v>2210807</v>
      </c>
      <c r="E556" s="158" t="s">
        <v>117</v>
      </c>
      <c r="F556" s="169">
        <v>15800</v>
      </c>
      <c r="H556" s="27"/>
      <c r="I556" s="27"/>
      <c r="J556" s="80">
        <v>2210807</v>
      </c>
      <c r="K556" s="158" t="s">
        <v>117</v>
      </c>
      <c r="L556" s="169">
        <v>15800</v>
      </c>
      <c r="N556" s="169">
        <f t="shared" si="8"/>
        <v>0</v>
      </c>
    </row>
    <row r="557" spans="2:14">
      <c r="B557" s="46"/>
      <c r="C557" s="46"/>
      <c r="D557" s="1545">
        <v>2211000</v>
      </c>
      <c r="E557" s="1546" t="s">
        <v>118</v>
      </c>
      <c r="F557" s="1593">
        <v>160000</v>
      </c>
      <c r="H557" s="46"/>
      <c r="I557" s="46"/>
      <c r="J557" s="1545">
        <v>2211000</v>
      </c>
      <c r="K557" s="1546" t="s">
        <v>118</v>
      </c>
      <c r="L557" s="1593">
        <v>160000</v>
      </c>
      <c r="N557" s="1593">
        <f t="shared" si="8"/>
        <v>0</v>
      </c>
    </row>
    <row r="558" spans="2:14">
      <c r="B558" s="27"/>
      <c r="C558" s="27"/>
      <c r="D558" s="80">
        <v>2211011</v>
      </c>
      <c r="E558" s="158" t="s">
        <v>119</v>
      </c>
      <c r="F558" s="169">
        <v>160000</v>
      </c>
      <c r="H558" s="27"/>
      <c r="I558" s="27"/>
      <c r="J558" s="80">
        <v>2211011</v>
      </c>
      <c r="K558" s="158" t="s">
        <v>119</v>
      </c>
      <c r="L558" s="169">
        <v>160000</v>
      </c>
      <c r="N558" s="169">
        <f t="shared" si="8"/>
        <v>0</v>
      </c>
    </row>
    <row r="559" spans="2:14">
      <c r="B559" s="46"/>
      <c r="C559" s="46"/>
      <c r="D559" s="1545">
        <v>2211100</v>
      </c>
      <c r="E559" s="1546" t="s">
        <v>51</v>
      </c>
      <c r="F559" s="1593">
        <v>432982.7</v>
      </c>
      <c r="H559" s="46"/>
      <c r="I559" s="46"/>
      <c r="J559" s="1545">
        <v>2211100</v>
      </c>
      <c r="K559" s="1546" t="s">
        <v>51</v>
      </c>
      <c r="L559" s="1593">
        <v>432982.7</v>
      </c>
      <c r="N559" s="1593">
        <f t="shared" si="8"/>
        <v>0</v>
      </c>
    </row>
    <row r="560" spans="2:14" ht="30">
      <c r="B560" s="46"/>
      <c r="C560" s="46"/>
      <c r="D560" s="80">
        <v>2211101</v>
      </c>
      <c r="E560" s="158" t="s">
        <v>1574</v>
      </c>
      <c r="F560" s="169">
        <v>231000</v>
      </c>
      <c r="H560" s="46"/>
      <c r="I560" s="46"/>
      <c r="J560" s="80">
        <v>2211101</v>
      </c>
      <c r="K560" s="158" t="s">
        <v>1574</v>
      </c>
      <c r="L560" s="169">
        <v>231000</v>
      </c>
      <c r="N560" s="169">
        <f t="shared" si="8"/>
        <v>0</v>
      </c>
    </row>
    <row r="561" spans="2:14">
      <c r="B561" s="46"/>
      <c r="C561" s="46"/>
      <c r="D561" s="80">
        <v>2211102</v>
      </c>
      <c r="E561" s="158" t="s">
        <v>53</v>
      </c>
      <c r="F561" s="169">
        <v>80000</v>
      </c>
      <c r="H561" s="46"/>
      <c r="I561" s="46"/>
      <c r="J561" s="80">
        <v>2211102</v>
      </c>
      <c r="K561" s="158" t="s">
        <v>53</v>
      </c>
      <c r="L561" s="169">
        <v>80000</v>
      </c>
      <c r="N561" s="169">
        <f t="shared" si="8"/>
        <v>0</v>
      </c>
    </row>
    <row r="562" spans="2:14">
      <c r="B562" s="27"/>
      <c r="C562" s="27"/>
      <c r="D562" s="80">
        <v>2211103</v>
      </c>
      <c r="E562" s="158" t="s">
        <v>54</v>
      </c>
      <c r="F562" s="169">
        <v>121982.7</v>
      </c>
      <c r="H562" s="27"/>
      <c r="I562" s="27"/>
      <c r="J562" s="80">
        <v>2211103</v>
      </c>
      <c r="K562" s="158" t="s">
        <v>54</v>
      </c>
      <c r="L562" s="169">
        <v>121982.7</v>
      </c>
      <c r="N562" s="169">
        <f t="shared" si="8"/>
        <v>0</v>
      </c>
    </row>
    <row r="563" spans="2:14">
      <c r="B563" s="46"/>
      <c r="C563" s="46"/>
      <c r="D563" s="1509">
        <v>2211200</v>
      </c>
      <c r="E563" s="1592" t="s">
        <v>55</v>
      </c>
      <c r="F563" s="1593">
        <v>580000</v>
      </c>
      <c r="H563" s="46"/>
      <c r="I563" s="46"/>
      <c r="J563" s="1509">
        <v>2211200</v>
      </c>
      <c r="K563" s="1592" t="s">
        <v>55</v>
      </c>
      <c r="L563" s="1593">
        <v>580000</v>
      </c>
      <c r="N563" s="1593">
        <f t="shared" si="8"/>
        <v>0</v>
      </c>
    </row>
    <row r="564" spans="2:14">
      <c r="B564" s="27"/>
      <c r="C564" s="27"/>
      <c r="D564" s="28">
        <v>2211201</v>
      </c>
      <c r="E564" s="1594" t="s">
        <v>56</v>
      </c>
      <c r="F564" s="169">
        <v>580000</v>
      </c>
      <c r="H564" s="27"/>
      <c r="I564" s="27"/>
      <c r="J564" s="28">
        <v>2211201</v>
      </c>
      <c r="K564" s="1594" t="s">
        <v>56</v>
      </c>
      <c r="L564" s="169">
        <v>580000</v>
      </c>
      <c r="N564" s="169">
        <f t="shared" si="8"/>
        <v>0</v>
      </c>
    </row>
    <row r="565" spans="2:14">
      <c r="B565" s="46"/>
      <c r="C565" s="46"/>
      <c r="D565" s="1509">
        <v>2211300</v>
      </c>
      <c r="E565" s="1592" t="s">
        <v>57</v>
      </c>
      <c r="F565" s="1593">
        <v>256000</v>
      </c>
      <c r="H565" s="46"/>
      <c r="I565" s="46"/>
      <c r="J565" s="1509">
        <v>2211300</v>
      </c>
      <c r="K565" s="1592" t="s">
        <v>57</v>
      </c>
      <c r="L565" s="1593">
        <v>256000</v>
      </c>
      <c r="N565" s="1593">
        <f t="shared" si="8"/>
        <v>0</v>
      </c>
    </row>
    <row r="566" spans="2:14" ht="45">
      <c r="B566" s="46"/>
      <c r="C566" s="46"/>
      <c r="D566" s="28" t="s">
        <v>121</v>
      </c>
      <c r="E566" s="1608" t="s">
        <v>122</v>
      </c>
      <c r="F566" s="169">
        <v>122000</v>
      </c>
      <c r="H566" s="46"/>
      <c r="I566" s="46"/>
      <c r="J566" s="28" t="s">
        <v>121</v>
      </c>
      <c r="K566" s="1608" t="s">
        <v>122</v>
      </c>
      <c r="L566" s="169">
        <v>122000</v>
      </c>
      <c r="N566" s="169">
        <f t="shared" si="8"/>
        <v>0</v>
      </c>
    </row>
    <row r="567" spans="2:14">
      <c r="B567" s="27"/>
      <c r="C567" s="27"/>
      <c r="D567" s="28" t="s">
        <v>121</v>
      </c>
      <c r="E567" s="1608" t="s">
        <v>123</v>
      </c>
      <c r="F567" s="169">
        <v>134000</v>
      </c>
      <c r="H567" s="27"/>
      <c r="I567" s="27"/>
      <c r="J567" s="28" t="s">
        <v>121</v>
      </c>
      <c r="K567" s="1608" t="s">
        <v>123</v>
      </c>
      <c r="L567" s="169">
        <v>134000</v>
      </c>
      <c r="N567" s="169">
        <f t="shared" si="8"/>
        <v>0</v>
      </c>
    </row>
    <row r="568" spans="2:14">
      <c r="B568" s="46"/>
      <c r="C568" s="46"/>
      <c r="D568" s="1545">
        <v>2220100</v>
      </c>
      <c r="E568" s="1546" t="s">
        <v>62</v>
      </c>
      <c r="F568" s="1593">
        <v>282600</v>
      </c>
      <c r="H568" s="46"/>
      <c r="I568" s="46"/>
      <c r="J568" s="1545">
        <v>2220100</v>
      </c>
      <c r="K568" s="1546" t="s">
        <v>62</v>
      </c>
      <c r="L568" s="1593">
        <v>282600</v>
      </c>
      <c r="N568" s="1593">
        <f t="shared" si="8"/>
        <v>0</v>
      </c>
    </row>
    <row r="569" spans="2:14">
      <c r="B569" s="46"/>
      <c r="C569" s="46"/>
      <c r="D569" s="80">
        <v>2220101</v>
      </c>
      <c r="E569" s="158" t="s">
        <v>63</v>
      </c>
      <c r="F569" s="169">
        <v>272000</v>
      </c>
      <c r="H569" s="46"/>
      <c r="I569" s="46"/>
      <c r="J569" s="80">
        <v>2220101</v>
      </c>
      <c r="K569" s="158" t="s">
        <v>63</v>
      </c>
      <c r="L569" s="169">
        <v>272000</v>
      </c>
      <c r="N569" s="169">
        <f t="shared" si="8"/>
        <v>0</v>
      </c>
    </row>
    <row r="570" spans="2:14">
      <c r="B570" s="27"/>
      <c r="C570" s="27"/>
      <c r="D570" s="80">
        <v>2220105</v>
      </c>
      <c r="E570" s="158" t="s">
        <v>64</v>
      </c>
      <c r="F570" s="169">
        <v>10600</v>
      </c>
      <c r="H570" s="27"/>
      <c r="I570" s="27"/>
      <c r="J570" s="80">
        <v>2220105</v>
      </c>
      <c r="K570" s="158" t="s">
        <v>64</v>
      </c>
      <c r="L570" s="169">
        <v>10600</v>
      </c>
      <c r="N570" s="169">
        <f t="shared" si="8"/>
        <v>0</v>
      </c>
    </row>
    <row r="571" spans="2:14">
      <c r="B571" s="46"/>
      <c r="C571" s="46"/>
      <c r="D571" s="1545">
        <v>2220200</v>
      </c>
      <c r="E571" s="1546" t="s">
        <v>124</v>
      </c>
      <c r="F571" s="1593">
        <v>276000</v>
      </c>
      <c r="H571" s="46"/>
      <c r="I571" s="46"/>
      <c r="J571" s="1545">
        <v>2220200</v>
      </c>
      <c r="K571" s="1546" t="s">
        <v>124</v>
      </c>
      <c r="L571" s="1593">
        <v>276000</v>
      </c>
      <c r="N571" s="1593">
        <f t="shared" si="8"/>
        <v>0</v>
      </c>
    </row>
    <row r="572" spans="2:14">
      <c r="B572" s="46"/>
      <c r="C572" s="46"/>
      <c r="D572" s="80">
        <v>2220202</v>
      </c>
      <c r="E572" s="158" t="s">
        <v>87</v>
      </c>
      <c r="F572" s="169">
        <v>80000</v>
      </c>
      <c r="H572" s="46"/>
      <c r="I572" s="46"/>
      <c r="J572" s="80">
        <v>2220202</v>
      </c>
      <c r="K572" s="158" t="s">
        <v>87</v>
      </c>
      <c r="L572" s="169">
        <v>80000</v>
      </c>
      <c r="N572" s="169">
        <f t="shared" si="8"/>
        <v>0</v>
      </c>
    </row>
    <row r="573" spans="2:14">
      <c r="B573" s="27"/>
      <c r="C573" s="27"/>
      <c r="D573" s="80">
        <v>2220205</v>
      </c>
      <c r="E573" s="158" t="s">
        <v>125</v>
      </c>
      <c r="F573" s="169">
        <v>196000</v>
      </c>
      <c r="H573" s="27"/>
      <c r="I573" s="27"/>
      <c r="J573" s="80">
        <v>2220205</v>
      </c>
      <c r="K573" s="158" t="s">
        <v>125</v>
      </c>
      <c r="L573" s="169">
        <v>196000</v>
      </c>
      <c r="N573" s="169">
        <f t="shared" si="8"/>
        <v>0</v>
      </c>
    </row>
    <row r="574" spans="2:14">
      <c r="B574" s="46"/>
      <c r="C574" s="46"/>
      <c r="D574" s="1545">
        <v>3111000</v>
      </c>
      <c r="E574" s="1546" t="s">
        <v>69</v>
      </c>
      <c r="F574" s="1593">
        <v>520000</v>
      </c>
      <c r="H574" s="46"/>
      <c r="I574" s="46"/>
      <c r="J574" s="1545">
        <v>3111000</v>
      </c>
      <c r="K574" s="1546" t="s">
        <v>69</v>
      </c>
      <c r="L574" s="1593">
        <v>520000</v>
      </c>
      <c r="N574" s="1593">
        <f t="shared" si="8"/>
        <v>0</v>
      </c>
    </row>
    <row r="575" spans="2:14">
      <c r="B575" s="46"/>
      <c r="C575" s="46"/>
      <c r="D575" s="80">
        <v>3111001</v>
      </c>
      <c r="E575" s="158" t="s">
        <v>70</v>
      </c>
      <c r="F575" s="169">
        <v>230000</v>
      </c>
      <c r="H575" s="46"/>
      <c r="I575" s="46"/>
      <c r="J575" s="80">
        <v>3111001</v>
      </c>
      <c r="K575" s="158" t="s">
        <v>70</v>
      </c>
      <c r="L575" s="169">
        <v>230000</v>
      </c>
      <c r="N575" s="169">
        <f t="shared" si="8"/>
        <v>0</v>
      </c>
    </row>
    <row r="576" spans="2:14">
      <c r="B576" s="1509"/>
      <c r="C576" s="1509"/>
      <c r="D576" s="28">
        <v>3111002</v>
      </c>
      <c r="E576" s="1542" t="s">
        <v>71</v>
      </c>
      <c r="F576" s="169">
        <v>290000</v>
      </c>
      <c r="H576" s="1509"/>
      <c r="I576" s="1509"/>
      <c r="J576" s="28">
        <v>3111002</v>
      </c>
      <c r="K576" s="1542" t="s">
        <v>71</v>
      </c>
      <c r="L576" s="169">
        <v>290000</v>
      </c>
      <c r="N576" s="169">
        <f t="shared" si="8"/>
        <v>0</v>
      </c>
    </row>
    <row r="577" spans="2:14">
      <c r="B577" s="1509"/>
      <c r="C577" s="1509"/>
      <c r="D577" s="1595">
        <v>3111400</v>
      </c>
      <c r="E577" s="1609" t="s">
        <v>126</v>
      </c>
      <c r="F577" s="1593">
        <v>0</v>
      </c>
      <c r="H577" s="1509"/>
      <c r="I577" s="1509"/>
      <c r="J577" s="1597">
        <v>3111400</v>
      </c>
      <c r="K577" s="1609" t="s">
        <v>126</v>
      </c>
      <c r="L577" s="1593">
        <v>0</v>
      </c>
      <c r="N577" s="1593">
        <f t="shared" si="8"/>
        <v>0</v>
      </c>
    </row>
    <row r="578" spans="2:14" ht="30">
      <c r="B578" s="1509"/>
      <c r="C578" s="1509"/>
      <c r="D578" s="1598">
        <v>3111401</v>
      </c>
      <c r="E578" s="1599" t="s">
        <v>127</v>
      </c>
      <c r="F578" s="169">
        <v>0</v>
      </c>
      <c r="H578" s="1509"/>
      <c r="I578" s="1509"/>
      <c r="J578" s="105">
        <v>3111401</v>
      </c>
      <c r="K578" s="1599" t="s">
        <v>127</v>
      </c>
      <c r="L578" s="169">
        <v>0</v>
      </c>
      <c r="N578" s="169">
        <f t="shared" si="8"/>
        <v>0</v>
      </c>
    </row>
    <row r="579" spans="2:14">
      <c r="B579" s="1509"/>
      <c r="C579" s="1509"/>
      <c r="D579" s="1610">
        <v>3110700</v>
      </c>
      <c r="E579" s="1611" t="s">
        <v>65</v>
      </c>
      <c r="F579" s="1603">
        <v>0</v>
      </c>
      <c r="H579" s="1509"/>
      <c r="I579" s="1509"/>
      <c r="J579" s="1610">
        <v>3110700</v>
      </c>
      <c r="K579" s="1611" t="s">
        <v>65</v>
      </c>
      <c r="L579" s="1603">
        <v>0</v>
      </c>
      <c r="N579" s="1603">
        <f t="shared" si="8"/>
        <v>0</v>
      </c>
    </row>
    <row r="580" spans="2:14">
      <c r="B580" s="1509"/>
      <c r="C580" s="1509"/>
      <c r="D580" s="1612">
        <v>3110701</v>
      </c>
      <c r="E580" s="1613" t="s">
        <v>140</v>
      </c>
      <c r="F580" s="169">
        <v>0</v>
      </c>
      <c r="H580" s="1509"/>
      <c r="I580" s="1509"/>
      <c r="J580" s="1612">
        <v>3110701</v>
      </c>
      <c r="K580" s="1613" t="s">
        <v>140</v>
      </c>
      <c r="L580" s="169">
        <v>0</v>
      </c>
      <c r="N580" s="169">
        <f t="shared" si="8"/>
        <v>0</v>
      </c>
    </row>
    <row r="581" spans="2:14">
      <c r="B581" s="1509"/>
      <c r="C581" s="1509"/>
      <c r="D581" s="1602"/>
      <c r="E581" s="1541"/>
      <c r="F581" s="1603">
        <v>0</v>
      </c>
      <c r="H581" s="1509"/>
      <c r="I581" s="1509"/>
      <c r="J581" s="1602"/>
      <c r="K581" s="1541"/>
      <c r="L581" s="1603">
        <v>0</v>
      </c>
      <c r="N581" s="1603">
        <f t="shared" si="8"/>
        <v>0</v>
      </c>
    </row>
    <row r="582" spans="2:14">
      <c r="B582" s="46"/>
      <c r="C582" s="46"/>
      <c r="D582" s="1604"/>
      <c r="E582" s="1542"/>
      <c r="F582" s="169">
        <v>0</v>
      </c>
      <c r="H582" s="46"/>
      <c r="I582" s="46"/>
      <c r="J582" s="1604"/>
      <c r="K582" s="1542"/>
      <c r="L582" s="169">
        <v>0</v>
      </c>
      <c r="N582" s="169">
        <f t="shared" si="8"/>
        <v>0</v>
      </c>
    </row>
    <row r="583" spans="2:14">
      <c r="B583" s="46"/>
      <c r="C583" s="46"/>
      <c r="D583" s="80"/>
      <c r="E583" s="1546" t="s">
        <v>128</v>
      </c>
      <c r="F583" s="1593">
        <v>6879682.7000000002</v>
      </c>
      <c r="H583" s="46"/>
      <c r="I583" s="46"/>
      <c r="J583" s="80"/>
      <c r="K583" s="1546" t="s">
        <v>128</v>
      </c>
      <c r="L583" s="1593">
        <v>6879682.7000000002</v>
      </c>
      <c r="N583" s="1593">
        <f t="shared" si="8"/>
        <v>0</v>
      </c>
    </row>
    <row r="584" spans="2:14">
      <c r="B584" s="46"/>
      <c r="C584" s="46"/>
      <c r="D584" s="80"/>
      <c r="E584" s="1546"/>
      <c r="F584" s="1593"/>
      <c r="H584" s="46"/>
      <c r="I584" s="46"/>
      <c r="J584" s="80"/>
      <c r="K584" s="1546"/>
      <c r="L584" s="1593"/>
      <c r="N584" s="1593">
        <f t="shared" ref="N584:N647" si="9">F584-L584</f>
        <v>0</v>
      </c>
    </row>
    <row r="585" spans="2:14">
      <c r="B585" s="46"/>
      <c r="C585" s="46"/>
      <c r="D585" s="1605"/>
      <c r="E585" s="158"/>
      <c r="F585" s="1606"/>
      <c r="H585" s="46"/>
      <c r="I585" s="46"/>
      <c r="J585" s="1605"/>
      <c r="K585" s="158"/>
      <c r="L585" s="1606"/>
      <c r="N585" s="1606">
        <f t="shared" si="9"/>
        <v>0</v>
      </c>
    </row>
    <row r="586" spans="2:14">
      <c r="B586" s="27"/>
      <c r="C586" s="27"/>
      <c r="D586" s="1577" t="s">
        <v>1797</v>
      </c>
      <c r="E586" s="1541"/>
      <c r="F586" s="1614"/>
      <c r="H586" s="27"/>
      <c r="I586" s="27"/>
      <c r="J586" s="1577" t="s">
        <v>1797</v>
      </c>
      <c r="K586" s="1541"/>
      <c r="L586" s="1614"/>
      <c r="N586" s="1614">
        <f t="shared" si="9"/>
        <v>0</v>
      </c>
    </row>
    <row r="587" spans="2:14">
      <c r="B587" s="27"/>
      <c r="C587" s="27"/>
      <c r="D587" s="1545">
        <v>2210100</v>
      </c>
      <c r="E587" s="1546" t="s">
        <v>16</v>
      </c>
      <c r="F587" s="1593">
        <v>116000</v>
      </c>
      <c r="H587" s="27"/>
      <c r="I587" s="27"/>
      <c r="J587" s="1545">
        <v>2210100</v>
      </c>
      <c r="K587" s="1546" t="s">
        <v>16</v>
      </c>
      <c r="L587" s="1593">
        <v>116000</v>
      </c>
      <c r="N587" s="1593">
        <f t="shared" si="9"/>
        <v>0</v>
      </c>
    </row>
    <row r="588" spans="2:14">
      <c r="B588" s="27"/>
      <c r="C588" s="27"/>
      <c r="D588" s="80">
        <v>2210101</v>
      </c>
      <c r="E588" s="158" t="s">
        <v>17</v>
      </c>
      <c r="F588" s="169">
        <v>58000</v>
      </c>
      <c r="H588" s="27"/>
      <c r="I588" s="27"/>
      <c r="J588" s="80">
        <v>2210101</v>
      </c>
      <c r="K588" s="158" t="s">
        <v>17</v>
      </c>
      <c r="L588" s="169">
        <v>58000</v>
      </c>
      <c r="N588" s="169">
        <f t="shared" si="9"/>
        <v>0</v>
      </c>
    </row>
    <row r="589" spans="2:14">
      <c r="B589" s="27"/>
      <c r="C589" s="27"/>
      <c r="D589" s="80">
        <v>2210102</v>
      </c>
      <c r="E589" s="158" t="s">
        <v>18</v>
      </c>
      <c r="F589" s="169">
        <v>58000</v>
      </c>
      <c r="H589" s="27"/>
      <c r="I589" s="27"/>
      <c r="J589" s="80">
        <v>2210102</v>
      </c>
      <c r="K589" s="158" t="s">
        <v>18</v>
      </c>
      <c r="L589" s="169">
        <v>58000</v>
      </c>
      <c r="N589" s="169">
        <f t="shared" si="9"/>
        <v>0</v>
      </c>
    </row>
    <row r="590" spans="2:14">
      <c r="B590" s="46"/>
      <c r="C590" s="46"/>
      <c r="D590" s="1509">
        <v>2210200</v>
      </c>
      <c r="E590" s="1541" t="s">
        <v>20</v>
      </c>
      <c r="F590" s="1615">
        <v>174000</v>
      </c>
      <c r="H590" s="46"/>
      <c r="I590" s="46"/>
      <c r="J590" s="1509">
        <v>2210200</v>
      </c>
      <c r="K590" s="1541" t="s">
        <v>20</v>
      </c>
      <c r="L590" s="1615">
        <v>174000</v>
      </c>
      <c r="N590" s="1615">
        <f t="shared" si="9"/>
        <v>0</v>
      </c>
    </row>
    <row r="591" spans="2:14">
      <c r="B591" s="46"/>
      <c r="C591" s="46"/>
      <c r="D591" s="28">
        <v>2210201</v>
      </c>
      <c r="E591" s="1542" t="s">
        <v>21</v>
      </c>
      <c r="F591" s="169">
        <v>116000</v>
      </c>
      <c r="H591" s="46"/>
      <c r="I591" s="46"/>
      <c r="J591" s="28">
        <v>2210201</v>
      </c>
      <c r="K591" s="1542" t="s">
        <v>21</v>
      </c>
      <c r="L591" s="169">
        <v>116000</v>
      </c>
      <c r="N591" s="169">
        <f t="shared" si="9"/>
        <v>0</v>
      </c>
    </row>
    <row r="592" spans="2:14">
      <c r="B592" s="27"/>
      <c r="C592" s="27"/>
      <c r="D592" s="28">
        <v>2210202</v>
      </c>
      <c r="E592" s="1542" t="s">
        <v>22</v>
      </c>
      <c r="F592" s="169">
        <v>58000</v>
      </c>
      <c r="H592" s="27"/>
      <c r="I592" s="27"/>
      <c r="J592" s="28">
        <v>2210202</v>
      </c>
      <c r="K592" s="1542" t="s">
        <v>22</v>
      </c>
      <c r="L592" s="169">
        <v>58000</v>
      </c>
      <c r="N592" s="169">
        <f t="shared" si="9"/>
        <v>0</v>
      </c>
    </row>
    <row r="593" spans="2:14">
      <c r="B593" s="46"/>
      <c r="C593" s="46"/>
      <c r="D593" s="1509">
        <v>2210300</v>
      </c>
      <c r="E593" s="1541" t="s">
        <v>24</v>
      </c>
      <c r="F593" s="1615">
        <v>1364000</v>
      </c>
      <c r="H593" s="46"/>
      <c r="I593" s="46"/>
      <c r="J593" s="1509">
        <v>2210300</v>
      </c>
      <c r="K593" s="1541" t="s">
        <v>24</v>
      </c>
      <c r="L593" s="1615">
        <v>1364000</v>
      </c>
      <c r="N593" s="1615">
        <f t="shared" si="9"/>
        <v>0</v>
      </c>
    </row>
    <row r="594" spans="2:14">
      <c r="B594" s="46"/>
      <c r="C594" s="46"/>
      <c r="D594" s="28">
        <v>2210301</v>
      </c>
      <c r="E594" s="1542" t="s">
        <v>25</v>
      </c>
      <c r="F594" s="169">
        <v>432000</v>
      </c>
      <c r="H594" s="46"/>
      <c r="I594" s="46"/>
      <c r="J594" s="28">
        <v>2210301</v>
      </c>
      <c r="K594" s="1542" t="s">
        <v>25</v>
      </c>
      <c r="L594" s="169">
        <v>432000</v>
      </c>
      <c r="N594" s="169">
        <f t="shared" si="9"/>
        <v>0</v>
      </c>
    </row>
    <row r="595" spans="2:14">
      <c r="B595" s="46"/>
      <c r="C595" s="46"/>
      <c r="D595" s="28">
        <v>2210302</v>
      </c>
      <c r="E595" s="1542" t="s">
        <v>26</v>
      </c>
      <c r="F595" s="169">
        <v>520000</v>
      </c>
      <c r="H595" s="46"/>
      <c r="I595" s="46"/>
      <c r="J595" s="28">
        <v>2210302</v>
      </c>
      <c r="K595" s="1542" t="s">
        <v>26</v>
      </c>
      <c r="L595" s="169">
        <v>520000</v>
      </c>
      <c r="N595" s="169">
        <f t="shared" si="9"/>
        <v>0</v>
      </c>
    </row>
    <row r="596" spans="2:14">
      <c r="B596" s="27"/>
      <c r="C596" s="27"/>
      <c r="D596" s="28">
        <v>2210303</v>
      </c>
      <c r="E596" s="1542" t="s">
        <v>27</v>
      </c>
      <c r="F596" s="169">
        <v>412000</v>
      </c>
      <c r="H596" s="27"/>
      <c r="I596" s="27"/>
      <c r="J596" s="28">
        <v>2210303</v>
      </c>
      <c r="K596" s="1542" t="s">
        <v>27</v>
      </c>
      <c r="L596" s="169">
        <v>412000</v>
      </c>
      <c r="N596" s="169">
        <f t="shared" si="9"/>
        <v>0</v>
      </c>
    </row>
    <row r="597" spans="2:14">
      <c r="B597" s="46"/>
      <c r="C597" s="46"/>
      <c r="D597" s="1509">
        <v>2210500</v>
      </c>
      <c r="E597" s="1541" t="s">
        <v>31</v>
      </c>
      <c r="F597" s="1615">
        <v>290000</v>
      </c>
      <c r="H597" s="46"/>
      <c r="I597" s="46"/>
      <c r="J597" s="1509">
        <v>2210500</v>
      </c>
      <c r="K597" s="1541" t="s">
        <v>31</v>
      </c>
      <c r="L597" s="1615">
        <v>290000</v>
      </c>
      <c r="N597" s="1615">
        <f t="shared" si="9"/>
        <v>0</v>
      </c>
    </row>
    <row r="598" spans="2:14">
      <c r="B598" s="46"/>
      <c r="C598" s="46"/>
      <c r="D598" s="28">
        <v>2210503</v>
      </c>
      <c r="E598" s="1542" t="s">
        <v>32</v>
      </c>
      <c r="F598" s="169">
        <v>290000</v>
      </c>
      <c r="H598" s="46"/>
      <c r="I598" s="46"/>
      <c r="J598" s="28">
        <v>2210503</v>
      </c>
      <c r="K598" s="1542" t="s">
        <v>32</v>
      </c>
      <c r="L598" s="169">
        <v>290000</v>
      </c>
      <c r="N598" s="169">
        <f t="shared" si="9"/>
        <v>0</v>
      </c>
    </row>
    <row r="599" spans="2:14">
      <c r="B599" s="46"/>
      <c r="C599" s="46"/>
      <c r="D599" s="1509">
        <v>2210700</v>
      </c>
      <c r="E599" s="1541" t="s">
        <v>35</v>
      </c>
      <c r="F599" s="1615">
        <v>183000</v>
      </c>
      <c r="H599" s="46"/>
      <c r="I599" s="46"/>
      <c r="J599" s="1509">
        <v>2210700</v>
      </c>
      <c r="K599" s="1541" t="s">
        <v>35</v>
      </c>
      <c r="L599" s="1615">
        <v>183000</v>
      </c>
      <c r="N599" s="1615">
        <f t="shared" si="9"/>
        <v>0</v>
      </c>
    </row>
    <row r="600" spans="2:14">
      <c r="B600" s="46"/>
      <c r="C600" s="46"/>
      <c r="D600" s="28">
        <v>2210710</v>
      </c>
      <c r="E600" s="1542" t="s">
        <v>39</v>
      </c>
      <c r="F600" s="169">
        <v>43000</v>
      </c>
      <c r="H600" s="46"/>
      <c r="I600" s="46"/>
      <c r="J600" s="28">
        <v>2210710</v>
      </c>
      <c r="K600" s="1542" t="s">
        <v>39</v>
      </c>
      <c r="L600" s="169">
        <v>43000</v>
      </c>
      <c r="N600" s="169">
        <f t="shared" si="9"/>
        <v>0</v>
      </c>
    </row>
    <row r="601" spans="2:14">
      <c r="B601" s="27"/>
      <c r="C601" s="27"/>
      <c r="D601" s="28">
        <v>2210799</v>
      </c>
      <c r="E601" s="1542" t="s">
        <v>1580</v>
      </c>
      <c r="F601" s="169">
        <v>140000</v>
      </c>
      <c r="H601" s="27"/>
      <c r="I601" s="27"/>
      <c r="J601" s="28">
        <v>2210799</v>
      </c>
      <c r="K601" s="1542" t="s">
        <v>1580</v>
      </c>
      <c r="L601" s="169">
        <v>140000</v>
      </c>
      <c r="N601" s="169">
        <f t="shared" si="9"/>
        <v>0</v>
      </c>
    </row>
    <row r="602" spans="2:14">
      <c r="B602" s="46"/>
      <c r="C602" s="46"/>
      <c r="D602" s="1509">
        <v>2210800</v>
      </c>
      <c r="E602" s="1541" t="s">
        <v>42</v>
      </c>
      <c r="F602" s="1615">
        <v>290473.59999999998</v>
      </c>
      <c r="H602" s="46"/>
      <c r="I602" s="46"/>
      <c r="J602" s="1509">
        <v>2210800</v>
      </c>
      <c r="K602" s="1541" t="s">
        <v>42</v>
      </c>
      <c r="L602" s="1615">
        <v>290473.59999999998</v>
      </c>
      <c r="N602" s="1615">
        <f t="shared" si="9"/>
        <v>0</v>
      </c>
    </row>
    <row r="603" spans="2:14">
      <c r="B603" s="27"/>
      <c r="C603" s="27"/>
      <c r="D603" s="28">
        <v>2210801</v>
      </c>
      <c r="E603" s="1542" t="s">
        <v>43</v>
      </c>
      <c r="F603" s="169">
        <v>290473.59999999998</v>
      </c>
      <c r="H603" s="27"/>
      <c r="I603" s="27"/>
      <c r="J603" s="28">
        <v>2210801</v>
      </c>
      <c r="K603" s="1542" t="s">
        <v>43</v>
      </c>
      <c r="L603" s="169">
        <v>290473.59999999998</v>
      </c>
      <c r="N603" s="169">
        <f t="shared" si="9"/>
        <v>0</v>
      </c>
    </row>
    <row r="604" spans="2:14">
      <c r="B604" s="46"/>
      <c r="C604" s="46"/>
      <c r="D604" s="1509">
        <v>2211100</v>
      </c>
      <c r="E604" s="1541" t="s">
        <v>51</v>
      </c>
      <c r="F604" s="1615">
        <v>616580</v>
      </c>
      <c r="H604" s="46"/>
      <c r="I604" s="46"/>
      <c r="J604" s="1509">
        <v>2211100</v>
      </c>
      <c r="K604" s="1541" t="s">
        <v>51</v>
      </c>
      <c r="L604" s="1615">
        <v>616580</v>
      </c>
      <c r="N604" s="1615">
        <f t="shared" si="9"/>
        <v>0</v>
      </c>
    </row>
    <row r="605" spans="2:14">
      <c r="B605" s="46"/>
      <c r="C605" s="46"/>
      <c r="D605" s="28">
        <v>2211101</v>
      </c>
      <c r="E605" s="1542" t="s">
        <v>52</v>
      </c>
      <c r="F605" s="169">
        <v>290000</v>
      </c>
      <c r="H605" s="46"/>
      <c r="I605" s="46"/>
      <c r="J605" s="28">
        <v>2211101</v>
      </c>
      <c r="K605" s="1542" t="s">
        <v>52</v>
      </c>
      <c r="L605" s="169">
        <v>290000</v>
      </c>
      <c r="N605" s="169">
        <f t="shared" si="9"/>
        <v>0</v>
      </c>
    </row>
    <row r="606" spans="2:14">
      <c r="B606" s="46"/>
      <c r="C606" s="46"/>
      <c r="D606" s="28">
        <v>2211102</v>
      </c>
      <c r="E606" s="1542" t="s">
        <v>53</v>
      </c>
      <c r="F606" s="169">
        <v>210520</v>
      </c>
      <c r="H606" s="46"/>
      <c r="I606" s="46"/>
      <c r="J606" s="28">
        <v>2211102</v>
      </c>
      <c r="K606" s="1542" t="s">
        <v>53</v>
      </c>
      <c r="L606" s="169">
        <v>210520</v>
      </c>
      <c r="N606" s="169">
        <f t="shared" si="9"/>
        <v>0</v>
      </c>
    </row>
    <row r="607" spans="2:14">
      <c r="B607" s="27"/>
      <c r="C607" s="27"/>
      <c r="D607" s="28">
        <v>2211103</v>
      </c>
      <c r="E607" s="1542" t="s">
        <v>54</v>
      </c>
      <c r="F607" s="169">
        <v>116060</v>
      </c>
      <c r="H607" s="27"/>
      <c r="I607" s="27"/>
      <c r="J607" s="28">
        <v>2211103</v>
      </c>
      <c r="K607" s="1542" t="s">
        <v>54</v>
      </c>
      <c r="L607" s="169">
        <v>116060</v>
      </c>
      <c r="N607" s="169">
        <f t="shared" si="9"/>
        <v>0</v>
      </c>
    </row>
    <row r="608" spans="2:14">
      <c r="B608" s="46"/>
      <c r="C608" s="46"/>
      <c r="D608" s="1509">
        <v>2211200</v>
      </c>
      <c r="E608" s="1541" t="s">
        <v>55</v>
      </c>
      <c r="F608" s="1615">
        <v>500000</v>
      </c>
      <c r="H608" s="46"/>
      <c r="I608" s="46"/>
      <c r="J608" s="1509">
        <v>2211200</v>
      </c>
      <c r="K608" s="1541" t="s">
        <v>55</v>
      </c>
      <c r="L608" s="1615">
        <v>500000</v>
      </c>
      <c r="N608" s="1615">
        <f t="shared" si="9"/>
        <v>0</v>
      </c>
    </row>
    <row r="609" spans="2:14">
      <c r="B609" s="27"/>
      <c r="C609" s="27"/>
      <c r="D609" s="28">
        <v>2211201</v>
      </c>
      <c r="E609" s="1542" t="s">
        <v>56</v>
      </c>
      <c r="F609" s="169">
        <v>500000</v>
      </c>
      <c r="H609" s="27"/>
      <c r="I609" s="27"/>
      <c r="J609" s="28">
        <v>2211201</v>
      </c>
      <c r="K609" s="1542" t="s">
        <v>56</v>
      </c>
      <c r="L609" s="169">
        <v>500000</v>
      </c>
      <c r="N609" s="169">
        <f t="shared" si="9"/>
        <v>0</v>
      </c>
    </row>
    <row r="610" spans="2:14">
      <c r="B610" s="46"/>
      <c r="C610" s="46"/>
      <c r="D610" s="1509">
        <v>2220100</v>
      </c>
      <c r="E610" s="1541" t="s">
        <v>62</v>
      </c>
      <c r="F610" s="1615">
        <v>580000</v>
      </c>
      <c r="H610" s="46"/>
      <c r="I610" s="46"/>
      <c r="J610" s="1509">
        <v>2220100</v>
      </c>
      <c r="K610" s="1541" t="s">
        <v>62</v>
      </c>
      <c r="L610" s="1615">
        <v>580000</v>
      </c>
      <c r="N610" s="1615">
        <f t="shared" si="9"/>
        <v>0</v>
      </c>
    </row>
    <row r="611" spans="2:14">
      <c r="B611" s="27"/>
      <c r="C611" s="27"/>
      <c r="D611" s="28">
        <v>2220101</v>
      </c>
      <c r="E611" s="1542" t="s">
        <v>85</v>
      </c>
      <c r="F611" s="169">
        <v>580000</v>
      </c>
      <c r="H611" s="27"/>
      <c r="I611" s="27"/>
      <c r="J611" s="28">
        <v>2220101</v>
      </c>
      <c r="K611" s="1542" t="s">
        <v>85</v>
      </c>
      <c r="L611" s="169">
        <v>580000</v>
      </c>
      <c r="N611" s="169">
        <f t="shared" si="9"/>
        <v>0</v>
      </c>
    </row>
    <row r="612" spans="2:14">
      <c r="B612" s="46"/>
      <c r="C612" s="46"/>
      <c r="D612" s="1509">
        <v>3111000</v>
      </c>
      <c r="E612" s="1541" t="s">
        <v>69</v>
      </c>
      <c r="F612" s="1615">
        <v>865000</v>
      </c>
      <c r="H612" s="46"/>
      <c r="I612" s="46"/>
      <c r="J612" s="1509">
        <v>3111000</v>
      </c>
      <c r="K612" s="1541" t="s">
        <v>69</v>
      </c>
      <c r="L612" s="1615">
        <v>865000</v>
      </c>
      <c r="N612" s="1615">
        <f t="shared" si="9"/>
        <v>0</v>
      </c>
    </row>
    <row r="613" spans="2:14">
      <c r="B613" s="46"/>
      <c r="C613" s="46"/>
      <c r="D613" s="28" t="s">
        <v>98</v>
      </c>
      <c r="E613" s="1542" t="s">
        <v>70</v>
      </c>
      <c r="F613" s="169">
        <v>345000</v>
      </c>
      <c r="H613" s="46"/>
      <c r="I613" s="46"/>
      <c r="J613" s="28" t="s">
        <v>98</v>
      </c>
      <c r="K613" s="1542" t="s">
        <v>70</v>
      </c>
      <c r="L613" s="169">
        <v>345000</v>
      </c>
      <c r="N613" s="169">
        <f t="shared" si="9"/>
        <v>0</v>
      </c>
    </row>
    <row r="614" spans="2:14">
      <c r="B614" s="46"/>
      <c r="C614" s="46"/>
      <c r="D614" s="28">
        <v>3111002</v>
      </c>
      <c r="E614" s="1542" t="s">
        <v>71</v>
      </c>
      <c r="F614" s="169">
        <v>520000</v>
      </c>
      <c r="H614" s="46"/>
      <c r="I614" s="46"/>
      <c r="J614" s="28">
        <v>3111002</v>
      </c>
      <c r="K614" s="1542" t="s">
        <v>71</v>
      </c>
      <c r="L614" s="169">
        <v>520000</v>
      </c>
      <c r="N614" s="169">
        <f t="shared" si="9"/>
        <v>0</v>
      </c>
    </row>
    <row r="615" spans="2:14">
      <c r="B615" s="46"/>
      <c r="C615" s="46"/>
      <c r="D615" s="1602"/>
      <c r="E615" s="1541"/>
      <c r="F615" s="1603">
        <v>0</v>
      </c>
      <c r="H615" s="46"/>
      <c r="I615" s="46"/>
      <c r="J615" s="1602"/>
      <c r="K615" s="1541"/>
      <c r="L615" s="1603">
        <v>0</v>
      </c>
      <c r="N615" s="1603">
        <f t="shared" si="9"/>
        <v>0</v>
      </c>
    </row>
    <row r="616" spans="2:14">
      <c r="B616" s="46"/>
      <c r="C616" s="46"/>
      <c r="D616" s="1604"/>
      <c r="E616" s="1542"/>
      <c r="F616" s="169">
        <v>0</v>
      </c>
      <c r="H616" s="46"/>
      <c r="I616" s="46"/>
      <c r="J616" s="1604"/>
      <c r="K616" s="1542"/>
      <c r="L616" s="169">
        <v>0</v>
      </c>
      <c r="N616" s="169">
        <f t="shared" si="9"/>
        <v>0</v>
      </c>
    </row>
    <row r="617" spans="2:14">
      <c r="B617" s="46"/>
      <c r="C617" s="46"/>
      <c r="D617" s="1605"/>
      <c r="E617" s="1541" t="s">
        <v>99</v>
      </c>
      <c r="F617" s="1615">
        <v>4979053.5999999996</v>
      </c>
      <c r="H617" s="46"/>
      <c r="I617" s="46"/>
      <c r="J617" s="1605"/>
      <c r="K617" s="1541" t="s">
        <v>99</v>
      </c>
      <c r="L617" s="1615">
        <v>4979053.5999999996</v>
      </c>
      <c r="N617" s="1615">
        <f t="shared" si="9"/>
        <v>0</v>
      </c>
    </row>
    <row r="618" spans="2:14">
      <c r="B618" s="46"/>
      <c r="C618" s="46"/>
      <c r="D618" s="1605"/>
      <c r="E618" s="1541" t="s">
        <v>84</v>
      </c>
      <c r="F618" s="1615">
        <v>4979053.5999999996</v>
      </c>
      <c r="H618" s="46"/>
      <c r="I618" s="46"/>
      <c r="J618" s="1605"/>
      <c r="K618" s="1541" t="s">
        <v>84</v>
      </c>
      <c r="L618" s="1615">
        <v>4979053.5999999996</v>
      </c>
      <c r="N618" s="1615">
        <f t="shared" si="9"/>
        <v>0</v>
      </c>
    </row>
    <row r="619" spans="2:14">
      <c r="B619" s="46"/>
      <c r="C619" s="46"/>
      <c r="D619" s="1605"/>
      <c r="E619" s="1541"/>
      <c r="F619" s="1615"/>
      <c r="H619" s="46"/>
      <c r="I619" s="46"/>
      <c r="J619" s="1605"/>
      <c r="K619" s="1541"/>
      <c r="L619" s="1615"/>
      <c r="N619" s="1615">
        <f t="shared" si="9"/>
        <v>0</v>
      </c>
    </row>
    <row r="620" spans="2:14">
      <c r="B620" s="27"/>
      <c r="C620" s="27"/>
      <c r="D620" s="1509" t="s">
        <v>1756</v>
      </c>
      <c r="E620" s="1592"/>
      <c r="F620" s="1593"/>
      <c r="H620" s="27"/>
      <c r="I620" s="27"/>
      <c r="J620" s="1509" t="s">
        <v>1756</v>
      </c>
      <c r="K620" s="1592"/>
      <c r="L620" s="1593"/>
      <c r="N620" s="1593">
        <f t="shared" si="9"/>
        <v>0</v>
      </c>
    </row>
    <row r="621" spans="2:14">
      <c r="B621" s="46"/>
      <c r="C621" s="46"/>
      <c r="D621" s="1545">
        <v>2210100</v>
      </c>
      <c r="E621" s="1546" t="s">
        <v>16</v>
      </c>
      <c r="F621" s="1593">
        <v>116000</v>
      </c>
      <c r="H621" s="46"/>
      <c r="I621" s="46"/>
      <c r="J621" s="1545">
        <v>2210100</v>
      </c>
      <c r="K621" s="1546" t="s">
        <v>16</v>
      </c>
      <c r="L621" s="1593">
        <v>116000</v>
      </c>
      <c r="N621" s="1593">
        <f t="shared" si="9"/>
        <v>0</v>
      </c>
    </row>
    <row r="622" spans="2:14">
      <c r="B622" s="46"/>
      <c r="C622" s="46"/>
      <c r="D622" s="80">
        <v>2210101</v>
      </c>
      <c r="E622" s="158" t="s">
        <v>17</v>
      </c>
      <c r="F622" s="169">
        <v>58000</v>
      </c>
      <c r="H622" s="46"/>
      <c r="I622" s="46"/>
      <c r="J622" s="80">
        <v>2210101</v>
      </c>
      <c r="K622" s="158" t="s">
        <v>17</v>
      </c>
      <c r="L622" s="169">
        <v>58000</v>
      </c>
      <c r="N622" s="169">
        <f t="shared" si="9"/>
        <v>0</v>
      </c>
    </row>
    <row r="623" spans="2:14">
      <c r="B623" s="27"/>
      <c r="C623" s="27"/>
      <c r="D623" s="80">
        <v>2210102</v>
      </c>
      <c r="E623" s="158" t="s">
        <v>18</v>
      </c>
      <c r="F623" s="169">
        <v>58000</v>
      </c>
      <c r="H623" s="27"/>
      <c r="I623" s="27"/>
      <c r="J623" s="80">
        <v>2210102</v>
      </c>
      <c r="K623" s="158" t="s">
        <v>18</v>
      </c>
      <c r="L623" s="169">
        <v>58000</v>
      </c>
      <c r="N623" s="169">
        <f t="shared" si="9"/>
        <v>0</v>
      </c>
    </row>
    <row r="624" spans="2:14">
      <c r="B624" s="46"/>
      <c r="C624" s="46"/>
      <c r="D624" s="1509">
        <v>2210200</v>
      </c>
      <c r="E624" s="1592" t="s">
        <v>20</v>
      </c>
      <c r="F624" s="1593">
        <v>133000</v>
      </c>
      <c r="H624" s="46"/>
      <c r="I624" s="46"/>
      <c r="J624" s="1509">
        <v>2210200</v>
      </c>
      <c r="K624" s="1592" t="s">
        <v>20</v>
      </c>
      <c r="L624" s="1593">
        <v>133000</v>
      </c>
      <c r="N624" s="1593">
        <f t="shared" si="9"/>
        <v>0</v>
      </c>
    </row>
    <row r="625" spans="2:14">
      <c r="B625" s="46"/>
      <c r="C625" s="46"/>
      <c r="D625" s="28">
        <v>2210201</v>
      </c>
      <c r="E625" s="1594" t="s">
        <v>21</v>
      </c>
      <c r="F625" s="169">
        <v>103000</v>
      </c>
      <c r="H625" s="46"/>
      <c r="I625" s="46"/>
      <c r="J625" s="28">
        <v>2210201</v>
      </c>
      <c r="K625" s="1594" t="s">
        <v>21</v>
      </c>
      <c r="L625" s="169">
        <v>103000</v>
      </c>
      <c r="N625" s="169">
        <f t="shared" si="9"/>
        <v>0</v>
      </c>
    </row>
    <row r="626" spans="2:14">
      <c r="B626" s="46"/>
      <c r="C626" s="46"/>
      <c r="D626" s="28">
        <v>2210202</v>
      </c>
      <c r="E626" s="1594" t="s">
        <v>22</v>
      </c>
      <c r="F626" s="169">
        <v>30000</v>
      </c>
      <c r="H626" s="46"/>
      <c r="I626" s="46"/>
      <c r="J626" s="28">
        <v>2210202</v>
      </c>
      <c r="K626" s="1594" t="s">
        <v>22</v>
      </c>
      <c r="L626" s="169">
        <v>30000</v>
      </c>
      <c r="N626" s="169">
        <f t="shared" si="9"/>
        <v>0</v>
      </c>
    </row>
    <row r="627" spans="2:14">
      <c r="B627" s="27"/>
      <c r="C627" s="27"/>
      <c r="D627" s="1509">
        <v>2210300</v>
      </c>
      <c r="E627" s="1592" t="s">
        <v>24</v>
      </c>
      <c r="F627" s="1593">
        <v>538000</v>
      </c>
      <c r="H627" s="27"/>
      <c r="I627" s="27"/>
      <c r="J627" s="1509">
        <v>2210300</v>
      </c>
      <c r="K627" s="1592" t="s">
        <v>24</v>
      </c>
      <c r="L627" s="1593">
        <v>538000</v>
      </c>
      <c r="N627" s="1593">
        <f t="shared" si="9"/>
        <v>0</v>
      </c>
    </row>
    <row r="628" spans="2:14">
      <c r="B628" s="46"/>
      <c r="C628" s="46"/>
      <c r="D628" s="28">
        <v>2210301</v>
      </c>
      <c r="E628" s="1594" t="s">
        <v>25</v>
      </c>
      <c r="F628" s="169">
        <v>250000</v>
      </c>
      <c r="H628" s="46"/>
      <c r="I628" s="46"/>
      <c r="J628" s="28">
        <v>2210301</v>
      </c>
      <c r="K628" s="1594" t="s">
        <v>25</v>
      </c>
      <c r="L628" s="169">
        <v>250000</v>
      </c>
      <c r="N628" s="169">
        <f t="shared" si="9"/>
        <v>0</v>
      </c>
    </row>
    <row r="629" spans="2:14">
      <c r="B629" s="46"/>
      <c r="C629" s="46"/>
      <c r="D629" s="28">
        <v>2210302</v>
      </c>
      <c r="E629" s="1594" t="s">
        <v>26</v>
      </c>
      <c r="F629" s="169">
        <v>168000</v>
      </c>
      <c r="H629" s="46"/>
      <c r="I629" s="46"/>
      <c r="J629" s="28">
        <v>2210302</v>
      </c>
      <c r="K629" s="1594" t="s">
        <v>26</v>
      </c>
      <c r="L629" s="169">
        <v>168000</v>
      </c>
      <c r="N629" s="169">
        <f t="shared" si="9"/>
        <v>0</v>
      </c>
    </row>
    <row r="630" spans="2:14">
      <c r="B630" s="46"/>
      <c r="C630" s="46"/>
      <c r="D630" s="28">
        <v>2210303</v>
      </c>
      <c r="E630" s="1594" t="s">
        <v>27</v>
      </c>
      <c r="F630" s="169">
        <v>120000</v>
      </c>
      <c r="H630" s="46"/>
      <c r="I630" s="46"/>
      <c r="J630" s="28">
        <v>2210303</v>
      </c>
      <c r="K630" s="1594" t="s">
        <v>27</v>
      </c>
      <c r="L630" s="169">
        <v>120000</v>
      </c>
      <c r="N630" s="169">
        <f t="shared" si="9"/>
        <v>0</v>
      </c>
    </row>
    <row r="631" spans="2:14">
      <c r="B631" s="27"/>
      <c r="C631" s="27"/>
      <c r="D631" s="1509">
        <v>2210400</v>
      </c>
      <c r="E631" s="1592" t="s">
        <v>29</v>
      </c>
      <c r="F631" s="1593">
        <v>296000</v>
      </c>
      <c r="H631" s="27"/>
      <c r="I631" s="27"/>
      <c r="J631" s="1509">
        <v>2210400</v>
      </c>
      <c r="K631" s="1592" t="s">
        <v>29</v>
      </c>
      <c r="L631" s="1593">
        <v>296000</v>
      </c>
      <c r="N631" s="1593">
        <f t="shared" si="9"/>
        <v>0</v>
      </c>
    </row>
    <row r="632" spans="2:14">
      <c r="B632" s="46"/>
      <c r="C632" s="46"/>
      <c r="D632" s="28">
        <v>2210401</v>
      </c>
      <c r="E632" s="1594" t="s">
        <v>25</v>
      </c>
      <c r="F632" s="169">
        <v>174000</v>
      </c>
      <c r="H632" s="46"/>
      <c r="I632" s="46"/>
      <c r="J632" s="28">
        <v>2210401</v>
      </c>
      <c r="K632" s="1594" t="s">
        <v>25</v>
      </c>
      <c r="L632" s="169">
        <v>174000</v>
      </c>
      <c r="N632" s="169">
        <f t="shared" si="9"/>
        <v>0</v>
      </c>
    </row>
    <row r="633" spans="2:14">
      <c r="B633" s="27"/>
      <c r="C633" s="27"/>
      <c r="D633" s="28">
        <v>2210402</v>
      </c>
      <c r="E633" s="1594" t="s">
        <v>30</v>
      </c>
      <c r="F633" s="169">
        <v>35000</v>
      </c>
      <c r="H633" s="27"/>
      <c r="I633" s="27"/>
      <c r="J633" s="28">
        <v>2210402</v>
      </c>
      <c r="K633" s="1594" t="s">
        <v>30</v>
      </c>
      <c r="L633" s="169">
        <v>35000</v>
      </c>
      <c r="N633" s="169">
        <f t="shared" si="9"/>
        <v>0</v>
      </c>
    </row>
    <row r="634" spans="2:14">
      <c r="B634" s="46"/>
      <c r="C634" s="46"/>
      <c r="D634" s="28">
        <v>2210404</v>
      </c>
      <c r="E634" s="1594" t="s">
        <v>28</v>
      </c>
      <c r="F634" s="169">
        <v>87000</v>
      </c>
      <c r="H634" s="46"/>
      <c r="I634" s="46"/>
      <c r="J634" s="28">
        <v>2210404</v>
      </c>
      <c r="K634" s="1594" t="s">
        <v>28</v>
      </c>
      <c r="L634" s="169">
        <v>87000</v>
      </c>
      <c r="N634" s="169">
        <f t="shared" si="9"/>
        <v>0</v>
      </c>
    </row>
    <row r="635" spans="2:14">
      <c r="B635" s="46"/>
      <c r="C635" s="46"/>
      <c r="D635" s="1509">
        <v>2210700</v>
      </c>
      <c r="E635" s="1592" t="s">
        <v>35</v>
      </c>
      <c r="F635" s="1593">
        <v>34000</v>
      </c>
      <c r="H635" s="46"/>
      <c r="I635" s="46"/>
      <c r="J635" s="1509">
        <v>2210700</v>
      </c>
      <c r="K635" s="1592" t="s">
        <v>35</v>
      </c>
      <c r="L635" s="1593">
        <v>34000</v>
      </c>
      <c r="N635" s="1593">
        <f t="shared" si="9"/>
        <v>0</v>
      </c>
    </row>
    <row r="636" spans="2:14">
      <c r="B636" s="27"/>
      <c r="C636" s="27"/>
      <c r="D636" s="28">
        <v>2210799</v>
      </c>
      <c r="E636" s="1594" t="s">
        <v>133</v>
      </c>
      <c r="F636" s="169">
        <v>34000</v>
      </c>
      <c r="H636" s="27"/>
      <c r="I636" s="27"/>
      <c r="J636" s="28">
        <v>2210799</v>
      </c>
      <c r="K636" s="1594" t="s">
        <v>133</v>
      </c>
      <c r="L636" s="169">
        <v>34000</v>
      </c>
      <c r="N636" s="169">
        <f t="shared" si="9"/>
        <v>0</v>
      </c>
    </row>
    <row r="637" spans="2:14">
      <c r="B637" s="46"/>
      <c r="C637" s="46"/>
      <c r="D637" s="1509">
        <v>2210800</v>
      </c>
      <c r="E637" s="1592" t="s">
        <v>42</v>
      </c>
      <c r="F637" s="1593">
        <v>339000</v>
      </c>
      <c r="H637" s="46"/>
      <c r="I637" s="46"/>
      <c r="J637" s="1509">
        <v>2210800</v>
      </c>
      <c r="K637" s="1592" t="s">
        <v>42</v>
      </c>
      <c r="L637" s="1593">
        <v>339000</v>
      </c>
      <c r="N637" s="1593">
        <f t="shared" si="9"/>
        <v>0</v>
      </c>
    </row>
    <row r="638" spans="2:14">
      <c r="B638" s="27"/>
      <c r="C638" s="27"/>
      <c r="D638" s="28" t="s">
        <v>134</v>
      </c>
      <c r="E638" s="1594" t="s">
        <v>43</v>
      </c>
      <c r="F638" s="169">
        <v>290000</v>
      </c>
      <c r="H638" s="27"/>
      <c r="I638" s="27"/>
      <c r="J638" s="28" t="s">
        <v>134</v>
      </c>
      <c r="K638" s="1594" t="s">
        <v>43</v>
      </c>
      <c r="L638" s="169">
        <v>290000</v>
      </c>
      <c r="N638" s="169">
        <f t="shared" si="9"/>
        <v>0</v>
      </c>
    </row>
    <row r="639" spans="2:14">
      <c r="B639" s="46"/>
      <c r="C639" s="46"/>
      <c r="D639" s="28">
        <v>2210802</v>
      </c>
      <c r="E639" s="1594" t="s">
        <v>1575</v>
      </c>
      <c r="F639" s="169">
        <v>49000</v>
      </c>
      <c r="H639" s="46"/>
      <c r="I639" s="46"/>
      <c r="J639" s="28">
        <v>2210802</v>
      </c>
      <c r="K639" s="1594" t="s">
        <v>1575</v>
      </c>
      <c r="L639" s="169">
        <v>49000</v>
      </c>
      <c r="N639" s="169">
        <f t="shared" si="9"/>
        <v>0</v>
      </c>
    </row>
    <row r="640" spans="2:14">
      <c r="B640" s="46"/>
      <c r="C640" s="46"/>
      <c r="D640" s="1509">
        <v>2211000</v>
      </c>
      <c r="E640" s="1592" t="s">
        <v>49</v>
      </c>
      <c r="F640" s="1593">
        <v>16000</v>
      </c>
      <c r="H640" s="46"/>
      <c r="I640" s="46"/>
      <c r="J640" s="1509">
        <v>2211000</v>
      </c>
      <c r="K640" s="1592" t="s">
        <v>49</v>
      </c>
      <c r="L640" s="1593">
        <v>16000</v>
      </c>
      <c r="N640" s="1593">
        <f t="shared" si="9"/>
        <v>0</v>
      </c>
    </row>
    <row r="641" spans="2:14">
      <c r="B641" s="46"/>
      <c r="C641" s="46"/>
      <c r="D641" s="28">
        <v>2211016</v>
      </c>
      <c r="E641" s="1594" t="s">
        <v>50</v>
      </c>
      <c r="F641" s="169">
        <v>16000</v>
      </c>
      <c r="H641" s="46"/>
      <c r="I641" s="46"/>
      <c r="J641" s="28">
        <v>2211016</v>
      </c>
      <c r="K641" s="1594" t="s">
        <v>50</v>
      </c>
      <c r="L641" s="169">
        <v>16000</v>
      </c>
      <c r="N641" s="169">
        <f t="shared" si="9"/>
        <v>0</v>
      </c>
    </row>
    <row r="642" spans="2:14">
      <c r="B642" s="27"/>
      <c r="C642" s="27"/>
      <c r="D642" s="1509">
        <v>2211100</v>
      </c>
      <c r="E642" s="1592" t="s">
        <v>51</v>
      </c>
      <c r="F642" s="1593">
        <v>276000</v>
      </c>
      <c r="H642" s="27"/>
      <c r="I642" s="27"/>
      <c r="J642" s="1509">
        <v>2211100</v>
      </c>
      <c r="K642" s="1592" t="s">
        <v>51</v>
      </c>
      <c r="L642" s="1593">
        <v>276000</v>
      </c>
      <c r="N642" s="1593">
        <f t="shared" si="9"/>
        <v>0</v>
      </c>
    </row>
    <row r="643" spans="2:14">
      <c r="B643" s="46"/>
      <c r="C643" s="46"/>
      <c r="D643" s="28">
        <v>2211101</v>
      </c>
      <c r="E643" s="1594" t="s">
        <v>52</v>
      </c>
      <c r="F643" s="169">
        <v>132000</v>
      </c>
      <c r="H643" s="46"/>
      <c r="I643" s="46"/>
      <c r="J643" s="28">
        <v>2211101</v>
      </c>
      <c r="K643" s="1594" t="s">
        <v>52</v>
      </c>
      <c r="L643" s="169">
        <v>132000</v>
      </c>
      <c r="N643" s="169">
        <f t="shared" si="9"/>
        <v>0</v>
      </c>
    </row>
    <row r="644" spans="2:14">
      <c r="B644" s="27"/>
      <c r="C644" s="27"/>
      <c r="D644" s="28">
        <v>2211102</v>
      </c>
      <c r="E644" s="1594" t="s">
        <v>53</v>
      </c>
      <c r="F644" s="169">
        <v>28000</v>
      </c>
      <c r="H644" s="27"/>
      <c r="I644" s="27"/>
      <c r="J644" s="28">
        <v>2211102</v>
      </c>
      <c r="K644" s="1594" t="s">
        <v>53</v>
      </c>
      <c r="L644" s="169">
        <v>28000</v>
      </c>
      <c r="N644" s="169">
        <f t="shared" si="9"/>
        <v>0</v>
      </c>
    </row>
    <row r="645" spans="2:14">
      <c r="B645" s="46"/>
      <c r="C645" s="46"/>
      <c r="D645" s="28">
        <v>2211103</v>
      </c>
      <c r="E645" s="1594" t="s">
        <v>54</v>
      </c>
      <c r="F645" s="169">
        <v>116000</v>
      </c>
      <c r="H645" s="46"/>
      <c r="I645" s="46"/>
      <c r="J645" s="28">
        <v>2211103</v>
      </c>
      <c r="K645" s="1594" t="s">
        <v>54</v>
      </c>
      <c r="L645" s="169">
        <v>116000</v>
      </c>
      <c r="N645" s="169">
        <f t="shared" si="9"/>
        <v>0</v>
      </c>
    </row>
    <row r="646" spans="2:14">
      <c r="B646" s="27"/>
      <c r="C646" s="27"/>
      <c r="D646" s="1509">
        <v>2211200</v>
      </c>
      <c r="E646" s="1592" t="s">
        <v>55</v>
      </c>
      <c r="F646" s="1593">
        <v>400000</v>
      </c>
      <c r="H646" s="27"/>
      <c r="I646" s="27"/>
      <c r="J646" s="1509">
        <v>2211200</v>
      </c>
      <c r="K646" s="1592" t="s">
        <v>55</v>
      </c>
      <c r="L646" s="1593">
        <v>400000</v>
      </c>
      <c r="N646" s="1593">
        <f t="shared" si="9"/>
        <v>0</v>
      </c>
    </row>
    <row r="647" spans="2:14">
      <c r="B647" s="46"/>
      <c r="C647" s="46"/>
      <c r="D647" s="28">
        <v>2211201</v>
      </c>
      <c r="E647" s="1594" t="s">
        <v>55</v>
      </c>
      <c r="F647" s="169">
        <v>400000</v>
      </c>
      <c r="H647" s="46"/>
      <c r="I647" s="46"/>
      <c r="J647" s="28">
        <v>2211201</v>
      </c>
      <c r="K647" s="1594" t="s">
        <v>55</v>
      </c>
      <c r="L647" s="169">
        <v>400000</v>
      </c>
      <c r="N647" s="169">
        <f t="shared" si="9"/>
        <v>0</v>
      </c>
    </row>
    <row r="648" spans="2:14">
      <c r="B648" s="46"/>
      <c r="C648" s="46"/>
      <c r="D648" s="1509">
        <v>2220100</v>
      </c>
      <c r="E648" s="1592" t="s">
        <v>62</v>
      </c>
      <c r="F648" s="1593">
        <v>406000</v>
      </c>
      <c r="H648" s="46"/>
      <c r="I648" s="46"/>
      <c r="J648" s="1509">
        <v>2220100</v>
      </c>
      <c r="K648" s="1592" t="s">
        <v>62</v>
      </c>
      <c r="L648" s="1593">
        <v>406000</v>
      </c>
      <c r="N648" s="1593">
        <f t="shared" ref="N648:N711" si="10">F648-L648</f>
        <v>0</v>
      </c>
    </row>
    <row r="649" spans="2:14">
      <c r="B649" s="46"/>
      <c r="C649" s="46"/>
      <c r="D649" s="28">
        <v>2220101</v>
      </c>
      <c r="E649" s="1594" t="s">
        <v>85</v>
      </c>
      <c r="F649" s="169">
        <v>406000</v>
      </c>
      <c r="H649" s="46"/>
      <c r="I649" s="46"/>
      <c r="J649" s="28">
        <v>2220101</v>
      </c>
      <c r="K649" s="1594" t="s">
        <v>85</v>
      </c>
      <c r="L649" s="169">
        <v>406000</v>
      </c>
      <c r="N649" s="169">
        <f t="shared" si="10"/>
        <v>0</v>
      </c>
    </row>
    <row r="650" spans="2:14">
      <c r="B650" s="46"/>
      <c r="C650" s="46"/>
      <c r="D650" s="1509">
        <v>2220200</v>
      </c>
      <c r="E650" s="1592" t="s">
        <v>86</v>
      </c>
      <c r="F650" s="1593">
        <v>20000</v>
      </c>
      <c r="H650" s="46"/>
      <c r="I650" s="46"/>
      <c r="J650" s="1509">
        <v>2220200</v>
      </c>
      <c r="K650" s="1592" t="s">
        <v>86</v>
      </c>
      <c r="L650" s="1593">
        <v>20000</v>
      </c>
      <c r="N650" s="1593">
        <f t="shared" si="10"/>
        <v>0</v>
      </c>
    </row>
    <row r="651" spans="2:14">
      <c r="B651" s="27"/>
      <c r="C651" s="27"/>
      <c r="D651" s="28">
        <v>2220202</v>
      </c>
      <c r="E651" s="1594" t="s">
        <v>130</v>
      </c>
      <c r="F651" s="169">
        <v>20000</v>
      </c>
      <c r="H651" s="27"/>
      <c r="I651" s="27"/>
      <c r="J651" s="28">
        <v>2220202</v>
      </c>
      <c r="K651" s="1594" t="s">
        <v>130</v>
      </c>
      <c r="L651" s="169">
        <v>20000</v>
      </c>
      <c r="N651" s="169">
        <f t="shared" si="10"/>
        <v>0</v>
      </c>
    </row>
    <row r="652" spans="2:14">
      <c r="B652" s="46"/>
      <c r="C652" s="46"/>
      <c r="D652" s="1509">
        <v>2211300</v>
      </c>
      <c r="E652" s="1592" t="s">
        <v>57</v>
      </c>
      <c r="F652" s="1593">
        <v>30142000</v>
      </c>
      <c r="H652" s="46"/>
      <c r="I652" s="46"/>
      <c r="J652" s="1509">
        <v>2211300</v>
      </c>
      <c r="K652" s="1592" t="s">
        <v>57</v>
      </c>
      <c r="L652" s="1593">
        <v>30142000</v>
      </c>
      <c r="N652" s="1593">
        <f t="shared" si="10"/>
        <v>0</v>
      </c>
    </row>
    <row r="653" spans="2:14" ht="30">
      <c r="B653" s="27"/>
      <c r="C653" s="27"/>
      <c r="D653" s="28">
        <v>2211308</v>
      </c>
      <c r="E653" s="1594" t="s">
        <v>1795</v>
      </c>
      <c r="F653" s="169">
        <v>30000000</v>
      </c>
      <c r="H653" s="27"/>
      <c r="I653" s="27"/>
      <c r="J653" s="28">
        <v>2211308</v>
      </c>
      <c r="K653" s="1594" t="s">
        <v>1795</v>
      </c>
      <c r="L653" s="169">
        <v>30000000</v>
      </c>
      <c r="N653" s="169">
        <f t="shared" si="10"/>
        <v>0</v>
      </c>
    </row>
    <row r="654" spans="2:14">
      <c r="B654" s="46"/>
      <c r="C654" s="46"/>
      <c r="D654" s="28" t="s">
        <v>135</v>
      </c>
      <c r="E654" s="1594" t="s">
        <v>59</v>
      </c>
      <c r="F654" s="169">
        <v>142000</v>
      </c>
      <c r="H654" s="46"/>
      <c r="I654" s="46"/>
      <c r="J654" s="28" t="s">
        <v>135</v>
      </c>
      <c r="K654" s="1594" t="s">
        <v>59</v>
      </c>
      <c r="L654" s="169">
        <v>142000</v>
      </c>
      <c r="N654" s="169">
        <f t="shared" si="10"/>
        <v>0</v>
      </c>
    </row>
    <row r="655" spans="2:14">
      <c r="B655" s="46"/>
      <c r="C655" s="46"/>
      <c r="D655" s="1509">
        <v>3111400</v>
      </c>
      <c r="E655" s="1609" t="s">
        <v>136</v>
      </c>
      <c r="F655" s="1593">
        <v>10000</v>
      </c>
      <c r="H655" s="46"/>
      <c r="I655" s="46"/>
      <c r="J655" s="1509">
        <v>3111400</v>
      </c>
      <c r="K655" s="1609" t="s">
        <v>136</v>
      </c>
      <c r="L655" s="1593">
        <v>10000</v>
      </c>
      <c r="N655" s="1593">
        <f t="shared" si="10"/>
        <v>0</v>
      </c>
    </row>
    <row r="656" spans="2:14" ht="30">
      <c r="B656" s="46"/>
      <c r="C656" s="46"/>
      <c r="D656" s="28">
        <v>3111401</v>
      </c>
      <c r="E656" s="1616" t="s">
        <v>137</v>
      </c>
      <c r="F656" s="169">
        <v>10000</v>
      </c>
      <c r="H656" s="46"/>
      <c r="I656" s="46"/>
      <c r="J656" s="28">
        <v>3111401</v>
      </c>
      <c r="K656" s="1616" t="s">
        <v>137</v>
      </c>
      <c r="L656" s="169">
        <v>10000</v>
      </c>
      <c r="N656" s="169">
        <f t="shared" si="10"/>
        <v>0</v>
      </c>
    </row>
    <row r="657" spans="2:14">
      <c r="B657" s="46"/>
      <c r="C657" s="46"/>
      <c r="D657" s="1509">
        <v>3111000</v>
      </c>
      <c r="E657" s="1592" t="s">
        <v>69</v>
      </c>
      <c r="F657" s="1593">
        <v>280000</v>
      </c>
      <c r="H657" s="46"/>
      <c r="I657" s="46"/>
      <c r="J657" s="1509">
        <v>3111000</v>
      </c>
      <c r="K657" s="1592" t="s">
        <v>69</v>
      </c>
      <c r="L657" s="1593">
        <v>280000</v>
      </c>
      <c r="N657" s="1593">
        <f t="shared" si="10"/>
        <v>0</v>
      </c>
    </row>
    <row r="658" spans="2:14">
      <c r="B658" s="46"/>
      <c r="C658" s="46"/>
      <c r="D658" s="28">
        <v>3111001</v>
      </c>
      <c r="E658" s="1594" t="s">
        <v>70</v>
      </c>
      <c r="F658" s="169">
        <v>190000</v>
      </c>
      <c r="H658" s="46"/>
      <c r="I658" s="46"/>
      <c r="J658" s="28">
        <v>3111001</v>
      </c>
      <c r="K658" s="1594" t="s">
        <v>70</v>
      </c>
      <c r="L658" s="169">
        <v>190000</v>
      </c>
      <c r="N658" s="169">
        <f t="shared" si="10"/>
        <v>0</v>
      </c>
    </row>
    <row r="659" spans="2:14">
      <c r="B659" s="46"/>
      <c r="C659" s="46"/>
      <c r="D659" s="28">
        <v>3111002</v>
      </c>
      <c r="E659" s="1594" t="s">
        <v>71</v>
      </c>
      <c r="F659" s="169">
        <v>90000</v>
      </c>
      <c r="H659" s="46"/>
      <c r="I659" s="46"/>
      <c r="J659" s="28">
        <v>3111002</v>
      </c>
      <c r="K659" s="1594" t="s">
        <v>71</v>
      </c>
      <c r="L659" s="169">
        <v>90000</v>
      </c>
      <c r="N659" s="169">
        <f t="shared" si="10"/>
        <v>0</v>
      </c>
    </row>
    <row r="660" spans="2:14">
      <c r="B660" s="46"/>
      <c r="C660" s="46"/>
      <c r="D660" s="1602"/>
      <c r="E660" s="1541"/>
      <c r="F660" s="1603">
        <v>0</v>
      </c>
      <c r="H660" s="46"/>
      <c r="I660" s="46"/>
      <c r="J660" s="1602"/>
      <c r="K660" s="1541"/>
      <c r="L660" s="1603">
        <v>0</v>
      </c>
      <c r="N660" s="1603">
        <f t="shared" si="10"/>
        <v>0</v>
      </c>
    </row>
    <row r="661" spans="2:14">
      <c r="B661" s="46"/>
      <c r="C661" s="46"/>
      <c r="D661" s="1604"/>
      <c r="E661" s="1542"/>
      <c r="F661" s="169">
        <v>0</v>
      </c>
      <c r="H661" s="46"/>
      <c r="I661" s="46"/>
      <c r="J661" s="1604"/>
      <c r="K661" s="1542"/>
      <c r="L661" s="169">
        <v>0</v>
      </c>
      <c r="N661" s="169">
        <f t="shared" si="10"/>
        <v>0</v>
      </c>
    </row>
    <row r="662" spans="2:14">
      <c r="B662" s="27"/>
      <c r="C662" s="27"/>
      <c r="D662" s="1605"/>
      <c r="E662" s="1592" t="s">
        <v>99</v>
      </c>
      <c r="F662" s="1593">
        <v>33006000</v>
      </c>
      <c r="H662" s="27"/>
      <c r="I662" s="27"/>
      <c r="J662" s="1605"/>
      <c r="K662" s="1592" t="s">
        <v>99</v>
      </c>
      <c r="L662" s="1593">
        <v>33006000</v>
      </c>
      <c r="N662" s="1593">
        <f t="shared" si="10"/>
        <v>0</v>
      </c>
    </row>
    <row r="663" spans="2:14">
      <c r="B663" s="46"/>
      <c r="C663" s="46"/>
      <c r="D663" s="1577"/>
      <c r="E663" s="1592" t="s">
        <v>84</v>
      </c>
      <c r="F663" s="1593">
        <v>33006000</v>
      </c>
      <c r="H663" s="46"/>
      <c r="I663" s="46"/>
      <c r="J663" s="1577"/>
      <c r="K663" s="1592" t="s">
        <v>84</v>
      </c>
      <c r="L663" s="1593">
        <v>33006000</v>
      </c>
      <c r="N663" s="1593">
        <f t="shared" si="10"/>
        <v>0</v>
      </c>
    </row>
    <row r="664" spans="2:14">
      <c r="B664" s="46"/>
      <c r="C664" s="46"/>
      <c r="D664" s="1577"/>
      <c r="E664" s="1592"/>
      <c r="F664" s="1593"/>
      <c r="H664" s="46"/>
      <c r="I664" s="46"/>
      <c r="J664" s="1577"/>
      <c r="K664" s="1592"/>
      <c r="L664" s="1593"/>
      <c r="N664" s="1593">
        <f t="shared" si="10"/>
        <v>0</v>
      </c>
    </row>
    <row r="665" spans="2:14">
      <c r="B665" s="27"/>
      <c r="C665" s="27"/>
      <c r="D665" s="1577" t="s">
        <v>138</v>
      </c>
      <c r="E665" s="1541"/>
      <c r="F665" s="1605"/>
      <c r="H665" s="27"/>
      <c r="I665" s="27"/>
      <c r="J665" s="1577" t="s">
        <v>138</v>
      </c>
      <c r="K665" s="1541"/>
      <c r="L665" s="1605"/>
      <c r="N665" s="1605">
        <f t="shared" si="10"/>
        <v>0</v>
      </c>
    </row>
    <row r="666" spans="2:14">
      <c r="B666" s="46"/>
      <c r="C666" s="46"/>
      <c r="D666" s="1509">
        <v>2210200</v>
      </c>
      <c r="E666" s="1592" t="s">
        <v>20</v>
      </c>
      <c r="F666" s="1593">
        <v>116000</v>
      </c>
      <c r="H666" s="46"/>
      <c r="I666" s="46"/>
      <c r="J666" s="1509">
        <v>2210200</v>
      </c>
      <c r="K666" s="1592" t="s">
        <v>20</v>
      </c>
      <c r="L666" s="1593">
        <v>116000</v>
      </c>
      <c r="N666" s="1593">
        <f t="shared" si="10"/>
        <v>0</v>
      </c>
    </row>
    <row r="667" spans="2:14">
      <c r="B667" s="46"/>
      <c r="C667" s="46"/>
      <c r="D667" s="28">
        <v>2210201</v>
      </c>
      <c r="E667" s="1594" t="s">
        <v>21</v>
      </c>
      <c r="F667" s="169">
        <v>58000</v>
      </c>
      <c r="H667" s="46"/>
      <c r="I667" s="46"/>
      <c r="J667" s="28">
        <v>2210201</v>
      </c>
      <c r="K667" s="1594" t="s">
        <v>21</v>
      </c>
      <c r="L667" s="169">
        <v>58000</v>
      </c>
      <c r="N667" s="169">
        <f t="shared" si="10"/>
        <v>0</v>
      </c>
    </row>
    <row r="668" spans="2:14">
      <c r="B668" s="46"/>
      <c r="C668" s="46"/>
      <c r="D668" s="28">
        <v>2210202</v>
      </c>
      <c r="E668" s="1594" t="s">
        <v>22</v>
      </c>
      <c r="F668" s="169">
        <v>58000</v>
      </c>
      <c r="H668" s="46"/>
      <c r="I668" s="46"/>
      <c r="J668" s="28">
        <v>2210202</v>
      </c>
      <c r="K668" s="1594" t="s">
        <v>22</v>
      </c>
      <c r="L668" s="169">
        <v>58000</v>
      </c>
      <c r="N668" s="169">
        <f t="shared" si="10"/>
        <v>0</v>
      </c>
    </row>
    <row r="669" spans="2:14">
      <c r="B669" s="27"/>
      <c r="C669" s="27"/>
      <c r="D669" s="1509">
        <v>2210300</v>
      </c>
      <c r="E669" s="1592" t="s">
        <v>24</v>
      </c>
      <c r="F669" s="1593">
        <v>1476000</v>
      </c>
      <c r="H669" s="27"/>
      <c r="I669" s="27"/>
      <c r="J669" s="1509">
        <v>2210300</v>
      </c>
      <c r="K669" s="1592" t="s">
        <v>24</v>
      </c>
      <c r="L669" s="1593">
        <v>1476000</v>
      </c>
      <c r="N669" s="1593">
        <f t="shared" si="10"/>
        <v>0</v>
      </c>
    </row>
    <row r="670" spans="2:14">
      <c r="B670" s="46"/>
      <c r="C670" s="46"/>
      <c r="D670" s="28">
        <v>2210301</v>
      </c>
      <c r="E670" s="1594" t="s">
        <v>25</v>
      </c>
      <c r="F670" s="169">
        <v>348000</v>
      </c>
      <c r="H670" s="46"/>
      <c r="I670" s="46"/>
      <c r="J670" s="28">
        <v>2210301</v>
      </c>
      <c r="K670" s="1594" t="s">
        <v>25</v>
      </c>
      <c r="L670" s="169">
        <v>348000</v>
      </c>
      <c r="N670" s="169">
        <f t="shared" si="10"/>
        <v>0</v>
      </c>
    </row>
    <row r="671" spans="2:14">
      <c r="B671" s="46"/>
      <c r="C671" s="46"/>
      <c r="D671" s="28">
        <v>2210302</v>
      </c>
      <c r="E671" s="1594" t="s">
        <v>26</v>
      </c>
      <c r="F671" s="169">
        <v>328000</v>
      </c>
      <c r="H671" s="46"/>
      <c r="I671" s="46"/>
      <c r="J671" s="28">
        <v>2210302</v>
      </c>
      <c r="K671" s="1594" t="s">
        <v>26</v>
      </c>
      <c r="L671" s="169">
        <v>328000</v>
      </c>
      <c r="N671" s="169">
        <f t="shared" si="10"/>
        <v>0</v>
      </c>
    </row>
    <row r="672" spans="2:14">
      <c r="B672" s="46"/>
      <c r="C672" s="46"/>
      <c r="D672" s="28">
        <v>2210303</v>
      </c>
      <c r="E672" s="1594" t="s">
        <v>27</v>
      </c>
      <c r="F672" s="169">
        <v>800000</v>
      </c>
      <c r="H672" s="46"/>
      <c r="I672" s="46"/>
      <c r="J672" s="28">
        <v>2210303</v>
      </c>
      <c r="K672" s="1594" t="s">
        <v>27</v>
      </c>
      <c r="L672" s="169">
        <v>800000</v>
      </c>
      <c r="N672" s="169">
        <f t="shared" si="10"/>
        <v>0</v>
      </c>
    </row>
    <row r="673" spans="2:14">
      <c r="B673" s="27"/>
      <c r="C673" s="27"/>
      <c r="D673" s="1509">
        <v>2210400</v>
      </c>
      <c r="E673" s="1592" t="s">
        <v>29</v>
      </c>
      <c r="F673" s="1593">
        <v>326000</v>
      </c>
      <c r="H673" s="27"/>
      <c r="I673" s="27"/>
      <c r="J673" s="1509">
        <v>2210400</v>
      </c>
      <c r="K673" s="1592" t="s">
        <v>29</v>
      </c>
      <c r="L673" s="1593">
        <v>326000</v>
      </c>
      <c r="N673" s="1593">
        <f t="shared" si="10"/>
        <v>0</v>
      </c>
    </row>
    <row r="674" spans="2:14">
      <c r="B674" s="46"/>
      <c r="C674" s="46"/>
      <c r="D674" s="28">
        <v>2210401</v>
      </c>
      <c r="E674" s="1594" t="s">
        <v>25</v>
      </c>
      <c r="F674" s="169">
        <v>190000</v>
      </c>
      <c r="H674" s="46"/>
      <c r="I674" s="46"/>
      <c r="J674" s="28">
        <v>2210401</v>
      </c>
      <c r="K674" s="1594" t="s">
        <v>25</v>
      </c>
      <c r="L674" s="169">
        <v>190000</v>
      </c>
      <c r="N674" s="169">
        <f t="shared" si="10"/>
        <v>0</v>
      </c>
    </row>
    <row r="675" spans="2:14">
      <c r="B675" s="27"/>
      <c r="C675" s="27"/>
      <c r="D675" s="28">
        <v>2210402</v>
      </c>
      <c r="E675" s="1594" t="s">
        <v>30</v>
      </c>
      <c r="F675" s="169">
        <v>78000</v>
      </c>
      <c r="H675" s="27"/>
      <c r="I675" s="27"/>
      <c r="J675" s="28">
        <v>2210402</v>
      </c>
      <c r="K675" s="1594" t="s">
        <v>30</v>
      </c>
      <c r="L675" s="169">
        <v>78000</v>
      </c>
      <c r="N675" s="169">
        <f t="shared" si="10"/>
        <v>0</v>
      </c>
    </row>
    <row r="676" spans="2:14">
      <c r="B676" s="46"/>
      <c r="C676" s="46"/>
      <c r="D676" s="28">
        <v>2210404</v>
      </c>
      <c r="E676" s="1594" t="s">
        <v>28</v>
      </c>
      <c r="F676" s="169">
        <v>58000</v>
      </c>
      <c r="H676" s="46"/>
      <c r="I676" s="46"/>
      <c r="J676" s="28">
        <v>2210404</v>
      </c>
      <c r="K676" s="1594" t="s">
        <v>28</v>
      </c>
      <c r="L676" s="169">
        <v>58000</v>
      </c>
      <c r="N676" s="169">
        <f t="shared" si="10"/>
        <v>0</v>
      </c>
    </row>
    <row r="677" spans="2:14">
      <c r="B677" s="46"/>
      <c r="C677" s="46"/>
      <c r="D677" s="1509">
        <v>2210700</v>
      </c>
      <c r="E677" s="1592" t="s">
        <v>35</v>
      </c>
      <c r="F677" s="1593">
        <v>650000</v>
      </c>
      <c r="H677" s="46"/>
      <c r="I677" s="46"/>
      <c r="J677" s="1509">
        <v>2210700</v>
      </c>
      <c r="K677" s="1592" t="s">
        <v>35</v>
      </c>
      <c r="L677" s="1593">
        <v>650000</v>
      </c>
      <c r="N677" s="1593">
        <f t="shared" si="10"/>
        <v>0</v>
      </c>
    </row>
    <row r="678" spans="2:14">
      <c r="B678" s="27"/>
      <c r="C678" s="27"/>
      <c r="D678" s="28">
        <v>2210799</v>
      </c>
      <c r="E678" s="1594" t="s">
        <v>129</v>
      </c>
      <c r="F678" s="169">
        <v>650000</v>
      </c>
      <c r="H678" s="27"/>
      <c r="I678" s="27"/>
      <c r="J678" s="28">
        <v>2210799</v>
      </c>
      <c r="K678" s="1594" t="s">
        <v>129</v>
      </c>
      <c r="L678" s="169">
        <v>650000</v>
      </c>
      <c r="N678" s="169">
        <f t="shared" si="10"/>
        <v>0</v>
      </c>
    </row>
    <row r="679" spans="2:14">
      <c r="B679" s="46"/>
      <c r="C679" s="46"/>
      <c r="D679" s="1509">
        <v>2210800</v>
      </c>
      <c r="E679" s="1592" t="s">
        <v>42</v>
      </c>
      <c r="F679" s="1593">
        <v>663000</v>
      </c>
      <c r="H679" s="46"/>
      <c r="I679" s="46"/>
      <c r="J679" s="1509">
        <v>2210800</v>
      </c>
      <c r="K679" s="1592" t="s">
        <v>42</v>
      </c>
      <c r="L679" s="1593">
        <v>663000</v>
      </c>
      <c r="N679" s="1593">
        <f t="shared" si="10"/>
        <v>0</v>
      </c>
    </row>
    <row r="680" spans="2:14">
      <c r="B680" s="46"/>
      <c r="C680" s="46"/>
      <c r="D680" s="28">
        <v>2210801</v>
      </c>
      <c r="E680" s="1594" t="s">
        <v>43</v>
      </c>
      <c r="F680" s="169">
        <v>203000</v>
      </c>
      <c r="H680" s="46"/>
      <c r="I680" s="46"/>
      <c r="J680" s="28">
        <v>2210801</v>
      </c>
      <c r="K680" s="1594" t="s">
        <v>43</v>
      </c>
      <c r="L680" s="169">
        <v>203000</v>
      </c>
      <c r="N680" s="169">
        <f t="shared" si="10"/>
        <v>0</v>
      </c>
    </row>
    <row r="681" spans="2:14">
      <c r="B681" s="46"/>
      <c r="C681" s="46"/>
      <c r="D681" s="28">
        <v>2210802</v>
      </c>
      <c r="E681" s="1594" t="s">
        <v>97</v>
      </c>
      <c r="F681" s="169">
        <v>290000</v>
      </c>
      <c r="H681" s="46"/>
      <c r="I681" s="46"/>
      <c r="J681" s="28">
        <v>2210802</v>
      </c>
      <c r="K681" s="1594" t="s">
        <v>97</v>
      </c>
      <c r="L681" s="169">
        <v>290000</v>
      </c>
      <c r="N681" s="169">
        <f t="shared" si="10"/>
        <v>0</v>
      </c>
    </row>
    <row r="682" spans="2:14">
      <c r="B682" s="46"/>
      <c r="C682" s="46"/>
      <c r="D682" s="28">
        <v>2210808</v>
      </c>
      <c r="E682" s="1594" t="s">
        <v>44</v>
      </c>
      <c r="F682" s="169">
        <v>170000</v>
      </c>
      <c r="H682" s="46"/>
      <c r="I682" s="46"/>
      <c r="J682" s="28">
        <v>2210808</v>
      </c>
      <c r="K682" s="1594" t="s">
        <v>44</v>
      </c>
      <c r="L682" s="169">
        <v>170000</v>
      </c>
      <c r="N682" s="169">
        <f t="shared" si="10"/>
        <v>0</v>
      </c>
    </row>
    <row r="683" spans="2:14">
      <c r="B683" s="27"/>
      <c r="C683" s="27"/>
      <c r="D683" s="1509">
        <v>2211100</v>
      </c>
      <c r="E683" s="1592" t="s">
        <v>51</v>
      </c>
      <c r="F683" s="1593">
        <v>406000</v>
      </c>
      <c r="H683" s="27"/>
      <c r="I683" s="27"/>
      <c r="J683" s="1509">
        <v>2211100</v>
      </c>
      <c r="K683" s="1592" t="s">
        <v>51</v>
      </c>
      <c r="L683" s="1593">
        <v>406000</v>
      </c>
      <c r="N683" s="1593">
        <f t="shared" si="10"/>
        <v>0</v>
      </c>
    </row>
    <row r="684" spans="2:14">
      <c r="B684" s="46"/>
      <c r="C684" s="46"/>
      <c r="D684" s="28">
        <v>2211101</v>
      </c>
      <c r="E684" s="1594" t="s">
        <v>52</v>
      </c>
      <c r="F684" s="169">
        <v>174000</v>
      </c>
      <c r="H684" s="46"/>
      <c r="I684" s="46"/>
      <c r="J684" s="28">
        <v>2211101</v>
      </c>
      <c r="K684" s="1594" t="s">
        <v>52</v>
      </c>
      <c r="L684" s="169">
        <v>174000</v>
      </c>
      <c r="N684" s="169">
        <f t="shared" si="10"/>
        <v>0</v>
      </c>
    </row>
    <row r="685" spans="2:14">
      <c r="B685" s="27"/>
      <c r="C685" s="27"/>
      <c r="D685" s="28">
        <v>2211102</v>
      </c>
      <c r="E685" s="1594" t="s">
        <v>53</v>
      </c>
      <c r="F685" s="169">
        <v>174000</v>
      </c>
      <c r="H685" s="27"/>
      <c r="I685" s="27"/>
      <c r="J685" s="28">
        <v>2211102</v>
      </c>
      <c r="K685" s="1594" t="s">
        <v>53</v>
      </c>
      <c r="L685" s="169">
        <v>174000</v>
      </c>
      <c r="N685" s="169">
        <f t="shared" si="10"/>
        <v>0</v>
      </c>
    </row>
    <row r="686" spans="2:14">
      <c r="B686" s="46"/>
      <c r="C686" s="46"/>
      <c r="D686" s="28">
        <v>2211103</v>
      </c>
      <c r="E686" s="1594" t="s">
        <v>54</v>
      </c>
      <c r="F686" s="169">
        <v>58000</v>
      </c>
      <c r="H686" s="46"/>
      <c r="I686" s="46"/>
      <c r="J686" s="28">
        <v>2211103</v>
      </c>
      <c r="K686" s="1594" t="s">
        <v>54</v>
      </c>
      <c r="L686" s="169">
        <v>58000</v>
      </c>
      <c r="N686" s="169">
        <f t="shared" si="10"/>
        <v>0</v>
      </c>
    </row>
    <row r="687" spans="2:14">
      <c r="B687" s="46"/>
      <c r="C687" s="46"/>
      <c r="D687" s="1509">
        <v>2211200</v>
      </c>
      <c r="E687" s="1592" t="s">
        <v>55</v>
      </c>
      <c r="F687" s="1593">
        <v>870000</v>
      </c>
      <c r="H687" s="46"/>
      <c r="I687" s="46"/>
      <c r="J687" s="1509">
        <v>2211200</v>
      </c>
      <c r="K687" s="1592" t="s">
        <v>55</v>
      </c>
      <c r="L687" s="1593">
        <v>870000</v>
      </c>
      <c r="N687" s="1593">
        <f t="shared" si="10"/>
        <v>0</v>
      </c>
    </row>
    <row r="688" spans="2:14">
      <c r="B688" s="27"/>
      <c r="C688" s="27"/>
      <c r="D688" s="28">
        <v>2211201</v>
      </c>
      <c r="E688" s="1594" t="s">
        <v>55</v>
      </c>
      <c r="F688" s="169">
        <v>870000</v>
      </c>
      <c r="H688" s="27"/>
      <c r="I688" s="27"/>
      <c r="J688" s="28">
        <v>2211201</v>
      </c>
      <c r="K688" s="1594" t="s">
        <v>55</v>
      </c>
      <c r="L688" s="169">
        <v>870000</v>
      </c>
      <c r="N688" s="169">
        <f t="shared" si="10"/>
        <v>0</v>
      </c>
    </row>
    <row r="689" spans="2:14">
      <c r="B689" s="46"/>
      <c r="C689" s="46"/>
      <c r="D689" s="1509">
        <v>2211300</v>
      </c>
      <c r="E689" s="1592" t="s">
        <v>57</v>
      </c>
      <c r="F689" s="1593">
        <v>35330000</v>
      </c>
      <c r="H689" s="46"/>
      <c r="I689" s="46"/>
      <c r="J689" s="1509">
        <v>2211300</v>
      </c>
      <c r="K689" s="1592" t="s">
        <v>57</v>
      </c>
      <c r="L689" s="1593">
        <v>35330000</v>
      </c>
      <c r="N689" s="1593">
        <f t="shared" si="10"/>
        <v>0</v>
      </c>
    </row>
    <row r="690" spans="2:14" ht="30">
      <c r="B690" s="27"/>
      <c r="C690" s="27"/>
      <c r="D690" s="28">
        <v>2211320</v>
      </c>
      <c r="E690" s="1594" t="s">
        <v>139</v>
      </c>
      <c r="F690" s="169">
        <v>34070000</v>
      </c>
      <c r="H690" s="27"/>
      <c r="I690" s="27"/>
      <c r="J690" s="28">
        <v>2211320</v>
      </c>
      <c r="K690" s="1594" t="s">
        <v>139</v>
      </c>
      <c r="L690" s="169">
        <v>34070000</v>
      </c>
      <c r="N690" s="169">
        <f t="shared" si="10"/>
        <v>0</v>
      </c>
    </row>
    <row r="691" spans="2:14" ht="30">
      <c r="B691" s="46"/>
      <c r="C691" s="46"/>
      <c r="D691" s="28" t="s">
        <v>121</v>
      </c>
      <c r="E691" s="1608" t="s">
        <v>1576</v>
      </c>
      <c r="F691" s="169">
        <v>1260000</v>
      </c>
      <c r="H691" s="46"/>
      <c r="I691" s="46"/>
      <c r="J691" s="28" t="s">
        <v>121</v>
      </c>
      <c r="K691" s="1608" t="s">
        <v>1576</v>
      </c>
      <c r="L691" s="169">
        <v>1260000</v>
      </c>
      <c r="N691" s="169">
        <f t="shared" si="10"/>
        <v>0</v>
      </c>
    </row>
    <row r="692" spans="2:14">
      <c r="B692" s="46"/>
      <c r="C692" s="46"/>
      <c r="D692" s="1509">
        <v>2220100</v>
      </c>
      <c r="E692" s="1592" t="s">
        <v>62</v>
      </c>
      <c r="F692" s="1593">
        <v>580000</v>
      </c>
      <c r="H692" s="46"/>
      <c r="I692" s="46"/>
      <c r="J692" s="1509">
        <v>2220100</v>
      </c>
      <c r="K692" s="1592" t="s">
        <v>62</v>
      </c>
      <c r="L692" s="1593">
        <v>580000</v>
      </c>
      <c r="N692" s="1593">
        <f t="shared" si="10"/>
        <v>0</v>
      </c>
    </row>
    <row r="693" spans="2:14">
      <c r="B693" s="46"/>
      <c r="C693" s="46"/>
      <c r="D693" s="28">
        <v>2220101</v>
      </c>
      <c r="E693" s="1594" t="s">
        <v>85</v>
      </c>
      <c r="F693" s="169">
        <v>580000</v>
      </c>
      <c r="H693" s="46"/>
      <c r="I693" s="46"/>
      <c r="J693" s="28">
        <v>2220101</v>
      </c>
      <c r="K693" s="1594" t="s">
        <v>85</v>
      </c>
      <c r="L693" s="169">
        <v>580000</v>
      </c>
      <c r="N693" s="169">
        <f t="shared" si="10"/>
        <v>0</v>
      </c>
    </row>
    <row r="694" spans="2:14">
      <c r="B694" s="46"/>
      <c r="C694" s="46"/>
      <c r="D694" s="1509">
        <v>3111000</v>
      </c>
      <c r="E694" s="1592" t="s">
        <v>69</v>
      </c>
      <c r="F694" s="1593">
        <v>636000</v>
      </c>
      <c r="H694" s="46"/>
      <c r="I694" s="46"/>
      <c r="J694" s="1509">
        <v>3111000</v>
      </c>
      <c r="K694" s="1592" t="s">
        <v>69</v>
      </c>
      <c r="L694" s="1593">
        <v>636000</v>
      </c>
      <c r="N694" s="1593">
        <f t="shared" si="10"/>
        <v>0</v>
      </c>
    </row>
    <row r="695" spans="2:14">
      <c r="B695" s="46"/>
      <c r="C695" s="46"/>
      <c r="D695" s="28">
        <v>3111001</v>
      </c>
      <c r="E695" s="1594" t="s">
        <v>70</v>
      </c>
      <c r="F695" s="169">
        <v>540000</v>
      </c>
      <c r="H695" s="46"/>
      <c r="I695" s="46"/>
      <c r="J695" s="28">
        <v>3111001</v>
      </c>
      <c r="K695" s="1594" t="s">
        <v>70</v>
      </c>
      <c r="L695" s="169">
        <v>540000</v>
      </c>
      <c r="N695" s="169">
        <f t="shared" si="10"/>
        <v>0</v>
      </c>
    </row>
    <row r="696" spans="2:14">
      <c r="B696" s="46"/>
      <c r="C696" s="46"/>
      <c r="D696" s="28">
        <v>3111002</v>
      </c>
      <c r="E696" s="1542" t="s">
        <v>71</v>
      </c>
      <c r="F696" s="169">
        <v>96000</v>
      </c>
      <c r="H696" s="46"/>
      <c r="I696" s="46"/>
      <c r="J696" s="28">
        <v>3111002</v>
      </c>
      <c r="K696" s="1542" t="s">
        <v>71</v>
      </c>
      <c r="L696" s="169">
        <v>96000</v>
      </c>
      <c r="N696" s="169">
        <f t="shared" si="10"/>
        <v>0</v>
      </c>
    </row>
    <row r="697" spans="2:14">
      <c r="B697" s="27"/>
      <c r="C697" s="27"/>
      <c r="D697" s="1602"/>
      <c r="E697" s="1541"/>
      <c r="F697" s="1603">
        <v>0</v>
      </c>
      <c r="H697" s="27"/>
      <c r="I697" s="27"/>
      <c r="J697" s="1602"/>
      <c r="K697" s="1541"/>
      <c r="L697" s="1603">
        <v>0</v>
      </c>
      <c r="N697" s="1603">
        <f t="shared" si="10"/>
        <v>0</v>
      </c>
    </row>
    <row r="698" spans="2:14">
      <c r="B698" s="27"/>
      <c r="C698" s="27"/>
      <c r="D698" s="1604"/>
      <c r="E698" s="1542"/>
      <c r="F698" s="169">
        <v>0</v>
      </c>
      <c r="H698" s="27"/>
      <c r="I698" s="27"/>
      <c r="J698" s="1604"/>
      <c r="K698" s="1542"/>
      <c r="L698" s="169">
        <v>0</v>
      </c>
      <c r="N698" s="169">
        <f t="shared" si="10"/>
        <v>0</v>
      </c>
    </row>
    <row r="699" spans="2:14">
      <c r="B699" s="1572"/>
      <c r="C699" s="1572"/>
      <c r="D699" s="1605"/>
      <c r="E699" s="1592" t="s">
        <v>99</v>
      </c>
      <c r="F699" s="1593">
        <v>41053000</v>
      </c>
      <c r="H699" s="1572"/>
      <c r="I699" s="1572"/>
      <c r="J699" s="1605"/>
      <c r="K699" s="1592" t="s">
        <v>99</v>
      </c>
      <c r="L699" s="1593">
        <v>41053000</v>
      </c>
      <c r="N699" s="1593">
        <f t="shared" si="10"/>
        <v>0</v>
      </c>
    </row>
    <row r="700" spans="2:14">
      <c r="B700" s="1572"/>
      <c r="C700" s="1572"/>
      <c r="D700" s="1577"/>
      <c r="E700" s="1592" t="s">
        <v>84</v>
      </c>
      <c r="F700" s="1593">
        <v>41053000</v>
      </c>
      <c r="H700" s="1572"/>
      <c r="I700" s="1572"/>
      <c r="J700" s="1577"/>
      <c r="K700" s="1592" t="s">
        <v>84</v>
      </c>
      <c r="L700" s="1593">
        <v>41053000</v>
      </c>
      <c r="N700" s="1593">
        <f t="shared" si="10"/>
        <v>0</v>
      </c>
    </row>
    <row r="701" spans="2:14">
      <c r="B701" s="1572"/>
      <c r="C701" s="1572"/>
      <c r="D701" s="1577"/>
      <c r="E701" s="1592"/>
      <c r="F701" s="1593"/>
      <c r="H701" s="1572"/>
      <c r="I701" s="1572"/>
      <c r="J701" s="1577"/>
      <c r="K701" s="1592"/>
      <c r="L701" s="1593"/>
      <c r="N701" s="1593">
        <f t="shared" si="10"/>
        <v>0</v>
      </c>
    </row>
    <row r="702" spans="2:14">
      <c r="B702" s="1572"/>
      <c r="C702" s="1572"/>
      <c r="D702" s="1577"/>
      <c r="E702" s="1541" t="s">
        <v>141</v>
      </c>
      <c r="F702" s="1617">
        <v>140401979.72993007</v>
      </c>
      <c r="H702" s="1572"/>
      <c r="I702" s="1572"/>
      <c r="J702" s="1577"/>
      <c r="K702" s="1541" t="s">
        <v>141</v>
      </c>
      <c r="L702" s="1617">
        <v>140401979.72993007</v>
      </c>
      <c r="N702" s="1617">
        <f t="shared" si="10"/>
        <v>0</v>
      </c>
    </row>
    <row r="703" spans="2:14">
      <c r="B703" s="1572"/>
      <c r="C703" s="1572"/>
      <c r="D703" s="1577"/>
      <c r="E703" s="1541"/>
      <c r="F703" s="1617"/>
      <c r="H703" s="1572"/>
      <c r="I703" s="1572"/>
      <c r="J703" s="1577"/>
      <c r="K703" s="1541"/>
      <c r="L703" s="1617"/>
      <c r="N703" s="1617">
        <f t="shared" si="10"/>
        <v>0</v>
      </c>
    </row>
    <row r="704" spans="2:14">
      <c r="B704" s="36"/>
      <c r="C704" s="36" t="s">
        <v>142</v>
      </c>
      <c r="D704" s="1507" t="s">
        <v>143</v>
      </c>
      <c r="E704" s="1618"/>
      <c r="F704" s="1619"/>
      <c r="H704" s="36"/>
      <c r="I704" s="36" t="s">
        <v>142</v>
      </c>
      <c r="J704" s="1507" t="s">
        <v>143</v>
      </c>
      <c r="K704" s="1618"/>
      <c r="L704" s="1619"/>
      <c r="N704" s="1619">
        <f t="shared" si="10"/>
        <v>0</v>
      </c>
    </row>
    <row r="705" spans="2:14">
      <c r="B705" s="1583" t="s">
        <v>144</v>
      </c>
      <c r="C705" s="1583"/>
      <c r="D705" s="1507" t="s">
        <v>145</v>
      </c>
      <c r="E705" s="1620"/>
      <c r="F705" s="1621"/>
      <c r="H705" s="1583" t="s">
        <v>144</v>
      </c>
      <c r="I705" s="1583"/>
      <c r="J705" s="1507" t="s">
        <v>145</v>
      </c>
      <c r="K705" s="1620"/>
      <c r="L705" s="1621"/>
      <c r="N705" s="1621">
        <f t="shared" si="10"/>
        <v>0</v>
      </c>
    </row>
    <row r="706" spans="2:14">
      <c r="B706" s="1583"/>
      <c r="C706" s="1583" t="s">
        <v>146</v>
      </c>
      <c r="D706" s="1507" t="s">
        <v>147</v>
      </c>
      <c r="E706" s="1620"/>
      <c r="F706" s="1621"/>
      <c r="H706" s="1583"/>
      <c r="I706" s="1583" t="s">
        <v>146</v>
      </c>
      <c r="J706" s="1507" t="s">
        <v>147</v>
      </c>
      <c r="K706" s="1620"/>
      <c r="L706" s="1621"/>
      <c r="N706" s="1621">
        <f t="shared" si="10"/>
        <v>0</v>
      </c>
    </row>
    <row r="707" spans="2:14">
      <c r="B707" s="1622"/>
      <c r="C707" s="1622"/>
      <c r="D707" s="1623">
        <v>2110200</v>
      </c>
      <c r="E707" s="1624" t="s">
        <v>148</v>
      </c>
      <c r="F707" s="1625">
        <v>25024967.5</v>
      </c>
      <c r="H707" s="1622"/>
      <c r="I707" s="1622"/>
      <c r="J707" s="1623">
        <v>2110200</v>
      </c>
      <c r="K707" s="1624" t="s">
        <v>148</v>
      </c>
      <c r="L707" s="1625">
        <v>25024967.5</v>
      </c>
      <c r="N707" s="1625">
        <f t="shared" si="10"/>
        <v>0</v>
      </c>
    </row>
    <row r="708" spans="2:14" ht="90">
      <c r="B708" s="1626"/>
      <c r="C708" s="1626"/>
      <c r="D708" s="1627" t="s">
        <v>149</v>
      </c>
      <c r="E708" s="1628" t="s">
        <v>1581</v>
      </c>
      <c r="F708" s="1629">
        <v>25024967.5</v>
      </c>
      <c r="H708" s="1626"/>
      <c r="I708" s="1626"/>
      <c r="J708" s="1627" t="s">
        <v>149</v>
      </c>
      <c r="K708" s="1628" t="s">
        <v>1581</v>
      </c>
      <c r="L708" s="1629">
        <v>25024967.5</v>
      </c>
      <c r="N708" s="1629">
        <f t="shared" si="10"/>
        <v>0</v>
      </c>
    </row>
    <row r="709" spans="2:14">
      <c r="B709" s="1622"/>
      <c r="C709" s="1622"/>
      <c r="D709" s="1623">
        <v>2210100</v>
      </c>
      <c r="E709" s="1624" t="s">
        <v>16</v>
      </c>
      <c r="F709" s="1625">
        <v>102100</v>
      </c>
      <c r="H709" s="1622"/>
      <c r="I709" s="1622"/>
      <c r="J709" s="1623">
        <v>2210100</v>
      </c>
      <c r="K709" s="1624" t="s">
        <v>16</v>
      </c>
      <c r="L709" s="1625">
        <v>102100</v>
      </c>
      <c r="N709" s="1625">
        <f t="shared" si="10"/>
        <v>0</v>
      </c>
    </row>
    <row r="710" spans="2:14">
      <c r="B710" s="1626"/>
      <c r="C710" s="1626"/>
      <c r="D710" s="1627">
        <v>2210101</v>
      </c>
      <c r="E710" s="1628" t="s">
        <v>17</v>
      </c>
      <c r="F710" s="1629">
        <v>52600</v>
      </c>
      <c r="H710" s="1626"/>
      <c r="I710" s="1626"/>
      <c r="J710" s="1627">
        <v>2210101</v>
      </c>
      <c r="K710" s="1628" t="s">
        <v>17</v>
      </c>
      <c r="L710" s="1629">
        <v>52600</v>
      </c>
      <c r="N710" s="1629">
        <f t="shared" si="10"/>
        <v>0</v>
      </c>
    </row>
    <row r="711" spans="2:14">
      <c r="B711" s="1626"/>
      <c r="C711" s="1626"/>
      <c r="D711" s="1627">
        <v>2210102</v>
      </c>
      <c r="E711" s="1628" t="s">
        <v>18</v>
      </c>
      <c r="F711" s="1629">
        <v>49500</v>
      </c>
      <c r="H711" s="1626"/>
      <c r="I711" s="1626"/>
      <c r="J711" s="1627">
        <v>2210102</v>
      </c>
      <c r="K711" s="1628" t="s">
        <v>18</v>
      </c>
      <c r="L711" s="1629">
        <v>49500</v>
      </c>
      <c r="N711" s="1629">
        <f t="shared" si="10"/>
        <v>0</v>
      </c>
    </row>
    <row r="712" spans="2:14">
      <c r="B712" s="1622"/>
      <c r="C712" s="1622"/>
      <c r="D712" s="1623">
        <v>2210200</v>
      </c>
      <c r="E712" s="1624" t="s">
        <v>20</v>
      </c>
      <c r="F712" s="1625">
        <v>1472680</v>
      </c>
      <c r="H712" s="1622"/>
      <c r="I712" s="1622"/>
      <c r="J712" s="1623">
        <v>2210200</v>
      </c>
      <c r="K712" s="1624" t="s">
        <v>20</v>
      </c>
      <c r="L712" s="1625">
        <v>1472680</v>
      </c>
      <c r="N712" s="1625">
        <f t="shared" ref="N712:N775" si="11">F712-L712</f>
        <v>0</v>
      </c>
    </row>
    <row r="713" spans="2:14">
      <c r="B713" s="1626"/>
      <c r="C713" s="1626"/>
      <c r="D713" s="1627">
        <v>2210201</v>
      </c>
      <c r="E713" s="1628" t="s">
        <v>113</v>
      </c>
      <c r="F713" s="1629">
        <v>1220280</v>
      </c>
      <c r="H713" s="1626"/>
      <c r="I713" s="1626"/>
      <c r="J713" s="1627">
        <v>2210201</v>
      </c>
      <c r="K713" s="1628" t="s">
        <v>113</v>
      </c>
      <c r="L713" s="1629">
        <v>1220280</v>
      </c>
      <c r="N713" s="1629">
        <f t="shared" si="11"/>
        <v>0</v>
      </c>
    </row>
    <row r="714" spans="2:14">
      <c r="B714" s="1626"/>
      <c r="C714" s="1626"/>
      <c r="D714" s="1627">
        <v>2210202</v>
      </c>
      <c r="E714" s="1628" t="s">
        <v>22</v>
      </c>
      <c r="F714" s="1629">
        <v>247200</v>
      </c>
      <c r="H714" s="1626"/>
      <c r="I714" s="1626"/>
      <c r="J714" s="1627">
        <v>2210202</v>
      </c>
      <c r="K714" s="1628" t="s">
        <v>22</v>
      </c>
      <c r="L714" s="1629">
        <v>247200</v>
      </c>
      <c r="N714" s="1629">
        <f t="shared" si="11"/>
        <v>0</v>
      </c>
    </row>
    <row r="715" spans="2:14">
      <c r="B715" s="1626"/>
      <c r="C715" s="1626"/>
      <c r="D715" s="1627">
        <v>2210303</v>
      </c>
      <c r="E715" s="1628" t="s">
        <v>23</v>
      </c>
      <c r="F715" s="1629">
        <v>5200</v>
      </c>
      <c r="H715" s="1626"/>
      <c r="I715" s="1626"/>
      <c r="J715" s="1627">
        <v>2210303</v>
      </c>
      <c r="K715" s="1628" t="s">
        <v>23</v>
      </c>
      <c r="L715" s="1629">
        <v>5200</v>
      </c>
      <c r="N715" s="1629">
        <f t="shared" si="11"/>
        <v>0</v>
      </c>
    </row>
    <row r="716" spans="2:14" ht="30">
      <c r="B716" s="1622"/>
      <c r="C716" s="1622"/>
      <c r="D716" s="1623">
        <v>2210300</v>
      </c>
      <c r="E716" s="1624" t="s">
        <v>151</v>
      </c>
      <c r="F716" s="1625">
        <v>6822555</v>
      </c>
      <c r="H716" s="1622"/>
      <c r="I716" s="1622"/>
      <c r="J716" s="1623">
        <v>2210300</v>
      </c>
      <c r="K716" s="1624" t="s">
        <v>151</v>
      </c>
      <c r="L716" s="1625">
        <v>6822555</v>
      </c>
      <c r="N716" s="1625">
        <f t="shared" si="11"/>
        <v>0</v>
      </c>
    </row>
    <row r="717" spans="2:14">
      <c r="B717" s="1626"/>
      <c r="C717" s="1626"/>
      <c r="D717" s="1627">
        <v>2210301</v>
      </c>
      <c r="E717" s="1628" t="s">
        <v>25</v>
      </c>
      <c r="F717" s="1630">
        <v>857000</v>
      </c>
      <c r="H717" s="1626"/>
      <c r="I717" s="1626"/>
      <c r="J717" s="1627">
        <v>2210301</v>
      </c>
      <c r="K717" s="1628" t="s">
        <v>25</v>
      </c>
      <c r="L717" s="1630">
        <v>857000</v>
      </c>
      <c r="N717" s="1630">
        <f t="shared" si="11"/>
        <v>0</v>
      </c>
    </row>
    <row r="718" spans="2:14" ht="30">
      <c r="B718" s="1626"/>
      <c r="C718" s="1626"/>
      <c r="D718" s="1627">
        <v>2210302</v>
      </c>
      <c r="E718" s="1628" t="s">
        <v>152</v>
      </c>
      <c r="F718" s="1629">
        <v>1775555</v>
      </c>
      <c r="H718" s="1626"/>
      <c r="I718" s="1626"/>
      <c r="J718" s="1627">
        <v>2210302</v>
      </c>
      <c r="K718" s="1628" t="s">
        <v>152</v>
      </c>
      <c r="L718" s="1629">
        <v>1775555</v>
      </c>
      <c r="N718" s="1629">
        <f t="shared" si="11"/>
        <v>0</v>
      </c>
    </row>
    <row r="719" spans="2:14" ht="30">
      <c r="B719" s="1626"/>
      <c r="C719" s="1626"/>
      <c r="D719" s="1627">
        <v>2210303</v>
      </c>
      <c r="E719" s="1628" t="s">
        <v>153</v>
      </c>
      <c r="F719" s="1629">
        <v>4170000</v>
      </c>
      <c r="H719" s="1626"/>
      <c r="I719" s="1626"/>
      <c r="J719" s="1627">
        <v>2210303</v>
      </c>
      <c r="K719" s="1628" t="s">
        <v>153</v>
      </c>
      <c r="L719" s="1629">
        <v>4170000</v>
      </c>
      <c r="N719" s="1629">
        <f t="shared" si="11"/>
        <v>0</v>
      </c>
    </row>
    <row r="720" spans="2:14">
      <c r="B720" s="1622"/>
      <c r="C720" s="1622"/>
      <c r="D720" s="1627">
        <v>2210304</v>
      </c>
      <c r="E720" s="1628" t="s">
        <v>28</v>
      </c>
      <c r="F720" s="1629">
        <v>20000</v>
      </c>
      <c r="H720" s="1622"/>
      <c r="I720" s="1622"/>
      <c r="J720" s="1627">
        <v>2210304</v>
      </c>
      <c r="K720" s="1628" t="s">
        <v>28</v>
      </c>
      <c r="L720" s="1629">
        <v>20000</v>
      </c>
      <c r="N720" s="1629">
        <f t="shared" si="11"/>
        <v>0</v>
      </c>
    </row>
    <row r="721" spans="2:14">
      <c r="B721" s="1626"/>
      <c r="C721" s="1626"/>
      <c r="D721" s="1623">
        <v>2210500</v>
      </c>
      <c r="E721" s="1624" t="s">
        <v>31</v>
      </c>
      <c r="F721" s="1625">
        <v>308000</v>
      </c>
      <c r="H721" s="1626"/>
      <c r="I721" s="1626"/>
      <c r="J721" s="1623">
        <v>2210500</v>
      </c>
      <c r="K721" s="1624" t="s">
        <v>31</v>
      </c>
      <c r="L721" s="1625">
        <v>308000</v>
      </c>
      <c r="N721" s="1625">
        <f t="shared" si="11"/>
        <v>0</v>
      </c>
    </row>
    <row r="722" spans="2:14">
      <c r="B722" s="1626"/>
      <c r="C722" s="1626"/>
      <c r="D722" s="1627">
        <v>2210502</v>
      </c>
      <c r="E722" s="1628" t="s">
        <v>105</v>
      </c>
      <c r="F722" s="1629">
        <v>58000</v>
      </c>
      <c r="H722" s="1626"/>
      <c r="I722" s="1626"/>
      <c r="J722" s="1627">
        <v>2210502</v>
      </c>
      <c r="K722" s="1628" t="s">
        <v>105</v>
      </c>
      <c r="L722" s="1629">
        <v>58000</v>
      </c>
      <c r="N722" s="1629">
        <f t="shared" si="11"/>
        <v>0</v>
      </c>
    </row>
    <row r="723" spans="2:14">
      <c r="B723" s="1626"/>
      <c r="C723" s="1626"/>
      <c r="D723" s="1627">
        <v>2210503</v>
      </c>
      <c r="E723" s="1628" t="s">
        <v>32</v>
      </c>
      <c r="F723" s="1629">
        <v>100000</v>
      </c>
      <c r="H723" s="1626"/>
      <c r="I723" s="1626"/>
      <c r="J723" s="1627">
        <v>2210503</v>
      </c>
      <c r="K723" s="1628" t="s">
        <v>32</v>
      </c>
      <c r="L723" s="1629">
        <v>100000</v>
      </c>
      <c r="N723" s="1629">
        <f t="shared" si="11"/>
        <v>0</v>
      </c>
    </row>
    <row r="724" spans="2:14">
      <c r="B724" s="1622"/>
      <c r="C724" s="1622"/>
      <c r="D724" s="1627">
        <v>2210504</v>
      </c>
      <c r="E724" s="1628" t="s">
        <v>33</v>
      </c>
      <c r="F724" s="1629">
        <v>150000</v>
      </c>
      <c r="H724" s="1622"/>
      <c r="I724" s="1622"/>
      <c r="J724" s="1627">
        <v>2210504</v>
      </c>
      <c r="K724" s="1628" t="s">
        <v>33</v>
      </c>
      <c r="L724" s="1629">
        <v>150000</v>
      </c>
      <c r="N724" s="1629">
        <f t="shared" si="11"/>
        <v>0</v>
      </c>
    </row>
    <row r="725" spans="2:14">
      <c r="B725" s="1626"/>
      <c r="C725" s="1626"/>
      <c r="D725" s="1627">
        <v>2210599</v>
      </c>
      <c r="E725" s="1628" t="s">
        <v>34</v>
      </c>
      <c r="F725" s="1629"/>
      <c r="H725" s="1626"/>
      <c r="I725" s="1626"/>
      <c r="J725" s="1627">
        <v>2210599</v>
      </c>
      <c r="K725" s="1628" t="s">
        <v>34</v>
      </c>
      <c r="L725" s="1629"/>
      <c r="N725" s="1629">
        <f t="shared" si="11"/>
        <v>0</v>
      </c>
    </row>
    <row r="726" spans="2:14">
      <c r="B726" s="1622"/>
      <c r="C726" s="1622"/>
      <c r="D726" s="1623">
        <v>2210600</v>
      </c>
      <c r="E726" s="1624" t="s">
        <v>154</v>
      </c>
      <c r="F726" s="1625">
        <v>7300000</v>
      </c>
      <c r="H726" s="1622"/>
      <c r="I726" s="1622"/>
      <c r="J726" s="1623">
        <v>2210600</v>
      </c>
      <c r="K726" s="1624" t="s">
        <v>154</v>
      </c>
      <c r="L726" s="1625">
        <v>7300000</v>
      </c>
      <c r="N726" s="1625">
        <f t="shared" si="11"/>
        <v>0</v>
      </c>
    </row>
    <row r="727" spans="2:14">
      <c r="B727" s="1626"/>
      <c r="C727" s="1626"/>
      <c r="D727" s="1627">
        <v>2210603</v>
      </c>
      <c r="E727" s="1628" t="s">
        <v>155</v>
      </c>
      <c r="F727" s="1629">
        <v>7300000</v>
      </c>
      <c r="H727" s="1626"/>
      <c r="I727" s="1626"/>
      <c r="J727" s="1627">
        <v>2210603</v>
      </c>
      <c r="K727" s="1628" t="s">
        <v>155</v>
      </c>
      <c r="L727" s="1629">
        <v>7300000</v>
      </c>
      <c r="N727" s="1629">
        <f t="shared" si="11"/>
        <v>0</v>
      </c>
    </row>
    <row r="728" spans="2:14">
      <c r="B728" s="1626"/>
      <c r="C728" s="1626"/>
      <c r="D728" s="1623">
        <v>2210700</v>
      </c>
      <c r="E728" s="1624" t="s">
        <v>114</v>
      </c>
      <c r="F728" s="1625">
        <v>594910</v>
      </c>
      <c r="H728" s="1626"/>
      <c r="I728" s="1626"/>
      <c r="J728" s="1623">
        <v>2210700</v>
      </c>
      <c r="K728" s="1624" t="s">
        <v>114</v>
      </c>
      <c r="L728" s="1625">
        <v>594910</v>
      </c>
      <c r="N728" s="1625">
        <f t="shared" si="11"/>
        <v>0</v>
      </c>
    </row>
    <row r="729" spans="2:14">
      <c r="B729" s="1626"/>
      <c r="C729" s="1626"/>
      <c r="D729" s="1627">
        <v>2210701</v>
      </c>
      <c r="E729" s="1628" t="s">
        <v>36</v>
      </c>
      <c r="F729" s="1629">
        <v>104910</v>
      </c>
      <c r="H729" s="1626"/>
      <c r="I729" s="1626"/>
      <c r="J729" s="1627">
        <v>2210701</v>
      </c>
      <c r="K729" s="1628" t="s">
        <v>36</v>
      </c>
      <c r="L729" s="1629">
        <v>104910</v>
      </c>
      <c r="N729" s="1629">
        <f t="shared" si="11"/>
        <v>0</v>
      </c>
    </row>
    <row r="730" spans="2:14">
      <c r="B730" s="1626"/>
      <c r="C730" s="1626"/>
      <c r="D730" s="1627">
        <v>2210702</v>
      </c>
      <c r="E730" s="1628" t="s">
        <v>37</v>
      </c>
      <c r="F730" s="1629">
        <v>110000</v>
      </c>
      <c r="H730" s="1626"/>
      <c r="I730" s="1626"/>
      <c r="J730" s="1627">
        <v>2210702</v>
      </c>
      <c r="K730" s="1628" t="s">
        <v>37</v>
      </c>
      <c r="L730" s="1629">
        <v>110000</v>
      </c>
      <c r="N730" s="1629">
        <f t="shared" si="11"/>
        <v>0</v>
      </c>
    </row>
    <row r="731" spans="2:14">
      <c r="B731" s="1626"/>
      <c r="C731" s="1626"/>
      <c r="D731" s="1627">
        <v>2210703</v>
      </c>
      <c r="E731" s="1628" t="s">
        <v>107</v>
      </c>
      <c r="F731" s="1629">
        <v>110000</v>
      </c>
      <c r="H731" s="1626"/>
      <c r="I731" s="1626"/>
      <c r="J731" s="1627">
        <v>2210703</v>
      </c>
      <c r="K731" s="1628" t="s">
        <v>107</v>
      </c>
      <c r="L731" s="1629">
        <v>110000</v>
      </c>
      <c r="N731" s="1629">
        <f t="shared" si="11"/>
        <v>0</v>
      </c>
    </row>
    <row r="732" spans="2:14">
      <c r="B732" s="1626"/>
      <c r="C732" s="1626"/>
      <c r="D732" s="1627">
        <v>2210704</v>
      </c>
      <c r="E732" s="1628" t="s">
        <v>38</v>
      </c>
      <c r="F732" s="1629">
        <v>50000</v>
      </c>
      <c r="H732" s="1626"/>
      <c r="I732" s="1626"/>
      <c r="J732" s="1627">
        <v>2210704</v>
      </c>
      <c r="K732" s="1628" t="s">
        <v>38</v>
      </c>
      <c r="L732" s="1629">
        <v>50000</v>
      </c>
      <c r="N732" s="1629">
        <f t="shared" si="11"/>
        <v>0</v>
      </c>
    </row>
    <row r="733" spans="2:14">
      <c r="B733" s="1622"/>
      <c r="C733" s="1622"/>
      <c r="D733" s="1627">
        <v>2210710</v>
      </c>
      <c r="E733" s="1628" t="s">
        <v>39</v>
      </c>
      <c r="F733" s="1629">
        <v>110000</v>
      </c>
      <c r="H733" s="1622"/>
      <c r="I733" s="1622"/>
      <c r="J733" s="1627">
        <v>2210710</v>
      </c>
      <c r="K733" s="1628" t="s">
        <v>39</v>
      </c>
      <c r="L733" s="1629">
        <v>110000</v>
      </c>
      <c r="N733" s="1629">
        <f t="shared" si="11"/>
        <v>0</v>
      </c>
    </row>
    <row r="734" spans="2:14">
      <c r="B734" s="1626"/>
      <c r="C734" s="1626"/>
      <c r="D734" s="1627">
        <v>2210711</v>
      </c>
      <c r="E734" s="1628" t="s">
        <v>156</v>
      </c>
      <c r="F734" s="1629">
        <v>110000</v>
      </c>
      <c r="H734" s="1626"/>
      <c r="I734" s="1626"/>
      <c r="J734" s="1627">
        <v>2210711</v>
      </c>
      <c r="K734" s="1628" t="s">
        <v>156</v>
      </c>
      <c r="L734" s="1629">
        <v>110000</v>
      </c>
      <c r="N734" s="1629">
        <f t="shared" si="11"/>
        <v>0</v>
      </c>
    </row>
    <row r="735" spans="2:14">
      <c r="B735" s="1626"/>
      <c r="C735" s="1626"/>
      <c r="D735" s="1623">
        <v>2210800</v>
      </c>
      <c r="E735" s="1624" t="s">
        <v>42</v>
      </c>
      <c r="F735" s="1625">
        <v>1030000</v>
      </c>
      <c r="H735" s="1626"/>
      <c r="I735" s="1626"/>
      <c r="J735" s="1623">
        <v>2210800</v>
      </c>
      <c r="K735" s="1624" t="s">
        <v>42</v>
      </c>
      <c r="L735" s="1625">
        <v>1030000</v>
      </c>
      <c r="N735" s="1625">
        <f t="shared" si="11"/>
        <v>0</v>
      </c>
    </row>
    <row r="736" spans="2:14">
      <c r="B736" s="1626"/>
      <c r="C736" s="1626"/>
      <c r="D736" s="1627">
        <v>2210801</v>
      </c>
      <c r="E736" s="1628" t="s">
        <v>43</v>
      </c>
      <c r="F736" s="1629">
        <v>480000</v>
      </c>
      <c r="H736" s="1626"/>
      <c r="I736" s="1626"/>
      <c r="J736" s="1627">
        <v>2210801</v>
      </c>
      <c r="K736" s="1628" t="s">
        <v>43</v>
      </c>
      <c r="L736" s="1629">
        <v>480000</v>
      </c>
      <c r="N736" s="1629">
        <f t="shared" si="11"/>
        <v>0</v>
      </c>
    </row>
    <row r="737" spans="2:14">
      <c r="B737" s="1626"/>
      <c r="C737" s="1626"/>
      <c r="D737" s="1627">
        <v>2210802</v>
      </c>
      <c r="E737" s="1628" t="s">
        <v>1249</v>
      </c>
      <c r="F737" s="1629">
        <v>525000</v>
      </c>
      <c r="H737" s="1626"/>
      <c r="I737" s="1626"/>
      <c r="J737" s="1627">
        <v>2210802</v>
      </c>
      <c r="K737" s="1628" t="s">
        <v>1249</v>
      </c>
      <c r="L737" s="1629">
        <v>525000</v>
      </c>
      <c r="N737" s="1629">
        <f t="shared" si="11"/>
        <v>0</v>
      </c>
    </row>
    <row r="738" spans="2:14">
      <c r="B738" s="1622"/>
      <c r="C738" s="1622"/>
      <c r="D738" s="1627">
        <v>2210805</v>
      </c>
      <c r="E738" s="1628" t="s">
        <v>116</v>
      </c>
      <c r="F738" s="1629">
        <v>15000</v>
      </c>
      <c r="H738" s="1622"/>
      <c r="I738" s="1622"/>
      <c r="J738" s="1627">
        <v>2210805</v>
      </c>
      <c r="K738" s="1628" t="s">
        <v>116</v>
      </c>
      <c r="L738" s="1629">
        <v>15000</v>
      </c>
      <c r="N738" s="1629">
        <f t="shared" si="11"/>
        <v>0</v>
      </c>
    </row>
    <row r="739" spans="2:14">
      <c r="B739" s="1626"/>
      <c r="C739" s="1626"/>
      <c r="D739" s="1627">
        <v>2210807</v>
      </c>
      <c r="E739" s="1628" t="s">
        <v>117</v>
      </c>
      <c r="F739" s="1629">
        <v>10000</v>
      </c>
      <c r="H739" s="1626"/>
      <c r="I739" s="1626"/>
      <c r="J739" s="1627">
        <v>2210807</v>
      </c>
      <c r="K739" s="1628" t="s">
        <v>117</v>
      </c>
      <c r="L739" s="1629">
        <v>10000</v>
      </c>
      <c r="N739" s="1629">
        <f t="shared" si="11"/>
        <v>0</v>
      </c>
    </row>
    <row r="740" spans="2:14">
      <c r="B740" s="1626"/>
      <c r="C740" s="1626"/>
      <c r="D740" s="1623">
        <v>2210900</v>
      </c>
      <c r="E740" s="1624" t="s">
        <v>46</v>
      </c>
      <c r="F740" s="1625">
        <v>125000</v>
      </c>
      <c r="H740" s="1626"/>
      <c r="I740" s="1626"/>
      <c r="J740" s="1623">
        <v>2210900</v>
      </c>
      <c r="K740" s="1624" t="s">
        <v>46</v>
      </c>
      <c r="L740" s="1625">
        <v>125000</v>
      </c>
      <c r="N740" s="1625">
        <f t="shared" si="11"/>
        <v>0</v>
      </c>
    </row>
    <row r="741" spans="2:14">
      <c r="B741" s="1622"/>
      <c r="C741" s="1622"/>
      <c r="D741" s="1627">
        <v>2210903</v>
      </c>
      <c r="E741" s="1628" t="s">
        <v>157</v>
      </c>
      <c r="F741" s="1629">
        <v>60000</v>
      </c>
      <c r="H741" s="1622"/>
      <c r="I741" s="1622"/>
      <c r="J741" s="1627">
        <v>2210903</v>
      </c>
      <c r="K741" s="1628" t="s">
        <v>157</v>
      </c>
      <c r="L741" s="1629">
        <v>60000</v>
      </c>
      <c r="N741" s="1629">
        <f t="shared" si="11"/>
        <v>0</v>
      </c>
    </row>
    <row r="742" spans="2:14">
      <c r="B742" s="1626"/>
      <c r="C742" s="1626"/>
      <c r="D742" s="1627">
        <v>2210904</v>
      </c>
      <c r="E742" s="1628" t="s">
        <v>158</v>
      </c>
      <c r="F742" s="1629">
        <v>65000</v>
      </c>
      <c r="H742" s="1626"/>
      <c r="I742" s="1626"/>
      <c r="J742" s="1627">
        <v>2210904</v>
      </c>
      <c r="K742" s="1628" t="s">
        <v>158</v>
      </c>
      <c r="L742" s="1629">
        <v>65000</v>
      </c>
      <c r="N742" s="1629">
        <f t="shared" si="11"/>
        <v>0</v>
      </c>
    </row>
    <row r="743" spans="2:14">
      <c r="B743" s="1626"/>
      <c r="C743" s="1626"/>
      <c r="D743" s="1623">
        <v>2211000</v>
      </c>
      <c r="E743" s="1624" t="s">
        <v>118</v>
      </c>
      <c r="F743" s="1625">
        <v>1246540</v>
      </c>
      <c r="H743" s="1626"/>
      <c r="I743" s="1626"/>
      <c r="J743" s="1623">
        <v>2211000</v>
      </c>
      <c r="K743" s="1624" t="s">
        <v>118</v>
      </c>
      <c r="L743" s="1625">
        <v>1246540</v>
      </c>
      <c r="N743" s="1625">
        <f t="shared" si="11"/>
        <v>0</v>
      </c>
    </row>
    <row r="744" spans="2:14">
      <c r="B744" s="1626"/>
      <c r="C744" s="1626"/>
      <c r="D744" s="1627">
        <v>2211011</v>
      </c>
      <c r="E744" s="1628" t="s">
        <v>119</v>
      </c>
      <c r="F744" s="1629"/>
      <c r="H744" s="1626"/>
      <c r="I744" s="1626"/>
      <c r="J744" s="1627">
        <v>2211011</v>
      </c>
      <c r="K744" s="1628" t="s">
        <v>119</v>
      </c>
      <c r="L744" s="1629"/>
      <c r="N744" s="1629">
        <f t="shared" si="11"/>
        <v>0</v>
      </c>
    </row>
    <row r="745" spans="2:14" ht="30">
      <c r="B745" s="1622"/>
      <c r="C745" s="1622"/>
      <c r="D745" s="1627">
        <v>2211016</v>
      </c>
      <c r="E745" s="1628" t="s">
        <v>159</v>
      </c>
      <c r="F745" s="1629">
        <v>1220000</v>
      </c>
      <c r="H745" s="1622"/>
      <c r="I745" s="1622"/>
      <c r="J745" s="1627">
        <v>2211016</v>
      </c>
      <c r="K745" s="1628" t="s">
        <v>159</v>
      </c>
      <c r="L745" s="1629">
        <v>1220000</v>
      </c>
      <c r="N745" s="1629">
        <f t="shared" si="11"/>
        <v>0</v>
      </c>
    </row>
    <row r="746" spans="2:14">
      <c r="B746" s="1626"/>
      <c r="C746" s="1626"/>
      <c r="D746" s="1627">
        <v>2211031</v>
      </c>
      <c r="E746" s="1628" t="s">
        <v>160</v>
      </c>
      <c r="F746" s="1629">
        <v>26540</v>
      </c>
      <c r="H746" s="1626"/>
      <c r="I746" s="1626"/>
      <c r="J746" s="1627">
        <v>2211031</v>
      </c>
      <c r="K746" s="1628" t="s">
        <v>160</v>
      </c>
      <c r="L746" s="1629">
        <v>26540</v>
      </c>
      <c r="N746" s="1629">
        <f t="shared" si="11"/>
        <v>0</v>
      </c>
    </row>
    <row r="747" spans="2:14">
      <c r="B747" s="1626"/>
      <c r="C747" s="1626"/>
      <c r="D747" s="1623">
        <v>2211100</v>
      </c>
      <c r="E747" s="1624" t="s">
        <v>51</v>
      </c>
      <c r="F747" s="1625">
        <v>2310000</v>
      </c>
      <c r="H747" s="1626"/>
      <c r="I747" s="1626"/>
      <c r="J747" s="1623">
        <v>2211100</v>
      </c>
      <c r="K747" s="1624" t="s">
        <v>51</v>
      </c>
      <c r="L747" s="1625">
        <v>2310000</v>
      </c>
      <c r="N747" s="1625">
        <f t="shared" si="11"/>
        <v>0</v>
      </c>
    </row>
    <row r="748" spans="2:14" ht="30">
      <c r="B748" s="1626"/>
      <c r="C748" s="1626"/>
      <c r="D748" s="1627">
        <v>2211101</v>
      </c>
      <c r="E748" s="1628" t="s">
        <v>1574</v>
      </c>
      <c r="F748" s="1629">
        <v>815000</v>
      </c>
      <c r="H748" s="1626"/>
      <c r="I748" s="1626"/>
      <c r="J748" s="1627">
        <v>2211101</v>
      </c>
      <c r="K748" s="1628" t="s">
        <v>1574</v>
      </c>
      <c r="L748" s="1629">
        <v>815000</v>
      </c>
      <c r="N748" s="1629">
        <f t="shared" si="11"/>
        <v>0</v>
      </c>
    </row>
    <row r="749" spans="2:14">
      <c r="B749" s="1622"/>
      <c r="C749" s="1622"/>
      <c r="D749" s="1627">
        <v>2211102</v>
      </c>
      <c r="E749" s="1628" t="s">
        <v>53</v>
      </c>
      <c r="F749" s="1629">
        <v>870000</v>
      </c>
      <c r="H749" s="1622"/>
      <c r="I749" s="1622"/>
      <c r="J749" s="1627">
        <v>2211102</v>
      </c>
      <c r="K749" s="1628" t="s">
        <v>53</v>
      </c>
      <c r="L749" s="1629">
        <v>870000</v>
      </c>
      <c r="N749" s="1629">
        <f t="shared" si="11"/>
        <v>0</v>
      </c>
    </row>
    <row r="750" spans="2:14">
      <c r="B750" s="1626"/>
      <c r="C750" s="1626"/>
      <c r="D750" s="1627">
        <v>2211103</v>
      </c>
      <c r="E750" s="1628" t="s">
        <v>54</v>
      </c>
      <c r="F750" s="1629">
        <v>625000</v>
      </c>
      <c r="H750" s="1626"/>
      <c r="I750" s="1626"/>
      <c r="J750" s="1627">
        <v>2211103</v>
      </c>
      <c r="K750" s="1628" t="s">
        <v>54</v>
      </c>
      <c r="L750" s="1629">
        <v>625000</v>
      </c>
      <c r="N750" s="1629">
        <f t="shared" si="11"/>
        <v>0</v>
      </c>
    </row>
    <row r="751" spans="2:14">
      <c r="B751" s="1622"/>
      <c r="C751" s="1622"/>
      <c r="D751" s="1623">
        <v>2211200</v>
      </c>
      <c r="E751" s="1624" t="s">
        <v>55</v>
      </c>
      <c r="F751" s="1625">
        <v>3000000</v>
      </c>
      <c r="H751" s="1622"/>
      <c r="I751" s="1622"/>
      <c r="J751" s="1623">
        <v>2211200</v>
      </c>
      <c r="K751" s="1624" t="s">
        <v>55</v>
      </c>
      <c r="L751" s="1625">
        <v>3000000</v>
      </c>
      <c r="N751" s="1625">
        <f t="shared" si="11"/>
        <v>0</v>
      </c>
    </row>
    <row r="752" spans="2:14" ht="30">
      <c r="B752" s="1626"/>
      <c r="C752" s="1626"/>
      <c r="D752" s="1627">
        <v>2211201</v>
      </c>
      <c r="E752" s="1628" t="s">
        <v>161</v>
      </c>
      <c r="F752" s="1630">
        <v>3000000</v>
      </c>
      <c r="H752" s="1626"/>
      <c r="I752" s="1626"/>
      <c r="J752" s="1627">
        <v>2211201</v>
      </c>
      <c r="K752" s="1628" t="s">
        <v>161</v>
      </c>
      <c r="L752" s="1630">
        <v>3000000</v>
      </c>
      <c r="N752" s="1630">
        <f t="shared" si="11"/>
        <v>0</v>
      </c>
    </row>
    <row r="753" spans="2:14">
      <c r="B753" s="1622"/>
      <c r="C753" s="1622"/>
      <c r="D753" s="1586" t="s">
        <v>162</v>
      </c>
      <c r="E753" s="1631" t="s">
        <v>57</v>
      </c>
      <c r="F753" s="1625">
        <v>63458</v>
      </c>
      <c r="H753" s="1622"/>
      <c r="I753" s="1622"/>
      <c r="J753" s="1586" t="s">
        <v>162</v>
      </c>
      <c r="K753" s="1631" t="s">
        <v>57</v>
      </c>
      <c r="L753" s="1625">
        <v>63458</v>
      </c>
      <c r="N753" s="1625">
        <f t="shared" si="11"/>
        <v>0</v>
      </c>
    </row>
    <row r="754" spans="2:14">
      <c r="B754" s="1626"/>
      <c r="C754" s="1626"/>
      <c r="D754" s="1588">
        <v>2211399</v>
      </c>
      <c r="E754" s="1632" t="s">
        <v>1582</v>
      </c>
      <c r="F754" s="1629">
        <v>63458</v>
      </c>
      <c r="H754" s="1626"/>
      <c r="I754" s="1626"/>
      <c r="J754" s="1588">
        <v>2211399</v>
      </c>
      <c r="K754" s="1632" t="s">
        <v>1582</v>
      </c>
      <c r="L754" s="1629">
        <v>63458</v>
      </c>
      <c r="N754" s="1629">
        <f t="shared" si="11"/>
        <v>0</v>
      </c>
    </row>
    <row r="755" spans="2:14">
      <c r="B755" s="1626"/>
      <c r="C755" s="1626"/>
      <c r="D755" s="1623">
        <v>2220100</v>
      </c>
      <c r="E755" s="1624" t="s">
        <v>62</v>
      </c>
      <c r="F755" s="1625">
        <v>659555</v>
      </c>
      <c r="H755" s="1626"/>
      <c r="I755" s="1626"/>
      <c r="J755" s="1623">
        <v>2220100</v>
      </c>
      <c r="K755" s="1624" t="s">
        <v>62</v>
      </c>
      <c r="L755" s="1625">
        <v>659555</v>
      </c>
      <c r="N755" s="1625">
        <f t="shared" si="11"/>
        <v>0</v>
      </c>
    </row>
    <row r="756" spans="2:14">
      <c r="B756" s="1622"/>
      <c r="C756" s="1622"/>
      <c r="D756" s="1627">
        <v>2220101</v>
      </c>
      <c r="E756" s="1628" t="s">
        <v>63</v>
      </c>
      <c r="F756" s="1629">
        <v>309555</v>
      </c>
      <c r="H756" s="1622"/>
      <c r="I756" s="1622"/>
      <c r="J756" s="1627">
        <v>2220101</v>
      </c>
      <c r="K756" s="1628" t="s">
        <v>63</v>
      </c>
      <c r="L756" s="1629">
        <v>309555</v>
      </c>
      <c r="N756" s="1629">
        <f t="shared" si="11"/>
        <v>0</v>
      </c>
    </row>
    <row r="757" spans="2:14">
      <c r="B757" s="1626"/>
      <c r="C757" s="1626"/>
      <c r="D757" s="1627">
        <v>2220105</v>
      </c>
      <c r="E757" s="1628" t="s">
        <v>64</v>
      </c>
      <c r="F757" s="1629">
        <v>350000</v>
      </c>
      <c r="H757" s="1626"/>
      <c r="I757" s="1626"/>
      <c r="J757" s="1627">
        <v>2220105</v>
      </c>
      <c r="K757" s="1628" t="s">
        <v>64</v>
      </c>
      <c r="L757" s="1629">
        <v>350000</v>
      </c>
      <c r="N757" s="1629">
        <f t="shared" si="11"/>
        <v>0</v>
      </c>
    </row>
    <row r="758" spans="2:14">
      <c r="B758" s="1626"/>
      <c r="C758" s="1626"/>
      <c r="D758" s="1623">
        <v>2220200</v>
      </c>
      <c r="E758" s="1624" t="s">
        <v>124</v>
      </c>
      <c r="F758" s="1625">
        <v>140000</v>
      </c>
      <c r="H758" s="1626"/>
      <c r="I758" s="1626"/>
      <c r="J758" s="1623">
        <v>2220200</v>
      </c>
      <c r="K758" s="1624" t="s">
        <v>124</v>
      </c>
      <c r="L758" s="1625">
        <v>140000</v>
      </c>
      <c r="N758" s="1625">
        <f t="shared" si="11"/>
        <v>0</v>
      </c>
    </row>
    <row r="759" spans="2:14">
      <c r="B759" s="1626"/>
      <c r="C759" s="1626"/>
      <c r="D759" s="1627">
        <v>2220205</v>
      </c>
      <c r="E759" s="1628" t="s">
        <v>125</v>
      </c>
      <c r="F759" s="1629">
        <v>80000</v>
      </c>
      <c r="H759" s="1626"/>
      <c r="I759" s="1626"/>
      <c r="J759" s="1627">
        <v>2220205</v>
      </c>
      <c r="K759" s="1628" t="s">
        <v>125</v>
      </c>
      <c r="L759" s="1629">
        <v>80000</v>
      </c>
      <c r="N759" s="1629">
        <f t="shared" si="11"/>
        <v>0</v>
      </c>
    </row>
    <row r="760" spans="2:14">
      <c r="B760" s="1626"/>
      <c r="C760" s="1626"/>
      <c r="D760" s="1627">
        <v>2220210</v>
      </c>
      <c r="E760" s="1628" t="s">
        <v>163</v>
      </c>
      <c r="F760" s="1629">
        <v>60000</v>
      </c>
      <c r="H760" s="1626"/>
      <c r="I760" s="1626"/>
      <c r="J760" s="1627">
        <v>2220210</v>
      </c>
      <c r="K760" s="1628" t="s">
        <v>163</v>
      </c>
      <c r="L760" s="1629">
        <v>60000</v>
      </c>
      <c r="N760" s="1629">
        <f t="shared" si="11"/>
        <v>0</v>
      </c>
    </row>
    <row r="761" spans="2:14">
      <c r="B761" s="1622"/>
      <c r="C761" s="1622"/>
      <c r="D761" s="1586">
        <v>3110700</v>
      </c>
      <c r="E761" s="1631" t="s">
        <v>65</v>
      </c>
      <c r="F761" s="1625">
        <v>0</v>
      </c>
      <c r="H761" s="1622"/>
      <c r="I761" s="1622"/>
      <c r="J761" s="1586">
        <v>3110700</v>
      </c>
      <c r="K761" s="1631" t="s">
        <v>65</v>
      </c>
      <c r="L761" s="1625">
        <v>0</v>
      </c>
      <c r="N761" s="1625">
        <f t="shared" si="11"/>
        <v>0</v>
      </c>
    </row>
    <row r="762" spans="2:14">
      <c r="B762" s="1626"/>
      <c r="C762" s="1626"/>
      <c r="D762" s="1588">
        <v>3110701</v>
      </c>
      <c r="E762" s="1633" t="s">
        <v>1784</v>
      </c>
      <c r="F762" s="1630">
        <v>0</v>
      </c>
      <c r="H762" s="1626"/>
      <c r="I762" s="1626"/>
      <c r="J762" s="1588">
        <v>3110701</v>
      </c>
      <c r="K762" s="1633" t="s">
        <v>1784</v>
      </c>
      <c r="L762" s="1630">
        <v>0</v>
      </c>
      <c r="N762" s="1630">
        <f t="shared" si="11"/>
        <v>0</v>
      </c>
    </row>
    <row r="763" spans="2:14">
      <c r="B763" s="1626"/>
      <c r="C763" s="1626"/>
      <c r="D763" s="1634" t="s">
        <v>66</v>
      </c>
      <c r="E763" s="1587" t="s">
        <v>67</v>
      </c>
      <c r="F763" s="183">
        <v>0</v>
      </c>
      <c r="H763" s="1626"/>
      <c r="I763" s="1626"/>
      <c r="J763" s="1634" t="s">
        <v>66</v>
      </c>
      <c r="K763" s="1587" t="s">
        <v>67</v>
      </c>
      <c r="L763" s="183">
        <v>0</v>
      </c>
      <c r="N763" s="183">
        <f t="shared" si="11"/>
        <v>0</v>
      </c>
    </row>
    <row r="764" spans="2:14">
      <c r="B764" s="1635"/>
      <c r="C764" s="1635"/>
      <c r="D764" s="1588">
        <v>3111003</v>
      </c>
      <c r="E764" s="1589" t="s">
        <v>1583</v>
      </c>
      <c r="F764" s="1630">
        <v>0</v>
      </c>
      <c r="H764" s="1635"/>
      <c r="I764" s="1635"/>
      <c r="J764" s="1588">
        <v>3111003</v>
      </c>
      <c r="K764" s="1589" t="s">
        <v>1583</v>
      </c>
      <c r="L764" s="1630">
        <v>0</v>
      </c>
      <c r="N764" s="1630">
        <f t="shared" si="11"/>
        <v>0</v>
      </c>
    </row>
    <row r="765" spans="2:14">
      <c r="B765" s="1626"/>
      <c r="C765" s="1626"/>
      <c r="D765" s="1588">
        <v>3111005</v>
      </c>
      <c r="E765" s="1589" t="s">
        <v>68</v>
      </c>
      <c r="F765" s="1630"/>
      <c r="H765" s="1626"/>
      <c r="I765" s="1626"/>
      <c r="J765" s="1588">
        <v>3111005</v>
      </c>
      <c r="K765" s="1589" t="s">
        <v>68</v>
      </c>
      <c r="L765" s="1630"/>
      <c r="N765" s="1630">
        <f t="shared" si="11"/>
        <v>0</v>
      </c>
    </row>
    <row r="766" spans="2:14">
      <c r="B766" s="1626"/>
      <c r="C766" s="1626"/>
      <c r="D766" s="1586">
        <v>3111000</v>
      </c>
      <c r="E766" s="1631" t="s">
        <v>69</v>
      </c>
      <c r="F766" s="1625">
        <v>7177222</v>
      </c>
      <c r="H766" s="1626"/>
      <c r="I766" s="1626"/>
      <c r="J766" s="1586">
        <v>3111000</v>
      </c>
      <c r="K766" s="1631" t="s">
        <v>69</v>
      </c>
      <c r="L766" s="1625">
        <v>7177222</v>
      </c>
      <c r="N766" s="1625">
        <f t="shared" si="11"/>
        <v>0</v>
      </c>
    </row>
    <row r="767" spans="2:14" ht="30">
      <c r="B767" s="1622"/>
      <c r="C767" s="1622"/>
      <c r="D767" s="1588">
        <v>3111001</v>
      </c>
      <c r="E767" s="1633" t="s">
        <v>1584</v>
      </c>
      <c r="F767" s="1629">
        <v>6527222</v>
      </c>
      <c r="H767" s="1622"/>
      <c r="I767" s="1622"/>
      <c r="J767" s="1588">
        <v>3111001</v>
      </c>
      <c r="K767" s="1633" t="s">
        <v>1584</v>
      </c>
      <c r="L767" s="1629">
        <v>6527222</v>
      </c>
      <c r="N767" s="1629">
        <f t="shared" si="11"/>
        <v>0</v>
      </c>
    </row>
    <row r="768" spans="2:14">
      <c r="B768" s="1626"/>
      <c r="C768" s="1626"/>
      <c r="D768" s="1588">
        <v>3111002</v>
      </c>
      <c r="E768" s="1589" t="s">
        <v>71</v>
      </c>
      <c r="F768" s="1629">
        <v>650000</v>
      </c>
      <c r="H768" s="1626"/>
      <c r="I768" s="1626"/>
      <c r="J768" s="1588">
        <v>3111002</v>
      </c>
      <c r="K768" s="1589" t="s">
        <v>71</v>
      </c>
      <c r="L768" s="1629">
        <v>650000</v>
      </c>
      <c r="N768" s="1629">
        <f t="shared" si="11"/>
        <v>0</v>
      </c>
    </row>
    <row r="769" spans="2:14">
      <c r="B769" s="1626"/>
      <c r="C769" s="1626"/>
      <c r="D769" s="1586">
        <v>3111400</v>
      </c>
      <c r="E769" s="1587" t="s">
        <v>75</v>
      </c>
      <c r="F769" s="1636">
        <v>680000</v>
      </c>
      <c r="H769" s="1626"/>
      <c r="I769" s="1626"/>
      <c r="J769" s="1586">
        <v>3111400</v>
      </c>
      <c r="K769" s="1587" t="s">
        <v>75</v>
      </c>
      <c r="L769" s="1636">
        <v>680000</v>
      </c>
      <c r="N769" s="1636">
        <f t="shared" si="11"/>
        <v>0</v>
      </c>
    </row>
    <row r="770" spans="2:14">
      <c r="B770" s="1626"/>
      <c r="C770" s="1626"/>
      <c r="D770" s="1588">
        <v>3111402</v>
      </c>
      <c r="E770" s="1589" t="s">
        <v>1585</v>
      </c>
      <c r="F770" s="1629">
        <v>680000</v>
      </c>
      <c r="H770" s="1626"/>
      <c r="I770" s="1626"/>
      <c r="J770" s="1588">
        <v>3111402</v>
      </c>
      <c r="K770" s="1589" t="s">
        <v>1585</v>
      </c>
      <c r="L770" s="1629">
        <v>680000</v>
      </c>
      <c r="N770" s="1629">
        <f t="shared" si="11"/>
        <v>0</v>
      </c>
    </row>
    <row r="771" spans="2:14">
      <c r="B771" s="1622"/>
      <c r="C771" s="1622"/>
      <c r="D771" s="1637"/>
      <c r="E771" s="1638" t="s">
        <v>128</v>
      </c>
      <c r="F771" s="1625">
        <v>58056987.5</v>
      </c>
      <c r="H771" s="1622"/>
      <c r="I771" s="1622"/>
      <c r="J771" s="1637"/>
      <c r="K771" s="1638" t="s">
        <v>128</v>
      </c>
      <c r="L771" s="1625">
        <v>58056987.5</v>
      </c>
      <c r="N771" s="1625">
        <f t="shared" si="11"/>
        <v>0</v>
      </c>
    </row>
    <row r="772" spans="2:14">
      <c r="B772" s="1626"/>
      <c r="C772" s="1626"/>
      <c r="D772" s="1627"/>
      <c r="E772" s="1628"/>
      <c r="F772" s="1630"/>
      <c r="H772" s="1626"/>
      <c r="I772" s="1626"/>
      <c r="J772" s="1627"/>
      <c r="K772" s="1628"/>
      <c r="L772" s="1630"/>
      <c r="N772" s="1630">
        <f t="shared" si="11"/>
        <v>0</v>
      </c>
    </row>
    <row r="773" spans="2:14">
      <c r="B773" s="1639"/>
      <c r="C773" s="1639"/>
      <c r="D773" s="1627"/>
      <c r="E773" s="1624" t="s">
        <v>92</v>
      </c>
      <c r="F773" s="1630"/>
      <c r="H773" s="1639"/>
      <c r="I773" s="1639"/>
      <c r="J773" s="1627"/>
      <c r="K773" s="1624" t="s">
        <v>92</v>
      </c>
      <c r="L773" s="1630"/>
      <c r="N773" s="1630">
        <f t="shared" si="11"/>
        <v>0</v>
      </c>
    </row>
    <row r="774" spans="2:14">
      <c r="B774" s="1639"/>
      <c r="C774" s="1639"/>
      <c r="D774" s="1623">
        <v>3110200</v>
      </c>
      <c r="E774" s="1624" t="s">
        <v>164</v>
      </c>
      <c r="F774" s="1625">
        <v>70480628.444713712</v>
      </c>
      <c r="H774" s="1639"/>
      <c r="I774" s="1639"/>
      <c r="J774" s="1623">
        <v>3110200</v>
      </c>
      <c r="K774" s="1624" t="s">
        <v>164</v>
      </c>
      <c r="L774" s="1625">
        <v>70480628.444713712</v>
      </c>
      <c r="N774" s="1625">
        <f t="shared" si="11"/>
        <v>0</v>
      </c>
    </row>
    <row r="775" spans="2:14">
      <c r="B775" s="1626"/>
      <c r="C775" s="1626"/>
      <c r="D775" s="1627">
        <v>3110202</v>
      </c>
      <c r="E775" s="1628" t="s">
        <v>1849</v>
      </c>
      <c r="F775" s="1630">
        <v>15000000</v>
      </c>
      <c r="H775" s="1626"/>
      <c r="I775" s="1626"/>
      <c r="J775" s="1627">
        <v>3110202</v>
      </c>
      <c r="K775" s="1628" t="s">
        <v>1849</v>
      </c>
      <c r="L775" s="1630">
        <v>15000000</v>
      </c>
      <c r="N775" s="1630">
        <f t="shared" si="11"/>
        <v>0</v>
      </c>
    </row>
    <row r="776" spans="2:14" ht="30">
      <c r="B776" s="1626"/>
      <c r="C776" s="1626"/>
      <c r="D776" s="1588" t="s">
        <v>165</v>
      </c>
      <c r="E776" s="1640" t="s">
        <v>1586</v>
      </c>
      <c r="F776" s="1630">
        <v>30000000</v>
      </c>
      <c r="H776" s="1626"/>
      <c r="I776" s="1626"/>
      <c r="J776" s="1588" t="s">
        <v>165</v>
      </c>
      <c r="K776" s="1640" t="s">
        <v>1586</v>
      </c>
      <c r="L776" s="1630">
        <v>30000000</v>
      </c>
      <c r="N776" s="1630">
        <f t="shared" ref="N776:N839" si="12">F776-L776</f>
        <v>0</v>
      </c>
    </row>
    <row r="777" spans="2:14" ht="30">
      <c r="B777" s="1639" t="s">
        <v>168</v>
      </c>
      <c r="C777" s="1639"/>
      <c r="D777" s="1588" t="s">
        <v>165</v>
      </c>
      <c r="E777" s="1640" t="s">
        <v>1850</v>
      </c>
      <c r="F777" s="1641">
        <v>10000000</v>
      </c>
      <c r="H777" s="1639" t="s">
        <v>168</v>
      </c>
      <c r="I777" s="1639"/>
      <c r="J777" s="1588" t="s">
        <v>165</v>
      </c>
      <c r="K777" s="1640" t="s">
        <v>1850</v>
      </c>
      <c r="L777" s="1641">
        <v>10000000</v>
      </c>
      <c r="N777" s="1641">
        <f t="shared" si="12"/>
        <v>0</v>
      </c>
    </row>
    <row r="778" spans="2:14">
      <c r="B778" s="1635"/>
      <c r="C778" s="1635" t="s">
        <v>146</v>
      </c>
      <c r="D778" s="1588" t="s">
        <v>165</v>
      </c>
      <c r="E778" s="1640" t="s">
        <v>1587</v>
      </c>
      <c r="F778" s="1641">
        <v>15480628.444713719</v>
      </c>
      <c r="H778" s="1635"/>
      <c r="I778" s="1635" t="s">
        <v>146</v>
      </c>
      <c r="J778" s="1588" t="s">
        <v>165</v>
      </c>
      <c r="K778" s="1640" t="s">
        <v>1587</v>
      </c>
      <c r="L778" s="1641">
        <v>15480628.444713719</v>
      </c>
      <c r="N778" s="1641">
        <f t="shared" si="12"/>
        <v>0</v>
      </c>
    </row>
    <row r="779" spans="2:14">
      <c r="B779" s="1622"/>
      <c r="C779" s="1622"/>
      <c r="D779" s="1586" t="s">
        <v>1785</v>
      </c>
      <c r="E779" s="1642" t="s">
        <v>166</v>
      </c>
      <c r="F779" s="1643">
        <v>0</v>
      </c>
      <c r="H779" s="1622"/>
      <c r="I779" s="1622"/>
      <c r="J779" s="1586" t="s">
        <v>1785</v>
      </c>
      <c r="K779" s="1642" t="s">
        <v>166</v>
      </c>
      <c r="L779" s="1643">
        <v>0</v>
      </c>
      <c r="N779" s="1643">
        <f t="shared" si="12"/>
        <v>0</v>
      </c>
    </row>
    <row r="780" spans="2:14">
      <c r="B780" s="1626"/>
      <c r="C780" s="1626"/>
      <c r="D780" s="1627">
        <v>3130101</v>
      </c>
      <c r="E780" s="1628" t="s">
        <v>1786</v>
      </c>
      <c r="F780" s="1641">
        <v>0</v>
      </c>
      <c r="H780" s="1626"/>
      <c r="I780" s="1626"/>
      <c r="J780" s="1627">
        <v>3130101</v>
      </c>
      <c r="K780" s="1628" t="s">
        <v>1786</v>
      </c>
      <c r="L780" s="1641">
        <v>0</v>
      </c>
      <c r="N780" s="1641">
        <f t="shared" si="12"/>
        <v>0</v>
      </c>
    </row>
    <row r="781" spans="2:14">
      <c r="B781" s="1626"/>
      <c r="C781" s="1626"/>
      <c r="D781" s="1644"/>
      <c r="E781" s="1638" t="s">
        <v>167</v>
      </c>
      <c r="F781" s="1625">
        <v>70480628.444713712</v>
      </c>
      <c r="H781" s="1626"/>
      <c r="I781" s="1626"/>
      <c r="J781" s="1644"/>
      <c r="K781" s="1638" t="s">
        <v>167</v>
      </c>
      <c r="L781" s="1625">
        <v>70480628.444713712</v>
      </c>
      <c r="N781" s="1625">
        <f t="shared" si="12"/>
        <v>0</v>
      </c>
    </row>
    <row r="782" spans="2:14">
      <c r="B782" s="1622"/>
      <c r="C782" s="1622"/>
      <c r="D782" s="1644"/>
      <c r="E782" s="1638" t="s">
        <v>84</v>
      </c>
      <c r="F782" s="1625">
        <v>128537615.94471371</v>
      </c>
      <c r="H782" s="1622"/>
      <c r="I782" s="1622"/>
      <c r="J782" s="1644"/>
      <c r="K782" s="1638" t="s">
        <v>84</v>
      </c>
      <c r="L782" s="1625">
        <v>128537615.94471371</v>
      </c>
      <c r="N782" s="1625">
        <f t="shared" si="12"/>
        <v>0</v>
      </c>
    </row>
    <row r="783" spans="2:14">
      <c r="B783" s="1626"/>
      <c r="C783" s="1626"/>
      <c r="D783" s="1627"/>
      <c r="E783" s="1628"/>
      <c r="F783" s="1630"/>
      <c r="H783" s="1626"/>
      <c r="I783" s="1626"/>
      <c r="J783" s="1627"/>
      <c r="K783" s="1628"/>
      <c r="L783" s="1630"/>
      <c r="N783" s="1630">
        <f t="shared" si="12"/>
        <v>0</v>
      </c>
    </row>
    <row r="784" spans="2:14">
      <c r="B784" s="1626"/>
      <c r="C784" s="1626"/>
      <c r="D784" s="1644" t="s">
        <v>169</v>
      </c>
      <c r="E784" s="1638"/>
      <c r="F784" s="1645"/>
      <c r="H784" s="1626"/>
      <c r="I784" s="1626"/>
      <c r="J784" s="1644" t="s">
        <v>169</v>
      </c>
      <c r="K784" s="1638"/>
      <c r="L784" s="1645"/>
      <c r="N784" s="1645">
        <f t="shared" si="12"/>
        <v>0</v>
      </c>
    </row>
    <row r="785" spans="2:14">
      <c r="B785" s="1622"/>
      <c r="C785" s="1622"/>
      <c r="D785" s="1637" t="s">
        <v>170</v>
      </c>
      <c r="E785" s="1646"/>
      <c r="F785" s="1630"/>
      <c r="H785" s="1622"/>
      <c r="I785" s="1622"/>
      <c r="J785" s="1637" t="s">
        <v>170</v>
      </c>
      <c r="K785" s="1646"/>
      <c r="L785" s="1630"/>
      <c r="N785" s="1630">
        <f t="shared" si="12"/>
        <v>0</v>
      </c>
    </row>
    <row r="786" spans="2:14">
      <c r="B786" s="1626"/>
      <c r="C786" s="1626"/>
      <c r="D786" s="1623">
        <v>2210100</v>
      </c>
      <c r="E786" s="1624" t="s">
        <v>16</v>
      </c>
      <c r="F786" s="1625">
        <v>99700</v>
      </c>
      <c r="H786" s="1626"/>
      <c r="I786" s="1626"/>
      <c r="J786" s="1623">
        <v>2210100</v>
      </c>
      <c r="K786" s="1624" t="s">
        <v>16</v>
      </c>
      <c r="L786" s="1625">
        <v>99700</v>
      </c>
      <c r="N786" s="1625">
        <f t="shared" si="12"/>
        <v>0</v>
      </c>
    </row>
    <row r="787" spans="2:14">
      <c r="B787" s="1626"/>
      <c r="C787" s="1626"/>
      <c r="D787" s="1627">
        <v>2210101</v>
      </c>
      <c r="E787" s="1628" t="s">
        <v>17</v>
      </c>
      <c r="F787" s="1629">
        <v>50200</v>
      </c>
      <c r="H787" s="1626"/>
      <c r="I787" s="1626"/>
      <c r="J787" s="1627">
        <v>2210101</v>
      </c>
      <c r="K787" s="1628" t="s">
        <v>17</v>
      </c>
      <c r="L787" s="1629">
        <v>50200</v>
      </c>
      <c r="N787" s="1629">
        <f t="shared" si="12"/>
        <v>0</v>
      </c>
    </row>
    <row r="788" spans="2:14">
      <c r="B788" s="1626"/>
      <c r="C788" s="1626"/>
      <c r="D788" s="1627">
        <v>2210102</v>
      </c>
      <c r="E788" s="1628" t="s">
        <v>18</v>
      </c>
      <c r="F788" s="1629">
        <v>49500</v>
      </c>
      <c r="H788" s="1626"/>
      <c r="I788" s="1626"/>
      <c r="J788" s="1627">
        <v>2210102</v>
      </c>
      <c r="K788" s="1628" t="s">
        <v>18</v>
      </c>
      <c r="L788" s="1629">
        <v>49500</v>
      </c>
      <c r="N788" s="1629">
        <f t="shared" si="12"/>
        <v>0</v>
      </c>
    </row>
    <row r="789" spans="2:14">
      <c r="B789" s="1626"/>
      <c r="C789" s="1626"/>
      <c r="D789" s="1623">
        <v>2210200</v>
      </c>
      <c r="E789" s="1624" t="s">
        <v>20</v>
      </c>
      <c r="F789" s="1625">
        <v>305500</v>
      </c>
      <c r="H789" s="1626"/>
      <c r="I789" s="1626"/>
      <c r="J789" s="1623">
        <v>2210200</v>
      </c>
      <c r="K789" s="1624" t="s">
        <v>20</v>
      </c>
      <c r="L789" s="1625">
        <v>305500</v>
      </c>
      <c r="N789" s="1625">
        <f t="shared" si="12"/>
        <v>0</v>
      </c>
    </row>
    <row r="790" spans="2:14">
      <c r="B790" s="1622"/>
      <c r="C790" s="1622"/>
      <c r="D790" s="1627">
        <v>2210201</v>
      </c>
      <c r="E790" s="1628" t="s">
        <v>113</v>
      </c>
      <c r="F790" s="1629">
        <v>300500</v>
      </c>
      <c r="H790" s="1622"/>
      <c r="I790" s="1622"/>
      <c r="J790" s="1627">
        <v>2210201</v>
      </c>
      <c r="K790" s="1628" t="s">
        <v>113</v>
      </c>
      <c r="L790" s="1629">
        <v>300500</v>
      </c>
      <c r="N790" s="1629">
        <f t="shared" si="12"/>
        <v>0</v>
      </c>
    </row>
    <row r="791" spans="2:14">
      <c r="B791" s="1626"/>
      <c r="C791" s="1626"/>
      <c r="D791" s="1627">
        <v>2210103</v>
      </c>
      <c r="E791" s="1628" t="s">
        <v>23</v>
      </c>
      <c r="F791" s="1629">
        <v>5000</v>
      </c>
      <c r="H791" s="1626"/>
      <c r="I791" s="1626"/>
      <c r="J791" s="1627">
        <v>2210103</v>
      </c>
      <c r="K791" s="1628" t="s">
        <v>23</v>
      </c>
      <c r="L791" s="1629">
        <v>5000</v>
      </c>
      <c r="N791" s="1629">
        <f t="shared" si="12"/>
        <v>0</v>
      </c>
    </row>
    <row r="792" spans="2:14">
      <c r="B792" s="1626"/>
      <c r="C792" s="1626"/>
      <c r="D792" s="1623">
        <v>2210300</v>
      </c>
      <c r="E792" s="1624" t="s">
        <v>24</v>
      </c>
      <c r="F792" s="1625">
        <v>4155000</v>
      </c>
      <c r="H792" s="1626"/>
      <c r="I792" s="1626"/>
      <c r="J792" s="1623">
        <v>2210300</v>
      </c>
      <c r="K792" s="1624" t="s">
        <v>24</v>
      </c>
      <c r="L792" s="1625">
        <v>4155000</v>
      </c>
      <c r="N792" s="1625">
        <f t="shared" si="12"/>
        <v>0</v>
      </c>
    </row>
    <row r="793" spans="2:14">
      <c r="B793" s="1626"/>
      <c r="C793" s="1626"/>
      <c r="D793" s="1627">
        <v>2210301</v>
      </c>
      <c r="E793" s="1628" t="s">
        <v>25</v>
      </c>
      <c r="F793" s="1629"/>
      <c r="H793" s="1626"/>
      <c r="I793" s="1626"/>
      <c r="J793" s="1627">
        <v>2210301</v>
      </c>
      <c r="K793" s="1628" t="s">
        <v>25</v>
      </c>
      <c r="L793" s="1629"/>
      <c r="N793" s="1629">
        <f t="shared" si="12"/>
        <v>0</v>
      </c>
    </row>
    <row r="794" spans="2:14">
      <c r="B794" s="1622"/>
      <c r="C794" s="1622"/>
      <c r="D794" s="1627">
        <v>2210302</v>
      </c>
      <c r="E794" s="1628" t="s">
        <v>26</v>
      </c>
      <c r="F794" s="1629">
        <v>1875000</v>
      </c>
      <c r="H794" s="1622"/>
      <c r="I794" s="1622"/>
      <c r="J794" s="1627">
        <v>2210302</v>
      </c>
      <c r="K794" s="1628" t="s">
        <v>26</v>
      </c>
      <c r="L794" s="1629">
        <v>1875000</v>
      </c>
      <c r="N794" s="1629">
        <f t="shared" si="12"/>
        <v>0</v>
      </c>
    </row>
    <row r="795" spans="2:14">
      <c r="B795" s="1626"/>
      <c r="C795" s="1626"/>
      <c r="D795" s="1627">
        <v>2210303</v>
      </c>
      <c r="E795" s="1628" t="s">
        <v>27</v>
      </c>
      <c r="F795" s="1629">
        <v>2230000</v>
      </c>
      <c r="H795" s="1626"/>
      <c r="I795" s="1626"/>
      <c r="J795" s="1627">
        <v>2210303</v>
      </c>
      <c r="K795" s="1628" t="s">
        <v>27</v>
      </c>
      <c r="L795" s="1629">
        <v>2230000</v>
      </c>
      <c r="N795" s="1629">
        <f t="shared" si="12"/>
        <v>0</v>
      </c>
    </row>
    <row r="796" spans="2:14">
      <c r="B796" s="1626"/>
      <c r="C796" s="1626"/>
      <c r="D796" s="1627">
        <v>2210304</v>
      </c>
      <c r="E796" s="1628" t="s">
        <v>28</v>
      </c>
      <c r="F796" s="1629">
        <v>50000</v>
      </c>
      <c r="H796" s="1626"/>
      <c r="I796" s="1626"/>
      <c r="J796" s="1627">
        <v>2210304</v>
      </c>
      <c r="K796" s="1628" t="s">
        <v>28</v>
      </c>
      <c r="L796" s="1629">
        <v>50000</v>
      </c>
      <c r="N796" s="1629">
        <f t="shared" si="12"/>
        <v>0</v>
      </c>
    </row>
    <row r="797" spans="2:14">
      <c r="B797" s="1626"/>
      <c r="C797" s="1626"/>
      <c r="D797" s="1623">
        <v>2210500</v>
      </c>
      <c r="E797" s="1624" t="s">
        <v>31</v>
      </c>
      <c r="F797" s="1625">
        <v>4120000</v>
      </c>
      <c r="H797" s="1626"/>
      <c r="I797" s="1626"/>
      <c r="J797" s="1623">
        <v>2210500</v>
      </c>
      <c r="K797" s="1624" t="s">
        <v>31</v>
      </c>
      <c r="L797" s="1625">
        <v>4120000</v>
      </c>
      <c r="N797" s="1625">
        <f t="shared" si="12"/>
        <v>0</v>
      </c>
    </row>
    <row r="798" spans="2:14">
      <c r="B798" s="1626"/>
      <c r="C798" s="1626"/>
      <c r="D798" s="1627">
        <v>2210502</v>
      </c>
      <c r="E798" s="1628" t="s">
        <v>105</v>
      </c>
      <c r="F798" s="1629">
        <v>60000</v>
      </c>
      <c r="H798" s="1626"/>
      <c r="I798" s="1626"/>
      <c r="J798" s="1627">
        <v>2210502</v>
      </c>
      <c r="K798" s="1628" t="s">
        <v>105</v>
      </c>
      <c r="L798" s="1629">
        <v>60000</v>
      </c>
      <c r="N798" s="1629">
        <f t="shared" si="12"/>
        <v>0</v>
      </c>
    </row>
    <row r="799" spans="2:14">
      <c r="B799" s="1626"/>
      <c r="C799" s="1626"/>
      <c r="D799" s="1627">
        <v>2210503</v>
      </c>
      <c r="E799" s="1628" t="s">
        <v>32</v>
      </c>
      <c r="F799" s="1629">
        <v>60000</v>
      </c>
      <c r="H799" s="1626"/>
      <c r="I799" s="1626"/>
      <c r="J799" s="1627">
        <v>2210503</v>
      </c>
      <c r="K799" s="1628" t="s">
        <v>32</v>
      </c>
      <c r="L799" s="1629">
        <v>60000</v>
      </c>
      <c r="N799" s="1629">
        <f t="shared" si="12"/>
        <v>0</v>
      </c>
    </row>
    <row r="800" spans="2:14">
      <c r="B800" s="1626"/>
      <c r="C800" s="1626"/>
      <c r="D800" s="1627">
        <v>2210504</v>
      </c>
      <c r="E800" s="1628" t="s">
        <v>171</v>
      </c>
      <c r="F800" s="1629">
        <v>4000000</v>
      </c>
      <c r="H800" s="1626"/>
      <c r="I800" s="1626"/>
      <c r="J800" s="1627">
        <v>2210504</v>
      </c>
      <c r="K800" s="1628" t="s">
        <v>171</v>
      </c>
      <c r="L800" s="1629">
        <v>4000000</v>
      </c>
      <c r="N800" s="1629">
        <f t="shared" si="12"/>
        <v>0</v>
      </c>
    </row>
    <row r="801" spans="2:14">
      <c r="B801" s="1622"/>
      <c r="C801" s="1622"/>
      <c r="D801" s="1623">
        <v>2210700</v>
      </c>
      <c r="E801" s="1624" t="s">
        <v>114</v>
      </c>
      <c r="F801" s="1625">
        <v>875000</v>
      </c>
      <c r="H801" s="1622"/>
      <c r="I801" s="1622"/>
      <c r="J801" s="1623">
        <v>2210700</v>
      </c>
      <c r="K801" s="1624" t="s">
        <v>114</v>
      </c>
      <c r="L801" s="1625">
        <v>875000</v>
      </c>
      <c r="N801" s="1625">
        <f t="shared" si="12"/>
        <v>0</v>
      </c>
    </row>
    <row r="802" spans="2:14">
      <c r="B802" s="1626"/>
      <c r="C802" s="1626"/>
      <c r="D802" s="1627">
        <v>2210701</v>
      </c>
      <c r="E802" s="1628" t="s">
        <v>36</v>
      </c>
      <c r="F802" s="1629">
        <v>230000</v>
      </c>
      <c r="H802" s="1626"/>
      <c r="I802" s="1626"/>
      <c r="J802" s="1627">
        <v>2210701</v>
      </c>
      <c r="K802" s="1628" t="s">
        <v>36</v>
      </c>
      <c r="L802" s="1629">
        <v>230000</v>
      </c>
      <c r="N802" s="1629">
        <f t="shared" si="12"/>
        <v>0</v>
      </c>
    </row>
    <row r="803" spans="2:14">
      <c r="B803" s="1626"/>
      <c r="C803" s="1626"/>
      <c r="D803" s="1627">
        <v>2210703</v>
      </c>
      <c r="E803" s="1628" t="s">
        <v>107</v>
      </c>
      <c r="F803" s="1629">
        <v>120000</v>
      </c>
      <c r="H803" s="1626"/>
      <c r="I803" s="1626"/>
      <c r="J803" s="1627">
        <v>2210703</v>
      </c>
      <c r="K803" s="1628" t="s">
        <v>107</v>
      </c>
      <c r="L803" s="1629">
        <v>120000</v>
      </c>
      <c r="N803" s="1629">
        <f t="shared" si="12"/>
        <v>0</v>
      </c>
    </row>
    <row r="804" spans="2:14">
      <c r="B804" s="1626"/>
      <c r="C804" s="1626"/>
      <c r="D804" s="1627">
        <v>2210704</v>
      </c>
      <c r="E804" s="1628" t="s">
        <v>38</v>
      </c>
      <c r="F804" s="1629">
        <v>50000</v>
      </c>
      <c r="H804" s="1626"/>
      <c r="I804" s="1626"/>
      <c r="J804" s="1627">
        <v>2210704</v>
      </c>
      <c r="K804" s="1628" t="s">
        <v>38</v>
      </c>
      <c r="L804" s="1629">
        <v>50000</v>
      </c>
      <c r="N804" s="1629">
        <f t="shared" si="12"/>
        <v>0</v>
      </c>
    </row>
    <row r="805" spans="2:14">
      <c r="B805" s="1626"/>
      <c r="C805" s="1626"/>
      <c r="D805" s="1627">
        <v>2210708</v>
      </c>
      <c r="E805" s="1628" t="s">
        <v>115</v>
      </c>
      <c r="F805" s="1629">
        <v>220000</v>
      </c>
      <c r="H805" s="1626"/>
      <c r="I805" s="1626"/>
      <c r="J805" s="1627">
        <v>2210708</v>
      </c>
      <c r="K805" s="1628" t="s">
        <v>115</v>
      </c>
      <c r="L805" s="1629">
        <v>220000</v>
      </c>
      <c r="N805" s="1629">
        <f t="shared" si="12"/>
        <v>0</v>
      </c>
    </row>
    <row r="806" spans="2:14">
      <c r="B806" s="1622"/>
      <c r="C806" s="1622"/>
      <c r="D806" s="1627">
        <v>2210710</v>
      </c>
      <c r="E806" s="1628" t="s">
        <v>39</v>
      </c>
      <c r="F806" s="1629">
        <v>130000</v>
      </c>
      <c r="H806" s="1622"/>
      <c r="I806" s="1622"/>
      <c r="J806" s="1627">
        <v>2210710</v>
      </c>
      <c r="K806" s="1628" t="s">
        <v>39</v>
      </c>
      <c r="L806" s="1629">
        <v>130000</v>
      </c>
      <c r="N806" s="1629">
        <f t="shared" si="12"/>
        <v>0</v>
      </c>
    </row>
    <row r="807" spans="2:14">
      <c r="B807" s="1626"/>
      <c r="C807" s="1626"/>
      <c r="D807" s="1647">
        <v>2210715</v>
      </c>
      <c r="E807" s="1628" t="s">
        <v>1588</v>
      </c>
      <c r="F807" s="1629">
        <v>125000</v>
      </c>
      <c r="H807" s="1626"/>
      <c r="I807" s="1626"/>
      <c r="J807" s="1647">
        <v>2210715</v>
      </c>
      <c r="K807" s="1628" t="s">
        <v>1588</v>
      </c>
      <c r="L807" s="1629">
        <v>125000</v>
      </c>
      <c r="N807" s="1629">
        <f t="shared" si="12"/>
        <v>0</v>
      </c>
    </row>
    <row r="808" spans="2:14">
      <c r="B808" s="1622"/>
      <c r="C808" s="1622"/>
      <c r="D808" s="1623">
        <v>2210800</v>
      </c>
      <c r="E808" s="1624" t="s">
        <v>42</v>
      </c>
      <c r="F808" s="1625">
        <v>490000</v>
      </c>
      <c r="H808" s="1622"/>
      <c r="I808" s="1622"/>
      <c r="J808" s="1623">
        <v>2210800</v>
      </c>
      <c r="K808" s="1624" t="s">
        <v>42</v>
      </c>
      <c r="L808" s="1625">
        <v>490000</v>
      </c>
      <c r="N808" s="1625">
        <f t="shared" si="12"/>
        <v>0</v>
      </c>
    </row>
    <row r="809" spans="2:14">
      <c r="B809" s="1626"/>
      <c r="C809" s="1626"/>
      <c r="D809" s="1627">
        <v>2210801</v>
      </c>
      <c r="E809" s="1628" t="s">
        <v>43</v>
      </c>
      <c r="F809" s="1629">
        <v>210000</v>
      </c>
      <c r="H809" s="1626"/>
      <c r="I809" s="1626"/>
      <c r="J809" s="1627">
        <v>2210801</v>
      </c>
      <c r="K809" s="1628" t="s">
        <v>43</v>
      </c>
      <c r="L809" s="1629">
        <v>210000</v>
      </c>
      <c r="N809" s="1629">
        <f t="shared" si="12"/>
        <v>0</v>
      </c>
    </row>
    <row r="810" spans="2:14">
      <c r="B810" s="1626"/>
      <c r="C810" s="1626"/>
      <c r="D810" s="1627">
        <v>2210802</v>
      </c>
      <c r="E810" s="1628" t="s">
        <v>97</v>
      </c>
      <c r="F810" s="1629">
        <v>250000</v>
      </c>
      <c r="H810" s="1626"/>
      <c r="I810" s="1626"/>
      <c r="J810" s="1627">
        <v>2210802</v>
      </c>
      <c r="K810" s="1628" t="s">
        <v>97</v>
      </c>
      <c r="L810" s="1629">
        <v>250000</v>
      </c>
      <c r="N810" s="1629">
        <f t="shared" si="12"/>
        <v>0</v>
      </c>
    </row>
    <row r="811" spans="2:14">
      <c r="B811" s="1626"/>
      <c r="C811" s="1626"/>
      <c r="D811" s="1627">
        <v>2210805</v>
      </c>
      <c r="E811" s="1628" t="s">
        <v>116</v>
      </c>
      <c r="F811" s="1629">
        <v>20000</v>
      </c>
      <c r="H811" s="1626"/>
      <c r="I811" s="1626"/>
      <c r="J811" s="1627">
        <v>2210805</v>
      </c>
      <c r="K811" s="1628" t="s">
        <v>116</v>
      </c>
      <c r="L811" s="1629">
        <v>20000</v>
      </c>
      <c r="N811" s="1629">
        <f t="shared" si="12"/>
        <v>0</v>
      </c>
    </row>
    <row r="812" spans="2:14">
      <c r="B812" s="1622"/>
      <c r="C812" s="1622"/>
      <c r="D812" s="1627">
        <v>2210807</v>
      </c>
      <c r="E812" s="1628" t="s">
        <v>117</v>
      </c>
      <c r="F812" s="1629">
        <v>10000</v>
      </c>
      <c r="H812" s="1622"/>
      <c r="I812" s="1622"/>
      <c r="J812" s="1627">
        <v>2210807</v>
      </c>
      <c r="K812" s="1628" t="s">
        <v>117</v>
      </c>
      <c r="L812" s="1629">
        <v>10000</v>
      </c>
      <c r="N812" s="1629">
        <f t="shared" si="12"/>
        <v>0</v>
      </c>
    </row>
    <row r="813" spans="2:14">
      <c r="B813" s="1626"/>
      <c r="C813" s="1626"/>
      <c r="D813" s="1623">
        <v>2211000</v>
      </c>
      <c r="E813" s="1624" t="s">
        <v>118</v>
      </c>
      <c r="F813" s="1625">
        <v>13850</v>
      </c>
      <c r="H813" s="1626"/>
      <c r="I813" s="1626"/>
      <c r="J813" s="1623">
        <v>2211000</v>
      </c>
      <c r="K813" s="1624" t="s">
        <v>118</v>
      </c>
      <c r="L813" s="1625">
        <v>13850</v>
      </c>
      <c r="N813" s="1625">
        <f t="shared" si="12"/>
        <v>0</v>
      </c>
    </row>
    <row r="814" spans="2:14">
      <c r="B814" s="1622"/>
      <c r="C814" s="1622"/>
      <c r="D814" s="1627">
        <v>2211011</v>
      </c>
      <c r="E814" s="1628" t="s">
        <v>119</v>
      </c>
      <c r="F814" s="1629">
        <v>13850</v>
      </c>
      <c r="H814" s="1622"/>
      <c r="I814" s="1622"/>
      <c r="J814" s="1627">
        <v>2211011</v>
      </c>
      <c r="K814" s="1628" t="s">
        <v>119</v>
      </c>
      <c r="L814" s="1629">
        <v>13850</v>
      </c>
      <c r="N814" s="1629">
        <f t="shared" si="12"/>
        <v>0</v>
      </c>
    </row>
    <row r="815" spans="2:14">
      <c r="B815" s="1626"/>
      <c r="C815" s="1626"/>
      <c r="D815" s="1623">
        <v>2211100</v>
      </c>
      <c r="E815" s="1624" t="s">
        <v>51</v>
      </c>
      <c r="F815" s="1625">
        <v>700000</v>
      </c>
      <c r="H815" s="1626"/>
      <c r="I815" s="1626"/>
      <c r="J815" s="1623">
        <v>2211100</v>
      </c>
      <c r="K815" s="1624" t="s">
        <v>51</v>
      </c>
      <c r="L815" s="1625">
        <v>700000</v>
      </c>
      <c r="N815" s="1625">
        <f t="shared" si="12"/>
        <v>0</v>
      </c>
    </row>
    <row r="816" spans="2:14" ht="30">
      <c r="B816" s="1626"/>
      <c r="C816" s="1626"/>
      <c r="D816" s="1627">
        <v>2211101</v>
      </c>
      <c r="E816" s="1628" t="s">
        <v>1851</v>
      </c>
      <c r="F816" s="1629">
        <v>250000</v>
      </c>
      <c r="H816" s="1626"/>
      <c r="I816" s="1626"/>
      <c r="J816" s="1627">
        <v>2211101</v>
      </c>
      <c r="K816" s="1628" t="s">
        <v>1851</v>
      </c>
      <c r="L816" s="1629">
        <v>250000</v>
      </c>
      <c r="N816" s="1629">
        <f t="shared" si="12"/>
        <v>0</v>
      </c>
    </row>
    <row r="817" spans="2:14">
      <c r="B817" s="1622"/>
      <c r="C817" s="1622"/>
      <c r="D817" s="1627">
        <v>2211102</v>
      </c>
      <c r="E817" s="1628" t="s">
        <v>53</v>
      </c>
      <c r="F817" s="1629">
        <v>200000</v>
      </c>
      <c r="H817" s="1622"/>
      <c r="I817" s="1622"/>
      <c r="J817" s="1627">
        <v>2211102</v>
      </c>
      <c r="K817" s="1628" t="s">
        <v>53</v>
      </c>
      <c r="L817" s="1629">
        <v>200000</v>
      </c>
      <c r="N817" s="1629">
        <f t="shared" si="12"/>
        <v>0</v>
      </c>
    </row>
    <row r="818" spans="2:14">
      <c r="B818" s="1626"/>
      <c r="C818" s="1626"/>
      <c r="D818" s="1627">
        <v>2211103</v>
      </c>
      <c r="E818" s="1628" t="s">
        <v>54</v>
      </c>
      <c r="F818" s="1629">
        <v>250000</v>
      </c>
      <c r="H818" s="1626"/>
      <c r="I818" s="1626"/>
      <c r="J818" s="1627">
        <v>2211103</v>
      </c>
      <c r="K818" s="1628" t="s">
        <v>54</v>
      </c>
      <c r="L818" s="1629">
        <v>250000</v>
      </c>
      <c r="N818" s="1629">
        <f t="shared" si="12"/>
        <v>0</v>
      </c>
    </row>
    <row r="819" spans="2:14">
      <c r="B819" s="1626"/>
      <c r="C819" s="1626"/>
      <c r="D819" s="1623">
        <v>2211200</v>
      </c>
      <c r="E819" s="1624" t="s">
        <v>55</v>
      </c>
      <c r="F819" s="1636">
        <v>550000</v>
      </c>
      <c r="H819" s="1626"/>
      <c r="I819" s="1626"/>
      <c r="J819" s="1623">
        <v>2211200</v>
      </c>
      <c r="K819" s="1624" t="s">
        <v>55</v>
      </c>
      <c r="L819" s="1636">
        <v>550000</v>
      </c>
      <c r="N819" s="1636">
        <f t="shared" si="12"/>
        <v>0</v>
      </c>
    </row>
    <row r="820" spans="2:14">
      <c r="B820" s="1622"/>
      <c r="C820" s="1622"/>
      <c r="D820" s="1627">
        <v>2211201</v>
      </c>
      <c r="E820" s="1628" t="s">
        <v>56</v>
      </c>
      <c r="F820" s="1629">
        <v>550000</v>
      </c>
      <c r="H820" s="1622"/>
      <c r="I820" s="1622"/>
      <c r="J820" s="1627">
        <v>2211201</v>
      </c>
      <c r="K820" s="1628" t="s">
        <v>56</v>
      </c>
      <c r="L820" s="1629">
        <v>550000</v>
      </c>
      <c r="N820" s="1629">
        <f t="shared" si="12"/>
        <v>0</v>
      </c>
    </row>
    <row r="821" spans="2:14">
      <c r="B821" s="1626"/>
      <c r="C821" s="1626"/>
      <c r="D821" s="1623">
        <v>2220100</v>
      </c>
      <c r="E821" s="1624" t="s">
        <v>62</v>
      </c>
      <c r="F821" s="1625">
        <v>680000</v>
      </c>
      <c r="H821" s="1626"/>
      <c r="I821" s="1626"/>
      <c r="J821" s="1623">
        <v>2220100</v>
      </c>
      <c r="K821" s="1624" t="s">
        <v>62</v>
      </c>
      <c r="L821" s="1625">
        <v>680000</v>
      </c>
      <c r="N821" s="1625">
        <f t="shared" si="12"/>
        <v>0</v>
      </c>
    </row>
    <row r="822" spans="2:14">
      <c r="B822" s="1626"/>
      <c r="C822" s="1626"/>
      <c r="D822" s="1627">
        <v>2220101</v>
      </c>
      <c r="E822" s="1628" t="s">
        <v>63</v>
      </c>
      <c r="F822" s="1629">
        <v>430000</v>
      </c>
      <c r="H822" s="1626"/>
      <c r="I822" s="1626"/>
      <c r="J822" s="1627">
        <v>2220101</v>
      </c>
      <c r="K822" s="1628" t="s">
        <v>63</v>
      </c>
      <c r="L822" s="1629">
        <v>430000</v>
      </c>
      <c r="N822" s="1629">
        <f t="shared" si="12"/>
        <v>0</v>
      </c>
    </row>
    <row r="823" spans="2:14">
      <c r="B823" s="1622"/>
      <c r="C823" s="1622"/>
      <c r="D823" s="1627">
        <v>2220105</v>
      </c>
      <c r="E823" s="1628" t="s">
        <v>64</v>
      </c>
      <c r="F823" s="1629">
        <v>250000</v>
      </c>
      <c r="H823" s="1622"/>
      <c r="I823" s="1622"/>
      <c r="J823" s="1627">
        <v>2220105</v>
      </c>
      <c r="K823" s="1628" t="s">
        <v>64</v>
      </c>
      <c r="L823" s="1629">
        <v>250000</v>
      </c>
      <c r="N823" s="1629">
        <f t="shared" si="12"/>
        <v>0</v>
      </c>
    </row>
    <row r="824" spans="2:14">
      <c r="B824" s="1626"/>
      <c r="C824" s="1626"/>
      <c r="D824" s="1623">
        <v>2220200</v>
      </c>
      <c r="E824" s="1624" t="s">
        <v>124</v>
      </c>
      <c r="F824" s="1625">
        <v>210000</v>
      </c>
      <c r="H824" s="1626"/>
      <c r="I824" s="1626"/>
      <c r="J824" s="1623">
        <v>2220200</v>
      </c>
      <c r="K824" s="1624" t="s">
        <v>124</v>
      </c>
      <c r="L824" s="1625">
        <v>210000</v>
      </c>
      <c r="N824" s="1625">
        <f t="shared" si="12"/>
        <v>0</v>
      </c>
    </row>
    <row r="825" spans="2:14">
      <c r="B825" s="1626"/>
      <c r="C825" s="1626"/>
      <c r="D825" s="1627">
        <v>2220202</v>
      </c>
      <c r="E825" s="1628" t="s">
        <v>87</v>
      </c>
      <c r="F825" s="1629">
        <v>80000</v>
      </c>
      <c r="H825" s="1626"/>
      <c r="I825" s="1626"/>
      <c r="J825" s="1627">
        <v>2220202</v>
      </c>
      <c r="K825" s="1628" t="s">
        <v>87</v>
      </c>
      <c r="L825" s="1629">
        <v>80000</v>
      </c>
      <c r="N825" s="1629">
        <f t="shared" si="12"/>
        <v>0</v>
      </c>
    </row>
    <row r="826" spans="2:14">
      <c r="B826" s="1635"/>
      <c r="C826" s="1635"/>
      <c r="D826" s="1627">
        <v>2220205</v>
      </c>
      <c r="E826" s="1628" t="s">
        <v>125</v>
      </c>
      <c r="F826" s="1629">
        <v>130000</v>
      </c>
      <c r="H826" s="1635"/>
      <c r="I826" s="1635"/>
      <c r="J826" s="1627">
        <v>2220205</v>
      </c>
      <c r="K826" s="1628" t="s">
        <v>125</v>
      </c>
      <c r="L826" s="1629">
        <v>130000</v>
      </c>
      <c r="N826" s="1629">
        <f t="shared" si="12"/>
        <v>0</v>
      </c>
    </row>
    <row r="827" spans="2:14">
      <c r="B827" s="1648"/>
      <c r="C827" s="1648"/>
      <c r="D827" s="1623">
        <v>3110700</v>
      </c>
      <c r="E827" s="1624" t="s">
        <v>172</v>
      </c>
      <c r="F827" s="1625">
        <v>0</v>
      </c>
      <c r="H827" s="1648"/>
      <c r="I827" s="1648"/>
      <c r="J827" s="1623">
        <v>3110700</v>
      </c>
      <c r="K827" s="1624" t="s">
        <v>172</v>
      </c>
      <c r="L827" s="1625">
        <v>0</v>
      </c>
      <c r="N827" s="1625">
        <f t="shared" si="12"/>
        <v>0</v>
      </c>
    </row>
    <row r="828" spans="2:14">
      <c r="B828" s="1648"/>
      <c r="C828" s="1648"/>
      <c r="D828" s="1627">
        <v>3110701</v>
      </c>
      <c r="E828" s="1628" t="s">
        <v>1787</v>
      </c>
      <c r="F828" s="1629">
        <v>0</v>
      </c>
      <c r="H828" s="1648"/>
      <c r="I828" s="1648"/>
      <c r="J828" s="1627">
        <v>3110701</v>
      </c>
      <c r="K828" s="1628" t="s">
        <v>1787</v>
      </c>
      <c r="L828" s="1629">
        <v>0</v>
      </c>
      <c r="N828" s="1629">
        <f t="shared" si="12"/>
        <v>0</v>
      </c>
    </row>
    <row r="829" spans="2:14">
      <c r="B829" s="1648"/>
      <c r="C829" s="1648"/>
      <c r="D829" s="1627">
        <v>3110704</v>
      </c>
      <c r="E829" s="1628" t="s">
        <v>1788</v>
      </c>
      <c r="F829" s="1649">
        <v>0</v>
      </c>
      <c r="H829" s="1648"/>
      <c r="I829" s="1648"/>
      <c r="J829" s="1627">
        <v>3110704</v>
      </c>
      <c r="K829" s="1628" t="s">
        <v>1788</v>
      </c>
      <c r="L829" s="1649">
        <v>0</v>
      </c>
      <c r="N829" s="1649">
        <f t="shared" si="12"/>
        <v>0</v>
      </c>
    </row>
    <row r="830" spans="2:14">
      <c r="B830" s="1648"/>
      <c r="C830" s="1648"/>
      <c r="D830" s="1623">
        <v>3111400</v>
      </c>
      <c r="E830" s="1624" t="s">
        <v>173</v>
      </c>
      <c r="F830" s="1625">
        <v>5600000</v>
      </c>
      <c r="H830" s="1648"/>
      <c r="I830" s="1648"/>
      <c r="J830" s="1623">
        <v>3111400</v>
      </c>
      <c r="K830" s="1624" t="s">
        <v>173</v>
      </c>
      <c r="L830" s="1625">
        <v>5600000</v>
      </c>
      <c r="N830" s="1625">
        <f t="shared" si="12"/>
        <v>0</v>
      </c>
    </row>
    <row r="831" spans="2:14" ht="30">
      <c r="B831" s="1648"/>
      <c r="C831" s="1648"/>
      <c r="D831" s="1627">
        <v>3111401</v>
      </c>
      <c r="E831" s="1628" t="s">
        <v>174</v>
      </c>
      <c r="F831" s="1629">
        <v>5600000</v>
      </c>
      <c r="H831" s="1648"/>
      <c r="I831" s="1648"/>
      <c r="J831" s="1627">
        <v>3111401</v>
      </c>
      <c r="K831" s="1628" t="s">
        <v>174</v>
      </c>
      <c r="L831" s="1629">
        <v>5600000</v>
      </c>
      <c r="N831" s="1629">
        <f t="shared" si="12"/>
        <v>0</v>
      </c>
    </row>
    <row r="832" spans="2:14">
      <c r="B832" s="1648"/>
      <c r="C832" s="1648"/>
      <c r="D832" s="1627">
        <v>3111401</v>
      </c>
      <c r="E832" s="1628" t="s">
        <v>1455</v>
      </c>
      <c r="F832" s="1629">
        <v>0</v>
      </c>
      <c r="H832" s="1648"/>
      <c r="I832" s="1648"/>
      <c r="J832" s="1627">
        <v>3111401</v>
      </c>
      <c r="K832" s="1628" t="s">
        <v>1455</v>
      </c>
      <c r="L832" s="1629">
        <v>0</v>
      </c>
      <c r="N832" s="1629">
        <f t="shared" si="12"/>
        <v>0</v>
      </c>
    </row>
    <row r="833" spans="2:14">
      <c r="B833" s="1648"/>
      <c r="C833" s="1648"/>
      <c r="D833" s="1637"/>
      <c r="E833" s="1638" t="s">
        <v>128</v>
      </c>
      <c r="F833" s="1621">
        <v>17799050</v>
      </c>
      <c r="H833" s="1648"/>
      <c r="I833" s="1648"/>
      <c r="J833" s="1637"/>
      <c r="K833" s="1638" t="s">
        <v>128</v>
      </c>
      <c r="L833" s="1621">
        <v>17799050</v>
      </c>
      <c r="N833" s="1621">
        <f t="shared" si="12"/>
        <v>0</v>
      </c>
    </row>
    <row r="834" spans="2:14">
      <c r="B834" s="1648"/>
      <c r="C834" s="1648"/>
      <c r="D834" s="1650"/>
      <c r="E834" s="1651"/>
      <c r="F834" s="1650"/>
      <c r="H834" s="1648"/>
      <c r="I834" s="1648"/>
      <c r="J834" s="1650"/>
      <c r="K834" s="1651"/>
      <c r="L834" s="1650"/>
      <c r="N834" s="1650">
        <f t="shared" si="12"/>
        <v>0</v>
      </c>
    </row>
    <row r="835" spans="2:14">
      <c r="B835" s="1652"/>
      <c r="C835" s="1652"/>
      <c r="D835" s="1653"/>
      <c r="E835" s="1654" t="s">
        <v>879</v>
      </c>
      <c r="F835" s="1655">
        <v>75856037.5</v>
      </c>
      <c r="H835" s="1652"/>
      <c r="I835" s="1652"/>
      <c r="J835" s="1653"/>
      <c r="K835" s="1654" t="s">
        <v>879</v>
      </c>
      <c r="L835" s="1655">
        <v>75856037.5</v>
      </c>
      <c r="N835" s="1655">
        <f t="shared" si="12"/>
        <v>0</v>
      </c>
    </row>
    <row r="836" spans="2:14">
      <c r="B836" s="1652"/>
      <c r="C836" s="1652"/>
      <c r="D836" s="1653"/>
      <c r="E836" s="1654" t="s">
        <v>92</v>
      </c>
      <c r="F836" s="1655">
        <v>70480628.444713712</v>
      </c>
      <c r="H836" s="1652"/>
      <c r="I836" s="1652"/>
      <c r="J836" s="1653"/>
      <c r="K836" s="1654" t="s">
        <v>92</v>
      </c>
      <c r="L836" s="1655">
        <v>70480628.444713712</v>
      </c>
      <c r="N836" s="1655">
        <f t="shared" si="12"/>
        <v>0</v>
      </c>
    </row>
    <row r="837" spans="2:14">
      <c r="B837" s="1652"/>
      <c r="C837" s="1652"/>
      <c r="D837" s="1653"/>
      <c r="E837" s="1654" t="s">
        <v>1789</v>
      </c>
      <c r="F837" s="1655">
        <v>146336665.94471371</v>
      </c>
      <c r="H837" s="1652"/>
      <c r="I837" s="1652"/>
      <c r="J837" s="1653"/>
      <c r="K837" s="1654" t="s">
        <v>1789</v>
      </c>
      <c r="L837" s="1655">
        <v>146336665.94471371</v>
      </c>
      <c r="N837" s="1655">
        <f t="shared" si="12"/>
        <v>0</v>
      </c>
    </row>
    <row r="838" spans="2:14">
      <c r="B838" s="36"/>
      <c r="C838" s="36"/>
      <c r="D838" s="1528"/>
      <c r="E838" s="1620" t="s">
        <v>99</v>
      </c>
      <c r="F838" s="1621">
        <v>1145078439.2299299</v>
      </c>
      <c r="H838" s="36"/>
      <c r="I838" s="36"/>
      <c r="J838" s="1528"/>
      <c r="K838" s="1620" t="s">
        <v>99</v>
      </c>
      <c r="L838" s="1621">
        <v>1110078439.2299299</v>
      </c>
      <c r="N838" s="1621">
        <f t="shared" si="12"/>
        <v>35000000</v>
      </c>
    </row>
    <row r="839" spans="2:14">
      <c r="B839" s="36"/>
      <c r="C839" s="36"/>
      <c r="D839" s="1528"/>
      <c r="E839" s="1620" t="s">
        <v>175</v>
      </c>
      <c r="F839" s="1621">
        <v>815455163.44471371</v>
      </c>
      <c r="H839" s="36"/>
      <c r="I839" s="36"/>
      <c r="J839" s="1528"/>
      <c r="K839" s="1620" t="s">
        <v>175</v>
      </c>
      <c r="L839" s="1621">
        <v>815455163.44471371</v>
      </c>
      <c r="N839" s="1621">
        <f t="shared" si="12"/>
        <v>0</v>
      </c>
    </row>
    <row r="840" spans="2:14">
      <c r="B840" s="36"/>
      <c r="C840" s="36"/>
      <c r="D840" s="1656" t="s">
        <v>176</v>
      </c>
      <c r="E840" s="1657"/>
      <c r="F840" s="1621">
        <v>1960533602.6746435</v>
      </c>
      <c r="H840" s="36"/>
      <c r="I840" s="36"/>
      <c r="J840" s="1656" t="s">
        <v>176</v>
      </c>
      <c r="K840" s="1657"/>
      <c r="L840" s="1621">
        <v>1925533602.6746435</v>
      </c>
      <c r="N840" s="1621">
        <f t="shared" ref="N840:N903" si="13">F840-L840</f>
        <v>35000000</v>
      </c>
    </row>
    <row r="841" spans="2:14">
      <c r="B841" s="25"/>
      <c r="C841" s="25"/>
      <c r="D841" s="1507"/>
      <c r="E841" s="1658"/>
      <c r="F841" s="1659"/>
      <c r="H841" s="25"/>
      <c r="I841" s="25"/>
      <c r="J841" s="1507"/>
      <c r="K841" s="1658"/>
      <c r="L841" s="1659"/>
      <c r="N841" s="1659">
        <f t="shared" si="13"/>
        <v>0</v>
      </c>
    </row>
    <row r="842" spans="2:14">
      <c r="B842" s="25"/>
      <c r="C842" s="25"/>
      <c r="D842" s="1507"/>
      <c r="E842" s="1658"/>
      <c r="F842" s="1659"/>
      <c r="H842" s="25"/>
      <c r="I842" s="25"/>
      <c r="J842" s="1507"/>
      <c r="K842" s="1658"/>
      <c r="L842" s="1659"/>
      <c r="N842" s="1659">
        <f t="shared" si="13"/>
        <v>0</v>
      </c>
    </row>
    <row r="843" spans="2:14">
      <c r="B843" s="25"/>
      <c r="C843" s="1583"/>
      <c r="D843" s="1507" t="s">
        <v>177</v>
      </c>
      <c r="E843" s="1620"/>
      <c r="F843" s="1660"/>
      <c r="H843" s="25"/>
      <c r="I843" s="1583"/>
      <c r="J843" s="1507" t="s">
        <v>177</v>
      </c>
      <c r="K843" s="1620"/>
      <c r="L843" s="1660"/>
      <c r="N843" s="1660">
        <f t="shared" si="13"/>
        <v>0</v>
      </c>
    </row>
    <row r="844" spans="2:14">
      <c r="B844" s="1661" t="s">
        <v>178</v>
      </c>
      <c r="C844" s="46"/>
      <c r="D844" s="1545" t="s">
        <v>179</v>
      </c>
      <c r="E844" s="1546"/>
      <c r="F844" s="161"/>
      <c r="H844" s="1661" t="s">
        <v>178</v>
      </c>
      <c r="I844" s="46"/>
      <c r="J844" s="1545" t="s">
        <v>179</v>
      </c>
      <c r="K844" s="1546"/>
      <c r="L844" s="161"/>
      <c r="N844" s="161">
        <f t="shared" si="13"/>
        <v>0</v>
      </c>
    </row>
    <row r="845" spans="2:14">
      <c r="B845" s="90"/>
      <c r="C845" s="1661" t="s">
        <v>146</v>
      </c>
      <c r="D845" s="1545" t="s">
        <v>180</v>
      </c>
      <c r="E845" s="1546"/>
      <c r="F845" s="161"/>
      <c r="H845" s="90"/>
      <c r="I845" s="1661" t="s">
        <v>146</v>
      </c>
      <c r="J845" s="1545" t="s">
        <v>180</v>
      </c>
      <c r="K845" s="1546"/>
      <c r="L845" s="161"/>
      <c r="N845" s="161">
        <f t="shared" si="13"/>
        <v>0</v>
      </c>
    </row>
    <row r="846" spans="2:14">
      <c r="B846" s="1662"/>
      <c r="C846" s="1662"/>
      <c r="D846" s="1663">
        <v>2110100</v>
      </c>
      <c r="E846" s="1664" t="s">
        <v>13</v>
      </c>
      <c r="F846" s="1665">
        <v>5940142</v>
      </c>
      <c r="H846" s="1662"/>
      <c r="I846" s="1662"/>
      <c r="J846" s="1663">
        <v>2110100</v>
      </c>
      <c r="K846" s="1664" t="s">
        <v>13</v>
      </c>
      <c r="L846" s="1665">
        <v>5940142</v>
      </c>
      <c r="N846" s="1665">
        <f t="shared" si="13"/>
        <v>0</v>
      </c>
    </row>
    <row r="847" spans="2:14">
      <c r="B847" s="1666"/>
      <c r="C847" s="1666"/>
      <c r="D847" s="1667">
        <v>2110101</v>
      </c>
      <c r="E847" s="1668" t="s">
        <v>14</v>
      </c>
      <c r="F847" s="1669">
        <v>5940142</v>
      </c>
      <c r="H847" s="1666"/>
      <c r="I847" s="1666"/>
      <c r="J847" s="1667">
        <v>2110101</v>
      </c>
      <c r="K847" s="1668" t="s">
        <v>14</v>
      </c>
      <c r="L847" s="1669">
        <v>5940142</v>
      </c>
      <c r="N847" s="1669">
        <f t="shared" si="13"/>
        <v>0</v>
      </c>
    </row>
    <row r="848" spans="2:14">
      <c r="B848" s="85"/>
      <c r="C848" s="85"/>
      <c r="D848" s="55" t="s">
        <v>244</v>
      </c>
      <c r="E848" s="1515" t="s">
        <v>16</v>
      </c>
      <c r="F848" s="1665">
        <v>423370</v>
      </c>
      <c r="H848" s="85"/>
      <c r="I848" s="85"/>
      <c r="J848" s="55" t="s">
        <v>244</v>
      </c>
      <c r="K848" s="1515" t="s">
        <v>16</v>
      </c>
      <c r="L848" s="1665">
        <v>423370</v>
      </c>
      <c r="N848" s="1665">
        <f t="shared" si="13"/>
        <v>0</v>
      </c>
    </row>
    <row r="849" spans="2:14">
      <c r="B849" s="85"/>
      <c r="C849" s="85"/>
      <c r="D849" s="19">
        <v>2210101</v>
      </c>
      <c r="E849" s="86" t="s">
        <v>17</v>
      </c>
      <c r="F849" s="1669">
        <v>188280</v>
      </c>
      <c r="H849" s="85"/>
      <c r="I849" s="85"/>
      <c r="J849" s="19">
        <v>2210101</v>
      </c>
      <c r="K849" s="86" t="s">
        <v>17</v>
      </c>
      <c r="L849" s="1669">
        <v>188280</v>
      </c>
      <c r="N849" s="1669">
        <f t="shared" si="13"/>
        <v>0</v>
      </c>
    </row>
    <row r="850" spans="2:14">
      <c r="B850" s="1662"/>
      <c r="C850" s="1662"/>
      <c r="D850" s="19">
        <v>2210102</v>
      </c>
      <c r="E850" s="86" t="s">
        <v>18</v>
      </c>
      <c r="F850" s="1669">
        <v>85090</v>
      </c>
      <c r="H850" s="1662"/>
      <c r="I850" s="1662"/>
      <c r="J850" s="19">
        <v>2210102</v>
      </c>
      <c r="K850" s="86" t="s">
        <v>18</v>
      </c>
      <c r="L850" s="1669">
        <v>85090</v>
      </c>
      <c r="N850" s="1669">
        <f t="shared" si="13"/>
        <v>0</v>
      </c>
    </row>
    <row r="851" spans="2:14">
      <c r="B851" s="85"/>
      <c r="C851" s="85"/>
      <c r="D851" s="19">
        <v>2210103</v>
      </c>
      <c r="E851" s="86" t="s">
        <v>23</v>
      </c>
      <c r="F851" s="1669">
        <v>150000</v>
      </c>
      <c r="H851" s="85"/>
      <c r="I851" s="85"/>
      <c r="J851" s="19">
        <v>2210103</v>
      </c>
      <c r="K851" s="86" t="s">
        <v>23</v>
      </c>
      <c r="L851" s="1669">
        <v>150000</v>
      </c>
      <c r="N851" s="1669">
        <f t="shared" si="13"/>
        <v>0</v>
      </c>
    </row>
    <row r="852" spans="2:14">
      <c r="B852" s="85"/>
      <c r="C852" s="85"/>
      <c r="D852" s="55">
        <v>2210200</v>
      </c>
      <c r="E852" s="1518" t="s">
        <v>20</v>
      </c>
      <c r="F852" s="1665">
        <v>660000</v>
      </c>
      <c r="H852" s="85"/>
      <c r="I852" s="85"/>
      <c r="J852" s="55">
        <v>2210200</v>
      </c>
      <c r="K852" s="1518" t="s">
        <v>20</v>
      </c>
      <c r="L852" s="1665">
        <v>660000</v>
      </c>
      <c r="N852" s="1665">
        <f t="shared" si="13"/>
        <v>0</v>
      </c>
    </row>
    <row r="853" spans="2:14">
      <c r="B853" s="1662"/>
      <c r="C853" s="1662"/>
      <c r="D853" s="19">
        <v>2210201</v>
      </c>
      <c r="E853" s="20" t="s">
        <v>21</v>
      </c>
      <c r="F853" s="1669">
        <v>560000</v>
      </c>
      <c r="H853" s="1662"/>
      <c r="I853" s="1662"/>
      <c r="J853" s="19">
        <v>2210201</v>
      </c>
      <c r="K853" s="20" t="s">
        <v>21</v>
      </c>
      <c r="L853" s="1669">
        <v>560000</v>
      </c>
      <c r="N853" s="1669">
        <f t="shared" si="13"/>
        <v>0</v>
      </c>
    </row>
    <row r="854" spans="2:14">
      <c r="B854" s="85"/>
      <c r="C854" s="85"/>
      <c r="D854" s="19">
        <v>2210202</v>
      </c>
      <c r="E854" s="20" t="s">
        <v>22</v>
      </c>
      <c r="F854" s="1669">
        <v>100000</v>
      </c>
      <c r="H854" s="85"/>
      <c r="I854" s="85"/>
      <c r="J854" s="19">
        <v>2210202</v>
      </c>
      <c r="K854" s="20" t="s">
        <v>22</v>
      </c>
      <c r="L854" s="1669">
        <v>100000</v>
      </c>
      <c r="N854" s="1669">
        <f t="shared" si="13"/>
        <v>0</v>
      </c>
    </row>
    <row r="855" spans="2:14">
      <c r="B855" s="85"/>
      <c r="C855" s="85"/>
      <c r="D855" s="1663">
        <v>2210300</v>
      </c>
      <c r="E855" s="1664" t="s">
        <v>24</v>
      </c>
      <c r="F855" s="1665">
        <v>5560003.7760000005</v>
      </c>
      <c r="H855" s="85"/>
      <c r="I855" s="85"/>
      <c r="J855" s="1663">
        <v>2210300</v>
      </c>
      <c r="K855" s="1664" t="s">
        <v>24</v>
      </c>
      <c r="L855" s="1665">
        <v>5560003.7760000005</v>
      </c>
      <c r="N855" s="1665">
        <f t="shared" si="13"/>
        <v>0</v>
      </c>
    </row>
    <row r="856" spans="2:14">
      <c r="B856" s="26"/>
      <c r="C856" s="1662"/>
      <c r="D856" s="1538">
        <v>2210301</v>
      </c>
      <c r="E856" s="1539" t="s">
        <v>188</v>
      </c>
      <c r="F856" s="1669">
        <v>366523.34399999998</v>
      </c>
      <c r="H856" s="26"/>
      <c r="I856" s="1662"/>
      <c r="J856" s="1538">
        <v>2210301</v>
      </c>
      <c r="K856" s="1539" t="s">
        <v>188</v>
      </c>
      <c r="L856" s="1669">
        <v>366523.34399999998</v>
      </c>
      <c r="N856" s="1669">
        <f t="shared" si="13"/>
        <v>0</v>
      </c>
    </row>
    <row r="857" spans="2:14">
      <c r="B857" s="1661"/>
      <c r="C857" s="1661"/>
      <c r="D857" s="1538">
        <v>2210302</v>
      </c>
      <c r="E857" s="1539" t="s">
        <v>26</v>
      </c>
      <c r="F857" s="1669">
        <v>2655227.56</v>
      </c>
      <c r="H857" s="1661"/>
      <c r="I857" s="1661"/>
      <c r="J857" s="1538">
        <v>2210302</v>
      </c>
      <c r="K857" s="1539" t="s">
        <v>26</v>
      </c>
      <c r="L857" s="1669">
        <v>2655227.56</v>
      </c>
      <c r="N857" s="1669">
        <f t="shared" si="13"/>
        <v>0</v>
      </c>
    </row>
    <row r="858" spans="2:14">
      <c r="B858" s="1661"/>
      <c r="C858" s="1661"/>
      <c r="D858" s="1538">
        <v>2210303</v>
      </c>
      <c r="E858" s="1539" t="s">
        <v>27</v>
      </c>
      <c r="F858" s="1669">
        <v>2334092.872</v>
      </c>
      <c r="H858" s="1661"/>
      <c r="I858" s="1661"/>
      <c r="J858" s="1538">
        <v>2210303</v>
      </c>
      <c r="K858" s="1539" t="s">
        <v>27</v>
      </c>
      <c r="L858" s="1669">
        <v>2334092.872</v>
      </c>
      <c r="N858" s="1669">
        <f t="shared" si="13"/>
        <v>0</v>
      </c>
    </row>
    <row r="859" spans="2:14">
      <c r="B859" s="1662"/>
      <c r="C859" s="1662"/>
      <c r="D859" s="61">
        <v>2210304</v>
      </c>
      <c r="E859" s="86" t="s">
        <v>28</v>
      </c>
      <c r="F859" s="1669">
        <v>204160.00000000003</v>
      </c>
      <c r="H859" s="1662"/>
      <c r="I859" s="1662"/>
      <c r="J859" s="61">
        <v>2210304</v>
      </c>
      <c r="K859" s="86" t="s">
        <v>28</v>
      </c>
      <c r="L859" s="1669">
        <v>204160.00000000003</v>
      </c>
      <c r="N859" s="1669">
        <f t="shared" si="13"/>
        <v>0</v>
      </c>
    </row>
    <row r="860" spans="2:14">
      <c r="B860" s="1661"/>
      <c r="C860" s="1661"/>
      <c r="D860" s="1663">
        <v>2210400</v>
      </c>
      <c r="E860" s="1664" t="s">
        <v>189</v>
      </c>
      <c r="F860" s="1665">
        <v>1900000</v>
      </c>
      <c r="H860" s="1661"/>
      <c r="I860" s="1661"/>
      <c r="J860" s="1663">
        <v>2210400</v>
      </c>
      <c r="K860" s="1664" t="s">
        <v>189</v>
      </c>
      <c r="L860" s="1665">
        <v>1900000</v>
      </c>
      <c r="N860" s="1665">
        <f t="shared" si="13"/>
        <v>0</v>
      </c>
    </row>
    <row r="861" spans="2:14">
      <c r="B861" s="1661"/>
      <c r="C861" s="1661"/>
      <c r="D861" s="1538">
        <v>2210401</v>
      </c>
      <c r="E861" s="1539" t="s">
        <v>190</v>
      </c>
      <c r="F861" s="1669">
        <v>800000</v>
      </c>
      <c r="H861" s="1661"/>
      <c r="I861" s="1661"/>
      <c r="J861" s="1538">
        <v>2210401</v>
      </c>
      <c r="K861" s="1539" t="s">
        <v>190</v>
      </c>
      <c r="L861" s="1669">
        <v>800000</v>
      </c>
      <c r="N861" s="1669">
        <f t="shared" si="13"/>
        <v>0</v>
      </c>
    </row>
    <row r="862" spans="2:14">
      <c r="B862" s="1661"/>
      <c r="C862" s="1670"/>
      <c r="D862" s="1538">
        <v>2210402</v>
      </c>
      <c r="E862" s="1539" t="s">
        <v>191</v>
      </c>
      <c r="F862" s="1669">
        <v>750000</v>
      </c>
      <c r="H862" s="1661"/>
      <c r="I862" s="1670"/>
      <c r="J862" s="1538">
        <v>2210402</v>
      </c>
      <c r="K862" s="1539" t="s">
        <v>191</v>
      </c>
      <c r="L862" s="1669">
        <v>750000</v>
      </c>
      <c r="N862" s="1669">
        <f t="shared" si="13"/>
        <v>0</v>
      </c>
    </row>
    <row r="863" spans="2:14">
      <c r="B863" s="1662"/>
      <c r="C863" s="1662"/>
      <c r="D863" s="80">
        <v>2210404</v>
      </c>
      <c r="E863" s="1539" t="s">
        <v>28</v>
      </c>
      <c r="F863" s="1669">
        <v>350000</v>
      </c>
      <c r="H863" s="1662"/>
      <c r="I863" s="1662"/>
      <c r="J863" s="80">
        <v>2210404</v>
      </c>
      <c r="K863" s="1539" t="s">
        <v>28</v>
      </c>
      <c r="L863" s="1669">
        <v>350000</v>
      </c>
      <c r="N863" s="1669">
        <f t="shared" si="13"/>
        <v>0</v>
      </c>
    </row>
    <row r="864" spans="2:14">
      <c r="B864" s="1661"/>
      <c r="C864" s="1661"/>
      <c r="D864" s="1663">
        <v>2210500</v>
      </c>
      <c r="E864" s="1664" t="s">
        <v>31</v>
      </c>
      <c r="F864" s="1665">
        <v>1140220</v>
      </c>
      <c r="H864" s="1661"/>
      <c r="I864" s="1661"/>
      <c r="J864" s="1663">
        <v>2210500</v>
      </c>
      <c r="K864" s="1664" t="s">
        <v>31</v>
      </c>
      <c r="L864" s="1665">
        <v>1140220</v>
      </c>
      <c r="N864" s="1665">
        <f t="shared" si="13"/>
        <v>0</v>
      </c>
    </row>
    <row r="865" spans="2:14">
      <c r="B865" s="1670"/>
      <c r="C865" s="1661"/>
      <c r="D865" s="1538">
        <v>2210502</v>
      </c>
      <c r="E865" s="1539" t="s">
        <v>105</v>
      </c>
      <c r="F865" s="1669">
        <v>127600.00000000001</v>
      </c>
      <c r="H865" s="1670"/>
      <c r="I865" s="1661"/>
      <c r="J865" s="1538">
        <v>2210502</v>
      </c>
      <c r="K865" s="1539" t="s">
        <v>105</v>
      </c>
      <c r="L865" s="1669">
        <v>127600.00000000001</v>
      </c>
      <c r="N865" s="1669">
        <f t="shared" si="13"/>
        <v>0</v>
      </c>
    </row>
    <row r="866" spans="2:14">
      <c r="B866" s="1661"/>
      <c r="C866" s="1661"/>
      <c r="D866" s="1538">
        <v>2210503</v>
      </c>
      <c r="E866" s="1539" t="s">
        <v>32</v>
      </c>
      <c r="F866" s="1669">
        <v>95700.000000000015</v>
      </c>
      <c r="H866" s="1661"/>
      <c r="I866" s="1661"/>
      <c r="J866" s="1538">
        <v>2210503</v>
      </c>
      <c r="K866" s="1539" t="s">
        <v>32</v>
      </c>
      <c r="L866" s="1669">
        <v>95700.000000000015</v>
      </c>
      <c r="N866" s="1669">
        <f t="shared" si="13"/>
        <v>0</v>
      </c>
    </row>
    <row r="867" spans="2:14">
      <c r="B867" s="1662"/>
      <c r="C867" s="1662"/>
      <c r="D867" s="1538">
        <v>2210504</v>
      </c>
      <c r="E867" s="1539" t="s">
        <v>106</v>
      </c>
      <c r="F867" s="1669">
        <v>216920.00000000003</v>
      </c>
      <c r="H867" s="1662"/>
      <c r="I867" s="1662"/>
      <c r="J867" s="1538">
        <v>2210504</v>
      </c>
      <c r="K867" s="1539" t="s">
        <v>106</v>
      </c>
      <c r="L867" s="1669">
        <v>216920.00000000003</v>
      </c>
      <c r="N867" s="1669">
        <f t="shared" si="13"/>
        <v>0</v>
      </c>
    </row>
    <row r="868" spans="2:14">
      <c r="B868" s="1661"/>
      <c r="C868" s="1661"/>
      <c r="D868" s="1538">
        <v>2210505</v>
      </c>
      <c r="E868" s="1539" t="s">
        <v>192</v>
      </c>
      <c r="F868" s="1669">
        <v>700000</v>
      </c>
      <c r="H868" s="1661"/>
      <c r="I868" s="1661"/>
      <c r="J868" s="1538">
        <v>2210505</v>
      </c>
      <c r="K868" s="1539" t="s">
        <v>192</v>
      </c>
      <c r="L868" s="1669">
        <v>700000</v>
      </c>
      <c r="N868" s="1669">
        <f t="shared" si="13"/>
        <v>0</v>
      </c>
    </row>
    <row r="869" spans="2:14">
      <c r="B869" s="1661"/>
      <c r="C869" s="1661"/>
      <c r="D869" s="1663">
        <v>2210700</v>
      </c>
      <c r="E869" s="1664" t="s">
        <v>194</v>
      </c>
      <c r="F869" s="1665">
        <v>1818460.8860000002</v>
      </c>
      <c r="H869" s="1661"/>
      <c r="I869" s="1661"/>
      <c r="J869" s="1663">
        <v>2210700</v>
      </c>
      <c r="K869" s="1664" t="s">
        <v>194</v>
      </c>
      <c r="L869" s="1665">
        <v>1818460.8860000002</v>
      </c>
      <c r="N869" s="1665">
        <f t="shared" si="13"/>
        <v>0</v>
      </c>
    </row>
    <row r="870" spans="2:14">
      <c r="B870" s="1662"/>
      <c r="C870" s="1662"/>
      <c r="D870" s="1538">
        <v>2210701</v>
      </c>
      <c r="E870" s="1539" t="s">
        <v>36</v>
      </c>
      <c r="F870" s="1669">
        <v>236440.88600000003</v>
      </c>
      <c r="H870" s="1662"/>
      <c r="I870" s="1662"/>
      <c r="J870" s="1538">
        <v>2210701</v>
      </c>
      <c r="K870" s="1539" t="s">
        <v>36</v>
      </c>
      <c r="L870" s="1669">
        <v>236440.88600000003</v>
      </c>
      <c r="N870" s="1669">
        <f t="shared" si="13"/>
        <v>0</v>
      </c>
    </row>
    <row r="871" spans="2:14">
      <c r="B871" s="1661"/>
      <c r="C871" s="1661"/>
      <c r="D871" s="19">
        <v>2210702</v>
      </c>
      <c r="E871" s="20" t="s">
        <v>95</v>
      </c>
      <c r="F871" s="1669">
        <v>446600.00000000006</v>
      </c>
      <c r="H871" s="1661"/>
      <c r="I871" s="1661"/>
      <c r="J871" s="19">
        <v>2210702</v>
      </c>
      <c r="K871" s="20" t="s">
        <v>95</v>
      </c>
      <c r="L871" s="1669">
        <v>446600.00000000006</v>
      </c>
      <c r="N871" s="1669">
        <f t="shared" si="13"/>
        <v>0</v>
      </c>
    </row>
    <row r="872" spans="2:14">
      <c r="B872" s="1661"/>
      <c r="C872" s="1661"/>
      <c r="D872" s="19">
        <v>2210703</v>
      </c>
      <c r="E872" s="20" t="s">
        <v>107</v>
      </c>
      <c r="F872" s="1669">
        <v>165000</v>
      </c>
      <c r="H872" s="1661"/>
      <c r="I872" s="1661"/>
      <c r="J872" s="19">
        <v>2210703</v>
      </c>
      <c r="K872" s="20" t="s">
        <v>107</v>
      </c>
      <c r="L872" s="1669">
        <v>165000</v>
      </c>
      <c r="N872" s="1669">
        <f t="shared" si="13"/>
        <v>0</v>
      </c>
    </row>
    <row r="873" spans="2:14">
      <c r="B873" s="1661"/>
      <c r="C873" s="1661"/>
      <c r="D873" s="19">
        <v>2210704</v>
      </c>
      <c r="E873" s="20" t="s">
        <v>38</v>
      </c>
      <c r="F873" s="1669">
        <v>223300.00000000003</v>
      </c>
      <c r="H873" s="1661"/>
      <c r="I873" s="1661"/>
      <c r="J873" s="19">
        <v>2210704</v>
      </c>
      <c r="K873" s="20" t="s">
        <v>38</v>
      </c>
      <c r="L873" s="1669">
        <v>223300.00000000003</v>
      </c>
      <c r="N873" s="1669">
        <f t="shared" si="13"/>
        <v>0</v>
      </c>
    </row>
    <row r="874" spans="2:14">
      <c r="B874" s="1661"/>
      <c r="C874" s="1661"/>
      <c r="D874" s="1538">
        <v>2210710</v>
      </c>
      <c r="E874" s="1539" t="s">
        <v>39</v>
      </c>
      <c r="F874" s="1669">
        <v>344520</v>
      </c>
      <c r="H874" s="1661"/>
      <c r="I874" s="1661"/>
      <c r="J874" s="1538">
        <v>2210710</v>
      </c>
      <c r="K874" s="1539" t="s">
        <v>39</v>
      </c>
      <c r="L874" s="1669">
        <v>344520</v>
      </c>
      <c r="N874" s="1669">
        <f t="shared" si="13"/>
        <v>0</v>
      </c>
    </row>
    <row r="875" spans="2:14">
      <c r="B875" s="1662"/>
      <c r="C875" s="1662"/>
      <c r="D875" s="19" t="s">
        <v>1240</v>
      </c>
      <c r="E875" s="20" t="s">
        <v>1516</v>
      </c>
      <c r="F875" s="1669">
        <v>275000</v>
      </c>
      <c r="H875" s="1662"/>
      <c r="I875" s="1662"/>
      <c r="J875" s="19" t="s">
        <v>1240</v>
      </c>
      <c r="K875" s="20" t="s">
        <v>1516</v>
      </c>
      <c r="L875" s="1669">
        <v>275000</v>
      </c>
      <c r="N875" s="1669">
        <f t="shared" si="13"/>
        <v>0</v>
      </c>
    </row>
    <row r="876" spans="2:14">
      <c r="B876" s="1661"/>
      <c r="C876" s="1661"/>
      <c r="D876" s="61">
        <v>2210715</v>
      </c>
      <c r="E876" s="86" t="s">
        <v>40</v>
      </c>
      <c r="F876" s="1669">
        <v>127600.00000000001</v>
      </c>
      <c r="H876" s="1661"/>
      <c r="I876" s="1661"/>
      <c r="J876" s="61">
        <v>2210715</v>
      </c>
      <c r="K876" s="86" t="s">
        <v>40</v>
      </c>
      <c r="L876" s="1669">
        <v>127600.00000000001</v>
      </c>
      <c r="N876" s="1669">
        <f t="shared" si="13"/>
        <v>0</v>
      </c>
    </row>
    <row r="877" spans="2:14">
      <c r="B877" s="1661"/>
      <c r="C877" s="1661"/>
      <c r="D877" s="1663">
        <v>2210800</v>
      </c>
      <c r="E877" s="1664" t="s">
        <v>42</v>
      </c>
      <c r="F877" s="1665">
        <v>1850000</v>
      </c>
      <c r="H877" s="1661"/>
      <c r="I877" s="1661"/>
      <c r="J877" s="1663">
        <v>2210800</v>
      </c>
      <c r="K877" s="1664" t="s">
        <v>42</v>
      </c>
      <c r="L877" s="1665">
        <v>1850000</v>
      </c>
      <c r="N877" s="1665">
        <f t="shared" si="13"/>
        <v>0</v>
      </c>
    </row>
    <row r="878" spans="2:14">
      <c r="B878" s="1662"/>
      <c r="C878" s="1662"/>
      <c r="D878" s="1538">
        <v>2210801</v>
      </c>
      <c r="E878" s="1539" t="s">
        <v>195</v>
      </c>
      <c r="F878" s="1669">
        <v>850000</v>
      </c>
      <c r="H878" s="1662"/>
      <c r="I878" s="1662"/>
      <c r="J878" s="1538">
        <v>2210801</v>
      </c>
      <c r="K878" s="1539" t="s">
        <v>195</v>
      </c>
      <c r="L878" s="1669">
        <v>850000</v>
      </c>
      <c r="N878" s="1669">
        <f t="shared" si="13"/>
        <v>0</v>
      </c>
    </row>
    <row r="879" spans="2:14">
      <c r="B879" s="85"/>
      <c r="C879" s="85"/>
      <c r="D879" s="1538">
        <v>2210802</v>
      </c>
      <c r="E879" s="1539" t="s">
        <v>97</v>
      </c>
      <c r="F879" s="1669">
        <v>250000</v>
      </c>
      <c r="H879" s="85"/>
      <c r="I879" s="85"/>
      <c r="J879" s="1538">
        <v>2210802</v>
      </c>
      <c r="K879" s="1539" t="s">
        <v>97</v>
      </c>
      <c r="L879" s="1669">
        <v>250000</v>
      </c>
      <c r="N879" s="1669">
        <f t="shared" si="13"/>
        <v>0</v>
      </c>
    </row>
    <row r="880" spans="2:14">
      <c r="B880" s="1661"/>
      <c r="C880" s="1661"/>
      <c r="D880" s="19" t="s">
        <v>1243</v>
      </c>
      <c r="E880" s="20" t="s">
        <v>1244</v>
      </c>
      <c r="F880" s="1669">
        <v>750000</v>
      </c>
      <c r="H880" s="1661"/>
      <c r="I880" s="1661"/>
      <c r="J880" s="19" t="s">
        <v>1243</v>
      </c>
      <c r="K880" s="20" t="s">
        <v>1244</v>
      </c>
      <c r="L880" s="1669">
        <v>750000</v>
      </c>
      <c r="N880" s="1669">
        <f t="shared" si="13"/>
        <v>0</v>
      </c>
    </row>
    <row r="881" spans="2:14">
      <c r="B881" s="85"/>
      <c r="C881" s="85"/>
      <c r="D881" s="1663">
        <v>2211000</v>
      </c>
      <c r="E881" s="1664" t="s">
        <v>118</v>
      </c>
      <c r="F881" s="1665">
        <v>127600.00000000001</v>
      </c>
      <c r="H881" s="85"/>
      <c r="I881" s="85"/>
      <c r="J881" s="1663">
        <v>2211000</v>
      </c>
      <c r="K881" s="1664" t="s">
        <v>118</v>
      </c>
      <c r="L881" s="1665">
        <v>127600.00000000001</v>
      </c>
      <c r="N881" s="1665">
        <f t="shared" si="13"/>
        <v>0</v>
      </c>
    </row>
    <row r="882" spans="2:14">
      <c r="B882" s="1662"/>
      <c r="C882" s="1662"/>
      <c r="D882" s="1538">
        <v>2211016</v>
      </c>
      <c r="E882" s="1539" t="s">
        <v>196</v>
      </c>
      <c r="F882" s="1669">
        <v>127600.00000000001</v>
      </c>
      <c r="H882" s="1662"/>
      <c r="I882" s="1662"/>
      <c r="J882" s="1538">
        <v>2211016</v>
      </c>
      <c r="K882" s="1539" t="s">
        <v>196</v>
      </c>
      <c r="L882" s="1669">
        <v>127600.00000000001</v>
      </c>
      <c r="N882" s="1669">
        <f t="shared" si="13"/>
        <v>0</v>
      </c>
    </row>
    <row r="883" spans="2:14">
      <c r="B883" s="1661"/>
      <c r="C883" s="1661"/>
      <c r="D883" s="1663">
        <v>2211100</v>
      </c>
      <c r="E883" s="1664" t="s">
        <v>51</v>
      </c>
      <c r="F883" s="1665">
        <v>920345.34</v>
      </c>
      <c r="H883" s="1661"/>
      <c r="I883" s="1661"/>
      <c r="J883" s="1663">
        <v>2211100</v>
      </c>
      <c r="K883" s="1664" t="s">
        <v>51</v>
      </c>
      <c r="L883" s="1665">
        <v>920345.34</v>
      </c>
      <c r="N883" s="1665">
        <f t="shared" si="13"/>
        <v>0</v>
      </c>
    </row>
    <row r="884" spans="2:14" ht="30">
      <c r="B884" s="1661"/>
      <c r="C884" s="1661"/>
      <c r="D884" s="1538">
        <v>2211101</v>
      </c>
      <c r="E884" s="86" t="s">
        <v>197</v>
      </c>
      <c r="F884" s="1669">
        <v>350000</v>
      </c>
      <c r="H884" s="1661"/>
      <c r="I884" s="1661"/>
      <c r="J884" s="1538">
        <v>2211101</v>
      </c>
      <c r="K884" s="86" t="s">
        <v>197</v>
      </c>
      <c r="L884" s="1669">
        <v>350000</v>
      </c>
      <c r="N884" s="1669">
        <f t="shared" si="13"/>
        <v>0</v>
      </c>
    </row>
    <row r="885" spans="2:14">
      <c r="B885" s="1662"/>
      <c r="C885" s="1662"/>
      <c r="D885" s="1538">
        <v>2211102</v>
      </c>
      <c r="E885" s="1539" t="s">
        <v>53</v>
      </c>
      <c r="F885" s="1669">
        <v>220345.34</v>
      </c>
      <c r="H885" s="1662"/>
      <c r="I885" s="1662"/>
      <c r="J885" s="1538">
        <v>2211102</v>
      </c>
      <c r="K885" s="1539" t="s">
        <v>53</v>
      </c>
      <c r="L885" s="1669">
        <v>220345.34</v>
      </c>
      <c r="N885" s="1669">
        <f t="shared" si="13"/>
        <v>0</v>
      </c>
    </row>
    <row r="886" spans="2:14">
      <c r="B886" s="1661"/>
      <c r="C886" s="1661"/>
      <c r="D886" s="1538">
        <v>2211103</v>
      </c>
      <c r="E886" s="1539" t="s">
        <v>54</v>
      </c>
      <c r="F886" s="1669">
        <v>350000</v>
      </c>
      <c r="H886" s="1661"/>
      <c r="I886" s="1661"/>
      <c r="J886" s="1538">
        <v>2211103</v>
      </c>
      <c r="K886" s="1539" t="s">
        <v>54</v>
      </c>
      <c r="L886" s="1669">
        <v>350000</v>
      </c>
      <c r="N886" s="1669">
        <f t="shared" si="13"/>
        <v>0</v>
      </c>
    </row>
    <row r="887" spans="2:14">
      <c r="B887" s="1662"/>
      <c r="C887" s="1662"/>
      <c r="D887" s="1663">
        <v>2211200</v>
      </c>
      <c r="E887" s="1664" t="s">
        <v>55</v>
      </c>
      <c r="F887" s="1665">
        <v>2500000</v>
      </c>
      <c r="H887" s="1662"/>
      <c r="I887" s="1662"/>
      <c r="J887" s="1663">
        <v>2211200</v>
      </c>
      <c r="K887" s="1664" t="s">
        <v>55</v>
      </c>
      <c r="L887" s="1665">
        <v>2500000</v>
      </c>
      <c r="N887" s="1665">
        <f t="shared" si="13"/>
        <v>0</v>
      </c>
    </row>
    <row r="888" spans="2:14">
      <c r="B888" s="1661"/>
      <c r="C888" s="1661"/>
      <c r="D888" s="1538">
        <v>2211201</v>
      </c>
      <c r="E888" s="1539" t="s">
        <v>56</v>
      </c>
      <c r="F888" s="1669">
        <v>1500000</v>
      </c>
      <c r="H888" s="1661"/>
      <c r="I888" s="1661"/>
      <c r="J888" s="1538">
        <v>2211201</v>
      </c>
      <c r="K888" s="1539" t="s">
        <v>56</v>
      </c>
      <c r="L888" s="1669">
        <v>1500000</v>
      </c>
      <c r="N888" s="1669">
        <f t="shared" si="13"/>
        <v>0</v>
      </c>
    </row>
    <row r="889" spans="2:14">
      <c r="B889" s="1661"/>
      <c r="C889" s="1661"/>
      <c r="D889" s="19" t="s">
        <v>247</v>
      </c>
      <c r="E889" s="20" t="s">
        <v>248</v>
      </c>
      <c r="F889" s="1669">
        <v>1000000</v>
      </c>
      <c r="H889" s="1661"/>
      <c r="I889" s="1661"/>
      <c r="J889" s="19" t="s">
        <v>247</v>
      </c>
      <c r="K889" s="20" t="s">
        <v>248</v>
      </c>
      <c r="L889" s="1669">
        <v>1000000</v>
      </c>
      <c r="N889" s="1669">
        <f t="shared" si="13"/>
        <v>0</v>
      </c>
    </row>
    <row r="890" spans="2:14" ht="30">
      <c r="B890" s="1661"/>
      <c r="C890" s="1661"/>
      <c r="D890" s="1663">
        <v>2220100</v>
      </c>
      <c r="E890" s="1664" t="s">
        <v>199</v>
      </c>
      <c r="F890" s="1665">
        <v>850000</v>
      </c>
      <c r="H890" s="1661"/>
      <c r="I890" s="1661"/>
      <c r="J890" s="1663">
        <v>2220100</v>
      </c>
      <c r="K890" s="1664" t="s">
        <v>199</v>
      </c>
      <c r="L890" s="1665">
        <v>850000</v>
      </c>
      <c r="N890" s="1665">
        <f t="shared" si="13"/>
        <v>0</v>
      </c>
    </row>
    <row r="891" spans="2:14">
      <c r="B891" s="1662"/>
      <c r="C891" s="1662"/>
      <c r="D891" s="1538">
        <v>2220101</v>
      </c>
      <c r="E891" s="1539" t="s">
        <v>200</v>
      </c>
      <c r="F891" s="1669">
        <v>600000</v>
      </c>
      <c r="H891" s="1662"/>
      <c r="I891" s="1662"/>
      <c r="J891" s="1538">
        <v>2220101</v>
      </c>
      <c r="K891" s="1539" t="s">
        <v>200</v>
      </c>
      <c r="L891" s="1669">
        <v>600000</v>
      </c>
      <c r="N891" s="1669">
        <f t="shared" si="13"/>
        <v>0</v>
      </c>
    </row>
    <row r="892" spans="2:14">
      <c r="B892" s="1661"/>
      <c r="C892" s="1661"/>
      <c r="D892" s="61">
        <v>2220105</v>
      </c>
      <c r="E892" s="86" t="s">
        <v>64</v>
      </c>
      <c r="F892" s="1669">
        <v>250000</v>
      </c>
      <c r="H892" s="1661"/>
      <c r="I892" s="1661"/>
      <c r="J892" s="61">
        <v>2220105</v>
      </c>
      <c r="K892" s="86" t="s">
        <v>64</v>
      </c>
      <c r="L892" s="1669">
        <v>250000</v>
      </c>
      <c r="N892" s="1669">
        <f t="shared" si="13"/>
        <v>0</v>
      </c>
    </row>
    <row r="893" spans="2:14">
      <c r="B893" s="1662"/>
      <c r="C893" s="1662"/>
      <c r="D893" s="1663">
        <v>2220200</v>
      </c>
      <c r="E893" s="1664" t="s">
        <v>124</v>
      </c>
      <c r="F893" s="1665">
        <v>1180000</v>
      </c>
      <c r="H893" s="1662"/>
      <c r="I893" s="1662"/>
      <c r="J893" s="1663">
        <v>2220200</v>
      </c>
      <c r="K893" s="1664" t="s">
        <v>124</v>
      </c>
      <c r="L893" s="1665">
        <v>1180000</v>
      </c>
      <c r="N893" s="1665">
        <f t="shared" si="13"/>
        <v>0</v>
      </c>
    </row>
    <row r="894" spans="2:14">
      <c r="B894" s="1661"/>
      <c r="C894" s="1661"/>
      <c r="D894" s="19">
        <v>2220202</v>
      </c>
      <c r="E894" s="20" t="s">
        <v>87</v>
      </c>
      <c r="F894" s="1669">
        <v>350000</v>
      </c>
      <c r="H894" s="1661"/>
      <c r="I894" s="1661"/>
      <c r="J894" s="19">
        <v>2220202</v>
      </c>
      <c r="K894" s="20" t="s">
        <v>87</v>
      </c>
      <c r="L894" s="1669">
        <v>350000</v>
      </c>
      <c r="N894" s="1669">
        <f t="shared" si="13"/>
        <v>0</v>
      </c>
    </row>
    <row r="895" spans="2:14">
      <c r="B895" s="1661"/>
      <c r="C895" s="1661"/>
      <c r="D895" s="19">
        <v>2220205</v>
      </c>
      <c r="E895" s="20" t="s">
        <v>125</v>
      </c>
      <c r="F895" s="1669">
        <v>700000</v>
      </c>
      <c r="H895" s="1661"/>
      <c r="I895" s="1661"/>
      <c r="J895" s="19">
        <v>2220205</v>
      </c>
      <c r="K895" s="20" t="s">
        <v>125</v>
      </c>
      <c r="L895" s="1669">
        <v>700000</v>
      </c>
      <c r="N895" s="1669">
        <f t="shared" si="13"/>
        <v>0</v>
      </c>
    </row>
    <row r="896" spans="2:14">
      <c r="B896" s="1662"/>
      <c r="C896" s="1662"/>
      <c r="D896" s="1538">
        <v>2220210</v>
      </c>
      <c r="E896" s="1539" t="s">
        <v>163</v>
      </c>
      <c r="F896" s="1669">
        <v>130000</v>
      </c>
      <c r="H896" s="1662"/>
      <c r="I896" s="1662"/>
      <c r="J896" s="1538">
        <v>2220210</v>
      </c>
      <c r="K896" s="1539" t="s">
        <v>163</v>
      </c>
      <c r="L896" s="1669">
        <v>130000</v>
      </c>
      <c r="N896" s="1669">
        <f t="shared" si="13"/>
        <v>0</v>
      </c>
    </row>
    <row r="897" spans="2:14">
      <c r="B897" s="1661"/>
      <c r="C897" s="1661"/>
      <c r="D897" s="1671">
        <v>3111000</v>
      </c>
      <c r="E897" s="1664" t="s">
        <v>69</v>
      </c>
      <c r="F897" s="1665">
        <v>870000</v>
      </c>
      <c r="H897" s="1661"/>
      <c r="I897" s="1661"/>
      <c r="J897" s="1671">
        <v>3111000</v>
      </c>
      <c r="K897" s="1664" t="s">
        <v>69</v>
      </c>
      <c r="L897" s="1665">
        <v>870000</v>
      </c>
      <c r="N897" s="1665">
        <f t="shared" si="13"/>
        <v>0</v>
      </c>
    </row>
    <row r="898" spans="2:14">
      <c r="B898" s="1662"/>
      <c r="C898" s="1662"/>
      <c r="D898" s="61">
        <v>3111001</v>
      </c>
      <c r="E898" s="86" t="s">
        <v>234</v>
      </c>
      <c r="F898" s="1669">
        <v>600000</v>
      </c>
      <c r="H898" s="1662"/>
      <c r="I898" s="1662"/>
      <c r="J898" s="61">
        <v>3111001</v>
      </c>
      <c r="K898" s="86" t="s">
        <v>234</v>
      </c>
      <c r="L898" s="1669">
        <v>600000</v>
      </c>
      <c r="N898" s="1669">
        <f t="shared" si="13"/>
        <v>0</v>
      </c>
    </row>
    <row r="899" spans="2:14">
      <c r="B899" s="1661"/>
      <c r="C899" s="1661"/>
      <c r="D899" s="19">
        <v>3111002</v>
      </c>
      <c r="E899" s="20" t="s">
        <v>71</v>
      </c>
      <c r="F899" s="1669">
        <v>220000</v>
      </c>
      <c r="H899" s="1661"/>
      <c r="I899" s="1661"/>
      <c r="J899" s="19">
        <v>3111002</v>
      </c>
      <c r="K899" s="20" t="s">
        <v>71</v>
      </c>
      <c r="L899" s="1669">
        <v>220000</v>
      </c>
      <c r="N899" s="1669">
        <f t="shared" si="13"/>
        <v>0</v>
      </c>
    </row>
    <row r="900" spans="2:14">
      <c r="B900" s="25"/>
      <c r="C900" s="25"/>
      <c r="D900" s="19">
        <v>3111009</v>
      </c>
      <c r="E900" s="20" t="s">
        <v>253</v>
      </c>
      <c r="F900" s="1669">
        <v>50000</v>
      </c>
      <c r="H900" s="25"/>
      <c r="I900" s="25"/>
      <c r="J900" s="19">
        <v>3111009</v>
      </c>
      <c r="K900" s="20" t="s">
        <v>253</v>
      </c>
      <c r="L900" s="1669">
        <v>50000</v>
      </c>
      <c r="N900" s="1669">
        <f t="shared" si="13"/>
        <v>0</v>
      </c>
    </row>
    <row r="901" spans="2:14">
      <c r="B901" s="25"/>
      <c r="C901" s="25"/>
      <c r="D901" s="1535"/>
      <c r="E901" s="1536"/>
      <c r="F901" s="1665">
        <v>0</v>
      </c>
      <c r="H901" s="25"/>
      <c r="I901" s="25"/>
      <c r="J901" s="1535"/>
      <c r="K901" s="1536"/>
      <c r="L901" s="1665">
        <v>0</v>
      </c>
      <c r="N901" s="1665">
        <f t="shared" si="13"/>
        <v>0</v>
      </c>
    </row>
    <row r="902" spans="2:14">
      <c r="B902" s="1662"/>
      <c r="C902" s="1662"/>
      <c r="D902" s="1538"/>
      <c r="E902" s="1539"/>
      <c r="F902" s="1669">
        <v>0</v>
      </c>
      <c r="H902" s="1662"/>
      <c r="I902" s="1662"/>
      <c r="J902" s="1538"/>
      <c r="K902" s="1539"/>
      <c r="L902" s="1669">
        <v>0</v>
      </c>
      <c r="N902" s="1669">
        <f t="shared" si="13"/>
        <v>0</v>
      </c>
    </row>
    <row r="903" spans="2:14">
      <c r="B903" s="1661"/>
      <c r="C903" s="1661"/>
      <c r="D903" s="1672" t="s">
        <v>201</v>
      </c>
      <c r="E903" s="1673"/>
      <c r="F903" s="1674">
        <v>25740142.002</v>
      </c>
      <c r="H903" s="1661"/>
      <c r="I903" s="1661"/>
      <c r="J903" s="1672" t="s">
        <v>201</v>
      </c>
      <c r="K903" s="1673"/>
      <c r="L903" s="1674">
        <v>25740142.002</v>
      </c>
      <c r="N903" s="1674">
        <f t="shared" si="13"/>
        <v>0</v>
      </c>
    </row>
    <row r="904" spans="2:14">
      <c r="B904" s="1661"/>
      <c r="C904" s="1661"/>
      <c r="D904" s="1535" t="s">
        <v>202</v>
      </c>
      <c r="E904" s="1675"/>
      <c r="F904" s="1674">
        <v>25740142.002</v>
      </c>
      <c r="H904" s="1661"/>
      <c r="I904" s="1661"/>
      <c r="J904" s="1535" t="s">
        <v>202</v>
      </c>
      <c r="K904" s="1675"/>
      <c r="L904" s="1674">
        <v>25740142.002</v>
      </c>
      <c r="N904" s="1674">
        <f t="shared" ref="N904:N967" si="14">F904-L904</f>
        <v>0</v>
      </c>
    </row>
    <row r="905" spans="2:14">
      <c r="B905" s="1676"/>
      <c r="C905" s="1676"/>
      <c r="D905" s="1677"/>
      <c r="E905" s="1678"/>
      <c r="F905" s="1679"/>
      <c r="H905" s="1676"/>
      <c r="I905" s="1676"/>
      <c r="J905" s="1677"/>
      <c r="K905" s="1678"/>
      <c r="L905" s="1679"/>
      <c r="N905" s="1679">
        <f t="shared" si="14"/>
        <v>0</v>
      </c>
    </row>
    <row r="906" spans="2:14">
      <c r="B906" s="92"/>
      <c r="C906" s="92"/>
      <c r="D906" s="1671" t="s">
        <v>203</v>
      </c>
      <c r="E906" s="1680"/>
      <c r="F906" s="174"/>
      <c r="H906" s="92"/>
      <c r="I906" s="92"/>
      <c r="J906" s="1671" t="s">
        <v>203</v>
      </c>
      <c r="K906" s="1680"/>
      <c r="L906" s="174"/>
      <c r="N906" s="174">
        <f t="shared" si="14"/>
        <v>0</v>
      </c>
    </row>
    <row r="907" spans="2:14">
      <c r="B907" s="1676"/>
      <c r="C907" s="1676" t="s">
        <v>146</v>
      </c>
      <c r="D907" s="1671" t="s">
        <v>204</v>
      </c>
      <c r="E907" s="1680"/>
      <c r="F907" s="1679"/>
      <c r="H907" s="1676"/>
      <c r="I907" s="1676" t="s">
        <v>146</v>
      </c>
      <c r="J907" s="1671" t="s">
        <v>204</v>
      </c>
      <c r="K907" s="1680"/>
      <c r="L907" s="1679"/>
      <c r="N907" s="1679">
        <f t="shared" si="14"/>
        <v>0</v>
      </c>
    </row>
    <row r="908" spans="2:14">
      <c r="B908" s="1681"/>
      <c r="C908" s="1681"/>
      <c r="D908" s="1671">
        <v>2110100</v>
      </c>
      <c r="E908" s="1515" t="s">
        <v>205</v>
      </c>
      <c r="F908" s="1665">
        <v>16113003.67</v>
      </c>
      <c r="H908" s="1681"/>
      <c r="I908" s="1681"/>
      <c r="J908" s="1671">
        <v>2110100</v>
      </c>
      <c r="K908" s="1515" t="s">
        <v>205</v>
      </c>
      <c r="L908" s="1665">
        <v>16113003.67</v>
      </c>
      <c r="N908" s="1665">
        <f t="shared" si="14"/>
        <v>0</v>
      </c>
    </row>
    <row r="909" spans="2:14">
      <c r="B909" s="92" t="s">
        <v>144</v>
      </c>
      <c r="C909" s="92"/>
      <c r="D909" s="61">
        <v>2110101</v>
      </c>
      <c r="E909" s="86" t="s">
        <v>206</v>
      </c>
      <c r="F909" s="1669">
        <v>16113003.67</v>
      </c>
      <c r="H909" s="92" t="s">
        <v>144</v>
      </c>
      <c r="I909" s="92"/>
      <c r="J909" s="61">
        <v>2110101</v>
      </c>
      <c r="K909" s="86" t="s">
        <v>206</v>
      </c>
      <c r="L909" s="1669">
        <v>16113003.67</v>
      </c>
      <c r="N909" s="1669">
        <f t="shared" si="14"/>
        <v>0</v>
      </c>
    </row>
    <row r="910" spans="2:14">
      <c r="B910" s="1681"/>
      <c r="C910" s="1681"/>
      <c r="D910" s="1671">
        <v>2210100</v>
      </c>
      <c r="E910" s="1515" t="s">
        <v>207</v>
      </c>
      <c r="F910" s="1665">
        <v>395000</v>
      </c>
      <c r="H910" s="1681"/>
      <c r="I910" s="1681"/>
      <c r="J910" s="1671">
        <v>2210100</v>
      </c>
      <c r="K910" s="1515" t="s">
        <v>207</v>
      </c>
      <c r="L910" s="1665">
        <v>395000</v>
      </c>
      <c r="N910" s="1665">
        <f t="shared" si="14"/>
        <v>0</v>
      </c>
    </row>
    <row r="911" spans="2:14">
      <c r="B911" s="92"/>
      <c r="C911" s="92"/>
      <c r="D911" s="61">
        <v>2210101</v>
      </c>
      <c r="E911" s="86" t="s">
        <v>17</v>
      </c>
      <c r="F911" s="1669">
        <v>230000</v>
      </c>
      <c r="H911" s="92"/>
      <c r="I911" s="92"/>
      <c r="J911" s="61">
        <v>2210101</v>
      </c>
      <c r="K911" s="86" t="s">
        <v>17</v>
      </c>
      <c r="L911" s="1669">
        <v>230000</v>
      </c>
      <c r="N911" s="1669">
        <f t="shared" si="14"/>
        <v>0</v>
      </c>
    </row>
    <row r="912" spans="2:14">
      <c r="B912" s="92"/>
      <c r="C912" s="92"/>
      <c r="D912" s="61">
        <v>2210102</v>
      </c>
      <c r="E912" s="86" t="s">
        <v>18</v>
      </c>
      <c r="F912" s="1669">
        <v>165000</v>
      </c>
      <c r="H912" s="92"/>
      <c r="I912" s="92"/>
      <c r="J912" s="61">
        <v>2210102</v>
      </c>
      <c r="K912" s="86" t="s">
        <v>18</v>
      </c>
      <c r="L912" s="1669">
        <v>165000</v>
      </c>
      <c r="N912" s="1669">
        <f t="shared" si="14"/>
        <v>0</v>
      </c>
    </row>
    <row r="913" spans="2:14">
      <c r="B913" s="1681"/>
      <c r="C913" s="1681"/>
      <c r="D913" s="1671">
        <v>2210200</v>
      </c>
      <c r="E913" s="1515" t="s">
        <v>20</v>
      </c>
      <c r="F913" s="1665">
        <v>190000</v>
      </c>
      <c r="H913" s="1681"/>
      <c r="I913" s="1681"/>
      <c r="J913" s="1671">
        <v>2210200</v>
      </c>
      <c r="K913" s="1515" t="s">
        <v>20</v>
      </c>
      <c r="L913" s="1665">
        <v>190000</v>
      </c>
      <c r="N913" s="1665">
        <f t="shared" si="14"/>
        <v>0</v>
      </c>
    </row>
    <row r="914" spans="2:14">
      <c r="B914" s="92"/>
      <c r="C914" s="92"/>
      <c r="D914" s="61">
        <v>2210201</v>
      </c>
      <c r="E914" s="86" t="s">
        <v>187</v>
      </c>
      <c r="F914" s="1669">
        <v>90000</v>
      </c>
      <c r="H914" s="92"/>
      <c r="I914" s="92"/>
      <c r="J914" s="61">
        <v>2210201</v>
      </c>
      <c r="K914" s="86" t="s">
        <v>187</v>
      </c>
      <c r="L914" s="1669">
        <v>90000</v>
      </c>
      <c r="N914" s="1669">
        <f t="shared" si="14"/>
        <v>0</v>
      </c>
    </row>
    <row r="915" spans="2:14">
      <c r="B915" s="92"/>
      <c r="C915" s="92"/>
      <c r="D915" s="19">
        <v>2210202</v>
      </c>
      <c r="E915" s="20" t="s">
        <v>22</v>
      </c>
      <c r="F915" s="1669">
        <v>100000</v>
      </c>
      <c r="H915" s="92"/>
      <c r="I915" s="92"/>
      <c r="J915" s="19">
        <v>2210202</v>
      </c>
      <c r="K915" s="20" t="s">
        <v>22</v>
      </c>
      <c r="L915" s="1669">
        <v>100000</v>
      </c>
      <c r="N915" s="1669">
        <f t="shared" si="14"/>
        <v>0</v>
      </c>
    </row>
    <row r="916" spans="2:14">
      <c r="B916" s="1681"/>
      <c r="C916" s="1681"/>
      <c r="D916" s="1671">
        <v>2210300</v>
      </c>
      <c r="E916" s="1515" t="s">
        <v>24</v>
      </c>
      <c r="F916" s="1665">
        <v>1565600</v>
      </c>
      <c r="H916" s="1681"/>
      <c r="I916" s="1681"/>
      <c r="J916" s="1671">
        <v>2210300</v>
      </c>
      <c r="K916" s="1515" t="s">
        <v>24</v>
      </c>
      <c r="L916" s="1665">
        <v>1565600</v>
      </c>
      <c r="N916" s="1665">
        <f t="shared" si="14"/>
        <v>0</v>
      </c>
    </row>
    <row r="917" spans="2:14">
      <c r="B917" s="92"/>
      <c r="C917" s="92"/>
      <c r="D917" s="61">
        <v>2210302</v>
      </c>
      <c r="E917" s="86" t="s">
        <v>26</v>
      </c>
      <c r="F917" s="1669">
        <v>550000</v>
      </c>
      <c r="H917" s="92"/>
      <c r="I917" s="92"/>
      <c r="J917" s="61">
        <v>2210302</v>
      </c>
      <c r="K917" s="86" t="s">
        <v>26</v>
      </c>
      <c r="L917" s="1669">
        <v>550000</v>
      </c>
      <c r="N917" s="1669">
        <f t="shared" si="14"/>
        <v>0</v>
      </c>
    </row>
    <row r="918" spans="2:14">
      <c r="B918" s="92"/>
      <c r="C918" s="92"/>
      <c r="D918" s="61">
        <v>2210303</v>
      </c>
      <c r="E918" s="1532" t="s">
        <v>27</v>
      </c>
      <c r="F918" s="1669">
        <v>215600</v>
      </c>
      <c r="H918" s="92"/>
      <c r="I918" s="92"/>
      <c r="J918" s="61">
        <v>2210303</v>
      </c>
      <c r="K918" s="1532" t="s">
        <v>27</v>
      </c>
      <c r="L918" s="1669">
        <v>215600</v>
      </c>
      <c r="N918" s="1669">
        <f t="shared" si="14"/>
        <v>0</v>
      </c>
    </row>
    <row r="919" spans="2:14">
      <c r="B919" s="1681"/>
      <c r="C919" s="1681"/>
      <c r="D919" s="61">
        <v>2210304</v>
      </c>
      <c r="E919" s="86" t="s">
        <v>28</v>
      </c>
      <c r="F919" s="1669">
        <v>200000</v>
      </c>
      <c r="H919" s="1681"/>
      <c r="I919" s="1681"/>
      <c r="J919" s="61">
        <v>2210304</v>
      </c>
      <c r="K919" s="86" t="s">
        <v>28</v>
      </c>
      <c r="L919" s="1669">
        <v>200000</v>
      </c>
      <c r="N919" s="1669">
        <f t="shared" si="14"/>
        <v>0</v>
      </c>
    </row>
    <row r="920" spans="2:14">
      <c r="B920" s="92"/>
      <c r="C920" s="92"/>
      <c r="D920" s="61">
        <v>2210310</v>
      </c>
      <c r="E920" s="1532" t="s">
        <v>208</v>
      </c>
      <c r="F920" s="1669">
        <v>600000</v>
      </c>
      <c r="H920" s="92"/>
      <c r="I920" s="92"/>
      <c r="J920" s="61">
        <v>2210310</v>
      </c>
      <c r="K920" s="1532" t="s">
        <v>208</v>
      </c>
      <c r="L920" s="1669">
        <v>600000</v>
      </c>
      <c r="N920" s="1669">
        <f t="shared" si="14"/>
        <v>0</v>
      </c>
    </row>
    <row r="921" spans="2:14">
      <c r="B921" s="1681"/>
      <c r="C921" s="1681"/>
      <c r="D921" s="1663">
        <v>2210500</v>
      </c>
      <c r="E921" s="1664" t="s">
        <v>31</v>
      </c>
      <c r="F921" s="1665">
        <v>700000</v>
      </c>
      <c r="H921" s="1681"/>
      <c r="I921" s="1681"/>
      <c r="J921" s="1663">
        <v>2210500</v>
      </c>
      <c r="K921" s="1664" t="s">
        <v>31</v>
      </c>
      <c r="L921" s="1665">
        <v>700000</v>
      </c>
      <c r="N921" s="1665">
        <f t="shared" si="14"/>
        <v>0</v>
      </c>
    </row>
    <row r="922" spans="2:14">
      <c r="B922" s="92"/>
      <c r="C922" s="92"/>
      <c r="D922" s="1538">
        <v>2210505</v>
      </c>
      <c r="E922" s="1539" t="s">
        <v>192</v>
      </c>
      <c r="F922" s="1669">
        <v>700000</v>
      </c>
      <c r="H922" s="92"/>
      <c r="I922" s="92"/>
      <c r="J922" s="1538">
        <v>2210505</v>
      </c>
      <c r="K922" s="1539" t="s">
        <v>192</v>
      </c>
      <c r="L922" s="1669">
        <v>700000</v>
      </c>
      <c r="N922" s="1669">
        <f t="shared" si="14"/>
        <v>0</v>
      </c>
    </row>
    <row r="923" spans="2:14">
      <c r="B923" s="92"/>
      <c r="C923" s="92"/>
      <c r="D923" s="1671">
        <v>2210700</v>
      </c>
      <c r="E923" s="1533" t="s">
        <v>209</v>
      </c>
      <c r="F923" s="1665">
        <v>1514400</v>
      </c>
      <c r="H923" s="92"/>
      <c r="I923" s="92"/>
      <c r="J923" s="1671">
        <v>2210700</v>
      </c>
      <c r="K923" s="1533" t="s">
        <v>209</v>
      </c>
      <c r="L923" s="1665">
        <v>1514400</v>
      </c>
      <c r="N923" s="1665">
        <f t="shared" si="14"/>
        <v>0</v>
      </c>
    </row>
    <row r="924" spans="2:14">
      <c r="B924" s="92"/>
      <c r="C924" s="92"/>
      <c r="D924" s="19">
        <v>2210701</v>
      </c>
      <c r="E924" s="20" t="s">
        <v>36</v>
      </c>
      <c r="F924" s="1669">
        <v>180420</v>
      </c>
      <c r="H924" s="92"/>
      <c r="I924" s="92"/>
      <c r="J924" s="19">
        <v>2210701</v>
      </c>
      <c r="K924" s="20" t="s">
        <v>36</v>
      </c>
      <c r="L924" s="1669">
        <v>180420</v>
      </c>
      <c r="N924" s="1669">
        <f t="shared" si="14"/>
        <v>0</v>
      </c>
    </row>
    <row r="925" spans="2:14">
      <c r="B925" s="1681"/>
      <c r="C925" s="1681"/>
      <c r="D925" s="61">
        <v>2210702</v>
      </c>
      <c r="E925" s="20" t="s">
        <v>95</v>
      </c>
      <c r="F925" s="1669">
        <v>250000</v>
      </c>
      <c r="H925" s="1681"/>
      <c r="I925" s="1681"/>
      <c r="J925" s="61">
        <v>2210702</v>
      </c>
      <c r="K925" s="20" t="s">
        <v>95</v>
      </c>
      <c r="L925" s="1669">
        <v>250000</v>
      </c>
      <c r="N925" s="1669">
        <f t="shared" si="14"/>
        <v>0</v>
      </c>
    </row>
    <row r="926" spans="2:14">
      <c r="B926" s="1682"/>
      <c r="C926" s="1682"/>
      <c r="D926" s="19">
        <v>2210703</v>
      </c>
      <c r="E926" s="20" t="s">
        <v>107</v>
      </c>
      <c r="F926" s="1669">
        <v>150000</v>
      </c>
      <c r="H926" s="1682"/>
      <c r="I926" s="1682"/>
      <c r="J926" s="19">
        <v>2210703</v>
      </c>
      <c r="K926" s="20" t="s">
        <v>107</v>
      </c>
      <c r="L926" s="1669">
        <v>150000</v>
      </c>
      <c r="N926" s="1669">
        <f t="shared" si="14"/>
        <v>0</v>
      </c>
    </row>
    <row r="927" spans="2:14">
      <c r="B927" s="1682"/>
      <c r="C927" s="1682"/>
      <c r="D927" s="19">
        <v>2210704</v>
      </c>
      <c r="E927" s="20" t="s">
        <v>38</v>
      </c>
      <c r="F927" s="1669">
        <v>75000</v>
      </c>
      <c r="H927" s="1682"/>
      <c r="I927" s="1682"/>
      <c r="J927" s="19">
        <v>2210704</v>
      </c>
      <c r="K927" s="20" t="s">
        <v>38</v>
      </c>
      <c r="L927" s="1669">
        <v>75000</v>
      </c>
      <c r="N927" s="1669">
        <f t="shared" si="14"/>
        <v>0</v>
      </c>
    </row>
    <row r="928" spans="2:14">
      <c r="B928" s="92"/>
      <c r="C928" s="92"/>
      <c r="D928" s="19">
        <v>2210710</v>
      </c>
      <c r="E928" s="20" t="s">
        <v>39</v>
      </c>
      <c r="F928" s="1669">
        <v>80000</v>
      </c>
      <c r="H928" s="92"/>
      <c r="I928" s="92"/>
      <c r="J928" s="19">
        <v>2210710</v>
      </c>
      <c r="K928" s="20" t="s">
        <v>39</v>
      </c>
      <c r="L928" s="1669">
        <v>80000</v>
      </c>
      <c r="N928" s="1669">
        <f t="shared" si="14"/>
        <v>0</v>
      </c>
    </row>
    <row r="929" spans="2:14">
      <c r="B929" s="1681"/>
      <c r="C929" s="1681"/>
      <c r="D929" s="19" t="s">
        <v>1240</v>
      </c>
      <c r="E929" s="20" t="s">
        <v>1516</v>
      </c>
      <c r="F929" s="1669">
        <v>95000</v>
      </c>
      <c r="H929" s="1681"/>
      <c r="I929" s="1681"/>
      <c r="J929" s="19" t="s">
        <v>1240</v>
      </c>
      <c r="K929" s="20" t="s">
        <v>1516</v>
      </c>
      <c r="L929" s="1669">
        <v>95000</v>
      </c>
      <c r="N929" s="1669">
        <f t="shared" si="14"/>
        <v>0</v>
      </c>
    </row>
    <row r="930" spans="2:14">
      <c r="B930" s="1681"/>
      <c r="C930" s="1681"/>
      <c r="D930" s="61">
        <v>2210715</v>
      </c>
      <c r="E930" s="20" t="s">
        <v>40</v>
      </c>
      <c r="F930" s="1669">
        <v>233980</v>
      </c>
      <c r="H930" s="1681"/>
      <c r="I930" s="1681"/>
      <c r="J930" s="61">
        <v>2210715</v>
      </c>
      <c r="K930" s="20" t="s">
        <v>40</v>
      </c>
      <c r="L930" s="1669">
        <v>233980</v>
      </c>
      <c r="N930" s="1669">
        <f t="shared" si="14"/>
        <v>0</v>
      </c>
    </row>
    <row r="931" spans="2:14">
      <c r="B931" s="1681"/>
      <c r="C931" s="1681"/>
      <c r="D931" s="61">
        <v>2210799</v>
      </c>
      <c r="E931" s="1532" t="s">
        <v>210</v>
      </c>
      <c r="F931" s="1669">
        <v>450000</v>
      </c>
      <c r="H931" s="1681"/>
      <c r="I931" s="1681"/>
      <c r="J931" s="61">
        <v>2210799</v>
      </c>
      <c r="K931" s="1532" t="s">
        <v>210</v>
      </c>
      <c r="L931" s="1669">
        <v>450000</v>
      </c>
      <c r="N931" s="1669">
        <f t="shared" si="14"/>
        <v>0</v>
      </c>
    </row>
    <row r="932" spans="2:14">
      <c r="B932" s="1681"/>
      <c r="C932" s="1681"/>
      <c r="D932" s="1671">
        <v>2210800</v>
      </c>
      <c r="E932" s="1515" t="s">
        <v>42</v>
      </c>
      <c r="F932" s="1665">
        <v>720000</v>
      </c>
      <c r="H932" s="1681"/>
      <c r="I932" s="1681"/>
      <c r="J932" s="1671">
        <v>2210800</v>
      </c>
      <c r="K932" s="1515" t="s">
        <v>42</v>
      </c>
      <c r="L932" s="1665">
        <v>720000</v>
      </c>
      <c r="N932" s="1665">
        <f t="shared" si="14"/>
        <v>0</v>
      </c>
    </row>
    <row r="933" spans="2:14">
      <c r="B933" s="1681"/>
      <c r="C933" s="1681"/>
      <c r="D933" s="61">
        <v>2210801</v>
      </c>
      <c r="E933" s="86" t="s">
        <v>43</v>
      </c>
      <c r="F933" s="1669">
        <v>250000</v>
      </c>
      <c r="H933" s="1681"/>
      <c r="I933" s="1681"/>
      <c r="J933" s="61">
        <v>2210801</v>
      </c>
      <c r="K933" s="86" t="s">
        <v>43</v>
      </c>
      <c r="L933" s="1669">
        <v>250000</v>
      </c>
      <c r="N933" s="1669">
        <f t="shared" si="14"/>
        <v>0</v>
      </c>
    </row>
    <row r="934" spans="2:14">
      <c r="B934" s="1681"/>
      <c r="C934" s="1681"/>
      <c r="D934" s="61">
        <v>2210802</v>
      </c>
      <c r="E934" s="86" t="s">
        <v>97</v>
      </c>
      <c r="F934" s="1669">
        <v>190000</v>
      </c>
      <c r="H934" s="1681"/>
      <c r="I934" s="1681"/>
      <c r="J934" s="61">
        <v>2210802</v>
      </c>
      <c r="K934" s="86" t="s">
        <v>97</v>
      </c>
      <c r="L934" s="1669">
        <v>190000</v>
      </c>
      <c r="N934" s="1669">
        <f t="shared" si="14"/>
        <v>0</v>
      </c>
    </row>
    <row r="935" spans="2:14">
      <c r="B935" s="1681"/>
      <c r="C935" s="1681"/>
      <c r="D935" s="80">
        <v>2210805</v>
      </c>
      <c r="E935" s="86" t="s">
        <v>211</v>
      </c>
      <c r="F935" s="1669">
        <v>280000</v>
      </c>
      <c r="H935" s="1681"/>
      <c r="I935" s="1681"/>
      <c r="J935" s="80">
        <v>2210805</v>
      </c>
      <c r="K935" s="86" t="s">
        <v>211</v>
      </c>
      <c r="L935" s="1669">
        <v>280000</v>
      </c>
      <c r="N935" s="1669">
        <f t="shared" si="14"/>
        <v>0</v>
      </c>
    </row>
    <row r="936" spans="2:14">
      <c r="B936" s="1681"/>
      <c r="C936" s="1681"/>
      <c r="D936" s="1671">
        <v>2211000</v>
      </c>
      <c r="E936" s="1533" t="s">
        <v>49</v>
      </c>
      <c r="F936" s="1665">
        <v>500000</v>
      </c>
      <c r="H936" s="1681"/>
      <c r="I936" s="1681"/>
      <c r="J936" s="1671">
        <v>2211000</v>
      </c>
      <c r="K936" s="1533" t="s">
        <v>49</v>
      </c>
      <c r="L936" s="1665">
        <v>500000</v>
      </c>
      <c r="N936" s="1665">
        <f t="shared" si="14"/>
        <v>0</v>
      </c>
    </row>
    <row r="937" spans="2:14" ht="30">
      <c r="B937" s="1681"/>
      <c r="C937" s="1681"/>
      <c r="D937" s="61">
        <v>2211031</v>
      </c>
      <c r="E937" s="1532" t="s">
        <v>212</v>
      </c>
      <c r="F937" s="1669">
        <v>500000</v>
      </c>
      <c r="H937" s="1681"/>
      <c r="I937" s="1681"/>
      <c r="J937" s="61">
        <v>2211031</v>
      </c>
      <c r="K937" s="1532" t="s">
        <v>212</v>
      </c>
      <c r="L937" s="1669">
        <v>500000</v>
      </c>
      <c r="N937" s="1669">
        <f t="shared" si="14"/>
        <v>0</v>
      </c>
    </row>
    <row r="938" spans="2:14">
      <c r="B938" s="1681"/>
      <c r="C938" s="1681"/>
      <c r="D938" s="1671">
        <v>2211100</v>
      </c>
      <c r="E938" s="1515" t="s">
        <v>51</v>
      </c>
      <c r="F938" s="1665">
        <v>325000</v>
      </c>
      <c r="H938" s="1681"/>
      <c r="I938" s="1681"/>
      <c r="J938" s="1671">
        <v>2211100</v>
      </c>
      <c r="K938" s="1515" t="s">
        <v>51</v>
      </c>
      <c r="L938" s="1665">
        <v>325000</v>
      </c>
      <c r="N938" s="1665">
        <f t="shared" si="14"/>
        <v>0</v>
      </c>
    </row>
    <row r="939" spans="2:14" ht="30">
      <c r="B939" s="1681"/>
      <c r="C939" s="1681"/>
      <c r="D939" s="61">
        <v>2211101</v>
      </c>
      <c r="E939" s="86" t="s">
        <v>197</v>
      </c>
      <c r="F939" s="1669">
        <v>125000</v>
      </c>
      <c r="H939" s="1681"/>
      <c r="I939" s="1681"/>
      <c r="J939" s="61">
        <v>2211101</v>
      </c>
      <c r="K939" s="86" t="s">
        <v>197</v>
      </c>
      <c r="L939" s="1669">
        <v>125000</v>
      </c>
      <c r="N939" s="1669">
        <f t="shared" si="14"/>
        <v>0</v>
      </c>
    </row>
    <row r="940" spans="2:14">
      <c r="B940" s="1681"/>
      <c r="C940" s="1681"/>
      <c r="D940" s="61">
        <v>2211102</v>
      </c>
      <c r="E940" s="86" t="s">
        <v>213</v>
      </c>
      <c r="F940" s="1669">
        <v>200000</v>
      </c>
      <c r="H940" s="1681"/>
      <c r="I940" s="1681"/>
      <c r="J940" s="61">
        <v>2211102</v>
      </c>
      <c r="K940" s="86" t="s">
        <v>213</v>
      </c>
      <c r="L940" s="1669">
        <v>200000</v>
      </c>
      <c r="N940" s="1669">
        <f t="shared" si="14"/>
        <v>0</v>
      </c>
    </row>
    <row r="941" spans="2:14">
      <c r="B941" s="1681"/>
      <c r="C941" s="1681"/>
      <c r="D941" s="1671">
        <v>2211200</v>
      </c>
      <c r="E941" s="1515" t="s">
        <v>55</v>
      </c>
      <c r="F941" s="1665">
        <v>766666.66999999993</v>
      </c>
      <c r="H941" s="1681"/>
      <c r="I941" s="1681"/>
      <c r="J941" s="1671">
        <v>2211200</v>
      </c>
      <c r="K941" s="1515" t="s">
        <v>55</v>
      </c>
      <c r="L941" s="1665">
        <v>766666.66999999993</v>
      </c>
      <c r="N941" s="1665">
        <f t="shared" si="14"/>
        <v>0</v>
      </c>
    </row>
    <row r="942" spans="2:14">
      <c r="B942" s="1681"/>
      <c r="C942" s="1681"/>
      <c r="D942" s="61">
        <v>2211201</v>
      </c>
      <c r="E942" s="86" t="s">
        <v>56</v>
      </c>
      <c r="F942" s="1669">
        <v>150000</v>
      </c>
      <c r="H942" s="1681"/>
      <c r="I942" s="1681"/>
      <c r="J942" s="61">
        <v>2211201</v>
      </c>
      <c r="K942" s="86" t="s">
        <v>56</v>
      </c>
      <c r="L942" s="1669">
        <v>150000</v>
      </c>
      <c r="N942" s="1669">
        <f t="shared" si="14"/>
        <v>0</v>
      </c>
    </row>
    <row r="943" spans="2:14">
      <c r="B943" s="1681"/>
      <c r="C943" s="1681"/>
      <c r="D943" s="19" t="s">
        <v>247</v>
      </c>
      <c r="E943" s="20" t="s">
        <v>248</v>
      </c>
      <c r="F943" s="1669">
        <v>616666.66999999993</v>
      </c>
      <c r="H943" s="1681"/>
      <c r="I943" s="1681"/>
      <c r="J943" s="19" t="s">
        <v>247</v>
      </c>
      <c r="K943" s="20" t="s">
        <v>248</v>
      </c>
      <c r="L943" s="1669">
        <v>616666.66999999993</v>
      </c>
      <c r="N943" s="1669">
        <f t="shared" si="14"/>
        <v>0</v>
      </c>
    </row>
    <row r="944" spans="2:14">
      <c r="B944" s="1681"/>
      <c r="C944" s="1681"/>
      <c r="D944" s="1671">
        <v>2211300</v>
      </c>
      <c r="E944" s="1584" t="s">
        <v>57</v>
      </c>
      <c r="F944" s="1683">
        <v>250000</v>
      </c>
      <c r="H944" s="1681"/>
      <c r="I944" s="1681"/>
      <c r="J944" s="1671">
        <v>2211300</v>
      </c>
      <c r="K944" s="1584" t="s">
        <v>57</v>
      </c>
      <c r="L944" s="1683">
        <v>250000</v>
      </c>
      <c r="N944" s="1683">
        <f t="shared" si="14"/>
        <v>0</v>
      </c>
    </row>
    <row r="945" spans="2:14">
      <c r="B945" s="1681"/>
      <c r="C945" s="1681"/>
      <c r="D945" s="61">
        <v>2211313</v>
      </c>
      <c r="E945" s="1532" t="s">
        <v>214</v>
      </c>
      <c r="F945" s="1669">
        <v>150000</v>
      </c>
      <c r="H945" s="1681"/>
      <c r="I945" s="1681"/>
      <c r="J945" s="61">
        <v>2211313</v>
      </c>
      <c r="K945" s="1532" t="s">
        <v>214</v>
      </c>
      <c r="L945" s="1669">
        <v>150000</v>
      </c>
      <c r="N945" s="1669">
        <f t="shared" si="14"/>
        <v>0</v>
      </c>
    </row>
    <row r="946" spans="2:14">
      <c r="B946" s="1681"/>
      <c r="C946" s="1681"/>
      <c r="D946" s="61">
        <v>2211399</v>
      </c>
      <c r="E946" s="1532" t="s">
        <v>215</v>
      </c>
      <c r="F946" s="1669">
        <v>100000</v>
      </c>
      <c r="H946" s="1681"/>
      <c r="I946" s="1681"/>
      <c r="J946" s="61">
        <v>2211399</v>
      </c>
      <c r="K946" s="1532" t="s">
        <v>215</v>
      </c>
      <c r="L946" s="1669">
        <v>100000</v>
      </c>
      <c r="N946" s="1669">
        <f t="shared" si="14"/>
        <v>0</v>
      </c>
    </row>
    <row r="947" spans="2:14" ht="30">
      <c r="B947" s="1681"/>
      <c r="C947" s="1681"/>
      <c r="D947" s="1671">
        <v>2220100</v>
      </c>
      <c r="E947" s="1664" t="s">
        <v>199</v>
      </c>
      <c r="F947" s="1665">
        <v>460065</v>
      </c>
      <c r="H947" s="1681"/>
      <c r="I947" s="1681"/>
      <c r="J947" s="1671">
        <v>2220100</v>
      </c>
      <c r="K947" s="1664" t="s">
        <v>199</v>
      </c>
      <c r="L947" s="1665">
        <v>460065</v>
      </c>
      <c r="N947" s="1665">
        <f t="shared" si="14"/>
        <v>0</v>
      </c>
    </row>
    <row r="948" spans="2:14">
      <c r="B948" s="1681"/>
      <c r="C948" s="1681"/>
      <c r="D948" s="1538">
        <v>2220101</v>
      </c>
      <c r="E948" s="1539" t="s">
        <v>200</v>
      </c>
      <c r="F948" s="1669">
        <v>460065</v>
      </c>
      <c r="H948" s="1681"/>
      <c r="I948" s="1681"/>
      <c r="J948" s="1538">
        <v>2220101</v>
      </c>
      <c r="K948" s="1539" t="s">
        <v>200</v>
      </c>
      <c r="L948" s="1669">
        <v>460065</v>
      </c>
      <c r="N948" s="1669">
        <f t="shared" si="14"/>
        <v>0</v>
      </c>
    </row>
    <row r="949" spans="2:14">
      <c r="B949" s="1681"/>
      <c r="C949" s="1681"/>
      <c r="D949" s="55">
        <v>2220200</v>
      </c>
      <c r="E949" s="1518" t="s">
        <v>86</v>
      </c>
      <c r="F949" s="1665">
        <v>515000</v>
      </c>
      <c r="H949" s="1681"/>
      <c r="I949" s="1681"/>
      <c r="J949" s="55">
        <v>2220200</v>
      </c>
      <c r="K949" s="1518" t="s">
        <v>86</v>
      </c>
      <c r="L949" s="1665">
        <v>515000</v>
      </c>
      <c r="N949" s="1665">
        <f t="shared" si="14"/>
        <v>0</v>
      </c>
    </row>
    <row r="950" spans="2:14">
      <c r="B950" s="1681"/>
      <c r="C950" s="1681"/>
      <c r="D950" s="19">
        <v>2220202</v>
      </c>
      <c r="E950" s="20" t="s">
        <v>87</v>
      </c>
      <c r="F950" s="1669">
        <v>200000</v>
      </c>
      <c r="H950" s="1681"/>
      <c r="I950" s="1681"/>
      <c r="J950" s="19">
        <v>2220202</v>
      </c>
      <c r="K950" s="20" t="s">
        <v>87</v>
      </c>
      <c r="L950" s="1669">
        <v>200000</v>
      </c>
      <c r="N950" s="1669">
        <f t="shared" si="14"/>
        <v>0</v>
      </c>
    </row>
    <row r="951" spans="2:14">
      <c r="B951" s="1681"/>
      <c r="C951" s="1681"/>
      <c r="D951" s="19">
        <v>2220205</v>
      </c>
      <c r="E951" s="20" t="s">
        <v>125</v>
      </c>
      <c r="F951" s="1669">
        <v>315000</v>
      </c>
      <c r="H951" s="1681"/>
      <c r="I951" s="1681"/>
      <c r="J951" s="19">
        <v>2220205</v>
      </c>
      <c r="K951" s="20" t="s">
        <v>125</v>
      </c>
      <c r="L951" s="1669">
        <v>315000</v>
      </c>
      <c r="N951" s="1669">
        <f t="shared" si="14"/>
        <v>0</v>
      </c>
    </row>
    <row r="952" spans="2:14">
      <c r="B952" s="92"/>
      <c r="C952" s="92"/>
      <c r="D952" s="1671">
        <v>3111000</v>
      </c>
      <c r="E952" s="1515" t="s">
        <v>216</v>
      </c>
      <c r="F952" s="1665">
        <v>190000</v>
      </c>
      <c r="H952" s="92"/>
      <c r="I952" s="92"/>
      <c r="J952" s="1671">
        <v>3111000</v>
      </c>
      <c r="K952" s="1515" t="s">
        <v>216</v>
      </c>
      <c r="L952" s="1665">
        <v>190000</v>
      </c>
      <c r="N952" s="1665">
        <f t="shared" si="14"/>
        <v>0</v>
      </c>
    </row>
    <row r="953" spans="2:14">
      <c r="B953" s="92"/>
      <c r="C953" s="92"/>
      <c r="D953" s="61">
        <v>3111001</v>
      </c>
      <c r="E953" s="86" t="s">
        <v>234</v>
      </c>
      <c r="F953" s="1669">
        <v>70000</v>
      </c>
      <c r="H953" s="92"/>
      <c r="I953" s="92"/>
      <c r="J953" s="61">
        <v>3111001</v>
      </c>
      <c r="K953" s="86" t="s">
        <v>234</v>
      </c>
      <c r="L953" s="1669">
        <v>70000</v>
      </c>
      <c r="N953" s="1669">
        <f t="shared" si="14"/>
        <v>0</v>
      </c>
    </row>
    <row r="954" spans="2:14">
      <c r="B954" s="92"/>
      <c r="C954" s="92"/>
      <c r="D954" s="19">
        <v>3111002</v>
      </c>
      <c r="E954" s="20" t="s">
        <v>71</v>
      </c>
      <c r="F954" s="1669">
        <v>70000</v>
      </c>
      <c r="H954" s="92"/>
      <c r="I954" s="92"/>
      <c r="J954" s="19">
        <v>3111002</v>
      </c>
      <c r="K954" s="20" t="s">
        <v>71</v>
      </c>
      <c r="L954" s="1669">
        <v>70000</v>
      </c>
      <c r="N954" s="1669">
        <f t="shared" si="14"/>
        <v>0</v>
      </c>
    </row>
    <row r="955" spans="2:14">
      <c r="B955" s="1681"/>
      <c r="C955" s="1681"/>
      <c r="D955" s="19">
        <v>3111009</v>
      </c>
      <c r="E955" s="20" t="s">
        <v>253</v>
      </c>
      <c r="F955" s="1669">
        <v>50000</v>
      </c>
      <c r="H955" s="1681"/>
      <c r="I955" s="1681"/>
      <c r="J955" s="19">
        <v>3111009</v>
      </c>
      <c r="K955" s="20" t="s">
        <v>253</v>
      </c>
      <c r="L955" s="1669">
        <v>50000</v>
      </c>
      <c r="N955" s="1669">
        <f t="shared" si="14"/>
        <v>0</v>
      </c>
    </row>
    <row r="956" spans="2:14">
      <c r="B956" s="92"/>
      <c r="C956" s="92"/>
      <c r="D956" s="1535"/>
      <c r="E956" s="1536"/>
      <c r="F956" s="1665"/>
      <c r="H956" s="92"/>
      <c r="I956" s="92"/>
      <c r="J956" s="1535"/>
      <c r="K956" s="1536"/>
      <c r="L956" s="1665"/>
      <c r="N956" s="1665">
        <f t="shared" si="14"/>
        <v>0</v>
      </c>
    </row>
    <row r="957" spans="2:14">
      <c r="B957" s="92"/>
      <c r="C957" s="92"/>
      <c r="D957" s="1538"/>
      <c r="E957" s="1539"/>
      <c r="F957" s="1669">
        <v>0</v>
      </c>
      <c r="H957" s="92"/>
      <c r="I957" s="92"/>
      <c r="J957" s="1538"/>
      <c r="K957" s="1539"/>
      <c r="L957" s="1669">
        <v>0</v>
      </c>
      <c r="N957" s="1669">
        <f t="shared" si="14"/>
        <v>0</v>
      </c>
    </row>
    <row r="958" spans="2:14">
      <c r="B958" s="1684"/>
      <c r="C958" s="1684"/>
      <c r="D958" s="1685"/>
      <c r="E958" s="1620" t="s">
        <v>201</v>
      </c>
      <c r="F958" s="1686">
        <v>24204735.34</v>
      </c>
      <c r="H958" s="1684"/>
      <c r="I958" s="1684"/>
      <c r="J958" s="1685"/>
      <c r="K958" s="1620" t="s">
        <v>201</v>
      </c>
      <c r="L958" s="1686">
        <v>24204735.34</v>
      </c>
      <c r="N958" s="1686">
        <f t="shared" si="14"/>
        <v>0</v>
      </c>
    </row>
    <row r="959" spans="2:14">
      <c r="B959" s="1684"/>
      <c r="C959" s="1684"/>
      <c r="D959" s="1507"/>
      <c r="E959" s="1620"/>
      <c r="F959" s="1686"/>
      <c r="H959" s="1684"/>
      <c r="I959" s="1684"/>
      <c r="J959" s="1507"/>
      <c r="K959" s="1620"/>
      <c r="L959" s="1686"/>
      <c r="N959" s="1686">
        <f t="shared" si="14"/>
        <v>0</v>
      </c>
    </row>
    <row r="960" spans="2:14">
      <c r="B960" s="1684"/>
      <c r="C960" s="1684"/>
      <c r="D960" s="1507"/>
      <c r="E960" s="1620" t="s">
        <v>217</v>
      </c>
      <c r="F960" s="1686"/>
      <c r="H960" s="1684"/>
      <c r="I960" s="1684"/>
      <c r="J960" s="1507"/>
      <c r="K960" s="1620" t="s">
        <v>217</v>
      </c>
      <c r="L960" s="1686"/>
      <c r="N960" s="1686">
        <f t="shared" si="14"/>
        <v>0</v>
      </c>
    </row>
    <row r="961" spans="2:14" ht="30">
      <c r="B961" s="92"/>
      <c r="C961" s="92"/>
      <c r="D961" s="61">
        <v>3110504</v>
      </c>
      <c r="E961" s="86" t="s">
        <v>1517</v>
      </c>
      <c r="F961" s="129">
        <v>2727261</v>
      </c>
      <c r="H961" s="92"/>
      <c r="I961" s="92"/>
      <c r="J961" s="61">
        <v>3110504</v>
      </c>
      <c r="K961" s="86" t="s">
        <v>1517</v>
      </c>
      <c r="L961" s="129">
        <v>2727261</v>
      </c>
      <c r="N961" s="129">
        <f t="shared" si="14"/>
        <v>0</v>
      </c>
    </row>
    <row r="962" spans="2:14">
      <c r="B962" s="55"/>
      <c r="C962" s="1671"/>
      <c r="D962" s="1671"/>
      <c r="E962" s="1687" t="s">
        <v>175</v>
      </c>
      <c r="F962" s="1688">
        <v>2727261</v>
      </c>
      <c r="H962" s="55"/>
      <c r="I962" s="1671"/>
      <c r="J962" s="1671"/>
      <c r="K962" s="1687" t="s">
        <v>175</v>
      </c>
      <c r="L962" s="1688">
        <v>2727261</v>
      </c>
      <c r="N962" s="1688">
        <f t="shared" si="14"/>
        <v>0</v>
      </c>
    </row>
    <row r="963" spans="2:14">
      <c r="B963" s="1684"/>
      <c r="C963" s="1684"/>
      <c r="D963" s="1507"/>
      <c r="E963" s="1620" t="s">
        <v>218</v>
      </c>
      <c r="F963" s="1686">
        <v>26931996.34</v>
      </c>
      <c r="H963" s="1684"/>
      <c r="I963" s="1684"/>
      <c r="J963" s="1507"/>
      <c r="K963" s="1620" t="s">
        <v>218</v>
      </c>
      <c r="L963" s="1686">
        <v>26931996.34</v>
      </c>
      <c r="N963" s="1686">
        <f t="shared" si="14"/>
        <v>0</v>
      </c>
    </row>
    <row r="964" spans="2:14">
      <c r="B964" s="92"/>
      <c r="C964" s="92"/>
      <c r="D964" s="61"/>
      <c r="E964" s="74"/>
      <c r="F964" s="174"/>
      <c r="H964" s="92"/>
      <c r="I964" s="92"/>
      <c r="J964" s="61"/>
      <c r="K964" s="74"/>
      <c r="L964" s="174"/>
      <c r="N964" s="174">
        <f t="shared" si="14"/>
        <v>0</v>
      </c>
    </row>
    <row r="965" spans="2:14">
      <c r="B965" s="92"/>
      <c r="C965" s="92"/>
      <c r="D965" s="61"/>
      <c r="E965" s="74"/>
      <c r="F965" s="174"/>
      <c r="H965" s="92"/>
      <c r="I965" s="92"/>
      <c r="J965" s="61"/>
      <c r="K965" s="74"/>
      <c r="L965" s="174"/>
      <c r="N965" s="174">
        <f t="shared" si="14"/>
        <v>0</v>
      </c>
    </row>
    <row r="966" spans="2:14">
      <c r="B966" s="92"/>
      <c r="C966" s="92"/>
      <c r="D966" s="1671" t="s">
        <v>219</v>
      </c>
      <c r="E966" s="1680"/>
      <c r="F966" s="174"/>
      <c r="H966" s="92"/>
      <c r="I966" s="92"/>
      <c r="J966" s="1671" t="s">
        <v>219</v>
      </c>
      <c r="K966" s="1680"/>
      <c r="L966" s="174"/>
      <c r="N966" s="174">
        <f t="shared" si="14"/>
        <v>0</v>
      </c>
    </row>
    <row r="967" spans="2:14">
      <c r="B967" s="1681"/>
      <c r="C967" s="1681" t="s">
        <v>146</v>
      </c>
      <c r="D967" s="1671" t="s">
        <v>220</v>
      </c>
      <c r="E967" s="1680"/>
      <c r="F967" s="1689"/>
      <c r="H967" s="1681"/>
      <c r="I967" s="1681" t="s">
        <v>146</v>
      </c>
      <c r="J967" s="1671" t="s">
        <v>220</v>
      </c>
      <c r="K967" s="1680"/>
      <c r="L967" s="1689"/>
      <c r="N967" s="1689">
        <f t="shared" si="14"/>
        <v>0</v>
      </c>
    </row>
    <row r="968" spans="2:14">
      <c r="B968" s="1681"/>
      <c r="C968" s="1681"/>
      <c r="D968" s="1671">
        <v>2110100</v>
      </c>
      <c r="E968" s="1515" t="s">
        <v>221</v>
      </c>
      <c r="F968" s="1690">
        <v>28687549.34</v>
      </c>
      <c r="H968" s="1681"/>
      <c r="I968" s="1681"/>
      <c r="J968" s="1671">
        <v>2110100</v>
      </c>
      <c r="K968" s="1515" t="s">
        <v>221</v>
      </c>
      <c r="L968" s="1690">
        <v>28687549.34</v>
      </c>
      <c r="N968" s="1690">
        <f t="shared" ref="N968:N1031" si="15">F968-L968</f>
        <v>0</v>
      </c>
    </row>
    <row r="969" spans="2:14">
      <c r="B969" s="92" t="s">
        <v>144</v>
      </c>
      <c r="C969" s="92"/>
      <c r="D969" s="61">
        <v>2110101</v>
      </c>
      <c r="E969" s="86" t="s">
        <v>222</v>
      </c>
      <c r="F969" s="129">
        <v>28687549.34</v>
      </c>
      <c r="H969" s="92" t="s">
        <v>144</v>
      </c>
      <c r="I969" s="92"/>
      <c r="J969" s="61">
        <v>2110101</v>
      </c>
      <c r="K969" s="86" t="s">
        <v>222</v>
      </c>
      <c r="L969" s="129">
        <v>28687549.34</v>
      </c>
      <c r="N969" s="129">
        <f t="shared" si="15"/>
        <v>0</v>
      </c>
    </row>
    <row r="970" spans="2:14">
      <c r="B970" s="1681"/>
      <c r="C970" s="1681"/>
      <c r="D970" s="1671">
        <v>2210300</v>
      </c>
      <c r="E970" s="1515" t="s">
        <v>24</v>
      </c>
      <c r="F970" s="1690">
        <v>1204160</v>
      </c>
      <c r="H970" s="1681"/>
      <c r="I970" s="1681"/>
      <c r="J970" s="1671">
        <v>2210300</v>
      </c>
      <c r="K970" s="1515" t="s">
        <v>24</v>
      </c>
      <c r="L970" s="1690">
        <v>1204160</v>
      </c>
      <c r="N970" s="1690">
        <f t="shared" si="15"/>
        <v>0</v>
      </c>
    </row>
    <row r="971" spans="2:14">
      <c r="B971" s="92"/>
      <c r="C971" s="92"/>
      <c r="D971" s="61">
        <v>2210302</v>
      </c>
      <c r="E971" s="86" t="s">
        <v>26</v>
      </c>
      <c r="F971" s="129">
        <v>350000</v>
      </c>
      <c r="H971" s="92"/>
      <c r="I971" s="92"/>
      <c r="J971" s="61">
        <v>2210302</v>
      </c>
      <c r="K971" s="86" t="s">
        <v>26</v>
      </c>
      <c r="L971" s="129">
        <v>350000</v>
      </c>
      <c r="N971" s="129">
        <f t="shared" si="15"/>
        <v>0</v>
      </c>
    </row>
    <row r="972" spans="2:14">
      <c r="B972" s="92"/>
      <c r="C972" s="92"/>
      <c r="D972" s="61">
        <v>2210303</v>
      </c>
      <c r="E972" s="86" t="s">
        <v>223</v>
      </c>
      <c r="F972" s="129">
        <v>650000</v>
      </c>
      <c r="H972" s="92"/>
      <c r="I972" s="92"/>
      <c r="J972" s="61">
        <v>2210303</v>
      </c>
      <c r="K972" s="86" t="s">
        <v>223</v>
      </c>
      <c r="L972" s="129">
        <v>650000</v>
      </c>
      <c r="N972" s="129">
        <f t="shared" si="15"/>
        <v>0</v>
      </c>
    </row>
    <row r="973" spans="2:14">
      <c r="B973" s="92"/>
      <c r="C973" s="92"/>
      <c r="D973" s="61">
        <v>2210304</v>
      </c>
      <c r="E973" s="86" t="s">
        <v>28</v>
      </c>
      <c r="F973" s="129">
        <v>204160.00000000003</v>
      </c>
      <c r="H973" s="92"/>
      <c r="I973" s="92"/>
      <c r="J973" s="61">
        <v>2210304</v>
      </c>
      <c r="K973" s="86" t="s">
        <v>28</v>
      </c>
      <c r="L973" s="129">
        <v>204160.00000000003</v>
      </c>
      <c r="N973" s="129">
        <f t="shared" si="15"/>
        <v>0</v>
      </c>
    </row>
    <row r="974" spans="2:14">
      <c r="B974" s="92"/>
      <c r="C974" s="92"/>
      <c r="D974" s="1671">
        <v>2210500</v>
      </c>
      <c r="E974" s="1515" t="s">
        <v>31</v>
      </c>
      <c r="F974" s="1690">
        <v>1288000</v>
      </c>
      <c r="H974" s="92"/>
      <c r="I974" s="92"/>
      <c r="J974" s="1671">
        <v>2210500</v>
      </c>
      <c r="K974" s="1515" t="s">
        <v>31</v>
      </c>
      <c r="L974" s="1690">
        <v>1288000</v>
      </c>
      <c r="N974" s="1690">
        <f t="shared" si="15"/>
        <v>0</v>
      </c>
    </row>
    <row r="975" spans="2:14">
      <c r="B975" s="92"/>
      <c r="C975" s="92"/>
      <c r="D975" s="80">
        <v>2210502</v>
      </c>
      <c r="E975" s="86" t="s">
        <v>105</v>
      </c>
      <c r="F975" s="129">
        <v>150000</v>
      </c>
      <c r="H975" s="92"/>
      <c r="I975" s="92"/>
      <c r="J975" s="80">
        <v>2210502</v>
      </c>
      <c r="K975" s="86" t="s">
        <v>105</v>
      </c>
      <c r="L975" s="129">
        <v>150000</v>
      </c>
      <c r="N975" s="129">
        <f t="shared" si="15"/>
        <v>0</v>
      </c>
    </row>
    <row r="976" spans="2:14" ht="30">
      <c r="B976" s="92"/>
      <c r="C976" s="92"/>
      <c r="D976" s="80">
        <v>2210504</v>
      </c>
      <c r="E976" s="86" t="s">
        <v>224</v>
      </c>
      <c r="F976" s="129">
        <v>574200</v>
      </c>
      <c r="H976" s="92"/>
      <c r="I976" s="92"/>
      <c r="J976" s="80">
        <v>2210504</v>
      </c>
      <c r="K976" s="86" t="s">
        <v>224</v>
      </c>
      <c r="L976" s="129">
        <v>574200</v>
      </c>
      <c r="N976" s="129">
        <f t="shared" si="15"/>
        <v>0</v>
      </c>
    </row>
    <row r="977" spans="2:14">
      <c r="B977" s="92"/>
      <c r="C977" s="92"/>
      <c r="D977" s="61">
        <v>2210505</v>
      </c>
      <c r="E977" s="86" t="s">
        <v>225</v>
      </c>
      <c r="F977" s="129">
        <v>500000</v>
      </c>
      <c r="H977" s="92"/>
      <c r="I977" s="92"/>
      <c r="J977" s="61">
        <v>2210505</v>
      </c>
      <c r="K977" s="86" t="s">
        <v>225</v>
      </c>
      <c r="L977" s="129">
        <v>500000</v>
      </c>
      <c r="N977" s="129">
        <f t="shared" si="15"/>
        <v>0</v>
      </c>
    </row>
    <row r="978" spans="2:14">
      <c r="B978" s="92"/>
      <c r="C978" s="92"/>
      <c r="D978" s="80">
        <v>2210599</v>
      </c>
      <c r="E978" s="86" t="s">
        <v>226</v>
      </c>
      <c r="F978" s="129">
        <v>63800.000000000007</v>
      </c>
      <c r="H978" s="92"/>
      <c r="I978" s="92"/>
      <c r="J978" s="80">
        <v>2210599</v>
      </c>
      <c r="K978" s="86" t="s">
        <v>226</v>
      </c>
      <c r="L978" s="129">
        <v>63800.000000000007</v>
      </c>
      <c r="N978" s="129">
        <f t="shared" si="15"/>
        <v>0</v>
      </c>
    </row>
    <row r="979" spans="2:14">
      <c r="B979" s="92"/>
      <c r="C979" s="92"/>
      <c r="D979" s="1671">
        <v>2210800</v>
      </c>
      <c r="E979" s="1515" t="s">
        <v>227</v>
      </c>
      <c r="F979" s="1690">
        <v>1135840</v>
      </c>
      <c r="H979" s="92"/>
      <c r="I979" s="92"/>
      <c r="J979" s="1671">
        <v>2210800</v>
      </c>
      <c r="K979" s="1515" t="s">
        <v>227</v>
      </c>
      <c r="L979" s="1690">
        <v>1135840</v>
      </c>
      <c r="N979" s="1690">
        <f t="shared" si="15"/>
        <v>0</v>
      </c>
    </row>
    <row r="980" spans="2:14">
      <c r="B980" s="92"/>
      <c r="C980" s="92"/>
      <c r="D980" s="80">
        <v>2210801</v>
      </c>
      <c r="E980" s="86" t="s">
        <v>228</v>
      </c>
      <c r="F980" s="129">
        <v>335000</v>
      </c>
      <c r="H980" s="92"/>
      <c r="I980" s="92"/>
      <c r="J980" s="80">
        <v>2210801</v>
      </c>
      <c r="K980" s="86" t="s">
        <v>228</v>
      </c>
      <c r="L980" s="129">
        <v>335000</v>
      </c>
      <c r="N980" s="129">
        <f t="shared" si="15"/>
        <v>0</v>
      </c>
    </row>
    <row r="981" spans="2:14">
      <c r="B981" s="92"/>
      <c r="C981" s="92"/>
      <c r="D981" s="80">
        <v>2210802</v>
      </c>
      <c r="E981" s="86" t="s">
        <v>97</v>
      </c>
      <c r="F981" s="129">
        <v>300000</v>
      </c>
      <c r="H981" s="92"/>
      <c r="I981" s="92"/>
      <c r="J981" s="80">
        <v>2210802</v>
      </c>
      <c r="K981" s="86" t="s">
        <v>97</v>
      </c>
      <c r="L981" s="129">
        <v>300000</v>
      </c>
      <c r="N981" s="129">
        <f t="shared" si="15"/>
        <v>0</v>
      </c>
    </row>
    <row r="982" spans="2:14">
      <c r="B982" s="92"/>
      <c r="C982" s="92"/>
      <c r="D982" s="80">
        <v>2210805</v>
      </c>
      <c r="E982" s="86" t="s">
        <v>229</v>
      </c>
      <c r="F982" s="129">
        <v>280000</v>
      </c>
      <c r="H982" s="92"/>
      <c r="I982" s="92"/>
      <c r="J982" s="80">
        <v>2210805</v>
      </c>
      <c r="K982" s="86" t="s">
        <v>229</v>
      </c>
      <c r="L982" s="129">
        <v>280000</v>
      </c>
      <c r="N982" s="129">
        <f t="shared" si="15"/>
        <v>0</v>
      </c>
    </row>
    <row r="983" spans="2:14">
      <c r="B983" s="92"/>
      <c r="C983" s="92"/>
      <c r="D983" s="80">
        <v>2210899</v>
      </c>
      <c r="E983" s="86" t="s">
        <v>230</v>
      </c>
      <c r="F983" s="129">
        <v>220840</v>
      </c>
      <c r="H983" s="92"/>
      <c r="I983" s="92"/>
      <c r="J983" s="80">
        <v>2210899</v>
      </c>
      <c r="K983" s="86" t="s">
        <v>230</v>
      </c>
      <c r="L983" s="129">
        <v>220840</v>
      </c>
      <c r="N983" s="129">
        <f t="shared" si="15"/>
        <v>0</v>
      </c>
    </row>
    <row r="984" spans="2:14">
      <c r="B984" s="92"/>
      <c r="C984" s="92"/>
      <c r="D984" s="1671">
        <v>2210200</v>
      </c>
      <c r="E984" s="1515" t="s">
        <v>20</v>
      </c>
      <c r="F984" s="1690">
        <v>243000</v>
      </c>
      <c r="H984" s="92"/>
      <c r="I984" s="92"/>
      <c r="J984" s="1671">
        <v>2210200</v>
      </c>
      <c r="K984" s="1515" t="s">
        <v>20</v>
      </c>
      <c r="L984" s="1690">
        <v>243000</v>
      </c>
      <c r="N984" s="1690">
        <f t="shared" si="15"/>
        <v>0</v>
      </c>
    </row>
    <row r="985" spans="2:14">
      <c r="B985" s="92"/>
      <c r="C985" s="92"/>
      <c r="D985" s="61">
        <v>2210201</v>
      </c>
      <c r="E985" s="86" t="s">
        <v>187</v>
      </c>
      <c r="F985" s="129">
        <v>100000</v>
      </c>
      <c r="H985" s="92"/>
      <c r="I985" s="92"/>
      <c r="J985" s="61">
        <v>2210201</v>
      </c>
      <c r="K985" s="86" t="s">
        <v>187</v>
      </c>
      <c r="L985" s="129">
        <v>100000</v>
      </c>
      <c r="N985" s="129">
        <f t="shared" si="15"/>
        <v>0</v>
      </c>
    </row>
    <row r="986" spans="2:14">
      <c r="B986" s="92"/>
      <c r="C986" s="92"/>
      <c r="D986" s="19">
        <v>2210202</v>
      </c>
      <c r="E986" s="20" t="s">
        <v>22</v>
      </c>
      <c r="F986" s="129">
        <v>143000</v>
      </c>
      <c r="H986" s="92"/>
      <c r="I986" s="92"/>
      <c r="J986" s="19">
        <v>2210202</v>
      </c>
      <c r="K986" s="20" t="s">
        <v>22</v>
      </c>
      <c r="L986" s="129">
        <v>143000</v>
      </c>
      <c r="N986" s="129">
        <f t="shared" si="15"/>
        <v>0</v>
      </c>
    </row>
    <row r="987" spans="2:14">
      <c r="B987" s="92"/>
      <c r="C987" s="92"/>
      <c r="D987" s="55">
        <v>2211200</v>
      </c>
      <c r="E987" s="1518" t="s">
        <v>55</v>
      </c>
      <c r="F987" s="1690">
        <v>1016666.6699999999</v>
      </c>
      <c r="H987" s="92"/>
      <c r="I987" s="92"/>
      <c r="J987" s="55">
        <v>2211200</v>
      </c>
      <c r="K987" s="1518" t="s">
        <v>55</v>
      </c>
      <c r="L987" s="1690">
        <v>1016666.6699999999</v>
      </c>
      <c r="N987" s="1690">
        <f t="shared" si="15"/>
        <v>0</v>
      </c>
    </row>
    <row r="988" spans="2:14">
      <c r="B988" s="1681"/>
      <c r="C988" s="1681"/>
      <c r="D988" s="19">
        <v>2211201</v>
      </c>
      <c r="E988" s="20" t="s">
        <v>56</v>
      </c>
      <c r="F988" s="129">
        <v>350000</v>
      </c>
      <c r="H988" s="1681"/>
      <c r="I988" s="1681"/>
      <c r="J988" s="19">
        <v>2211201</v>
      </c>
      <c r="K988" s="20" t="s">
        <v>56</v>
      </c>
      <c r="L988" s="129">
        <v>350000</v>
      </c>
      <c r="N988" s="129">
        <f t="shared" si="15"/>
        <v>0</v>
      </c>
    </row>
    <row r="989" spans="2:14">
      <c r="B989" s="92"/>
      <c r="C989" s="92"/>
      <c r="D989" s="19" t="s">
        <v>247</v>
      </c>
      <c r="E989" s="20" t="s">
        <v>248</v>
      </c>
      <c r="F989" s="129">
        <v>666666.66999999993</v>
      </c>
      <c r="H989" s="92"/>
      <c r="I989" s="92"/>
      <c r="J989" s="19" t="s">
        <v>247</v>
      </c>
      <c r="K989" s="20" t="s">
        <v>248</v>
      </c>
      <c r="L989" s="129">
        <v>666666.66999999993</v>
      </c>
      <c r="N989" s="129">
        <f t="shared" si="15"/>
        <v>0</v>
      </c>
    </row>
    <row r="990" spans="2:14" ht="30">
      <c r="B990" s="92"/>
      <c r="C990" s="92"/>
      <c r="D990" s="1671">
        <v>2220100</v>
      </c>
      <c r="E990" s="1664" t="s">
        <v>199</v>
      </c>
      <c r="F990" s="1690">
        <v>750000</v>
      </c>
      <c r="H990" s="92"/>
      <c r="I990" s="92"/>
      <c r="J990" s="1671">
        <v>2220100</v>
      </c>
      <c r="K990" s="1664" t="s">
        <v>199</v>
      </c>
      <c r="L990" s="1690">
        <v>750000</v>
      </c>
      <c r="N990" s="1690">
        <f t="shared" si="15"/>
        <v>0</v>
      </c>
    </row>
    <row r="991" spans="2:14">
      <c r="B991" s="1681"/>
      <c r="C991" s="1681"/>
      <c r="D991" s="1538">
        <v>2220101</v>
      </c>
      <c r="E991" s="1539" t="s">
        <v>200</v>
      </c>
      <c r="F991" s="129">
        <v>750000</v>
      </c>
      <c r="H991" s="1681"/>
      <c r="I991" s="1681"/>
      <c r="J991" s="1538">
        <v>2220101</v>
      </c>
      <c r="K991" s="1539" t="s">
        <v>200</v>
      </c>
      <c r="L991" s="129">
        <v>750000</v>
      </c>
      <c r="N991" s="129">
        <f t="shared" si="15"/>
        <v>0</v>
      </c>
    </row>
    <row r="992" spans="2:14">
      <c r="B992" s="92"/>
      <c r="C992" s="92"/>
      <c r="D992" s="55">
        <v>2220200</v>
      </c>
      <c r="E992" s="1518" t="s">
        <v>86</v>
      </c>
      <c r="F992" s="1690">
        <v>92510</v>
      </c>
      <c r="H992" s="92"/>
      <c r="I992" s="92"/>
      <c r="J992" s="55">
        <v>2220200</v>
      </c>
      <c r="K992" s="1518" t="s">
        <v>86</v>
      </c>
      <c r="L992" s="1690">
        <v>92510</v>
      </c>
      <c r="N992" s="1690">
        <f t="shared" si="15"/>
        <v>0</v>
      </c>
    </row>
    <row r="993" spans="2:14">
      <c r="B993" s="92"/>
      <c r="C993" s="92"/>
      <c r="D993" s="19">
        <v>2220202</v>
      </c>
      <c r="E993" s="20" t="s">
        <v>87</v>
      </c>
      <c r="F993" s="129">
        <v>51040.000000000007</v>
      </c>
      <c r="H993" s="92"/>
      <c r="I993" s="92"/>
      <c r="J993" s="19">
        <v>2220202</v>
      </c>
      <c r="K993" s="20" t="s">
        <v>87</v>
      </c>
      <c r="L993" s="129">
        <v>51040.000000000007</v>
      </c>
      <c r="N993" s="129">
        <f t="shared" si="15"/>
        <v>0</v>
      </c>
    </row>
    <row r="994" spans="2:14">
      <c r="B994" s="1681"/>
      <c r="C994" s="1681"/>
      <c r="D994" s="19">
        <v>2220205</v>
      </c>
      <c r="E994" s="20" t="s">
        <v>125</v>
      </c>
      <c r="F994" s="129">
        <v>41470</v>
      </c>
      <c r="H994" s="1681"/>
      <c r="I994" s="1681"/>
      <c r="J994" s="19">
        <v>2220205</v>
      </c>
      <c r="K994" s="20" t="s">
        <v>125</v>
      </c>
      <c r="L994" s="129">
        <v>41470</v>
      </c>
      <c r="N994" s="129">
        <f t="shared" si="15"/>
        <v>0</v>
      </c>
    </row>
    <row r="995" spans="2:14">
      <c r="B995" s="92"/>
      <c r="C995" s="92"/>
      <c r="D995" s="1535"/>
      <c r="E995" s="1536"/>
      <c r="F995" s="1690">
        <v>0</v>
      </c>
      <c r="H995" s="92"/>
      <c r="I995" s="92"/>
      <c r="J995" s="1535"/>
      <c r="K995" s="1536"/>
      <c r="L995" s="1690">
        <v>0</v>
      </c>
      <c r="N995" s="1690">
        <f t="shared" si="15"/>
        <v>0</v>
      </c>
    </row>
    <row r="996" spans="2:14">
      <c r="B996" s="92"/>
      <c r="C996" s="92"/>
      <c r="D996" s="1538"/>
      <c r="E996" s="1539"/>
      <c r="F996" s="129">
        <v>0</v>
      </c>
      <c r="H996" s="92"/>
      <c r="I996" s="92"/>
      <c r="J996" s="1538"/>
      <c r="K996" s="1539"/>
      <c r="L996" s="129">
        <v>0</v>
      </c>
      <c r="N996" s="129">
        <f t="shared" si="15"/>
        <v>0</v>
      </c>
    </row>
    <row r="997" spans="2:14">
      <c r="B997" s="92"/>
      <c r="C997" s="92"/>
      <c r="D997" s="1671">
        <v>3111000</v>
      </c>
      <c r="E997" s="1515" t="s">
        <v>216</v>
      </c>
      <c r="F997" s="1690">
        <v>471490</v>
      </c>
      <c r="H997" s="92"/>
      <c r="I997" s="92"/>
      <c r="J997" s="1671">
        <v>3111000</v>
      </c>
      <c r="K997" s="1515" t="s">
        <v>216</v>
      </c>
      <c r="L997" s="1690">
        <v>471490</v>
      </c>
      <c r="N997" s="1690">
        <f t="shared" si="15"/>
        <v>0</v>
      </c>
    </row>
    <row r="998" spans="2:14">
      <c r="B998" s="92"/>
      <c r="C998" s="92"/>
      <c r="D998" s="61">
        <v>3111001</v>
      </c>
      <c r="E998" s="86" t="s">
        <v>234</v>
      </c>
      <c r="F998" s="129">
        <v>158200</v>
      </c>
      <c r="H998" s="92"/>
      <c r="I998" s="92"/>
      <c r="J998" s="61">
        <v>3111001</v>
      </c>
      <c r="K998" s="86" t="s">
        <v>234</v>
      </c>
      <c r="L998" s="129">
        <v>158200</v>
      </c>
      <c r="N998" s="129">
        <f t="shared" si="15"/>
        <v>0</v>
      </c>
    </row>
    <row r="999" spans="2:14">
      <c r="B999" s="1681"/>
      <c r="C999" s="1681"/>
      <c r="D999" s="19">
        <v>3111002</v>
      </c>
      <c r="E999" s="20" t="s">
        <v>71</v>
      </c>
      <c r="F999" s="129">
        <v>173370</v>
      </c>
      <c r="H999" s="1681"/>
      <c r="I999" s="1681"/>
      <c r="J999" s="19">
        <v>3111002</v>
      </c>
      <c r="K999" s="20" t="s">
        <v>71</v>
      </c>
      <c r="L999" s="129">
        <v>173370</v>
      </c>
      <c r="N999" s="129">
        <f t="shared" si="15"/>
        <v>0</v>
      </c>
    </row>
    <row r="1000" spans="2:14">
      <c r="B1000" s="92"/>
      <c r="C1000" s="92"/>
      <c r="D1000" s="19">
        <v>3111009</v>
      </c>
      <c r="E1000" s="20" t="s">
        <v>253</v>
      </c>
      <c r="F1000" s="129">
        <v>139920</v>
      </c>
      <c r="H1000" s="92"/>
      <c r="I1000" s="92"/>
      <c r="J1000" s="19">
        <v>3111009</v>
      </c>
      <c r="K1000" s="20" t="s">
        <v>253</v>
      </c>
      <c r="L1000" s="129">
        <v>139920</v>
      </c>
      <c r="N1000" s="129">
        <f t="shared" si="15"/>
        <v>0</v>
      </c>
    </row>
    <row r="1001" spans="2:14">
      <c r="B1001" s="1684"/>
      <c r="C1001" s="1684"/>
      <c r="D1001" s="1691"/>
      <c r="E1001" s="1620" t="s">
        <v>99</v>
      </c>
      <c r="F1001" s="1686">
        <v>34889216.009999998</v>
      </c>
      <c r="H1001" s="1684"/>
      <c r="I1001" s="1684"/>
      <c r="J1001" s="1691"/>
      <c r="K1001" s="1620" t="s">
        <v>99</v>
      </c>
      <c r="L1001" s="1686">
        <v>34889216.009999998</v>
      </c>
      <c r="N1001" s="1686">
        <f t="shared" si="15"/>
        <v>0</v>
      </c>
    </row>
    <row r="1002" spans="2:14">
      <c r="B1002" s="92"/>
      <c r="C1002" s="92"/>
      <c r="D1002" s="61"/>
      <c r="E1002" s="74"/>
      <c r="F1002" s="174"/>
      <c r="H1002" s="92"/>
      <c r="I1002" s="92"/>
      <c r="J1002" s="61"/>
      <c r="K1002" s="74"/>
      <c r="L1002" s="174"/>
      <c r="N1002" s="174">
        <f t="shared" si="15"/>
        <v>0</v>
      </c>
    </row>
    <row r="1003" spans="2:14">
      <c r="B1003" s="1681"/>
      <c r="C1003" s="1681"/>
      <c r="D1003" s="1671"/>
      <c r="E1003" s="1680" t="s">
        <v>217</v>
      </c>
      <c r="F1003" s="1689"/>
      <c r="H1003" s="1681"/>
      <c r="I1003" s="1681"/>
      <c r="J1003" s="1671"/>
      <c r="K1003" s="1680" t="s">
        <v>217</v>
      </c>
      <c r="L1003" s="1689"/>
      <c r="N1003" s="1689">
        <f t="shared" si="15"/>
        <v>0</v>
      </c>
    </row>
    <row r="1004" spans="2:14" ht="30">
      <c r="B1004" s="92"/>
      <c r="C1004" s="92"/>
      <c r="D1004" s="61">
        <v>3111404</v>
      </c>
      <c r="E1004" s="86" t="s">
        <v>1518</v>
      </c>
      <c r="F1004" s="129">
        <v>2000000</v>
      </c>
      <c r="H1004" s="92"/>
      <c r="I1004" s="92"/>
      <c r="J1004" s="61">
        <v>3111404</v>
      </c>
      <c r="K1004" s="86" t="s">
        <v>1518</v>
      </c>
      <c r="L1004" s="129">
        <v>2000000</v>
      </c>
      <c r="N1004" s="129">
        <f t="shared" si="15"/>
        <v>0</v>
      </c>
    </row>
    <row r="1005" spans="2:14">
      <c r="B1005" s="1681"/>
      <c r="C1005" s="1681"/>
      <c r="D1005" s="1671"/>
      <c r="E1005" s="1680" t="s">
        <v>175</v>
      </c>
      <c r="F1005" s="1689">
        <v>2000000</v>
      </c>
      <c r="H1005" s="1681"/>
      <c r="I1005" s="1681"/>
      <c r="J1005" s="1671"/>
      <c r="K1005" s="1680" t="s">
        <v>175</v>
      </c>
      <c r="L1005" s="1689">
        <v>2000000</v>
      </c>
      <c r="N1005" s="1689">
        <f t="shared" si="15"/>
        <v>0</v>
      </c>
    </row>
    <row r="1006" spans="2:14">
      <c r="B1006" s="1684"/>
      <c r="C1006" s="1684"/>
      <c r="D1006" s="1507"/>
      <c r="E1006" s="1620" t="s">
        <v>231</v>
      </c>
      <c r="F1006" s="1686">
        <v>36889216.009999998</v>
      </c>
      <c r="H1006" s="1684"/>
      <c r="I1006" s="1684"/>
      <c r="J1006" s="1507"/>
      <c r="K1006" s="1620" t="s">
        <v>231</v>
      </c>
      <c r="L1006" s="1686">
        <v>36889216.009999998</v>
      </c>
      <c r="N1006" s="1686">
        <f t="shared" si="15"/>
        <v>0</v>
      </c>
    </row>
    <row r="1007" spans="2:14">
      <c r="B1007" s="1692"/>
      <c r="C1007" s="1692"/>
      <c r="D1007" s="1693"/>
      <c r="E1007" s="1694"/>
      <c r="F1007" s="1695"/>
      <c r="H1007" s="1692"/>
      <c r="I1007" s="1692"/>
      <c r="J1007" s="1693"/>
      <c r="K1007" s="1694"/>
      <c r="L1007" s="1695"/>
      <c r="N1007" s="1695">
        <f t="shared" si="15"/>
        <v>0</v>
      </c>
    </row>
    <row r="1008" spans="2:14">
      <c r="B1008" s="92"/>
      <c r="C1008" s="92"/>
      <c r="D1008" s="61"/>
      <c r="E1008" s="74"/>
      <c r="F1008" s="174"/>
      <c r="H1008" s="92"/>
      <c r="I1008" s="92"/>
      <c r="J1008" s="61"/>
      <c r="K1008" s="74"/>
      <c r="L1008" s="174"/>
      <c r="N1008" s="174">
        <f t="shared" si="15"/>
        <v>0</v>
      </c>
    </row>
    <row r="1009" spans="2:14">
      <c r="B1009" s="92"/>
      <c r="C1009" s="92" t="s">
        <v>146</v>
      </c>
      <c r="D1009" s="1671" t="s">
        <v>232</v>
      </c>
      <c r="E1009" s="1680"/>
      <c r="F1009" s="174"/>
      <c r="H1009" s="92"/>
      <c r="I1009" s="92" t="s">
        <v>146</v>
      </c>
      <c r="J1009" s="1671" t="s">
        <v>232</v>
      </c>
      <c r="K1009" s="1680"/>
      <c r="L1009" s="174"/>
      <c r="N1009" s="174">
        <f t="shared" si="15"/>
        <v>0</v>
      </c>
    </row>
    <row r="1010" spans="2:14">
      <c r="B1010" s="1681"/>
      <c r="C1010" s="1681"/>
      <c r="D1010" s="1671">
        <v>2110100</v>
      </c>
      <c r="E1010" s="1515" t="s">
        <v>233</v>
      </c>
      <c r="F1010" s="1690">
        <v>3538458</v>
      </c>
      <c r="H1010" s="1681"/>
      <c r="I1010" s="1681"/>
      <c r="J1010" s="1671">
        <v>2110100</v>
      </c>
      <c r="K1010" s="1515" t="s">
        <v>233</v>
      </c>
      <c r="L1010" s="1690">
        <v>3538458</v>
      </c>
      <c r="N1010" s="1690">
        <f t="shared" si="15"/>
        <v>0</v>
      </c>
    </row>
    <row r="1011" spans="2:14">
      <c r="B1011" s="92"/>
      <c r="C1011" s="92"/>
      <c r="D1011" s="61">
        <v>2110101</v>
      </c>
      <c r="E1011" s="86" t="s">
        <v>233</v>
      </c>
      <c r="F1011" s="129">
        <v>3538458</v>
      </c>
      <c r="H1011" s="92"/>
      <c r="I1011" s="92"/>
      <c r="J1011" s="61">
        <v>2110101</v>
      </c>
      <c r="K1011" s="86" t="s">
        <v>233</v>
      </c>
      <c r="L1011" s="129">
        <v>3538458</v>
      </c>
      <c r="N1011" s="129">
        <f t="shared" si="15"/>
        <v>0</v>
      </c>
    </row>
    <row r="1012" spans="2:14">
      <c r="B1012" s="1681" t="s">
        <v>144</v>
      </c>
      <c r="C1012" s="1681"/>
      <c r="D1012" s="1671">
        <v>2210200</v>
      </c>
      <c r="E1012" s="1515" t="s">
        <v>20</v>
      </c>
      <c r="F1012" s="1690">
        <v>343000</v>
      </c>
      <c r="H1012" s="1681" t="s">
        <v>144</v>
      </c>
      <c r="I1012" s="1681"/>
      <c r="J1012" s="1671">
        <v>2210200</v>
      </c>
      <c r="K1012" s="1515" t="s">
        <v>20</v>
      </c>
      <c r="L1012" s="1690">
        <v>343000</v>
      </c>
      <c r="N1012" s="1690">
        <f t="shared" si="15"/>
        <v>0</v>
      </c>
    </row>
    <row r="1013" spans="2:14">
      <c r="B1013" s="92"/>
      <c r="C1013" s="92"/>
      <c r="D1013" s="61">
        <v>2210201</v>
      </c>
      <c r="E1013" s="86" t="s">
        <v>187</v>
      </c>
      <c r="F1013" s="129">
        <v>200000</v>
      </c>
      <c r="H1013" s="92"/>
      <c r="I1013" s="92"/>
      <c r="J1013" s="61">
        <v>2210201</v>
      </c>
      <c r="K1013" s="86" t="s">
        <v>187</v>
      </c>
      <c r="L1013" s="129">
        <v>200000</v>
      </c>
      <c r="N1013" s="129">
        <f t="shared" si="15"/>
        <v>0</v>
      </c>
    </row>
    <row r="1014" spans="2:14">
      <c r="B1014" s="92"/>
      <c r="C1014" s="92"/>
      <c r="D1014" s="19">
        <v>2210202</v>
      </c>
      <c r="E1014" s="20" t="s">
        <v>22</v>
      </c>
      <c r="F1014" s="129">
        <v>143000</v>
      </c>
      <c r="H1014" s="92"/>
      <c r="I1014" s="92"/>
      <c r="J1014" s="19">
        <v>2210202</v>
      </c>
      <c r="K1014" s="20" t="s">
        <v>22</v>
      </c>
      <c r="L1014" s="129">
        <v>143000</v>
      </c>
      <c r="N1014" s="129">
        <f t="shared" si="15"/>
        <v>0</v>
      </c>
    </row>
    <row r="1015" spans="2:14">
      <c r="B1015" s="1681"/>
      <c r="C1015" s="1681"/>
      <c r="D1015" s="1671">
        <v>2210300</v>
      </c>
      <c r="E1015" s="1515" t="s">
        <v>24</v>
      </c>
      <c r="F1015" s="1690">
        <v>2050000</v>
      </c>
      <c r="H1015" s="1681"/>
      <c r="I1015" s="1681"/>
      <c r="J1015" s="1671">
        <v>2210300</v>
      </c>
      <c r="K1015" s="1515" t="s">
        <v>24</v>
      </c>
      <c r="L1015" s="1690">
        <v>2050000</v>
      </c>
      <c r="N1015" s="1690">
        <f t="shared" si="15"/>
        <v>0</v>
      </c>
    </row>
    <row r="1016" spans="2:14">
      <c r="B1016" s="92"/>
      <c r="C1016" s="92"/>
      <c r="D1016" s="61">
        <v>2210302</v>
      </c>
      <c r="E1016" s="86" t="s">
        <v>26</v>
      </c>
      <c r="F1016" s="129">
        <v>750000</v>
      </c>
      <c r="H1016" s="92"/>
      <c r="I1016" s="92"/>
      <c r="J1016" s="61">
        <v>2210302</v>
      </c>
      <c r="K1016" s="86" t="s">
        <v>26</v>
      </c>
      <c r="L1016" s="129">
        <v>750000</v>
      </c>
      <c r="N1016" s="129">
        <f t="shared" si="15"/>
        <v>0</v>
      </c>
    </row>
    <row r="1017" spans="2:14">
      <c r="B1017" s="92"/>
      <c r="C1017" s="92"/>
      <c r="D1017" s="61">
        <v>2210303</v>
      </c>
      <c r="E1017" s="86" t="s">
        <v>223</v>
      </c>
      <c r="F1017" s="129">
        <v>950000</v>
      </c>
      <c r="H1017" s="92"/>
      <c r="I1017" s="92"/>
      <c r="J1017" s="61">
        <v>2210303</v>
      </c>
      <c r="K1017" s="86" t="s">
        <v>223</v>
      </c>
      <c r="L1017" s="129">
        <v>950000</v>
      </c>
      <c r="N1017" s="129">
        <f t="shared" si="15"/>
        <v>0</v>
      </c>
    </row>
    <row r="1018" spans="2:14">
      <c r="B1018" s="1681"/>
      <c r="C1018" s="1681"/>
      <c r="D1018" s="61">
        <v>2210304</v>
      </c>
      <c r="E1018" s="86" t="s">
        <v>28</v>
      </c>
      <c r="F1018" s="129">
        <v>350000</v>
      </c>
      <c r="H1018" s="1681"/>
      <c r="I1018" s="1681"/>
      <c r="J1018" s="61">
        <v>2210304</v>
      </c>
      <c r="K1018" s="86" t="s">
        <v>28</v>
      </c>
      <c r="L1018" s="129">
        <v>350000</v>
      </c>
      <c r="N1018" s="129">
        <f t="shared" si="15"/>
        <v>0</v>
      </c>
    </row>
    <row r="1019" spans="2:14">
      <c r="B1019" s="92"/>
      <c r="C1019" s="92"/>
      <c r="D1019" s="1663">
        <v>2210500</v>
      </c>
      <c r="E1019" s="1664" t="s">
        <v>31</v>
      </c>
      <c r="F1019" s="1690">
        <v>1200000</v>
      </c>
      <c r="H1019" s="92"/>
      <c r="I1019" s="92"/>
      <c r="J1019" s="1663">
        <v>2210500</v>
      </c>
      <c r="K1019" s="1664" t="s">
        <v>31</v>
      </c>
      <c r="L1019" s="1690">
        <v>1200000</v>
      </c>
      <c r="N1019" s="1690">
        <f t="shared" si="15"/>
        <v>0</v>
      </c>
    </row>
    <row r="1020" spans="2:14">
      <c r="B1020" s="1681"/>
      <c r="C1020" s="1681"/>
      <c r="D1020" s="1538">
        <v>2210505</v>
      </c>
      <c r="E1020" s="1539" t="s">
        <v>192</v>
      </c>
      <c r="F1020" s="129">
        <v>1200000</v>
      </c>
      <c r="H1020" s="1681"/>
      <c r="I1020" s="1681"/>
      <c r="J1020" s="1538">
        <v>2210505</v>
      </c>
      <c r="K1020" s="1539" t="s">
        <v>192</v>
      </c>
      <c r="L1020" s="129">
        <v>1200000</v>
      </c>
      <c r="N1020" s="129">
        <f t="shared" si="15"/>
        <v>0</v>
      </c>
    </row>
    <row r="1021" spans="2:14">
      <c r="B1021" s="1681"/>
      <c r="C1021" s="1681"/>
      <c r="D1021" s="1671">
        <v>2210800</v>
      </c>
      <c r="E1021" s="1515" t="s">
        <v>42</v>
      </c>
      <c r="F1021" s="1690">
        <v>850000</v>
      </c>
      <c r="H1021" s="1681"/>
      <c r="I1021" s="1681"/>
      <c r="J1021" s="1671">
        <v>2210800</v>
      </c>
      <c r="K1021" s="1515" t="s">
        <v>42</v>
      </c>
      <c r="L1021" s="1690">
        <v>850000</v>
      </c>
      <c r="N1021" s="1690">
        <f t="shared" si="15"/>
        <v>0</v>
      </c>
    </row>
    <row r="1022" spans="2:14">
      <c r="B1022" s="1681"/>
      <c r="C1022" s="1681"/>
      <c r="D1022" s="61">
        <v>2210801</v>
      </c>
      <c r="E1022" s="86" t="s">
        <v>43</v>
      </c>
      <c r="F1022" s="129">
        <v>500000</v>
      </c>
      <c r="H1022" s="1681"/>
      <c r="I1022" s="1681"/>
      <c r="J1022" s="61">
        <v>2210801</v>
      </c>
      <c r="K1022" s="86" t="s">
        <v>43</v>
      </c>
      <c r="L1022" s="129">
        <v>500000</v>
      </c>
      <c r="N1022" s="129">
        <f t="shared" si="15"/>
        <v>0</v>
      </c>
    </row>
    <row r="1023" spans="2:14">
      <c r="B1023" s="1681"/>
      <c r="C1023" s="1681"/>
      <c r="D1023" s="61">
        <v>2210802</v>
      </c>
      <c r="E1023" s="86" t="s">
        <v>97</v>
      </c>
      <c r="F1023" s="129">
        <v>350000</v>
      </c>
      <c r="H1023" s="1681"/>
      <c r="I1023" s="1681"/>
      <c r="J1023" s="61">
        <v>2210802</v>
      </c>
      <c r="K1023" s="86" t="s">
        <v>97</v>
      </c>
      <c r="L1023" s="129">
        <v>350000</v>
      </c>
      <c r="N1023" s="129">
        <f t="shared" si="15"/>
        <v>0</v>
      </c>
    </row>
    <row r="1024" spans="2:14">
      <c r="B1024" s="1681"/>
      <c r="C1024" s="1681"/>
      <c r="D1024" s="1671">
        <v>2211100</v>
      </c>
      <c r="E1024" s="1515" t="s">
        <v>51</v>
      </c>
      <c r="F1024" s="1690">
        <v>600000</v>
      </c>
      <c r="H1024" s="1681"/>
      <c r="I1024" s="1681"/>
      <c r="J1024" s="1671">
        <v>2211100</v>
      </c>
      <c r="K1024" s="1515" t="s">
        <v>51</v>
      </c>
      <c r="L1024" s="1690">
        <v>600000</v>
      </c>
      <c r="N1024" s="1690">
        <f t="shared" si="15"/>
        <v>0</v>
      </c>
    </row>
    <row r="1025" spans="2:14" ht="30">
      <c r="B1025" s="1681"/>
      <c r="C1025" s="1681"/>
      <c r="D1025" s="61">
        <v>2211101</v>
      </c>
      <c r="E1025" s="86" t="s">
        <v>197</v>
      </c>
      <c r="F1025" s="129">
        <v>350000</v>
      </c>
      <c r="H1025" s="1681"/>
      <c r="I1025" s="1681"/>
      <c r="J1025" s="61">
        <v>2211101</v>
      </c>
      <c r="K1025" s="86" t="s">
        <v>197</v>
      </c>
      <c r="L1025" s="129">
        <v>350000</v>
      </c>
      <c r="N1025" s="129">
        <f t="shared" si="15"/>
        <v>0</v>
      </c>
    </row>
    <row r="1026" spans="2:14">
      <c r="B1026" s="1681"/>
      <c r="C1026" s="1681"/>
      <c r="D1026" s="61">
        <v>2211102</v>
      </c>
      <c r="E1026" s="86" t="s">
        <v>213</v>
      </c>
      <c r="F1026" s="129">
        <v>250000</v>
      </c>
      <c r="H1026" s="1681"/>
      <c r="I1026" s="1681"/>
      <c r="J1026" s="61">
        <v>2211102</v>
      </c>
      <c r="K1026" s="86" t="s">
        <v>213</v>
      </c>
      <c r="L1026" s="129">
        <v>250000</v>
      </c>
      <c r="N1026" s="129">
        <f t="shared" si="15"/>
        <v>0</v>
      </c>
    </row>
    <row r="1027" spans="2:14">
      <c r="B1027" s="1681"/>
      <c r="C1027" s="1681"/>
      <c r="D1027" s="1671">
        <v>2211200</v>
      </c>
      <c r="E1027" s="1515" t="s">
        <v>55</v>
      </c>
      <c r="F1027" s="1690">
        <v>1066666.67</v>
      </c>
      <c r="H1027" s="1681"/>
      <c r="I1027" s="1681"/>
      <c r="J1027" s="1671">
        <v>2211200</v>
      </c>
      <c r="K1027" s="1515" t="s">
        <v>55</v>
      </c>
      <c r="L1027" s="1690">
        <v>1066666.67</v>
      </c>
      <c r="N1027" s="1690">
        <f t="shared" si="15"/>
        <v>0</v>
      </c>
    </row>
    <row r="1028" spans="2:14">
      <c r="B1028" s="1681"/>
      <c r="C1028" s="1681"/>
      <c r="D1028" s="61">
        <v>2211201</v>
      </c>
      <c r="E1028" s="86" t="s">
        <v>56</v>
      </c>
      <c r="F1028" s="129">
        <v>350000</v>
      </c>
      <c r="H1028" s="1681"/>
      <c r="I1028" s="1681"/>
      <c r="J1028" s="61">
        <v>2211201</v>
      </c>
      <c r="K1028" s="86" t="s">
        <v>56</v>
      </c>
      <c r="L1028" s="129">
        <v>350000</v>
      </c>
      <c r="N1028" s="129">
        <f t="shared" si="15"/>
        <v>0</v>
      </c>
    </row>
    <row r="1029" spans="2:14">
      <c r="B1029" s="92"/>
      <c r="C1029" s="92"/>
      <c r="D1029" s="19" t="s">
        <v>247</v>
      </c>
      <c r="E1029" s="20" t="s">
        <v>248</v>
      </c>
      <c r="F1029" s="129">
        <v>716666.66999999993</v>
      </c>
      <c r="H1029" s="92"/>
      <c r="I1029" s="92"/>
      <c r="J1029" s="19" t="s">
        <v>247</v>
      </c>
      <c r="K1029" s="20" t="s">
        <v>248</v>
      </c>
      <c r="L1029" s="129">
        <v>716666.66999999993</v>
      </c>
      <c r="N1029" s="129">
        <f t="shared" si="15"/>
        <v>0</v>
      </c>
    </row>
    <row r="1030" spans="2:14">
      <c r="B1030" s="92"/>
      <c r="C1030" s="92"/>
      <c r="D1030" s="1671">
        <v>2220100</v>
      </c>
      <c r="E1030" s="1515" t="s">
        <v>63</v>
      </c>
      <c r="F1030" s="1690">
        <v>550000</v>
      </c>
      <c r="H1030" s="92"/>
      <c r="I1030" s="92"/>
      <c r="J1030" s="1671">
        <v>2220100</v>
      </c>
      <c r="K1030" s="1515" t="s">
        <v>63</v>
      </c>
      <c r="L1030" s="1690">
        <v>550000</v>
      </c>
      <c r="N1030" s="1690">
        <f t="shared" si="15"/>
        <v>0</v>
      </c>
    </row>
    <row r="1031" spans="2:14">
      <c r="B1031" s="1681"/>
      <c r="C1031" s="1681"/>
      <c r="D1031" s="61">
        <v>2220101</v>
      </c>
      <c r="E1031" s="86" t="s">
        <v>63</v>
      </c>
      <c r="F1031" s="129">
        <v>550000</v>
      </c>
      <c r="H1031" s="1681"/>
      <c r="I1031" s="1681"/>
      <c r="J1031" s="61">
        <v>2220101</v>
      </c>
      <c r="K1031" s="86" t="s">
        <v>63</v>
      </c>
      <c r="L1031" s="129">
        <v>550000</v>
      </c>
      <c r="N1031" s="129">
        <f t="shared" si="15"/>
        <v>0</v>
      </c>
    </row>
    <row r="1032" spans="2:14">
      <c r="B1032" s="92"/>
      <c r="C1032" s="92"/>
      <c r="D1032" s="55">
        <v>2220200</v>
      </c>
      <c r="E1032" s="1518" t="s">
        <v>86</v>
      </c>
      <c r="F1032" s="1690">
        <v>287000</v>
      </c>
      <c r="H1032" s="92"/>
      <c r="I1032" s="92"/>
      <c r="J1032" s="55">
        <v>2220200</v>
      </c>
      <c r="K1032" s="1518" t="s">
        <v>86</v>
      </c>
      <c r="L1032" s="1690">
        <v>287000</v>
      </c>
      <c r="N1032" s="1690">
        <f t="shared" ref="N1032:N1095" si="16">F1032-L1032</f>
        <v>0</v>
      </c>
    </row>
    <row r="1033" spans="2:14">
      <c r="B1033" s="92"/>
      <c r="C1033" s="92"/>
      <c r="D1033" s="19">
        <v>2220202</v>
      </c>
      <c r="E1033" s="20" t="s">
        <v>87</v>
      </c>
      <c r="F1033" s="129">
        <v>150000</v>
      </c>
      <c r="H1033" s="92"/>
      <c r="I1033" s="92"/>
      <c r="J1033" s="19">
        <v>2220202</v>
      </c>
      <c r="K1033" s="20" t="s">
        <v>87</v>
      </c>
      <c r="L1033" s="129">
        <v>150000</v>
      </c>
      <c r="N1033" s="129">
        <f t="shared" si="16"/>
        <v>0</v>
      </c>
    </row>
    <row r="1034" spans="2:14">
      <c r="B1034" s="1681"/>
      <c r="C1034" s="1681"/>
      <c r="D1034" s="19">
        <v>2220205</v>
      </c>
      <c r="E1034" s="20" t="s">
        <v>125</v>
      </c>
      <c r="F1034" s="129">
        <v>137000</v>
      </c>
      <c r="H1034" s="1681"/>
      <c r="I1034" s="1681"/>
      <c r="J1034" s="19">
        <v>2220205</v>
      </c>
      <c r="K1034" s="20" t="s">
        <v>125</v>
      </c>
      <c r="L1034" s="129">
        <v>137000</v>
      </c>
      <c r="N1034" s="129">
        <f t="shared" si="16"/>
        <v>0</v>
      </c>
    </row>
    <row r="1035" spans="2:14">
      <c r="B1035" s="92"/>
      <c r="C1035" s="92"/>
      <c r="D1035" s="1671">
        <v>3111000</v>
      </c>
      <c r="E1035" s="1515" t="s">
        <v>216</v>
      </c>
      <c r="F1035" s="1690">
        <v>669999.98</v>
      </c>
      <c r="H1035" s="92"/>
      <c r="I1035" s="92"/>
      <c r="J1035" s="1671">
        <v>3111000</v>
      </c>
      <c r="K1035" s="1515" t="s">
        <v>216</v>
      </c>
      <c r="L1035" s="1690">
        <v>669999.98</v>
      </c>
      <c r="N1035" s="1690">
        <f t="shared" si="16"/>
        <v>0</v>
      </c>
    </row>
    <row r="1036" spans="2:14">
      <c r="B1036" s="92"/>
      <c r="C1036" s="92"/>
      <c r="D1036" s="61">
        <v>3111001</v>
      </c>
      <c r="E1036" s="86" t="s">
        <v>234</v>
      </c>
      <c r="F1036" s="129">
        <v>249999.97999999998</v>
      </c>
      <c r="H1036" s="92"/>
      <c r="I1036" s="92"/>
      <c r="J1036" s="61">
        <v>3111001</v>
      </c>
      <c r="K1036" s="86" t="s">
        <v>234</v>
      </c>
      <c r="L1036" s="129">
        <v>249999.97999999998</v>
      </c>
      <c r="N1036" s="129">
        <f t="shared" si="16"/>
        <v>0</v>
      </c>
    </row>
    <row r="1037" spans="2:14">
      <c r="B1037" s="1681"/>
      <c r="C1037" s="1681"/>
      <c r="D1037" s="19">
        <v>3111002</v>
      </c>
      <c r="E1037" s="20" t="s">
        <v>71</v>
      </c>
      <c r="F1037" s="129">
        <v>240000</v>
      </c>
      <c r="H1037" s="1681"/>
      <c r="I1037" s="1681"/>
      <c r="J1037" s="19">
        <v>3111002</v>
      </c>
      <c r="K1037" s="20" t="s">
        <v>71</v>
      </c>
      <c r="L1037" s="129">
        <v>240000</v>
      </c>
      <c r="N1037" s="129">
        <f t="shared" si="16"/>
        <v>0</v>
      </c>
    </row>
    <row r="1038" spans="2:14">
      <c r="B1038" s="92"/>
      <c r="C1038" s="92"/>
      <c r="D1038" s="19">
        <v>3111009</v>
      </c>
      <c r="E1038" s="20" t="s">
        <v>253</v>
      </c>
      <c r="F1038" s="129">
        <v>180000</v>
      </c>
      <c r="H1038" s="92"/>
      <c r="I1038" s="92"/>
      <c r="J1038" s="19">
        <v>3111009</v>
      </c>
      <c r="K1038" s="20" t="s">
        <v>253</v>
      </c>
      <c r="L1038" s="129">
        <v>180000</v>
      </c>
      <c r="N1038" s="129">
        <f t="shared" si="16"/>
        <v>0</v>
      </c>
    </row>
    <row r="1039" spans="2:14">
      <c r="B1039" s="1681"/>
      <c r="C1039" s="1681"/>
      <c r="D1039" s="1535"/>
      <c r="E1039" s="1536"/>
      <c r="F1039" s="1690">
        <v>0</v>
      </c>
      <c r="H1039" s="1681"/>
      <c r="I1039" s="1681"/>
      <c r="J1039" s="1535"/>
      <c r="K1039" s="1536"/>
      <c r="L1039" s="1690">
        <v>0</v>
      </c>
      <c r="N1039" s="1690">
        <f t="shared" si="16"/>
        <v>0</v>
      </c>
    </row>
    <row r="1040" spans="2:14">
      <c r="B1040" s="92"/>
      <c r="C1040" s="92"/>
      <c r="D1040" s="1538"/>
      <c r="E1040" s="1539"/>
      <c r="F1040" s="129">
        <v>0</v>
      </c>
      <c r="H1040" s="92"/>
      <c r="I1040" s="92"/>
      <c r="J1040" s="1538"/>
      <c r="K1040" s="1539"/>
      <c r="L1040" s="129">
        <v>0</v>
      </c>
      <c r="N1040" s="129">
        <f t="shared" si="16"/>
        <v>0</v>
      </c>
    </row>
    <row r="1041" spans="2:14">
      <c r="B1041" s="1681"/>
      <c r="C1041" s="1681"/>
      <c r="D1041" s="1696"/>
      <c r="E1041" s="1680" t="s">
        <v>201</v>
      </c>
      <c r="F1041" s="1689">
        <v>11155124.65</v>
      </c>
      <c r="H1041" s="1681"/>
      <c r="I1041" s="1681"/>
      <c r="J1041" s="1696"/>
      <c r="K1041" s="1680" t="s">
        <v>201</v>
      </c>
      <c r="L1041" s="1689">
        <v>11155124.65</v>
      </c>
      <c r="N1041" s="1689">
        <f t="shared" si="16"/>
        <v>0</v>
      </c>
    </row>
    <row r="1042" spans="2:14">
      <c r="B1042" s="1692"/>
      <c r="C1042" s="1692"/>
      <c r="D1042" s="1693"/>
      <c r="E1042" s="1694"/>
      <c r="F1042" s="1695"/>
      <c r="H1042" s="1692"/>
      <c r="I1042" s="1692"/>
      <c r="J1042" s="1693"/>
      <c r="K1042" s="1694"/>
      <c r="L1042" s="1695"/>
      <c r="N1042" s="1695">
        <f t="shared" si="16"/>
        <v>0</v>
      </c>
    </row>
    <row r="1043" spans="2:14">
      <c r="B1043" s="1681"/>
      <c r="C1043" s="1681"/>
      <c r="D1043" s="1671"/>
      <c r="E1043" s="1680" t="s">
        <v>217</v>
      </c>
      <c r="F1043" s="1689"/>
      <c r="H1043" s="1681"/>
      <c r="I1043" s="1681"/>
      <c r="J1043" s="1671"/>
      <c r="K1043" s="1680" t="s">
        <v>217</v>
      </c>
      <c r="L1043" s="1689"/>
      <c r="N1043" s="1689">
        <f t="shared" si="16"/>
        <v>0</v>
      </c>
    </row>
    <row r="1044" spans="2:14" ht="45">
      <c r="B1044" s="92"/>
      <c r="C1044" s="1697"/>
      <c r="D1044" s="61">
        <v>3110504</v>
      </c>
      <c r="E1044" s="86" t="s">
        <v>235</v>
      </c>
      <c r="F1044" s="129">
        <v>1000000</v>
      </c>
      <c r="H1044" s="92"/>
      <c r="I1044" s="1697"/>
      <c r="J1044" s="61">
        <v>3110504</v>
      </c>
      <c r="K1044" s="86" t="s">
        <v>235</v>
      </c>
      <c r="L1044" s="129">
        <v>1000000</v>
      </c>
      <c r="N1044" s="129">
        <f t="shared" si="16"/>
        <v>0</v>
      </c>
    </row>
    <row r="1045" spans="2:14" ht="45">
      <c r="B1045" s="92"/>
      <c r="C1045" s="1697"/>
      <c r="D1045" s="61">
        <v>3110504</v>
      </c>
      <c r="E1045" s="86" t="s">
        <v>1519</v>
      </c>
      <c r="F1045" s="129">
        <v>5542546</v>
      </c>
      <c r="H1045" s="92"/>
      <c r="I1045" s="1697"/>
      <c r="J1045" s="61">
        <v>3110504</v>
      </c>
      <c r="K1045" s="86" t="s">
        <v>1519</v>
      </c>
      <c r="L1045" s="129">
        <v>5542546</v>
      </c>
      <c r="N1045" s="129">
        <f t="shared" si="16"/>
        <v>0</v>
      </c>
    </row>
    <row r="1046" spans="2:14" ht="30">
      <c r="B1046" s="92"/>
      <c r="C1046" s="1697"/>
      <c r="D1046" s="61">
        <v>3110504</v>
      </c>
      <c r="E1046" s="86" t="s">
        <v>236</v>
      </c>
      <c r="F1046" s="129">
        <v>1083001</v>
      </c>
      <c r="H1046" s="92"/>
      <c r="I1046" s="1697"/>
      <c r="J1046" s="61">
        <v>3110504</v>
      </c>
      <c r="K1046" s="86" t="s">
        <v>236</v>
      </c>
      <c r="L1046" s="129">
        <v>1083001</v>
      </c>
      <c r="N1046" s="129">
        <f t="shared" si="16"/>
        <v>0</v>
      </c>
    </row>
    <row r="1047" spans="2:14">
      <c r="B1047" s="1681"/>
      <c r="C1047" s="1681"/>
      <c r="D1047" s="1671"/>
      <c r="E1047" s="1680" t="s">
        <v>175</v>
      </c>
      <c r="F1047" s="1689">
        <v>7625547</v>
      </c>
      <c r="H1047" s="1681"/>
      <c r="I1047" s="1681"/>
      <c r="J1047" s="1671"/>
      <c r="K1047" s="1680" t="s">
        <v>175</v>
      </c>
      <c r="L1047" s="1689">
        <v>7625547</v>
      </c>
      <c r="N1047" s="1689">
        <f t="shared" si="16"/>
        <v>0</v>
      </c>
    </row>
    <row r="1048" spans="2:14">
      <c r="B1048" s="1681"/>
      <c r="C1048" s="1681"/>
      <c r="D1048" s="1671"/>
      <c r="E1048" s="1680" t="s">
        <v>237</v>
      </c>
      <c r="F1048" s="1689">
        <v>18780671.649999999</v>
      </c>
      <c r="H1048" s="1681"/>
      <c r="I1048" s="1681"/>
      <c r="J1048" s="1671"/>
      <c r="K1048" s="1680" t="s">
        <v>237</v>
      </c>
      <c r="L1048" s="1689">
        <v>18780671.649999999</v>
      </c>
      <c r="N1048" s="1689">
        <f t="shared" si="16"/>
        <v>0</v>
      </c>
    </row>
    <row r="1049" spans="2:14">
      <c r="B1049" s="1681"/>
      <c r="C1049" s="1681"/>
      <c r="D1049" s="1671"/>
      <c r="E1049" s="1680" t="s">
        <v>238</v>
      </c>
      <c r="F1049" s="1689">
        <v>95989218.002000004</v>
      </c>
      <c r="H1049" s="1681"/>
      <c r="I1049" s="1681"/>
      <c r="J1049" s="1671"/>
      <c r="K1049" s="1680" t="s">
        <v>238</v>
      </c>
      <c r="L1049" s="1689">
        <v>95989218.002000004</v>
      </c>
      <c r="N1049" s="1689">
        <f t="shared" si="16"/>
        <v>0</v>
      </c>
    </row>
    <row r="1050" spans="2:14">
      <c r="B1050" s="1681"/>
      <c r="C1050" s="1681"/>
      <c r="D1050" s="1671"/>
      <c r="E1050" s="1680" t="s">
        <v>239</v>
      </c>
      <c r="F1050" s="1689">
        <v>12352808</v>
      </c>
      <c r="H1050" s="1681"/>
      <c r="I1050" s="1681"/>
      <c r="J1050" s="1671"/>
      <c r="K1050" s="1680" t="s">
        <v>239</v>
      </c>
      <c r="L1050" s="1689">
        <v>12352808</v>
      </c>
      <c r="N1050" s="1689">
        <f t="shared" si="16"/>
        <v>0</v>
      </c>
    </row>
    <row r="1051" spans="2:14">
      <c r="B1051" s="1681"/>
      <c r="C1051" s="1681"/>
      <c r="D1051" s="1698" t="s">
        <v>240</v>
      </c>
      <c r="E1051" s="1699"/>
      <c r="F1051" s="1689">
        <v>108342026.002</v>
      </c>
      <c r="H1051" s="1681"/>
      <c r="I1051" s="1681"/>
      <c r="J1051" s="1698" t="s">
        <v>240</v>
      </c>
      <c r="K1051" s="1699"/>
      <c r="L1051" s="1689">
        <v>108342026.002</v>
      </c>
      <c r="N1051" s="1689">
        <f t="shared" si="16"/>
        <v>0</v>
      </c>
    </row>
    <row r="1052" spans="2:14">
      <c r="B1052" s="1700"/>
      <c r="C1052" s="1700"/>
      <c r="D1052" s="1693"/>
      <c r="E1052" s="1694"/>
      <c r="F1052" s="1695"/>
      <c r="H1052" s="1700"/>
      <c r="I1052" s="1700"/>
      <c r="J1052" s="1693"/>
      <c r="K1052" s="1694"/>
      <c r="L1052" s="1695"/>
      <c r="N1052" s="1695">
        <f t="shared" si="16"/>
        <v>0</v>
      </c>
    </row>
    <row r="1053" spans="2:14">
      <c r="B1053" s="1681"/>
      <c r="C1053" s="1681"/>
      <c r="D1053" s="1507" t="s">
        <v>241</v>
      </c>
      <c r="E1053" s="1508"/>
      <c r="F1053" s="1659"/>
      <c r="H1053" s="1681"/>
      <c r="I1053" s="1681"/>
      <c r="J1053" s="1507" t="s">
        <v>241</v>
      </c>
      <c r="K1053" s="1508"/>
      <c r="L1053" s="1659"/>
      <c r="N1053" s="1659">
        <f t="shared" si="16"/>
        <v>0</v>
      </c>
    </row>
    <row r="1054" spans="2:14">
      <c r="B1054" s="1681"/>
      <c r="C1054" s="1681"/>
      <c r="D1054" s="1507" t="s">
        <v>242</v>
      </c>
      <c r="E1054" s="1508"/>
      <c r="F1054" s="1659"/>
      <c r="H1054" s="1681"/>
      <c r="I1054" s="1681"/>
      <c r="J1054" s="1507" t="s">
        <v>242</v>
      </c>
      <c r="K1054" s="1508"/>
      <c r="L1054" s="1659"/>
      <c r="N1054" s="1659">
        <f t="shared" si="16"/>
        <v>0</v>
      </c>
    </row>
    <row r="1055" spans="2:14">
      <c r="B1055" s="27"/>
      <c r="C1055" s="27"/>
      <c r="D1055" s="55">
        <v>2110100</v>
      </c>
      <c r="E1055" s="1515" t="s">
        <v>13</v>
      </c>
      <c r="F1055" s="1690">
        <v>8261946</v>
      </c>
      <c r="H1055" s="27"/>
      <c r="I1055" s="27"/>
      <c r="J1055" s="55">
        <v>2110100</v>
      </c>
      <c r="K1055" s="1515" t="s">
        <v>13</v>
      </c>
      <c r="L1055" s="1690">
        <v>8261946</v>
      </c>
      <c r="N1055" s="1690">
        <f t="shared" si="16"/>
        <v>0</v>
      </c>
    </row>
    <row r="1056" spans="2:14">
      <c r="B1056" s="46"/>
      <c r="C1056" s="46"/>
      <c r="D1056" s="19">
        <v>2110101</v>
      </c>
      <c r="E1056" s="86" t="s">
        <v>14</v>
      </c>
      <c r="F1056" s="129">
        <v>8261946</v>
      </c>
      <c r="H1056" s="46"/>
      <c r="I1056" s="46"/>
      <c r="J1056" s="19">
        <v>2110101</v>
      </c>
      <c r="K1056" s="86" t="s">
        <v>14</v>
      </c>
      <c r="L1056" s="129">
        <v>8261946</v>
      </c>
      <c r="N1056" s="129">
        <f t="shared" si="16"/>
        <v>0</v>
      </c>
    </row>
    <row r="1057" spans="2:14">
      <c r="B1057" s="18"/>
      <c r="C1057" s="18"/>
      <c r="D1057" s="19">
        <v>2110101</v>
      </c>
      <c r="E1057" s="86" t="s">
        <v>243</v>
      </c>
      <c r="F1057" s="129">
        <v>0</v>
      </c>
      <c r="H1057" s="18"/>
      <c r="I1057" s="18"/>
      <c r="J1057" s="19">
        <v>2110101</v>
      </c>
      <c r="K1057" s="86" t="s">
        <v>243</v>
      </c>
      <c r="L1057" s="129">
        <v>0</v>
      </c>
      <c r="N1057" s="129">
        <f t="shared" si="16"/>
        <v>0</v>
      </c>
    </row>
    <row r="1058" spans="2:14">
      <c r="B1058" s="27"/>
      <c r="C1058" s="27"/>
      <c r="D1058" s="55" t="s">
        <v>244</v>
      </c>
      <c r="E1058" s="1515" t="s">
        <v>16</v>
      </c>
      <c r="F1058" s="1690">
        <v>26699</v>
      </c>
      <c r="H1058" s="27"/>
      <c r="I1058" s="27"/>
      <c r="J1058" s="55" t="s">
        <v>244</v>
      </c>
      <c r="K1058" s="1515" t="s">
        <v>16</v>
      </c>
      <c r="L1058" s="1690">
        <v>26699</v>
      </c>
      <c r="N1058" s="1690">
        <f t="shared" si="16"/>
        <v>0</v>
      </c>
    </row>
    <row r="1059" spans="2:14">
      <c r="B1059" s="46"/>
      <c r="C1059" s="46"/>
      <c r="D1059" s="19">
        <v>2210101</v>
      </c>
      <c r="E1059" s="86" t="s">
        <v>17</v>
      </c>
      <c r="F1059" s="129">
        <v>10000</v>
      </c>
      <c r="H1059" s="46"/>
      <c r="I1059" s="46"/>
      <c r="J1059" s="19">
        <v>2210101</v>
      </c>
      <c r="K1059" s="86" t="s">
        <v>17</v>
      </c>
      <c r="L1059" s="129">
        <v>10000</v>
      </c>
      <c r="N1059" s="129">
        <f t="shared" si="16"/>
        <v>0</v>
      </c>
    </row>
    <row r="1060" spans="2:14">
      <c r="B1060" s="46"/>
      <c r="C1060" s="46"/>
      <c r="D1060" s="19">
        <v>2210102</v>
      </c>
      <c r="E1060" s="86" t="s">
        <v>18</v>
      </c>
      <c r="F1060" s="129">
        <v>10000</v>
      </c>
      <c r="H1060" s="46"/>
      <c r="I1060" s="46"/>
      <c r="J1060" s="19">
        <v>2210102</v>
      </c>
      <c r="K1060" s="86" t="s">
        <v>18</v>
      </c>
      <c r="L1060" s="129">
        <v>10000</v>
      </c>
      <c r="N1060" s="129">
        <f t="shared" si="16"/>
        <v>0</v>
      </c>
    </row>
    <row r="1061" spans="2:14">
      <c r="B1061" s="46"/>
      <c r="C1061" s="46"/>
      <c r="D1061" s="19">
        <v>2210103</v>
      </c>
      <c r="E1061" s="86" t="s">
        <v>23</v>
      </c>
      <c r="F1061" s="129">
        <v>6699.0000000000009</v>
      </c>
      <c r="H1061" s="46"/>
      <c r="I1061" s="46"/>
      <c r="J1061" s="19">
        <v>2210103</v>
      </c>
      <c r="K1061" s="86" t="s">
        <v>23</v>
      </c>
      <c r="L1061" s="129">
        <v>6699.0000000000009</v>
      </c>
      <c r="N1061" s="129">
        <f t="shared" si="16"/>
        <v>0</v>
      </c>
    </row>
    <row r="1062" spans="2:14">
      <c r="B1062" s="27"/>
      <c r="C1062" s="27"/>
      <c r="D1062" s="55">
        <v>2210200</v>
      </c>
      <c r="E1062" s="1518" t="s">
        <v>20</v>
      </c>
      <c r="F1062" s="1690">
        <v>167500</v>
      </c>
      <c r="H1062" s="27"/>
      <c r="I1062" s="27"/>
      <c r="J1062" s="55">
        <v>2210200</v>
      </c>
      <c r="K1062" s="1518" t="s">
        <v>20</v>
      </c>
      <c r="L1062" s="1690">
        <v>167500</v>
      </c>
      <c r="N1062" s="1690">
        <f t="shared" si="16"/>
        <v>0</v>
      </c>
    </row>
    <row r="1063" spans="2:14">
      <c r="B1063" s="46"/>
      <c r="C1063" s="46"/>
      <c r="D1063" s="19">
        <v>2210201</v>
      </c>
      <c r="E1063" s="20" t="s">
        <v>21</v>
      </c>
      <c r="F1063" s="129">
        <v>157500</v>
      </c>
      <c r="H1063" s="46"/>
      <c r="I1063" s="46"/>
      <c r="J1063" s="19">
        <v>2210201</v>
      </c>
      <c r="K1063" s="20" t="s">
        <v>21</v>
      </c>
      <c r="L1063" s="129">
        <v>157500</v>
      </c>
      <c r="N1063" s="129">
        <f t="shared" si="16"/>
        <v>0</v>
      </c>
    </row>
    <row r="1064" spans="2:14">
      <c r="B1064" s="46"/>
      <c r="C1064" s="46"/>
      <c r="D1064" s="19">
        <v>2210202</v>
      </c>
      <c r="E1064" s="20" t="s">
        <v>22</v>
      </c>
      <c r="F1064" s="129">
        <v>10000</v>
      </c>
      <c r="H1064" s="46"/>
      <c r="I1064" s="46"/>
      <c r="J1064" s="19">
        <v>2210202</v>
      </c>
      <c r="K1064" s="20" t="s">
        <v>22</v>
      </c>
      <c r="L1064" s="129">
        <v>10000</v>
      </c>
      <c r="N1064" s="129">
        <f t="shared" si="16"/>
        <v>0</v>
      </c>
    </row>
    <row r="1065" spans="2:14">
      <c r="B1065" s="27"/>
      <c r="C1065" s="27"/>
      <c r="D1065" s="55">
        <v>2210300</v>
      </c>
      <c r="E1065" s="1518" t="s">
        <v>24</v>
      </c>
      <c r="F1065" s="1690">
        <v>2373360</v>
      </c>
      <c r="H1065" s="27"/>
      <c r="I1065" s="27"/>
      <c r="J1065" s="55">
        <v>2210300</v>
      </c>
      <c r="K1065" s="1518" t="s">
        <v>24</v>
      </c>
      <c r="L1065" s="1690">
        <v>2373360</v>
      </c>
      <c r="N1065" s="1690">
        <f t="shared" si="16"/>
        <v>0</v>
      </c>
    </row>
    <row r="1066" spans="2:14">
      <c r="B1066" s="46"/>
      <c r="C1066" s="46"/>
      <c r="D1066" s="19">
        <v>2210301</v>
      </c>
      <c r="E1066" s="20" t="s">
        <v>25</v>
      </c>
      <c r="F1066" s="129">
        <v>510400.00000000006</v>
      </c>
      <c r="H1066" s="46"/>
      <c r="I1066" s="46"/>
      <c r="J1066" s="19">
        <v>2210301</v>
      </c>
      <c r="K1066" s="20" t="s">
        <v>25</v>
      </c>
      <c r="L1066" s="129">
        <v>510400.00000000006</v>
      </c>
      <c r="N1066" s="129">
        <f t="shared" si="16"/>
        <v>0</v>
      </c>
    </row>
    <row r="1067" spans="2:14">
      <c r="B1067" s="46"/>
      <c r="C1067" s="46"/>
      <c r="D1067" s="19">
        <v>2210302</v>
      </c>
      <c r="E1067" s="20" t="s">
        <v>26</v>
      </c>
      <c r="F1067" s="129">
        <v>669900</v>
      </c>
      <c r="H1067" s="46"/>
      <c r="I1067" s="46"/>
      <c r="J1067" s="19">
        <v>2210302</v>
      </c>
      <c r="K1067" s="20" t="s">
        <v>26</v>
      </c>
      <c r="L1067" s="129">
        <v>669900</v>
      </c>
      <c r="N1067" s="129">
        <f t="shared" si="16"/>
        <v>0</v>
      </c>
    </row>
    <row r="1068" spans="2:14">
      <c r="B1068" s="46"/>
      <c r="C1068" s="46"/>
      <c r="D1068" s="19">
        <v>2210303</v>
      </c>
      <c r="E1068" s="20" t="s">
        <v>27</v>
      </c>
      <c r="F1068" s="129">
        <v>988900.00000000012</v>
      </c>
      <c r="H1068" s="46"/>
      <c r="I1068" s="46"/>
      <c r="J1068" s="19">
        <v>2210303</v>
      </c>
      <c r="K1068" s="20" t="s">
        <v>27</v>
      </c>
      <c r="L1068" s="129">
        <v>988900.00000000012</v>
      </c>
      <c r="N1068" s="129">
        <f t="shared" si="16"/>
        <v>0</v>
      </c>
    </row>
    <row r="1069" spans="2:14">
      <c r="B1069" s="46"/>
      <c r="C1069" s="46"/>
      <c r="D1069" s="61">
        <v>2210304</v>
      </c>
      <c r="E1069" s="86" t="s">
        <v>28</v>
      </c>
      <c r="F1069" s="129">
        <v>204160.00000000003</v>
      </c>
      <c r="H1069" s="46"/>
      <c r="I1069" s="46"/>
      <c r="J1069" s="61">
        <v>2210304</v>
      </c>
      <c r="K1069" s="86" t="s">
        <v>28</v>
      </c>
      <c r="L1069" s="129">
        <v>204160.00000000003</v>
      </c>
      <c r="N1069" s="129">
        <f t="shared" si="16"/>
        <v>0</v>
      </c>
    </row>
    <row r="1070" spans="2:14">
      <c r="B1070" s="27"/>
      <c r="C1070" s="27"/>
      <c r="D1070" s="55">
        <v>2210500</v>
      </c>
      <c r="E1070" s="1518" t="s">
        <v>31</v>
      </c>
      <c r="F1070" s="1690">
        <v>455515</v>
      </c>
      <c r="H1070" s="27"/>
      <c r="I1070" s="27"/>
      <c r="J1070" s="55">
        <v>2210500</v>
      </c>
      <c r="K1070" s="1518" t="s">
        <v>31</v>
      </c>
      <c r="L1070" s="1690">
        <v>455515</v>
      </c>
      <c r="N1070" s="1690">
        <f t="shared" si="16"/>
        <v>0</v>
      </c>
    </row>
    <row r="1071" spans="2:14">
      <c r="B1071" s="36"/>
      <c r="C1071" s="36"/>
      <c r="D1071" s="19">
        <v>2210502</v>
      </c>
      <c r="E1071" s="20" t="s">
        <v>245</v>
      </c>
      <c r="F1071" s="129">
        <v>102080.00000000001</v>
      </c>
      <c r="H1071" s="36"/>
      <c r="I1071" s="36"/>
      <c r="J1071" s="19">
        <v>2210502</v>
      </c>
      <c r="K1071" s="20" t="s">
        <v>245</v>
      </c>
      <c r="L1071" s="129">
        <v>102080.00000000001</v>
      </c>
      <c r="N1071" s="129">
        <f t="shared" si="16"/>
        <v>0</v>
      </c>
    </row>
    <row r="1072" spans="2:14">
      <c r="B1072" s="46"/>
      <c r="C1072" s="46"/>
      <c r="D1072" s="19">
        <v>2210503</v>
      </c>
      <c r="E1072" s="20" t="s">
        <v>32</v>
      </c>
      <c r="F1072" s="129">
        <v>15000</v>
      </c>
      <c r="H1072" s="46"/>
      <c r="I1072" s="46"/>
      <c r="J1072" s="19">
        <v>2210503</v>
      </c>
      <c r="K1072" s="20" t="s">
        <v>32</v>
      </c>
      <c r="L1072" s="129">
        <v>15000</v>
      </c>
      <c r="N1072" s="129">
        <f t="shared" si="16"/>
        <v>0</v>
      </c>
    </row>
    <row r="1073" spans="2:14">
      <c r="B1073" s="46"/>
      <c r="C1073" s="46"/>
      <c r="D1073" s="61">
        <v>2210504</v>
      </c>
      <c r="E1073" s="86" t="s">
        <v>171</v>
      </c>
      <c r="F1073" s="129">
        <v>338435</v>
      </c>
      <c r="H1073" s="46"/>
      <c r="I1073" s="46"/>
      <c r="J1073" s="61">
        <v>2210504</v>
      </c>
      <c r="K1073" s="86" t="s">
        <v>171</v>
      </c>
      <c r="L1073" s="129">
        <v>338435</v>
      </c>
      <c r="N1073" s="129">
        <f t="shared" si="16"/>
        <v>0</v>
      </c>
    </row>
    <row r="1074" spans="2:14">
      <c r="B1074" s="1583"/>
      <c r="C1074" s="1583"/>
      <c r="D1074" s="55">
        <v>2210700</v>
      </c>
      <c r="E1074" s="1518" t="s">
        <v>35</v>
      </c>
      <c r="F1074" s="1690">
        <v>949221</v>
      </c>
      <c r="H1074" s="1583"/>
      <c r="I1074" s="1583"/>
      <c r="J1074" s="55">
        <v>2210700</v>
      </c>
      <c r="K1074" s="1518" t="s">
        <v>35</v>
      </c>
      <c r="L1074" s="1690">
        <v>949221</v>
      </c>
      <c r="N1074" s="1690">
        <f t="shared" si="16"/>
        <v>0</v>
      </c>
    </row>
    <row r="1075" spans="2:14">
      <c r="B1075" s="46"/>
      <c r="C1075" s="46"/>
      <c r="D1075" s="19">
        <v>2210701</v>
      </c>
      <c r="E1075" s="20" t="s">
        <v>36</v>
      </c>
      <c r="F1075" s="129">
        <v>350000</v>
      </c>
      <c r="H1075" s="46"/>
      <c r="I1075" s="46"/>
      <c r="J1075" s="19">
        <v>2210701</v>
      </c>
      <c r="K1075" s="20" t="s">
        <v>36</v>
      </c>
      <c r="L1075" s="129">
        <v>350000</v>
      </c>
      <c r="N1075" s="129">
        <f t="shared" si="16"/>
        <v>0</v>
      </c>
    </row>
    <row r="1076" spans="2:14">
      <c r="B1076" s="46"/>
      <c r="C1076" s="46"/>
      <c r="D1076" s="19">
        <v>2210702</v>
      </c>
      <c r="E1076" s="20" t="s">
        <v>95</v>
      </c>
      <c r="F1076" s="129">
        <v>100000</v>
      </c>
      <c r="H1076" s="46"/>
      <c r="I1076" s="46"/>
      <c r="J1076" s="19">
        <v>2210702</v>
      </c>
      <c r="K1076" s="20" t="s">
        <v>95</v>
      </c>
      <c r="L1076" s="129">
        <v>100000</v>
      </c>
      <c r="N1076" s="129">
        <f t="shared" si="16"/>
        <v>0</v>
      </c>
    </row>
    <row r="1077" spans="2:14">
      <c r="B1077" s="46"/>
      <c r="C1077" s="46"/>
      <c r="D1077" s="19">
        <v>2210703</v>
      </c>
      <c r="E1077" s="20" t="s">
        <v>107</v>
      </c>
      <c r="F1077" s="129">
        <v>99221</v>
      </c>
      <c r="H1077" s="46"/>
      <c r="I1077" s="46"/>
      <c r="J1077" s="19">
        <v>2210703</v>
      </c>
      <c r="K1077" s="20" t="s">
        <v>107</v>
      </c>
      <c r="L1077" s="129">
        <v>99221</v>
      </c>
      <c r="N1077" s="129">
        <f t="shared" si="16"/>
        <v>0</v>
      </c>
    </row>
    <row r="1078" spans="2:14">
      <c r="B1078" s="46"/>
      <c r="C1078" s="46"/>
      <c r="D1078" s="19">
        <v>2210704</v>
      </c>
      <c r="E1078" s="20" t="s">
        <v>38</v>
      </c>
      <c r="F1078" s="129">
        <v>100000</v>
      </c>
      <c r="H1078" s="46"/>
      <c r="I1078" s="46"/>
      <c r="J1078" s="19">
        <v>2210704</v>
      </c>
      <c r="K1078" s="20" t="s">
        <v>38</v>
      </c>
      <c r="L1078" s="129">
        <v>100000</v>
      </c>
      <c r="N1078" s="129">
        <f t="shared" si="16"/>
        <v>0</v>
      </c>
    </row>
    <row r="1079" spans="2:14">
      <c r="B1079" s="46"/>
      <c r="C1079" s="46"/>
      <c r="D1079" s="19">
        <v>2210710</v>
      </c>
      <c r="E1079" s="20" t="s">
        <v>39</v>
      </c>
      <c r="F1079" s="129">
        <v>100000</v>
      </c>
      <c r="H1079" s="46"/>
      <c r="I1079" s="46"/>
      <c r="J1079" s="19">
        <v>2210710</v>
      </c>
      <c r="K1079" s="20" t="s">
        <v>39</v>
      </c>
      <c r="L1079" s="129">
        <v>100000</v>
      </c>
      <c r="N1079" s="129">
        <f t="shared" si="16"/>
        <v>0</v>
      </c>
    </row>
    <row r="1080" spans="2:14">
      <c r="B1080" s="46"/>
      <c r="C1080" s="46"/>
      <c r="D1080" s="19" t="s">
        <v>1240</v>
      </c>
      <c r="E1080" s="20" t="s">
        <v>1241</v>
      </c>
      <c r="F1080" s="129">
        <v>100000</v>
      </c>
      <c r="H1080" s="46"/>
      <c r="I1080" s="46"/>
      <c r="J1080" s="19" t="s">
        <v>1240</v>
      </c>
      <c r="K1080" s="20" t="s">
        <v>1241</v>
      </c>
      <c r="L1080" s="129">
        <v>100000</v>
      </c>
      <c r="N1080" s="129">
        <f t="shared" si="16"/>
        <v>0</v>
      </c>
    </row>
    <row r="1081" spans="2:14">
      <c r="B1081" s="46"/>
      <c r="C1081" s="46"/>
      <c r="D1081" s="19">
        <v>2210715</v>
      </c>
      <c r="E1081" s="20" t="s">
        <v>40</v>
      </c>
      <c r="F1081" s="129">
        <v>100000</v>
      </c>
      <c r="H1081" s="46"/>
      <c r="I1081" s="46"/>
      <c r="J1081" s="19">
        <v>2210715</v>
      </c>
      <c r="K1081" s="20" t="s">
        <v>40</v>
      </c>
      <c r="L1081" s="129">
        <v>100000</v>
      </c>
      <c r="N1081" s="129">
        <f t="shared" si="16"/>
        <v>0</v>
      </c>
    </row>
    <row r="1082" spans="2:14">
      <c r="B1082" s="46"/>
      <c r="C1082" s="46"/>
      <c r="D1082" s="55">
        <v>2210800</v>
      </c>
      <c r="E1082" s="1518" t="s">
        <v>42</v>
      </c>
      <c r="F1082" s="1690">
        <v>30500000</v>
      </c>
      <c r="H1082" s="46"/>
      <c r="I1082" s="46"/>
      <c r="J1082" s="55">
        <v>2210800</v>
      </c>
      <c r="K1082" s="1518" t="s">
        <v>42</v>
      </c>
      <c r="L1082" s="1690">
        <v>30500000</v>
      </c>
      <c r="N1082" s="1690">
        <f t="shared" si="16"/>
        <v>0</v>
      </c>
    </row>
    <row r="1083" spans="2:14">
      <c r="B1083" s="1583"/>
      <c r="C1083" s="1583"/>
      <c r="D1083" s="19">
        <v>2210801</v>
      </c>
      <c r="E1083" s="20" t="s">
        <v>43</v>
      </c>
      <c r="F1083" s="129">
        <v>200000</v>
      </c>
      <c r="H1083" s="1583"/>
      <c r="I1083" s="1583"/>
      <c r="J1083" s="19">
        <v>2210801</v>
      </c>
      <c r="K1083" s="20" t="s">
        <v>43</v>
      </c>
      <c r="L1083" s="129">
        <v>200000</v>
      </c>
      <c r="N1083" s="129">
        <f t="shared" si="16"/>
        <v>0</v>
      </c>
    </row>
    <row r="1084" spans="2:14" ht="45">
      <c r="B1084" s="46"/>
      <c r="C1084" s="46"/>
      <c r="D1084" s="19">
        <v>2210802</v>
      </c>
      <c r="E1084" s="20" t="s">
        <v>246</v>
      </c>
      <c r="F1084" s="129">
        <v>300000</v>
      </c>
      <c r="H1084" s="46"/>
      <c r="I1084" s="46"/>
      <c r="J1084" s="19">
        <v>2210802</v>
      </c>
      <c r="K1084" s="20" t="s">
        <v>246</v>
      </c>
      <c r="L1084" s="129">
        <v>300000</v>
      </c>
      <c r="N1084" s="129">
        <f t="shared" si="16"/>
        <v>0</v>
      </c>
    </row>
    <row r="1085" spans="2:14">
      <c r="B1085" s="36"/>
      <c r="C1085" s="36"/>
      <c r="D1085" s="19" t="s">
        <v>1520</v>
      </c>
      <c r="E1085" s="20" t="s">
        <v>1521</v>
      </c>
      <c r="F1085" s="129">
        <v>30000000</v>
      </c>
      <c r="H1085" s="36"/>
      <c r="I1085" s="36"/>
      <c r="J1085" s="19" t="s">
        <v>1520</v>
      </c>
      <c r="K1085" s="20" t="s">
        <v>1521</v>
      </c>
      <c r="L1085" s="129">
        <v>30000000</v>
      </c>
      <c r="N1085" s="129">
        <f t="shared" si="16"/>
        <v>0</v>
      </c>
    </row>
    <row r="1086" spans="2:14">
      <c r="B1086" s="18"/>
      <c r="C1086" s="18"/>
      <c r="D1086" s="55">
        <v>2211000</v>
      </c>
      <c r="E1086" s="1518" t="s">
        <v>118</v>
      </c>
      <c r="F1086" s="1690">
        <v>20000</v>
      </c>
      <c r="H1086" s="18"/>
      <c r="I1086" s="18"/>
      <c r="J1086" s="55">
        <v>2211000</v>
      </c>
      <c r="K1086" s="1518" t="s">
        <v>118</v>
      </c>
      <c r="L1086" s="1690">
        <v>20000</v>
      </c>
      <c r="N1086" s="1690">
        <f t="shared" si="16"/>
        <v>0</v>
      </c>
    </row>
    <row r="1087" spans="2:14">
      <c r="B1087" s="27"/>
      <c r="C1087" s="27"/>
      <c r="D1087" s="19">
        <v>2211011</v>
      </c>
      <c r="E1087" s="20" t="s">
        <v>119</v>
      </c>
      <c r="F1087" s="129">
        <v>20000</v>
      </c>
      <c r="H1087" s="27"/>
      <c r="I1087" s="27"/>
      <c r="J1087" s="19">
        <v>2211011</v>
      </c>
      <c r="K1087" s="20" t="s">
        <v>119</v>
      </c>
      <c r="L1087" s="129">
        <v>20000</v>
      </c>
      <c r="N1087" s="129">
        <f t="shared" si="16"/>
        <v>0</v>
      </c>
    </row>
    <row r="1088" spans="2:14">
      <c r="B1088" s="46"/>
      <c r="C1088" s="46"/>
      <c r="D1088" s="55">
        <v>2211100</v>
      </c>
      <c r="E1088" s="1518" t="s">
        <v>51</v>
      </c>
      <c r="F1088" s="1690">
        <v>270000</v>
      </c>
      <c r="H1088" s="46"/>
      <c r="I1088" s="46"/>
      <c r="J1088" s="55">
        <v>2211100</v>
      </c>
      <c r="K1088" s="1518" t="s">
        <v>51</v>
      </c>
      <c r="L1088" s="1690">
        <v>270000</v>
      </c>
      <c r="N1088" s="1690">
        <f t="shared" si="16"/>
        <v>0</v>
      </c>
    </row>
    <row r="1089" spans="2:14">
      <c r="B1089" s="27"/>
      <c r="C1089" s="27"/>
      <c r="D1089" s="19">
        <v>2211101</v>
      </c>
      <c r="E1089" s="20" t="s">
        <v>52</v>
      </c>
      <c r="F1089" s="129">
        <v>115000</v>
      </c>
      <c r="H1089" s="27"/>
      <c r="I1089" s="27"/>
      <c r="J1089" s="19">
        <v>2211101</v>
      </c>
      <c r="K1089" s="20" t="s">
        <v>52</v>
      </c>
      <c r="L1089" s="129">
        <v>115000</v>
      </c>
      <c r="N1089" s="129">
        <f t="shared" si="16"/>
        <v>0</v>
      </c>
    </row>
    <row r="1090" spans="2:14">
      <c r="B1090" s="36"/>
      <c r="C1090" s="36"/>
      <c r="D1090" s="19">
        <v>2211102</v>
      </c>
      <c r="E1090" s="20" t="s">
        <v>53</v>
      </c>
      <c r="F1090" s="129">
        <v>75000</v>
      </c>
      <c r="H1090" s="36"/>
      <c r="I1090" s="36"/>
      <c r="J1090" s="19">
        <v>2211102</v>
      </c>
      <c r="K1090" s="20" t="s">
        <v>53</v>
      </c>
      <c r="L1090" s="129">
        <v>75000</v>
      </c>
      <c r="N1090" s="129">
        <f t="shared" si="16"/>
        <v>0</v>
      </c>
    </row>
    <row r="1091" spans="2:14">
      <c r="B1091" s="46"/>
      <c r="C1091" s="46"/>
      <c r="D1091" s="19">
        <v>2211103</v>
      </c>
      <c r="E1091" s="20" t="s">
        <v>54</v>
      </c>
      <c r="F1091" s="129">
        <v>80000</v>
      </c>
      <c r="H1091" s="46"/>
      <c r="I1091" s="46"/>
      <c r="J1091" s="19">
        <v>2211103</v>
      </c>
      <c r="K1091" s="20" t="s">
        <v>54</v>
      </c>
      <c r="L1091" s="129">
        <v>80000</v>
      </c>
      <c r="N1091" s="129">
        <f t="shared" si="16"/>
        <v>0</v>
      </c>
    </row>
    <row r="1092" spans="2:14">
      <c r="B1092" s="46"/>
      <c r="C1092" s="46"/>
      <c r="D1092" s="55">
        <v>2211200</v>
      </c>
      <c r="E1092" s="1518" t="s">
        <v>55</v>
      </c>
      <c r="F1092" s="1690">
        <v>800000</v>
      </c>
      <c r="H1092" s="46"/>
      <c r="I1092" s="46"/>
      <c r="J1092" s="55">
        <v>2211200</v>
      </c>
      <c r="K1092" s="1518" t="s">
        <v>55</v>
      </c>
      <c r="L1092" s="1690">
        <v>800000</v>
      </c>
      <c r="N1092" s="1690">
        <f t="shared" si="16"/>
        <v>0</v>
      </c>
    </row>
    <row r="1093" spans="2:14">
      <c r="B1093" s="27"/>
      <c r="C1093" s="27"/>
      <c r="D1093" s="19">
        <v>2211201</v>
      </c>
      <c r="E1093" s="20" t="s">
        <v>56</v>
      </c>
      <c r="F1093" s="129">
        <v>550000</v>
      </c>
      <c r="H1093" s="27"/>
      <c r="I1093" s="27"/>
      <c r="J1093" s="19">
        <v>2211201</v>
      </c>
      <c r="K1093" s="20" t="s">
        <v>56</v>
      </c>
      <c r="L1093" s="129">
        <v>550000</v>
      </c>
      <c r="N1093" s="129">
        <f t="shared" si="16"/>
        <v>0</v>
      </c>
    </row>
    <row r="1094" spans="2:14">
      <c r="B1094" s="46"/>
      <c r="C1094" s="46"/>
      <c r="D1094" s="19" t="s">
        <v>247</v>
      </c>
      <c r="E1094" s="20" t="s">
        <v>248</v>
      </c>
      <c r="F1094" s="129">
        <v>250000</v>
      </c>
      <c r="H1094" s="46"/>
      <c r="I1094" s="46"/>
      <c r="J1094" s="19" t="s">
        <v>247</v>
      </c>
      <c r="K1094" s="20" t="s">
        <v>248</v>
      </c>
      <c r="L1094" s="129">
        <v>250000</v>
      </c>
      <c r="N1094" s="129">
        <f t="shared" si="16"/>
        <v>0</v>
      </c>
    </row>
    <row r="1095" spans="2:14">
      <c r="B1095" s="46"/>
      <c r="C1095" s="46"/>
      <c r="D1095" s="55">
        <v>2211300</v>
      </c>
      <c r="E1095" s="1518" t="s">
        <v>57</v>
      </c>
      <c r="F1095" s="1690">
        <v>480000</v>
      </c>
      <c r="H1095" s="46"/>
      <c r="I1095" s="46"/>
      <c r="J1095" s="55">
        <v>2211300</v>
      </c>
      <c r="K1095" s="1518" t="s">
        <v>57</v>
      </c>
      <c r="L1095" s="1690">
        <v>480000</v>
      </c>
      <c r="N1095" s="1690">
        <f t="shared" si="16"/>
        <v>0</v>
      </c>
    </row>
    <row r="1096" spans="2:14">
      <c r="B1096" s="27"/>
      <c r="C1096" s="27"/>
      <c r="D1096" s="19">
        <v>2211301</v>
      </c>
      <c r="E1096" s="20" t="s">
        <v>198</v>
      </c>
      <c r="F1096" s="129"/>
      <c r="H1096" s="27"/>
      <c r="I1096" s="27"/>
      <c r="J1096" s="19">
        <v>2211301</v>
      </c>
      <c r="K1096" s="20" t="s">
        <v>198</v>
      </c>
      <c r="L1096" s="129"/>
      <c r="N1096" s="129">
        <f t="shared" ref="N1096:N1159" si="17">F1096-L1096</f>
        <v>0</v>
      </c>
    </row>
    <row r="1097" spans="2:14" ht="45">
      <c r="B1097" s="46"/>
      <c r="C1097" s="46"/>
      <c r="D1097" s="19">
        <v>2211310</v>
      </c>
      <c r="E1097" s="20" t="s">
        <v>1522</v>
      </c>
      <c r="F1097" s="129">
        <v>300000</v>
      </c>
      <c r="H1097" s="46"/>
      <c r="I1097" s="46"/>
      <c r="J1097" s="19">
        <v>2211310</v>
      </c>
      <c r="K1097" s="20" t="s">
        <v>1522</v>
      </c>
      <c r="L1097" s="129">
        <v>300000</v>
      </c>
      <c r="N1097" s="129">
        <f t="shared" si="17"/>
        <v>0</v>
      </c>
    </row>
    <row r="1098" spans="2:14" ht="30">
      <c r="B1098" s="46"/>
      <c r="C1098" s="46"/>
      <c r="D1098" s="19" t="s">
        <v>121</v>
      </c>
      <c r="E1098" s="1701" t="s">
        <v>1523</v>
      </c>
      <c r="F1098" s="1702">
        <v>180000</v>
      </c>
      <c r="H1098" s="46"/>
      <c r="I1098" s="46"/>
      <c r="J1098" s="19" t="s">
        <v>121</v>
      </c>
      <c r="K1098" s="1701" t="s">
        <v>1523</v>
      </c>
      <c r="L1098" s="1702">
        <v>180000</v>
      </c>
      <c r="N1098" s="1702">
        <f t="shared" si="17"/>
        <v>0</v>
      </c>
    </row>
    <row r="1099" spans="2:14">
      <c r="B1099" s="27"/>
      <c r="C1099" s="27"/>
      <c r="D1099" s="55" t="s">
        <v>249</v>
      </c>
      <c r="E1099" s="1518" t="s">
        <v>62</v>
      </c>
      <c r="F1099" s="1690">
        <v>219000</v>
      </c>
      <c r="H1099" s="27"/>
      <c r="I1099" s="27"/>
      <c r="J1099" s="55" t="s">
        <v>249</v>
      </c>
      <c r="K1099" s="1518" t="s">
        <v>62</v>
      </c>
      <c r="L1099" s="1690">
        <v>219000</v>
      </c>
      <c r="N1099" s="1690">
        <f t="shared" si="17"/>
        <v>0</v>
      </c>
    </row>
    <row r="1100" spans="2:14">
      <c r="B1100" s="46"/>
      <c r="C1100" s="46"/>
      <c r="D1100" s="61">
        <v>2220101</v>
      </c>
      <c r="E1100" s="86" t="s">
        <v>250</v>
      </c>
      <c r="F1100" s="129">
        <v>119000</v>
      </c>
      <c r="H1100" s="46"/>
      <c r="I1100" s="46"/>
      <c r="J1100" s="61">
        <v>2220101</v>
      </c>
      <c r="K1100" s="86" t="s">
        <v>250</v>
      </c>
      <c r="L1100" s="129">
        <v>119000</v>
      </c>
      <c r="N1100" s="129">
        <f t="shared" si="17"/>
        <v>0</v>
      </c>
    </row>
    <row r="1101" spans="2:14">
      <c r="B1101" s="46"/>
      <c r="C1101" s="46"/>
      <c r="D1101" s="61">
        <v>2220105</v>
      </c>
      <c r="E1101" s="86" t="s">
        <v>64</v>
      </c>
      <c r="F1101" s="129">
        <v>100000</v>
      </c>
      <c r="H1101" s="46"/>
      <c r="I1101" s="46"/>
      <c r="J1101" s="61">
        <v>2220105</v>
      </c>
      <c r="K1101" s="86" t="s">
        <v>64</v>
      </c>
      <c r="L1101" s="129">
        <v>100000</v>
      </c>
      <c r="N1101" s="129">
        <f t="shared" si="17"/>
        <v>0</v>
      </c>
    </row>
    <row r="1102" spans="2:14">
      <c r="B1102" s="27"/>
      <c r="C1102" s="27"/>
      <c r="D1102" s="55">
        <v>2220200</v>
      </c>
      <c r="E1102" s="1518" t="s">
        <v>86</v>
      </c>
      <c r="F1102" s="1690">
        <v>60000</v>
      </c>
      <c r="H1102" s="27"/>
      <c r="I1102" s="27"/>
      <c r="J1102" s="55">
        <v>2220200</v>
      </c>
      <c r="K1102" s="1518" t="s">
        <v>86</v>
      </c>
      <c r="L1102" s="1690">
        <v>60000</v>
      </c>
      <c r="N1102" s="1690">
        <f t="shared" si="17"/>
        <v>0</v>
      </c>
    </row>
    <row r="1103" spans="2:14">
      <c r="B1103" s="46"/>
      <c r="C1103" s="46"/>
      <c r="D1103" s="19">
        <v>2220202</v>
      </c>
      <c r="E1103" s="20" t="s">
        <v>87</v>
      </c>
      <c r="F1103" s="129">
        <v>30000</v>
      </c>
      <c r="H1103" s="46"/>
      <c r="I1103" s="46"/>
      <c r="J1103" s="19">
        <v>2220202</v>
      </c>
      <c r="K1103" s="20" t="s">
        <v>87</v>
      </c>
      <c r="L1103" s="129">
        <v>30000</v>
      </c>
      <c r="N1103" s="129">
        <f t="shared" si="17"/>
        <v>0</v>
      </c>
    </row>
    <row r="1104" spans="2:14">
      <c r="B1104" s="46"/>
      <c r="C1104" s="46"/>
      <c r="D1104" s="19">
        <v>2220205</v>
      </c>
      <c r="E1104" s="20" t="s">
        <v>125</v>
      </c>
      <c r="F1104" s="129">
        <v>30000</v>
      </c>
      <c r="H1104" s="46"/>
      <c r="I1104" s="46"/>
      <c r="J1104" s="19">
        <v>2220205</v>
      </c>
      <c r="K1104" s="20" t="s">
        <v>125</v>
      </c>
      <c r="L1104" s="129">
        <v>30000</v>
      </c>
      <c r="N1104" s="129">
        <f t="shared" si="17"/>
        <v>0</v>
      </c>
    </row>
    <row r="1105" spans="2:14">
      <c r="B1105" s="27"/>
      <c r="C1105" s="27"/>
      <c r="D1105" s="55">
        <v>3110300</v>
      </c>
      <c r="E1105" s="1518" t="s">
        <v>251</v>
      </c>
      <c r="F1105" s="1690">
        <v>35000</v>
      </c>
      <c r="H1105" s="27"/>
      <c r="I1105" s="27"/>
      <c r="J1105" s="55">
        <v>3110300</v>
      </c>
      <c r="K1105" s="1518" t="s">
        <v>251</v>
      </c>
      <c r="L1105" s="1690">
        <v>35000</v>
      </c>
      <c r="N1105" s="1690">
        <f t="shared" si="17"/>
        <v>0</v>
      </c>
    </row>
    <row r="1106" spans="2:14">
      <c r="B1106" s="46"/>
      <c r="C1106" s="46"/>
      <c r="D1106" s="19">
        <v>3110302</v>
      </c>
      <c r="E1106" s="20" t="s">
        <v>252</v>
      </c>
      <c r="F1106" s="129">
        <v>35000</v>
      </c>
      <c r="H1106" s="46"/>
      <c r="I1106" s="46"/>
      <c r="J1106" s="19">
        <v>3110302</v>
      </c>
      <c r="K1106" s="20" t="s">
        <v>252</v>
      </c>
      <c r="L1106" s="129">
        <v>35000</v>
      </c>
      <c r="N1106" s="129">
        <f t="shared" si="17"/>
        <v>0</v>
      </c>
    </row>
    <row r="1107" spans="2:14">
      <c r="B1107" s="27"/>
      <c r="C1107" s="27"/>
      <c r="D1107" s="55">
        <v>3111000</v>
      </c>
      <c r="E1107" s="1518" t="s">
        <v>69</v>
      </c>
      <c r="F1107" s="1690">
        <v>588705</v>
      </c>
      <c r="H1107" s="27"/>
      <c r="I1107" s="27"/>
      <c r="J1107" s="55">
        <v>3111000</v>
      </c>
      <c r="K1107" s="1518" t="s">
        <v>69</v>
      </c>
      <c r="L1107" s="1690">
        <v>588705</v>
      </c>
      <c r="N1107" s="1690">
        <f t="shared" si="17"/>
        <v>0</v>
      </c>
    </row>
    <row r="1108" spans="2:14">
      <c r="B1108" s="46"/>
      <c r="C1108" s="46"/>
      <c r="D1108" s="19">
        <v>3111001</v>
      </c>
      <c r="E1108" s="20" t="s">
        <v>70</v>
      </c>
      <c r="F1108" s="129">
        <v>54230.000000000007</v>
      </c>
      <c r="H1108" s="46"/>
      <c r="I1108" s="46"/>
      <c r="J1108" s="19">
        <v>3111001</v>
      </c>
      <c r="K1108" s="20" t="s">
        <v>70</v>
      </c>
      <c r="L1108" s="129">
        <v>54230.000000000007</v>
      </c>
      <c r="N1108" s="129">
        <f t="shared" si="17"/>
        <v>0</v>
      </c>
    </row>
    <row r="1109" spans="2:14">
      <c r="B1109" s="25"/>
      <c r="C1109" s="25"/>
      <c r="D1109" s="19">
        <v>3111002</v>
      </c>
      <c r="E1109" s="20" t="s">
        <v>71</v>
      </c>
      <c r="F1109" s="129">
        <v>483435</v>
      </c>
      <c r="H1109" s="25"/>
      <c r="I1109" s="25"/>
      <c r="J1109" s="19">
        <v>3111002</v>
      </c>
      <c r="K1109" s="20" t="s">
        <v>71</v>
      </c>
      <c r="L1109" s="129">
        <v>483435</v>
      </c>
      <c r="N1109" s="129">
        <f t="shared" si="17"/>
        <v>0</v>
      </c>
    </row>
    <row r="1110" spans="2:14">
      <c r="B1110" s="38"/>
      <c r="C1110" s="38"/>
      <c r="D1110" s="19">
        <v>3111009</v>
      </c>
      <c r="E1110" s="20" t="s">
        <v>253</v>
      </c>
      <c r="F1110" s="129">
        <v>51040.000000000007</v>
      </c>
      <c r="H1110" s="38"/>
      <c r="I1110" s="38"/>
      <c r="J1110" s="19">
        <v>3111009</v>
      </c>
      <c r="K1110" s="20" t="s">
        <v>253</v>
      </c>
      <c r="L1110" s="129">
        <v>51040.000000000007</v>
      </c>
      <c r="N1110" s="129">
        <f t="shared" si="17"/>
        <v>0</v>
      </c>
    </row>
    <row r="1111" spans="2:14">
      <c r="B1111" s="26"/>
      <c r="C1111" s="26"/>
      <c r="D1111" s="1671">
        <v>3111400</v>
      </c>
      <c r="E1111" s="1515" t="s">
        <v>254</v>
      </c>
      <c r="F1111" s="1690">
        <v>55000</v>
      </c>
      <c r="H1111" s="26"/>
      <c r="I1111" s="26"/>
      <c r="J1111" s="1671">
        <v>3111400</v>
      </c>
      <c r="K1111" s="1515" t="s">
        <v>254</v>
      </c>
      <c r="L1111" s="1690">
        <v>55000</v>
      </c>
      <c r="N1111" s="1690">
        <f t="shared" si="17"/>
        <v>0</v>
      </c>
    </row>
    <row r="1112" spans="2:14">
      <c r="B1112" s="38"/>
      <c r="C1112" s="38"/>
      <c r="D1112" s="61">
        <v>3111401</v>
      </c>
      <c r="E1112" s="86" t="s">
        <v>255</v>
      </c>
      <c r="F1112" s="129">
        <v>55000</v>
      </c>
      <c r="H1112" s="38"/>
      <c r="I1112" s="38"/>
      <c r="J1112" s="61">
        <v>3111401</v>
      </c>
      <c r="K1112" s="86" t="s">
        <v>255</v>
      </c>
      <c r="L1112" s="129">
        <v>55000</v>
      </c>
      <c r="N1112" s="129">
        <f t="shared" si="17"/>
        <v>0</v>
      </c>
    </row>
    <row r="1113" spans="2:14">
      <c r="B1113" s="26"/>
      <c r="C1113" s="26"/>
      <c r="D1113" s="1534"/>
      <c r="E1113" s="1529" t="s">
        <v>128</v>
      </c>
      <c r="F1113" s="1659">
        <v>45261946</v>
      </c>
      <c r="H1113" s="26"/>
      <c r="I1113" s="26"/>
      <c r="J1113" s="1534"/>
      <c r="K1113" s="1529" t="s">
        <v>128</v>
      </c>
      <c r="L1113" s="1659">
        <v>45261946</v>
      </c>
      <c r="N1113" s="1659">
        <f t="shared" si="17"/>
        <v>0</v>
      </c>
    </row>
    <row r="1114" spans="2:14">
      <c r="B1114" s="25"/>
      <c r="C1114" s="25"/>
      <c r="D1114" s="1547"/>
      <c r="E1114" s="1515"/>
      <c r="F1114" s="1659"/>
      <c r="H1114" s="25"/>
      <c r="I1114" s="25"/>
      <c r="J1114" s="1547"/>
      <c r="K1114" s="1515"/>
      <c r="L1114" s="1659"/>
      <c r="N1114" s="1659">
        <f t="shared" si="17"/>
        <v>0</v>
      </c>
    </row>
    <row r="1115" spans="2:14">
      <c r="B1115" s="38"/>
      <c r="C1115" s="26"/>
      <c r="D1115" s="1703" t="s">
        <v>256</v>
      </c>
      <c r="E1115" s="40"/>
      <c r="F1115" s="1704"/>
      <c r="H1115" s="38"/>
      <c r="I1115" s="26"/>
      <c r="J1115" s="1703" t="s">
        <v>256</v>
      </c>
      <c r="K1115" s="40"/>
      <c r="L1115" s="1704"/>
      <c r="N1115" s="1704">
        <f t="shared" si="17"/>
        <v>0</v>
      </c>
    </row>
    <row r="1116" spans="2:14">
      <c r="B1116" s="38"/>
      <c r="C1116" s="26"/>
      <c r="D1116" s="55">
        <v>2110100</v>
      </c>
      <c r="E1116" s="1515" t="s">
        <v>13</v>
      </c>
      <c r="F1116" s="1690">
        <v>5454142</v>
      </c>
      <c r="H1116" s="38"/>
      <c r="I1116" s="26"/>
      <c r="J1116" s="55">
        <v>2110100</v>
      </c>
      <c r="K1116" s="1515" t="s">
        <v>13</v>
      </c>
      <c r="L1116" s="1690">
        <v>5454142</v>
      </c>
      <c r="N1116" s="1690">
        <f t="shared" si="17"/>
        <v>0</v>
      </c>
    </row>
    <row r="1117" spans="2:14">
      <c r="B1117" s="38"/>
      <c r="C1117" s="26"/>
      <c r="D1117" s="19">
        <v>2110101</v>
      </c>
      <c r="E1117" s="86" t="s">
        <v>14</v>
      </c>
      <c r="F1117" s="129">
        <v>5454142</v>
      </c>
      <c r="H1117" s="38"/>
      <c r="I1117" s="26"/>
      <c r="J1117" s="19">
        <v>2110101</v>
      </c>
      <c r="K1117" s="86" t="s">
        <v>14</v>
      </c>
      <c r="L1117" s="129">
        <v>5454142</v>
      </c>
      <c r="N1117" s="129">
        <f t="shared" si="17"/>
        <v>0</v>
      </c>
    </row>
    <row r="1118" spans="2:14">
      <c r="B1118" s="38"/>
      <c r="C1118" s="26"/>
      <c r="D1118" s="55" t="s">
        <v>244</v>
      </c>
      <c r="E1118" s="1515" t="s">
        <v>16</v>
      </c>
      <c r="F1118" s="1690">
        <v>103911</v>
      </c>
      <c r="H1118" s="38"/>
      <c r="I1118" s="26"/>
      <c r="J1118" s="55" t="s">
        <v>244</v>
      </c>
      <c r="K1118" s="1515" t="s">
        <v>16</v>
      </c>
      <c r="L1118" s="1690">
        <v>103911</v>
      </c>
      <c r="N1118" s="1690">
        <f t="shared" si="17"/>
        <v>0</v>
      </c>
    </row>
    <row r="1119" spans="2:14">
      <c r="B1119" s="38"/>
      <c r="C1119" s="26"/>
      <c r="D1119" s="19">
        <v>2210101</v>
      </c>
      <c r="E1119" s="86" t="s">
        <v>17</v>
      </c>
      <c r="F1119" s="129">
        <v>25520</v>
      </c>
      <c r="H1119" s="38"/>
      <c r="I1119" s="26"/>
      <c r="J1119" s="19">
        <v>2210101</v>
      </c>
      <c r="K1119" s="86" t="s">
        <v>17</v>
      </c>
      <c r="L1119" s="129">
        <v>25520</v>
      </c>
      <c r="N1119" s="129">
        <f t="shared" si="17"/>
        <v>0</v>
      </c>
    </row>
    <row r="1120" spans="2:14">
      <c r="B1120" s="38"/>
      <c r="C1120" s="26"/>
      <c r="D1120" s="19">
        <v>2210102</v>
      </c>
      <c r="E1120" s="86" t="s">
        <v>18</v>
      </c>
      <c r="F1120" s="129">
        <v>22330</v>
      </c>
      <c r="H1120" s="38"/>
      <c r="I1120" s="26"/>
      <c r="J1120" s="19">
        <v>2210102</v>
      </c>
      <c r="K1120" s="86" t="s">
        <v>18</v>
      </c>
      <c r="L1120" s="129">
        <v>22330</v>
      </c>
      <c r="N1120" s="129">
        <f t="shared" si="17"/>
        <v>0</v>
      </c>
    </row>
    <row r="1121" spans="2:14">
      <c r="B1121" s="38"/>
      <c r="C1121" s="26"/>
      <c r="D1121" s="19">
        <v>2210103</v>
      </c>
      <c r="E1121" s="86" t="s">
        <v>23</v>
      </c>
      <c r="F1121" s="129">
        <v>56061</v>
      </c>
      <c r="H1121" s="38"/>
      <c r="I1121" s="26"/>
      <c r="J1121" s="19">
        <v>2210103</v>
      </c>
      <c r="K1121" s="86" t="s">
        <v>23</v>
      </c>
      <c r="L1121" s="129">
        <v>56061</v>
      </c>
      <c r="N1121" s="129">
        <f t="shared" si="17"/>
        <v>0</v>
      </c>
    </row>
    <row r="1122" spans="2:14">
      <c r="B1122" s="38"/>
      <c r="C1122" s="26"/>
      <c r="D1122" s="55">
        <v>2210200</v>
      </c>
      <c r="E1122" s="1518" t="s">
        <v>20</v>
      </c>
      <c r="F1122" s="1690">
        <v>167500</v>
      </c>
      <c r="H1122" s="38"/>
      <c r="I1122" s="26"/>
      <c r="J1122" s="55">
        <v>2210200</v>
      </c>
      <c r="K1122" s="1518" t="s">
        <v>20</v>
      </c>
      <c r="L1122" s="1690">
        <v>167500</v>
      </c>
      <c r="N1122" s="1690">
        <f t="shared" si="17"/>
        <v>0</v>
      </c>
    </row>
    <row r="1123" spans="2:14">
      <c r="B1123" s="38"/>
      <c r="C1123" s="26"/>
      <c r="D1123" s="19">
        <v>2210201</v>
      </c>
      <c r="E1123" s="20" t="s">
        <v>21</v>
      </c>
      <c r="F1123" s="129">
        <v>157500</v>
      </c>
      <c r="H1123" s="38"/>
      <c r="I1123" s="26"/>
      <c r="J1123" s="19">
        <v>2210201</v>
      </c>
      <c r="K1123" s="20" t="s">
        <v>21</v>
      </c>
      <c r="L1123" s="129">
        <v>157500</v>
      </c>
      <c r="N1123" s="129">
        <f t="shared" si="17"/>
        <v>0</v>
      </c>
    </row>
    <row r="1124" spans="2:14">
      <c r="B1124" s="38"/>
      <c r="C1124" s="26"/>
      <c r="D1124" s="19">
        <v>2210202</v>
      </c>
      <c r="E1124" s="20" t="s">
        <v>22</v>
      </c>
      <c r="F1124" s="129">
        <v>10000</v>
      </c>
      <c r="H1124" s="38"/>
      <c r="I1124" s="26"/>
      <c r="J1124" s="19">
        <v>2210202</v>
      </c>
      <c r="K1124" s="20" t="s">
        <v>22</v>
      </c>
      <c r="L1124" s="129">
        <v>10000</v>
      </c>
      <c r="N1124" s="129">
        <f t="shared" si="17"/>
        <v>0</v>
      </c>
    </row>
    <row r="1125" spans="2:14">
      <c r="B1125" s="38"/>
      <c r="C1125" s="26"/>
      <c r="D1125" s="55">
        <v>2210300</v>
      </c>
      <c r="E1125" s="1518" t="s">
        <v>24</v>
      </c>
      <c r="F1125" s="1690">
        <v>915000</v>
      </c>
      <c r="H1125" s="38"/>
      <c r="I1125" s="26"/>
      <c r="J1125" s="55">
        <v>2210300</v>
      </c>
      <c r="K1125" s="1518" t="s">
        <v>24</v>
      </c>
      <c r="L1125" s="1690">
        <v>915000</v>
      </c>
      <c r="N1125" s="1690">
        <f t="shared" si="17"/>
        <v>0</v>
      </c>
    </row>
    <row r="1126" spans="2:14">
      <c r="B1126" s="38"/>
      <c r="C1126" s="26"/>
      <c r="D1126" s="19">
        <v>2210301</v>
      </c>
      <c r="E1126" s="20" t="s">
        <v>25</v>
      </c>
      <c r="F1126" s="129">
        <v>150000</v>
      </c>
      <c r="H1126" s="38"/>
      <c r="I1126" s="26"/>
      <c r="J1126" s="19">
        <v>2210301</v>
      </c>
      <c r="K1126" s="20" t="s">
        <v>25</v>
      </c>
      <c r="L1126" s="129">
        <v>150000</v>
      </c>
      <c r="N1126" s="129">
        <f t="shared" si="17"/>
        <v>0</v>
      </c>
    </row>
    <row r="1127" spans="2:14">
      <c r="B1127" s="38"/>
      <c r="C1127" s="26"/>
      <c r="D1127" s="19">
        <v>2210302</v>
      </c>
      <c r="E1127" s="20" t="s">
        <v>26</v>
      </c>
      <c r="F1127" s="129">
        <v>250000</v>
      </c>
      <c r="H1127" s="38"/>
      <c r="I1127" s="26"/>
      <c r="J1127" s="19">
        <v>2210302</v>
      </c>
      <c r="K1127" s="20" t="s">
        <v>26</v>
      </c>
      <c r="L1127" s="129">
        <v>250000</v>
      </c>
      <c r="N1127" s="129">
        <f t="shared" si="17"/>
        <v>0</v>
      </c>
    </row>
    <row r="1128" spans="2:14">
      <c r="B1128" s="38"/>
      <c r="C1128" s="26"/>
      <c r="D1128" s="19">
        <v>2210303</v>
      </c>
      <c r="E1128" s="20" t="s">
        <v>27</v>
      </c>
      <c r="F1128" s="129">
        <v>350000</v>
      </c>
      <c r="H1128" s="38"/>
      <c r="I1128" s="26"/>
      <c r="J1128" s="19">
        <v>2210303</v>
      </c>
      <c r="K1128" s="20" t="s">
        <v>27</v>
      </c>
      <c r="L1128" s="129">
        <v>350000</v>
      </c>
      <c r="N1128" s="129">
        <f t="shared" si="17"/>
        <v>0</v>
      </c>
    </row>
    <row r="1129" spans="2:14">
      <c r="B1129" s="38"/>
      <c r="C1129" s="26"/>
      <c r="D1129" s="61">
        <v>2210304</v>
      </c>
      <c r="E1129" s="86" t="s">
        <v>28</v>
      </c>
      <c r="F1129" s="129">
        <v>165000</v>
      </c>
      <c r="H1129" s="38"/>
      <c r="I1129" s="26"/>
      <c r="J1129" s="61">
        <v>2210304</v>
      </c>
      <c r="K1129" s="86" t="s">
        <v>28</v>
      </c>
      <c r="L1129" s="129">
        <v>165000</v>
      </c>
      <c r="N1129" s="129">
        <f t="shared" si="17"/>
        <v>0</v>
      </c>
    </row>
    <row r="1130" spans="2:14">
      <c r="B1130" s="38"/>
      <c r="C1130" s="26"/>
      <c r="D1130" s="55">
        <v>2210500</v>
      </c>
      <c r="E1130" s="1518" t="s">
        <v>31</v>
      </c>
      <c r="F1130" s="1690">
        <v>315000</v>
      </c>
      <c r="H1130" s="38"/>
      <c r="I1130" s="26"/>
      <c r="J1130" s="55">
        <v>2210500</v>
      </c>
      <c r="K1130" s="1518" t="s">
        <v>31</v>
      </c>
      <c r="L1130" s="1690">
        <v>315000</v>
      </c>
      <c r="N1130" s="1690">
        <f t="shared" si="17"/>
        <v>0</v>
      </c>
    </row>
    <row r="1131" spans="2:14">
      <c r="B1131" s="38"/>
      <c r="C1131" s="26"/>
      <c r="D1131" s="19">
        <v>2210502</v>
      </c>
      <c r="E1131" s="20" t="s">
        <v>245</v>
      </c>
      <c r="F1131" s="129">
        <v>100000</v>
      </c>
      <c r="H1131" s="38"/>
      <c r="I1131" s="26"/>
      <c r="J1131" s="19">
        <v>2210502</v>
      </c>
      <c r="K1131" s="20" t="s">
        <v>245</v>
      </c>
      <c r="L1131" s="129">
        <v>100000</v>
      </c>
      <c r="N1131" s="129">
        <f t="shared" si="17"/>
        <v>0</v>
      </c>
    </row>
    <row r="1132" spans="2:14">
      <c r="B1132" s="38"/>
      <c r="C1132" s="26"/>
      <c r="D1132" s="19">
        <v>2210503</v>
      </c>
      <c r="E1132" s="20" t="s">
        <v>32</v>
      </c>
      <c r="F1132" s="129">
        <v>15000</v>
      </c>
      <c r="H1132" s="38"/>
      <c r="I1132" s="26"/>
      <c r="J1132" s="19">
        <v>2210503</v>
      </c>
      <c r="K1132" s="20" t="s">
        <v>32</v>
      </c>
      <c r="L1132" s="129">
        <v>15000</v>
      </c>
      <c r="N1132" s="129">
        <f t="shared" si="17"/>
        <v>0</v>
      </c>
    </row>
    <row r="1133" spans="2:14">
      <c r="B1133" s="38"/>
      <c r="C1133" s="26"/>
      <c r="D1133" s="61">
        <v>2210504</v>
      </c>
      <c r="E1133" s="86" t="s">
        <v>171</v>
      </c>
      <c r="F1133" s="129">
        <v>200000</v>
      </c>
      <c r="H1133" s="38"/>
      <c r="I1133" s="26"/>
      <c r="J1133" s="61">
        <v>2210504</v>
      </c>
      <c r="K1133" s="86" t="s">
        <v>171</v>
      </c>
      <c r="L1133" s="129">
        <v>200000</v>
      </c>
      <c r="N1133" s="129">
        <f t="shared" si="17"/>
        <v>0</v>
      </c>
    </row>
    <row r="1134" spans="2:14">
      <c r="B1134" s="38"/>
      <c r="C1134" s="26"/>
      <c r="D1134" s="55">
        <v>2210700</v>
      </c>
      <c r="E1134" s="1518" t="s">
        <v>35</v>
      </c>
      <c r="F1134" s="1690">
        <v>1481760</v>
      </c>
      <c r="H1134" s="38"/>
      <c r="I1134" s="26"/>
      <c r="J1134" s="55">
        <v>2210700</v>
      </c>
      <c r="K1134" s="1518" t="s">
        <v>35</v>
      </c>
      <c r="L1134" s="1690">
        <v>1481760</v>
      </c>
      <c r="N1134" s="1690">
        <f t="shared" si="17"/>
        <v>0</v>
      </c>
    </row>
    <row r="1135" spans="2:14">
      <c r="B1135" s="38"/>
      <c r="C1135" s="26"/>
      <c r="D1135" s="19">
        <v>2210701</v>
      </c>
      <c r="E1135" s="20" t="s">
        <v>36</v>
      </c>
      <c r="F1135" s="129">
        <v>200000</v>
      </c>
      <c r="H1135" s="38"/>
      <c r="I1135" s="26"/>
      <c r="J1135" s="19">
        <v>2210701</v>
      </c>
      <c r="K1135" s="20" t="s">
        <v>36</v>
      </c>
      <c r="L1135" s="129">
        <v>200000</v>
      </c>
      <c r="N1135" s="129">
        <f t="shared" si="17"/>
        <v>0</v>
      </c>
    </row>
    <row r="1136" spans="2:14">
      <c r="B1136" s="38"/>
      <c r="C1136" s="26"/>
      <c r="D1136" s="19">
        <v>2210702</v>
      </c>
      <c r="E1136" s="20" t="s">
        <v>95</v>
      </c>
      <c r="F1136" s="129">
        <v>200000</v>
      </c>
      <c r="H1136" s="38"/>
      <c r="I1136" s="26"/>
      <c r="J1136" s="19">
        <v>2210702</v>
      </c>
      <c r="K1136" s="20" t="s">
        <v>95</v>
      </c>
      <c r="L1136" s="129">
        <v>200000</v>
      </c>
      <c r="N1136" s="129">
        <f t="shared" si="17"/>
        <v>0</v>
      </c>
    </row>
    <row r="1137" spans="2:14">
      <c r="B1137" s="38"/>
      <c r="C1137" s="26"/>
      <c r="D1137" s="19">
        <v>2210703</v>
      </c>
      <c r="E1137" s="20" t="s">
        <v>107</v>
      </c>
      <c r="F1137" s="129">
        <v>44660</v>
      </c>
      <c r="H1137" s="38"/>
      <c r="I1137" s="26"/>
      <c r="J1137" s="19">
        <v>2210703</v>
      </c>
      <c r="K1137" s="20" t="s">
        <v>107</v>
      </c>
      <c r="L1137" s="129">
        <v>44660</v>
      </c>
      <c r="N1137" s="129">
        <f t="shared" si="17"/>
        <v>0</v>
      </c>
    </row>
    <row r="1138" spans="2:14">
      <c r="B1138" s="38"/>
      <c r="C1138" s="26"/>
      <c r="D1138" s="19">
        <v>2210704</v>
      </c>
      <c r="E1138" s="20" t="s">
        <v>38</v>
      </c>
      <c r="F1138" s="129">
        <v>127600.00000000001</v>
      </c>
      <c r="H1138" s="38"/>
      <c r="I1138" s="26"/>
      <c r="J1138" s="19">
        <v>2210704</v>
      </c>
      <c r="K1138" s="20" t="s">
        <v>38</v>
      </c>
      <c r="L1138" s="129">
        <v>127600.00000000001</v>
      </c>
      <c r="N1138" s="129">
        <f t="shared" si="17"/>
        <v>0</v>
      </c>
    </row>
    <row r="1139" spans="2:14">
      <c r="B1139" s="38"/>
      <c r="C1139" s="26"/>
      <c r="D1139" s="19">
        <v>2210710</v>
      </c>
      <c r="E1139" s="20" t="s">
        <v>39</v>
      </c>
      <c r="F1139" s="129">
        <v>159500</v>
      </c>
      <c r="H1139" s="38"/>
      <c r="I1139" s="26"/>
      <c r="J1139" s="19">
        <v>2210710</v>
      </c>
      <c r="K1139" s="20" t="s">
        <v>39</v>
      </c>
      <c r="L1139" s="129">
        <v>159500</v>
      </c>
      <c r="N1139" s="129">
        <f t="shared" si="17"/>
        <v>0</v>
      </c>
    </row>
    <row r="1140" spans="2:14">
      <c r="B1140" s="38"/>
      <c r="C1140" s="26"/>
      <c r="D1140" s="19">
        <v>2210715</v>
      </c>
      <c r="E1140" s="20" t="s">
        <v>40</v>
      </c>
      <c r="F1140" s="129">
        <v>150000</v>
      </c>
      <c r="H1140" s="38"/>
      <c r="I1140" s="26"/>
      <c r="J1140" s="19">
        <v>2210715</v>
      </c>
      <c r="K1140" s="20" t="s">
        <v>40</v>
      </c>
      <c r="L1140" s="129">
        <v>150000</v>
      </c>
      <c r="N1140" s="129">
        <f t="shared" si="17"/>
        <v>0</v>
      </c>
    </row>
    <row r="1141" spans="2:14" ht="30">
      <c r="B1141" s="38"/>
      <c r="C1141" s="26"/>
      <c r="D1141" s="19" t="s">
        <v>651</v>
      </c>
      <c r="E1141" s="20" t="s">
        <v>1242</v>
      </c>
      <c r="F1141" s="129">
        <v>600000</v>
      </c>
      <c r="H1141" s="38"/>
      <c r="I1141" s="26"/>
      <c r="J1141" s="19" t="s">
        <v>651</v>
      </c>
      <c r="K1141" s="20" t="s">
        <v>1242</v>
      </c>
      <c r="L1141" s="129">
        <v>600000</v>
      </c>
      <c r="N1141" s="129">
        <f t="shared" si="17"/>
        <v>0</v>
      </c>
    </row>
    <row r="1142" spans="2:14">
      <c r="B1142" s="38"/>
      <c r="C1142" s="26"/>
      <c r="D1142" s="55">
        <v>2210800</v>
      </c>
      <c r="E1142" s="1518" t="s">
        <v>42</v>
      </c>
      <c r="F1142" s="1690">
        <v>1150000</v>
      </c>
      <c r="H1142" s="38"/>
      <c r="I1142" s="26"/>
      <c r="J1142" s="55">
        <v>2210800</v>
      </c>
      <c r="K1142" s="1518" t="s">
        <v>42</v>
      </c>
      <c r="L1142" s="1690">
        <v>1150000</v>
      </c>
      <c r="N1142" s="1690">
        <f t="shared" si="17"/>
        <v>0</v>
      </c>
    </row>
    <row r="1143" spans="2:14">
      <c r="B1143" s="38"/>
      <c r="C1143" s="26"/>
      <c r="D1143" s="19">
        <v>2210801</v>
      </c>
      <c r="E1143" s="20" t="s">
        <v>43</v>
      </c>
      <c r="F1143" s="129">
        <v>350000</v>
      </c>
      <c r="H1143" s="38"/>
      <c r="I1143" s="26"/>
      <c r="J1143" s="19">
        <v>2210801</v>
      </c>
      <c r="K1143" s="20" t="s">
        <v>43</v>
      </c>
      <c r="L1143" s="129">
        <v>350000</v>
      </c>
      <c r="N1143" s="129">
        <f t="shared" si="17"/>
        <v>0</v>
      </c>
    </row>
    <row r="1144" spans="2:14" ht="30">
      <c r="B1144" s="38"/>
      <c r="C1144" s="26"/>
      <c r="D1144" s="19">
        <v>2210802</v>
      </c>
      <c r="E1144" s="20" t="s">
        <v>257</v>
      </c>
      <c r="F1144" s="129">
        <v>325000</v>
      </c>
      <c r="H1144" s="38"/>
      <c r="I1144" s="26"/>
      <c r="J1144" s="19">
        <v>2210802</v>
      </c>
      <c r="K1144" s="20" t="s">
        <v>257</v>
      </c>
      <c r="L1144" s="129">
        <v>325000</v>
      </c>
      <c r="N1144" s="129">
        <f t="shared" si="17"/>
        <v>0</v>
      </c>
    </row>
    <row r="1145" spans="2:14">
      <c r="B1145" s="38"/>
      <c r="C1145" s="26"/>
      <c r="D1145" s="19" t="s">
        <v>1243</v>
      </c>
      <c r="E1145" s="20" t="s">
        <v>1244</v>
      </c>
      <c r="F1145" s="129">
        <v>475000</v>
      </c>
      <c r="H1145" s="38"/>
      <c r="I1145" s="26"/>
      <c r="J1145" s="19" t="s">
        <v>1243</v>
      </c>
      <c r="K1145" s="20" t="s">
        <v>1244</v>
      </c>
      <c r="L1145" s="129">
        <v>475000</v>
      </c>
      <c r="N1145" s="129">
        <f t="shared" si="17"/>
        <v>0</v>
      </c>
    </row>
    <row r="1146" spans="2:14">
      <c r="B1146" s="38"/>
      <c r="C1146" s="26"/>
      <c r="D1146" s="55">
        <v>2211000</v>
      </c>
      <c r="E1146" s="1518" t="s">
        <v>118</v>
      </c>
      <c r="F1146" s="1690">
        <v>38280</v>
      </c>
      <c r="H1146" s="38"/>
      <c r="I1146" s="26"/>
      <c r="J1146" s="55">
        <v>2211000</v>
      </c>
      <c r="K1146" s="1518" t="s">
        <v>118</v>
      </c>
      <c r="L1146" s="1690">
        <v>38280</v>
      </c>
      <c r="N1146" s="1690">
        <f t="shared" si="17"/>
        <v>0</v>
      </c>
    </row>
    <row r="1147" spans="2:14">
      <c r="B1147" s="38"/>
      <c r="C1147" s="26"/>
      <c r="D1147" s="19">
        <v>2211011</v>
      </c>
      <c r="E1147" s="20" t="s">
        <v>119</v>
      </c>
      <c r="F1147" s="129">
        <v>38280</v>
      </c>
      <c r="H1147" s="38"/>
      <c r="I1147" s="26"/>
      <c r="J1147" s="19">
        <v>2211011</v>
      </c>
      <c r="K1147" s="20" t="s">
        <v>119</v>
      </c>
      <c r="L1147" s="129">
        <v>38280</v>
      </c>
      <c r="N1147" s="129">
        <f t="shared" si="17"/>
        <v>0</v>
      </c>
    </row>
    <row r="1148" spans="2:14">
      <c r="B1148" s="38"/>
      <c r="C1148" s="26"/>
      <c r="D1148" s="55">
        <v>2211100</v>
      </c>
      <c r="E1148" s="1518" t="s">
        <v>51</v>
      </c>
      <c r="F1148" s="1690">
        <v>313800</v>
      </c>
      <c r="H1148" s="38"/>
      <c r="I1148" s="26"/>
      <c r="J1148" s="55">
        <v>2211100</v>
      </c>
      <c r="K1148" s="1518" t="s">
        <v>51</v>
      </c>
      <c r="L1148" s="1690">
        <v>313800</v>
      </c>
      <c r="N1148" s="1690">
        <f t="shared" si="17"/>
        <v>0</v>
      </c>
    </row>
    <row r="1149" spans="2:14">
      <c r="B1149" s="38"/>
      <c r="C1149" s="26"/>
      <c r="D1149" s="19">
        <v>2211101</v>
      </c>
      <c r="E1149" s="20" t="s">
        <v>52</v>
      </c>
      <c r="F1149" s="129">
        <v>100000</v>
      </c>
      <c r="H1149" s="38"/>
      <c r="I1149" s="26"/>
      <c r="J1149" s="19">
        <v>2211101</v>
      </c>
      <c r="K1149" s="20" t="s">
        <v>52</v>
      </c>
      <c r="L1149" s="129">
        <v>100000</v>
      </c>
      <c r="N1149" s="129">
        <f t="shared" si="17"/>
        <v>0</v>
      </c>
    </row>
    <row r="1150" spans="2:14">
      <c r="B1150" s="38"/>
      <c r="C1150" s="26"/>
      <c r="D1150" s="19">
        <v>2211102</v>
      </c>
      <c r="E1150" s="20" t="s">
        <v>53</v>
      </c>
      <c r="F1150" s="129">
        <v>150000</v>
      </c>
      <c r="H1150" s="38"/>
      <c r="I1150" s="26"/>
      <c r="J1150" s="19">
        <v>2211102</v>
      </c>
      <c r="K1150" s="20" t="s">
        <v>53</v>
      </c>
      <c r="L1150" s="129">
        <v>150000</v>
      </c>
      <c r="N1150" s="129">
        <f t="shared" si="17"/>
        <v>0</v>
      </c>
    </row>
    <row r="1151" spans="2:14">
      <c r="B1151" s="38"/>
      <c r="C1151" s="26"/>
      <c r="D1151" s="19">
        <v>2211103</v>
      </c>
      <c r="E1151" s="20" t="s">
        <v>54</v>
      </c>
      <c r="F1151" s="129">
        <v>63800.000000000007</v>
      </c>
      <c r="H1151" s="38"/>
      <c r="I1151" s="26"/>
      <c r="J1151" s="19">
        <v>2211103</v>
      </c>
      <c r="K1151" s="20" t="s">
        <v>54</v>
      </c>
      <c r="L1151" s="129">
        <v>63800.000000000007</v>
      </c>
      <c r="N1151" s="129">
        <f t="shared" si="17"/>
        <v>0</v>
      </c>
    </row>
    <row r="1152" spans="2:14">
      <c r="B1152" s="38"/>
      <c r="C1152" s="26"/>
      <c r="D1152" s="55">
        <v>2211200</v>
      </c>
      <c r="E1152" s="1518" t="s">
        <v>55</v>
      </c>
      <c r="F1152" s="1690">
        <v>1200000</v>
      </c>
      <c r="H1152" s="38"/>
      <c r="I1152" s="26"/>
      <c r="J1152" s="55">
        <v>2211200</v>
      </c>
      <c r="K1152" s="1518" t="s">
        <v>55</v>
      </c>
      <c r="L1152" s="1690">
        <v>1200000</v>
      </c>
      <c r="N1152" s="1690">
        <f t="shared" si="17"/>
        <v>0</v>
      </c>
    </row>
    <row r="1153" spans="2:14">
      <c r="B1153" s="38"/>
      <c r="C1153" s="26"/>
      <c r="D1153" s="19">
        <v>2211201</v>
      </c>
      <c r="E1153" s="20" t="s">
        <v>56</v>
      </c>
      <c r="F1153" s="129">
        <v>670000</v>
      </c>
      <c r="H1153" s="38"/>
      <c r="I1153" s="26"/>
      <c r="J1153" s="19">
        <v>2211201</v>
      </c>
      <c r="K1153" s="20" t="s">
        <v>56</v>
      </c>
      <c r="L1153" s="129">
        <v>670000</v>
      </c>
      <c r="N1153" s="129">
        <f t="shared" si="17"/>
        <v>0</v>
      </c>
    </row>
    <row r="1154" spans="2:14">
      <c r="B1154" s="38"/>
      <c r="C1154" s="26"/>
      <c r="D1154" s="19" t="s">
        <v>247</v>
      </c>
      <c r="E1154" s="20" t="s">
        <v>248</v>
      </c>
      <c r="F1154" s="129">
        <v>530000</v>
      </c>
      <c r="H1154" s="38"/>
      <c r="I1154" s="26"/>
      <c r="J1154" s="19" t="s">
        <v>247</v>
      </c>
      <c r="K1154" s="20" t="s">
        <v>248</v>
      </c>
      <c r="L1154" s="129">
        <v>530000</v>
      </c>
      <c r="N1154" s="129">
        <f t="shared" si="17"/>
        <v>0</v>
      </c>
    </row>
    <row r="1155" spans="2:14">
      <c r="B1155" s="38"/>
      <c r="C1155" s="26"/>
      <c r="D1155" s="55">
        <v>2211300</v>
      </c>
      <c r="E1155" s="1518" t="s">
        <v>57</v>
      </c>
      <c r="F1155" s="1690">
        <v>150000</v>
      </c>
      <c r="H1155" s="38"/>
      <c r="I1155" s="26"/>
      <c r="J1155" s="55">
        <v>2211300</v>
      </c>
      <c r="K1155" s="1518" t="s">
        <v>57</v>
      </c>
      <c r="L1155" s="1690">
        <v>150000</v>
      </c>
      <c r="N1155" s="1690">
        <f t="shared" si="17"/>
        <v>0</v>
      </c>
    </row>
    <row r="1156" spans="2:14">
      <c r="B1156" s="38"/>
      <c r="C1156" s="26"/>
      <c r="D1156" s="19">
        <v>2211301</v>
      </c>
      <c r="E1156" s="20" t="s">
        <v>198</v>
      </c>
      <c r="F1156" s="129">
        <v>0</v>
      </c>
      <c r="H1156" s="38"/>
      <c r="I1156" s="26"/>
      <c r="J1156" s="19">
        <v>2211301</v>
      </c>
      <c r="K1156" s="20" t="s">
        <v>198</v>
      </c>
      <c r="L1156" s="129">
        <v>0</v>
      </c>
      <c r="N1156" s="129">
        <f t="shared" si="17"/>
        <v>0</v>
      </c>
    </row>
    <row r="1157" spans="2:14">
      <c r="B1157" s="38"/>
      <c r="C1157" s="26"/>
      <c r="D1157" s="19">
        <v>2211310</v>
      </c>
      <c r="E1157" s="20" t="s">
        <v>258</v>
      </c>
      <c r="F1157" s="129">
        <v>150000</v>
      </c>
      <c r="H1157" s="38"/>
      <c r="I1157" s="26"/>
      <c r="J1157" s="19">
        <v>2211310</v>
      </c>
      <c r="K1157" s="20" t="s">
        <v>258</v>
      </c>
      <c r="L1157" s="129">
        <v>150000</v>
      </c>
      <c r="N1157" s="129">
        <f t="shared" si="17"/>
        <v>0</v>
      </c>
    </row>
    <row r="1158" spans="2:14">
      <c r="B1158" s="38"/>
      <c r="C1158" s="26"/>
      <c r="D1158" s="55" t="s">
        <v>249</v>
      </c>
      <c r="E1158" s="1518" t="s">
        <v>62</v>
      </c>
      <c r="F1158" s="1690">
        <v>495700</v>
      </c>
      <c r="H1158" s="38"/>
      <c r="I1158" s="26"/>
      <c r="J1158" s="55" t="s">
        <v>249</v>
      </c>
      <c r="K1158" s="1518" t="s">
        <v>62</v>
      </c>
      <c r="L1158" s="1690">
        <v>495700</v>
      </c>
      <c r="N1158" s="1690">
        <f t="shared" si="17"/>
        <v>0</v>
      </c>
    </row>
    <row r="1159" spans="2:14">
      <c r="B1159" s="38"/>
      <c r="C1159" s="26"/>
      <c r="D1159" s="61">
        <v>2220101</v>
      </c>
      <c r="E1159" s="86" t="s">
        <v>250</v>
      </c>
      <c r="F1159" s="129">
        <v>400000</v>
      </c>
      <c r="H1159" s="38"/>
      <c r="I1159" s="26"/>
      <c r="J1159" s="61">
        <v>2220101</v>
      </c>
      <c r="K1159" s="86" t="s">
        <v>250</v>
      </c>
      <c r="L1159" s="129">
        <v>400000</v>
      </c>
      <c r="N1159" s="129">
        <f t="shared" si="17"/>
        <v>0</v>
      </c>
    </row>
    <row r="1160" spans="2:14">
      <c r="B1160" s="38"/>
      <c r="C1160" s="26"/>
      <c r="D1160" s="61">
        <v>2220105</v>
      </c>
      <c r="E1160" s="86" t="s">
        <v>64</v>
      </c>
      <c r="F1160" s="129">
        <v>95700.000000000015</v>
      </c>
      <c r="H1160" s="38"/>
      <c r="I1160" s="26"/>
      <c r="J1160" s="61">
        <v>2220105</v>
      </c>
      <c r="K1160" s="86" t="s">
        <v>64</v>
      </c>
      <c r="L1160" s="129">
        <v>95700.000000000015</v>
      </c>
      <c r="N1160" s="129">
        <f t="shared" ref="N1160:N1223" si="18">F1160-L1160</f>
        <v>0</v>
      </c>
    </row>
    <row r="1161" spans="2:14">
      <c r="B1161" s="38"/>
      <c r="C1161" s="26"/>
      <c r="D1161" s="55">
        <v>2220200</v>
      </c>
      <c r="E1161" s="1518" t="s">
        <v>86</v>
      </c>
      <c r="F1161" s="1690">
        <v>179750</v>
      </c>
      <c r="H1161" s="38"/>
      <c r="I1161" s="26"/>
      <c r="J1161" s="55">
        <v>2220200</v>
      </c>
      <c r="K1161" s="1518" t="s">
        <v>86</v>
      </c>
      <c r="L1161" s="1690">
        <v>179750</v>
      </c>
      <c r="N1161" s="1690">
        <f t="shared" si="18"/>
        <v>0</v>
      </c>
    </row>
    <row r="1162" spans="2:14">
      <c r="B1162" s="38"/>
      <c r="C1162" s="26"/>
      <c r="D1162" s="19">
        <v>2220201</v>
      </c>
      <c r="E1162" s="20" t="s">
        <v>259</v>
      </c>
      <c r="F1162" s="129">
        <v>100000</v>
      </c>
      <c r="H1162" s="38"/>
      <c r="I1162" s="26"/>
      <c r="J1162" s="19">
        <v>2220201</v>
      </c>
      <c r="K1162" s="20" t="s">
        <v>259</v>
      </c>
      <c r="L1162" s="129">
        <v>100000</v>
      </c>
      <c r="N1162" s="129">
        <f t="shared" si="18"/>
        <v>0</v>
      </c>
    </row>
    <row r="1163" spans="2:14">
      <c r="B1163" s="38"/>
      <c r="C1163" s="26"/>
      <c r="D1163" s="19">
        <v>2220202</v>
      </c>
      <c r="E1163" s="20" t="s">
        <v>87</v>
      </c>
      <c r="F1163" s="129">
        <v>44660</v>
      </c>
      <c r="H1163" s="38"/>
      <c r="I1163" s="26"/>
      <c r="J1163" s="19">
        <v>2220202</v>
      </c>
      <c r="K1163" s="20" t="s">
        <v>87</v>
      </c>
      <c r="L1163" s="129">
        <v>44660</v>
      </c>
      <c r="N1163" s="129">
        <f t="shared" si="18"/>
        <v>0</v>
      </c>
    </row>
    <row r="1164" spans="2:14">
      <c r="B1164" s="38"/>
      <c r="C1164" s="26"/>
      <c r="D1164" s="19">
        <v>2220205</v>
      </c>
      <c r="E1164" s="20" t="s">
        <v>125</v>
      </c>
      <c r="F1164" s="129">
        <v>35090</v>
      </c>
      <c r="H1164" s="38"/>
      <c r="I1164" s="26"/>
      <c r="J1164" s="19">
        <v>2220205</v>
      </c>
      <c r="K1164" s="20" t="s">
        <v>125</v>
      </c>
      <c r="L1164" s="129">
        <v>35090</v>
      </c>
      <c r="N1164" s="129">
        <f t="shared" si="18"/>
        <v>0</v>
      </c>
    </row>
    <row r="1165" spans="2:14">
      <c r="B1165" s="38"/>
      <c r="C1165" s="26"/>
      <c r="D1165" s="55">
        <v>3110300</v>
      </c>
      <c r="E1165" s="1518" t="s">
        <v>251</v>
      </c>
      <c r="F1165" s="1690">
        <v>41470</v>
      </c>
      <c r="H1165" s="38"/>
      <c r="I1165" s="26"/>
      <c r="J1165" s="55">
        <v>3110300</v>
      </c>
      <c r="K1165" s="1518" t="s">
        <v>251</v>
      </c>
      <c r="L1165" s="1690">
        <v>41470</v>
      </c>
      <c r="N1165" s="1690">
        <f t="shared" si="18"/>
        <v>0</v>
      </c>
    </row>
    <row r="1166" spans="2:14">
      <c r="B1166" s="38"/>
      <c r="C1166" s="26"/>
      <c r="D1166" s="19">
        <v>3110302</v>
      </c>
      <c r="E1166" s="20" t="s">
        <v>252</v>
      </c>
      <c r="F1166" s="129">
        <v>41470</v>
      </c>
      <c r="H1166" s="38"/>
      <c r="I1166" s="26"/>
      <c r="J1166" s="19">
        <v>3110302</v>
      </c>
      <c r="K1166" s="20" t="s">
        <v>252</v>
      </c>
      <c r="L1166" s="129">
        <v>41470</v>
      </c>
      <c r="N1166" s="129">
        <f t="shared" si="18"/>
        <v>0</v>
      </c>
    </row>
    <row r="1167" spans="2:14">
      <c r="B1167" s="38"/>
      <c r="C1167" s="26"/>
      <c r="D1167" s="55">
        <v>3111000</v>
      </c>
      <c r="E1167" s="1518" t="s">
        <v>69</v>
      </c>
      <c r="F1167" s="1690">
        <v>347829</v>
      </c>
      <c r="H1167" s="38"/>
      <c r="I1167" s="26"/>
      <c r="J1167" s="55">
        <v>3111000</v>
      </c>
      <c r="K1167" s="1518" t="s">
        <v>69</v>
      </c>
      <c r="L1167" s="1690">
        <v>347829</v>
      </c>
      <c r="N1167" s="1690">
        <f t="shared" si="18"/>
        <v>0</v>
      </c>
    </row>
    <row r="1168" spans="2:14">
      <c r="B1168" s="38"/>
      <c r="C1168" s="26"/>
      <c r="D1168" s="19">
        <v>3111001</v>
      </c>
      <c r="E1168" s="20" t="s">
        <v>70</v>
      </c>
      <c r="F1168" s="129">
        <v>41470</v>
      </c>
      <c r="H1168" s="38"/>
      <c r="I1168" s="26"/>
      <c r="J1168" s="19">
        <v>3111001</v>
      </c>
      <c r="K1168" s="20" t="s">
        <v>70</v>
      </c>
      <c r="L1168" s="129">
        <v>41470</v>
      </c>
      <c r="N1168" s="129">
        <f t="shared" si="18"/>
        <v>0</v>
      </c>
    </row>
    <row r="1169" spans="2:14">
      <c r="B1169" s="38"/>
      <c r="C1169" s="26"/>
      <c r="D1169" s="19">
        <v>3111002</v>
      </c>
      <c r="E1169" s="20" t="s">
        <v>71</v>
      </c>
      <c r="F1169" s="129">
        <v>261600</v>
      </c>
      <c r="H1169" s="38"/>
      <c r="I1169" s="26"/>
      <c r="J1169" s="19">
        <v>3111002</v>
      </c>
      <c r="K1169" s="20" t="s">
        <v>71</v>
      </c>
      <c r="L1169" s="129">
        <v>261600</v>
      </c>
      <c r="N1169" s="129">
        <f t="shared" si="18"/>
        <v>0</v>
      </c>
    </row>
    <row r="1170" spans="2:14">
      <c r="B1170" s="38"/>
      <c r="C1170" s="26"/>
      <c r="D1170" s="19">
        <v>3111009</v>
      </c>
      <c r="E1170" s="20" t="s">
        <v>253</v>
      </c>
      <c r="F1170" s="129">
        <v>44759</v>
      </c>
      <c r="H1170" s="38"/>
      <c r="I1170" s="26"/>
      <c r="J1170" s="19">
        <v>3111009</v>
      </c>
      <c r="K1170" s="20" t="s">
        <v>253</v>
      </c>
      <c r="L1170" s="129">
        <v>44759</v>
      </c>
      <c r="N1170" s="129">
        <f t="shared" si="18"/>
        <v>0</v>
      </c>
    </row>
    <row r="1171" spans="2:14">
      <c r="B1171" s="38"/>
      <c r="C1171" s="26"/>
      <c r="D1171" s="1671">
        <v>3111400</v>
      </c>
      <c r="E1171" s="1515" t="s">
        <v>254</v>
      </c>
      <c r="F1171" s="1690">
        <v>100000</v>
      </c>
      <c r="H1171" s="38"/>
      <c r="I1171" s="26"/>
      <c r="J1171" s="1671">
        <v>3111400</v>
      </c>
      <c r="K1171" s="1515" t="s">
        <v>254</v>
      </c>
      <c r="L1171" s="1690">
        <v>100000</v>
      </c>
      <c r="N1171" s="1690">
        <f t="shared" si="18"/>
        <v>0</v>
      </c>
    </row>
    <row r="1172" spans="2:14">
      <c r="B1172" s="38"/>
      <c r="C1172" s="26"/>
      <c r="D1172" s="61">
        <v>3111401</v>
      </c>
      <c r="E1172" s="86" t="s">
        <v>255</v>
      </c>
      <c r="F1172" s="129">
        <v>100000</v>
      </c>
      <c r="H1172" s="38"/>
      <c r="I1172" s="26"/>
      <c r="J1172" s="61">
        <v>3111401</v>
      </c>
      <c r="K1172" s="86" t="s">
        <v>255</v>
      </c>
      <c r="L1172" s="129">
        <v>100000</v>
      </c>
      <c r="N1172" s="129">
        <f t="shared" si="18"/>
        <v>0</v>
      </c>
    </row>
    <row r="1173" spans="2:14">
      <c r="B1173" s="38"/>
      <c r="C1173" s="26"/>
      <c r="D1173" s="1534"/>
      <c r="E1173" s="1529" t="s">
        <v>128</v>
      </c>
      <c r="F1173" s="1659">
        <v>12454142</v>
      </c>
      <c r="H1173" s="38"/>
      <c r="I1173" s="26"/>
      <c r="J1173" s="1534"/>
      <c r="K1173" s="1529" t="s">
        <v>128</v>
      </c>
      <c r="L1173" s="1659">
        <v>12454142</v>
      </c>
      <c r="N1173" s="1659">
        <f t="shared" si="18"/>
        <v>0</v>
      </c>
    </row>
    <row r="1174" spans="2:14">
      <c r="B1174" s="38"/>
      <c r="C1174" s="26"/>
      <c r="D1174" s="1534"/>
      <c r="E1174" s="1529"/>
      <c r="F1174" s="1659"/>
      <c r="H1174" s="38"/>
      <c r="I1174" s="26"/>
      <c r="J1174" s="1534"/>
      <c r="K1174" s="1529"/>
      <c r="L1174" s="1659"/>
      <c r="N1174" s="1659">
        <f t="shared" si="18"/>
        <v>0</v>
      </c>
    </row>
    <row r="1175" spans="2:14">
      <c r="B1175" s="38"/>
      <c r="C1175" s="26"/>
      <c r="D1175" s="1547"/>
      <c r="E1175" s="1515" t="s">
        <v>92</v>
      </c>
      <c r="F1175" s="1659">
        <v>0</v>
      </c>
      <c r="H1175" s="38"/>
      <c r="I1175" s="26"/>
      <c r="J1175" s="1547"/>
      <c r="K1175" s="1515" t="s">
        <v>92</v>
      </c>
      <c r="L1175" s="1659">
        <v>0</v>
      </c>
      <c r="N1175" s="1659">
        <f t="shared" si="18"/>
        <v>0</v>
      </c>
    </row>
    <row r="1176" spans="2:14">
      <c r="B1176" s="38"/>
      <c r="C1176" s="26"/>
      <c r="D1176" s="1671">
        <v>3110500</v>
      </c>
      <c r="E1176" s="1515" t="s">
        <v>260</v>
      </c>
      <c r="F1176" s="1690">
        <v>10350000</v>
      </c>
      <c r="H1176" s="38"/>
      <c r="I1176" s="26"/>
      <c r="J1176" s="1671">
        <v>3110500</v>
      </c>
      <c r="K1176" s="1515" t="s">
        <v>260</v>
      </c>
      <c r="L1176" s="1690">
        <v>10350000</v>
      </c>
      <c r="N1176" s="1690">
        <f t="shared" si="18"/>
        <v>0</v>
      </c>
    </row>
    <row r="1177" spans="2:14" ht="30">
      <c r="B1177" s="38"/>
      <c r="C1177" s="25"/>
      <c r="D1177" s="39">
        <v>3110504</v>
      </c>
      <c r="E1177" s="40" t="s">
        <v>1524</v>
      </c>
      <c r="F1177" s="129">
        <v>5000000</v>
      </c>
      <c r="H1177" s="38"/>
      <c r="I1177" s="25"/>
      <c r="J1177" s="39">
        <v>3110504</v>
      </c>
      <c r="K1177" s="40" t="s">
        <v>1524</v>
      </c>
      <c r="L1177" s="129">
        <v>5000000</v>
      </c>
      <c r="N1177" s="129">
        <f t="shared" si="18"/>
        <v>0</v>
      </c>
    </row>
    <row r="1178" spans="2:14" ht="30">
      <c r="B1178" s="38"/>
      <c r="C1178" s="26"/>
      <c r="D1178" s="39">
        <v>3110504</v>
      </c>
      <c r="E1178" s="40" t="s">
        <v>1525</v>
      </c>
      <c r="F1178" s="129">
        <v>2350000</v>
      </c>
      <c r="H1178" s="38"/>
      <c r="I1178" s="26"/>
      <c r="J1178" s="39">
        <v>3110504</v>
      </c>
      <c r="K1178" s="40" t="s">
        <v>1525</v>
      </c>
      <c r="L1178" s="129">
        <v>2350000</v>
      </c>
      <c r="N1178" s="129">
        <f t="shared" si="18"/>
        <v>0</v>
      </c>
    </row>
    <row r="1179" spans="2:14" ht="45">
      <c r="B1179" s="38"/>
      <c r="C1179" s="26"/>
      <c r="D1179" s="39">
        <v>3110599</v>
      </c>
      <c r="E1179" s="40" t="s">
        <v>1526</v>
      </c>
      <c r="F1179" s="129">
        <v>3000000</v>
      </c>
      <c r="H1179" s="38"/>
      <c r="I1179" s="26"/>
      <c r="J1179" s="39">
        <v>3110599</v>
      </c>
      <c r="K1179" s="40" t="s">
        <v>1526</v>
      </c>
      <c r="L1179" s="129">
        <v>3000000</v>
      </c>
      <c r="N1179" s="129">
        <f t="shared" si="18"/>
        <v>0</v>
      </c>
    </row>
    <row r="1180" spans="2:14">
      <c r="B1180" s="1705"/>
      <c r="C1180" s="26"/>
      <c r="D1180" s="1543"/>
      <c r="E1180" s="1706" t="s">
        <v>261</v>
      </c>
      <c r="F1180" s="1707">
        <v>10350000</v>
      </c>
      <c r="H1180" s="1705"/>
      <c r="I1180" s="26"/>
      <c r="J1180" s="1543"/>
      <c r="K1180" s="1706" t="s">
        <v>261</v>
      </c>
      <c r="L1180" s="1707">
        <v>10350000</v>
      </c>
      <c r="N1180" s="1707">
        <f t="shared" si="18"/>
        <v>0</v>
      </c>
    </row>
    <row r="1181" spans="2:14">
      <c r="B1181" s="1705"/>
      <c r="C1181" s="26"/>
      <c r="D1181" s="1543"/>
      <c r="E1181" s="1706" t="s">
        <v>84</v>
      </c>
      <c r="F1181" s="1707">
        <v>22804142</v>
      </c>
      <c r="H1181" s="1705"/>
      <c r="I1181" s="26"/>
      <c r="J1181" s="1543"/>
      <c r="K1181" s="1706" t="s">
        <v>84</v>
      </c>
      <c r="L1181" s="1707">
        <v>22804142</v>
      </c>
      <c r="N1181" s="1707">
        <f t="shared" si="18"/>
        <v>0</v>
      </c>
    </row>
    <row r="1182" spans="2:14">
      <c r="B1182" s="1705"/>
      <c r="C1182" s="26"/>
      <c r="D1182" s="1543"/>
      <c r="E1182" s="1706" t="s">
        <v>262</v>
      </c>
      <c r="F1182" s="1707">
        <v>68066088</v>
      </c>
      <c r="H1182" s="1705"/>
      <c r="I1182" s="26"/>
      <c r="J1182" s="1543"/>
      <c r="K1182" s="1706" t="s">
        <v>262</v>
      </c>
      <c r="L1182" s="1707">
        <v>68066088</v>
      </c>
      <c r="N1182" s="1707">
        <f t="shared" si="18"/>
        <v>0</v>
      </c>
    </row>
    <row r="1183" spans="2:14">
      <c r="B1183" s="25"/>
      <c r="C1183" s="25"/>
      <c r="D1183" s="1528"/>
      <c r="E1183" s="1508" t="s">
        <v>99</v>
      </c>
      <c r="F1183" s="1659">
        <v>153705306.002</v>
      </c>
      <c r="H1183" s="25"/>
      <c r="I1183" s="25"/>
      <c r="J1183" s="1528"/>
      <c r="K1183" s="1508" t="s">
        <v>99</v>
      </c>
      <c r="L1183" s="1659">
        <v>153705306.002</v>
      </c>
      <c r="N1183" s="1659">
        <f t="shared" si="18"/>
        <v>0</v>
      </c>
    </row>
    <row r="1184" spans="2:14">
      <c r="B1184" s="25"/>
      <c r="C1184" s="25"/>
      <c r="D1184" s="1528"/>
      <c r="E1184" s="1508" t="s">
        <v>175</v>
      </c>
      <c r="F1184" s="1659">
        <v>22702808</v>
      </c>
      <c r="H1184" s="25"/>
      <c r="I1184" s="25"/>
      <c r="J1184" s="1528"/>
      <c r="K1184" s="1508" t="s">
        <v>175</v>
      </c>
      <c r="L1184" s="1659">
        <v>22702808</v>
      </c>
      <c r="N1184" s="1659">
        <f t="shared" si="18"/>
        <v>0</v>
      </c>
    </row>
    <row r="1185" spans="2:14">
      <c r="B1185" s="25"/>
      <c r="C1185" s="25"/>
      <c r="D1185" s="1583" t="s">
        <v>263</v>
      </c>
      <c r="E1185" s="1620"/>
      <c r="F1185" s="1659">
        <v>176408114.002</v>
      </c>
      <c r="H1185" s="25"/>
      <c r="I1185" s="25"/>
      <c r="J1185" s="1583" t="s">
        <v>263</v>
      </c>
      <c r="K1185" s="1620"/>
      <c r="L1185" s="1659">
        <v>176408114.002</v>
      </c>
      <c r="N1185" s="1659">
        <f t="shared" si="18"/>
        <v>0</v>
      </c>
    </row>
    <row r="1186" spans="2:14">
      <c r="B1186" s="25"/>
      <c r="C1186" s="25"/>
      <c r="D1186" s="1507"/>
      <c r="E1186" s="1658"/>
      <c r="F1186" s="1659"/>
      <c r="H1186" s="25"/>
      <c r="I1186" s="25"/>
      <c r="J1186" s="1507"/>
      <c r="K1186" s="1658"/>
      <c r="L1186" s="1659"/>
      <c r="N1186" s="1659">
        <f t="shared" si="18"/>
        <v>0</v>
      </c>
    </row>
    <row r="1187" spans="2:14">
      <c r="B1187" s="1708"/>
      <c r="C1187" s="1708"/>
      <c r="D1187" s="61"/>
      <c r="E1187" s="74"/>
      <c r="F1187" s="177"/>
      <c r="H1187" s="1708"/>
      <c r="I1187" s="1708"/>
      <c r="J1187" s="61"/>
      <c r="K1187" s="74"/>
      <c r="L1187" s="177"/>
      <c r="N1187" s="177">
        <f t="shared" si="18"/>
        <v>0</v>
      </c>
    </row>
    <row r="1188" spans="2:14">
      <c r="B1188" s="46"/>
      <c r="C1188" s="46"/>
      <c r="D1188" s="1507" t="s">
        <v>1251</v>
      </c>
      <c r="E1188" s="1618"/>
      <c r="F1188" s="1709"/>
      <c r="H1188" s="46"/>
      <c r="I1188" s="46"/>
      <c r="J1188" s="1507" t="s">
        <v>1251</v>
      </c>
      <c r="K1188" s="1618"/>
      <c r="L1188" s="1709"/>
      <c r="N1188" s="1709">
        <f t="shared" si="18"/>
        <v>0</v>
      </c>
    </row>
    <row r="1189" spans="2:14">
      <c r="B1189" s="46"/>
      <c r="C1189" s="46"/>
      <c r="D1189" s="1507" t="s">
        <v>264</v>
      </c>
      <c r="E1189" s="1620"/>
      <c r="F1189" s="1621"/>
      <c r="H1189" s="46"/>
      <c r="I1189" s="46"/>
      <c r="J1189" s="1507" t="s">
        <v>264</v>
      </c>
      <c r="K1189" s="1620"/>
      <c r="L1189" s="1621"/>
      <c r="N1189" s="1621">
        <f t="shared" si="18"/>
        <v>0</v>
      </c>
    </row>
    <row r="1190" spans="2:14">
      <c r="B1190" s="46"/>
      <c r="C1190" s="46"/>
      <c r="D1190" s="1507" t="s">
        <v>265</v>
      </c>
      <c r="E1190" s="1620"/>
      <c r="F1190" s="1710"/>
      <c r="H1190" s="46"/>
      <c r="I1190" s="46"/>
      <c r="J1190" s="1507" t="s">
        <v>265</v>
      </c>
      <c r="K1190" s="1620"/>
      <c r="L1190" s="1710"/>
      <c r="N1190" s="1710">
        <f t="shared" si="18"/>
        <v>0</v>
      </c>
    </row>
    <row r="1191" spans="2:14">
      <c r="B1191" s="46"/>
      <c r="C1191" s="46"/>
      <c r="D1191" s="1671">
        <v>2110100</v>
      </c>
      <c r="E1191" s="1680" t="s">
        <v>13</v>
      </c>
      <c r="F1191" s="1625">
        <v>92191299</v>
      </c>
      <c r="H1191" s="46"/>
      <c r="I1191" s="46"/>
      <c r="J1191" s="1671">
        <v>2110100</v>
      </c>
      <c r="K1191" s="1680" t="s">
        <v>13</v>
      </c>
      <c r="L1191" s="1625">
        <v>92191299</v>
      </c>
      <c r="N1191" s="1625">
        <f t="shared" si="18"/>
        <v>0</v>
      </c>
    </row>
    <row r="1192" spans="2:14">
      <c r="B1192" s="46"/>
      <c r="C1192" s="46"/>
      <c r="D1192" s="61">
        <v>2110101</v>
      </c>
      <c r="E1192" s="74" t="s">
        <v>266</v>
      </c>
      <c r="F1192" s="183">
        <v>92191299</v>
      </c>
      <c r="H1192" s="46"/>
      <c r="I1192" s="46"/>
      <c r="J1192" s="61">
        <v>2110101</v>
      </c>
      <c r="K1192" s="74" t="s">
        <v>266</v>
      </c>
      <c r="L1192" s="183">
        <v>92191299</v>
      </c>
      <c r="N1192" s="183">
        <f t="shared" si="18"/>
        <v>0</v>
      </c>
    </row>
    <row r="1193" spans="2:14">
      <c r="B1193" s="46"/>
      <c r="C1193" s="46"/>
      <c r="D1193" s="61">
        <v>2210120</v>
      </c>
      <c r="E1193" s="74" t="s">
        <v>315</v>
      </c>
      <c r="F1193" s="164"/>
      <c r="H1193" s="46"/>
      <c r="I1193" s="46"/>
      <c r="J1193" s="61">
        <v>2210120</v>
      </c>
      <c r="K1193" s="74" t="s">
        <v>315</v>
      </c>
      <c r="L1193" s="164"/>
      <c r="N1193" s="164">
        <f t="shared" si="18"/>
        <v>0</v>
      </c>
    </row>
    <row r="1194" spans="2:14">
      <c r="B1194" s="46"/>
      <c r="C1194" s="46"/>
      <c r="D1194" s="1671">
        <v>2210100</v>
      </c>
      <c r="E1194" s="1680" t="s">
        <v>16</v>
      </c>
      <c r="F1194" s="1625">
        <v>16918</v>
      </c>
      <c r="H1194" s="46"/>
      <c r="I1194" s="46"/>
      <c r="J1194" s="1671">
        <v>2210100</v>
      </c>
      <c r="K1194" s="1680" t="s">
        <v>16</v>
      </c>
      <c r="L1194" s="1625">
        <v>16918</v>
      </c>
      <c r="N1194" s="1625">
        <f t="shared" si="18"/>
        <v>0</v>
      </c>
    </row>
    <row r="1195" spans="2:14">
      <c r="B1195" s="46"/>
      <c r="C1195" s="46"/>
      <c r="D1195" s="47">
        <v>2210101</v>
      </c>
      <c r="E1195" s="48" t="s">
        <v>17</v>
      </c>
      <c r="F1195" s="183">
        <v>5400</v>
      </c>
      <c r="H1195" s="46"/>
      <c r="I1195" s="46"/>
      <c r="J1195" s="47">
        <v>2210101</v>
      </c>
      <c r="K1195" s="48" t="s">
        <v>17</v>
      </c>
      <c r="L1195" s="183">
        <v>5400</v>
      </c>
      <c r="N1195" s="183">
        <f t="shared" si="18"/>
        <v>0</v>
      </c>
    </row>
    <row r="1196" spans="2:14">
      <c r="B1196" s="46"/>
      <c r="C1196" s="46"/>
      <c r="D1196" s="47">
        <v>2210102</v>
      </c>
      <c r="E1196" s="48" t="s">
        <v>18</v>
      </c>
      <c r="F1196" s="183">
        <v>11518</v>
      </c>
      <c r="H1196" s="46"/>
      <c r="I1196" s="46"/>
      <c r="J1196" s="47">
        <v>2210102</v>
      </c>
      <c r="K1196" s="48" t="s">
        <v>18</v>
      </c>
      <c r="L1196" s="183">
        <v>11518</v>
      </c>
      <c r="N1196" s="183">
        <f t="shared" si="18"/>
        <v>0</v>
      </c>
    </row>
    <row r="1197" spans="2:14">
      <c r="B1197" s="46"/>
      <c r="C1197" s="46"/>
      <c r="D1197" s="1671">
        <v>2210200</v>
      </c>
      <c r="E1197" s="1680" t="s">
        <v>20</v>
      </c>
      <c r="F1197" s="1625">
        <v>145073</v>
      </c>
      <c r="H1197" s="46"/>
      <c r="I1197" s="46"/>
      <c r="J1197" s="1671">
        <v>2210200</v>
      </c>
      <c r="K1197" s="1680" t="s">
        <v>20</v>
      </c>
      <c r="L1197" s="1625">
        <v>145073</v>
      </c>
      <c r="N1197" s="1625">
        <f t="shared" si="18"/>
        <v>0</v>
      </c>
    </row>
    <row r="1198" spans="2:14">
      <c r="B1198" s="46"/>
      <c r="C1198" s="46"/>
      <c r="D1198" s="47">
        <v>2210201</v>
      </c>
      <c r="E1198" s="48" t="s">
        <v>21</v>
      </c>
      <c r="F1198" s="183">
        <v>117247</v>
      </c>
      <c r="H1198" s="46"/>
      <c r="I1198" s="46"/>
      <c r="J1198" s="47">
        <v>2210201</v>
      </c>
      <c r="K1198" s="48" t="s">
        <v>21</v>
      </c>
      <c r="L1198" s="183">
        <v>117247</v>
      </c>
      <c r="N1198" s="183">
        <f t="shared" si="18"/>
        <v>0</v>
      </c>
    </row>
    <row r="1199" spans="2:14">
      <c r="B1199" s="46"/>
      <c r="C1199" s="46"/>
      <c r="D1199" s="47">
        <v>2210203</v>
      </c>
      <c r="E1199" s="48" t="s">
        <v>23</v>
      </c>
      <c r="F1199" s="183">
        <v>27826</v>
      </c>
      <c r="H1199" s="46"/>
      <c r="I1199" s="46"/>
      <c r="J1199" s="47">
        <v>2210203</v>
      </c>
      <c r="K1199" s="48" t="s">
        <v>23</v>
      </c>
      <c r="L1199" s="183">
        <v>27826</v>
      </c>
      <c r="N1199" s="183">
        <f t="shared" si="18"/>
        <v>0</v>
      </c>
    </row>
    <row r="1200" spans="2:14">
      <c r="B1200" s="46"/>
      <c r="C1200" s="46"/>
      <c r="D1200" s="1671">
        <v>2210300</v>
      </c>
      <c r="E1200" s="1680" t="s">
        <v>267</v>
      </c>
      <c r="F1200" s="1625">
        <v>593467</v>
      </c>
      <c r="H1200" s="46"/>
      <c r="I1200" s="46"/>
      <c r="J1200" s="1671">
        <v>2210300</v>
      </c>
      <c r="K1200" s="1680" t="s">
        <v>267</v>
      </c>
      <c r="L1200" s="1625">
        <v>593467</v>
      </c>
      <c r="N1200" s="1625">
        <f t="shared" si="18"/>
        <v>0</v>
      </c>
    </row>
    <row r="1201" spans="2:14">
      <c r="B1201" s="46"/>
      <c r="C1201" s="46"/>
      <c r="D1201" s="47">
        <v>2210301</v>
      </c>
      <c r="E1201" s="48" t="s">
        <v>268</v>
      </c>
      <c r="F1201" s="183">
        <v>263768</v>
      </c>
      <c r="H1201" s="46"/>
      <c r="I1201" s="46"/>
      <c r="J1201" s="47">
        <v>2210301</v>
      </c>
      <c r="K1201" s="48" t="s">
        <v>268</v>
      </c>
      <c r="L1201" s="183">
        <v>263768</v>
      </c>
      <c r="N1201" s="183">
        <f t="shared" si="18"/>
        <v>0</v>
      </c>
    </row>
    <row r="1202" spans="2:14">
      <c r="B1202" s="46"/>
      <c r="C1202" s="46"/>
      <c r="D1202" s="47">
        <v>2210302</v>
      </c>
      <c r="E1202" s="48" t="s">
        <v>269</v>
      </c>
      <c r="F1202" s="183">
        <v>122464</v>
      </c>
      <c r="H1202" s="46"/>
      <c r="I1202" s="46"/>
      <c r="J1202" s="47">
        <v>2210302</v>
      </c>
      <c r="K1202" s="48" t="s">
        <v>269</v>
      </c>
      <c r="L1202" s="183">
        <v>122464</v>
      </c>
      <c r="N1202" s="183">
        <f t="shared" si="18"/>
        <v>0</v>
      </c>
    </row>
    <row r="1203" spans="2:14">
      <c r="B1203" s="46"/>
      <c r="C1203" s="46"/>
      <c r="D1203" s="47">
        <v>2210303</v>
      </c>
      <c r="E1203" s="48" t="s">
        <v>27</v>
      </c>
      <c r="F1203" s="183">
        <v>207235</v>
      </c>
      <c r="H1203" s="46"/>
      <c r="I1203" s="46"/>
      <c r="J1203" s="47">
        <v>2210303</v>
      </c>
      <c r="K1203" s="48" t="s">
        <v>27</v>
      </c>
      <c r="L1203" s="183">
        <v>207235</v>
      </c>
      <c r="N1203" s="183">
        <f t="shared" si="18"/>
        <v>0</v>
      </c>
    </row>
    <row r="1204" spans="2:14">
      <c r="B1204" s="46"/>
      <c r="C1204" s="46"/>
      <c r="D1204" s="1671">
        <v>2210400</v>
      </c>
      <c r="E1204" s="1680" t="s">
        <v>189</v>
      </c>
      <c r="F1204" s="1625">
        <v>517638</v>
      </c>
      <c r="H1204" s="46"/>
      <c r="I1204" s="46"/>
      <c r="J1204" s="1671">
        <v>2210400</v>
      </c>
      <c r="K1204" s="1680" t="s">
        <v>189</v>
      </c>
      <c r="L1204" s="1625">
        <v>517638</v>
      </c>
      <c r="N1204" s="1625">
        <f t="shared" si="18"/>
        <v>0</v>
      </c>
    </row>
    <row r="1205" spans="2:14">
      <c r="B1205" s="46"/>
      <c r="C1205" s="46"/>
      <c r="D1205" s="47">
        <v>2210401</v>
      </c>
      <c r="E1205" s="48" t="s">
        <v>190</v>
      </c>
      <c r="F1205" s="183">
        <v>205154</v>
      </c>
      <c r="H1205" s="46"/>
      <c r="I1205" s="46"/>
      <c r="J1205" s="47">
        <v>2210401</v>
      </c>
      <c r="K1205" s="48" t="s">
        <v>190</v>
      </c>
      <c r="L1205" s="183">
        <v>205154</v>
      </c>
      <c r="N1205" s="183">
        <f t="shared" si="18"/>
        <v>0</v>
      </c>
    </row>
    <row r="1206" spans="2:14">
      <c r="B1206" s="46"/>
      <c r="C1206" s="46"/>
      <c r="D1206" s="47">
        <v>2210402</v>
      </c>
      <c r="E1206" s="48" t="s">
        <v>270</v>
      </c>
      <c r="F1206" s="183">
        <v>149250</v>
      </c>
      <c r="H1206" s="46"/>
      <c r="I1206" s="46"/>
      <c r="J1206" s="47">
        <v>2210402</v>
      </c>
      <c r="K1206" s="48" t="s">
        <v>270</v>
      </c>
      <c r="L1206" s="183">
        <v>149250</v>
      </c>
      <c r="N1206" s="183">
        <f t="shared" si="18"/>
        <v>0</v>
      </c>
    </row>
    <row r="1207" spans="2:14">
      <c r="B1207" s="46"/>
      <c r="C1207" s="46"/>
      <c r="D1207" s="47">
        <v>2210403</v>
      </c>
      <c r="E1207" s="48" t="s">
        <v>28</v>
      </c>
      <c r="F1207" s="183">
        <v>163234</v>
      </c>
      <c r="H1207" s="46"/>
      <c r="I1207" s="46"/>
      <c r="J1207" s="47">
        <v>2210403</v>
      </c>
      <c r="K1207" s="48" t="s">
        <v>28</v>
      </c>
      <c r="L1207" s="183">
        <v>163234</v>
      </c>
      <c r="N1207" s="183">
        <f t="shared" si="18"/>
        <v>0</v>
      </c>
    </row>
    <row r="1208" spans="2:14">
      <c r="B1208" s="46"/>
      <c r="C1208" s="46"/>
      <c r="D1208" s="1671">
        <v>2210500</v>
      </c>
      <c r="E1208" s="1680" t="s">
        <v>31</v>
      </c>
      <c r="F1208" s="1625">
        <v>366818</v>
      </c>
      <c r="H1208" s="46"/>
      <c r="I1208" s="46"/>
      <c r="J1208" s="1671">
        <v>2210500</v>
      </c>
      <c r="K1208" s="1680" t="s">
        <v>31</v>
      </c>
      <c r="L1208" s="1625">
        <v>366818</v>
      </c>
      <c r="N1208" s="1625">
        <f t="shared" si="18"/>
        <v>0</v>
      </c>
    </row>
    <row r="1209" spans="2:14">
      <c r="B1209" s="46"/>
      <c r="C1209" s="46"/>
      <c r="D1209" s="47">
        <v>2210502</v>
      </c>
      <c r="E1209" s="48" t="s">
        <v>105</v>
      </c>
      <c r="F1209" s="150">
        <v>178000</v>
      </c>
      <c r="H1209" s="46"/>
      <c r="I1209" s="46"/>
      <c r="J1209" s="47">
        <v>2210502</v>
      </c>
      <c r="K1209" s="48" t="s">
        <v>105</v>
      </c>
      <c r="L1209" s="150">
        <v>178000</v>
      </c>
      <c r="N1209" s="150">
        <f t="shared" si="18"/>
        <v>0</v>
      </c>
    </row>
    <row r="1210" spans="2:14">
      <c r="B1210" s="46"/>
      <c r="C1210" s="46"/>
      <c r="D1210" s="47">
        <v>2210503</v>
      </c>
      <c r="E1210" s="48" t="s">
        <v>32</v>
      </c>
      <c r="F1210" s="183">
        <v>38818</v>
      </c>
      <c r="H1210" s="46"/>
      <c r="I1210" s="46"/>
      <c r="J1210" s="47">
        <v>2210503</v>
      </c>
      <c r="K1210" s="48" t="s">
        <v>32</v>
      </c>
      <c r="L1210" s="183">
        <v>38818</v>
      </c>
      <c r="N1210" s="183">
        <f t="shared" si="18"/>
        <v>0</v>
      </c>
    </row>
    <row r="1211" spans="2:14">
      <c r="B1211" s="46"/>
      <c r="C1211" s="46"/>
      <c r="D1211" s="47">
        <v>2210504</v>
      </c>
      <c r="E1211" s="48" t="s">
        <v>33</v>
      </c>
      <c r="F1211" s="183">
        <v>150000</v>
      </c>
      <c r="H1211" s="46"/>
      <c r="I1211" s="46"/>
      <c r="J1211" s="47">
        <v>2210504</v>
      </c>
      <c r="K1211" s="48" t="s">
        <v>33</v>
      </c>
      <c r="L1211" s="183">
        <v>150000</v>
      </c>
      <c r="N1211" s="183">
        <f t="shared" si="18"/>
        <v>0</v>
      </c>
    </row>
    <row r="1212" spans="2:14">
      <c r="B1212" s="46"/>
      <c r="C1212" s="46"/>
      <c r="D1212" s="1671">
        <v>2210700</v>
      </c>
      <c r="E1212" s="1680" t="s">
        <v>271</v>
      </c>
      <c r="F1212" s="1625">
        <v>700000</v>
      </c>
      <c r="H1212" s="46"/>
      <c r="I1212" s="46"/>
      <c r="J1212" s="1671">
        <v>2210700</v>
      </c>
      <c r="K1212" s="1680" t="s">
        <v>271</v>
      </c>
      <c r="L1212" s="1625">
        <v>700000</v>
      </c>
      <c r="N1212" s="1625">
        <f t="shared" si="18"/>
        <v>0</v>
      </c>
    </row>
    <row r="1213" spans="2:14">
      <c r="B1213" s="46"/>
      <c r="C1213" s="46"/>
      <c r="D1213" s="47">
        <v>2210701</v>
      </c>
      <c r="E1213" s="48" t="s">
        <v>272</v>
      </c>
      <c r="F1213" s="183">
        <v>329267</v>
      </c>
      <c r="H1213" s="46"/>
      <c r="I1213" s="46"/>
      <c r="J1213" s="47">
        <v>2210701</v>
      </c>
      <c r="K1213" s="48" t="s">
        <v>272</v>
      </c>
      <c r="L1213" s="183">
        <v>329267</v>
      </c>
      <c r="N1213" s="183">
        <f t="shared" si="18"/>
        <v>0</v>
      </c>
    </row>
    <row r="1214" spans="2:14">
      <c r="B1214" s="46"/>
      <c r="C1214" s="46"/>
      <c r="D1214" s="47">
        <v>2210703</v>
      </c>
      <c r="E1214" s="48" t="s">
        <v>273</v>
      </c>
      <c r="F1214" s="183">
        <v>105540</v>
      </c>
      <c r="H1214" s="46"/>
      <c r="I1214" s="46"/>
      <c r="J1214" s="47">
        <v>2210703</v>
      </c>
      <c r="K1214" s="48" t="s">
        <v>273</v>
      </c>
      <c r="L1214" s="183">
        <v>105540</v>
      </c>
      <c r="N1214" s="183">
        <f t="shared" si="18"/>
        <v>0</v>
      </c>
    </row>
    <row r="1215" spans="2:14">
      <c r="B1215" s="46"/>
      <c r="C1215" s="46"/>
      <c r="D1215" s="47">
        <v>2210704</v>
      </c>
      <c r="E1215" s="48" t="s">
        <v>274</v>
      </c>
      <c r="F1215" s="183">
        <v>78003</v>
      </c>
      <c r="H1215" s="46"/>
      <c r="I1215" s="46"/>
      <c r="J1215" s="47">
        <v>2210704</v>
      </c>
      <c r="K1215" s="48" t="s">
        <v>274</v>
      </c>
      <c r="L1215" s="183">
        <v>78003</v>
      </c>
      <c r="N1215" s="183">
        <f t="shared" si="18"/>
        <v>0</v>
      </c>
    </row>
    <row r="1216" spans="2:14">
      <c r="B1216" s="46"/>
      <c r="C1216" s="46"/>
      <c r="D1216" s="47">
        <v>2210710</v>
      </c>
      <c r="E1216" s="48" t="s">
        <v>39</v>
      </c>
      <c r="F1216" s="183">
        <v>187190</v>
      </c>
      <c r="H1216" s="46"/>
      <c r="I1216" s="46"/>
      <c r="J1216" s="47">
        <v>2210710</v>
      </c>
      <c r="K1216" s="48" t="s">
        <v>39</v>
      </c>
      <c r="L1216" s="183">
        <v>187190</v>
      </c>
      <c r="N1216" s="183">
        <f t="shared" si="18"/>
        <v>0</v>
      </c>
    </row>
    <row r="1217" spans="2:14">
      <c r="B1217" s="46"/>
      <c r="C1217" s="46"/>
      <c r="D1217" s="1671">
        <v>2210800</v>
      </c>
      <c r="E1217" s="1680" t="s">
        <v>42</v>
      </c>
      <c r="F1217" s="1625">
        <v>307042</v>
      </c>
      <c r="H1217" s="46"/>
      <c r="I1217" s="46"/>
      <c r="J1217" s="1671">
        <v>2210800</v>
      </c>
      <c r="K1217" s="1680" t="s">
        <v>42</v>
      </c>
      <c r="L1217" s="1625">
        <v>307042</v>
      </c>
      <c r="N1217" s="1625">
        <f t="shared" si="18"/>
        <v>0</v>
      </c>
    </row>
    <row r="1218" spans="2:14">
      <c r="B1218" s="46"/>
      <c r="C1218" s="46"/>
      <c r="D1218" s="47">
        <v>2210801</v>
      </c>
      <c r="E1218" s="48" t="s">
        <v>275</v>
      </c>
      <c r="F1218" s="183">
        <v>150000</v>
      </c>
      <c r="H1218" s="46"/>
      <c r="I1218" s="46"/>
      <c r="J1218" s="47">
        <v>2210801</v>
      </c>
      <c r="K1218" s="48" t="s">
        <v>275</v>
      </c>
      <c r="L1218" s="183">
        <v>150000</v>
      </c>
      <c r="N1218" s="183">
        <f t="shared" si="18"/>
        <v>0</v>
      </c>
    </row>
    <row r="1219" spans="2:14">
      <c r="B1219" s="46"/>
      <c r="C1219" s="46"/>
      <c r="D1219" s="47">
        <v>2210802</v>
      </c>
      <c r="E1219" s="48" t="s">
        <v>97</v>
      </c>
      <c r="F1219" s="183">
        <v>157042</v>
      </c>
      <c r="H1219" s="46"/>
      <c r="I1219" s="46"/>
      <c r="J1219" s="47">
        <v>2210802</v>
      </c>
      <c r="K1219" s="48" t="s">
        <v>97</v>
      </c>
      <c r="L1219" s="183">
        <v>157042</v>
      </c>
      <c r="N1219" s="183">
        <f t="shared" si="18"/>
        <v>0</v>
      </c>
    </row>
    <row r="1220" spans="2:14">
      <c r="B1220" s="46"/>
      <c r="C1220" s="46"/>
      <c r="D1220" s="1671">
        <v>2211000</v>
      </c>
      <c r="E1220" s="1680" t="s">
        <v>118</v>
      </c>
      <c r="F1220" s="1625">
        <v>100000</v>
      </c>
      <c r="H1220" s="46"/>
      <c r="I1220" s="46"/>
      <c r="J1220" s="1671">
        <v>2211000</v>
      </c>
      <c r="K1220" s="1680" t="s">
        <v>118</v>
      </c>
      <c r="L1220" s="1625">
        <v>100000</v>
      </c>
      <c r="N1220" s="1625">
        <f t="shared" si="18"/>
        <v>0</v>
      </c>
    </row>
    <row r="1221" spans="2:14">
      <c r="B1221" s="46"/>
      <c r="C1221" s="46"/>
      <c r="D1221" s="47">
        <v>2211016</v>
      </c>
      <c r="E1221" s="1711" t="s">
        <v>196</v>
      </c>
      <c r="F1221" s="183">
        <v>100000</v>
      </c>
      <c r="H1221" s="46"/>
      <c r="I1221" s="46"/>
      <c r="J1221" s="47">
        <v>2211016</v>
      </c>
      <c r="K1221" s="1711" t="s">
        <v>196</v>
      </c>
      <c r="L1221" s="183">
        <v>100000</v>
      </c>
      <c r="N1221" s="183">
        <f t="shared" si="18"/>
        <v>0</v>
      </c>
    </row>
    <row r="1222" spans="2:14">
      <c r="B1222" s="46"/>
      <c r="C1222" s="46"/>
      <c r="D1222" s="1671">
        <v>2211100</v>
      </c>
      <c r="E1222" s="1680" t="s">
        <v>276</v>
      </c>
      <c r="F1222" s="1625">
        <v>334631</v>
      </c>
      <c r="H1222" s="46"/>
      <c r="I1222" s="46"/>
      <c r="J1222" s="1671">
        <v>2211100</v>
      </c>
      <c r="K1222" s="1680" t="s">
        <v>276</v>
      </c>
      <c r="L1222" s="1625">
        <v>334631</v>
      </c>
      <c r="N1222" s="1625">
        <f t="shared" si="18"/>
        <v>0</v>
      </c>
    </row>
    <row r="1223" spans="2:14">
      <c r="B1223" s="46"/>
      <c r="C1223" s="46"/>
      <c r="D1223" s="47">
        <v>2211101</v>
      </c>
      <c r="E1223" s="48" t="s">
        <v>277</v>
      </c>
      <c r="F1223" s="183">
        <v>150000</v>
      </c>
      <c r="H1223" s="46"/>
      <c r="I1223" s="46"/>
      <c r="J1223" s="47">
        <v>2211101</v>
      </c>
      <c r="K1223" s="48" t="s">
        <v>277</v>
      </c>
      <c r="L1223" s="183">
        <v>150000</v>
      </c>
      <c r="N1223" s="183">
        <f t="shared" si="18"/>
        <v>0</v>
      </c>
    </row>
    <row r="1224" spans="2:14">
      <c r="B1224" s="46"/>
      <c r="C1224" s="46"/>
      <c r="D1224" s="47">
        <v>2211103</v>
      </c>
      <c r="E1224" s="48" t="s">
        <v>54</v>
      </c>
      <c r="F1224" s="183">
        <v>184631</v>
      </c>
      <c r="H1224" s="46"/>
      <c r="I1224" s="46"/>
      <c r="J1224" s="47">
        <v>2211103</v>
      </c>
      <c r="K1224" s="48" t="s">
        <v>54</v>
      </c>
      <c r="L1224" s="183">
        <v>184631</v>
      </c>
      <c r="N1224" s="183">
        <f t="shared" ref="N1224:N1287" si="19">F1224-L1224</f>
        <v>0</v>
      </c>
    </row>
    <row r="1225" spans="2:14">
      <c r="B1225" s="46"/>
      <c r="C1225" s="46"/>
      <c r="D1225" s="1671">
        <v>2211200</v>
      </c>
      <c r="E1225" s="1680" t="s">
        <v>55</v>
      </c>
      <c r="F1225" s="1625">
        <v>1787297</v>
      </c>
      <c r="H1225" s="46"/>
      <c r="I1225" s="46"/>
      <c r="J1225" s="1671">
        <v>2211200</v>
      </c>
      <c r="K1225" s="1680" t="s">
        <v>55</v>
      </c>
      <c r="L1225" s="1625">
        <v>1787297</v>
      </c>
      <c r="N1225" s="1625">
        <f t="shared" si="19"/>
        <v>0</v>
      </c>
    </row>
    <row r="1226" spans="2:14">
      <c r="B1226" s="46"/>
      <c r="C1226" s="46"/>
      <c r="D1226" s="47">
        <v>2211201</v>
      </c>
      <c r="E1226" s="48" t="s">
        <v>56</v>
      </c>
      <c r="F1226" s="183">
        <v>1787297</v>
      </c>
      <c r="H1226" s="46"/>
      <c r="I1226" s="46"/>
      <c r="J1226" s="47">
        <v>2211201</v>
      </c>
      <c r="K1226" s="48" t="s">
        <v>56</v>
      </c>
      <c r="L1226" s="183">
        <v>1787297</v>
      </c>
      <c r="N1226" s="183">
        <f t="shared" si="19"/>
        <v>0</v>
      </c>
    </row>
    <row r="1227" spans="2:14">
      <c r="B1227" s="46"/>
      <c r="C1227" s="46"/>
      <c r="D1227" s="1671">
        <v>2220100</v>
      </c>
      <c r="E1227" s="1680" t="s">
        <v>200</v>
      </c>
      <c r="F1227" s="1625">
        <v>265000</v>
      </c>
      <c r="H1227" s="46"/>
      <c r="I1227" s="46"/>
      <c r="J1227" s="1671">
        <v>2220100</v>
      </c>
      <c r="K1227" s="1680" t="s">
        <v>200</v>
      </c>
      <c r="L1227" s="1625">
        <v>265000</v>
      </c>
      <c r="N1227" s="1625">
        <f t="shared" si="19"/>
        <v>0</v>
      </c>
    </row>
    <row r="1228" spans="2:14">
      <c r="B1228" s="46"/>
      <c r="C1228" s="46"/>
      <c r="D1228" s="47">
        <v>2220101</v>
      </c>
      <c r="E1228" s="48" t="s">
        <v>200</v>
      </c>
      <c r="F1228" s="183">
        <v>265000</v>
      </c>
      <c r="H1228" s="46"/>
      <c r="I1228" s="46"/>
      <c r="J1228" s="47">
        <v>2220101</v>
      </c>
      <c r="K1228" s="48" t="s">
        <v>200</v>
      </c>
      <c r="L1228" s="183">
        <v>265000</v>
      </c>
      <c r="N1228" s="183">
        <f t="shared" si="19"/>
        <v>0</v>
      </c>
    </row>
    <row r="1229" spans="2:14">
      <c r="B1229" s="46"/>
      <c r="C1229" s="46"/>
      <c r="D1229" s="1671">
        <v>2220200</v>
      </c>
      <c r="E1229" s="1680" t="s">
        <v>124</v>
      </c>
      <c r="F1229" s="1625">
        <v>17122</v>
      </c>
      <c r="H1229" s="46"/>
      <c r="I1229" s="46"/>
      <c r="J1229" s="1671">
        <v>2220200</v>
      </c>
      <c r="K1229" s="1680" t="s">
        <v>124</v>
      </c>
      <c r="L1229" s="1625">
        <v>17122</v>
      </c>
      <c r="N1229" s="1625">
        <f t="shared" si="19"/>
        <v>0</v>
      </c>
    </row>
    <row r="1230" spans="2:14">
      <c r="B1230" s="46"/>
      <c r="C1230" s="46"/>
      <c r="D1230" s="47">
        <v>2220210</v>
      </c>
      <c r="E1230" s="48" t="s">
        <v>163</v>
      </c>
      <c r="F1230" s="183">
        <v>17122</v>
      </c>
      <c r="H1230" s="46"/>
      <c r="I1230" s="46"/>
      <c r="J1230" s="47">
        <v>2220210</v>
      </c>
      <c r="K1230" s="48" t="s">
        <v>163</v>
      </c>
      <c r="L1230" s="183">
        <v>17122</v>
      </c>
      <c r="N1230" s="183">
        <f t="shared" si="19"/>
        <v>0</v>
      </c>
    </row>
    <row r="1231" spans="2:14">
      <c r="B1231" s="46"/>
      <c r="C1231" s="46"/>
      <c r="D1231" s="1671">
        <v>3111000</v>
      </c>
      <c r="E1231" s="1680" t="s">
        <v>69</v>
      </c>
      <c r="F1231" s="1625">
        <v>200000</v>
      </c>
      <c r="H1231" s="46"/>
      <c r="I1231" s="46"/>
      <c r="J1231" s="1671">
        <v>3111000</v>
      </c>
      <c r="K1231" s="1680" t="s">
        <v>69</v>
      </c>
      <c r="L1231" s="1625">
        <v>200000</v>
      </c>
      <c r="N1231" s="1625">
        <f t="shared" si="19"/>
        <v>0</v>
      </c>
    </row>
    <row r="1232" spans="2:14">
      <c r="B1232" s="46"/>
      <c r="C1232" s="46"/>
      <c r="D1232" s="47">
        <v>3111002</v>
      </c>
      <c r="E1232" s="48" t="s">
        <v>71</v>
      </c>
      <c r="F1232" s="183">
        <v>200000</v>
      </c>
      <c r="H1232" s="46"/>
      <c r="I1232" s="46"/>
      <c r="J1232" s="47">
        <v>3111002</v>
      </c>
      <c r="K1232" s="48" t="s">
        <v>71</v>
      </c>
      <c r="L1232" s="183">
        <v>200000</v>
      </c>
      <c r="N1232" s="183">
        <f t="shared" si="19"/>
        <v>0</v>
      </c>
    </row>
    <row r="1233" spans="2:14">
      <c r="B1233" s="46"/>
      <c r="C1233" s="46"/>
      <c r="D1233" s="1528"/>
      <c r="E1233" s="1620" t="s">
        <v>278</v>
      </c>
      <c r="F1233" s="1621">
        <v>97542305</v>
      </c>
      <c r="H1233" s="46"/>
      <c r="I1233" s="46"/>
      <c r="J1233" s="1528"/>
      <c r="K1233" s="1620" t="s">
        <v>278</v>
      </c>
      <c r="L1233" s="1621">
        <v>97542305</v>
      </c>
      <c r="N1233" s="1621">
        <f t="shared" si="19"/>
        <v>0</v>
      </c>
    </row>
    <row r="1234" spans="2:14">
      <c r="B1234" s="46"/>
      <c r="C1234" s="46"/>
      <c r="D1234" s="1671"/>
      <c r="E1234" s="74"/>
      <c r="F1234" s="1625"/>
      <c r="H1234" s="46"/>
      <c r="I1234" s="46"/>
      <c r="J1234" s="1671"/>
      <c r="K1234" s="74"/>
      <c r="L1234" s="1625"/>
      <c r="N1234" s="1625">
        <f t="shared" si="19"/>
        <v>0</v>
      </c>
    </row>
    <row r="1235" spans="2:14">
      <c r="B1235" s="46"/>
      <c r="C1235" s="46"/>
      <c r="D1235" s="1671" t="s">
        <v>9</v>
      </c>
      <c r="E1235" s="1680" t="s">
        <v>279</v>
      </c>
      <c r="F1235" s="1689"/>
      <c r="H1235" s="46"/>
      <c r="I1235" s="46"/>
      <c r="J1235" s="1671" t="s">
        <v>9</v>
      </c>
      <c r="K1235" s="1680" t="s">
        <v>279</v>
      </c>
      <c r="L1235" s="1689"/>
      <c r="N1235" s="1689">
        <f t="shared" si="19"/>
        <v>0</v>
      </c>
    </row>
    <row r="1236" spans="2:14">
      <c r="B1236" s="46"/>
      <c r="C1236" s="46"/>
      <c r="D1236" s="1507" t="s">
        <v>280</v>
      </c>
      <c r="E1236" s="1620"/>
      <c r="F1236" s="1686"/>
      <c r="H1236" s="46"/>
      <c r="I1236" s="46"/>
      <c r="J1236" s="1507" t="s">
        <v>280</v>
      </c>
      <c r="K1236" s="1620"/>
      <c r="L1236" s="1686"/>
      <c r="N1236" s="1686">
        <f t="shared" si="19"/>
        <v>0</v>
      </c>
    </row>
    <row r="1237" spans="2:14">
      <c r="B1237" s="46"/>
      <c r="C1237" s="46"/>
      <c r="D1237" s="1671">
        <v>2210100</v>
      </c>
      <c r="E1237" s="1680" t="s">
        <v>16</v>
      </c>
      <c r="F1237" s="1689">
        <v>221040</v>
      </c>
      <c r="H1237" s="46"/>
      <c r="I1237" s="46"/>
      <c r="J1237" s="1671">
        <v>2210100</v>
      </c>
      <c r="K1237" s="1680" t="s">
        <v>16</v>
      </c>
      <c r="L1237" s="1689">
        <v>221040</v>
      </c>
      <c r="N1237" s="1689">
        <f t="shared" si="19"/>
        <v>0</v>
      </c>
    </row>
    <row r="1238" spans="2:14">
      <c r="B1238" s="46"/>
      <c r="C1238" s="46"/>
      <c r="D1238" s="61">
        <v>2210101</v>
      </c>
      <c r="E1238" s="74" t="s">
        <v>17</v>
      </c>
      <c r="F1238" s="1712">
        <v>94400</v>
      </c>
      <c r="H1238" s="46"/>
      <c r="I1238" s="46"/>
      <c r="J1238" s="61">
        <v>2210101</v>
      </c>
      <c r="K1238" s="74" t="s">
        <v>17</v>
      </c>
      <c r="L1238" s="1712">
        <v>94400</v>
      </c>
      <c r="N1238" s="1712">
        <f t="shared" si="19"/>
        <v>0</v>
      </c>
    </row>
    <row r="1239" spans="2:14">
      <c r="B1239" s="46"/>
      <c r="C1239" s="46"/>
      <c r="D1239" s="61">
        <v>2210102</v>
      </c>
      <c r="E1239" s="74" t="s">
        <v>18</v>
      </c>
      <c r="F1239" s="1712">
        <v>126640</v>
      </c>
      <c r="H1239" s="46"/>
      <c r="I1239" s="46"/>
      <c r="J1239" s="61">
        <v>2210102</v>
      </c>
      <c r="K1239" s="74" t="s">
        <v>18</v>
      </c>
      <c r="L1239" s="1712">
        <v>126640</v>
      </c>
      <c r="N1239" s="1712">
        <f t="shared" si="19"/>
        <v>0</v>
      </c>
    </row>
    <row r="1240" spans="2:14">
      <c r="B1240" s="46"/>
      <c r="C1240" s="46"/>
      <c r="D1240" s="1671">
        <v>2210200</v>
      </c>
      <c r="E1240" s="1680" t="s">
        <v>20</v>
      </c>
      <c r="F1240" s="1689">
        <v>488066</v>
      </c>
      <c r="H1240" s="46"/>
      <c r="I1240" s="46"/>
      <c r="J1240" s="1671">
        <v>2210200</v>
      </c>
      <c r="K1240" s="1680" t="s">
        <v>20</v>
      </c>
      <c r="L1240" s="1689">
        <v>488066</v>
      </c>
      <c r="N1240" s="1689">
        <f t="shared" si="19"/>
        <v>0</v>
      </c>
    </row>
    <row r="1241" spans="2:14">
      <c r="B1241" s="46"/>
      <c r="C1241" s="46"/>
      <c r="D1241" s="47">
        <v>2210201</v>
      </c>
      <c r="E1241" s="48" t="s">
        <v>21</v>
      </c>
      <c r="F1241" s="135">
        <v>179033</v>
      </c>
      <c r="H1241" s="46"/>
      <c r="I1241" s="46"/>
      <c r="J1241" s="47">
        <v>2210201</v>
      </c>
      <c r="K1241" s="48" t="s">
        <v>21</v>
      </c>
      <c r="L1241" s="135">
        <v>179033</v>
      </c>
      <c r="N1241" s="135">
        <f t="shared" si="19"/>
        <v>0</v>
      </c>
    </row>
    <row r="1242" spans="2:14">
      <c r="B1242" s="46"/>
      <c r="C1242" s="46"/>
      <c r="D1242" s="47">
        <v>2210202</v>
      </c>
      <c r="E1242" s="48" t="s">
        <v>22</v>
      </c>
      <c r="F1242" s="135">
        <v>309033</v>
      </c>
      <c r="H1242" s="46"/>
      <c r="I1242" s="46"/>
      <c r="J1242" s="47">
        <v>2210202</v>
      </c>
      <c r="K1242" s="48" t="s">
        <v>22</v>
      </c>
      <c r="L1242" s="135">
        <v>309033</v>
      </c>
      <c r="N1242" s="135">
        <f t="shared" si="19"/>
        <v>0</v>
      </c>
    </row>
    <row r="1243" spans="2:14">
      <c r="B1243" s="46"/>
      <c r="C1243" s="46"/>
      <c r="D1243" s="1671">
        <v>2210300</v>
      </c>
      <c r="E1243" s="1680" t="s">
        <v>267</v>
      </c>
      <c r="F1243" s="1689">
        <v>1632385</v>
      </c>
      <c r="H1243" s="46"/>
      <c r="I1243" s="46"/>
      <c r="J1243" s="1671">
        <v>2210300</v>
      </c>
      <c r="K1243" s="1680" t="s">
        <v>267</v>
      </c>
      <c r="L1243" s="1689">
        <v>1632385</v>
      </c>
      <c r="N1243" s="1689">
        <f t="shared" si="19"/>
        <v>0</v>
      </c>
    </row>
    <row r="1244" spans="2:14">
      <c r="B1244" s="46"/>
      <c r="C1244" s="46"/>
      <c r="D1244" s="47">
        <v>2210301</v>
      </c>
      <c r="E1244" s="48" t="s">
        <v>268</v>
      </c>
      <c r="F1244" s="135">
        <v>534472</v>
      </c>
      <c r="H1244" s="46"/>
      <c r="I1244" s="46"/>
      <c r="J1244" s="47">
        <v>2210301</v>
      </c>
      <c r="K1244" s="48" t="s">
        <v>268</v>
      </c>
      <c r="L1244" s="135">
        <v>534472</v>
      </c>
      <c r="N1244" s="135">
        <f t="shared" si="19"/>
        <v>0</v>
      </c>
    </row>
    <row r="1245" spans="2:14">
      <c r="B1245" s="46"/>
      <c r="C1245" s="46"/>
      <c r="D1245" s="47">
        <v>2210302</v>
      </c>
      <c r="E1245" s="48" t="s">
        <v>269</v>
      </c>
      <c r="F1245" s="135">
        <v>594639</v>
      </c>
      <c r="H1245" s="46"/>
      <c r="I1245" s="46"/>
      <c r="J1245" s="47">
        <v>2210302</v>
      </c>
      <c r="K1245" s="48" t="s">
        <v>269</v>
      </c>
      <c r="L1245" s="135">
        <v>594639</v>
      </c>
      <c r="N1245" s="135">
        <f t="shared" si="19"/>
        <v>0</v>
      </c>
    </row>
    <row r="1246" spans="2:14">
      <c r="B1246" s="46"/>
      <c r="C1246" s="46"/>
      <c r="D1246" s="47">
        <v>2210303</v>
      </c>
      <c r="E1246" s="48" t="s">
        <v>27</v>
      </c>
      <c r="F1246" s="135">
        <v>503274</v>
      </c>
      <c r="H1246" s="46"/>
      <c r="I1246" s="46"/>
      <c r="J1246" s="47">
        <v>2210303</v>
      </c>
      <c r="K1246" s="48" t="s">
        <v>27</v>
      </c>
      <c r="L1246" s="135">
        <v>503274</v>
      </c>
      <c r="N1246" s="135">
        <f t="shared" si="19"/>
        <v>0</v>
      </c>
    </row>
    <row r="1247" spans="2:14">
      <c r="B1247" s="46"/>
      <c r="C1247" s="46"/>
      <c r="D1247" s="1671">
        <v>2210700</v>
      </c>
      <c r="E1247" s="1680" t="s">
        <v>271</v>
      </c>
      <c r="F1247" s="1689">
        <v>1363319.85</v>
      </c>
      <c r="H1247" s="46"/>
      <c r="I1247" s="46"/>
      <c r="J1247" s="1671">
        <v>2210700</v>
      </c>
      <c r="K1247" s="1680" t="s">
        <v>271</v>
      </c>
      <c r="L1247" s="1689">
        <v>1363319.85</v>
      </c>
      <c r="N1247" s="1689">
        <f t="shared" si="19"/>
        <v>0</v>
      </c>
    </row>
    <row r="1248" spans="2:14">
      <c r="B1248" s="46"/>
      <c r="C1248" s="46"/>
      <c r="D1248" s="47">
        <v>2210701</v>
      </c>
      <c r="E1248" s="48" t="s">
        <v>272</v>
      </c>
      <c r="F1248" s="135">
        <v>400000</v>
      </c>
      <c r="H1248" s="46"/>
      <c r="I1248" s="46"/>
      <c r="J1248" s="47">
        <v>2210701</v>
      </c>
      <c r="K1248" s="48" t="s">
        <v>272</v>
      </c>
      <c r="L1248" s="135">
        <v>400000</v>
      </c>
      <c r="N1248" s="135">
        <f t="shared" si="19"/>
        <v>0</v>
      </c>
    </row>
    <row r="1249" spans="2:14">
      <c r="B1249" s="46"/>
      <c r="C1249" s="46"/>
      <c r="D1249" s="47">
        <v>2210703</v>
      </c>
      <c r="E1249" s="48" t="s">
        <v>273</v>
      </c>
      <c r="F1249" s="135">
        <v>206660</v>
      </c>
      <c r="H1249" s="46"/>
      <c r="I1249" s="46"/>
      <c r="J1249" s="47">
        <v>2210703</v>
      </c>
      <c r="K1249" s="48" t="s">
        <v>273</v>
      </c>
      <c r="L1249" s="135">
        <v>206660</v>
      </c>
      <c r="N1249" s="135">
        <f t="shared" si="19"/>
        <v>0</v>
      </c>
    </row>
    <row r="1250" spans="2:14">
      <c r="B1250" s="46"/>
      <c r="C1250" s="46"/>
      <c r="D1250" s="47">
        <v>2210704</v>
      </c>
      <c r="E1250" s="48" t="s">
        <v>274</v>
      </c>
      <c r="F1250" s="135">
        <v>76287</v>
      </c>
      <c r="H1250" s="46"/>
      <c r="I1250" s="46"/>
      <c r="J1250" s="47">
        <v>2210704</v>
      </c>
      <c r="K1250" s="48" t="s">
        <v>274</v>
      </c>
      <c r="L1250" s="135">
        <v>76287</v>
      </c>
      <c r="N1250" s="135">
        <f t="shared" si="19"/>
        <v>0</v>
      </c>
    </row>
    <row r="1251" spans="2:14">
      <c r="B1251" s="46"/>
      <c r="C1251" s="46"/>
      <c r="D1251" s="47">
        <v>2210710</v>
      </c>
      <c r="E1251" s="48" t="s">
        <v>39</v>
      </c>
      <c r="F1251" s="135">
        <v>330372.84999999998</v>
      </c>
      <c r="H1251" s="46"/>
      <c r="I1251" s="46"/>
      <c r="J1251" s="47">
        <v>2210710</v>
      </c>
      <c r="K1251" s="48" t="s">
        <v>39</v>
      </c>
      <c r="L1251" s="135">
        <v>330372.84999999998</v>
      </c>
      <c r="N1251" s="135">
        <f t="shared" si="19"/>
        <v>0</v>
      </c>
    </row>
    <row r="1252" spans="2:14">
      <c r="B1252" s="46"/>
      <c r="C1252" s="46"/>
      <c r="D1252" s="47">
        <v>2210711</v>
      </c>
      <c r="E1252" s="48" t="s">
        <v>281</v>
      </c>
      <c r="F1252" s="135">
        <v>350000</v>
      </c>
      <c r="H1252" s="46"/>
      <c r="I1252" s="46"/>
      <c r="J1252" s="47">
        <v>2210711</v>
      </c>
      <c r="K1252" s="48" t="s">
        <v>281</v>
      </c>
      <c r="L1252" s="135">
        <v>350000</v>
      </c>
      <c r="N1252" s="135">
        <f t="shared" si="19"/>
        <v>0</v>
      </c>
    </row>
    <row r="1253" spans="2:14">
      <c r="B1253" s="46"/>
      <c r="C1253" s="46"/>
      <c r="D1253" s="1671">
        <v>2210800</v>
      </c>
      <c r="E1253" s="1680" t="s">
        <v>42</v>
      </c>
      <c r="F1253" s="1689">
        <v>445299</v>
      </c>
      <c r="H1253" s="46"/>
      <c r="I1253" s="46"/>
      <c r="J1253" s="1671">
        <v>2210800</v>
      </c>
      <c r="K1253" s="1680" t="s">
        <v>42</v>
      </c>
      <c r="L1253" s="1689">
        <v>445299</v>
      </c>
      <c r="N1253" s="1689">
        <f t="shared" si="19"/>
        <v>0</v>
      </c>
    </row>
    <row r="1254" spans="2:14">
      <c r="B1254" s="46"/>
      <c r="C1254" s="46"/>
      <c r="D1254" s="47">
        <v>2210801</v>
      </c>
      <c r="E1254" s="48" t="s">
        <v>275</v>
      </c>
      <c r="F1254" s="135">
        <v>445299</v>
      </c>
      <c r="H1254" s="46"/>
      <c r="I1254" s="46"/>
      <c r="J1254" s="47">
        <v>2210801</v>
      </c>
      <c r="K1254" s="48" t="s">
        <v>275</v>
      </c>
      <c r="L1254" s="135">
        <v>445299</v>
      </c>
      <c r="N1254" s="135">
        <f t="shared" si="19"/>
        <v>0</v>
      </c>
    </row>
    <row r="1255" spans="2:14">
      <c r="B1255" s="46"/>
      <c r="C1255" s="46"/>
      <c r="D1255" s="1671">
        <v>2211100</v>
      </c>
      <c r="E1255" s="1680" t="s">
        <v>276</v>
      </c>
      <c r="F1255" s="1689">
        <v>681479</v>
      </c>
      <c r="H1255" s="46"/>
      <c r="I1255" s="46"/>
      <c r="J1255" s="1671">
        <v>2211100</v>
      </c>
      <c r="K1255" s="1680" t="s">
        <v>276</v>
      </c>
      <c r="L1255" s="1689">
        <v>681479</v>
      </c>
      <c r="N1255" s="1689">
        <f t="shared" si="19"/>
        <v>0</v>
      </c>
    </row>
    <row r="1256" spans="2:14">
      <c r="B1256" s="46"/>
      <c r="C1256" s="46"/>
      <c r="D1256" s="47">
        <v>2211101</v>
      </c>
      <c r="E1256" s="48" t="s">
        <v>277</v>
      </c>
      <c r="F1256" s="135">
        <v>418825</v>
      </c>
      <c r="H1256" s="46"/>
      <c r="I1256" s="46"/>
      <c r="J1256" s="47">
        <v>2211101</v>
      </c>
      <c r="K1256" s="48" t="s">
        <v>277</v>
      </c>
      <c r="L1256" s="135">
        <v>418825</v>
      </c>
      <c r="N1256" s="135">
        <f t="shared" si="19"/>
        <v>0</v>
      </c>
    </row>
    <row r="1257" spans="2:14">
      <c r="B1257" s="46"/>
      <c r="C1257" s="46"/>
      <c r="D1257" s="47">
        <v>2211102</v>
      </c>
      <c r="E1257" s="48" t="s">
        <v>53</v>
      </c>
      <c r="F1257" s="135">
        <v>133526</v>
      </c>
      <c r="H1257" s="46"/>
      <c r="I1257" s="46"/>
      <c r="J1257" s="47">
        <v>2211102</v>
      </c>
      <c r="K1257" s="48" t="s">
        <v>53</v>
      </c>
      <c r="L1257" s="135">
        <v>133526</v>
      </c>
      <c r="N1257" s="135">
        <f t="shared" si="19"/>
        <v>0</v>
      </c>
    </row>
    <row r="1258" spans="2:14">
      <c r="B1258" s="46"/>
      <c r="C1258" s="46"/>
      <c r="D1258" s="47">
        <v>2211103</v>
      </c>
      <c r="E1258" s="48" t="s">
        <v>54</v>
      </c>
      <c r="F1258" s="135">
        <v>129128</v>
      </c>
      <c r="H1258" s="46"/>
      <c r="I1258" s="46"/>
      <c r="J1258" s="47">
        <v>2211103</v>
      </c>
      <c r="K1258" s="48" t="s">
        <v>54</v>
      </c>
      <c r="L1258" s="135">
        <v>129128</v>
      </c>
      <c r="N1258" s="135">
        <f t="shared" si="19"/>
        <v>0</v>
      </c>
    </row>
    <row r="1259" spans="2:14">
      <c r="B1259" s="46"/>
      <c r="C1259" s="46"/>
      <c r="D1259" s="1671">
        <v>2211200</v>
      </c>
      <c r="E1259" s="1680" t="s">
        <v>55</v>
      </c>
      <c r="F1259" s="1689">
        <v>7873569</v>
      </c>
      <c r="H1259" s="46"/>
      <c r="I1259" s="46"/>
      <c r="J1259" s="1671">
        <v>2211200</v>
      </c>
      <c r="K1259" s="1680" t="s">
        <v>55</v>
      </c>
      <c r="L1259" s="1689">
        <v>2873569</v>
      </c>
      <c r="N1259" s="1689">
        <f t="shared" si="19"/>
        <v>5000000</v>
      </c>
    </row>
    <row r="1260" spans="2:14">
      <c r="B1260" s="1713"/>
      <c r="C1260" s="1713"/>
      <c r="D1260" s="1714">
        <v>2211201</v>
      </c>
      <c r="E1260" s="1715" t="s">
        <v>56</v>
      </c>
      <c r="F1260" s="1716">
        <v>7873569</v>
      </c>
      <c r="H1260" s="46"/>
      <c r="I1260" s="46"/>
      <c r="J1260" s="47">
        <v>2211201</v>
      </c>
      <c r="K1260" s="48" t="s">
        <v>56</v>
      </c>
      <c r="L1260" s="135">
        <v>2873569</v>
      </c>
      <c r="N1260" s="135">
        <f t="shared" si="19"/>
        <v>5000000</v>
      </c>
    </row>
    <row r="1261" spans="2:14">
      <c r="B1261" s="46"/>
      <c r="C1261" s="46"/>
      <c r="D1261" s="1671">
        <v>2220100</v>
      </c>
      <c r="E1261" s="1680" t="s">
        <v>200</v>
      </c>
      <c r="F1261" s="1689">
        <v>294576</v>
      </c>
      <c r="H1261" s="46"/>
      <c r="I1261" s="46"/>
      <c r="J1261" s="1671">
        <v>2220100</v>
      </c>
      <c r="K1261" s="1680" t="s">
        <v>200</v>
      </c>
      <c r="L1261" s="1689">
        <v>294576</v>
      </c>
      <c r="N1261" s="1689">
        <f t="shared" si="19"/>
        <v>0</v>
      </c>
    </row>
    <row r="1262" spans="2:14">
      <c r="B1262" s="46"/>
      <c r="C1262" s="46"/>
      <c r="D1262" s="47">
        <v>2220101</v>
      </c>
      <c r="E1262" s="48" t="s">
        <v>200</v>
      </c>
      <c r="F1262" s="135">
        <v>294576</v>
      </c>
      <c r="H1262" s="46"/>
      <c r="I1262" s="46"/>
      <c r="J1262" s="47">
        <v>2220101</v>
      </c>
      <c r="K1262" s="48" t="s">
        <v>200</v>
      </c>
      <c r="L1262" s="135">
        <v>294576</v>
      </c>
      <c r="N1262" s="135">
        <f t="shared" si="19"/>
        <v>0</v>
      </c>
    </row>
    <row r="1263" spans="2:14">
      <c r="B1263" s="46"/>
      <c r="C1263" s="46"/>
      <c r="D1263" s="1671">
        <v>3110200</v>
      </c>
      <c r="E1263" s="1584" t="s">
        <v>282</v>
      </c>
      <c r="F1263" s="1689">
        <v>225000</v>
      </c>
      <c r="H1263" s="46"/>
      <c r="I1263" s="46"/>
      <c r="J1263" s="1671">
        <v>3110200</v>
      </c>
      <c r="K1263" s="1584" t="s">
        <v>282</v>
      </c>
      <c r="L1263" s="1689">
        <v>225000</v>
      </c>
      <c r="N1263" s="1689">
        <f t="shared" si="19"/>
        <v>0</v>
      </c>
    </row>
    <row r="1264" spans="2:14">
      <c r="B1264" s="46"/>
      <c r="C1264" s="46"/>
      <c r="D1264" s="47">
        <v>3110201</v>
      </c>
      <c r="E1264" s="48" t="s">
        <v>252</v>
      </c>
      <c r="F1264" s="135">
        <v>225000</v>
      </c>
      <c r="H1264" s="46"/>
      <c r="I1264" s="46"/>
      <c r="J1264" s="47">
        <v>3110201</v>
      </c>
      <c r="K1264" s="48" t="s">
        <v>252</v>
      </c>
      <c r="L1264" s="135">
        <v>225000</v>
      </c>
      <c r="N1264" s="135">
        <f t="shared" si="19"/>
        <v>0</v>
      </c>
    </row>
    <row r="1265" spans="2:14">
      <c r="B1265" s="27"/>
      <c r="C1265" s="27"/>
      <c r="D1265" s="1671">
        <v>3110700</v>
      </c>
      <c r="E1265" s="1680" t="s">
        <v>65</v>
      </c>
      <c r="F1265" s="1689">
        <v>5500000</v>
      </c>
      <c r="H1265" s="27"/>
      <c r="I1265" s="27"/>
      <c r="J1265" s="1671">
        <v>3110700</v>
      </c>
      <c r="K1265" s="1680" t="s">
        <v>65</v>
      </c>
      <c r="L1265" s="1689">
        <v>0</v>
      </c>
      <c r="N1265" s="1689">
        <f t="shared" si="19"/>
        <v>5500000</v>
      </c>
    </row>
    <row r="1266" spans="2:14">
      <c r="B1266" s="1713"/>
      <c r="C1266" s="1713"/>
      <c r="D1266" s="1717">
        <v>3110701</v>
      </c>
      <c r="E1266" s="1718" t="s">
        <v>1773</v>
      </c>
      <c r="F1266" s="1719">
        <v>5500000</v>
      </c>
      <c r="H1266" s="46"/>
      <c r="I1266" s="46"/>
      <c r="J1266" s="61">
        <v>3110701</v>
      </c>
      <c r="K1266" s="74" t="s">
        <v>1860</v>
      </c>
      <c r="L1266" s="174">
        <v>0</v>
      </c>
      <c r="N1266" s="174">
        <f t="shared" si="19"/>
        <v>5500000</v>
      </c>
    </row>
    <row r="1267" spans="2:14">
      <c r="B1267" s="46"/>
      <c r="C1267" s="46"/>
      <c r="D1267" s="1671">
        <v>3111000</v>
      </c>
      <c r="E1267" s="1680" t="s">
        <v>69</v>
      </c>
      <c r="F1267" s="1689">
        <v>374632</v>
      </c>
      <c r="H1267" s="46"/>
      <c r="I1267" s="46"/>
      <c r="J1267" s="1671">
        <v>3111000</v>
      </c>
      <c r="K1267" s="1680" t="s">
        <v>69</v>
      </c>
      <c r="L1267" s="1689">
        <v>374632</v>
      </c>
      <c r="N1267" s="1689">
        <f t="shared" si="19"/>
        <v>0</v>
      </c>
    </row>
    <row r="1268" spans="2:14">
      <c r="B1268" s="46"/>
      <c r="C1268" s="46"/>
      <c r="D1268" s="47">
        <v>3111002</v>
      </c>
      <c r="E1268" s="48" t="s">
        <v>71</v>
      </c>
      <c r="F1268" s="135">
        <v>374632</v>
      </c>
      <c r="H1268" s="46"/>
      <c r="I1268" s="46"/>
      <c r="J1268" s="47">
        <v>3111002</v>
      </c>
      <c r="K1268" s="48" t="s">
        <v>71</v>
      </c>
      <c r="L1268" s="135">
        <v>374632</v>
      </c>
      <c r="N1268" s="135">
        <f t="shared" si="19"/>
        <v>0</v>
      </c>
    </row>
    <row r="1269" spans="2:14">
      <c r="B1269" s="46"/>
      <c r="C1269" s="46"/>
      <c r="D1269" s="1507"/>
      <c r="E1269" s="1620" t="s">
        <v>278</v>
      </c>
      <c r="F1269" s="1686">
        <v>19099365.850000001</v>
      </c>
      <c r="H1269" s="46"/>
      <c r="I1269" s="46"/>
      <c r="J1269" s="1507"/>
      <c r="K1269" s="1620" t="s">
        <v>278</v>
      </c>
      <c r="L1269" s="1686">
        <v>8599365.8499999996</v>
      </c>
      <c r="N1269" s="1686">
        <f t="shared" si="19"/>
        <v>10500000.000000002</v>
      </c>
    </row>
    <row r="1270" spans="2:14">
      <c r="B1270" s="46"/>
      <c r="C1270" s="46"/>
      <c r="D1270" s="1671"/>
      <c r="E1270" s="1680"/>
      <c r="F1270" s="1689"/>
      <c r="H1270" s="46"/>
      <c r="I1270" s="46"/>
      <c r="J1270" s="1671"/>
      <c r="K1270" s="1680"/>
      <c r="L1270" s="1689"/>
      <c r="N1270" s="1689">
        <f t="shared" si="19"/>
        <v>0</v>
      </c>
    </row>
    <row r="1271" spans="2:14">
      <c r="B1271" s="46"/>
      <c r="C1271" s="46"/>
      <c r="D1271" s="1507" t="s">
        <v>283</v>
      </c>
      <c r="E1271" s="1620"/>
      <c r="F1271" s="1686"/>
      <c r="H1271" s="46"/>
      <c r="I1271" s="46"/>
      <c r="J1271" s="1507" t="s">
        <v>283</v>
      </c>
      <c r="K1271" s="1620"/>
      <c r="L1271" s="1686"/>
      <c r="N1271" s="1686">
        <f t="shared" si="19"/>
        <v>0</v>
      </c>
    </row>
    <row r="1272" spans="2:14">
      <c r="B1272" s="46"/>
      <c r="C1272" s="46"/>
      <c r="D1272" s="1507" t="s">
        <v>284</v>
      </c>
      <c r="E1272" s="1620"/>
      <c r="F1272" s="1709"/>
      <c r="H1272" s="46"/>
      <c r="I1272" s="46"/>
      <c r="J1272" s="1507" t="s">
        <v>284</v>
      </c>
      <c r="K1272" s="1620"/>
      <c r="L1272" s="1709"/>
      <c r="N1272" s="1709">
        <f t="shared" si="19"/>
        <v>0</v>
      </c>
    </row>
    <row r="1273" spans="2:14">
      <c r="B1273" s="46"/>
      <c r="C1273" s="46"/>
      <c r="D1273" s="1671">
        <v>2210100</v>
      </c>
      <c r="E1273" s="1680" t="s">
        <v>285</v>
      </c>
      <c r="F1273" s="1689">
        <v>64200</v>
      </c>
      <c r="H1273" s="46"/>
      <c r="I1273" s="46"/>
      <c r="J1273" s="1671">
        <v>2210100</v>
      </c>
      <c r="K1273" s="1680" t="s">
        <v>285</v>
      </c>
      <c r="L1273" s="1689">
        <v>64200</v>
      </c>
      <c r="N1273" s="1689">
        <f t="shared" si="19"/>
        <v>0</v>
      </c>
    </row>
    <row r="1274" spans="2:14">
      <c r="B1274" s="46"/>
      <c r="C1274" s="46"/>
      <c r="D1274" s="47">
        <v>2210101</v>
      </c>
      <c r="E1274" s="48" t="s">
        <v>17</v>
      </c>
      <c r="F1274" s="135">
        <v>38520</v>
      </c>
      <c r="H1274" s="46"/>
      <c r="I1274" s="46"/>
      <c r="J1274" s="47">
        <v>2210101</v>
      </c>
      <c r="K1274" s="48" t="s">
        <v>17</v>
      </c>
      <c r="L1274" s="135">
        <v>38520</v>
      </c>
      <c r="N1274" s="135">
        <f t="shared" si="19"/>
        <v>0</v>
      </c>
    </row>
    <row r="1275" spans="2:14">
      <c r="B1275" s="46"/>
      <c r="C1275" s="46"/>
      <c r="D1275" s="47">
        <v>2210102</v>
      </c>
      <c r="E1275" s="48" t="s">
        <v>18</v>
      </c>
      <c r="F1275" s="135">
        <v>25680</v>
      </c>
      <c r="H1275" s="46"/>
      <c r="I1275" s="46"/>
      <c r="J1275" s="47">
        <v>2210102</v>
      </c>
      <c r="K1275" s="48" t="s">
        <v>18</v>
      </c>
      <c r="L1275" s="135">
        <v>25680</v>
      </c>
      <c r="N1275" s="135">
        <f t="shared" si="19"/>
        <v>0</v>
      </c>
    </row>
    <row r="1276" spans="2:14">
      <c r="B1276" s="46"/>
      <c r="C1276" s="46"/>
      <c r="D1276" s="1671">
        <v>2210200</v>
      </c>
      <c r="E1276" s="1680" t="s">
        <v>286</v>
      </c>
      <c r="F1276" s="1689">
        <v>150000</v>
      </c>
      <c r="H1276" s="46"/>
      <c r="I1276" s="46"/>
      <c r="J1276" s="1671">
        <v>2210200</v>
      </c>
      <c r="K1276" s="1680" t="s">
        <v>286</v>
      </c>
      <c r="L1276" s="1689">
        <v>150000</v>
      </c>
      <c r="N1276" s="1689">
        <f t="shared" si="19"/>
        <v>0</v>
      </c>
    </row>
    <row r="1277" spans="2:14">
      <c r="B1277" s="46"/>
      <c r="C1277" s="46"/>
      <c r="D1277" s="47">
        <v>2210201</v>
      </c>
      <c r="E1277" s="48" t="s">
        <v>21</v>
      </c>
      <c r="F1277" s="135">
        <v>85000</v>
      </c>
      <c r="H1277" s="46"/>
      <c r="I1277" s="46"/>
      <c r="J1277" s="47">
        <v>2210201</v>
      </c>
      <c r="K1277" s="48" t="s">
        <v>21</v>
      </c>
      <c r="L1277" s="135">
        <v>85000</v>
      </c>
      <c r="N1277" s="135">
        <f t="shared" si="19"/>
        <v>0</v>
      </c>
    </row>
    <row r="1278" spans="2:14">
      <c r="B1278" s="46"/>
      <c r="C1278" s="46"/>
      <c r="D1278" s="47">
        <v>2210202</v>
      </c>
      <c r="E1278" s="48" t="s">
        <v>22</v>
      </c>
      <c r="F1278" s="135">
        <v>65000</v>
      </c>
      <c r="H1278" s="46"/>
      <c r="I1278" s="46"/>
      <c r="J1278" s="47">
        <v>2210202</v>
      </c>
      <c r="K1278" s="48" t="s">
        <v>22</v>
      </c>
      <c r="L1278" s="135">
        <v>65000</v>
      </c>
      <c r="N1278" s="135">
        <f t="shared" si="19"/>
        <v>0</v>
      </c>
    </row>
    <row r="1279" spans="2:14">
      <c r="B1279" s="46"/>
      <c r="C1279" s="46"/>
      <c r="D1279" s="1671">
        <v>2210300</v>
      </c>
      <c r="E1279" s="1680" t="s">
        <v>267</v>
      </c>
      <c r="F1279" s="1689">
        <v>1373526</v>
      </c>
      <c r="H1279" s="46"/>
      <c r="I1279" s="46"/>
      <c r="J1279" s="1671">
        <v>2210300</v>
      </c>
      <c r="K1279" s="1680" t="s">
        <v>267</v>
      </c>
      <c r="L1279" s="1689">
        <v>1373526</v>
      </c>
      <c r="N1279" s="1689">
        <f t="shared" si="19"/>
        <v>0</v>
      </c>
    </row>
    <row r="1280" spans="2:14">
      <c r="B1280" s="46"/>
      <c r="C1280" s="46"/>
      <c r="D1280" s="47">
        <v>2210301</v>
      </c>
      <c r="E1280" s="48" t="s">
        <v>25</v>
      </c>
      <c r="F1280" s="135">
        <v>563828</v>
      </c>
      <c r="H1280" s="46"/>
      <c r="I1280" s="46"/>
      <c r="J1280" s="47">
        <v>2210301</v>
      </c>
      <c r="K1280" s="48" t="s">
        <v>25</v>
      </c>
      <c r="L1280" s="135">
        <v>563828</v>
      </c>
      <c r="N1280" s="135">
        <f t="shared" si="19"/>
        <v>0</v>
      </c>
    </row>
    <row r="1281" spans="2:14">
      <c r="B1281" s="46"/>
      <c r="C1281" s="46"/>
      <c r="D1281" s="47">
        <v>2210302</v>
      </c>
      <c r="E1281" s="48" t="s">
        <v>269</v>
      </c>
      <c r="F1281" s="135">
        <v>306440</v>
      </c>
      <c r="H1281" s="46"/>
      <c r="I1281" s="46"/>
      <c r="J1281" s="47">
        <v>2210302</v>
      </c>
      <c r="K1281" s="48" t="s">
        <v>269</v>
      </c>
      <c r="L1281" s="135">
        <v>306440</v>
      </c>
      <c r="N1281" s="135">
        <f t="shared" si="19"/>
        <v>0</v>
      </c>
    </row>
    <row r="1282" spans="2:14">
      <c r="B1282" s="46"/>
      <c r="C1282" s="46"/>
      <c r="D1282" s="47">
        <v>2210303</v>
      </c>
      <c r="E1282" s="48" t="s">
        <v>27</v>
      </c>
      <c r="F1282" s="135">
        <v>503258</v>
      </c>
      <c r="H1282" s="46"/>
      <c r="I1282" s="46"/>
      <c r="J1282" s="47">
        <v>2210303</v>
      </c>
      <c r="K1282" s="48" t="s">
        <v>27</v>
      </c>
      <c r="L1282" s="135">
        <v>503258</v>
      </c>
      <c r="N1282" s="135">
        <f t="shared" si="19"/>
        <v>0</v>
      </c>
    </row>
    <row r="1283" spans="2:14">
      <c r="B1283" s="46"/>
      <c r="C1283" s="46"/>
      <c r="D1283" s="1671">
        <v>2210500</v>
      </c>
      <c r="E1283" s="1680" t="s">
        <v>31</v>
      </c>
      <c r="F1283" s="1689">
        <v>26269</v>
      </c>
      <c r="H1283" s="46"/>
      <c r="I1283" s="46"/>
      <c r="J1283" s="1671">
        <v>2210500</v>
      </c>
      <c r="K1283" s="1680" t="s">
        <v>31</v>
      </c>
      <c r="L1283" s="1689">
        <v>26269</v>
      </c>
      <c r="N1283" s="1689">
        <f t="shared" si="19"/>
        <v>0</v>
      </c>
    </row>
    <row r="1284" spans="2:14">
      <c r="B1284" s="46"/>
      <c r="C1284" s="46"/>
      <c r="D1284" s="47">
        <v>2210502</v>
      </c>
      <c r="E1284" s="48" t="s">
        <v>105</v>
      </c>
      <c r="F1284" s="135">
        <v>26269</v>
      </c>
      <c r="H1284" s="46"/>
      <c r="I1284" s="46"/>
      <c r="J1284" s="47">
        <v>2210502</v>
      </c>
      <c r="K1284" s="48" t="s">
        <v>105</v>
      </c>
      <c r="L1284" s="135">
        <v>26269</v>
      </c>
      <c r="N1284" s="135">
        <f t="shared" si="19"/>
        <v>0</v>
      </c>
    </row>
    <row r="1285" spans="2:14">
      <c r="B1285" s="46"/>
      <c r="C1285" s="46"/>
      <c r="D1285" s="1671">
        <v>2210700</v>
      </c>
      <c r="E1285" s="1680" t="s">
        <v>271</v>
      </c>
      <c r="F1285" s="1689">
        <v>1222990.6499999999</v>
      </c>
      <c r="H1285" s="46"/>
      <c r="I1285" s="46"/>
      <c r="J1285" s="1671">
        <v>2210700</v>
      </c>
      <c r="K1285" s="1680" t="s">
        <v>271</v>
      </c>
      <c r="L1285" s="1689">
        <v>1222990.6499999999</v>
      </c>
      <c r="N1285" s="1689">
        <f t="shared" si="19"/>
        <v>0</v>
      </c>
    </row>
    <row r="1286" spans="2:14">
      <c r="B1286" s="46"/>
      <c r="C1286" s="46"/>
      <c r="D1286" s="47">
        <v>2210701</v>
      </c>
      <c r="E1286" s="48" t="s">
        <v>287</v>
      </c>
      <c r="F1286" s="135">
        <v>519490.65</v>
      </c>
      <c r="H1286" s="46"/>
      <c r="I1286" s="46"/>
      <c r="J1286" s="47">
        <v>2210701</v>
      </c>
      <c r="K1286" s="48" t="s">
        <v>287</v>
      </c>
      <c r="L1286" s="135">
        <v>519490.65</v>
      </c>
      <c r="N1286" s="135">
        <f t="shared" si="19"/>
        <v>0</v>
      </c>
    </row>
    <row r="1287" spans="2:14">
      <c r="B1287" s="46"/>
      <c r="C1287" s="46"/>
      <c r="D1287" s="47">
        <v>2210704</v>
      </c>
      <c r="E1287" s="48" t="s">
        <v>38</v>
      </c>
      <c r="F1287" s="135">
        <v>303500</v>
      </c>
      <c r="H1287" s="46"/>
      <c r="I1287" s="46"/>
      <c r="J1287" s="47">
        <v>2210704</v>
      </c>
      <c r="K1287" s="48" t="s">
        <v>38</v>
      </c>
      <c r="L1287" s="135">
        <v>303500</v>
      </c>
      <c r="N1287" s="135">
        <f t="shared" si="19"/>
        <v>0</v>
      </c>
    </row>
    <row r="1288" spans="2:14">
      <c r="B1288" s="46"/>
      <c r="C1288" s="46"/>
      <c r="D1288" s="47">
        <v>2210710</v>
      </c>
      <c r="E1288" s="48" t="s">
        <v>288</v>
      </c>
      <c r="F1288" s="135">
        <v>400000</v>
      </c>
      <c r="H1288" s="46"/>
      <c r="I1288" s="46"/>
      <c r="J1288" s="47">
        <v>2210710</v>
      </c>
      <c r="K1288" s="48" t="s">
        <v>288</v>
      </c>
      <c r="L1288" s="135">
        <v>400000</v>
      </c>
      <c r="N1288" s="135">
        <f t="shared" ref="N1288:N1351" si="20">F1288-L1288</f>
        <v>0</v>
      </c>
    </row>
    <row r="1289" spans="2:14">
      <c r="B1289" s="46"/>
      <c r="C1289" s="46"/>
      <c r="D1289" s="1671">
        <v>2211100</v>
      </c>
      <c r="E1289" s="1680" t="s">
        <v>51</v>
      </c>
      <c r="F1289" s="1689">
        <v>499800</v>
      </c>
      <c r="H1289" s="46"/>
      <c r="I1289" s="46"/>
      <c r="J1289" s="1671">
        <v>2211100</v>
      </c>
      <c r="K1289" s="1680" t="s">
        <v>51</v>
      </c>
      <c r="L1289" s="1689">
        <v>499800</v>
      </c>
      <c r="N1289" s="1689">
        <f t="shared" si="20"/>
        <v>0</v>
      </c>
    </row>
    <row r="1290" spans="2:14">
      <c r="B1290" s="46"/>
      <c r="C1290" s="46"/>
      <c r="D1290" s="47">
        <v>2211101</v>
      </c>
      <c r="E1290" s="48" t="s">
        <v>289</v>
      </c>
      <c r="F1290" s="135">
        <v>300000</v>
      </c>
      <c r="H1290" s="46"/>
      <c r="I1290" s="46"/>
      <c r="J1290" s="47">
        <v>2211101</v>
      </c>
      <c r="K1290" s="48" t="s">
        <v>289</v>
      </c>
      <c r="L1290" s="135">
        <v>300000</v>
      </c>
      <c r="N1290" s="135">
        <f t="shared" si="20"/>
        <v>0</v>
      </c>
    </row>
    <row r="1291" spans="2:14">
      <c r="B1291" s="46"/>
      <c r="C1291" s="46"/>
      <c r="D1291" s="47">
        <v>2211102</v>
      </c>
      <c r="E1291" s="48" t="s">
        <v>53</v>
      </c>
      <c r="F1291" s="135">
        <v>107000</v>
      </c>
      <c r="H1291" s="46"/>
      <c r="I1291" s="46"/>
      <c r="J1291" s="47">
        <v>2211102</v>
      </c>
      <c r="K1291" s="48" t="s">
        <v>53</v>
      </c>
      <c r="L1291" s="135">
        <v>107000</v>
      </c>
      <c r="N1291" s="135">
        <f t="shared" si="20"/>
        <v>0</v>
      </c>
    </row>
    <row r="1292" spans="2:14">
      <c r="B1292" s="46"/>
      <c r="C1292" s="46"/>
      <c r="D1292" s="47">
        <v>2211103</v>
      </c>
      <c r="E1292" s="48" t="s">
        <v>54</v>
      </c>
      <c r="F1292" s="135">
        <v>92800</v>
      </c>
      <c r="H1292" s="46"/>
      <c r="I1292" s="46"/>
      <c r="J1292" s="47">
        <v>2211103</v>
      </c>
      <c r="K1292" s="48" t="s">
        <v>54</v>
      </c>
      <c r="L1292" s="135">
        <v>92800</v>
      </c>
      <c r="N1292" s="135">
        <f t="shared" si="20"/>
        <v>0</v>
      </c>
    </row>
    <row r="1293" spans="2:14">
      <c r="B1293" s="46"/>
      <c r="C1293" s="46"/>
      <c r="D1293" s="1671">
        <v>2211200</v>
      </c>
      <c r="E1293" s="1680" t="s">
        <v>55</v>
      </c>
      <c r="F1293" s="1689">
        <v>1501667</v>
      </c>
      <c r="H1293" s="46"/>
      <c r="I1293" s="46"/>
      <c r="J1293" s="1671">
        <v>2211200</v>
      </c>
      <c r="K1293" s="1680" t="s">
        <v>55</v>
      </c>
      <c r="L1293" s="1689">
        <v>1501667</v>
      </c>
      <c r="N1293" s="1689">
        <f t="shared" si="20"/>
        <v>0</v>
      </c>
    </row>
    <row r="1294" spans="2:14">
      <c r="B1294" s="46"/>
      <c r="C1294" s="46"/>
      <c r="D1294" s="47">
        <v>2211201</v>
      </c>
      <c r="E1294" s="48" t="s">
        <v>56</v>
      </c>
      <c r="F1294" s="135">
        <v>1501667</v>
      </c>
      <c r="H1294" s="46"/>
      <c r="I1294" s="46"/>
      <c r="J1294" s="47">
        <v>2211201</v>
      </c>
      <c r="K1294" s="48" t="s">
        <v>56</v>
      </c>
      <c r="L1294" s="135">
        <v>1501667</v>
      </c>
      <c r="N1294" s="135">
        <f t="shared" si="20"/>
        <v>0</v>
      </c>
    </row>
    <row r="1295" spans="2:14">
      <c r="B1295" s="46"/>
      <c r="C1295" s="46"/>
      <c r="D1295" s="1671">
        <v>2220100</v>
      </c>
      <c r="E1295" s="1680" t="s">
        <v>290</v>
      </c>
      <c r="F1295" s="1689">
        <v>725466</v>
      </c>
      <c r="H1295" s="46"/>
      <c r="I1295" s="46"/>
      <c r="J1295" s="1671">
        <v>2220100</v>
      </c>
      <c r="K1295" s="1680" t="s">
        <v>290</v>
      </c>
      <c r="L1295" s="1689">
        <v>725466</v>
      </c>
      <c r="N1295" s="1689">
        <f t="shared" si="20"/>
        <v>0</v>
      </c>
    </row>
    <row r="1296" spans="2:14">
      <c r="B1296" s="46"/>
      <c r="C1296" s="46"/>
      <c r="D1296" s="47">
        <v>2220101</v>
      </c>
      <c r="E1296" s="48" t="s">
        <v>200</v>
      </c>
      <c r="F1296" s="135">
        <v>725466</v>
      </c>
      <c r="H1296" s="46"/>
      <c r="I1296" s="46"/>
      <c r="J1296" s="47">
        <v>2220101</v>
      </c>
      <c r="K1296" s="48" t="s">
        <v>200</v>
      </c>
      <c r="L1296" s="135">
        <v>725466</v>
      </c>
      <c r="N1296" s="135">
        <f t="shared" si="20"/>
        <v>0</v>
      </c>
    </row>
    <row r="1297" spans="2:14">
      <c r="B1297" s="46"/>
      <c r="C1297" s="46"/>
      <c r="D1297" s="1671">
        <v>2220200</v>
      </c>
      <c r="E1297" s="1680" t="s">
        <v>291</v>
      </c>
      <c r="F1297" s="1689">
        <v>2270267</v>
      </c>
      <c r="H1297" s="46"/>
      <c r="I1297" s="46"/>
      <c r="J1297" s="1671">
        <v>2220200</v>
      </c>
      <c r="K1297" s="1680" t="s">
        <v>291</v>
      </c>
      <c r="L1297" s="1689">
        <v>2270267</v>
      </c>
      <c r="N1297" s="1689">
        <f t="shared" si="20"/>
        <v>0</v>
      </c>
    </row>
    <row r="1298" spans="2:14">
      <c r="B1298" s="46"/>
      <c r="C1298" s="46"/>
      <c r="D1298" s="47">
        <v>2220201</v>
      </c>
      <c r="E1298" s="48" t="s">
        <v>292</v>
      </c>
      <c r="F1298" s="135">
        <v>2004667</v>
      </c>
      <c r="H1298" s="46"/>
      <c r="I1298" s="46"/>
      <c r="J1298" s="47">
        <v>2220201</v>
      </c>
      <c r="K1298" s="48" t="s">
        <v>292</v>
      </c>
      <c r="L1298" s="135">
        <v>2004667</v>
      </c>
      <c r="N1298" s="135">
        <f t="shared" si="20"/>
        <v>0</v>
      </c>
    </row>
    <row r="1299" spans="2:14">
      <c r="B1299" s="46"/>
      <c r="C1299" s="46"/>
      <c r="D1299" s="47">
        <v>2220202</v>
      </c>
      <c r="E1299" s="48" t="s">
        <v>87</v>
      </c>
      <c r="F1299" s="135">
        <v>50000</v>
      </c>
      <c r="H1299" s="46"/>
      <c r="I1299" s="46"/>
      <c r="J1299" s="47">
        <v>2220202</v>
      </c>
      <c r="K1299" s="48" t="s">
        <v>87</v>
      </c>
      <c r="L1299" s="135">
        <v>50000</v>
      </c>
      <c r="N1299" s="135">
        <f t="shared" si="20"/>
        <v>0</v>
      </c>
    </row>
    <row r="1300" spans="2:14">
      <c r="B1300" s="46"/>
      <c r="C1300" s="46"/>
      <c r="D1300" s="47">
        <v>2220205</v>
      </c>
      <c r="E1300" s="48" t="s">
        <v>125</v>
      </c>
      <c r="F1300" s="135">
        <v>85600</v>
      </c>
      <c r="H1300" s="46"/>
      <c r="I1300" s="46"/>
      <c r="J1300" s="47">
        <v>2220205</v>
      </c>
      <c r="K1300" s="48" t="s">
        <v>125</v>
      </c>
      <c r="L1300" s="135">
        <v>85600</v>
      </c>
      <c r="N1300" s="135">
        <f t="shared" si="20"/>
        <v>0</v>
      </c>
    </row>
    <row r="1301" spans="2:14">
      <c r="B1301" s="46"/>
      <c r="C1301" s="46"/>
      <c r="D1301" s="47">
        <v>2220210</v>
      </c>
      <c r="E1301" s="48" t="s">
        <v>163</v>
      </c>
      <c r="F1301" s="135">
        <v>130000</v>
      </c>
      <c r="H1301" s="46"/>
      <c r="I1301" s="46"/>
      <c r="J1301" s="47">
        <v>2220210</v>
      </c>
      <c r="K1301" s="48" t="s">
        <v>163</v>
      </c>
      <c r="L1301" s="135">
        <v>130000</v>
      </c>
      <c r="N1301" s="135">
        <f t="shared" si="20"/>
        <v>0</v>
      </c>
    </row>
    <row r="1302" spans="2:14">
      <c r="B1302" s="46"/>
      <c r="C1302" s="46"/>
      <c r="D1302" s="1671">
        <v>3110300</v>
      </c>
      <c r="E1302" s="1680" t="s">
        <v>293</v>
      </c>
      <c r="F1302" s="1689">
        <v>269260</v>
      </c>
      <c r="H1302" s="46"/>
      <c r="I1302" s="46"/>
      <c r="J1302" s="1671">
        <v>3110300</v>
      </c>
      <c r="K1302" s="1680" t="s">
        <v>293</v>
      </c>
      <c r="L1302" s="1689">
        <v>269260</v>
      </c>
      <c r="N1302" s="1689">
        <f t="shared" si="20"/>
        <v>0</v>
      </c>
    </row>
    <row r="1303" spans="2:14">
      <c r="B1303" s="46"/>
      <c r="C1303" s="46"/>
      <c r="D1303" s="47">
        <v>3110302</v>
      </c>
      <c r="E1303" s="48" t="s">
        <v>252</v>
      </c>
      <c r="F1303" s="135">
        <v>269260</v>
      </c>
      <c r="H1303" s="46"/>
      <c r="I1303" s="46"/>
      <c r="J1303" s="47">
        <v>3110302</v>
      </c>
      <c r="K1303" s="48" t="s">
        <v>252</v>
      </c>
      <c r="L1303" s="135">
        <v>269260</v>
      </c>
      <c r="N1303" s="135">
        <f t="shared" si="20"/>
        <v>0</v>
      </c>
    </row>
    <row r="1304" spans="2:14">
      <c r="B1304" s="46"/>
      <c r="C1304" s="46"/>
      <c r="D1304" s="1671">
        <v>3111000</v>
      </c>
      <c r="E1304" s="1680" t="s">
        <v>69</v>
      </c>
      <c r="F1304" s="1689">
        <v>600350</v>
      </c>
      <c r="H1304" s="46"/>
      <c r="I1304" s="46"/>
      <c r="J1304" s="1671">
        <v>3111000</v>
      </c>
      <c r="K1304" s="1680" t="s">
        <v>69</v>
      </c>
      <c r="L1304" s="1689">
        <v>600350</v>
      </c>
      <c r="N1304" s="1689">
        <f t="shared" si="20"/>
        <v>0</v>
      </c>
    </row>
    <row r="1305" spans="2:14">
      <c r="B1305" s="46"/>
      <c r="C1305" s="46"/>
      <c r="D1305" s="47">
        <v>3111002</v>
      </c>
      <c r="E1305" s="48" t="s">
        <v>71</v>
      </c>
      <c r="F1305" s="135">
        <v>600350</v>
      </c>
      <c r="H1305" s="46"/>
      <c r="I1305" s="46"/>
      <c r="J1305" s="47">
        <v>3111002</v>
      </c>
      <c r="K1305" s="48" t="s">
        <v>71</v>
      </c>
      <c r="L1305" s="135">
        <v>600350</v>
      </c>
      <c r="N1305" s="135">
        <f t="shared" si="20"/>
        <v>0</v>
      </c>
    </row>
    <row r="1306" spans="2:14" ht="30">
      <c r="B1306" s="46"/>
      <c r="C1306" s="46"/>
      <c r="D1306" s="1671">
        <v>3111400</v>
      </c>
      <c r="E1306" s="1680" t="s">
        <v>294</v>
      </c>
      <c r="F1306" s="1689">
        <v>500000</v>
      </c>
      <c r="H1306" s="46"/>
      <c r="I1306" s="46"/>
      <c r="J1306" s="1671">
        <v>3111400</v>
      </c>
      <c r="K1306" s="1680" t="s">
        <v>294</v>
      </c>
      <c r="L1306" s="1689">
        <v>500000</v>
      </c>
      <c r="N1306" s="1689">
        <f t="shared" si="20"/>
        <v>0</v>
      </c>
    </row>
    <row r="1307" spans="2:14">
      <c r="B1307" s="46"/>
      <c r="C1307" s="46"/>
      <c r="D1307" s="47">
        <v>3111401</v>
      </c>
      <c r="E1307" s="48" t="s">
        <v>1316</v>
      </c>
      <c r="F1307" s="135">
        <v>500000</v>
      </c>
      <c r="H1307" s="46"/>
      <c r="I1307" s="46"/>
      <c r="J1307" s="47">
        <v>3111401</v>
      </c>
      <c r="K1307" s="48" t="s">
        <v>1316</v>
      </c>
      <c r="L1307" s="135">
        <v>500000</v>
      </c>
      <c r="N1307" s="135">
        <f t="shared" si="20"/>
        <v>0</v>
      </c>
    </row>
    <row r="1308" spans="2:14">
      <c r="B1308" s="46"/>
      <c r="C1308" s="46"/>
      <c r="D1308" s="1507"/>
      <c r="E1308" s="1620" t="s">
        <v>295</v>
      </c>
      <c r="F1308" s="1686">
        <v>9203795.6500000004</v>
      </c>
      <c r="H1308" s="46"/>
      <c r="I1308" s="46"/>
      <c r="J1308" s="1507"/>
      <c r="K1308" s="1620" t="s">
        <v>295</v>
      </c>
      <c r="L1308" s="1686">
        <v>9203795.6500000004</v>
      </c>
      <c r="N1308" s="1686">
        <f t="shared" si="20"/>
        <v>0</v>
      </c>
    </row>
    <row r="1309" spans="2:14">
      <c r="B1309" s="46"/>
      <c r="C1309" s="46"/>
      <c r="D1309" s="1671"/>
      <c r="E1309" s="1680"/>
      <c r="F1309" s="1689"/>
      <c r="H1309" s="46"/>
      <c r="I1309" s="46"/>
      <c r="J1309" s="1671"/>
      <c r="K1309" s="1680"/>
      <c r="L1309" s="1689"/>
      <c r="N1309" s="1689">
        <f t="shared" si="20"/>
        <v>0</v>
      </c>
    </row>
    <row r="1310" spans="2:14">
      <c r="B1310" s="46"/>
      <c r="C1310" s="46"/>
      <c r="D1310" s="1671"/>
      <c r="E1310" s="1680" t="s">
        <v>92</v>
      </c>
      <c r="F1310" s="1689"/>
      <c r="H1310" s="46"/>
      <c r="I1310" s="46"/>
      <c r="J1310" s="1671"/>
      <c r="K1310" s="1680" t="s">
        <v>92</v>
      </c>
      <c r="L1310" s="1689"/>
      <c r="N1310" s="1689">
        <f t="shared" si="20"/>
        <v>0</v>
      </c>
    </row>
    <row r="1311" spans="2:14">
      <c r="B1311" s="46"/>
      <c r="C1311" s="46"/>
      <c r="D1311" s="1671">
        <v>3110500</v>
      </c>
      <c r="E1311" s="1680" t="s">
        <v>296</v>
      </c>
      <c r="F1311" s="1689">
        <v>275227045</v>
      </c>
      <c r="H1311" s="46"/>
      <c r="I1311" s="46"/>
      <c r="J1311" s="1671">
        <v>3110500</v>
      </c>
      <c r="K1311" s="1680" t="s">
        <v>296</v>
      </c>
      <c r="L1311" s="1689">
        <v>262727045</v>
      </c>
      <c r="N1311" s="1689">
        <f t="shared" si="20"/>
        <v>12500000</v>
      </c>
    </row>
    <row r="1312" spans="2:14">
      <c r="B1312" s="1713"/>
      <c r="C1312" s="1713"/>
      <c r="D1312" s="1714">
        <v>3110504</v>
      </c>
      <c r="E1312" s="1715" t="s">
        <v>297</v>
      </c>
      <c r="F1312" s="1716">
        <v>275227045</v>
      </c>
      <c r="H1312" s="46"/>
      <c r="I1312" s="46"/>
      <c r="J1312" s="47">
        <v>3110504</v>
      </c>
      <c r="K1312" s="48" t="s">
        <v>297</v>
      </c>
      <c r="L1312" s="135">
        <v>262727045</v>
      </c>
      <c r="N1312" s="135">
        <f t="shared" si="20"/>
        <v>12500000</v>
      </c>
    </row>
    <row r="1313" spans="2:14">
      <c r="B1313" s="46"/>
      <c r="C1313" s="46"/>
      <c r="D1313" s="1507"/>
      <c r="E1313" s="1620" t="s">
        <v>261</v>
      </c>
      <c r="F1313" s="1686">
        <v>275227045</v>
      </c>
      <c r="H1313" s="46"/>
      <c r="I1313" s="46"/>
      <c r="J1313" s="1507"/>
      <c r="K1313" s="1620" t="s">
        <v>261</v>
      </c>
      <c r="L1313" s="1686">
        <v>262727045</v>
      </c>
      <c r="N1313" s="1686">
        <f t="shared" si="20"/>
        <v>12500000</v>
      </c>
    </row>
    <row r="1314" spans="2:14">
      <c r="B1314" s="46"/>
      <c r="C1314" s="46"/>
      <c r="D1314" s="1507"/>
      <c r="E1314" s="1620" t="s">
        <v>84</v>
      </c>
      <c r="F1314" s="1686">
        <v>284430840.64999998</v>
      </c>
      <c r="H1314" s="46"/>
      <c r="I1314" s="46"/>
      <c r="J1314" s="1507"/>
      <c r="K1314" s="1620" t="s">
        <v>84</v>
      </c>
      <c r="L1314" s="1686">
        <v>271930840.64999998</v>
      </c>
      <c r="N1314" s="1686">
        <f t="shared" si="20"/>
        <v>12500000</v>
      </c>
    </row>
    <row r="1315" spans="2:14">
      <c r="B1315" s="46"/>
      <c r="C1315" s="46"/>
      <c r="D1315" s="1671"/>
      <c r="E1315" s="1680"/>
      <c r="F1315" s="1689"/>
      <c r="H1315" s="46"/>
      <c r="I1315" s="46"/>
      <c r="J1315" s="1671"/>
      <c r="K1315" s="1680"/>
      <c r="L1315" s="1689"/>
      <c r="N1315" s="1689">
        <f t="shared" si="20"/>
        <v>0</v>
      </c>
    </row>
    <row r="1316" spans="2:14">
      <c r="B1316" s="46"/>
      <c r="C1316" s="46"/>
      <c r="D1316" s="1507" t="s">
        <v>298</v>
      </c>
      <c r="E1316" s="1620"/>
      <c r="F1316" s="1686"/>
      <c r="H1316" s="46"/>
      <c r="I1316" s="46"/>
      <c r="J1316" s="1507" t="s">
        <v>298</v>
      </c>
      <c r="K1316" s="1620"/>
      <c r="L1316" s="1686"/>
      <c r="N1316" s="1686">
        <f t="shared" si="20"/>
        <v>0</v>
      </c>
    </row>
    <row r="1317" spans="2:14">
      <c r="B1317" s="46"/>
      <c r="C1317" s="46"/>
      <c r="D1317" s="1507" t="s">
        <v>299</v>
      </c>
      <c r="E1317" s="1620"/>
      <c r="F1317" s="1709"/>
      <c r="H1317" s="46"/>
      <c r="I1317" s="46"/>
      <c r="J1317" s="1507" t="s">
        <v>299</v>
      </c>
      <c r="K1317" s="1620"/>
      <c r="L1317" s="1709"/>
      <c r="N1317" s="1709">
        <f t="shared" si="20"/>
        <v>0</v>
      </c>
    </row>
    <row r="1318" spans="2:14">
      <c r="B1318" s="46"/>
      <c r="C1318" s="46"/>
      <c r="D1318" s="1671">
        <v>2210100</v>
      </c>
      <c r="E1318" s="1680" t="s">
        <v>285</v>
      </c>
      <c r="F1318" s="1689">
        <v>2122884</v>
      </c>
      <c r="H1318" s="46"/>
      <c r="I1318" s="46"/>
      <c r="J1318" s="1671">
        <v>2210100</v>
      </c>
      <c r="K1318" s="1680" t="s">
        <v>285</v>
      </c>
      <c r="L1318" s="1689">
        <v>2122884</v>
      </c>
      <c r="N1318" s="1689">
        <f t="shared" si="20"/>
        <v>0</v>
      </c>
    </row>
    <row r="1319" spans="2:14">
      <c r="B1319" s="46"/>
      <c r="C1319" s="46"/>
      <c r="D1319" s="47">
        <v>2210101</v>
      </c>
      <c r="E1319" s="48" t="s">
        <v>17</v>
      </c>
      <c r="F1319" s="135">
        <v>2090884</v>
      </c>
      <c r="H1319" s="46"/>
      <c r="I1319" s="46"/>
      <c r="J1319" s="47">
        <v>2210101</v>
      </c>
      <c r="K1319" s="48" t="s">
        <v>17</v>
      </c>
      <c r="L1319" s="135">
        <v>2090884</v>
      </c>
      <c r="N1319" s="135">
        <f t="shared" si="20"/>
        <v>0</v>
      </c>
    </row>
    <row r="1320" spans="2:14">
      <c r="B1320" s="46"/>
      <c r="C1320" s="46"/>
      <c r="D1320" s="47">
        <v>2210102</v>
      </c>
      <c r="E1320" s="48" t="s">
        <v>18</v>
      </c>
      <c r="F1320" s="135">
        <v>32000</v>
      </c>
      <c r="H1320" s="46"/>
      <c r="I1320" s="46"/>
      <c r="J1320" s="47">
        <v>2210102</v>
      </c>
      <c r="K1320" s="48" t="s">
        <v>18</v>
      </c>
      <c r="L1320" s="135">
        <v>32000</v>
      </c>
      <c r="N1320" s="135">
        <f t="shared" si="20"/>
        <v>0</v>
      </c>
    </row>
    <row r="1321" spans="2:14">
      <c r="B1321" s="46"/>
      <c r="C1321" s="46"/>
      <c r="D1321" s="1671">
        <v>2210200</v>
      </c>
      <c r="E1321" s="1680" t="s">
        <v>286</v>
      </c>
      <c r="F1321" s="1689">
        <v>100000</v>
      </c>
      <c r="H1321" s="46"/>
      <c r="I1321" s="46"/>
      <c r="J1321" s="1671">
        <v>2210200</v>
      </c>
      <c r="K1321" s="1680" t="s">
        <v>286</v>
      </c>
      <c r="L1321" s="1689">
        <v>100000</v>
      </c>
      <c r="N1321" s="1689">
        <f t="shared" si="20"/>
        <v>0</v>
      </c>
    </row>
    <row r="1322" spans="2:14">
      <c r="B1322" s="46"/>
      <c r="C1322" s="46"/>
      <c r="D1322" s="47">
        <v>2210201</v>
      </c>
      <c r="E1322" s="48" t="s">
        <v>21</v>
      </c>
      <c r="F1322" s="135">
        <v>85000</v>
      </c>
      <c r="H1322" s="46"/>
      <c r="I1322" s="46"/>
      <c r="J1322" s="47">
        <v>2210201</v>
      </c>
      <c r="K1322" s="48" t="s">
        <v>21</v>
      </c>
      <c r="L1322" s="135">
        <v>85000</v>
      </c>
      <c r="N1322" s="135">
        <f t="shared" si="20"/>
        <v>0</v>
      </c>
    </row>
    <row r="1323" spans="2:14">
      <c r="B1323" s="46"/>
      <c r="C1323" s="46"/>
      <c r="D1323" s="47">
        <v>2210202</v>
      </c>
      <c r="E1323" s="48" t="s">
        <v>22</v>
      </c>
      <c r="F1323" s="135">
        <v>15000</v>
      </c>
      <c r="H1323" s="46"/>
      <c r="I1323" s="46"/>
      <c r="J1323" s="47">
        <v>2210202</v>
      </c>
      <c r="K1323" s="48" t="s">
        <v>22</v>
      </c>
      <c r="L1323" s="135">
        <v>15000</v>
      </c>
      <c r="N1323" s="135">
        <f t="shared" si="20"/>
        <v>0</v>
      </c>
    </row>
    <row r="1324" spans="2:14">
      <c r="B1324" s="46"/>
      <c r="C1324" s="46"/>
      <c r="D1324" s="1671">
        <v>2210300</v>
      </c>
      <c r="E1324" s="1680" t="s">
        <v>267</v>
      </c>
      <c r="F1324" s="1689">
        <v>1037887</v>
      </c>
      <c r="H1324" s="46"/>
      <c r="I1324" s="46"/>
      <c r="J1324" s="1671">
        <v>2210300</v>
      </c>
      <c r="K1324" s="1680" t="s">
        <v>267</v>
      </c>
      <c r="L1324" s="1689">
        <v>1037887</v>
      </c>
      <c r="N1324" s="1689">
        <f t="shared" si="20"/>
        <v>0</v>
      </c>
    </row>
    <row r="1325" spans="2:14">
      <c r="B1325" s="46"/>
      <c r="C1325" s="46"/>
      <c r="D1325" s="47">
        <v>2210301</v>
      </c>
      <c r="E1325" s="48" t="s">
        <v>25</v>
      </c>
      <c r="F1325" s="135">
        <v>500899</v>
      </c>
      <c r="H1325" s="46"/>
      <c r="I1325" s="46"/>
      <c r="J1325" s="47">
        <v>2210301</v>
      </c>
      <c r="K1325" s="48" t="s">
        <v>25</v>
      </c>
      <c r="L1325" s="135">
        <v>500899</v>
      </c>
      <c r="N1325" s="135">
        <f t="shared" si="20"/>
        <v>0</v>
      </c>
    </row>
    <row r="1326" spans="2:14">
      <c r="B1326" s="46"/>
      <c r="C1326" s="46"/>
      <c r="D1326" s="47">
        <v>2210302</v>
      </c>
      <c r="E1326" s="48" t="s">
        <v>269</v>
      </c>
      <c r="F1326" s="135">
        <v>291471</v>
      </c>
      <c r="H1326" s="46"/>
      <c r="I1326" s="46"/>
      <c r="J1326" s="47">
        <v>2210302</v>
      </c>
      <c r="K1326" s="48" t="s">
        <v>269</v>
      </c>
      <c r="L1326" s="135">
        <v>291471</v>
      </c>
      <c r="N1326" s="135">
        <f t="shared" si="20"/>
        <v>0</v>
      </c>
    </row>
    <row r="1327" spans="2:14">
      <c r="B1327" s="46"/>
      <c r="C1327" s="46"/>
      <c r="D1327" s="47">
        <v>2210303</v>
      </c>
      <c r="E1327" s="48" t="s">
        <v>27</v>
      </c>
      <c r="F1327" s="135">
        <v>245517</v>
      </c>
      <c r="H1327" s="46"/>
      <c r="I1327" s="46"/>
      <c r="J1327" s="47">
        <v>2210303</v>
      </c>
      <c r="K1327" s="48" t="s">
        <v>27</v>
      </c>
      <c r="L1327" s="135">
        <v>245517</v>
      </c>
      <c r="N1327" s="135">
        <f t="shared" si="20"/>
        <v>0</v>
      </c>
    </row>
    <row r="1328" spans="2:14">
      <c r="B1328" s="46"/>
      <c r="C1328" s="46"/>
      <c r="D1328" s="1671">
        <v>2210700</v>
      </c>
      <c r="E1328" s="1680" t="s">
        <v>271</v>
      </c>
      <c r="F1328" s="1689">
        <v>854523</v>
      </c>
      <c r="H1328" s="46"/>
      <c r="I1328" s="46"/>
      <c r="J1328" s="1671">
        <v>2210700</v>
      </c>
      <c r="K1328" s="1680" t="s">
        <v>271</v>
      </c>
      <c r="L1328" s="1689">
        <v>854523</v>
      </c>
      <c r="N1328" s="1689">
        <f t="shared" si="20"/>
        <v>0</v>
      </c>
    </row>
    <row r="1329" spans="2:14">
      <c r="B1329" s="46"/>
      <c r="C1329" s="46"/>
      <c r="D1329" s="47">
        <v>2210701</v>
      </c>
      <c r="E1329" s="48" t="s">
        <v>287</v>
      </c>
      <c r="F1329" s="135">
        <v>340254</v>
      </c>
      <c r="H1329" s="46"/>
      <c r="I1329" s="46"/>
      <c r="J1329" s="47">
        <v>2210701</v>
      </c>
      <c r="K1329" s="48" t="s">
        <v>287</v>
      </c>
      <c r="L1329" s="135">
        <v>340254</v>
      </c>
      <c r="N1329" s="135">
        <f t="shared" si="20"/>
        <v>0</v>
      </c>
    </row>
    <row r="1330" spans="2:14">
      <c r="B1330" s="46"/>
      <c r="C1330" s="46"/>
      <c r="D1330" s="47">
        <v>2210704</v>
      </c>
      <c r="E1330" s="48" t="s">
        <v>38</v>
      </c>
      <c r="F1330" s="135">
        <v>308454</v>
      </c>
      <c r="H1330" s="46"/>
      <c r="I1330" s="46"/>
      <c r="J1330" s="47">
        <v>2210704</v>
      </c>
      <c r="K1330" s="48" t="s">
        <v>38</v>
      </c>
      <c r="L1330" s="135">
        <v>308454</v>
      </c>
      <c r="N1330" s="135">
        <f t="shared" si="20"/>
        <v>0</v>
      </c>
    </row>
    <row r="1331" spans="2:14">
      <c r="B1331" s="46"/>
      <c r="C1331" s="46"/>
      <c r="D1331" s="47">
        <v>2210710</v>
      </c>
      <c r="E1331" s="48" t="s">
        <v>288</v>
      </c>
      <c r="F1331" s="135">
        <v>205815</v>
      </c>
      <c r="H1331" s="46"/>
      <c r="I1331" s="46"/>
      <c r="J1331" s="47">
        <v>2210710</v>
      </c>
      <c r="K1331" s="48" t="s">
        <v>288</v>
      </c>
      <c r="L1331" s="135">
        <v>205815</v>
      </c>
      <c r="N1331" s="135">
        <f t="shared" si="20"/>
        <v>0</v>
      </c>
    </row>
    <row r="1332" spans="2:14">
      <c r="B1332" s="46"/>
      <c r="C1332" s="46"/>
      <c r="D1332" s="1671">
        <v>2211200</v>
      </c>
      <c r="E1332" s="1680" t="s">
        <v>55</v>
      </c>
      <c r="F1332" s="1689">
        <v>709639</v>
      </c>
      <c r="H1332" s="46"/>
      <c r="I1332" s="46"/>
      <c r="J1332" s="1671">
        <v>2211200</v>
      </c>
      <c r="K1332" s="1680" t="s">
        <v>55</v>
      </c>
      <c r="L1332" s="1689">
        <v>709639</v>
      </c>
      <c r="N1332" s="1689">
        <f t="shared" si="20"/>
        <v>0</v>
      </c>
    </row>
    <row r="1333" spans="2:14">
      <c r="B1333" s="46"/>
      <c r="C1333" s="46"/>
      <c r="D1333" s="47">
        <v>2211201</v>
      </c>
      <c r="E1333" s="48" t="s">
        <v>56</v>
      </c>
      <c r="F1333" s="135">
        <v>709639</v>
      </c>
      <c r="H1333" s="46"/>
      <c r="I1333" s="46"/>
      <c r="J1333" s="47">
        <v>2211201</v>
      </c>
      <c r="K1333" s="48" t="s">
        <v>56</v>
      </c>
      <c r="L1333" s="135">
        <v>709639</v>
      </c>
      <c r="N1333" s="135">
        <f t="shared" si="20"/>
        <v>0</v>
      </c>
    </row>
    <row r="1334" spans="2:14">
      <c r="B1334" s="46"/>
      <c r="C1334" s="46"/>
      <c r="D1334" s="1671">
        <v>2220100</v>
      </c>
      <c r="E1334" s="1680" t="s">
        <v>290</v>
      </c>
      <c r="F1334" s="1689">
        <v>1687396</v>
      </c>
      <c r="H1334" s="46"/>
      <c r="I1334" s="46"/>
      <c r="J1334" s="1671">
        <v>2220100</v>
      </c>
      <c r="K1334" s="1680" t="s">
        <v>290</v>
      </c>
      <c r="L1334" s="1689">
        <v>1687396</v>
      </c>
      <c r="N1334" s="1689">
        <f t="shared" si="20"/>
        <v>0</v>
      </c>
    </row>
    <row r="1335" spans="2:14">
      <c r="B1335" s="25"/>
      <c r="C1335" s="25"/>
      <c r="D1335" s="47">
        <v>2220101</v>
      </c>
      <c r="E1335" s="48" t="s">
        <v>200</v>
      </c>
      <c r="F1335" s="135">
        <v>1687396</v>
      </c>
      <c r="H1335" s="25"/>
      <c r="I1335" s="25"/>
      <c r="J1335" s="47">
        <v>2220101</v>
      </c>
      <c r="K1335" s="48" t="s">
        <v>200</v>
      </c>
      <c r="L1335" s="135">
        <v>1687396</v>
      </c>
      <c r="N1335" s="135">
        <f t="shared" si="20"/>
        <v>0</v>
      </c>
    </row>
    <row r="1336" spans="2:14">
      <c r="B1336" s="46"/>
      <c r="C1336" s="46"/>
      <c r="D1336" s="1671">
        <v>3111000</v>
      </c>
      <c r="E1336" s="1680" t="s">
        <v>69</v>
      </c>
      <c r="F1336" s="1689">
        <v>398866</v>
      </c>
      <c r="H1336" s="46"/>
      <c r="I1336" s="46"/>
      <c r="J1336" s="1671">
        <v>3111000</v>
      </c>
      <c r="K1336" s="1680" t="s">
        <v>69</v>
      </c>
      <c r="L1336" s="1689">
        <v>398866</v>
      </c>
      <c r="N1336" s="1689">
        <f t="shared" si="20"/>
        <v>0</v>
      </c>
    </row>
    <row r="1337" spans="2:14">
      <c r="B1337" s="46"/>
      <c r="C1337" s="46"/>
      <c r="D1337" s="47">
        <v>3111002</v>
      </c>
      <c r="E1337" s="48" t="s">
        <v>71</v>
      </c>
      <c r="F1337" s="135">
        <v>398866</v>
      </c>
      <c r="H1337" s="46"/>
      <c r="I1337" s="46"/>
      <c r="J1337" s="47">
        <v>3111002</v>
      </c>
      <c r="K1337" s="48" t="s">
        <v>71</v>
      </c>
      <c r="L1337" s="135">
        <v>398866</v>
      </c>
      <c r="N1337" s="135">
        <f t="shared" si="20"/>
        <v>0</v>
      </c>
    </row>
    <row r="1338" spans="2:14" ht="30">
      <c r="B1338" s="46"/>
      <c r="C1338" s="46"/>
      <c r="D1338" s="1671">
        <v>3111400</v>
      </c>
      <c r="E1338" s="1680" t="s">
        <v>300</v>
      </c>
      <c r="F1338" s="1689">
        <v>1300000</v>
      </c>
      <c r="H1338" s="46"/>
      <c r="I1338" s="46"/>
      <c r="J1338" s="1671">
        <v>3111400</v>
      </c>
      <c r="K1338" s="1680" t="s">
        <v>300</v>
      </c>
      <c r="L1338" s="1689">
        <v>1300000</v>
      </c>
      <c r="N1338" s="1689">
        <f t="shared" si="20"/>
        <v>0</v>
      </c>
    </row>
    <row r="1339" spans="2:14">
      <c r="B1339" s="46"/>
      <c r="C1339" s="46"/>
      <c r="D1339" s="47">
        <v>3111401</v>
      </c>
      <c r="E1339" s="48" t="s">
        <v>1316</v>
      </c>
      <c r="F1339" s="135">
        <v>1300000</v>
      </c>
      <c r="H1339" s="46"/>
      <c r="I1339" s="46"/>
      <c r="J1339" s="47">
        <v>3111401</v>
      </c>
      <c r="K1339" s="48" t="s">
        <v>1316</v>
      </c>
      <c r="L1339" s="135">
        <v>1300000</v>
      </c>
      <c r="N1339" s="135">
        <f t="shared" si="20"/>
        <v>0</v>
      </c>
    </row>
    <row r="1340" spans="2:14">
      <c r="B1340" s="46"/>
      <c r="C1340" s="46"/>
      <c r="D1340" s="1507"/>
      <c r="E1340" s="1620" t="s">
        <v>295</v>
      </c>
      <c r="F1340" s="1686">
        <v>8211195</v>
      </c>
      <c r="H1340" s="46"/>
      <c r="I1340" s="46"/>
      <c r="J1340" s="1507"/>
      <c r="K1340" s="1620" t="s">
        <v>295</v>
      </c>
      <c r="L1340" s="1686">
        <v>8211195</v>
      </c>
      <c r="N1340" s="1686">
        <f t="shared" si="20"/>
        <v>0</v>
      </c>
    </row>
    <row r="1341" spans="2:14">
      <c r="B1341" s="46"/>
      <c r="C1341" s="46"/>
      <c r="D1341" s="61"/>
      <c r="E1341" s="74"/>
      <c r="F1341" s="174"/>
      <c r="H1341" s="46"/>
      <c r="I1341" s="46"/>
      <c r="J1341" s="61"/>
      <c r="K1341" s="74"/>
      <c r="L1341" s="174"/>
      <c r="N1341" s="174">
        <f t="shared" si="20"/>
        <v>0</v>
      </c>
    </row>
    <row r="1342" spans="2:14">
      <c r="B1342" s="46"/>
      <c r="C1342" s="46"/>
      <c r="D1342" s="1671"/>
      <c r="E1342" s="1680" t="s">
        <v>92</v>
      </c>
      <c r="F1342" s="1689"/>
      <c r="H1342" s="46"/>
      <c r="I1342" s="46"/>
      <c r="J1342" s="1671"/>
      <c r="K1342" s="1680" t="s">
        <v>92</v>
      </c>
      <c r="L1342" s="1689"/>
      <c r="N1342" s="1689">
        <f t="shared" si="20"/>
        <v>0</v>
      </c>
    </row>
    <row r="1343" spans="2:14">
      <c r="B1343" s="46"/>
      <c r="C1343" s="46"/>
      <c r="D1343" s="1671">
        <v>2510100</v>
      </c>
      <c r="E1343" s="1680" t="s">
        <v>301</v>
      </c>
      <c r="F1343" s="1689">
        <v>50000000</v>
      </c>
      <c r="H1343" s="46"/>
      <c r="I1343" s="46"/>
      <c r="J1343" s="1671">
        <v>2510100</v>
      </c>
      <c r="K1343" s="1680" t="s">
        <v>301</v>
      </c>
      <c r="L1343" s="1689">
        <v>50000000</v>
      </c>
      <c r="N1343" s="1689">
        <f t="shared" si="20"/>
        <v>0</v>
      </c>
    </row>
    <row r="1344" spans="2:14">
      <c r="B1344" s="46"/>
      <c r="C1344" s="46"/>
      <c r="D1344" s="47">
        <v>2510199</v>
      </c>
      <c r="E1344" s="48" t="s">
        <v>1320</v>
      </c>
      <c r="F1344" s="135">
        <v>50000000</v>
      </c>
      <c r="H1344" s="46"/>
      <c r="I1344" s="46"/>
      <c r="J1344" s="47">
        <v>2510199</v>
      </c>
      <c r="K1344" s="48" t="s">
        <v>1320</v>
      </c>
      <c r="L1344" s="135">
        <v>50000000</v>
      </c>
      <c r="N1344" s="135">
        <f t="shared" si="20"/>
        <v>0</v>
      </c>
    </row>
    <row r="1345" spans="2:14">
      <c r="B1345" s="46"/>
      <c r="C1345" s="46"/>
      <c r="D1345" s="1671">
        <v>3111500</v>
      </c>
      <c r="E1345" s="1680" t="s">
        <v>302</v>
      </c>
      <c r="F1345" s="1689">
        <v>71401951</v>
      </c>
      <c r="H1345" s="46"/>
      <c r="I1345" s="46"/>
      <c r="J1345" s="1671">
        <v>3111500</v>
      </c>
      <c r="K1345" s="1680" t="s">
        <v>302</v>
      </c>
      <c r="L1345" s="1689">
        <v>71401951</v>
      </c>
      <c r="N1345" s="1689">
        <f t="shared" si="20"/>
        <v>0</v>
      </c>
    </row>
    <row r="1346" spans="2:14">
      <c r="B1346" s="46"/>
      <c r="C1346" s="46"/>
      <c r="D1346" s="47">
        <v>3111504</v>
      </c>
      <c r="E1346" s="48" t="s">
        <v>303</v>
      </c>
      <c r="F1346" s="135">
        <v>24907301</v>
      </c>
      <c r="H1346" s="46"/>
      <c r="I1346" s="46"/>
      <c r="J1346" s="47">
        <v>3111504</v>
      </c>
      <c r="K1346" s="48" t="s">
        <v>303</v>
      </c>
      <c r="L1346" s="135">
        <v>24907301</v>
      </c>
      <c r="N1346" s="135">
        <f t="shared" si="20"/>
        <v>0</v>
      </c>
    </row>
    <row r="1347" spans="2:14" ht="30">
      <c r="B1347" s="46"/>
      <c r="C1347" s="46"/>
      <c r="D1347" s="47">
        <v>3111505</v>
      </c>
      <c r="E1347" s="48" t="s">
        <v>1317</v>
      </c>
      <c r="F1347" s="135">
        <v>4494650</v>
      </c>
      <c r="H1347" s="46"/>
      <c r="I1347" s="46"/>
      <c r="J1347" s="47">
        <v>3111505</v>
      </c>
      <c r="K1347" s="48" t="s">
        <v>1317</v>
      </c>
      <c r="L1347" s="135">
        <v>4494650</v>
      </c>
      <c r="N1347" s="135">
        <f t="shared" si="20"/>
        <v>0</v>
      </c>
    </row>
    <row r="1348" spans="2:14">
      <c r="B1348" s="46"/>
      <c r="C1348" s="46"/>
      <c r="D1348" s="47"/>
      <c r="E1348" s="48" t="s">
        <v>1318</v>
      </c>
      <c r="F1348" s="135">
        <v>2000000</v>
      </c>
      <c r="H1348" s="46"/>
      <c r="I1348" s="46"/>
      <c r="J1348" s="47"/>
      <c r="K1348" s="48" t="s">
        <v>1318</v>
      </c>
      <c r="L1348" s="135">
        <v>2000000</v>
      </c>
      <c r="N1348" s="135">
        <f t="shared" si="20"/>
        <v>0</v>
      </c>
    </row>
    <row r="1349" spans="2:14">
      <c r="B1349" s="46"/>
      <c r="C1349" s="46"/>
      <c r="D1349" s="47"/>
      <c r="E1349" s="48" t="s">
        <v>1319</v>
      </c>
      <c r="F1349" s="135">
        <v>40000000</v>
      </c>
      <c r="H1349" s="46"/>
      <c r="I1349" s="46"/>
      <c r="J1349" s="47"/>
      <c r="K1349" s="48" t="s">
        <v>1319</v>
      </c>
      <c r="L1349" s="135">
        <v>40000000</v>
      </c>
      <c r="N1349" s="135">
        <f t="shared" si="20"/>
        <v>0</v>
      </c>
    </row>
    <row r="1350" spans="2:14">
      <c r="B1350" s="46"/>
      <c r="C1350" s="46"/>
      <c r="D1350" s="1507"/>
      <c r="E1350" s="1620" t="s">
        <v>261</v>
      </c>
      <c r="F1350" s="1686">
        <v>121401951</v>
      </c>
      <c r="H1350" s="46"/>
      <c r="I1350" s="46"/>
      <c r="J1350" s="1507"/>
      <c r="K1350" s="1620" t="s">
        <v>261</v>
      </c>
      <c r="L1350" s="1686">
        <v>121401951</v>
      </c>
      <c r="N1350" s="1686">
        <f t="shared" si="20"/>
        <v>0</v>
      </c>
    </row>
    <row r="1351" spans="2:14">
      <c r="B1351" s="46"/>
      <c r="C1351" s="46"/>
      <c r="D1351" s="1507"/>
      <c r="E1351" s="1620" t="s">
        <v>84</v>
      </c>
      <c r="F1351" s="1686">
        <v>129613146</v>
      </c>
      <c r="H1351" s="46"/>
      <c r="I1351" s="46"/>
      <c r="J1351" s="1507"/>
      <c r="K1351" s="1620" t="s">
        <v>84</v>
      </c>
      <c r="L1351" s="1686">
        <v>129613146</v>
      </c>
      <c r="N1351" s="1686">
        <f t="shared" si="20"/>
        <v>0</v>
      </c>
    </row>
    <row r="1352" spans="2:14">
      <c r="B1352" s="46"/>
      <c r="C1352" s="46"/>
      <c r="D1352" s="1545"/>
      <c r="E1352" s="1546" t="s">
        <v>304</v>
      </c>
      <c r="F1352" s="1674">
        <v>433143352.5</v>
      </c>
      <c r="H1352" s="46"/>
      <c r="I1352" s="46"/>
      <c r="J1352" s="1545"/>
      <c r="K1352" s="1546" t="s">
        <v>304</v>
      </c>
      <c r="L1352" s="1674">
        <v>410143352.5</v>
      </c>
      <c r="N1352" s="1674">
        <f t="shared" ref="N1352:N1415" si="21">F1352-L1352</f>
        <v>23000000</v>
      </c>
    </row>
    <row r="1353" spans="2:14">
      <c r="B1353" s="46"/>
      <c r="C1353" s="46"/>
      <c r="D1353" s="1507"/>
      <c r="E1353" s="1620"/>
      <c r="F1353" s="1686"/>
      <c r="H1353" s="46"/>
      <c r="I1353" s="46"/>
      <c r="J1353" s="1507"/>
      <c r="K1353" s="1620"/>
      <c r="L1353" s="1686"/>
      <c r="N1353" s="1686">
        <f t="shared" si="21"/>
        <v>0</v>
      </c>
    </row>
    <row r="1354" spans="2:14">
      <c r="B1354" s="46"/>
      <c r="C1354" s="46"/>
      <c r="D1354" s="1671" t="s">
        <v>100</v>
      </c>
      <c r="E1354" s="1680" t="s">
        <v>305</v>
      </c>
      <c r="F1354" s="1625"/>
      <c r="H1354" s="46"/>
      <c r="I1354" s="46"/>
      <c r="J1354" s="1671" t="s">
        <v>100</v>
      </c>
      <c r="K1354" s="1680" t="s">
        <v>305</v>
      </c>
      <c r="L1354" s="1625"/>
      <c r="N1354" s="1625">
        <f t="shared" si="21"/>
        <v>0</v>
      </c>
    </row>
    <row r="1355" spans="2:14">
      <c r="B1355" s="46"/>
      <c r="C1355" s="46"/>
      <c r="D1355" s="1583" t="s">
        <v>306</v>
      </c>
      <c r="E1355" s="1620"/>
      <c r="F1355" s="1583"/>
      <c r="H1355" s="46"/>
      <c r="I1355" s="46"/>
      <c r="J1355" s="1583" t="s">
        <v>306</v>
      </c>
      <c r="K1355" s="1620"/>
      <c r="L1355" s="1583"/>
      <c r="N1355" s="1583">
        <f t="shared" si="21"/>
        <v>0</v>
      </c>
    </row>
    <row r="1356" spans="2:14">
      <c r="B1356" s="46"/>
      <c r="C1356" s="46"/>
      <c r="D1356" s="1507" t="s">
        <v>307</v>
      </c>
      <c r="E1356" s="1620"/>
      <c r="F1356" s="1720"/>
      <c r="H1356" s="46"/>
      <c r="I1356" s="46"/>
      <c r="J1356" s="1507" t="s">
        <v>307</v>
      </c>
      <c r="K1356" s="1620"/>
      <c r="L1356" s="1720"/>
      <c r="N1356" s="1720">
        <f t="shared" si="21"/>
        <v>0</v>
      </c>
    </row>
    <row r="1357" spans="2:14">
      <c r="B1357" s="46"/>
      <c r="C1357" s="46"/>
      <c r="D1357" s="1671">
        <v>2210100</v>
      </c>
      <c r="E1357" s="1680" t="s">
        <v>285</v>
      </c>
      <c r="F1357" s="1689">
        <v>53000</v>
      </c>
      <c r="H1357" s="46"/>
      <c r="I1357" s="46"/>
      <c r="J1357" s="1671">
        <v>2210100</v>
      </c>
      <c r="K1357" s="1680" t="s">
        <v>285</v>
      </c>
      <c r="L1357" s="1689">
        <v>53000</v>
      </c>
      <c r="N1357" s="1689">
        <f t="shared" si="21"/>
        <v>0</v>
      </c>
    </row>
    <row r="1358" spans="2:14">
      <c r="B1358" s="46"/>
      <c r="C1358" s="46"/>
      <c r="D1358" s="47">
        <v>2210101</v>
      </c>
      <c r="E1358" s="48" t="s">
        <v>17</v>
      </c>
      <c r="F1358" s="135">
        <v>38000</v>
      </c>
      <c r="H1358" s="46"/>
      <c r="I1358" s="46"/>
      <c r="J1358" s="47">
        <v>2210101</v>
      </c>
      <c r="K1358" s="48" t="s">
        <v>17</v>
      </c>
      <c r="L1358" s="135">
        <v>38000</v>
      </c>
      <c r="N1358" s="135">
        <f t="shared" si="21"/>
        <v>0</v>
      </c>
    </row>
    <row r="1359" spans="2:14">
      <c r="B1359" s="46"/>
      <c r="C1359" s="46"/>
      <c r="D1359" s="47">
        <v>2210102</v>
      </c>
      <c r="E1359" s="48" t="s">
        <v>18</v>
      </c>
      <c r="F1359" s="135">
        <v>15000</v>
      </c>
      <c r="H1359" s="46"/>
      <c r="I1359" s="46"/>
      <c r="J1359" s="47">
        <v>2210102</v>
      </c>
      <c r="K1359" s="48" t="s">
        <v>18</v>
      </c>
      <c r="L1359" s="135">
        <v>15000</v>
      </c>
      <c r="N1359" s="135">
        <f t="shared" si="21"/>
        <v>0</v>
      </c>
    </row>
    <row r="1360" spans="2:14">
      <c r="B1360" s="46"/>
      <c r="C1360" s="46"/>
      <c r="D1360" s="1671">
        <v>2210200</v>
      </c>
      <c r="E1360" s="1680" t="s">
        <v>286</v>
      </c>
      <c r="F1360" s="1689">
        <v>50000</v>
      </c>
      <c r="H1360" s="46"/>
      <c r="I1360" s="46"/>
      <c r="J1360" s="1671">
        <v>2210200</v>
      </c>
      <c r="K1360" s="1680" t="s">
        <v>286</v>
      </c>
      <c r="L1360" s="1689">
        <v>50000</v>
      </c>
      <c r="N1360" s="1689">
        <f t="shared" si="21"/>
        <v>0</v>
      </c>
    </row>
    <row r="1361" spans="2:14">
      <c r="B1361" s="46"/>
      <c r="C1361" s="46"/>
      <c r="D1361" s="47">
        <v>2210201</v>
      </c>
      <c r="E1361" s="48" t="s">
        <v>21</v>
      </c>
      <c r="F1361" s="135">
        <v>50000</v>
      </c>
      <c r="H1361" s="46"/>
      <c r="I1361" s="46"/>
      <c r="J1361" s="47">
        <v>2210201</v>
      </c>
      <c r="K1361" s="48" t="s">
        <v>21</v>
      </c>
      <c r="L1361" s="135">
        <v>50000</v>
      </c>
      <c r="N1361" s="135">
        <f t="shared" si="21"/>
        <v>0</v>
      </c>
    </row>
    <row r="1362" spans="2:14">
      <c r="B1362" s="46"/>
      <c r="C1362" s="46"/>
      <c r="D1362" s="1671">
        <v>2210300</v>
      </c>
      <c r="E1362" s="1680" t="s">
        <v>267</v>
      </c>
      <c r="F1362" s="1689">
        <v>2763206</v>
      </c>
      <c r="H1362" s="46"/>
      <c r="I1362" s="46"/>
      <c r="J1362" s="1671">
        <v>2210300</v>
      </c>
      <c r="K1362" s="1680" t="s">
        <v>267</v>
      </c>
      <c r="L1362" s="1689">
        <v>2763206</v>
      </c>
      <c r="N1362" s="1689">
        <f t="shared" si="21"/>
        <v>0</v>
      </c>
    </row>
    <row r="1363" spans="2:14">
      <c r="B1363" s="46"/>
      <c r="C1363" s="46"/>
      <c r="D1363" s="47">
        <v>2210301</v>
      </c>
      <c r="E1363" s="48" t="s">
        <v>25</v>
      </c>
      <c r="F1363" s="135">
        <v>758000</v>
      </c>
      <c r="H1363" s="46"/>
      <c r="I1363" s="46"/>
      <c r="J1363" s="47">
        <v>2210301</v>
      </c>
      <c r="K1363" s="48" t="s">
        <v>25</v>
      </c>
      <c r="L1363" s="135">
        <v>758000</v>
      </c>
      <c r="N1363" s="135">
        <f t="shared" si="21"/>
        <v>0</v>
      </c>
    </row>
    <row r="1364" spans="2:14">
      <c r="B1364" s="46"/>
      <c r="C1364" s="46"/>
      <c r="D1364" s="47">
        <v>2210302</v>
      </c>
      <c r="E1364" s="48" t="s">
        <v>269</v>
      </c>
      <c r="F1364" s="135">
        <v>853400</v>
      </c>
      <c r="H1364" s="46"/>
      <c r="I1364" s="46"/>
      <c r="J1364" s="47">
        <v>2210302</v>
      </c>
      <c r="K1364" s="48" t="s">
        <v>269</v>
      </c>
      <c r="L1364" s="135">
        <v>853400</v>
      </c>
      <c r="N1364" s="135">
        <f t="shared" si="21"/>
        <v>0</v>
      </c>
    </row>
    <row r="1365" spans="2:14">
      <c r="B1365" s="46"/>
      <c r="C1365" s="46"/>
      <c r="D1365" s="47">
        <v>2210303</v>
      </c>
      <c r="E1365" s="48" t="s">
        <v>27</v>
      </c>
      <c r="F1365" s="135">
        <v>1151806</v>
      </c>
      <c r="H1365" s="46"/>
      <c r="I1365" s="46"/>
      <c r="J1365" s="47">
        <v>2210303</v>
      </c>
      <c r="K1365" s="48" t="s">
        <v>27</v>
      </c>
      <c r="L1365" s="135">
        <v>1151806</v>
      </c>
      <c r="N1365" s="135">
        <f t="shared" si="21"/>
        <v>0</v>
      </c>
    </row>
    <row r="1366" spans="2:14">
      <c r="B1366" s="46"/>
      <c r="C1366" s="46"/>
      <c r="D1366" s="1671">
        <v>2210500</v>
      </c>
      <c r="E1366" s="1680" t="s">
        <v>31</v>
      </c>
      <c r="F1366" s="1689">
        <v>453200</v>
      </c>
      <c r="H1366" s="46"/>
      <c r="I1366" s="46"/>
      <c r="J1366" s="1671">
        <v>2210500</v>
      </c>
      <c r="K1366" s="1680" t="s">
        <v>31</v>
      </c>
      <c r="L1366" s="1689">
        <v>453200</v>
      </c>
      <c r="N1366" s="1689">
        <f t="shared" si="21"/>
        <v>0</v>
      </c>
    </row>
    <row r="1367" spans="2:14">
      <c r="B1367" s="46"/>
      <c r="C1367" s="46"/>
      <c r="D1367" s="47">
        <v>2210502</v>
      </c>
      <c r="E1367" s="48" t="s">
        <v>105</v>
      </c>
      <c r="F1367" s="135">
        <v>453200</v>
      </c>
      <c r="H1367" s="46"/>
      <c r="I1367" s="46"/>
      <c r="J1367" s="47">
        <v>2210502</v>
      </c>
      <c r="K1367" s="48" t="s">
        <v>105</v>
      </c>
      <c r="L1367" s="135">
        <v>453200</v>
      </c>
      <c r="N1367" s="135">
        <f t="shared" si="21"/>
        <v>0</v>
      </c>
    </row>
    <row r="1368" spans="2:14">
      <c r="B1368" s="46"/>
      <c r="C1368" s="46"/>
      <c r="D1368" s="1671">
        <v>2210700</v>
      </c>
      <c r="E1368" s="1680" t="s">
        <v>271</v>
      </c>
      <c r="F1368" s="1689">
        <v>2709869</v>
      </c>
      <c r="H1368" s="46"/>
      <c r="I1368" s="46"/>
      <c r="J1368" s="1671">
        <v>2210700</v>
      </c>
      <c r="K1368" s="1680" t="s">
        <v>271</v>
      </c>
      <c r="L1368" s="1689">
        <v>2709869</v>
      </c>
      <c r="N1368" s="1689">
        <f t="shared" si="21"/>
        <v>0</v>
      </c>
    </row>
    <row r="1369" spans="2:14">
      <c r="B1369" s="46"/>
      <c r="C1369" s="46"/>
      <c r="D1369" s="47">
        <v>2210701</v>
      </c>
      <c r="E1369" s="48" t="s">
        <v>308</v>
      </c>
      <c r="F1369" s="135">
        <v>1100000</v>
      </c>
      <c r="H1369" s="46"/>
      <c r="I1369" s="46"/>
      <c r="J1369" s="47">
        <v>2210701</v>
      </c>
      <c r="K1369" s="48" t="s">
        <v>308</v>
      </c>
      <c r="L1369" s="135">
        <v>1100000</v>
      </c>
      <c r="N1369" s="135">
        <f t="shared" si="21"/>
        <v>0</v>
      </c>
    </row>
    <row r="1370" spans="2:14">
      <c r="B1370" s="46"/>
      <c r="C1370" s="46"/>
      <c r="D1370" s="47">
        <v>2210704</v>
      </c>
      <c r="E1370" s="48" t="s">
        <v>38</v>
      </c>
      <c r="F1370" s="135">
        <v>220000</v>
      </c>
      <c r="H1370" s="46"/>
      <c r="I1370" s="46"/>
      <c r="J1370" s="47">
        <v>2210704</v>
      </c>
      <c r="K1370" s="48" t="s">
        <v>38</v>
      </c>
      <c r="L1370" s="135">
        <v>220000</v>
      </c>
      <c r="N1370" s="135">
        <f t="shared" si="21"/>
        <v>0</v>
      </c>
    </row>
    <row r="1371" spans="2:14">
      <c r="B1371" s="46"/>
      <c r="C1371" s="46"/>
      <c r="D1371" s="47">
        <v>2210710</v>
      </c>
      <c r="E1371" s="48" t="s">
        <v>39</v>
      </c>
      <c r="F1371" s="135">
        <v>389639</v>
      </c>
      <c r="H1371" s="46"/>
      <c r="I1371" s="46"/>
      <c r="J1371" s="47">
        <v>2210710</v>
      </c>
      <c r="K1371" s="48" t="s">
        <v>39</v>
      </c>
      <c r="L1371" s="135">
        <v>389639</v>
      </c>
      <c r="N1371" s="135">
        <f t="shared" si="21"/>
        <v>0</v>
      </c>
    </row>
    <row r="1372" spans="2:14">
      <c r="B1372" s="46"/>
      <c r="C1372" s="46"/>
      <c r="D1372" s="47">
        <v>2210799</v>
      </c>
      <c r="E1372" s="48" t="s">
        <v>1321</v>
      </c>
      <c r="F1372" s="135">
        <v>1000230</v>
      </c>
      <c r="H1372" s="46"/>
      <c r="I1372" s="46"/>
      <c r="J1372" s="47">
        <v>2210799</v>
      </c>
      <c r="K1372" s="48" t="s">
        <v>1321</v>
      </c>
      <c r="L1372" s="135">
        <v>1000230</v>
      </c>
      <c r="N1372" s="135">
        <f t="shared" si="21"/>
        <v>0</v>
      </c>
    </row>
    <row r="1373" spans="2:14">
      <c r="B1373" s="46"/>
      <c r="C1373" s="46"/>
      <c r="D1373" s="1671">
        <v>2210800</v>
      </c>
      <c r="E1373" s="1680" t="s">
        <v>42</v>
      </c>
      <c r="F1373" s="1689">
        <v>565325</v>
      </c>
      <c r="H1373" s="46"/>
      <c r="I1373" s="46"/>
      <c r="J1373" s="1671">
        <v>2210800</v>
      </c>
      <c r="K1373" s="1680" t="s">
        <v>42</v>
      </c>
      <c r="L1373" s="1689">
        <v>565325</v>
      </c>
      <c r="N1373" s="1689">
        <f t="shared" si="21"/>
        <v>0</v>
      </c>
    </row>
    <row r="1374" spans="2:14">
      <c r="B1374" s="46"/>
      <c r="C1374" s="46"/>
      <c r="D1374" s="47">
        <v>2210801</v>
      </c>
      <c r="E1374" s="48" t="s">
        <v>275</v>
      </c>
      <c r="F1374" s="135">
        <v>565325</v>
      </c>
      <c r="H1374" s="46"/>
      <c r="I1374" s="46"/>
      <c r="J1374" s="47">
        <v>2210801</v>
      </c>
      <c r="K1374" s="48" t="s">
        <v>275</v>
      </c>
      <c r="L1374" s="135">
        <v>565325</v>
      </c>
      <c r="N1374" s="135">
        <f t="shared" si="21"/>
        <v>0</v>
      </c>
    </row>
    <row r="1375" spans="2:14">
      <c r="B1375" s="46"/>
      <c r="C1375" s="46"/>
      <c r="D1375" s="1671">
        <v>2211000</v>
      </c>
      <c r="E1375" s="1680" t="s">
        <v>118</v>
      </c>
      <c r="F1375" s="1689">
        <v>261901.5</v>
      </c>
      <c r="H1375" s="46"/>
      <c r="I1375" s="46"/>
      <c r="J1375" s="1671">
        <v>2211000</v>
      </c>
      <c r="K1375" s="1680" t="s">
        <v>118</v>
      </c>
      <c r="L1375" s="1689">
        <v>261901.5</v>
      </c>
      <c r="N1375" s="1689">
        <f t="shared" si="21"/>
        <v>0</v>
      </c>
    </row>
    <row r="1376" spans="2:14">
      <c r="B1376" s="46"/>
      <c r="C1376" s="46"/>
      <c r="D1376" s="47">
        <v>2211007</v>
      </c>
      <c r="E1376" s="48" t="s">
        <v>309</v>
      </c>
      <c r="F1376" s="135">
        <v>261901.5</v>
      </c>
      <c r="H1376" s="46"/>
      <c r="I1376" s="46"/>
      <c r="J1376" s="47">
        <v>2211007</v>
      </c>
      <c r="K1376" s="48" t="s">
        <v>309</v>
      </c>
      <c r="L1376" s="135">
        <v>261901.5</v>
      </c>
      <c r="N1376" s="135">
        <f t="shared" si="21"/>
        <v>0</v>
      </c>
    </row>
    <row r="1377" spans="2:14">
      <c r="B1377" s="46"/>
      <c r="C1377" s="46"/>
      <c r="D1377" s="1671">
        <v>2211100</v>
      </c>
      <c r="E1377" s="1680" t="s">
        <v>51</v>
      </c>
      <c r="F1377" s="1689">
        <v>1987650</v>
      </c>
      <c r="H1377" s="46"/>
      <c r="I1377" s="46"/>
      <c r="J1377" s="1671">
        <v>2211100</v>
      </c>
      <c r="K1377" s="1680" t="s">
        <v>51</v>
      </c>
      <c r="L1377" s="1689">
        <v>1987650</v>
      </c>
      <c r="N1377" s="1689">
        <f t="shared" si="21"/>
        <v>0</v>
      </c>
    </row>
    <row r="1378" spans="2:14">
      <c r="B1378" s="46"/>
      <c r="C1378" s="46"/>
      <c r="D1378" s="47">
        <v>2211101</v>
      </c>
      <c r="E1378" s="48" t="s">
        <v>289</v>
      </c>
      <c r="F1378" s="135">
        <v>406100</v>
      </c>
      <c r="H1378" s="46"/>
      <c r="I1378" s="46"/>
      <c r="J1378" s="47">
        <v>2211101</v>
      </c>
      <c r="K1378" s="48" t="s">
        <v>289</v>
      </c>
      <c r="L1378" s="135">
        <v>406100</v>
      </c>
      <c r="N1378" s="135">
        <f t="shared" si="21"/>
        <v>0</v>
      </c>
    </row>
    <row r="1379" spans="2:14">
      <c r="B1379" s="46"/>
      <c r="C1379" s="46"/>
      <c r="D1379" s="47">
        <v>2211102</v>
      </c>
      <c r="E1379" s="48" t="s">
        <v>53</v>
      </c>
      <c r="F1379" s="135">
        <v>481500</v>
      </c>
      <c r="H1379" s="46"/>
      <c r="I1379" s="46"/>
      <c r="J1379" s="47">
        <v>2211102</v>
      </c>
      <c r="K1379" s="48" t="s">
        <v>53</v>
      </c>
      <c r="L1379" s="135">
        <v>481500</v>
      </c>
      <c r="N1379" s="135">
        <f t="shared" si="21"/>
        <v>0</v>
      </c>
    </row>
    <row r="1380" spans="2:14">
      <c r="B1380" s="46"/>
      <c r="C1380" s="46"/>
      <c r="D1380" s="47">
        <v>2211103</v>
      </c>
      <c r="E1380" s="48" t="s">
        <v>54</v>
      </c>
      <c r="F1380" s="135">
        <v>300050</v>
      </c>
      <c r="H1380" s="46"/>
      <c r="I1380" s="46"/>
      <c r="J1380" s="47">
        <v>2211103</v>
      </c>
      <c r="K1380" s="48" t="s">
        <v>54</v>
      </c>
      <c r="L1380" s="135">
        <v>300050</v>
      </c>
      <c r="N1380" s="135">
        <f t="shared" si="21"/>
        <v>0</v>
      </c>
    </row>
    <row r="1381" spans="2:14">
      <c r="B1381" s="46"/>
      <c r="C1381" s="46"/>
      <c r="D1381" s="47">
        <v>2211104</v>
      </c>
      <c r="E1381" s="48" t="s">
        <v>71</v>
      </c>
      <c r="F1381" s="135">
        <v>800000</v>
      </c>
      <c r="H1381" s="46"/>
      <c r="I1381" s="46"/>
      <c r="J1381" s="47">
        <v>2211104</v>
      </c>
      <c r="K1381" s="48" t="s">
        <v>71</v>
      </c>
      <c r="L1381" s="135">
        <v>800000</v>
      </c>
      <c r="N1381" s="135">
        <f t="shared" si="21"/>
        <v>0</v>
      </c>
    </row>
    <row r="1382" spans="2:14">
      <c r="B1382" s="46"/>
      <c r="C1382" s="46"/>
      <c r="D1382" s="1671">
        <v>2211200</v>
      </c>
      <c r="E1382" s="1680" t="s">
        <v>55</v>
      </c>
      <c r="F1382" s="1689">
        <v>1834178</v>
      </c>
      <c r="H1382" s="46"/>
      <c r="I1382" s="46"/>
      <c r="J1382" s="1671">
        <v>2211200</v>
      </c>
      <c r="K1382" s="1680" t="s">
        <v>55</v>
      </c>
      <c r="L1382" s="1689">
        <v>1834178</v>
      </c>
      <c r="N1382" s="1689">
        <f t="shared" si="21"/>
        <v>0</v>
      </c>
    </row>
    <row r="1383" spans="2:14">
      <c r="B1383" s="46"/>
      <c r="C1383" s="46"/>
      <c r="D1383" s="47">
        <v>2211201</v>
      </c>
      <c r="E1383" s="48" t="s">
        <v>56</v>
      </c>
      <c r="F1383" s="135">
        <v>1834178</v>
      </c>
      <c r="H1383" s="46"/>
      <c r="I1383" s="46"/>
      <c r="J1383" s="47">
        <v>2211201</v>
      </c>
      <c r="K1383" s="48" t="s">
        <v>56</v>
      </c>
      <c r="L1383" s="135">
        <v>1834178</v>
      </c>
      <c r="N1383" s="135">
        <f t="shared" si="21"/>
        <v>0</v>
      </c>
    </row>
    <row r="1384" spans="2:14">
      <c r="B1384" s="46"/>
      <c r="C1384" s="46"/>
      <c r="D1384" s="1671">
        <v>2220100</v>
      </c>
      <c r="E1384" s="1680" t="s">
        <v>200</v>
      </c>
      <c r="F1384" s="1689">
        <v>1000000</v>
      </c>
      <c r="H1384" s="46"/>
      <c r="I1384" s="46"/>
      <c r="J1384" s="1671">
        <v>2220100</v>
      </c>
      <c r="K1384" s="1680" t="s">
        <v>200</v>
      </c>
      <c r="L1384" s="1689">
        <v>1000000</v>
      </c>
      <c r="N1384" s="1689">
        <f t="shared" si="21"/>
        <v>0</v>
      </c>
    </row>
    <row r="1385" spans="2:14">
      <c r="B1385" s="46"/>
      <c r="C1385" s="46"/>
      <c r="D1385" s="47">
        <v>2220101</v>
      </c>
      <c r="E1385" s="48" t="s">
        <v>200</v>
      </c>
      <c r="F1385" s="135">
        <v>1000000</v>
      </c>
      <c r="H1385" s="46"/>
      <c r="I1385" s="46"/>
      <c r="J1385" s="47">
        <v>2220101</v>
      </c>
      <c r="K1385" s="48" t="s">
        <v>200</v>
      </c>
      <c r="L1385" s="135">
        <v>1000000</v>
      </c>
      <c r="N1385" s="135">
        <f t="shared" si="21"/>
        <v>0</v>
      </c>
    </row>
    <row r="1386" spans="2:14">
      <c r="B1386" s="46"/>
      <c r="C1386" s="46"/>
      <c r="D1386" s="1671">
        <v>2220200</v>
      </c>
      <c r="E1386" s="1680" t="s">
        <v>291</v>
      </c>
      <c r="F1386" s="1689">
        <v>403167</v>
      </c>
      <c r="H1386" s="46"/>
      <c r="I1386" s="46"/>
      <c r="J1386" s="1671">
        <v>2220200</v>
      </c>
      <c r="K1386" s="1680" t="s">
        <v>291</v>
      </c>
      <c r="L1386" s="1689">
        <v>403167</v>
      </c>
      <c r="N1386" s="1689">
        <f t="shared" si="21"/>
        <v>0</v>
      </c>
    </row>
    <row r="1387" spans="2:14">
      <c r="B1387" s="46"/>
      <c r="C1387" s="46"/>
      <c r="D1387" s="47">
        <v>2220210</v>
      </c>
      <c r="E1387" s="48" t="s">
        <v>163</v>
      </c>
      <c r="F1387" s="135">
        <v>403167</v>
      </c>
      <c r="H1387" s="46"/>
      <c r="I1387" s="46"/>
      <c r="J1387" s="47">
        <v>2220210</v>
      </c>
      <c r="K1387" s="48" t="s">
        <v>163</v>
      </c>
      <c r="L1387" s="135">
        <v>403167</v>
      </c>
      <c r="N1387" s="135">
        <f t="shared" si="21"/>
        <v>0</v>
      </c>
    </row>
    <row r="1388" spans="2:14" ht="30">
      <c r="B1388" s="46"/>
      <c r="C1388" s="46"/>
      <c r="D1388" s="1671">
        <v>3111400</v>
      </c>
      <c r="E1388" s="1680" t="s">
        <v>294</v>
      </c>
      <c r="F1388" s="1689">
        <v>950000</v>
      </c>
      <c r="H1388" s="46"/>
      <c r="I1388" s="46"/>
      <c r="J1388" s="1671">
        <v>3111400</v>
      </c>
      <c r="K1388" s="1680" t="s">
        <v>294</v>
      </c>
      <c r="L1388" s="1689">
        <v>950000</v>
      </c>
      <c r="N1388" s="1689">
        <f t="shared" si="21"/>
        <v>0</v>
      </c>
    </row>
    <row r="1389" spans="2:14">
      <c r="B1389" s="46"/>
      <c r="C1389" s="46"/>
      <c r="D1389" s="47">
        <v>3111401</v>
      </c>
      <c r="E1389" s="48" t="s">
        <v>1316</v>
      </c>
      <c r="F1389" s="135">
        <v>950000</v>
      </c>
      <c r="H1389" s="46"/>
      <c r="I1389" s="46"/>
      <c r="J1389" s="47">
        <v>3111401</v>
      </c>
      <c r="K1389" s="48" t="s">
        <v>1316</v>
      </c>
      <c r="L1389" s="135">
        <v>950000</v>
      </c>
      <c r="N1389" s="135">
        <f t="shared" si="21"/>
        <v>0</v>
      </c>
    </row>
    <row r="1390" spans="2:14">
      <c r="B1390" s="46"/>
      <c r="C1390" s="46"/>
      <c r="D1390" s="1528"/>
      <c r="E1390" s="1620" t="s">
        <v>310</v>
      </c>
      <c r="F1390" s="1686">
        <v>13031496.5</v>
      </c>
      <c r="H1390" s="46"/>
      <c r="I1390" s="46"/>
      <c r="J1390" s="1528"/>
      <c r="K1390" s="1620" t="s">
        <v>310</v>
      </c>
      <c r="L1390" s="1686">
        <v>13031496.5</v>
      </c>
      <c r="N1390" s="1686">
        <f t="shared" si="21"/>
        <v>0</v>
      </c>
    </row>
    <row r="1391" spans="2:14">
      <c r="B1391" s="46"/>
      <c r="C1391" s="46"/>
      <c r="D1391" s="1671"/>
      <c r="E1391" s="1680" t="s">
        <v>92</v>
      </c>
      <c r="F1391" s="1689"/>
      <c r="H1391" s="46"/>
      <c r="I1391" s="46"/>
      <c r="J1391" s="1671"/>
      <c r="K1391" s="1680" t="s">
        <v>92</v>
      </c>
      <c r="L1391" s="1689"/>
      <c r="N1391" s="1689">
        <f t="shared" si="21"/>
        <v>0</v>
      </c>
    </row>
    <row r="1392" spans="2:14">
      <c r="B1392" s="46"/>
      <c r="C1392" s="46"/>
      <c r="D1392" s="1671"/>
      <c r="E1392" s="1680" t="s">
        <v>311</v>
      </c>
      <c r="F1392" s="1689"/>
      <c r="H1392" s="46"/>
      <c r="I1392" s="46"/>
      <c r="J1392" s="1671"/>
      <c r="K1392" s="1680" t="s">
        <v>311</v>
      </c>
      <c r="L1392" s="1689"/>
      <c r="N1392" s="1689">
        <f t="shared" si="21"/>
        <v>0</v>
      </c>
    </row>
    <row r="1393" spans="2:14">
      <c r="B1393" s="46"/>
      <c r="C1393" s="46"/>
      <c r="D1393" s="1671">
        <v>3110500</v>
      </c>
      <c r="E1393" s="1680" t="s">
        <v>260</v>
      </c>
      <c r="F1393" s="1689">
        <v>172151840</v>
      </c>
      <c r="H1393" s="46"/>
      <c r="I1393" s="46"/>
      <c r="J1393" s="1671">
        <v>3110500</v>
      </c>
      <c r="K1393" s="1680" t="s">
        <v>260</v>
      </c>
      <c r="L1393" s="1689">
        <v>172151840</v>
      </c>
      <c r="N1393" s="1689">
        <f t="shared" si="21"/>
        <v>0</v>
      </c>
    </row>
    <row r="1394" spans="2:14" ht="30">
      <c r="B1394" s="46"/>
      <c r="C1394" s="46"/>
      <c r="D1394" s="47">
        <v>3110504</v>
      </c>
      <c r="E1394" s="51" t="s">
        <v>1852</v>
      </c>
      <c r="F1394" s="135">
        <v>120000000</v>
      </c>
      <c r="H1394" s="46"/>
      <c r="I1394" s="46"/>
      <c r="J1394" s="47">
        <v>3110504</v>
      </c>
      <c r="K1394" s="51" t="s">
        <v>1852</v>
      </c>
      <c r="L1394" s="135">
        <v>120000000</v>
      </c>
      <c r="N1394" s="135">
        <f t="shared" si="21"/>
        <v>0</v>
      </c>
    </row>
    <row r="1395" spans="2:14">
      <c r="B1395" s="46"/>
      <c r="C1395" s="46"/>
      <c r="D1395" s="47">
        <v>3110505</v>
      </c>
      <c r="E1395" s="51" t="s">
        <v>1322</v>
      </c>
      <c r="F1395" s="135">
        <v>42151840</v>
      </c>
      <c r="H1395" s="46"/>
      <c r="I1395" s="46"/>
      <c r="J1395" s="47">
        <v>3110505</v>
      </c>
      <c r="K1395" s="51" t="s">
        <v>1322</v>
      </c>
      <c r="L1395" s="135">
        <v>42151840</v>
      </c>
      <c r="N1395" s="135">
        <f t="shared" si="21"/>
        <v>0</v>
      </c>
    </row>
    <row r="1396" spans="2:14">
      <c r="B1396" s="46"/>
      <c r="C1396" s="46"/>
      <c r="D1396" s="47">
        <v>3110599</v>
      </c>
      <c r="E1396" s="1711" t="s">
        <v>312</v>
      </c>
      <c r="F1396" s="135">
        <v>5000000</v>
      </c>
      <c r="H1396" s="46"/>
      <c r="I1396" s="46"/>
      <c r="J1396" s="47">
        <v>3110599</v>
      </c>
      <c r="K1396" s="1711" t="s">
        <v>312</v>
      </c>
      <c r="L1396" s="135">
        <v>5000000</v>
      </c>
      <c r="N1396" s="135">
        <f t="shared" si="21"/>
        <v>0</v>
      </c>
    </row>
    <row r="1397" spans="2:14">
      <c r="B1397" s="46"/>
      <c r="C1397" s="46"/>
      <c r="D1397" s="47">
        <v>3110600</v>
      </c>
      <c r="E1397" s="1711" t="s">
        <v>1323</v>
      </c>
      <c r="F1397" s="135">
        <v>5000000</v>
      </c>
      <c r="H1397" s="46"/>
      <c r="I1397" s="46"/>
      <c r="J1397" s="47">
        <v>3110600</v>
      </c>
      <c r="K1397" s="1711" t="s">
        <v>1323</v>
      </c>
      <c r="L1397" s="135">
        <v>5000000</v>
      </c>
      <c r="N1397" s="135">
        <f t="shared" si="21"/>
        <v>0</v>
      </c>
    </row>
    <row r="1398" spans="2:14">
      <c r="B1398" s="46"/>
      <c r="C1398" s="46"/>
      <c r="D1398" s="1507"/>
      <c r="E1398" s="1721" t="s">
        <v>167</v>
      </c>
      <c r="F1398" s="1686">
        <v>172151840</v>
      </c>
      <c r="H1398" s="46"/>
      <c r="I1398" s="46"/>
      <c r="J1398" s="1507"/>
      <c r="K1398" s="1721" t="s">
        <v>167</v>
      </c>
      <c r="L1398" s="1686">
        <v>172151840</v>
      </c>
      <c r="N1398" s="1686">
        <f t="shared" si="21"/>
        <v>0</v>
      </c>
    </row>
    <row r="1399" spans="2:14">
      <c r="B1399" s="46"/>
      <c r="C1399" s="46"/>
      <c r="D1399" s="1507"/>
      <c r="E1399" s="1508" t="s">
        <v>84</v>
      </c>
      <c r="F1399" s="1686">
        <v>185183336.5</v>
      </c>
      <c r="H1399" s="46"/>
      <c r="I1399" s="46"/>
      <c r="J1399" s="1507"/>
      <c r="K1399" s="1508" t="s">
        <v>84</v>
      </c>
      <c r="L1399" s="1686">
        <v>185183336.5</v>
      </c>
      <c r="N1399" s="1686">
        <f t="shared" si="21"/>
        <v>0</v>
      </c>
    </row>
    <row r="1400" spans="2:14">
      <c r="B1400" s="46"/>
      <c r="C1400" s="46"/>
      <c r="D1400" s="1507"/>
      <c r="E1400" s="1508" t="s">
        <v>313</v>
      </c>
      <c r="F1400" s="1686">
        <v>147088158</v>
      </c>
      <c r="H1400" s="46"/>
      <c r="I1400" s="46"/>
      <c r="J1400" s="1507"/>
      <c r="K1400" s="1508" t="s">
        <v>313</v>
      </c>
      <c r="L1400" s="1686">
        <v>136588158</v>
      </c>
      <c r="N1400" s="1686">
        <f t="shared" si="21"/>
        <v>10500000</v>
      </c>
    </row>
    <row r="1401" spans="2:14">
      <c r="B1401" s="46"/>
      <c r="C1401" s="46"/>
      <c r="D1401" s="1507"/>
      <c r="E1401" s="1508" t="s">
        <v>175</v>
      </c>
      <c r="F1401" s="1686">
        <v>568780836</v>
      </c>
      <c r="H1401" s="46"/>
      <c r="I1401" s="46"/>
      <c r="J1401" s="1507"/>
      <c r="K1401" s="1508" t="s">
        <v>175</v>
      </c>
      <c r="L1401" s="1686">
        <v>556280836</v>
      </c>
      <c r="N1401" s="1686">
        <f t="shared" si="21"/>
        <v>12500000</v>
      </c>
    </row>
    <row r="1402" spans="2:14">
      <c r="B1402" s="46"/>
      <c r="C1402" s="46"/>
      <c r="D1402" s="1583" t="s">
        <v>1268</v>
      </c>
      <c r="E1402" s="1620"/>
      <c r="F1402" s="1686">
        <v>715868994</v>
      </c>
      <c r="H1402" s="46"/>
      <c r="I1402" s="46"/>
      <c r="J1402" s="1583" t="s">
        <v>1268</v>
      </c>
      <c r="K1402" s="1620"/>
      <c r="L1402" s="1686">
        <v>692868994</v>
      </c>
      <c r="N1402" s="1686">
        <f t="shared" si="21"/>
        <v>23000000</v>
      </c>
    </row>
    <row r="1403" spans="2:14">
      <c r="B1403" s="46"/>
      <c r="C1403" s="46"/>
      <c r="D1403" s="1507"/>
      <c r="E1403" s="1658"/>
      <c r="F1403" s="1722"/>
      <c r="H1403" s="46"/>
      <c r="I1403" s="46"/>
      <c r="J1403" s="1507"/>
      <c r="K1403" s="1658"/>
      <c r="L1403" s="1722"/>
      <c r="N1403" s="1722">
        <f t="shared" si="21"/>
        <v>0</v>
      </c>
    </row>
    <row r="1404" spans="2:14">
      <c r="B1404" s="46"/>
      <c r="C1404" s="46"/>
      <c r="D1404" s="1507"/>
      <c r="E1404" s="1658"/>
      <c r="F1404" s="1722"/>
      <c r="H1404" s="46"/>
      <c r="I1404" s="46"/>
      <c r="J1404" s="1507"/>
      <c r="K1404" s="1658"/>
      <c r="L1404" s="1722"/>
      <c r="N1404" s="1722">
        <f t="shared" si="21"/>
        <v>0</v>
      </c>
    </row>
    <row r="1405" spans="2:14">
      <c r="B1405" s="1723"/>
      <c r="C1405" s="1723"/>
      <c r="D1405" s="1507" t="s">
        <v>1252</v>
      </c>
      <c r="E1405" s="1508"/>
      <c r="F1405" s="141"/>
      <c r="H1405" s="1723"/>
      <c r="I1405" s="1723"/>
      <c r="J1405" s="1507" t="s">
        <v>1252</v>
      </c>
      <c r="K1405" s="1508"/>
      <c r="L1405" s="141"/>
      <c r="N1405" s="141">
        <f t="shared" si="21"/>
        <v>0</v>
      </c>
    </row>
    <row r="1406" spans="2:14">
      <c r="B1406" s="1723" t="s">
        <v>178</v>
      </c>
      <c r="C1406" s="1723" t="s">
        <v>146</v>
      </c>
      <c r="D1406" s="1724" t="s">
        <v>314</v>
      </c>
      <c r="E1406" s="1725"/>
      <c r="F1406" s="141"/>
      <c r="H1406" s="1723" t="s">
        <v>178</v>
      </c>
      <c r="I1406" s="1723" t="s">
        <v>146</v>
      </c>
      <c r="J1406" s="1724" t="s">
        <v>314</v>
      </c>
      <c r="K1406" s="1725"/>
      <c r="L1406" s="141"/>
      <c r="N1406" s="141">
        <f t="shared" si="21"/>
        <v>0</v>
      </c>
    </row>
    <row r="1407" spans="2:14">
      <c r="B1407" s="55"/>
      <c r="C1407" s="55"/>
      <c r="D1407" s="1726">
        <v>2110100</v>
      </c>
      <c r="E1407" s="1727" t="s">
        <v>13</v>
      </c>
      <c r="F1407" s="1511">
        <v>788141583</v>
      </c>
      <c r="H1407" s="55"/>
      <c r="I1407" s="55"/>
      <c r="J1407" s="1728">
        <v>2110100</v>
      </c>
      <c r="K1407" s="1727" t="s">
        <v>13</v>
      </c>
      <c r="L1407" s="1511">
        <v>788141583</v>
      </c>
      <c r="N1407" s="1511">
        <f t="shared" si="21"/>
        <v>0</v>
      </c>
    </row>
    <row r="1408" spans="2:14">
      <c r="B1408" s="55"/>
      <c r="C1408" s="55"/>
      <c r="D1408" s="57">
        <v>2110101</v>
      </c>
      <c r="E1408" s="58" t="s">
        <v>14</v>
      </c>
      <c r="F1408" s="141">
        <v>788141583</v>
      </c>
      <c r="H1408" s="55"/>
      <c r="I1408" s="55"/>
      <c r="J1408" s="1729">
        <v>2110101</v>
      </c>
      <c r="K1408" s="58" t="s">
        <v>14</v>
      </c>
      <c r="L1408" s="141">
        <v>788141583</v>
      </c>
      <c r="N1408" s="141">
        <f t="shared" si="21"/>
        <v>0</v>
      </c>
    </row>
    <row r="1409" spans="2:14">
      <c r="B1409" s="55"/>
      <c r="C1409" s="55"/>
      <c r="D1409" s="57"/>
      <c r="E1409" s="58"/>
      <c r="F1409" s="141">
        <v>0</v>
      </c>
      <c r="H1409" s="55"/>
      <c r="I1409" s="55"/>
      <c r="J1409" s="1729"/>
      <c r="K1409" s="58"/>
      <c r="L1409" s="141">
        <v>0</v>
      </c>
      <c r="N1409" s="141">
        <f t="shared" si="21"/>
        <v>0</v>
      </c>
    </row>
    <row r="1410" spans="2:14">
      <c r="B1410" s="55"/>
      <c r="C1410" s="55"/>
      <c r="D1410" s="1726">
        <v>2210100</v>
      </c>
      <c r="E1410" s="1727" t="s">
        <v>16</v>
      </c>
      <c r="F1410" s="1511">
        <v>423689</v>
      </c>
      <c r="H1410" s="55"/>
      <c r="I1410" s="55"/>
      <c r="J1410" s="1728">
        <v>2210100</v>
      </c>
      <c r="K1410" s="1727" t="s">
        <v>16</v>
      </c>
      <c r="L1410" s="1511">
        <v>423689</v>
      </c>
      <c r="N1410" s="1511">
        <f t="shared" si="21"/>
        <v>0</v>
      </c>
    </row>
    <row r="1411" spans="2:14">
      <c r="B1411" s="55"/>
      <c r="C1411" s="55"/>
      <c r="D1411" s="57">
        <v>2210101</v>
      </c>
      <c r="E1411" s="58" t="s">
        <v>17</v>
      </c>
      <c r="F1411" s="141">
        <v>219126</v>
      </c>
      <c r="H1411" s="55"/>
      <c r="I1411" s="55"/>
      <c r="J1411" s="1729">
        <v>2210101</v>
      </c>
      <c r="K1411" s="58" t="s">
        <v>17</v>
      </c>
      <c r="L1411" s="141">
        <v>219126</v>
      </c>
      <c r="N1411" s="141">
        <f t="shared" si="21"/>
        <v>0</v>
      </c>
    </row>
    <row r="1412" spans="2:14">
      <c r="B1412" s="55"/>
      <c r="C1412" s="55"/>
      <c r="D1412" s="57">
        <v>2210102</v>
      </c>
      <c r="E1412" s="58" t="s">
        <v>18</v>
      </c>
      <c r="F1412" s="141">
        <v>204563</v>
      </c>
      <c r="H1412" s="55"/>
      <c r="I1412" s="55"/>
      <c r="J1412" s="1729">
        <v>2210102</v>
      </c>
      <c r="K1412" s="58" t="s">
        <v>18</v>
      </c>
      <c r="L1412" s="141">
        <v>204563</v>
      </c>
      <c r="N1412" s="141">
        <f t="shared" si="21"/>
        <v>0</v>
      </c>
    </row>
    <row r="1413" spans="2:14">
      <c r="B1413" s="55"/>
      <c r="C1413" s="55"/>
      <c r="D1413" s="1726">
        <v>2210200</v>
      </c>
      <c r="E1413" s="1727" t="s">
        <v>20</v>
      </c>
      <c r="F1413" s="1511">
        <v>253689</v>
      </c>
      <c r="H1413" s="55"/>
      <c r="I1413" s="55"/>
      <c r="J1413" s="1728">
        <v>2210200</v>
      </c>
      <c r="K1413" s="1727" t="s">
        <v>20</v>
      </c>
      <c r="L1413" s="1511">
        <v>253689</v>
      </c>
      <c r="N1413" s="1511">
        <f t="shared" si="21"/>
        <v>0</v>
      </c>
    </row>
    <row r="1414" spans="2:14">
      <c r="B1414" s="55"/>
      <c r="C1414" s="55"/>
      <c r="D1414" s="57">
        <v>2210201</v>
      </c>
      <c r="E1414" s="58" t="s">
        <v>187</v>
      </c>
      <c r="F1414" s="141">
        <v>253689</v>
      </c>
      <c r="H1414" s="55"/>
      <c r="I1414" s="55"/>
      <c r="J1414" s="1729">
        <v>2210201</v>
      </c>
      <c r="K1414" s="58" t="s">
        <v>187</v>
      </c>
      <c r="L1414" s="141">
        <v>253689</v>
      </c>
      <c r="N1414" s="141">
        <f t="shared" si="21"/>
        <v>0</v>
      </c>
    </row>
    <row r="1415" spans="2:14">
      <c r="B1415" s="55"/>
      <c r="C1415" s="55"/>
      <c r="D1415" s="1726">
        <v>2210300</v>
      </c>
      <c r="E1415" s="1727" t="s">
        <v>24</v>
      </c>
      <c r="F1415" s="1511">
        <v>1424530</v>
      </c>
      <c r="H1415" s="55"/>
      <c r="I1415" s="55"/>
      <c r="J1415" s="1728">
        <v>2210300</v>
      </c>
      <c r="K1415" s="1727" t="s">
        <v>24</v>
      </c>
      <c r="L1415" s="1511">
        <v>1424530</v>
      </c>
      <c r="N1415" s="1511">
        <f t="shared" si="21"/>
        <v>0</v>
      </c>
    </row>
    <row r="1416" spans="2:14">
      <c r="B1416" s="55"/>
      <c r="C1416" s="55"/>
      <c r="D1416" s="57">
        <v>2210301</v>
      </c>
      <c r="E1416" s="58" t="s">
        <v>188</v>
      </c>
      <c r="F1416" s="141">
        <v>300950</v>
      </c>
      <c r="H1416" s="55"/>
      <c r="I1416" s="55"/>
      <c r="J1416" s="1729">
        <v>2210301</v>
      </c>
      <c r="K1416" s="58" t="s">
        <v>188</v>
      </c>
      <c r="L1416" s="141">
        <v>300950</v>
      </c>
      <c r="N1416" s="141">
        <f t="shared" ref="N1416:N1479" si="22">F1416-L1416</f>
        <v>0</v>
      </c>
    </row>
    <row r="1417" spans="2:14">
      <c r="B1417" s="55"/>
      <c r="C1417" s="55"/>
      <c r="D1417" s="57">
        <v>2210302</v>
      </c>
      <c r="E1417" s="58" t="s">
        <v>26</v>
      </c>
      <c r="F1417" s="141">
        <v>601215</v>
      </c>
      <c r="H1417" s="55"/>
      <c r="I1417" s="55"/>
      <c r="J1417" s="1729">
        <v>2210302</v>
      </c>
      <c r="K1417" s="58" t="s">
        <v>26</v>
      </c>
      <c r="L1417" s="141">
        <v>601215</v>
      </c>
      <c r="N1417" s="141">
        <f t="shared" si="22"/>
        <v>0</v>
      </c>
    </row>
    <row r="1418" spans="2:14">
      <c r="B1418" s="55"/>
      <c r="C1418" s="55"/>
      <c r="D1418" s="57">
        <v>2210303</v>
      </c>
      <c r="E1418" s="58" t="s">
        <v>223</v>
      </c>
      <c r="F1418" s="141">
        <v>522365</v>
      </c>
      <c r="H1418" s="55"/>
      <c r="I1418" s="55"/>
      <c r="J1418" s="1729">
        <v>2210303</v>
      </c>
      <c r="K1418" s="58" t="s">
        <v>223</v>
      </c>
      <c r="L1418" s="141">
        <v>522365</v>
      </c>
      <c r="N1418" s="141">
        <f t="shared" si="22"/>
        <v>0</v>
      </c>
    </row>
    <row r="1419" spans="2:14">
      <c r="B1419" s="55"/>
      <c r="C1419" s="55"/>
      <c r="D1419" s="1726">
        <v>2210400</v>
      </c>
      <c r="E1419" s="1727" t="s">
        <v>317</v>
      </c>
      <c r="F1419" s="1511">
        <v>590000</v>
      </c>
      <c r="H1419" s="55"/>
      <c r="I1419" s="55"/>
      <c r="J1419" s="1728">
        <v>2210400</v>
      </c>
      <c r="K1419" s="1727" t="s">
        <v>317</v>
      </c>
      <c r="L1419" s="1511">
        <v>590000</v>
      </c>
      <c r="N1419" s="1511">
        <f t="shared" si="22"/>
        <v>0</v>
      </c>
    </row>
    <row r="1420" spans="2:14">
      <c r="B1420" s="55"/>
      <c r="C1420" s="55"/>
      <c r="D1420" s="57">
        <v>2210401</v>
      </c>
      <c r="E1420" s="58" t="s">
        <v>190</v>
      </c>
      <c r="F1420" s="141">
        <v>233980</v>
      </c>
      <c r="H1420" s="55"/>
      <c r="I1420" s="55"/>
      <c r="J1420" s="1729">
        <v>2210401</v>
      </c>
      <c r="K1420" s="58" t="s">
        <v>190</v>
      </c>
      <c r="L1420" s="141">
        <v>233980</v>
      </c>
      <c r="N1420" s="141">
        <f t="shared" si="22"/>
        <v>0</v>
      </c>
    </row>
    <row r="1421" spans="2:14">
      <c r="B1421" s="55"/>
      <c r="C1421" s="55"/>
      <c r="D1421" s="57">
        <v>2210402</v>
      </c>
      <c r="E1421" s="58" t="s">
        <v>191</v>
      </c>
      <c r="F1421" s="141">
        <v>356020</v>
      </c>
      <c r="H1421" s="55"/>
      <c r="I1421" s="55"/>
      <c r="J1421" s="1729">
        <v>2210402</v>
      </c>
      <c r="K1421" s="58" t="s">
        <v>191</v>
      </c>
      <c r="L1421" s="141">
        <v>356020</v>
      </c>
      <c r="N1421" s="141">
        <f t="shared" si="22"/>
        <v>0</v>
      </c>
    </row>
    <row r="1422" spans="2:14">
      <c r="B1422" s="55"/>
      <c r="C1422" s="55"/>
      <c r="D1422" s="1726">
        <v>2210500</v>
      </c>
      <c r="E1422" s="1727" t="s">
        <v>31</v>
      </c>
      <c r="F1422" s="1511">
        <v>1932723</v>
      </c>
      <c r="H1422" s="55"/>
      <c r="I1422" s="55"/>
      <c r="J1422" s="1728">
        <v>2210500</v>
      </c>
      <c r="K1422" s="1727" t="s">
        <v>31</v>
      </c>
      <c r="L1422" s="1511">
        <v>1932723</v>
      </c>
      <c r="N1422" s="1511">
        <f t="shared" si="22"/>
        <v>0</v>
      </c>
    </row>
    <row r="1423" spans="2:14">
      <c r="B1423" s="55"/>
      <c r="C1423" s="55"/>
      <c r="D1423" s="57">
        <v>2210502</v>
      </c>
      <c r="E1423" s="58" t="s">
        <v>105</v>
      </c>
      <c r="F1423" s="141">
        <v>227281</v>
      </c>
      <c r="H1423" s="55"/>
      <c r="I1423" s="55"/>
      <c r="J1423" s="1729">
        <v>2210502</v>
      </c>
      <c r="K1423" s="58" t="s">
        <v>105</v>
      </c>
      <c r="L1423" s="141">
        <v>227281</v>
      </c>
      <c r="N1423" s="141">
        <f t="shared" si="22"/>
        <v>0</v>
      </c>
    </row>
    <row r="1424" spans="2:14">
      <c r="B1424" s="55"/>
      <c r="C1424" s="55"/>
      <c r="D1424" s="57">
        <v>2210503</v>
      </c>
      <c r="E1424" s="58" t="s">
        <v>32</v>
      </c>
      <c r="F1424" s="141">
        <v>108058</v>
      </c>
      <c r="H1424" s="55"/>
      <c r="I1424" s="55"/>
      <c r="J1424" s="1729">
        <v>2210503</v>
      </c>
      <c r="K1424" s="58" t="s">
        <v>32</v>
      </c>
      <c r="L1424" s="141">
        <v>108058</v>
      </c>
      <c r="N1424" s="141">
        <f t="shared" si="22"/>
        <v>0</v>
      </c>
    </row>
    <row r="1425" spans="2:14">
      <c r="B1425" s="55"/>
      <c r="C1425" s="55"/>
      <c r="D1425" s="57">
        <v>2210504</v>
      </c>
      <c r="E1425" s="58" t="s">
        <v>33</v>
      </c>
      <c r="F1425" s="141">
        <v>271105</v>
      </c>
      <c r="H1425" s="55"/>
      <c r="I1425" s="55"/>
      <c r="J1425" s="1729">
        <v>2210504</v>
      </c>
      <c r="K1425" s="58" t="s">
        <v>33</v>
      </c>
      <c r="L1425" s="141">
        <v>271105</v>
      </c>
      <c r="N1425" s="141">
        <f t="shared" si="22"/>
        <v>0</v>
      </c>
    </row>
    <row r="1426" spans="2:14">
      <c r="B1426" s="55"/>
      <c r="C1426" s="55"/>
      <c r="D1426" s="57">
        <v>2210505</v>
      </c>
      <c r="E1426" s="58" t="s">
        <v>192</v>
      </c>
      <c r="F1426" s="141">
        <v>1326279</v>
      </c>
      <c r="H1426" s="55"/>
      <c r="I1426" s="55"/>
      <c r="J1426" s="1729">
        <v>2210505</v>
      </c>
      <c r="K1426" s="58" t="s">
        <v>192</v>
      </c>
      <c r="L1426" s="141">
        <v>1326279</v>
      </c>
      <c r="N1426" s="141">
        <f t="shared" si="22"/>
        <v>0</v>
      </c>
    </row>
    <row r="1427" spans="2:14">
      <c r="B1427" s="55"/>
      <c r="C1427" s="55"/>
      <c r="D1427" s="1726">
        <v>2210700</v>
      </c>
      <c r="E1427" s="1727" t="s">
        <v>35</v>
      </c>
      <c r="F1427" s="1511">
        <v>1656157.5</v>
      </c>
      <c r="H1427" s="55"/>
      <c r="I1427" s="55"/>
      <c r="J1427" s="1728">
        <v>2210700</v>
      </c>
      <c r="K1427" s="1727" t="s">
        <v>35</v>
      </c>
      <c r="L1427" s="1511">
        <v>1656157.5</v>
      </c>
      <c r="N1427" s="1511">
        <f t="shared" si="22"/>
        <v>0</v>
      </c>
    </row>
    <row r="1428" spans="2:14">
      <c r="B1428" s="55"/>
      <c r="C1428" s="55"/>
      <c r="D1428" s="57">
        <v>2210701</v>
      </c>
      <c r="E1428" s="58" t="s">
        <v>36</v>
      </c>
      <c r="F1428" s="141">
        <v>326227.5</v>
      </c>
      <c r="H1428" s="55"/>
      <c r="I1428" s="55"/>
      <c r="J1428" s="1729">
        <v>2210701</v>
      </c>
      <c r="K1428" s="58" t="s">
        <v>36</v>
      </c>
      <c r="L1428" s="141">
        <v>326227.5</v>
      </c>
      <c r="N1428" s="141">
        <f t="shared" si="22"/>
        <v>0</v>
      </c>
    </row>
    <row r="1429" spans="2:14">
      <c r="B1429" s="55"/>
      <c r="C1429" s="55"/>
      <c r="D1429" s="57">
        <v>2210704</v>
      </c>
      <c r="E1429" s="58" t="s">
        <v>38</v>
      </c>
      <c r="F1429" s="141">
        <v>443550</v>
      </c>
      <c r="H1429" s="55"/>
      <c r="I1429" s="55"/>
      <c r="J1429" s="1729">
        <v>2210704</v>
      </c>
      <c r="K1429" s="58" t="s">
        <v>38</v>
      </c>
      <c r="L1429" s="141">
        <v>443550</v>
      </c>
      <c r="N1429" s="141">
        <f t="shared" si="22"/>
        <v>0</v>
      </c>
    </row>
    <row r="1430" spans="2:14">
      <c r="B1430" s="55"/>
      <c r="C1430" s="55"/>
      <c r="D1430" s="57">
        <v>2210708</v>
      </c>
      <c r="E1430" s="58" t="s">
        <v>115</v>
      </c>
      <c r="F1430" s="141">
        <v>375450</v>
      </c>
      <c r="H1430" s="55"/>
      <c r="I1430" s="55"/>
      <c r="J1430" s="1729">
        <v>2210708</v>
      </c>
      <c r="K1430" s="58" t="s">
        <v>115</v>
      </c>
      <c r="L1430" s="141">
        <v>375450</v>
      </c>
      <c r="N1430" s="141">
        <f t="shared" si="22"/>
        <v>0</v>
      </c>
    </row>
    <row r="1431" spans="2:14">
      <c r="B1431" s="55"/>
      <c r="C1431" s="55"/>
      <c r="D1431" s="57">
        <v>2210710</v>
      </c>
      <c r="E1431" s="58" t="s">
        <v>39</v>
      </c>
      <c r="F1431" s="141">
        <v>510930</v>
      </c>
      <c r="H1431" s="55"/>
      <c r="I1431" s="55"/>
      <c r="J1431" s="1729">
        <v>2210710</v>
      </c>
      <c r="K1431" s="58" t="s">
        <v>39</v>
      </c>
      <c r="L1431" s="141">
        <v>510930</v>
      </c>
      <c r="N1431" s="141">
        <f t="shared" si="22"/>
        <v>0</v>
      </c>
    </row>
    <row r="1432" spans="2:14">
      <c r="B1432" s="55"/>
      <c r="C1432" s="55"/>
      <c r="D1432" s="1726">
        <v>2210800</v>
      </c>
      <c r="E1432" s="1727" t="s">
        <v>42</v>
      </c>
      <c r="F1432" s="1511">
        <v>637278.6</v>
      </c>
      <c r="H1432" s="55"/>
      <c r="I1432" s="55"/>
      <c r="J1432" s="1728">
        <v>2210800</v>
      </c>
      <c r="K1432" s="1727" t="s">
        <v>42</v>
      </c>
      <c r="L1432" s="1511">
        <v>637278.6</v>
      </c>
      <c r="N1432" s="1511">
        <f t="shared" si="22"/>
        <v>0</v>
      </c>
    </row>
    <row r="1433" spans="2:14">
      <c r="B1433" s="55"/>
      <c r="C1433" s="55"/>
      <c r="D1433" s="57">
        <v>2210801</v>
      </c>
      <c r="E1433" s="58" t="s">
        <v>195</v>
      </c>
      <c r="F1433" s="141">
        <v>324173.59999999998</v>
      </c>
      <c r="H1433" s="55"/>
      <c r="I1433" s="55"/>
      <c r="J1433" s="1729">
        <v>2210801</v>
      </c>
      <c r="K1433" s="58" t="s">
        <v>195</v>
      </c>
      <c r="L1433" s="141">
        <v>324173.59999999998</v>
      </c>
      <c r="N1433" s="141">
        <f t="shared" si="22"/>
        <v>0</v>
      </c>
    </row>
    <row r="1434" spans="2:14">
      <c r="B1434" s="55"/>
      <c r="C1434" s="55"/>
      <c r="D1434" s="57">
        <v>2210802</v>
      </c>
      <c r="E1434" s="58" t="s">
        <v>97</v>
      </c>
      <c r="F1434" s="141">
        <v>313105</v>
      </c>
      <c r="H1434" s="55"/>
      <c r="I1434" s="55"/>
      <c r="J1434" s="1729">
        <v>2210802</v>
      </c>
      <c r="K1434" s="58" t="s">
        <v>97</v>
      </c>
      <c r="L1434" s="141">
        <v>313105</v>
      </c>
      <c r="N1434" s="141">
        <f t="shared" si="22"/>
        <v>0</v>
      </c>
    </row>
    <row r="1435" spans="2:14">
      <c r="B1435" s="55"/>
      <c r="C1435" s="55"/>
      <c r="D1435" s="1726">
        <v>2211000</v>
      </c>
      <c r="E1435" s="1727" t="s">
        <v>103</v>
      </c>
      <c r="F1435" s="1511">
        <v>58000</v>
      </c>
      <c r="H1435" s="55"/>
      <c r="I1435" s="55"/>
      <c r="J1435" s="1728">
        <v>2211000</v>
      </c>
      <c r="K1435" s="1727" t="s">
        <v>103</v>
      </c>
      <c r="L1435" s="1511">
        <v>58000</v>
      </c>
      <c r="N1435" s="1511">
        <f t="shared" si="22"/>
        <v>0</v>
      </c>
    </row>
    <row r="1436" spans="2:14">
      <c r="B1436" s="55"/>
      <c r="C1436" s="55"/>
      <c r="D1436" s="57">
        <v>2211016</v>
      </c>
      <c r="E1436" s="58" t="s">
        <v>318</v>
      </c>
      <c r="F1436" s="141">
        <v>58000</v>
      </c>
      <c r="H1436" s="55"/>
      <c r="I1436" s="55"/>
      <c r="J1436" s="1729">
        <v>2211016</v>
      </c>
      <c r="K1436" s="58" t="s">
        <v>318</v>
      </c>
      <c r="L1436" s="141">
        <v>58000</v>
      </c>
      <c r="N1436" s="141">
        <f t="shared" si="22"/>
        <v>0</v>
      </c>
    </row>
    <row r="1437" spans="2:14">
      <c r="B1437" s="55"/>
      <c r="C1437" s="55"/>
      <c r="D1437" s="1726">
        <v>2211100</v>
      </c>
      <c r="E1437" s="1727" t="s">
        <v>51</v>
      </c>
      <c r="F1437" s="1511">
        <v>531862.19999999995</v>
      </c>
      <c r="H1437" s="55"/>
      <c r="I1437" s="55"/>
      <c r="J1437" s="1728">
        <v>2211100</v>
      </c>
      <c r="K1437" s="1727" t="s">
        <v>51</v>
      </c>
      <c r="L1437" s="1511">
        <v>531862.19999999995</v>
      </c>
      <c r="N1437" s="1511">
        <f t="shared" si="22"/>
        <v>0</v>
      </c>
    </row>
    <row r="1438" spans="2:14">
      <c r="B1438" s="55"/>
      <c r="C1438" s="55"/>
      <c r="D1438" s="57">
        <v>2211101</v>
      </c>
      <c r="E1438" s="58" t="s">
        <v>289</v>
      </c>
      <c r="F1438" s="141">
        <v>531862.19999999995</v>
      </c>
      <c r="H1438" s="55"/>
      <c r="I1438" s="55"/>
      <c r="J1438" s="1729">
        <v>2211101</v>
      </c>
      <c r="K1438" s="58" t="s">
        <v>289</v>
      </c>
      <c r="L1438" s="141">
        <v>531862.19999999995</v>
      </c>
      <c r="N1438" s="141">
        <f t="shared" si="22"/>
        <v>0</v>
      </c>
    </row>
    <row r="1439" spans="2:14">
      <c r="B1439" s="55"/>
      <c r="C1439" s="55"/>
      <c r="D1439" s="1726">
        <v>2211200</v>
      </c>
      <c r="E1439" s="1727" t="s">
        <v>55</v>
      </c>
      <c r="F1439" s="1511">
        <v>1144803</v>
      </c>
      <c r="H1439" s="55"/>
      <c r="I1439" s="55"/>
      <c r="J1439" s="1728">
        <v>2211200</v>
      </c>
      <c r="K1439" s="1727" t="s">
        <v>55</v>
      </c>
      <c r="L1439" s="1511">
        <v>1144803</v>
      </c>
      <c r="N1439" s="1511">
        <f t="shared" si="22"/>
        <v>0</v>
      </c>
    </row>
    <row r="1440" spans="2:14">
      <c r="B1440" s="55"/>
      <c r="C1440" s="55"/>
      <c r="D1440" s="57">
        <v>2211201</v>
      </c>
      <c r="E1440" s="58" t="s">
        <v>56</v>
      </c>
      <c r="F1440" s="141">
        <v>1144803</v>
      </c>
      <c r="H1440" s="55"/>
      <c r="I1440" s="55"/>
      <c r="J1440" s="1729">
        <v>2211201</v>
      </c>
      <c r="K1440" s="58" t="s">
        <v>56</v>
      </c>
      <c r="L1440" s="141">
        <v>1144803</v>
      </c>
      <c r="N1440" s="141">
        <f t="shared" si="22"/>
        <v>0</v>
      </c>
    </row>
    <row r="1441" spans="2:14">
      <c r="B1441" s="55"/>
      <c r="C1441" s="55"/>
      <c r="D1441" s="1726">
        <v>2211300</v>
      </c>
      <c r="E1441" s="1727" t="s">
        <v>57</v>
      </c>
      <c r="F1441" s="1511">
        <v>1000000</v>
      </c>
      <c r="H1441" s="55"/>
      <c r="I1441" s="55"/>
      <c r="J1441" s="1728">
        <v>2211300</v>
      </c>
      <c r="K1441" s="1727" t="s">
        <v>57</v>
      </c>
      <c r="L1441" s="1511">
        <v>1000000</v>
      </c>
      <c r="N1441" s="1511">
        <f t="shared" si="22"/>
        <v>0</v>
      </c>
    </row>
    <row r="1442" spans="2:14">
      <c r="B1442" s="55"/>
      <c r="C1442" s="55"/>
      <c r="D1442" s="57">
        <v>2211399</v>
      </c>
      <c r="E1442" s="58" t="s">
        <v>316</v>
      </c>
      <c r="F1442" s="141">
        <v>1000000</v>
      </c>
      <c r="H1442" s="55"/>
      <c r="I1442" s="55"/>
      <c r="J1442" s="1729">
        <v>2211399</v>
      </c>
      <c r="K1442" s="58" t="s">
        <v>316</v>
      </c>
      <c r="L1442" s="141">
        <v>1000000</v>
      </c>
      <c r="N1442" s="141">
        <f t="shared" si="22"/>
        <v>0</v>
      </c>
    </row>
    <row r="1443" spans="2:14">
      <c r="B1443" s="55"/>
      <c r="C1443" s="55"/>
      <c r="D1443" s="1726">
        <v>2220100</v>
      </c>
      <c r="E1443" s="1727" t="s">
        <v>62</v>
      </c>
      <c r="F1443" s="1511">
        <v>947473.6</v>
      </c>
      <c r="H1443" s="55"/>
      <c r="I1443" s="55"/>
      <c r="J1443" s="1728">
        <v>2220100</v>
      </c>
      <c r="K1443" s="1727" t="s">
        <v>62</v>
      </c>
      <c r="L1443" s="1511">
        <v>947473.6</v>
      </c>
      <c r="N1443" s="1511">
        <f t="shared" si="22"/>
        <v>0</v>
      </c>
    </row>
    <row r="1444" spans="2:14">
      <c r="B1444" s="55"/>
      <c r="C1444" s="55"/>
      <c r="D1444" s="57">
        <v>2220101</v>
      </c>
      <c r="E1444" s="58" t="s">
        <v>200</v>
      </c>
      <c r="F1444" s="141">
        <v>947473.6</v>
      </c>
      <c r="H1444" s="55"/>
      <c r="I1444" s="55"/>
      <c r="J1444" s="1729">
        <v>2220101</v>
      </c>
      <c r="K1444" s="58" t="s">
        <v>200</v>
      </c>
      <c r="L1444" s="141">
        <v>947473.6</v>
      </c>
      <c r="N1444" s="141">
        <f t="shared" si="22"/>
        <v>0</v>
      </c>
    </row>
    <row r="1445" spans="2:14">
      <c r="B1445" s="55"/>
      <c r="C1445" s="55"/>
      <c r="D1445" s="1726">
        <v>2220200</v>
      </c>
      <c r="E1445" s="1727" t="s">
        <v>124</v>
      </c>
      <c r="F1445" s="1511">
        <v>685980</v>
      </c>
      <c r="H1445" s="55"/>
      <c r="I1445" s="55"/>
      <c r="J1445" s="1728">
        <v>2220200</v>
      </c>
      <c r="K1445" s="1727" t="s">
        <v>124</v>
      </c>
      <c r="L1445" s="1511">
        <v>685980</v>
      </c>
      <c r="N1445" s="1511">
        <f t="shared" si="22"/>
        <v>0</v>
      </c>
    </row>
    <row r="1446" spans="2:14">
      <c r="B1446" s="55"/>
      <c r="C1446" s="55"/>
      <c r="D1446" s="57">
        <v>2220205</v>
      </c>
      <c r="E1446" s="58" t="s">
        <v>125</v>
      </c>
      <c r="F1446" s="141">
        <v>685980</v>
      </c>
      <c r="H1446" s="55"/>
      <c r="I1446" s="55"/>
      <c r="J1446" s="1729">
        <v>2220205</v>
      </c>
      <c r="K1446" s="58" t="s">
        <v>125</v>
      </c>
      <c r="L1446" s="141">
        <v>685980</v>
      </c>
      <c r="N1446" s="141">
        <f t="shared" si="22"/>
        <v>0</v>
      </c>
    </row>
    <row r="1447" spans="2:14">
      <c r="B1447" s="55"/>
      <c r="C1447" s="55"/>
      <c r="D1447" s="1726">
        <v>3111000</v>
      </c>
      <c r="E1447" s="1727" t="s">
        <v>69</v>
      </c>
      <c r="F1447" s="1511">
        <v>560000</v>
      </c>
      <c r="H1447" s="55"/>
      <c r="I1447" s="55"/>
      <c r="J1447" s="1728">
        <v>3111000</v>
      </c>
      <c r="K1447" s="1727" t="s">
        <v>69</v>
      </c>
      <c r="L1447" s="1511">
        <v>560000</v>
      </c>
      <c r="N1447" s="1511">
        <f t="shared" si="22"/>
        <v>0</v>
      </c>
    </row>
    <row r="1448" spans="2:14">
      <c r="B1448" s="55"/>
      <c r="C1448" s="55"/>
      <c r="D1448" s="57">
        <v>3111001</v>
      </c>
      <c r="E1448" s="58" t="s">
        <v>319</v>
      </c>
      <c r="F1448" s="141">
        <v>560000</v>
      </c>
      <c r="H1448" s="55"/>
      <c r="I1448" s="55"/>
      <c r="J1448" s="1729">
        <v>3111001</v>
      </c>
      <c r="K1448" s="58" t="s">
        <v>319</v>
      </c>
      <c r="L1448" s="141">
        <v>560000</v>
      </c>
      <c r="N1448" s="141">
        <f t="shared" si="22"/>
        <v>0</v>
      </c>
    </row>
    <row r="1449" spans="2:14">
      <c r="B1449" s="1723"/>
      <c r="C1449" s="1723"/>
      <c r="D1449" s="1724" t="s">
        <v>320</v>
      </c>
      <c r="E1449" s="1725"/>
      <c r="F1449" s="1659">
        <v>799987768.9000001</v>
      </c>
      <c r="H1449" s="1723"/>
      <c r="I1449" s="1723"/>
      <c r="J1449" s="1724" t="s">
        <v>320</v>
      </c>
      <c r="K1449" s="1725"/>
      <c r="L1449" s="1659">
        <v>799987768.9000001</v>
      </c>
      <c r="N1449" s="1659">
        <f t="shared" si="22"/>
        <v>0</v>
      </c>
    </row>
    <row r="1450" spans="2:14">
      <c r="B1450" s="1723"/>
      <c r="C1450" s="1723"/>
      <c r="D1450" s="1724" t="s">
        <v>321</v>
      </c>
      <c r="E1450" s="1725"/>
      <c r="F1450" s="141"/>
      <c r="H1450" s="1723"/>
      <c r="I1450" s="1723"/>
      <c r="J1450" s="1724" t="s">
        <v>321</v>
      </c>
      <c r="K1450" s="1725"/>
      <c r="L1450" s="141"/>
      <c r="N1450" s="141">
        <f t="shared" si="22"/>
        <v>0</v>
      </c>
    </row>
    <row r="1451" spans="2:14">
      <c r="B1451" s="55"/>
      <c r="C1451" s="55"/>
      <c r="D1451" s="1698"/>
      <c r="E1451" s="1727"/>
      <c r="F1451" s="141"/>
      <c r="H1451" s="55"/>
      <c r="I1451" s="55"/>
      <c r="J1451" s="1698"/>
      <c r="K1451" s="1727"/>
      <c r="L1451" s="141"/>
      <c r="N1451" s="141">
        <f t="shared" si="22"/>
        <v>0</v>
      </c>
    </row>
    <row r="1452" spans="2:14">
      <c r="B1452" s="1723"/>
      <c r="C1452" s="1723" t="s">
        <v>9</v>
      </c>
      <c r="D1452" s="1724" t="s">
        <v>322</v>
      </c>
      <c r="E1452" s="1725"/>
      <c r="F1452" s="141"/>
      <c r="H1452" s="1723"/>
      <c r="I1452" s="1723" t="s">
        <v>9</v>
      </c>
      <c r="J1452" s="1724" t="s">
        <v>322</v>
      </c>
      <c r="K1452" s="1725"/>
      <c r="L1452" s="141"/>
      <c r="N1452" s="141">
        <f t="shared" si="22"/>
        <v>0</v>
      </c>
    </row>
    <row r="1453" spans="2:14">
      <c r="B1453" s="1723" t="s">
        <v>144</v>
      </c>
      <c r="C1453" s="1723"/>
      <c r="D1453" s="1724" t="s">
        <v>323</v>
      </c>
      <c r="E1453" s="1725"/>
      <c r="F1453" s="141"/>
      <c r="H1453" s="1723" t="s">
        <v>144</v>
      </c>
      <c r="I1453" s="1723"/>
      <c r="J1453" s="1724" t="s">
        <v>323</v>
      </c>
      <c r="K1453" s="1725"/>
      <c r="L1453" s="141"/>
      <c r="N1453" s="141">
        <f t="shared" si="22"/>
        <v>0</v>
      </c>
    </row>
    <row r="1454" spans="2:14">
      <c r="B1454" s="1723"/>
      <c r="C1454" s="1723" t="s">
        <v>146</v>
      </c>
      <c r="D1454" s="1724" t="s">
        <v>324</v>
      </c>
      <c r="E1454" s="1725"/>
      <c r="F1454" s="141"/>
      <c r="H1454" s="1723"/>
      <c r="I1454" s="1723" t="s">
        <v>146</v>
      </c>
      <c r="J1454" s="1724" t="s">
        <v>324</v>
      </c>
      <c r="K1454" s="1725"/>
      <c r="L1454" s="141"/>
      <c r="N1454" s="141">
        <f t="shared" si="22"/>
        <v>0</v>
      </c>
    </row>
    <row r="1455" spans="2:14">
      <c r="B1455" s="55"/>
      <c r="C1455" s="55"/>
      <c r="D1455" s="1726">
        <v>2110100</v>
      </c>
      <c r="E1455" s="1727" t="s">
        <v>13</v>
      </c>
      <c r="F1455" s="1511">
        <v>0</v>
      </c>
      <c r="H1455" s="55"/>
      <c r="I1455" s="55"/>
      <c r="J1455" s="1728">
        <v>2110100</v>
      </c>
      <c r="K1455" s="1727" t="s">
        <v>13</v>
      </c>
      <c r="L1455" s="1511">
        <v>0</v>
      </c>
      <c r="N1455" s="1511">
        <f t="shared" si="22"/>
        <v>0</v>
      </c>
    </row>
    <row r="1456" spans="2:14">
      <c r="B1456" s="55"/>
      <c r="C1456" s="55"/>
      <c r="D1456" s="57">
        <v>2110101</v>
      </c>
      <c r="E1456" s="58" t="s">
        <v>14</v>
      </c>
      <c r="F1456" s="141">
        <v>0</v>
      </c>
      <c r="H1456" s="55"/>
      <c r="I1456" s="55"/>
      <c r="J1456" s="1729">
        <v>2110101</v>
      </c>
      <c r="K1456" s="58" t="s">
        <v>14</v>
      </c>
      <c r="L1456" s="141">
        <v>0</v>
      </c>
      <c r="N1456" s="141">
        <f t="shared" si="22"/>
        <v>0</v>
      </c>
    </row>
    <row r="1457" spans="2:14">
      <c r="B1457" s="55"/>
      <c r="C1457" s="55"/>
      <c r="D1457" s="1726">
        <v>2210200</v>
      </c>
      <c r="E1457" s="1727" t="s">
        <v>20</v>
      </c>
      <c r="F1457" s="1511">
        <v>423300</v>
      </c>
      <c r="H1457" s="55"/>
      <c r="I1457" s="55"/>
      <c r="J1457" s="1728">
        <v>2210200</v>
      </c>
      <c r="K1457" s="1727" t="s">
        <v>20</v>
      </c>
      <c r="L1457" s="1511">
        <v>423300</v>
      </c>
      <c r="N1457" s="1511">
        <f t="shared" si="22"/>
        <v>0</v>
      </c>
    </row>
    <row r="1458" spans="2:14">
      <c r="B1458" s="55"/>
      <c r="C1458" s="55"/>
      <c r="D1458" s="57">
        <v>2210201</v>
      </c>
      <c r="E1458" s="58" t="s">
        <v>187</v>
      </c>
      <c r="F1458" s="141">
        <v>423300</v>
      </c>
      <c r="H1458" s="55"/>
      <c r="I1458" s="55"/>
      <c r="J1458" s="1729">
        <v>2210201</v>
      </c>
      <c r="K1458" s="58" t="s">
        <v>187</v>
      </c>
      <c r="L1458" s="141">
        <v>423300</v>
      </c>
      <c r="N1458" s="141">
        <f t="shared" si="22"/>
        <v>0</v>
      </c>
    </row>
    <row r="1459" spans="2:14">
      <c r="B1459" s="55"/>
      <c r="C1459" s="55"/>
      <c r="D1459" s="1726">
        <v>2210300</v>
      </c>
      <c r="E1459" s="1727" t="s">
        <v>24</v>
      </c>
      <c r="F1459" s="1511">
        <v>2551550</v>
      </c>
      <c r="H1459" s="55"/>
      <c r="I1459" s="55"/>
      <c r="J1459" s="1728">
        <v>2210300</v>
      </c>
      <c r="K1459" s="1727" t="s">
        <v>24</v>
      </c>
      <c r="L1459" s="1511">
        <v>2551550</v>
      </c>
      <c r="N1459" s="1511">
        <f t="shared" si="22"/>
        <v>0</v>
      </c>
    </row>
    <row r="1460" spans="2:14">
      <c r="B1460" s="55"/>
      <c r="C1460" s="55"/>
      <c r="D1460" s="57">
        <v>2210301</v>
      </c>
      <c r="E1460" s="58" t="s">
        <v>188</v>
      </c>
      <c r="F1460" s="141">
        <v>681400</v>
      </c>
      <c r="H1460" s="55"/>
      <c r="I1460" s="55"/>
      <c r="J1460" s="1729">
        <v>2210301</v>
      </c>
      <c r="K1460" s="58" t="s">
        <v>188</v>
      </c>
      <c r="L1460" s="141">
        <v>681400</v>
      </c>
      <c r="N1460" s="141">
        <f t="shared" si="22"/>
        <v>0</v>
      </c>
    </row>
    <row r="1461" spans="2:14">
      <c r="B1461" s="55"/>
      <c r="C1461" s="55"/>
      <c r="D1461" s="57">
        <v>2210302</v>
      </c>
      <c r="E1461" s="58" t="s">
        <v>26</v>
      </c>
      <c r="F1461" s="141">
        <v>903200</v>
      </c>
      <c r="H1461" s="55"/>
      <c r="I1461" s="55"/>
      <c r="J1461" s="1729">
        <v>2210302</v>
      </c>
      <c r="K1461" s="58" t="s">
        <v>26</v>
      </c>
      <c r="L1461" s="141">
        <v>903200</v>
      </c>
      <c r="N1461" s="141">
        <f t="shared" si="22"/>
        <v>0</v>
      </c>
    </row>
    <row r="1462" spans="2:14">
      <c r="B1462" s="55"/>
      <c r="C1462" s="55"/>
      <c r="D1462" s="57">
        <v>2210303</v>
      </c>
      <c r="E1462" s="58" t="s">
        <v>223</v>
      </c>
      <c r="F1462" s="141">
        <v>966950</v>
      </c>
      <c r="H1462" s="55"/>
      <c r="I1462" s="55"/>
      <c r="J1462" s="1729">
        <v>2210303</v>
      </c>
      <c r="K1462" s="58" t="s">
        <v>223</v>
      </c>
      <c r="L1462" s="141">
        <v>966950</v>
      </c>
      <c r="N1462" s="141">
        <f t="shared" si="22"/>
        <v>0</v>
      </c>
    </row>
    <row r="1463" spans="2:14">
      <c r="B1463" s="55"/>
      <c r="C1463" s="55"/>
      <c r="D1463" s="1726">
        <v>2210400</v>
      </c>
      <c r="E1463" s="1727" t="s">
        <v>317</v>
      </c>
      <c r="F1463" s="1511">
        <v>790000</v>
      </c>
      <c r="H1463" s="55"/>
      <c r="I1463" s="55"/>
      <c r="J1463" s="1728">
        <v>2210400</v>
      </c>
      <c r="K1463" s="1727" t="s">
        <v>317</v>
      </c>
      <c r="L1463" s="1511">
        <v>790000</v>
      </c>
      <c r="N1463" s="1511">
        <f t="shared" si="22"/>
        <v>0</v>
      </c>
    </row>
    <row r="1464" spans="2:14">
      <c r="B1464" s="55"/>
      <c r="C1464" s="55"/>
      <c r="D1464" s="57">
        <v>2210401</v>
      </c>
      <c r="E1464" s="58" t="s">
        <v>190</v>
      </c>
      <c r="F1464" s="141">
        <v>333980</v>
      </c>
      <c r="H1464" s="55"/>
      <c r="I1464" s="55"/>
      <c r="J1464" s="1729">
        <v>2210401</v>
      </c>
      <c r="K1464" s="58" t="s">
        <v>190</v>
      </c>
      <c r="L1464" s="141">
        <v>333980</v>
      </c>
      <c r="N1464" s="141">
        <f t="shared" si="22"/>
        <v>0</v>
      </c>
    </row>
    <row r="1465" spans="2:14">
      <c r="B1465" s="55"/>
      <c r="C1465" s="55"/>
      <c r="D1465" s="57">
        <v>2210402</v>
      </c>
      <c r="E1465" s="58" t="s">
        <v>191</v>
      </c>
      <c r="F1465" s="141">
        <v>456020</v>
      </c>
      <c r="H1465" s="55"/>
      <c r="I1465" s="55"/>
      <c r="J1465" s="1729">
        <v>2210402</v>
      </c>
      <c r="K1465" s="58" t="s">
        <v>191</v>
      </c>
      <c r="L1465" s="141">
        <v>456020</v>
      </c>
      <c r="N1465" s="141">
        <f t="shared" si="22"/>
        <v>0</v>
      </c>
    </row>
    <row r="1466" spans="2:14">
      <c r="B1466" s="55"/>
      <c r="C1466" s="55"/>
      <c r="D1466" s="1726">
        <v>2210500</v>
      </c>
      <c r="E1466" s="1727" t="s">
        <v>31</v>
      </c>
      <c r="F1466" s="1511">
        <v>877444</v>
      </c>
      <c r="H1466" s="55"/>
      <c r="I1466" s="55"/>
      <c r="J1466" s="1728">
        <v>2210500</v>
      </c>
      <c r="K1466" s="1727" t="s">
        <v>31</v>
      </c>
      <c r="L1466" s="1511">
        <v>877444</v>
      </c>
      <c r="N1466" s="1511">
        <f t="shared" si="22"/>
        <v>0</v>
      </c>
    </row>
    <row r="1467" spans="2:14">
      <c r="B1467" s="55"/>
      <c r="C1467" s="55"/>
      <c r="D1467" s="57">
        <v>2210502</v>
      </c>
      <c r="E1467" s="58" t="s">
        <v>105</v>
      </c>
      <c r="F1467" s="141">
        <v>327281</v>
      </c>
      <c r="H1467" s="55"/>
      <c r="I1467" s="55"/>
      <c r="J1467" s="1729">
        <v>2210502</v>
      </c>
      <c r="K1467" s="58" t="s">
        <v>105</v>
      </c>
      <c r="L1467" s="141">
        <v>327281</v>
      </c>
      <c r="N1467" s="141">
        <f t="shared" si="22"/>
        <v>0</v>
      </c>
    </row>
    <row r="1468" spans="2:14">
      <c r="B1468" s="55"/>
      <c r="C1468" s="55"/>
      <c r="D1468" s="57">
        <v>2210503</v>
      </c>
      <c r="E1468" s="58" t="s">
        <v>32</v>
      </c>
      <c r="F1468" s="141">
        <v>208058</v>
      </c>
      <c r="H1468" s="55"/>
      <c r="I1468" s="55"/>
      <c r="J1468" s="1729">
        <v>2210503</v>
      </c>
      <c r="K1468" s="58" t="s">
        <v>32</v>
      </c>
      <c r="L1468" s="141">
        <v>208058</v>
      </c>
      <c r="N1468" s="141">
        <f t="shared" si="22"/>
        <v>0</v>
      </c>
    </row>
    <row r="1469" spans="2:14">
      <c r="B1469" s="55"/>
      <c r="C1469" s="55"/>
      <c r="D1469" s="57">
        <v>2210504</v>
      </c>
      <c r="E1469" s="58" t="s">
        <v>33</v>
      </c>
      <c r="F1469" s="141">
        <v>342105</v>
      </c>
      <c r="H1469" s="55"/>
      <c r="I1469" s="55"/>
      <c r="J1469" s="1729">
        <v>2210504</v>
      </c>
      <c r="K1469" s="58" t="s">
        <v>33</v>
      </c>
      <c r="L1469" s="141">
        <v>342105</v>
      </c>
      <c r="N1469" s="141">
        <f t="shared" si="22"/>
        <v>0</v>
      </c>
    </row>
    <row r="1470" spans="2:14">
      <c r="B1470" s="55"/>
      <c r="C1470" s="55"/>
      <c r="D1470" s="1726">
        <v>2210700</v>
      </c>
      <c r="E1470" s="1727" t="s">
        <v>35</v>
      </c>
      <c r="F1470" s="1511">
        <v>2956335</v>
      </c>
      <c r="H1470" s="55"/>
      <c r="I1470" s="55"/>
      <c r="J1470" s="1728">
        <v>2210700</v>
      </c>
      <c r="K1470" s="1727" t="s">
        <v>35</v>
      </c>
      <c r="L1470" s="1511">
        <v>2956335</v>
      </c>
      <c r="N1470" s="1511">
        <f t="shared" si="22"/>
        <v>0</v>
      </c>
    </row>
    <row r="1471" spans="2:14">
      <c r="B1471" s="55"/>
      <c r="C1471" s="55"/>
      <c r="D1471" s="57">
        <v>2210701</v>
      </c>
      <c r="E1471" s="58" t="s">
        <v>36</v>
      </c>
      <c r="F1471" s="141">
        <v>619050</v>
      </c>
      <c r="H1471" s="55"/>
      <c r="I1471" s="55"/>
      <c r="J1471" s="1729">
        <v>2210701</v>
      </c>
      <c r="K1471" s="58" t="s">
        <v>36</v>
      </c>
      <c r="L1471" s="141">
        <v>619050</v>
      </c>
      <c r="N1471" s="141">
        <f t="shared" si="22"/>
        <v>0</v>
      </c>
    </row>
    <row r="1472" spans="2:14">
      <c r="B1472" s="55"/>
      <c r="C1472" s="55"/>
      <c r="D1472" s="57">
        <v>2210703</v>
      </c>
      <c r="E1472" s="58" t="s">
        <v>107</v>
      </c>
      <c r="F1472" s="141">
        <v>323350</v>
      </c>
      <c r="H1472" s="55"/>
      <c r="I1472" s="55"/>
      <c r="J1472" s="1729">
        <v>2210703</v>
      </c>
      <c r="K1472" s="58" t="s">
        <v>107</v>
      </c>
      <c r="L1472" s="141">
        <v>323350</v>
      </c>
      <c r="N1472" s="141">
        <f t="shared" si="22"/>
        <v>0</v>
      </c>
    </row>
    <row r="1473" spans="2:14">
      <c r="B1473" s="55"/>
      <c r="C1473" s="55"/>
      <c r="D1473" s="57">
        <v>2210704</v>
      </c>
      <c r="E1473" s="58" t="s">
        <v>38</v>
      </c>
      <c r="F1473" s="141">
        <v>440895</v>
      </c>
      <c r="H1473" s="55"/>
      <c r="I1473" s="55"/>
      <c r="J1473" s="1729">
        <v>2210704</v>
      </c>
      <c r="K1473" s="58" t="s">
        <v>38</v>
      </c>
      <c r="L1473" s="141">
        <v>440895</v>
      </c>
      <c r="N1473" s="141">
        <f t="shared" si="22"/>
        <v>0</v>
      </c>
    </row>
    <row r="1474" spans="2:14">
      <c r="B1474" s="55"/>
      <c r="C1474" s="55"/>
      <c r="D1474" s="57">
        <v>2210710</v>
      </c>
      <c r="E1474" s="58" t="s">
        <v>39</v>
      </c>
      <c r="F1474" s="141">
        <v>973040</v>
      </c>
      <c r="H1474" s="55"/>
      <c r="I1474" s="55"/>
      <c r="J1474" s="1729">
        <v>2210710</v>
      </c>
      <c r="K1474" s="58" t="s">
        <v>39</v>
      </c>
      <c r="L1474" s="141">
        <v>973040</v>
      </c>
      <c r="N1474" s="141">
        <f t="shared" si="22"/>
        <v>0</v>
      </c>
    </row>
    <row r="1475" spans="2:14">
      <c r="B1475" s="55"/>
      <c r="C1475" s="55"/>
      <c r="D1475" s="57">
        <v>2210715</v>
      </c>
      <c r="E1475" s="58" t="s">
        <v>1446</v>
      </c>
      <c r="F1475" s="141">
        <v>600000</v>
      </c>
      <c r="H1475" s="55"/>
      <c r="I1475" s="55"/>
      <c r="J1475" s="1729">
        <v>2210715</v>
      </c>
      <c r="K1475" s="58" t="s">
        <v>1446</v>
      </c>
      <c r="L1475" s="141">
        <v>600000</v>
      </c>
      <c r="N1475" s="141">
        <f t="shared" si="22"/>
        <v>0</v>
      </c>
    </row>
    <row r="1476" spans="2:14">
      <c r="B1476" s="55"/>
      <c r="C1476" s="55"/>
      <c r="D1476" s="1726">
        <v>2210800</v>
      </c>
      <c r="E1476" s="1727" t="s">
        <v>42</v>
      </c>
      <c r="F1476" s="1511">
        <v>1125920</v>
      </c>
      <c r="H1476" s="55"/>
      <c r="I1476" s="55"/>
      <c r="J1476" s="1728">
        <v>2210800</v>
      </c>
      <c r="K1476" s="1727" t="s">
        <v>42</v>
      </c>
      <c r="L1476" s="1511">
        <v>1125920</v>
      </c>
      <c r="N1476" s="1511">
        <f t="shared" si="22"/>
        <v>0</v>
      </c>
    </row>
    <row r="1477" spans="2:14">
      <c r="B1477" s="55"/>
      <c r="C1477" s="55"/>
      <c r="D1477" s="57">
        <v>2210801</v>
      </c>
      <c r="E1477" s="58" t="s">
        <v>195</v>
      </c>
      <c r="F1477" s="141">
        <v>548290</v>
      </c>
      <c r="H1477" s="55"/>
      <c r="I1477" s="55"/>
      <c r="J1477" s="1729">
        <v>2210801</v>
      </c>
      <c r="K1477" s="58" t="s">
        <v>195</v>
      </c>
      <c r="L1477" s="141">
        <v>548290</v>
      </c>
      <c r="N1477" s="141">
        <f t="shared" si="22"/>
        <v>0</v>
      </c>
    </row>
    <row r="1478" spans="2:14">
      <c r="B1478" s="55"/>
      <c r="C1478" s="55"/>
      <c r="D1478" s="57">
        <v>2210802</v>
      </c>
      <c r="E1478" s="58" t="s">
        <v>45</v>
      </c>
      <c r="F1478" s="141">
        <v>577630</v>
      </c>
      <c r="H1478" s="55"/>
      <c r="I1478" s="55"/>
      <c r="J1478" s="1729">
        <v>2210802</v>
      </c>
      <c r="K1478" s="58" t="s">
        <v>45</v>
      </c>
      <c r="L1478" s="141">
        <v>577630</v>
      </c>
      <c r="N1478" s="141">
        <f t="shared" si="22"/>
        <v>0</v>
      </c>
    </row>
    <row r="1479" spans="2:14">
      <c r="B1479" s="55"/>
      <c r="C1479" s="55"/>
      <c r="D1479" s="1726">
        <v>2211100</v>
      </c>
      <c r="E1479" s="1727" t="s">
        <v>51</v>
      </c>
      <c r="F1479" s="1511">
        <v>1570638</v>
      </c>
      <c r="H1479" s="55"/>
      <c r="I1479" s="55"/>
      <c r="J1479" s="1728">
        <v>2211100</v>
      </c>
      <c r="K1479" s="1727" t="s">
        <v>51</v>
      </c>
      <c r="L1479" s="1511">
        <v>1570638</v>
      </c>
      <c r="N1479" s="1511">
        <f t="shared" si="22"/>
        <v>0</v>
      </c>
    </row>
    <row r="1480" spans="2:14">
      <c r="B1480" s="55"/>
      <c r="C1480" s="55"/>
      <c r="D1480" s="57">
        <v>2211101</v>
      </c>
      <c r="E1480" s="58" t="s">
        <v>289</v>
      </c>
      <c r="F1480" s="141">
        <v>639416</v>
      </c>
      <c r="H1480" s="55"/>
      <c r="I1480" s="55"/>
      <c r="J1480" s="1729">
        <v>2211101</v>
      </c>
      <c r="K1480" s="58" t="s">
        <v>289</v>
      </c>
      <c r="L1480" s="141">
        <v>639416</v>
      </c>
      <c r="N1480" s="141">
        <f t="shared" ref="N1480:N1543" si="23">F1480-L1480</f>
        <v>0</v>
      </c>
    </row>
    <row r="1481" spans="2:14">
      <c r="B1481" s="55"/>
      <c r="C1481" s="55"/>
      <c r="D1481" s="57">
        <v>2211102</v>
      </c>
      <c r="E1481" s="58" t="s">
        <v>53</v>
      </c>
      <c r="F1481" s="141">
        <v>674970</v>
      </c>
      <c r="H1481" s="55"/>
      <c r="I1481" s="55"/>
      <c r="J1481" s="1729">
        <v>2211102</v>
      </c>
      <c r="K1481" s="58" t="s">
        <v>53</v>
      </c>
      <c r="L1481" s="141">
        <v>674970</v>
      </c>
      <c r="N1481" s="141">
        <f t="shared" si="23"/>
        <v>0</v>
      </c>
    </row>
    <row r="1482" spans="2:14">
      <c r="B1482" s="55"/>
      <c r="C1482" s="55"/>
      <c r="D1482" s="57">
        <v>2211103</v>
      </c>
      <c r="E1482" s="58" t="s">
        <v>54</v>
      </c>
      <c r="F1482" s="141">
        <v>256252</v>
      </c>
      <c r="H1482" s="55"/>
      <c r="I1482" s="55"/>
      <c r="J1482" s="1729">
        <v>2211103</v>
      </c>
      <c r="K1482" s="58" t="s">
        <v>54</v>
      </c>
      <c r="L1482" s="141">
        <v>256252</v>
      </c>
      <c r="N1482" s="141">
        <f t="shared" si="23"/>
        <v>0</v>
      </c>
    </row>
    <row r="1483" spans="2:14">
      <c r="B1483" s="55"/>
      <c r="C1483" s="55"/>
      <c r="D1483" s="1726">
        <v>2211200</v>
      </c>
      <c r="E1483" s="1727" t="s">
        <v>55</v>
      </c>
      <c r="F1483" s="1511">
        <v>1829380</v>
      </c>
      <c r="H1483" s="55"/>
      <c r="I1483" s="55"/>
      <c r="J1483" s="1728">
        <v>2211200</v>
      </c>
      <c r="K1483" s="1727" t="s">
        <v>55</v>
      </c>
      <c r="L1483" s="1511">
        <v>1829380</v>
      </c>
      <c r="N1483" s="1511">
        <f t="shared" si="23"/>
        <v>0</v>
      </c>
    </row>
    <row r="1484" spans="2:14">
      <c r="B1484" s="55"/>
      <c r="C1484" s="55"/>
      <c r="D1484" s="57">
        <v>2211201</v>
      </c>
      <c r="E1484" s="58" t="s">
        <v>56</v>
      </c>
      <c r="F1484" s="141">
        <v>1829380</v>
      </c>
      <c r="H1484" s="55"/>
      <c r="I1484" s="55"/>
      <c r="J1484" s="1729">
        <v>2211201</v>
      </c>
      <c r="K1484" s="58" t="s">
        <v>56</v>
      </c>
      <c r="L1484" s="141">
        <v>1829380</v>
      </c>
      <c r="N1484" s="141">
        <f t="shared" si="23"/>
        <v>0</v>
      </c>
    </row>
    <row r="1485" spans="2:14">
      <c r="B1485" s="55"/>
      <c r="C1485" s="55"/>
      <c r="D1485" s="1726">
        <v>2211300</v>
      </c>
      <c r="E1485" s="1727" t="s">
        <v>57</v>
      </c>
      <c r="F1485" s="1511">
        <v>2943707</v>
      </c>
      <c r="H1485" s="55"/>
      <c r="I1485" s="55"/>
      <c r="J1485" s="1728">
        <v>2211300</v>
      </c>
      <c r="K1485" s="1727" t="s">
        <v>57</v>
      </c>
      <c r="L1485" s="1511">
        <v>2943707</v>
      </c>
      <c r="N1485" s="1511">
        <f t="shared" si="23"/>
        <v>0</v>
      </c>
    </row>
    <row r="1486" spans="2:14">
      <c r="B1486" s="55"/>
      <c r="C1486" s="55"/>
      <c r="D1486" s="57">
        <v>2210399</v>
      </c>
      <c r="E1486" s="58" t="s">
        <v>325</v>
      </c>
      <c r="F1486" s="1730">
        <v>2693707</v>
      </c>
      <c r="H1486" s="55"/>
      <c r="I1486" s="55"/>
      <c r="J1486" s="1729">
        <v>2210399</v>
      </c>
      <c r="K1486" s="58" t="s">
        <v>325</v>
      </c>
      <c r="L1486" s="1730">
        <v>2693707</v>
      </c>
      <c r="N1486" s="1730">
        <f t="shared" si="23"/>
        <v>0</v>
      </c>
    </row>
    <row r="1487" spans="2:14">
      <c r="B1487" s="55"/>
      <c r="C1487" s="55"/>
      <c r="D1487" s="57">
        <v>2211306</v>
      </c>
      <c r="E1487" s="58" t="s">
        <v>1447</v>
      </c>
      <c r="F1487" s="141">
        <v>250000</v>
      </c>
      <c r="H1487" s="55"/>
      <c r="I1487" s="55"/>
      <c r="J1487" s="1729">
        <v>2211306</v>
      </c>
      <c r="K1487" s="58" t="s">
        <v>1447</v>
      </c>
      <c r="L1487" s="141">
        <v>250000</v>
      </c>
      <c r="N1487" s="141">
        <f t="shared" si="23"/>
        <v>0</v>
      </c>
    </row>
    <row r="1488" spans="2:14">
      <c r="B1488" s="55"/>
      <c r="C1488" s="55"/>
      <c r="D1488" s="1726">
        <v>2220100</v>
      </c>
      <c r="E1488" s="1727" t="s">
        <v>62</v>
      </c>
      <c r="F1488" s="1511">
        <v>1300000</v>
      </c>
      <c r="H1488" s="55"/>
      <c r="I1488" s="55"/>
      <c r="J1488" s="1728">
        <v>2220100</v>
      </c>
      <c r="K1488" s="1727" t="s">
        <v>62</v>
      </c>
      <c r="L1488" s="1511">
        <v>1300000</v>
      </c>
      <c r="N1488" s="1511">
        <f t="shared" si="23"/>
        <v>0</v>
      </c>
    </row>
    <row r="1489" spans="2:14">
      <c r="B1489" s="55"/>
      <c r="C1489" s="55"/>
      <c r="D1489" s="57">
        <v>2220101</v>
      </c>
      <c r="E1489" s="58" t="s">
        <v>200</v>
      </c>
      <c r="F1489" s="141">
        <v>1300000</v>
      </c>
      <c r="H1489" s="55"/>
      <c r="I1489" s="55"/>
      <c r="J1489" s="1729">
        <v>2220101</v>
      </c>
      <c r="K1489" s="58" t="s">
        <v>200</v>
      </c>
      <c r="L1489" s="141">
        <v>1300000</v>
      </c>
      <c r="N1489" s="141">
        <f t="shared" si="23"/>
        <v>0</v>
      </c>
    </row>
    <row r="1490" spans="2:14">
      <c r="B1490" s="55"/>
      <c r="C1490" s="55"/>
      <c r="D1490" s="1726">
        <v>2220200</v>
      </c>
      <c r="E1490" s="1727" t="s">
        <v>124</v>
      </c>
      <c r="F1490" s="1511">
        <v>800000</v>
      </c>
      <c r="H1490" s="55"/>
      <c r="I1490" s="55"/>
      <c r="J1490" s="1728">
        <v>2220200</v>
      </c>
      <c r="K1490" s="1727" t="s">
        <v>124</v>
      </c>
      <c r="L1490" s="1511">
        <v>800000</v>
      </c>
      <c r="N1490" s="1511">
        <f t="shared" si="23"/>
        <v>0</v>
      </c>
    </row>
    <row r="1491" spans="2:14">
      <c r="B1491" s="55"/>
      <c r="C1491" s="55"/>
      <c r="D1491" s="57">
        <v>2220205</v>
      </c>
      <c r="E1491" s="58" t="s">
        <v>125</v>
      </c>
      <c r="F1491" s="141">
        <v>800000</v>
      </c>
      <c r="H1491" s="55"/>
      <c r="I1491" s="55"/>
      <c r="J1491" s="1729">
        <v>2220205</v>
      </c>
      <c r="K1491" s="58" t="s">
        <v>125</v>
      </c>
      <c r="L1491" s="141">
        <v>800000</v>
      </c>
      <c r="N1491" s="141">
        <f t="shared" si="23"/>
        <v>0</v>
      </c>
    </row>
    <row r="1492" spans="2:14">
      <c r="B1492" s="55"/>
      <c r="C1492" s="55"/>
      <c r="D1492" s="55" t="s">
        <v>88</v>
      </c>
      <c r="E1492" s="1518" t="s">
        <v>89</v>
      </c>
      <c r="F1492" s="1530">
        <v>90000000</v>
      </c>
      <c r="H1492" s="55"/>
      <c r="I1492" s="55"/>
      <c r="J1492" s="55" t="s">
        <v>88</v>
      </c>
      <c r="K1492" s="1518" t="s">
        <v>89</v>
      </c>
      <c r="L1492" s="1530">
        <v>90000000</v>
      </c>
      <c r="N1492" s="1530">
        <f t="shared" si="23"/>
        <v>0</v>
      </c>
    </row>
    <row r="1493" spans="2:14">
      <c r="B1493" s="55"/>
      <c r="C1493" s="55"/>
      <c r="D1493" s="19">
        <v>2640101</v>
      </c>
      <c r="E1493" s="20" t="s">
        <v>1818</v>
      </c>
      <c r="F1493" s="139">
        <v>86400000</v>
      </c>
      <c r="H1493" s="55"/>
      <c r="I1493" s="55"/>
      <c r="J1493" s="19">
        <v>2640101</v>
      </c>
      <c r="K1493" s="20" t="s">
        <v>1818</v>
      </c>
      <c r="L1493" s="139">
        <v>86400000</v>
      </c>
      <c r="N1493" s="139">
        <f t="shared" si="23"/>
        <v>0</v>
      </c>
    </row>
    <row r="1494" spans="2:14">
      <c r="B1494" s="55"/>
      <c r="C1494" s="55"/>
      <c r="D1494" s="19">
        <v>2640101</v>
      </c>
      <c r="E1494" s="20" t="s">
        <v>1817</v>
      </c>
      <c r="F1494" s="139">
        <v>3600000</v>
      </c>
      <c r="H1494" s="55"/>
      <c r="I1494" s="55"/>
      <c r="J1494" s="19">
        <v>2640101</v>
      </c>
      <c r="K1494" s="20" t="s">
        <v>1817</v>
      </c>
      <c r="L1494" s="139">
        <v>3600000</v>
      </c>
      <c r="N1494" s="139">
        <f t="shared" si="23"/>
        <v>0</v>
      </c>
    </row>
    <row r="1495" spans="2:14">
      <c r="B1495" s="55"/>
      <c r="C1495" s="55"/>
      <c r="D1495" s="1726">
        <v>3111400</v>
      </c>
      <c r="E1495" s="1584" t="s">
        <v>126</v>
      </c>
      <c r="F1495" s="1511">
        <v>1631727.1465964832</v>
      </c>
      <c r="H1495" s="55"/>
      <c r="I1495" s="55"/>
      <c r="J1495" s="1728">
        <v>3111400</v>
      </c>
      <c r="K1495" s="1584" t="s">
        <v>126</v>
      </c>
      <c r="L1495" s="1511">
        <v>1631727.1465964832</v>
      </c>
      <c r="N1495" s="1511">
        <f t="shared" si="23"/>
        <v>0</v>
      </c>
    </row>
    <row r="1496" spans="2:14">
      <c r="B1496" s="55"/>
      <c r="C1496" s="55"/>
      <c r="D1496" s="57">
        <v>3111401</v>
      </c>
      <c r="E1496" s="58" t="s">
        <v>1448</v>
      </c>
      <c r="F1496" s="141">
        <v>1631727.1465964832</v>
      </c>
      <c r="H1496" s="55"/>
      <c r="I1496" s="55"/>
      <c r="J1496" s="1729">
        <v>3111401</v>
      </c>
      <c r="K1496" s="58" t="s">
        <v>1448</v>
      </c>
      <c r="L1496" s="141">
        <v>1631727.1465964832</v>
      </c>
      <c r="N1496" s="141">
        <f t="shared" si="23"/>
        <v>0</v>
      </c>
    </row>
    <row r="1497" spans="2:14">
      <c r="B1497" s="55"/>
      <c r="C1497" s="55"/>
      <c r="D1497" s="1726">
        <v>3111000</v>
      </c>
      <c r="E1497" s="1727" t="s">
        <v>69</v>
      </c>
      <c r="F1497" s="1731">
        <v>2272001</v>
      </c>
      <c r="H1497" s="55"/>
      <c r="I1497" s="55"/>
      <c r="J1497" s="1728">
        <v>3111000</v>
      </c>
      <c r="K1497" s="1727" t="s">
        <v>69</v>
      </c>
      <c r="L1497" s="1731">
        <v>2272001</v>
      </c>
      <c r="N1497" s="1731">
        <f t="shared" si="23"/>
        <v>0</v>
      </c>
    </row>
    <row r="1498" spans="2:14" ht="30">
      <c r="B1498" s="55"/>
      <c r="C1498" s="55"/>
      <c r="D1498" s="57">
        <v>3111002</v>
      </c>
      <c r="E1498" s="58" t="s">
        <v>1449</v>
      </c>
      <c r="F1498" s="141">
        <v>2272001</v>
      </c>
      <c r="H1498" s="55"/>
      <c r="I1498" s="55"/>
      <c r="J1498" s="1729">
        <v>3111002</v>
      </c>
      <c r="K1498" s="58" t="s">
        <v>1449</v>
      </c>
      <c r="L1498" s="141">
        <v>2272001</v>
      </c>
      <c r="N1498" s="141">
        <f t="shared" si="23"/>
        <v>0</v>
      </c>
    </row>
    <row r="1499" spans="2:14">
      <c r="B1499" s="1723"/>
      <c r="C1499" s="1723"/>
      <c r="D1499" s="1732" t="s">
        <v>295</v>
      </c>
      <c r="E1499" s="1725"/>
      <c r="F1499" s="1659">
        <v>111072002.14659648</v>
      </c>
      <c r="H1499" s="1723"/>
      <c r="I1499" s="1723"/>
      <c r="J1499" s="1733" t="s">
        <v>295</v>
      </c>
      <c r="K1499" s="1725"/>
      <c r="L1499" s="1659">
        <v>111072002.14659648</v>
      </c>
      <c r="N1499" s="1659">
        <f t="shared" si="23"/>
        <v>0</v>
      </c>
    </row>
    <row r="1500" spans="2:14">
      <c r="B1500" s="55"/>
      <c r="C1500" s="55"/>
      <c r="D1500" s="1726"/>
      <c r="E1500" s="1727"/>
      <c r="F1500" s="141"/>
      <c r="H1500" s="55"/>
      <c r="I1500" s="55"/>
      <c r="J1500" s="1728"/>
      <c r="K1500" s="1727"/>
      <c r="L1500" s="141"/>
      <c r="N1500" s="141">
        <f t="shared" si="23"/>
        <v>0</v>
      </c>
    </row>
    <row r="1501" spans="2:14">
      <c r="B1501" s="55"/>
      <c r="C1501" s="55"/>
      <c r="D1501" s="1726" t="s">
        <v>92</v>
      </c>
      <c r="E1501" s="1727"/>
      <c r="F1501" s="141"/>
      <c r="H1501" s="55"/>
      <c r="I1501" s="55"/>
      <c r="J1501" s="1728" t="s">
        <v>92</v>
      </c>
      <c r="K1501" s="1727"/>
      <c r="L1501" s="141"/>
      <c r="N1501" s="141">
        <f t="shared" si="23"/>
        <v>0</v>
      </c>
    </row>
    <row r="1502" spans="2:14">
      <c r="B1502" s="55"/>
      <c r="C1502" s="55"/>
      <c r="D1502" s="1726">
        <v>3110200</v>
      </c>
      <c r="E1502" s="1727" t="s">
        <v>79</v>
      </c>
      <c r="F1502" s="1511">
        <v>4737122.859149212</v>
      </c>
      <c r="H1502" s="55"/>
      <c r="I1502" s="55"/>
      <c r="J1502" s="1728">
        <v>3110200</v>
      </c>
      <c r="K1502" s="1727" t="s">
        <v>79</v>
      </c>
      <c r="L1502" s="1511">
        <v>4737122.859149212</v>
      </c>
      <c r="N1502" s="1511">
        <f t="shared" si="23"/>
        <v>0</v>
      </c>
    </row>
    <row r="1503" spans="2:14">
      <c r="B1503" s="55"/>
      <c r="C1503" s="55"/>
      <c r="D1503" s="57">
        <v>3110203</v>
      </c>
      <c r="E1503" s="58" t="s">
        <v>1450</v>
      </c>
      <c r="F1503" s="1734">
        <v>4737122.859149212</v>
      </c>
      <c r="H1503" s="55"/>
      <c r="I1503" s="55"/>
      <c r="J1503" s="1729">
        <v>3110203</v>
      </c>
      <c r="K1503" s="58" t="s">
        <v>1450</v>
      </c>
      <c r="L1503" s="1734">
        <v>4737122.859149212</v>
      </c>
      <c r="N1503" s="1734">
        <f t="shared" si="23"/>
        <v>0</v>
      </c>
    </row>
    <row r="1504" spans="2:14">
      <c r="B1504" s="55"/>
      <c r="C1504" s="55"/>
      <c r="D1504" s="1726">
        <v>3111100</v>
      </c>
      <c r="E1504" s="1727" t="s">
        <v>326</v>
      </c>
      <c r="F1504" s="1511">
        <v>13423575</v>
      </c>
      <c r="H1504" s="55"/>
      <c r="I1504" s="55"/>
      <c r="J1504" s="1728">
        <v>3111100</v>
      </c>
      <c r="K1504" s="1727" t="s">
        <v>326</v>
      </c>
      <c r="L1504" s="1511">
        <v>13423575</v>
      </c>
      <c r="N1504" s="1511">
        <f t="shared" si="23"/>
        <v>0</v>
      </c>
    </row>
    <row r="1505" spans="2:14">
      <c r="B1505" s="55"/>
      <c r="C1505" s="55"/>
      <c r="D1505" s="57">
        <v>3111101</v>
      </c>
      <c r="E1505" s="58" t="s">
        <v>327</v>
      </c>
      <c r="F1505" s="141">
        <v>3600000</v>
      </c>
      <c r="H1505" s="55"/>
      <c r="I1505" s="55"/>
      <c r="J1505" s="1729">
        <v>3111101</v>
      </c>
      <c r="K1505" s="58" t="s">
        <v>327</v>
      </c>
      <c r="L1505" s="141">
        <v>3600000</v>
      </c>
      <c r="N1505" s="141">
        <f t="shared" si="23"/>
        <v>0</v>
      </c>
    </row>
    <row r="1506" spans="2:14" ht="30">
      <c r="B1506" s="55"/>
      <c r="C1506" s="55"/>
      <c r="D1506" s="57">
        <v>3111109</v>
      </c>
      <c r="E1506" s="58" t="s">
        <v>328</v>
      </c>
      <c r="F1506" s="141">
        <v>9823575</v>
      </c>
      <c r="H1506" s="55"/>
      <c r="I1506" s="55"/>
      <c r="J1506" s="1729">
        <v>3111109</v>
      </c>
      <c r="K1506" s="58" t="s">
        <v>328</v>
      </c>
      <c r="L1506" s="141">
        <v>9823575</v>
      </c>
      <c r="N1506" s="141">
        <f t="shared" si="23"/>
        <v>0</v>
      </c>
    </row>
    <row r="1507" spans="2:14">
      <c r="B1507" s="55"/>
      <c r="C1507" s="55"/>
      <c r="D1507" s="57">
        <v>3111120</v>
      </c>
      <c r="E1507" s="58" t="s">
        <v>1451</v>
      </c>
      <c r="F1507" s="141">
        <v>0</v>
      </c>
      <c r="H1507" s="55"/>
      <c r="I1507" s="55"/>
      <c r="J1507" s="1729">
        <v>3111120</v>
      </c>
      <c r="K1507" s="58" t="s">
        <v>1451</v>
      </c>
      <c r="L1507" s="141">
        <v>0</v>
      </c>
      <c r="N1507" s="141">
        <f t="shared" si="23"/>
        <v>0</v>
      </c>
    </row>
    <row r="1508" spans="2:14">
      <c r="B1508" s="55"/>
      <c r="C1508" s="55"/>
      <c r="D1508" s="57">
        <v>3111401</v>
      </c>
      <c r="E1508" s="58" t="s">
        <v>1250</v>
      </c>
      <c r="F1508" s="141">
        <v>0</v>
      </c>
      <c r="H1508" s="55"/>
      <c r="I1508" s="55"/>
      <c r="J1508" s="1729">
        <v>3111401</v>
      </c>
      <c r="K1508" s="58" t="s">
        <v>1250</v>
      </c>
      <c r="L1508" s="141">
        <v>0</v>
      </c>
      <c r="N1508" s="141">
        <f t="shared" si="23"/>
        <v>0</v>
      </c>
    </row>
    <row r="1509" spans="2:14">
      <c r="B1509" s="55"/>
      <c r="C1509" s="55"/>
      <c r="D1509" s="55" t="s">
        <v>88</v>
      </c>
      <c r="E1509" s="1518" t="s">
        <v>89</v>
      </c>
      <c r="F1509" s="1530">
        <v>30000000</v>
      </c>
      <c r="H1509" s="55"/>
      <c r="I1509" s="55"/>
      <c r="J1509" s="55" t="s">
        <v>88</v>
      </c>
      <c r="K1509" s="1518" t="s">
        <v>89</v>
      </c>
      <c r="L1509" s="1530">
        <v>30000000</v>
      </c>
      <c r="N1509" s="1530">
        <f t="shared" si="23"/>
        <v>0</v>
      </c>
    </row>
    <row r="1510" spans="2:14" ht="30">
      <c r="B1510" s="55"/>
      <c r="C1510" s="55"/>
      <c r="D1510" s="19">
        <v>2640101</v>
      </c>
      <c r="E1510" s="20" t="s">
        <v>1819</v>
      </c>
      <c r="F1510" s="139">
        <v>30000000</v>
      </c>
      <c r="H1510" s="55"/>
      <c r="I1510" s="55"/>
      <c r="J1510" s="19">
        <v>2640101</v>
      </c>
      <c r="K1510" s="20" t="s">
        <v>1819</v>
      </c>
      <c r="L1510" s="139">
        <v>30000000</v>
      </c>
      <c r="N1510" s="139">
        <f t="shared" si="23"/>
        <v>0</v>
      </c>
    </row>
    <row r="1511" spans="2:14">
      <c r="B1511" s="1723"/>
      <c r="C1511" s="1723"/>
      <c r="D1511" s="1732" t="s">
        <v>329</v>
      </c>
      <c r="E1511" s="1725"/>
      <c r="F1511" s="1659">
        <v>48160697.85914921</v>
      </c>
      <c r="H1511" s="1723"/>
      <c r="I1511" s="1723"/>
      <c r="J1511" s="1733" t="s">
        <v>329</v>
      </c>
      <c r="K1511" s="1725"/>
      <c r="L1511" s="1659">
        <v>48160697.85914921</v>
      </c>
      <c r="N1511" s="1659">
        <f t="shared" si="23"/>
        <v>0</v>
      </c>
    </row>
    <row r="1512" spans="2:14">
      <c r="B1512" s="1723"/>
      <c r="C1512" s="1723"/>
      <c r="D1512" s="1724" t="s">
        <v>330</v>
      </c>
      <c r="E1512" s="1725"/>
      <c r="F1512" s="1659">
        <v>159232700.00574568</v>
      </c>
      <c r="H1512" s="1723"/>
      <c r="I1512" s="1723"/>
      <c r="J1512" s="1724" t="s">
        <v>330</v>
      </c>
      <c r="K1512" s="1725"/>
      <c r="L1512" s="1659">
        <v>159232700.00574568</v>
      </c>
      <c r="N1512" s="1659">
        <f t="shared" si="23"/>
        <v>0</v>
      </c>
    </row>
    <row r="1513" spans="2:14">
      <c r="B1513" s="55"/>
      <c r="C1513" s="55"/>
      <c r="D1513" s="1726"/>
      <c r="E1513" s="1727"/>
      <c r="F1513" s="141"/>
      <c r="H1513" s="55"/>
      <c r="I1513" s="55"/>
      <c r="J1513" s="1728"/>
      <c r="K1513" s="1727"/>
      <c r="L1513" s="141"/>
      <c r="N1513" s="141">
        <f t="shared" si="23"/>
        <v>0</v>
      </c>
    </row>
    <row r="1514" spans="2:14">
      <c r="B1514" s="1723"/>
      <c r="C1514" s="1723" t="s">
        <v>100</v>
      </c>
      <c r="D1514" s="1732" t="s">
        <v>331</v>
      </c>
      <c r="E1514" s="1725"/>
      <c r="F1514" s="141"/>
      <c r="H1514" s="1723"/>
      <c r="I1514" s="1723" t="s">
        <v>100</v>
      </c>
      <c r="J1514" s="1733" t="s">
        <v>331</v>
      </c>
      <c r="K1514" s="1725"/>
      <c r="L1514" s="141"/>
      <c r="N1514" s="141">
        <f t="shared" si="23"/>
        <v>0</v>
      </c>
    </row>
    <row r="1515" spans="2:14">
      <c r="B1515" s="1723"/>
      <c r="C1515" s="1723"/>
      <c r="D1515" s="1724" t="s">
        <v>332</v>
      </c>
      <c r="E1515" s="1725"/>
      <c r="F1515" s="141"/>
      <c r="H1515" s="1723"/>
      <c r="I1515" s="1723"/>
      <c r="J1515" s="1724" t="s">
        <v>332</v>
      </c>
      <c r="K1515" s="1725"/>
      <c r="L1515" s="141"/>
      <c r="N1515" s="141">
        <f t="shared" si="23"/>
        <v>0</v>
      </c>
    </row>
    <row r="1516" spans="2:14">
      <c r="B1516" s="1723"/>
      <c r="C1516" s="1723"/>
      <c r="D1516" s="1724" t="s">
        <v>333</v>
      </c>
      <c r="E1516" s="1725"/>
      <c r="F1516" s="141"/>
      <c r="H1516" s="1723"/>
      <c r="I1516" s="1723"/>
      <c r="J1516" s="1724" t="s">
        <v>333</v>
      </c>
      <c r="K1516" s="1725"/>
      <c r="L1516" s="141"/>
      <c r="N1516" s="141">
        <f t="shared" si="23"/>
        <v>0</v>
      </c>
    </row>
    <row r="1517" spans="2:14">
      <c r="B1517" s="1723"/>
      <c r="C1517" s="1723"/>
      <c r="D1517" s="1724" t="s">
        <v>334</v>
      </c>
      <c r="E1517" s="1725"/>
      <c r="F1517" s="141"/>
      <c r="H1517" s="1723"/>
      <c r="I1517" s="1723"/>
      <c r="J1517" s="1724" t="s">
        <v>334</v>
      </c>
      <c r="K1517" s="1725"/>
      <c r="L1517" s="141"/>
      <c r="N1517" s="141">
        <f t="shared" si="23"/>
        <v>0</v>
      </c>
    </row>
    <row r="1518" spans="2:14">
      <c r="B1518" s="1723"/>
      <c r="C1518" s="1723"/>
      <c r="D1518" s="1726">
        <v>2110100</v>
      </c>
      <c r="E1518" s="1727" t="s">
        <v>13</v>
      </c>
      <c r="F1518" s="1731">
        <v>4500000</v>
      </c>
      <c r="H1518" s="1723"/>
      <c r="I1518" s="1723"/>
      <c r="J1518" s="1728">
        <v>2110100</v>
      </c>
      <c r="K1518" s="1727" t="s">
        <v>13</v>
      </c>
      <c r="L1518" s="1731">
        <v>4500000</v>
      </c>
      <c r="N1518" s="1731">
        <f t="shared" si="23"/>
        <v>0</v>
      </c>
    </row>
    <row r="1519" spans="2:14">
      <c r="B1519" s="1723"/>
      <c r="C1519" s="1723"/>
      <c r="D1519" s="57">
        <v>2110101</v>
      </c>
      <c r="E1519" s="58" t="s">
        <v>1822</v>
      </c>
      <c r="F1519" s="141">
        <v>4500000</v>
      </c>
      <c r="H1519" s="1723"/>
      <c r="I1519" s="1723"/>
      <c r="J1519" s="1729">
        <v>2110101</v>
      </c>
      <c r="K1519" s="58" t="s">
        <v>1822</v>
      </c>
      <c r="L1519" s="141">
        <v>4500000</v>
      </c>
      <c r="N1519" s="141">
        <f t="shared" si="23"/>
        <v>0</v>
      </c>
    </row>
    <row r="1520" spans="2:14">
      <c r="B1520" s="55"/>
      <c r="C1520" s="55"/>
      <c r="D1520" s="1545">
        <v>2110200</v>
      </c>
      <c r="E1520" s="1510" t="s">
        <v>335</v>
      </c>
      <c r="F1520" s="1731">
        <v>0</v>
      </c>
      <c r="H1520" s="55"/>
      <c r="I1520" s="55"/>
      <c r="J1520" s="1545">
        <v>2110200</v>
      </c>
      <c r="K1520" s="1510" t="s">
        <v>335</v>
      </c>
      <c r="L1520" s="1731">
        <v>0</v>
      </c>
      <c r="N1520" s="1731">
        <f t="shared" si="23"/>
        <v>0</v>
      </c>
    </row>
    <row r="1521" spans="2:14">
      <c r="B1521" s="55"/>
      <c r="C1521" s="55"/>
      <c r="D1521" s="1735">
        <v>2110202</v>
      </c>
      <c r="E1521" s="1616" t="s">
        <v>336</v>
      </c>
      <c r="F1521" s="1736"/>
      <c r="H1521" s="55"/>
      <c r="I1521" s="55"/>
      <c r="J1521" s="1735">
        <v>2110202</v>
      </c>
      <c r="K1521" s="1616" t="s">
        <v>336</v>
      </c>
      <c r="L1521" s="1736"/>
      <c r="N1521" s="1736">
        <f t="shared" si="23"/>
        <v>0</v>
      </c>
    </row>
    <row r="1522" spans="2:14">
      <c r="B1522" s="55"/>
      <c r="C1522" s="55"/>
      <c r="D1522" s="1726">
        <v>2210200</v>
      </c>
      <c r="E1522" s="1727" t="s">
        <v>20</v>
      </c>
      <c r="F1522" s="1511">
        <v>855160</v>
      </c>
      <c r="H1522" s="55"/>
      <c r="I1522" s="55"/>
      <c r="J1522" s="1728">
        <v>2210200</v>
      </c>
      <c r="K1522" s="1727" t="s">
        <v>20</v>
      </c>
      <c r="L1522" s="1511">
        <v>855160</v>
      </c>
      <c r="N1522" s="1511">
        <f t="shared" si="23"/>
        <v>0</v>
      </c>
    </row>
    <row r="1523" spans="2:14">
      <c r="B1523" s="55"/>
      <c r="C1523" s="55"/>
      <c r="D1523" s="57">
        <v>2210201</v>
      </c>
      <c r="E1523" s="58" t="s">
        <v>187</v>
      </c>
      <c r="F1523" s="141">
        <v>480000</v>
      </c>
      <c r="H1523" s="55"/>
      <c r="I1523" s="55"/>
      <c r="J1523" s="1729">
        <v>2210201</v>
      </c>
      <c r="K1523" s="58" t="s">
        <v>187</v>
      </c>
      <c r="L1523" s="141">
        <v>480000</v>
      </c>
      <c r="N1523" s="141">
        <f t="shared" si="23"/>
        <v>0</v>
      </c>
    </row>
    <row r="1524" spans="2:14">
      <c r="B1524" s="55"/>
      <c r="C1524" s="55"/>
      <c r="D1524" s="57">
        <v>2210202</v>
      </c>
      <c r="E1524" s="58" t="s">
        <v>22</v>
      </c>
      <c r="F1524" s="141">
        <v>340360</v>
      </c>
      <c r="H1524" s="55"/>
      <c r="I1524" s="55"/>
      <c r="J1524" s="1729">
        <v>2210202</v>
      </c>
      <c r="K1524" s="58" t="s">
        <v>22</v>
      </c>
      <c r="L1524" s="141">
        <v>340360</v>
      </c>
      <c r="N1524" s="141">
        <f t="shared" si="23"/>
        <v>0</v>
      </c>
    </row>
    <row r="1525" spans="2:14">
      <c r="B1525" s="55"/>
      <c r="C1525" s="55"/>
      <c r="D1525" s="57">
        <v>2210203</v>
      </c>
      <c r="E1525" s="58" t="s">
        <v>23</v>
      </c>
      <c r="F1525" s="141">
        <v>34800</v>
      </c>
      <c r="H1525" s="55"/>
      <c r="I1525" s="55"/>
      <c r="J1525" s="1729">
        <v>2210203</v>
      </c>
      <c r="K1525" s="58" t="s">
        <v>23</v>
      </c>
      <c r="L1525" s="141">
        <v>34800</v>
      </c>
      <c r="N1525" s="141">
        <f t="shared" si="23"/>
        <v>0</v>
      </c>
    </row>
    <row r="1526" spans="2:14">
      <c r="B1526" s="55"/>
      <c r="C1526" s="55"/>
      <c r="D1526" s="1726">
        <v>2210300</v>
      </c>
      <c r="E1526" s="1727" t="s">
        <v>24</v>
      </c>
      <c r="F1526" s="1511">
        <v>2096463.6800000002</v>
      </c>
      <c r="H1526" s="55"/>
      <c r="I1526" s="55"/>
      <c r="J1526" s="1728">
        <v>2210300</v>
      </c>
      <c r="K1526" s="1727" t="s">
        <v>24</v>
      </c>
      <c r="L1526" s="1511">
        <v>2096463.6800000002</v>
      </c>
      <c r="N1526" s="1511">
        <f t="shared" si="23"/>
        <v>0</v>
      </c>
    </row>
    <row r="1527" spans="2:14">
      <c r="B1527" s="55"/>
      <c r="C1527" s="55"/>
      <c r="D1527" s="57">
        <v>2210301</v>
      </c>
      <c r="E1527" s="58" t="s">
        <v>188</v>
      </c>
      <c r="F1527" s="141">
        <v>591500</v>
      </c>
      <c r="H1527" s="55"/>
      <c r="I1527" s="55"/>
      <c r="J1527" s="1729">
        <v>2210301</v>
      </c>
      <c r="K1527" s="58" t="s">
        <v>188</v>
      </c>
      <c r="L1527" s="141">
        <v>591500</v>
      </c>
      <c r="N1527" s="141">
        <f t="shared" si="23"/>
        <v>0</v>
      </c>
    </row>
    <row r="1528" spans="2:14">
      <c r="B1528" s="55"/>
      <c r="C1528" s="55"/>
      <c r="D1528" s="57">
        <v>2210302</v>
      </c>
      <c r="E1528" s="58" t="s">
        <v>26</v>
      </c>
      <c r="F1528" s="141">
        <v>600843.68000000005</v>
      </c>
      <c r="H1528" s="55"/>
      <c r="I1528" s="55"/>
      <c r="J1528" s="1729">
        <v>2210302</v>
      </c>
      <c r="K1528" s="58" t="s">
        <v>26</v>
      </c>
      <c r="L1528" s="141">
        <v>600843.68000000005</v>
      </c>
      <c r="N1528" s="141">
        <f t="shared" si="23"/>
        <v>0</v>
      </c>
    </row>
    <row r="1529" spans="2:14">
      <c r="B1529" s="55"/>
      <c r="C1529" s="55"/>
      <c r="D1529" s="57">
        <v>2210303</v>
      </c>
      <c r="E1529" s="58" t="s">
        <v>223</v>
      </c>
      <c r="F1529" s="141">
        <v>664000</v>
      </c>
      <c r="H1529" s="55"/>
      <c r="I1529" s="55"/>
      <c r="J1529" s="1729">
        <v>2210303</v>
      </c>
      <c r="K1529" s="58" t="s">
        <v>223</v>
      </c>
      <c r="L1529" s="141">
        <v>664000</v>
      </c>
      <c r="N1529" s="141">
        <f t="shared" si="23"/>
        <v>0</v>
      </c>
    </row>
    <row r="1530" spans="2:14">
      <c r="B1530" s="55"/>
      <c r="C1530" s="55"/>
      <c r="D1530" s="57">
        <v>2211399</v>
      </c>
      <c r="E1530" s="1737" t="s">
        <v>57</v>
      </c>
      <c r="F1530" s="141">
        <v>240120</v>
      </c>
      <c r="H1530" s="55"/>
      <c r="I1530" s="55"/>
      <c r="J1530" s="1729">
        <v>2211399</v>
      </c>
      <c r="K1530" s="1737" t="s">
        <v>57</v>
      </c>
      <c r="L1530" s="141">
        <v>240120</v>
      </c>
      <c r="N1530" s="141">
        <f t="shared" si="23"/>
        <v>0</v>
      </c>
    </row>
    <row r="1531" spans="2:14">
      <c r="B1531" s="55"/>
      <c r="C1531" s="55"/>
      <c r="D1531" s="1726">
        <v>2210400</v>
      </c>
      <c r="E1531" s="1727" t="s">
        <v>317</v>
      </c>
      <c r="F1531" s="1511">
        <v>810000</v>
      </c>
      <c r="H1531" s="55"/>
      <c r="I1531" s="55"/>
      <c r="J1531" s="1728">
        <v>2210400</v>
      </c>
      <c r="K1531" s="1727" t="s">
        <v>317</v>
      </c>
      <c r="L1531" s="1511">
        <v>810000</v>
      </c>
      <c r="N1531" s="1511">
        <f t="shared" si="23"/>
        <v>0</v>
      </c>
    </row>
    <row r="1532" spans="2:14">
      <c r="B1532" s="55"/>
      <c r="C1532" s="55"/>
      <c r="D1532" s="57">
        <v>2210401</v>
      </c>
      <c r="E1532" s="58" t="s">
        <v>190</v>
      </c>
      <c r="F1532" s="141">
        <v>353980</v>
      </c>
      <c r="H1532" s="55"/>
      <c r="I1532" s="55"/>
      <c r="J1532" s="1729">
        <v>2210401</v>
      </c>
      <c r="K1532" s="58" t="s">
        <v>190</v>
      </c>
      <c r="L1532" s="141">
        <v>353980</v>
      </c>
      <c r="N1532" s="141">
        <f t="shared" si="23"/>
        <v>0</v>
      </c>
    </row>
    <row r="1533" spans="2:14">
      <c r="B1533" s="55"/>
      <c r="C1533" s="55"/>
      <c r="D1533" s="57">
        <v>2210402</v>
      </c>
      <c r="E1533" s="58" t="s">
        <v>191</v>
      </c>
      <c r="F1533" s="141">
        <v>456020</v>
      </c>
      <c r="H1533" s="55"/>
      <c r="I1533" s="55"/>
      <c r="J1533" s="1729">
        <v>2210402</v>
      </c>
      <c r="K1533" s="58" t="s">
        <v>191</v>
      </c>
      <c r="L1533" s="141">
        <v>456020</v>
      </c>
      <c r="N1533" s="141">
        <f t="shared" si="23"/>
        <v>0</v>
      </c>
    </row>
    <row r="1534" spans="2:14">
      <c r="B1534" s="55"/>
      <c r="C1534" s="55"/>
      <c r="D1534" s="1726">
        <v>2210500</v>
      </c>
      <c r="E1534" s="1727" t="s">
        <v>31</v>
      </c>
      <c r="F1534" s="1511">
        <v>1652293</v>
      </c>
      <c r="H1534" s="55"/>
      <c r="I1534" s="55"/>
      <c r="J1534" s="1728">
        <v>2210500</v>
      </c>
      <c r="K1534" s="1727" t="s">
        <v>31</v>
      </c>
      <c r="L1534" s="1511">
        <v>1652293</v>
      </c>
      <c r="N1534" s="1511">
        <f t="shared" si="23"/>
        <v>0</v>
      </c>
    </row>
    <row r="1535" spans="2:14">
      <c r="B1535" s="55"/>
      <c r="C1535" s="55"/>
      <c r="D1535" s="57">
        <v>2210502</v>
      </c>
      <c r="E1535" s="58" t="s">
        <v>105</v>
      </c>
      <c r="F1535" s="141">
        <v>309620</v>
      </c>
      <c r="H1535" s="55"/>
      <c r="I1535" s="55"/>
      <c r="J1535" s="1729">
        <v>2210502</v>
      </c>
      <c r="K1535" s="58" t="s">
        <v>105</v>
      </c>
      <c r="L1535" s="141">
        <v>309620</v>
      </c>
      <c r="N1535" s="141">
        <f t="shared" si="23"/>
        <v>0</v>
      </c>
    </row>
    <row r="1536" spans="2:14">
      <c r="B1536" s="55"/>
      <c r="C1536" s="55"/>
      <c r="D1536" s="57">
        <v>2210503</v>
      </c>
      <c r="E1536" s="58" t="s">
        <v>32</v>
      </c>
      <c r="F1536" s="141">
        <v>158000</v>
      </c>
      <c r="H1536" s="55"/>
      <c r="I1536" s="55"/>
      <c r="J1536" s="1729">
        <v>2210503</v>
      </c>
      <c r="K1536" s="58" t="s">
        <v>32</v>
      </c>
      <c r="L1536" s="141">
        <v>158000</v>
      </c>
      <c r="N1536" s="141">
        <f t="shared" si="23"/>
        <v>0</v>
      </c>
    </row>
    <row r="1537" spans="2:14" ht="30">
      <c r="B1537" s="55"/>
      <c r="C1537" s="55"/>
      <c r="D1537" s="57">
        <v>2210505</v>
      </c>
      <c r="E1537" s="58" t="s">
        <v>1452</v>
      </c>
      <c r="F1537" s="141">
        <v>584673</v>
      </c>
      <c r="H1537" s="55"/>
      <c r="I1537" s="55"/>
      <c r="J1537" s="1729">
        <v>2210505</v>
      </c>
      <c r="K1537" s="58" t="s">
        <v>1452</v>
      </c>
      <c r="L1537" s="141">
        <v>584673</v>
      </c>
      <c r="N1537" s="141">
        <f t="shared" si="23"/>
        <v>0</v>
      </c>
    </row>
    <row r="1538" spans="2:14">
      <c r="B1538" s="55"/>
      <c r="C1538" s="55"/>
      <c r="D1538" s="57">
        <v>2210505</v>
      </c>
      <c r="E1538" s="58" t="s">
        <v>192</v>
      </c>
      <c r="F1538" s="141">
        <v>600000</v>
      </c>
      <c r="H1538" s="55"/>
      <c r="I1538" s="55"/>
      <c r="J1538" s="1729">
        <v>2210505</v>
      </c>
      <c r="K1538" s="58" t="s">
        <v>192</v>
      </c>
      <c r="L1538" s="141">
        <v>600000</v>
      </c>
      <c r="N1538" s="141">
        <f t="shared" si="23"/>
        <v>0</v>
      </c>
    </row>
    <row r="1539" spans="2:14">
      <c r="B1539" s="55"/>
      <c r="C1539" s="55"/>
      <c r="D1539" s="1726">
        <v>2210700</v>
      </c>
      <c r="E1539" s="1727" t="s">
        <v>35</v>
      </c>
      <c r="F1539" s="1511">
        <v>3870290</v>
      </c>
      <c r="H1539" s="55"/>
      <c r="I1539" s="55"/>
      <c r="J1539" s="1728">
        <v>2210700</v>
      </c>
      <c r="K1539" s="1727" t="s">
        <v>35</v>
      </c>
      <c r="L1539" s="1511">
        <v>3870290</v>
      </c>
      <c r="N1539" s="1511">
        <f t="shared" si="23"/>
        <v>0</v>
      </c>
    </row>
    <row r="1540" spans="2:14">
      <c r="B1540" s="55"/>
      <c r="C1540" s="55"/>
      <c r="D1540" s="57">
        <v>2210701</v>
      </c>
      <c r="E1540" s="58" t="s">
        <v>337</v>
      </c>
      <c r="F1540" s="141">
        <v>690000</v>
      </c>
      <c r="H1540" s="55"/>
      <c r="I1540" s="55"/>
      <c r="J1540" s="1729">
        <v>2210701</v>
      </c>
      <c r="K1540" s="58" t="s">
        <v>337</v>
      </c>
      <c r="L1540" s="141">
        <v>690000</v>
      </c>
      <c r="N1540" s="141">
        <f t="shared" si="23"/>
        <v>0</v>
      </c>
    </row>
    <row r="1541" spans="2:14">
      <c r="B1541" s="55"/>
      <c r="C1541" s="55"/>
      <c r="D1541" s="57">
        <v>2210703</v>
      </c>
      <c r="E1541" s="58" t="s">
        <v>107</v>
      </c>
      <c r="F1541" s="141">
        <v>632290</v>
      </c>
      <c r="H1541" s="55"/>
      <c r="I1541" s="55"/>
      <c r="J1541" s="1729">
        <v>2210703</v>
      </c>
      <c r="K1541" s="58" t="s">
        <v>107</v>
      </c>
      <c r="L1541" s="141">
        <v>632290</v>
      </c>
      <c r="N1541" s="141">
        <f t="shared" si="23"/>
        <v>0</v>
      </c>
    </row>
    <row r="1542" spans="2:14">
      <c r="B1542" s="55"/>
      <c r="C1542" s="55"/>
      <c r="D1542" s="57">
        <v>2210712</v>
      </c>
      <c r="E1542" s="58" t="s">
        <v>339</v>
      </c>
      <c r="F1542" s="141">
        <v>848000</v>
      </c>
      <c r="H1542" s="55"/>
      <c r="I1542" s="55"/>
      <c r="J1542" s="1729">
        <v>2210712</v>
      </c>
      <c r="K1542" s="58" t="s">
        <v>339</v>
      </c>
      <c r="L1542" s="141">
        <v>848000</v>
      </c>
      <c r="N1542" s="141">
        <f t="shared" si="23"/>
        <v>0</v>
      </c>
    </row>
    <row r="1543" spans="2:14">
      <c r="B1543" s="55"/>
      <c r="C1543" s="55"/>
      <c r="D1543" s="57">
        <v>2210799</v>
      </c>
      <c r="E1543" s="58" t="s">
        <v>340</v>
      </c>
      <c r="F1543" s="141">
        <v>1700000</v>
      </c>
      <c r="H1543" s="55"/>
      <c r="I1543" s="55"/>
      <c r="J1543" s="1729">
        <v>2210799</v>
      </c>
      <c r="K1543" s="58" t="s">
        <v>340</v>
      </c>
      <c r="L1543" s="141">
        <v>1700000</v>
      </c>
      <c r="N1543" s="141">
        <f t="shared" si="23"/>
        <v>0</v>
      </c>
    </row>
    <row r="1544" spans="2:14">
      <c r="B1544" s="55"/>
      <c r="C1544" s="55"/>
      <c r="D1544" s="1726">
        <v>2210800</v>
      </c>
      <c r="E1544" s="1727" t="s">
        <v>42</v>
      </c>
      <c r="F1544" s="1511">
        <v>2404000</v>
      </c>
      <c r="H1544" s="55"/>
      <c r="I1544" s="55"/>
      <c r="J1544" s="1728">
        <v>2210800</v>
      </c>
      <c r="K1544" s="1727" t="s">
        <v>42</v>
      </c>
      <c r="L1544" s="1511">
        <v>2404000</v>
      </c>
      <c r="N1544" s="1511">
        <f t="shared" ref="N1544:N1607" si="24">F1544-L1544</f>
        <v>0</v>
      </c>
    </row>
    <row r="1545" spans="2:14">
      <c r="B1545" s="55"/>
      <c r="C1545" s="55"/>
      <c r="D1545" s="57">
        <v>2210801</v>
      </c>
      <c r="E1545" s="58" t="s">
        <v>195</v>
      </c>
      <c r="F1545" s="141">
        <v>864000</v>
      </c>
      <c r="H1545" s="55"/>
      <c r="I1545" s="55"/>
      <c r="J1545" s="1729">
        <v>2210801</v>
      </c>
      <c r="K1545" s="58" t="s">
        <v>195</v>
      </c>
      <c r="L1545" s="141">
        <v>864000</v>
      </c>
      <c r="N1545" s="141">
        <f t="shared" si="24"/>
        <v>0</v>
      </c>
    </row>
    <row r="1546" spans="2:14" ht="30">
      <c r="B1546" s="55"/>
      <c r="C1546" s="55"/>
      <c r="D1546" s="57">
        <v>2210802</v>
      </c>
      <c r="E1546" s="58" t="s">
        <v>1453</v>
      </c>
      <c r="F1546" s="141">
        <v>1540000</v>
      </c>
      <c r="H1546" s="55"/>
      <c r="I1546" s="55"/>
      <c r="J1546" s="1729">
        <v>2210802</v>
      </c>
      <c r="K1546" s="58" t="s">
        <v>1453</v>
      </c>
      <c r="L1546" s="141">
        <v>1540000</v>
      </c>
      <c r="N1546" s="141">
        <f t="shared" si="24"/>
        <v>0</v>
      </c>
    </row>
    <row r="1547" spans="2:14">
      <c r="B1547" s="55"/>
      <c r="C1547" s="55"/>
      <c r="D1547" s="1726">
        <v>2211100</v>
      </c>
      <c r="E1547" s="1727" t="s">
        <v>51</v>
      </c>
      <c r="F1547" s="1511">
        <v>1494000</v>
      </c>
      <c r="H1547" s="55"/>
      <c r="I1547" s="55"/>
      <c r="J1547" s="1728">
        <v>2211100</v>
      </c>
      <c r="K1547" s="1727" t="s">
        <v>51</v>
      </c>
      <c r="L1547" s="1511">
        <v>1494000</v>
      </c>
      <c r="N1547" s="1511">
        <f t="shared" si="24"/>
        <v>0</v>
      </c>
    </row>
    <row r="1548" spans="2:14">
      <c r="B1548" s="55"/>
      <c r="C1548" s="55"/>
      <c r="D1548" s="57">
        <v>2211101</v>
      </c>
      <c r="E1548" s="58" t="s">
        <v>289</v>
      </c>
      <c r="F1548" s="1513">
        <v>600000</v>
      </c>
      <c r="H1548" s="55"/>
      <c r="I1548" s="55"/>
      <c r="J1548" s="1729">
        <v>2211101</v>
      </c>
      <c r="K1548" s="58" t="s">
        <v>289</v>
      </c>
      <c r="L1548" s="1513">
        <v>600000</v>
      </c>
      <c r="N1548" s="1513">
        <f t="shared" si="24"/>
        <v>0</v>
      </c>
    </row>
    <row r="1549" spans="2:14">
      <c r="B1549" s="55"/>
      <c r="C1549" s="55"/>
      <c r="D1549" s="57">
        <v>2211102</v>
      </c>
      <c r="E1549" s="58" t="s">
        <v>53</v>
      </c>
      <c r="F1549" s="141">
        <v>648000</v>
      </c>
      <c r="H1549" s="55"/>
      <c r="I1549" s="55"/>
      <c r="J1549" s="1729">
        <v>2211102</v>
      </c>
      <c r="K1549" s="58" t="s">
        <v>53</v>
      </c>
      <c r="L1549" s="141">
        <v>648000</v>
      </c>
      <c r="N1549" s="141">
        <f t="shared" si="24"/>
        <v>0</v>
      </c>
    </row>
    <row r="1550" spans="2:14">
      <c r="B1550" s="55"/>
      <c r="C1550" s="55"/>
      <c r="D1550" s="57">
        <v>2211103</v>
      </c>
      <c r="E1550" s="58" t="s">
        <v>54</v>
      </c>
      <c r="F1550" s="141">
        <v>246000</v>
      </c>
      <c r="H1550" s="55"/>
      <c r="I1550" s="55"/>
      <c r="J1550" s="1729">
        <v>2211103</v>
      </c>
      <c r="K1550" s="58" t="s">
        <v>54</v>
      </c>
      <c r="L1550" s="141">
        <v>246000</v>
      </c>
      <c r="N1550" s="141">
        <f t="shared" si="24"/>
        <v>0</v>
      </c>
    </row>
    <row r="1551" spans="2:14">
      <c r="B1551" s="55"/>
      <c r="C1551" s="55"/>
      <c r="D1551" s="1726">
        <v>2211200</v>
      </c>
      <c r="E1551" s="1738" t="s">
        <v>55</v>
      </c>
      <c r="F1551" s="1511">
        <v>1854000</v>
      </c>
      <c r="H1551" s="55"/>
      <c r="I1551" s="55"/>
      <c r="J1551" s="1728">
        <v>2211200</v>
      </c>
      <c r="K1551" s="1738" t="s">
        <v>55</v>
      </c>
      <c r="L1551" s="1511">
        <v>1854000</v>
      </c>
      <c r="N1551" s="1511">
        <f t="shared" si="24"/>
        <v>0</v>
      </c>
    </row>
    <row r="1552" spans="2:14">
      <c r="B1552" s="55"/>
      <c r="C1552" s="55"/>
      <c r="D1552" s="57">
        <v>2211201</v>
      </c>
      <c r="E1552" s="1737" t="s">
        <v>56</v>
      </c>
      <c r="F1552" s="141">
        <v>1854000</v>
      </c>
      <c r="H1552" s="55"/>
      <c r="I1552" s="55"/>
      <c r="J1552" s="1729">
        <v>2211201</v>
      </c>
      <c r="K1552" s="1737" t="s">
        <v>56</v>
      </c>
      <c r="L1552" s="141">
        <v>1854000</v>
      </c>
      <c r="N1552" s="141">
        <f t="shared" si="24"/>
        <v>0</v>
      </c>
    </row>
    <row r="1553" spans="2:14">
      <c r="B1553" s="55"/>
      <c r="C1553" s="55"/>
      <c r="D1553" s="1726">
        <v>2211300</v>
      </c>
      <c r="E1553" s="1727" t="s">
        <v>57</v>
      </c>
      <c r="F1553" s="1511">
        <v>236000</v>
      </c>
      <c r="H1553" s="55"/>
      <c r="I1553" s="55"/>
      <c r="J1553" s="1728">
        <v>2211300</v>
      </c>
      <c r="K1553" s="1727" t="s">
        <v>57</v>
      </c>
      <c r="L1553" s="1511">
        <v>236000</v>
      </c>
      <c r="N1553" s="1511">
        <f t="shared" si="24"/>
        <v>0</v>
      </c>
    </row>
    <row r="1554" spans="2:14">
      <c r="B1554" s="55"/>
      <c r="C1554" s="55"/>
      <c r="D1554" s="57">
        <v>2211306</v>
      </c>
      <c r="E1554" s="58" t="s">
        <v>1447</v>
      </c>
      <c r="F1554" s="141">
        <v>236000</v>
      </c>
      <c r="H1554" s="55"/>
      <c r="I1554" s="55"/>
      <c r="J1554" s="1729">
        <v>2211306</v>
      </c>
      <c r="K1554" s="58" t="s">
        <v>1447</v>
      </c>
      <c r="L1554" s="141">
        <v>236000</v>
      </c>
      <c r="N1554" s="141">
        <f t="shared" si="24"/>
        <v>0</v>
      </c>
    </row>
    <row r="1555" spans="2:14">
      <c r="B1555" s="55"/>
      <c r="C1555" s="55"/>
      <c r="D1555" s="1726">
        <v>2220100</v>
      </c>
      <c r="E1555" s="1727" t="s">
        <v>62</v>
      </c>
      <c r="F1555" s="1511">
        <v>1247473.6000000001</v>
      </c>
      <c r="H1555" s="55"/>
      <c r="I1555" s="55"/>
      <c r="J1555" s="1728">
        <v>2220100</v>
      </c>
      <c r="K1555" s="1727" t="s">
        <v>62</v>
      </c>
      <c r="L1555" s="1511">
        <v>1247473.6000000001</v>
      </c>
      <c r="N1555" s="1511">
        <f t="shared" si="24"/>
        <v>0</v>
      </c>
    </row>
    <row r="1556" spans="2:14">
      <c r="B1556" s="55"/>
      <c r="C1556" s="55"/>
      <c r="D1556" s="57">
        <v>2220101</v>
      </c>
      <c r="E1556" s="58" t="s">
        <v>200</v>
      </c>
      <c r="F1556" s="141">
        <v>1247473.6000000001</v>
      </c>
      <c r="H1556" s="55"/>
      <c r="I1556" s="55"/>
      <c r="J1556" s="1729">
        <v>2220101</v>
      </c>
      <c r="K1556" s="58" t="s">
        <v>200</v>
      </c>
      <c r="L1556" s="141">
        <v>1247473.6000000001</v>
      </c>
      <c r="N1556" s="141">
        <f t="shared" si="24"/>
        <v>0</v>
      </c>
    </row>
    <row r="1557" spans="2:14">
      <c r="B1557" s="55"/>
      <c r="C1557" s="55"/>
      <c r="D1557" s="1726">
        <v>2220200</v>
      </c>
      <c r="E1557" s="1727" t="s">
        <v>124</v>
      </c>
      <c r="F1557" s="1511">
        <v>1085980</v>
      </c>
      <c r="H1557" s="55"/>
      <c r="I1557" s="55"/>
      <c r="J1557" s="1728">
        <v>2220200</v>
      </c>
      <c r="K1557" s="1727" t="s">
        <v>124</v>
      </c>
      <c r="L1557" s="1511">
        <v>1085980</v>
      </c>
      <c r="N1557" s="1511">
        <f t="shared" si="24"/>
        <v>0</v>
      </c>
    </row>
    <row r="1558" spans="2:14">
      <c r="B1558" s="55"/>
      <c r="C1558" s="55"/>
      <c r="D1558" s="57">
        <v>2220205</v>
      </c>
      <c r="E1558" s="58" t="s">
        <v>125</v>
      </c>
      <c r="F1558" s="141">
        <v>1085980</v>
      </c>
      <c r="H1558" s="55"/>
      <c r="I1558" s="55"/>
      <c r="J1558" s="1729">
        <v>2220205</v>
      </c>
      <c r="K1558" s="58" t="s">
        <v>125</v>
      </c>
      <c r="L1558" s="141">
        <v>1085980</v>
      </c>
      <c r="N1558" s="141">
        <f t="shared" si="24"/>
        <v>0</v>
      </c>
    </row>
    <row r="1559" spans="2:14">
      <c r="B1559" s="55"/>
      <c r="C1559" s="55"/>
      <c r="D1559" s="1726">
        <v>3111000</v>
      </c>
      <c r="E1559" s="1738" t="s">
        <v>341</v>
      </c>
      <c r="F1559" s="1511">
        <v>1006000</v>
      </c>
      <c r="H1559" s="55"/>
      <c r="I1559" s="55"/>
      <c r="J1559" s="1728">
        <v>3111000</v>
      </c>
      <c r="K1559" s="1738" t="s">
        <v>341</v>
      </c>
      <c r="L1559" s="1511">
        <v>1006000</v>
      </c>
      <c r="N1559" s="1511">
        <f t="shared" si="24"/>
        <v>0</v>
      </c>
    </row>
    <row r="1560" spans="2:14">
      <c r="B1560" s="55"/>
      <c r="C1560" s="55"/>
      <c r="D1560" s="57">
        <v>3111002</v>
      </c>
      <c r="E1560" s="58" t="s">
        <v>342</v>
      </c>
      <c r="F1560" s="141">
        <v>500000</v>
      </c>
      <c r="H1560" s="55"/>
      <c r="I1560" s="55"/>
      <c r="J1560" s="1729">
        <v>3111002</v>
      </c>
      <c r="K1560" s="58" t="s">
        <v>342</v>
      </c>
      <c r="L1560" s="141">
        <v>500000</v>
      </c>
      <c r="N1560" s="141">
        <f t="shared" si="24"/>
        <v>0</v>
      </c>
    </row>
    <row r="1561" spans="2:14">
      <c r="B1561" s="55"/>
      <c r="C1561" s="55"/>
      <c r="D1561" s="57">
        <v>3111009</v>
      </c>
      <c r="E1561" s="58" t="s">
        <v>343</v>
      </c>
      <c r="F1561" s="141">
        <v>506000</v>
      </c>
      <c r="H1561" s="55"/>
      <c r="I1561" s="55"/>
      <c r="J1561" s="1729">
        <v>3111009</v>
      </c>
      <c r="K1561" s="58" t="s">
        <v>343</v>
      </c>
      <c r="L1561" s="141">
        <v>506000</v>
      </c>
      <c r="N1561" s="141">
        <f t="shared" si="24"/>
        <v>0</v>
      </c>
    </row>
    <row r="1562" spans="2:14">
      <c r="B1562" s="55"/>
      <c r="C1562" s="55"/>
      <c r="D1562" s="1726">
        <v>3111400</v>
      </c>
      <c r="E1562" s="1584" t="s">
        <v>126</v>
      </c>
      <c r="F1562" s="1511">
        <v>1500000</v>
      </c>
      <c r="H1562" s="55"/>
      <c r="I1562" s="55"/>
      <c r="J1562" s="1728">
        <v>3111400</v>
      </c>
      <c r="K1562" s="1584" t="s">
        <v>126</v>
      </c>
      <c r="L1562" s="1511">
        <v>1500000</v>
      </c>
      <c r="N1562" s="1511">
        <f t="shared" si="24"/>
        <v>0</v>
      </c>
    </row>
    <row r="1563" spans="2:14" ht="30">
      <c r="B1563" s="55"/>
      <c r="C1563" s="55"/>
      <c r="D1563" s="57">
        <v>3111401</v>
      </c>
      <c r="E1563" s="58" t="s">
        <v>344</v>
      </c>
      <c r="F1563" s="141">
        <v>1500000</v>
      </c>
      <c r="H1563" s="55"/>
      <c r="I1563" s="55"/>
      <c r="J1563" s="1729">
        <v>3111401</v>
      </c>
      <c r="K1563" s="58" t="s">
        <v>344</v>
      </c>
      <c r="L1563" s="141">
        <v>1500000</v>
      </c>
      <c r="N1563" s="141">
        <f t="shared" si="24"/>
        <v>0</v>
      </c>
    </row>
    <row r="1564" spans="2:14">
      <c r="B1564" s="1723"/>
      <c r="C1564" s="1723"/>
      <c r="D1564" s="1732" t="s">
        <v>99</v>
      </c>
      <c r="E1564" s="1725"/>
      <c r="F1564" s="1659">
        <v>24611660.280000001</v>
      </c>
      <c r="H1564" s="1723"/>
      <c r="I1564" s="1723"/>
      <c r="J1564" s="1733" t="s">
        <v>99</v>
      </c>
      <c r="K1564" s="1725"/>
      <c r="L1564" s="1659">
        <v>24611660.280000001</v>
      </c>
      <c r="N1564" s="1659">
        <f t="shared" si="24"/>
        <v>0</v>
      </c>
    </row>
    <row r="1565" spans="2:14">
      <c r="B1565" s="55"/>
      <c r="C1565" s="55"/>
      <c r="D1565" s="1726"/>
      <c r="E1565" s="1727"/>
      <c r="F1565" s="141"/>
      <c r="H1565" s="55"/>
      <c r="I1565" s="55"/>
      <c r="J1565" s="1728"/>
      <c r="K1565" s="1727"/>
      <c r="L1565" s="141"/>
      <c r="N1565" s="141">
        <f t="shared" si="24"/>
        <v>0</v>
      </c>
    </row>
    <row r="1566" spans="2:14">
      <c r="B1566" s="55"/>
      <c r="C1566" s="55"/>
      <c r="D1566" s="61"/>
      <c r="E1566" s="1739" t="s">
        <v>92</v>
      </c>
      <c r="F1566" s="141"/>
      <c r="H1566" s="55"/>
      <c r="I1566" s="55"/>
      <c r="J1566" s="61"/>
      <c r="K1566" s="1740" t="s">
        <v>92</v>
      </c>
      <c r="L1566" s="141"/>
      <c r="N1566" s="141">
        <f t="shared" si="24"/>
        <v>0</v>
      </c>
    </row>
    <row r="1567" spans="2:14">
      <c r="B1567" s="55"/>
      <c r="C1567" s="55"/>
      <c r="D1567" s="1726">
        <v>3110500</v>
      </c>
      <c r="E1567" s="1727" t="s">
        <v>345</v>
      </c>
      <c r="F1567" s="1511">
        <v>2625207.12</v>
      </c>
      <c r="H1567" s="55"/>
      <c r="I1567" s="55"/>
      <c r="J1567" s="1728">
        <v>3110500</v>
      </c>
      <c r="K1567" s="1727" t="s">
        <v>345</v>
      </c>
      <c r="L1567" s="1511">
        <v>2625207.12</v>
      </c>
      <c r="N1567" s="1511">
        <f t="shared" si="24"/>
        <v>0</v>
      </c>
    </row>
    <row r="1568" spans="2:14">
      <c r="B1568" s="55"/>
      <c r="C1568" s="55"/>
      <c r="D1568" s="57">
        <v>3110504</v>
      </c>
      <c r="E1568" s="58" t="s">
        <v>346</v>
      </c>
      <c r="F1568" s="141">
        <v>2625207.12</v>
      </c>
      <c r="H1568" s="55"/>
      <c r="I1568" s="55"/>
      <c r="J1568" s="1729">
        <v>3110504</v>
      </c>
      <c r="K1568" s="58" t="s">
        <v>346</v>
      </c>
      <c r="L1568" s="141">
        <v>2625207.12</v>
      </c>
      <c r="N1568" s="141">
        <f t="shared" si="24"/>
        <v>0</v>
      </c>
    </row>
    <row r="1569" spans="2:14">
      <c r="B1569" s="55"/>
      <c r="C1569" s="55"/>
      <c r="D1569" s="1741">
        <v>3111100</v>
      </c>
      <c r="E1569" s="1742" t="s">
        <v>326</v>
      </c>
      <c r="F1569" s="1743">
        <v>11195588</v>
      </c>
      <c r="H1569" s="55"/>
      <c r="I1569" s="55"/>
      <c r="J1569" s="1744">
        <v>3111100</v>
      </c>
      <c r="K1569" s="1742" t="s">
        <v>326</v>
      </c>
      <c r="L1569" s="1743">
        <v>11195588</v>
      </c>
      <c r="N1569" s="1743">
        <f t="shared" si="24"/>
        <v>0</v>
      </c>
    </row>
    <row r="1570" spans="2:14">
      <c r="B1570" s="55"/>
      <c r="C1570" s="55"/>
      <c r="D1570" s="57">
        <v>3111101</v>
      </c>
      <c r="E1570" s="58" t="s">
        <v>1454</v>
      </c>
      <c r="F1570" s="1734">
        <v>2000000</v>
      </c>
      <c r="H1570" s="55"/>
      <c r="I1570" s="55"/>
      <c r="J1570" s="1729">
        <v>3111101</v>
      </c>
      <c r="K1570" s="58" t="s">
        <v>1454</v>
      </c>
      <c r="L1570" s="1734">
        <v>2000000</v>
      </c>
      <c r="N1570" s="1734">
        <f t="shared" si="24"/>
        <v>0</v>
      </c>
    </row>
    <row r="1571" spans="2:14">
      <c r="B1571" s="55"/>
      <c r="C1571" s="55"/>
      <c r="D1571" s="1745">
        <v>3111101</v>
      </c>
      <c r="E1571" s="1746" t="s">
        <v>347</v>
      </c>
      <c r="F1571" s="1747">
        <v>3000000</v>
      </c>
      <c r="H1571" s="55"/>
      <c r="I1571" s="55"/>
      <c r="J1571" s="1748">
        <v>3111101</v>
      </c>
      <c r="K1571" s="1746" t="s">
        <v>347</v>
      </c>
      <c r="L1571" s="1747">
        <v>3000000</v>
      </c>
      <c r="N1571" s="1747">
        <f t="shared" si="24"/>
        <v>0</v>
      </c>
    </row>
    <row r="1572" spans="2:14">
      <c r="B1572" s="55"/>
      <c r="C1572" s="55"/>
      <c r="D1572" s="57">
        <v>3111101</v>
      </c>
      <c r="E1572" s="58" t="s">
        <v>348</v>
      </c>
      <c r="F1572" s="141">
        <v>6128843</v>
      </c>
      <c r="H1572" s="55"/>
      <c r="I1572" s="55"/>
      <c r="J1572" s="1729">
        <v>3111101</v>
      </c>
      <c r="K1572" s="58" t="s">
        <v>348</v>
      </c>
      <c r="L1572" s="141">
        <v>6128843</v>
      </c>
      <c r="N1572" s="141">
        <f t="shared" si="24"/>
        <v>0</v>
      </c>
    </row>
    <row r="1573" spans="2:14">
      <c r="B1573" s="55"/>
      <c r="C1573" s="55"/>
      <c r="D1573" s="57">
        <v>3111101</v>
      </c>
      <c r="E1573" s="58" t="s">
        <v>1455</v>
      </c>
      <c r="F1573" s="141">
        <v>66745</v>
      </c>
      <c r="H1573" s="55"/>
      <c r="I1573" s="55"/>
      <c r="J1573" s="1729">
        <v>3111101</v>
      </c>
      <c r="K1573" s="58" t="s">
        <v>1455</v>
      </c>
      <c r="L1573" s="141">
        <v>66745</v>
      </c>
      <c r="N1573" s="141">
        <f t="shared" si="24"/>
        <v>0</v>
      </c>
    </row>
    <row r="1574" spans="2:14">
      <c r="B1574" s="1723"/>
      <c r="C1574" s="1723"/>
      <c r="D1574" s="1732" t="s">
        <v>175</v>
      </c>
      <c r="E1574" s="1725"/>
      <c r="F1574" s="1659">
        <v>13820795.120000001</v>
      </c>
      <c r="H1574" s="1723"/>
      <c r="I1574" s="1723"/>
      <c r="J1574" s="1733" t="s">
        <v>175</v>
      </c>
      <c r="K1574" s="1725"/>
      <c r="L1574" s="1659">
        <v>13820795.120000001</v>
      </c>
      <c r="N1574" s="1659">
        <f t="shared" si="24"/>
        <v>0</v>
      </c>
    </row>
    <row r="1575" spans="2:14">
      <c r="B1575" s="1723"/>
      <c r="C1575" s="1723"/>
      <c r="D1575" s="1732" t="s">
        <v>84</v>
      </c>
      <c r="E1575" s="1725"/>
      <c r="F1575" s="1659">
        <v>38432455.400000006</v>
      </c>
      <c r="H1575" s="1723"/>
      <c r="I1575" s="1723"/>
      <c r="J1575" s="1733" t="s">
        <v>84</v>
      </c>
      <c r="K1575" s="1725"/>
      <c r="L1575" s="1659">
        <v>38432455.400000006</v>
      </c>
      <c r="N1575" s="1659">
        <f t="shared" si="24"/>
        <v>0</v>
      </c>
    </row>
    <row r="1576" spans="2:14">
      <c r="B1576" s="55"/>
      <c r="C1576" s="55"/>
      <c r="D1576" s="1726"/>
      <c r="E1576" s="1727"/>
      <c r="F1576" s="141"/>
      <c r="H1576" s="55"/>
      <c r="I1576" s="55"/>
      <c r="J1576" s="1728"/>
      <c r="K1576" s="1727"/>
      <c r="L1576" s="141"/>
      <c r="N1576" s="141">
        <f t="shared" si="24"/>
        <v>0</v>
      </c>
    </row>
    <row r="1577" spans="2:14">
      <c r="B1577" s="55"/>
      <c r="C1577" s="55"/>
      <c r="D1577" s="1726"/>
      <c r="E1577" s="1738"/>
      <c r="F1577" s="141"/>
      <c r="H1577" s="55"/>
      <c r="I1577" s="55"/>
      <c r="J1577" s="1728"/>
      <c r="K1577" s="1738"/>
      <c r="L1577" s="141"/>
      <c r="N1577" s="141">
        <f t="shared" si="24"/>
        <v>0</v>
      </c>
    </row>
    <row r="1578" spans="2:14">
      <c r="B1578" s="55"/>
      <c r="C1578" s="55"/>
      <c r="D1578" s="1698" t="s">
        <v>349</v>
      </c>
      <c r="E1578" s="1727"/>
      <c r="F1578" s="141"/>
      <c r="H1578" s="55"/>
      <c r="I1578" s="55"/>
      <c r="J1578" s="1698" t="s">
        <v>349</v>
      </c>
      <c r="K1578" s="1727"/>
      <c r="L1578" s="141"/>
      <c r="N1578" s="141">
        <f t="shared" si="24"/>
        <v>0</v>
      </c>
    </row>
    <row r="1579" spans="2:14">
      <c r="B1579" s="55" t="s">
        <v>168</v>
      </c>
      <c r="C1579" s="55" t="s">
        <v>146</v>
      </c>
      <c r="D1579" s="1749" t="s">
        <v>350</v>
      </c>
      <c r="E1579" s="1750"/>
      <c r="F1579" s="1751"/>
      <c r="H1579" s="55" t="s">
        <v>168</v>
      </c>
      <c r="I1579" s="55" t="s">
        <v>146</v>
      </c>
      <c r="J1579" s="1749" t="s">
        <v>350</v>
      </c>
      <c r="K1579" s="1750"/>
      <c r="L1579" s="1751"/>
      <c r="N1579" s="1751">
        <f t="shared" si="24"/>
        <v>0</v>
      </c>
    </row>
    <row r="1580" spans="2:14">
      <c r="B1580" s="55"/>
      <c r="C1580" s="55"/>
      <c r="D1580" s="1726">
        <v>2210300</v>
      </c>
      <c r="E1580" s="1727" t="s">
        <v>24</v>
      </c>
      <c r="F1580" s="1511">
        <v>996341.67999999993</v>
      </c>
      <c r="H1580" s="55"/>
      <c r="I1580" s="55"/>
      <c r="J1580" s="1728">
        <v>2210300</v>
      </c>
      <c r="K1580" s="1727" t="s">
        <v>24</v>
      </c>
      <c r="L1580" s="1511">
        <v>996341.67999999993</v>
      </c>
      <c r="N1580" s="1511">
        <f t="shared" si="24"/>
        <v>0</v>
      </c>
    </row>
    <row r="1581" spans="2:14">
      <c r="B1581" s="55"/>
      <c r="C1581" s="55"/>
      <c r="D1581" s="57">
        <v>2210301</v>
      </c>
      <c r="E1581" s="58" t="s">
        <v>188</v>
      </c>
      <c r="F1581" s="141">
        <v>319500</v>
      </c>
      <c r="H1581" s="55"/>
      <c r="I1581" s="55"/>
      <c r="J1581" s="1729">
        <v>2210301</v>
      </c>
      <c r="K1581" s="58" t="s">
        <v>188</v>
      </c>
      <c r="L1581" s="141">
        <v>319500</v>
      </c>
      <c r="N1581" s="141">
        <f t="shared" si="24"/>
        <v>0</v>
      </c>
    </row>
    <row r="1582" spans="2:14">
      <c r="B1582" s="55"/>
      <c r="C1582" s="55"/>
      <c r="D1582" s="57">
        <v>2210302</v>
      </c>
      <c r="E1582" s="58" t="s">
        <v>26</v>
      </c>
      <c r="F1582" s="141">
        <v>312841.68</v>
      </c>
      <c r="H1582" s="55"/>
      <c r="I1582" s="55"/>
      <c r="J1582" s="1729">
        <v>2210302</v>
      </c>
      <c r="K1582" s="58" t="s">
        <v>26</v>
      </c>
      <c r="L1582" s="141">
        <v>312841.68</v>
      </c>
      <c r="N1582" s="141">
        <f t="shared" si="24"/>
        <v>0</v>
      </c>
    </row>
    <row r="1583" spans="2:14">
      <c r="B1583" s="55"/>
      <c r="C1583" s="55"/>
      <c r="D1583" s="57">
        <v>2210303</v>
      </c>
      <c r="E1583" s="58" t="s">
        <v>223</v>
      </c>
      <c r="F1583" s="141">
        <v>364000</v>
      </c>
      <c r="H1583" s="55"/>
      <c r="I1583" s="55"/>
      <c r="J1583" s="1729">
        <v>2210303</v>
      </c>
      <c r="K1583" s="58" t="s">
        <v>223</v>
      </c>
      <c r="L1583" s="141">
        <v>364000</v>
      </c>
      <c r="N1583" s="141">
        <f t="shared" si="24"/>
        <v>0</v>
      </c>
    </row>
    <row r="1584" spans="2:14">
      <c r="B1584" s="55"/>
      <c r="C1584" s="55"/>
      <c r="D1584" s="1726">
        <v>2210700</v>
      </c>
      <c r="E1584" s="1727" t="s">
        <v>35</v>
      </c>
      <c r="F1584" s="1511">
        <v>18000000</v>
      </c>
      <c r="H1584" s="55"/>
      <c r="I1584" s="55"/>
      <c r="J1584" s="1728">
        <v>2210700</v>
      </c>
      <c r="K1584" s="1727" t="s">
        <v>35</v>
      </c>
      <c r="L1584" s="1511">
        <v>18000000</v>
      </c>
      <c r="N1584" s="1511">
        <f t="shared" si="24"/>
        <v>0</v>
      </c>
    </row>
    <row r="1585" spans="2:14">
      <c r="B1585" s="55"/>
      <c r="C1585" s="55"/>
      <c r="D1585" s="57">
        <v>2210711</v>
      </c>
      <c r="E1585" s="1737" t="s">
        <v>338</v>
      </c>
      <c r="F1585" s="141">
        <v>18000000</v>
      </c>
      <c r="H1585" s="55"/>
      <c r="I1585" s="55"/>
      <c r="J1585" s="1729">
        <v>2210711</v>
      </c>
      <c r="K1585" s="1737" t="s">
        <v>338</v>
      </c>
      <c r="L1585" s="141">
        <v>18000000</v>
      </c>
      <c r="N1585" s="141">
        <f t="shared" si="24"/>
        <v>0</v>
      </c>
    </row>
    <row r="1586" spans="2:14">
      <c r="B1586" s="55"/>
      <c r="C1586" s="55"/>
      <c r="D1586" s="1726">
        <v>3111400</v>
      </c>
      <c r="E1586" s="1738" t="s">
        <v>1456</v>
      </c>
      <c r="F1586" s="1731">
        <v>2000000</v>
      </c>
      <c r="H1586" s="55"/>
      <c r="I1586" s="55"/>
      <c r="J1586" s="1728">
        <v>3111400</v>
      </c>
      <c r="K1586" s="1738" t="s">
        <v>1456</v>
      </c>
      <c r="L1586" s="1731">
        <v>2000000</v>
      </c>
      <c r="N1586" s="1731">
        <f t="shared" si="24"/>
        <v>0</v>
      </c>
    </row>
    <row r="1587" spans="2:14">
      <c r="B1587" s="55"/>
      <c r="C1587" s="55"/>
      <c r="D1587" s="57">
        <v>3111401</v>
      </c>
      <c r="E1587" s="58" t="s">
        <v>1457</v>
      </c>
      <c r="F1587" s="1752">
        <v>2000000</v>
      </c>
      <c r="H1587" s="55"/>
      <c r="I1587" s="55"/>
      <c r="J1587" s="1729">
        <v>3111401</v>
      </c>
      <c r="K1587" s="58" t="s">
        <v>1457</v>
      </c>
      <c r="L1587" s="1752">
        <v>2000000</v>
      </c>
      <c r="N1587" s="1752">
        <f t="shared" si="24"/>
        <v>0</v>
      </c>
    </row>
    <row r="1588" spans="2:14">
      <c r="B1588" s="55"/>
      <c r="C1588" s="55"/>
      <c r="D1588" s="1732" t="s">
        <v>99</v>
      </c>
      <c r="E1588" s="58"/>
      <c r="F1588" s="1753">
        <v>20996341.68</v>
      </c>
      <c r="H1588" s="55"/>
      <c r="I1588" s="55"/>
      <c r="J1588" s="1733" t="s">
        <v>99</v>
      </c>
      <c r="K1588" s="58"/>
      <c r="L1588" s="1753">
        <v>20996341.68</v>
      </c>
      <c r="N1588" s="1753">
        <f t="shared" si="24"/>
        <v>0</v>
      </c>
    </row>
    <row r="1589" spans="2:14">
      <c r="B1589" s="55"/>
      <c r="C1589" s="55"/>
      <c r="D1589" s="1698"/>
      <c r="E1589" s="1727"/>
      <c r="F1589" s="141"/>
      <c r="H1589" s="55"/>
      <c r="I1589" s="55"/>
      <c r="J1589" s="1698"/>
      <c r="K1589" s="1727"/>
      <c r="L1589" s="141"/>
      <c r="N1589" s="141">
        <f t="shared" si="24"/>
        <v>0</v>
      </c>
    </row>
    <row r="1590" spans="2:14">
      <c r="B1590" s="55" t="s">
        <v>168</v>
      </c>
      <c r="C1590" s="55" t="s">
        <v>146</v>
      </c>
      <c r="D1590" s="1726" t="s">
        <v>92</v>
      </c>
      <c r="E1590" s="1727" t="s">
        <v>350</v>
      </c>
      <c r="F1590" s="1688">
        <v>2000000</v>
      </c>
      <c r="H1590" s="55" t="s">
        <v>168</v>
      </c>
      <c r="I1590" s="55" t="s">
        <v>146</v>
      </c>
      <c r="J1590" s="1728" t="s">
        <v>92</v>
      </c>
      <c r="K1590" s="1727" t="s">
        <v>350</v>
      </c>
      <c r="L1590" s="1688">
        <v>2000000</v>
      </c>
      <c r="N1590" s="1688">
        <f t="shared" si="24"/>
        <v>0</v>
      </c>
    </row>
    <row r="1591" spans="2:14" ht="30">
      <c r="B1591" s="55"/>
      <c r="C1591" s="55"/>
      <c r="D1591" s="57">
        <v>3111499</v>
      </c>
      <c r="E1591" s="58" t="s">
        <v>351</v>
      </c>
      <c r="F1591" s="141">
        <v>2000000</v>
      </c>
      <c r="H1591" s="55"/>
      <c r="I1591" s="55"/>
      <c r="J1591" s="1729">
        <v>3111499</v>
      </c>
      <c r="K1591" s="58" t="s">
        <v>351</v>
      </c>
      <c r="L1591" s="141">
        <v>2000000</v>
      </c>
      <c r="N1591" s="141">
        <f t="shared" si="24"/>
        <v>0</v>
      </c>
    </row>
    <row r="1592" spans="2:14">
      <c r="B1592" s="1723"/>
      <c r="C1592" s="1723"/>
      <c r="D1592" s="1732" t="s">
        <v>352</v>
      </c>
      <c r="E1592" s="1725"/>
      <c r="F1592" s="1659">
        <v>2000000</v>
      </c>
      <c r="H1592" s="1723"/>
      <c r="I1592" s="1723"/>
      <c r="J1592" s="1733" t="s">
        <v>352</v>
      </c>
      <c r="K1592" s="1725"/>
      <c r="L1592" s="1659">
        <v>2000000</v>
      </c>
      <c r="N1592" s="1659">
        <f t="shared" si="24"/>
        <v>0</v>
      </c>
    </row>
    <row r="1593" spans="2:14">
      <c r="B1593" s="1723"/>
      <c r="C1593" s="1723"/>
      <c r="D1593" s="1732"/>
      <c r="E1593" s="1596" t="s">
        <v>353</v>
      </c>
      <c r="F1593" s="1659">
        <v>38432455.400000006</v>
      </c>
      <c r="H1593" s="1723"/>
      <c r="I1593" s="1723"/>
      <c r="J1593" s="1733"/>
      <c r="K1593" s="1596" t="s">
        <v>353</v>
      </c>
      <c r="L1593" s="1659">
        <v>38432455.400000006</v>
      </c>
      <c r="N1593" s="1659">
        <f t="shared" si="24"/>
        <v>0</v>
      </c>
    </row>
    <row r="1594" spans="2:14">
      <c r="B1594" s="1754"/>
      <c r="C1594" s="1754"/>
      <c r="D1594" s="1732"/>
      <c r="E1594" s="1725" t="s">
        <v>99</v>
      </c>
      <c r="F1594" s="1659">
        <v>956667773.00659645</v>
      </c>
      <c r="H1594" s="1754"/>
      <c r="I1594" s="1754"/>
      <c r="J1594" s="1733"/>
      <c r="K1594" s="1725" t="s">
        <v>99</v>
      </c>
      <c r="L1594" s="1659">
        <v>956667773.00659645</v>
      </c>
      <c r="N1594" s="1659">
        <f t="shared" si="24"/>
        <v>0</v>
      </c>
    </row>
    <row r="1595" spans="2:14">
      <c r="B1595" s="1754"/>
      <c r="C1595" s="1754"/>
      <c r="D1595" s="1732"/>
      <c r="E1595" s="1725" t="s">
        <v>175</v>
      </c>
      <c r="F1595" s="1659">
        <v>63981492.979149207</v>
      </c>
      <c r="H1595" s="1754"/>
      <c r="I1595" s="1754"/>
      <c r="J1595" s="1733"/>
      <c r="K1595" s="1725" t="s">
        <v>175</v>
      </c>
      <c r="L1595" s="1659">
        <v>63981492.979149207</v>
      </c>
      <c r="N1595" s="1659">
        <f t="shared" si="24"/>
        <v>0</v>
      </c>
    </row>
    <row r="1596" spans="2:14">
      <c r="B1596" s="1754"/>
      <c r="C1596" s="1754"/>
      <c r="D1596" s="1755" t="s">
        <v>1269</v>
      </c>
      <c r="E1596" s="1756"/>
      <c r="F1596" s="1757">
        <v>1020649265.9857457</v>
      </c>
      <c r="H1596" s="1754"/>
      <c r="I1596" s="1754"/>
      <c r="J1596" s="1755" t="s">
        <v>1269</v>
      </c>
      <c r="K1596" s="1756"/>
      <c r="L1596" s="1758">
        <v>1020649265.9857457</v>
      </c>
      <c r="N1596" s="1758">
        <f t="shared" si="24"/>
        <v>0</v>
      </c>
    </row>
    <row r="1597" spans="2:14">
      <c r="B1597" s="1754"/>
      <c r="C1597" s="1754"/>
      <c r="D1597" s="1724"/>
      <c r="E1597" s="1505"/>
      <c r="F1597" s="1659"/>
      <c r="H1597" s="1754"/>
      <c r="I1597" s="1754"/>
      <c r="J1597" s="1724"/>
      <c r="K1597" s="1505"/>
      <c r="L1597" s="1659"/>
      <c r="N1597" s="1659">
        <f t="shared" si="24"/>
        <v>0</v>
      </c>
    </row>
    <row r="1598" spans="2:14">
      <c r="B1598" s="1754"/>
      <c r="C1598" s="1754"/>
      <c r="D1598" s="1724"/>
      <c r="E1598" s="1505"/>
      <c r="F1598" s="1659"/>
      <c r="H1598" s="1754"/>
      <c r="I1598" s="1754"/>
      <c r="J1598" s="1724"/>
      <c r="K1598" s="1505"/>
      <c r="L1598" s="1659"/>
      <c r="N1598" s="1659">
        <f t="shared" si="24"/>
        <v>0</v>
      </c>
    </row>
    <row r="1599" spans="2:14">
      <c r="B1599" s="1528"/>
      <c r="C1599" s="1723"/>
      <c r="D1599" s="1507" t="s">
        <v>1253</v>
      </c>
      <c r="E1599" s="1620"/>
      <c r="F1599" s="1759"/>
      <c r="H1599" s="1528"/>
      <c r="I1599" s="1723"/>
      <c r="J1599" s="1507" t="s">
        <v>1253</v>
      </c>
      <c r="K1599" s="1620"/>
      <c r="L1599" s="1759"/>
      <c r="N1599" s="1759">
        <f t="shared" si="24"/>
        <v>0</v>
      </c>
    </row>
    <row r="1600" spans="2:14">
      <c r="B1600" s="61"/>
      <c r="C1600" s="55"/>
      <c r="D1600" s="1688" t="s">
        <v>354</v>
      </c>
      <c r="E1600" s="1760"/>
      <c r="F1600" s="164"/>
      <c r="H1600" s="61"/>
      <c r="I1600" s="55"/>
      <c r="J1600" s="1688" t="s">
        <v>354</v>
      </c>
      <c r="K1600" s="1760"/>
      <c r="L1600" s="164"/>
      <c r="N1600" s="164">
        <f t="shared" si="24"/>
        <v>0</v>
      </c>
    </row>
    <row r="1601" spans="2:14">
      <c r="B1601" s="61"/>
      <c r="C1601" s="55" t="s">
        <v>146</v>
      </c>
      <c r="D1601" s="1688" t="s">
        <v>355</v>
      </c>
      <c r="E1601" s="1760"/>
      <c r="F1601" s="164"/>
      <c r="H1601" s="61"/>
      <c r="I1601" s="55" t="s">
        <v>146</v>
      </c>
      <c r="J1601" s="1688" t="s">
        <v>355</v>
      </c>
      <c r="K1601" s="1760"/>
      <c r="L1601" s="164"/>
      <c r="N1601" s="164">
        <f t="shared" si="24"/>
        <v>0</v>
      </c>
    </row>
    <row r="1602" spans="2:14">
      <c r="B1602" s="61"/>
      <c r="C1602" s="55"/>
      <c r="D1602" s="1761">
        <v>2110100</v>
      </c>
      <c r="E1602" s="1762" t="s">
        <v>13</v>
      </c>
      <c r="F1602" s="1763">
        <v>155338312</v>
      </c>
      <c r="H1602" s="61"/>
      <c r="I1602" s="55"/>
      <c r="J1602" s="1761">
        <v>2110100</v>
      </c>
      <c r="K1602" s="1762" t="s">
        <v>13</v>
      </c>
      <c r="L1602" s="1763">
        <v>155338312</v>
      </c>
      <c r="N1602" s="1763">
        <f t="shared" si="24"/>
        <v>0</v>
      </c>
    </row>
    <row r="1603" spans="2:14">
      <c r="B1603" s="61"/>
      <c r="C1603" s="55"/>
      <c r="D1603" s="62">
        <v>2110101</v>
      </c>
      <c r="E1603" s="63" t="s">
        <v>14</v>
      </c>
      <c r="F1603" s="1764">
        <v>155338312</v>
      </c>
      <c r="H1603" s="61"/>
      <c r="I1603" s="55"/>
      <c r="J1603" s="62">
        <v>2110101</v>
      </c>
      <c r="K1603" s="63" t="s">
        <v>14</v>
      </c>
      <c r="L1603" s="1764">
        <v>155338312</v>
      </c>
      <c r="N1603" s="1764">
        <f t="shared" si="24"/>
        <v>0</v>
      </c>
    </row>
    <row r="1604" spans="2:14">
      <c r="B1604" s="61"/>
      <c r="C1604" s="55"/>
      <c r="D1604" s="62">
        <v>2110120</v>
      </c>
      <c r="E1604" s="63" t="s">
        <v>356</v>
      </c>
      <c r="F1604" s="153">
        <v>0</v>
      </c>
      <c r="H1604" s="61"/>
      <c r="I1604" s="55"/>
      <c r="J1604" s="62">
        <v>2110120</v>
      </c>
      <c r="K1604" s="63" t="s">
        <v>356</v>
      </c>
      <c r="L1604" s="153">
        <v>0</v>
      </c>
      <c r="N1604" s="153">
        <f t="shared" si="24"/>
        <v>0</v>
      </c>
    </row>
    <row r="1605" spans="2:14">
      <c r="B1605" s="61"/>
      <c r="C1605" s="55"/>
      <c r="D1605" s="1761">
        <v>2110200</v>
      </c>
      <c r="E1605" s="1762" t="s">
        <v>357</v>
      </c>
      <c r="F1605" s="1763">
        <v>1296000</v>
      </c>
      <c r="H1605" s="61"/>
      <c r="I1605" s="55"/>
      <c r="J1605" s="1761">
        <v>2110200</v>
      </c>
      <c r="K1605" s="1762" t="s">
        <v>357</v>
      </c>
      <c r="L1605" s="1763">
        <v>1296000</v>
      </c>
      <c r="N1605" s="1763">
        <f t="shared" si="24"/>
        <v>0</v>
      </c>
    </row>
    <row r="1606" spans="2:14">
      <c r="B1606" s="61"/>
      <c r="C1606" s="55"/>
      <c r="D1606" s="62">
        <v>2110202</v>
      </c>
      <c r="E1606" s="63" t="s">
        <v>358</v>
      </c>
      <c r="F1606" s="153">
        <v>1296000</v>
      </c>
      <c r="H1606" s="61"/>
      <c r="I1606" s="55"/>
      <c r="J1606" s="62">
        <v>2110202</v>
      </c>
      <c r="K1606" s="63" t="s">
        <v>358</v>
      </c>
      <c r="L1606" s="153">
        <v>1296000</v>
      </c>
      <c r="N1606" s="153">
        <f t="shared" si="24"/>
        <v>0</v>
      </c>
    </row>
    <row r="1607" spans="2:14">
      <c r="B1607" s="61"/>
      <c r="C1607" s="55"/>
      <c r="D1607" s="1761">
        <v>2210100</v>
      </c>
      <c r="E1607" s="1762" t="s">
        <v>16</v>
      </c>
      <c r="F1607" s="1763">
        <v>1800000</v>
      </c>
      <c r="H1607" s="61"/>
      <c r="I1607" s="55"/>
      <c r="J1607" s="1761">
        <v>2210100</v>
      </c>
      <c r="K1607" s="1762" t="s">
        <v>16</v>
      </c>
      <c r="L1607" s="1763">
        <v>1800000</v>
      </c>
      <c r="N1607" s="1763">
        <f t="shared" si="24"/>
        <v>0</v>
      </c>
    </row>
    <row r="1608" spans="2:14">
      <c r="B1608" s="61"/>
      <c r="C1608" s="55"/>
      <c r="D1608" s="62">
        <v>2210101</v>
      </c>
      <c r="E1608" s="63" t="s">
        <v>17</v>
      </c>
      <c r="F1608" s="153">
        <v>1200000</v>
      </c>
      <c r="H1608" s="61"/>
      <c r="I1608" s="55"/>
      <c r="J1608" s="62">
        <v>2210101</v>
      </c>
      <c r="K1608" s="63" t="s">
        <v>17</v>
      </c>
      <c r="L1608" s="153">
        <v>1200000</v>
      </c>
      <c r="N1608" s="153">
        <f t="shared" ref="N1608:N1671" si="25">F1608-L1608</f>
        <v>0</v>
      </c>
    </row>
    <row r="1609" spans="2:14">
      <c r="B1609" s="61"/>
      <c r="C1609" s="55"/>
      <c r="D1609" s="62">
        <v>2210102</v>
      </c>
      <c r="E1609" s="63" t="s">
        <v>18</v>
      </c>
      <c r="F1609" s="153">
        <v>600000</v>
      </c>
      <c r="H1609" s="61"/>
      <c r="I1609" s="55"/>
      <c r="J1609" s="62">
        <v>2210102</v>
      </c>
      <c r="K1609" s="63" t="s">
        <v>18</v>
      </c>
      <c r="L1609" s="153">
        <v>600000</v>
      </c>
      <c r="N1609" s="153">
        <f t="shared" si="25"/>
        <v>0</v>
      </c>
    </row>
    <row r="1610" spans="2:14">
      <c r="B1610" s="61"/>
      <c r="C1610" s="55"/>
      <c r="D1610" s="1761">
        <v>2210200</v>
      </c>
      <c r="E1610" s="1762" t="s">
        <v>20</v>
      </c>
      <c r="F1610" s="1763">
        <v>346000</v>
      </c>
      <c r="H1610" s="61"/>
      <c r="I1610" s="55"/>
      <c r="J1610" s="1761">
        <v>2210200</v>
      </c>
      <c r="K1610" s="1762" t="s">
        <v>20</v>
      </c>
      <c r="L1610" s="1763">
        <v>346000</v>
      </c>
      <c r="N1610" s="1763">
        <f t="shared" si="25"/>
        <v>0</v>
      </c>
    </row>
    <row r="1611" spans="2:14">
      <c r="B1611" s="61"/>
      <c r="C1611" s="55"/>
      <c r="D1611" s="62">
        <v>2210201</v>
      </c>
      <c r="E1611" s="63" t="s">
        <v>187</v>
      </c>
      <c r="F1611" s="153">
        <v>246000</v>
      </c>
      <c r="H1611" s="61"/>
      <c r="I1611" s="55"/>
      <c r="J1611" s="62">
        <v>2210201</v>
      </c>
      <c r="K1611" s="63" t="s">
        <v>187</v>
      </c>
      <c r="L1611" s="153">
        <v>246000</v>
      </c>
      <c r="N1611" s="153">
        <f t="shared" si="25"/>
        <v>0</v>
      </c>
    </row>
    <row r="1612" spans="2:14">
      <c r="B1612" s="61"/>
      <c r="C1612" s="55"/>
      <c r="D1612" s="62">
        <v>2210202</v>
      </c>
      <c r="E1612" s="63" t="s">
        <v>359</v>
      </c>
      <c r="F1612" s="153">
        <v>70000</v>
      </c>
      <c r="H1612" s="61"/>
      <c r="I1612" s="55"/>
      <c r="J1612" s="62">
        <v>2210202</v>
      </c>
      <c r="K1612" s="63" t="s">
        <v>359</v>
      </c>
      <c r="L1612" s="153">
        <v>70000</v>
      </c>
      <c r="N1612" s="153">
        <f t="shared" si="25"/>
        <v>0</v>
      </c>
    </row>
    <row r="1613" spans="2:14">
      <c r="B1613" s="61"/>
      <c r="C1613" s="55"/>
      <c r="D1613" s="62">
        <v>2210203</v>
      </c>
      <c r="E1613" s="63" t="s">
        <v>23</v>
      </c>
      <c r="F1613" s="153">
        <v>30000</v>
      </c>
      <c r="H1613" s="61"/>
      <c r="I1613" s="55"/>
      <c r="J1613" s="62">
        <v>2210203</v>
      </c>
      <c r="K1613" s="63" t="s">
        <v>23</v>
      </c>
      <c r="L1613" s="153">
        <v>30000</v>
      </c>
      <c r="N1613" s="153">
        <f t="shared" si="25"/>
        <v>0</v>
      </c>
    </row>
    <row r="1614" spans="2:14">
      <c r="B1614" s="61"/>
      <c r="C1614" s="55"/>
      <c r="D1614" s="1761">
        <v>2210300</v>
      </c>
      <c r="E1614" s="1762" t="s">
        <v>24</v>
      </c>
      <c r="F1614" s="1763">
        <v>1200000</v>
      </c>
      <c r="H1614" s="61"/>
      <c r="I1614" s="55"/>
      <c r="J1614" s="1761">
        <v>2210300</v>
      </c>
      <c r="K1614" s="1762" t="s">
        <v>24</v>
      </c>
      <c r="L1614" s="1763">
        <v>1200000</v>
      </c>
      <c r="N1614" s="1763">
        <f t="shared" si="25"/>
        <v>0</v>
      </c>
    </row>
    <row r="1615" spans="2:14">
      <c r="B1615" s="61"/>
      <c r="C1615" s="55"/>
      <c r="D1615" s="62">
        <v>2210301</v>
      </c>
      <c r="E1615" s="63" t="s">
        <v>188</v>
      </c>
      <c r="F1615" s="153">
        <v>400000</v>
      </c>
      <c r="H1615" s="61"/>
      <c r="I1615" s="55"/>
      <c r="J1615" s="62">
        <v>2210301</v>
      </c>
      <c r="K1615" s="63" t="s">
        <v>188</v>
      </c>
      <c r="L1615" s="153">
        <v>400000</v>
      </c>
      <c r="N1615" s="153">
        <f t="shared" si="25"/>
        <v>0</v>
      </c>
    </row>
    <row r="1616" spans="2:14">
      <c r="B1616" s="61"/>
      <c r="C1616" s="55"/>
      <c r="D1616" s="62">
        <v>2210302</v>
      </c>
      <c r="E1616" s="63" t="s">
        <v>26</v>
      </c>
      <c r="F1616" s="153">
        <v>400000</v>
      </c>
      <c r="H1616" s="61"/>
      <c r="I1616" s="55"/>
      <c r="J1616" s="62">
        <v>2210302</v>
      </c>
      <c r="K1616" s="63" t="s">
        <v>26</v>
      </c>
      <c r="L1616" s="153">
        <v>400000</v>
      </c>
      <c r="N1616" s="153">
        <f t="shared" si="25"/>
        <v>0</v>
      </c>
    </row>
    <row r="1617" spans="2:14">
      <c r="B1617" s="61"/>
      <c r="C1617" s="55"/>
      <c r="D1617" s="62">
        <v>2210303</v>
      </c>
      <c r="E1617" s="63" t="s">
        <v>223</v>
      </c>
      <c r="F1617" s="153">
        <v>400000</v>
      </c>
      <c r="H1617" s="61"/>
      <c r="I1617" s="55"/>
      <c r="J1617" s="62">
        <v>2210303</v>
      </c>
      <c r="K1617" s="63" t="s">
        <v>223</v>
      </c>
      <c r="L1617" s="153">
        <v>400000</v>
      </c>
      <c r="N1617" s="153">
        <f t="shared" si="25"/>
        <v>0</v>
      </c>
    </row>
    <row r="1618" spans="2:14">
      <c r="B1618" s="61"/>
      <c r="C1618" s="55"/>
      <c r="D1618" s="1761">
        <v>2210400</v>
      </c>
      <c r="E1618" s="1762" t="s">
        <v>189</v>
      </c>
      <c r="F1618" s="1763">
        <v>725000</v>
      </c>
      <c r="H1618" s="61"/>
      <c r="I1618" s="55"/>
      <c r="J1618" s="1761">
        <v>2210400</v>
      </c>
      <c r="K1618" s="1762" t="s">
        <v>189</v>
      </c>
      <c r="L1618" s="1763">
        <v>725000</v>
      </c>
      <c r="N1618" s="1763">
        <f t="shared" si="25"/>
        <v>0</v>
      </c>
    </row>
    <row r="1619" spans="2:14">
      <c r="B1619" s="61"/>
      <c r="C1619" s="55"/>
      <c r="D1619" s="62">
        <v>2210401</v>
      </c>
      <c r="E1619" s="63" t="s">
        <v>190</v>
      </c>
      <c r="F1619" s="153">
        <v>290000</v>
      </c>
      <c r="H1619" s="61"/>
      <c r="I1619" s="55"/>
      <c r="J1619" s="62">
        <v>2210401</v>
      </c>
      <c r="K1619" s="63" t="s">
        <v>190</v>
      </c>
      <c r="L1619" s="153">
        <v>290000</v>
      </c>
      <c r="N1619" s="153">
        <f t="shared" si="25"/>
        <v>0</v>
      </c>
    </row>
    <row r="1620" spans="2:14">
      <c r="B1620" s="61"/>
      <c r="C1620" s="55"/>
      <c r="D1620" s="62">
        <v>2210402</v>
      </c>
      <c r="E1620" s="63" t="s">
        <v>30</v>
      </c>
      <c r="F1620" s="153">
        <v>290000</v>
      </c>
      <c r="H1620" s="61"/>
      <c r="I1620" s="55"/>
      <c r="J1620" s="62">
        <v>2210402</v>
      </c>
      <c r="K1620" s="63" t="s">
        <v>30</v>
      </c>
      <c r="L1620" s="153">
        <v>290000</v>
      </c>
      <c r="N1620" s="153">
        <f t="shared" si="25"/>
        <v>0</v>
      </c>
    </row>
    <row r="1621" spans="2:14">
      <c r="B1621" s="61"/>
      <c r="C1621" s="55"/>
      <c r="D1621" s="62">
        <v>2210404</v>
      </c>
      <c r="E1621" s="63" t="s">
        <v>360</v>
      </c>
      <c r="F1621" s="153">
        <v>145000</v>
      </c>
      <c r="H1621" s="61"/>
      <c r="I1621" s="55"/>
      <c r="J1621" s="62">
        <v>2210404</v>
      </c>
      <c r="K1621" s="63" t="s">
        <v>360</v>
      </c>
      <c r="L1621" s="153">
        <v>145000</v>
      </c>
      <c r="N1621" s="153">
        <f t="shared" si="25"/>
        <v>0</v>
      </c>
    </row>
    <row r="1622" spans="2:14">
      <c r="B1622" s="61"/>
      <c r="C1622" s="62"/>
      <c r="D1622" s="1761">
        <v>2210500</v>
      </c>
      <c r="E1622" s="1762" t="s">
        <v>31</v>
      </c>
      <c r="F1622" s="1763">
        <v>890000</v>
      </c>
      <c r="H1622" s="61"/>
      <c r="I1622" s="62"/>
      <c r="J1622" s="1761">
        <v>2210500</v>
      </c>
      <c r="K1622" s="1762" t="s">
        <v>31</v>
      </c>
      <c r="L1622" s="1763">
        <v>890000</v>
      </c>
      <c r="N1622" s="1763">
        <f t="shared" si="25"/>
        <v>0</v>
      </c>
    </row>
    <row r="1623" spans="2:14">
      <c r="B1623" s="61"/>
      <c r="C1623" s="62"/>
      <c r="D1623" s="62">
        <v>2210502</v>
      </c>
      <c r="E1623" s="63" t="s">
        <v>105</v>
      </c>
      <c r="F1623" s="153">
        <v>290000</v>
      </c>
      <c r="H1623" s="61"/>
      <c r="I1623" s="62"/>
      <c r="J1623" s="62">
        <v>2210502</v>
      </c>
      <c r="K1623" s="63" t="s">
        <v>105</v>
      </c>
      <c r="L1623" s="153">
        <v>290000</v>
      </c>
      <c r="N1623" s="153">
        <f t="shared" si="25"/>
        <v>0</v>
      </c>
    </row>
    <row r="1624" spans="2:14">
      <c r="B1624" s="61"/>
      <c r="C1624" s="62"/>
      <c r="D1624" s="62">
        <v>2210503</v>
      </c>
      <c r="E1624" s="63" t="s">
        <v>32</v>
      </c>
      <c r="F1624" s="153">
        <v>65000</v>
      </c>
      <c r="H1624" s="61"/>
      <c r="I1624" s="62"/>
      <c r="J1624" s="62">
        <v>2210503</v>
      </c>
      <c r="K1624" s="63" t="s">
        <v>32</v>
      </c>
      <c r="L1624" s="153">
        <v>65000</v>
      </c>
      <c r="N1624" s="153">
        <f t="shared" si="25"/>
        <v>0</v>
      </c>
    </row>
    <row r="1625" spans="2:14">
      <c r="B1625" s="61"/>
      <c r="C1625" s="62"/>
      <c r="D1625" s="62">
        <v>2210504</v>
      </c>
      <c r="E1625" s="63" t="s">
        <v>33</v>
      </c>
      <c r="F1625" s="153">
        <v>535000</v>
      </c>
      <c r="H1625" s="61"/>
      <c r="I1625" s="62"/>
      <c r="J1625" s="62">
        <v>2210504</v>
      </c>
      <c r="K1625" s="63" t="s">
        <v>33</v>
      </c>
      <c r="L1625" s="153">
        <v>535000</v>
      </c>
      <c r="N1625" s="153">
        <f t="shared" si="25"/>
        <v>0</v>
      </c>
    </row>
    <row r="1626" spans="2:14">
      <c r="B1626" s="61"/>
      <c r="C1626" s="55"/>
      <c r="D1626" s="1761">
        <v>2210800</v>
      </c>
      <c r="E1626" s="1762" t="s">
        <v>42</v>
      </c>
      <c r="F1626" s="1763">
        <v>400000</v>
      </c>
      <c r="H1626" s="61"/>
      <c r="I1626" s="55"/>
      <c r="J1626" s="1761">
        <v>2210800</v>
      </c>
      <c r="K1626" s="1762" t="s">
        <v>42</v>
      </c>
      <c r="L1626" s="1763">
        <v>400000</v>
      </c>
      <c r="N1626" s="1763">
        <f t="shared" si="25"/>
        <v>0</v>
      </c>
    </row>
    <row r="1627" spans="2:14">
      <c r="B1627" s="61"/>
      <c r="C1627" s="55"/>
      <c r="D1627" s="62">
        <v>2210801</v>
      </c>
      <c r="E1627" s="63" t="s">
        <v>195</v>
      </c>
      <c r="F1627" s="153">
        <v>360000</v>
      </c>
      <c r="H1627" s="61"/>
      <c r="I1627" s="55"/>
      <c r="J1627" s="62">
        <v>2210801</v>
      </c>
      <c r="K1627" s="63" t="s">
        <v>195</v>
      </c>
      <c r="L1627" s="153">
        <v>360000</v>
      </c>
      <c r="N1627" s="153">
        <f t="shared" si="25"/>
        <v>0</v>
      </c>
    </row>
    <row r="1628" spans="2:14">
      <c r="B1628" s="61"/>
      <c r="C1628" s="55"/>
      <c r="D1628" s="62">
        <v>2210802</v>
      </c>
      <c r="E1628" s="63" t="s">
        <v>97</v>
      </c>
      <c r="F1628" s="153">
        <v>40000</v>
      </c>
      <c r="H1628" s="61"/>
      <c r="I1628" s="55"/>
      <c r="J1628" s="62">
        <v>2210802</v>
      </c>
      <c r="K1628" s="63" t="s">
        <v>97</v>
      </c>
      <c r="L1628" s="153">
        <v>40000</v>
      </c>
      <c r="N1628" s="153">
        <f t="shared" si="25"/>
        <v>0</v>
      </c>
    </row>
    <row r="1629" spans="2:14">
      <c r="B1629" s="61"/>
      <c r="C1629" s="55"/>
      <c r="D1629" s="1761">
        <v>2211200</v>
      </c>
      <c r="E1629" s="1762" t="s">
        <v>55</v>
      </c>
      <c r="F1629" s="1763">
        <v>0</v>
      </c>
      <c r="H1629" s="61"/>
      <c r="I1629" s="55"/>
      <c r="J1629" s="1761">
        <v>2211200</v>
      </c>
      <c r="K1629" s="1762" t="s">
        <v>55</v>
      </c>
      <c r="L1629" s="1763">
        <v>0</v>
      </c>
      <c r="N1629" s="1763">
        <f t="shared" si="25"/>
        <v>0</v>
      </c>
    </row>
    <row r="1630" spans="2:14">
      <c r="B1630" s="61"/>
      <c r="C1630" s="55"/>
      <c r="D1630" s="62">
        <v>2211201</v>
      </c>
      <c r="E1630" s="63" t="s">
        <v>56</v>
      </c>
      <c r="F1630" s="153">
        <v>0</v>
      </c>
      <c r="H1630" s="61"/>
      <c r="I1630" s="55"/>
      <c r="J1630" s="62">
        <v>2211201</v>
      </c>
      <c r="K1630" s="63" t="s">
        <v>56</v>
      </c>
      <c r="L1630" s="153">
        <v>0</v>
      </c>
      <c r="N1630" s="153">
        <f t="shared" si="25"/>
        <v>0</v>
      </c>
    </row>
    <row r="1631" spans="2:14">
      <c r="B1631" s="61"/>
      <c r="C1631" s="55"/>
      <c r="D1631" s="1761">
        <v>2220100</v>
      </c>
      <c r="E1631" s="1762" t="s">
        <v>62</v>
      </c>
      <c r="F1631" s="1763">
        <v>520000</v>
      </c>
      <c r="H1631" s="61"/>
      <c r="I1631" s="55"/>
      <c r="J1631" s="1761">
        <v>2220100</v>
      </c>
      <c r="K1631" s="1762" t="s">
        <v>62</v>
      </c>
      <c r="L1631" s="1763">
        <v>520000</v>
      </c>
      <c r="N1631" s="1763">
        <f t="shared" si="25"/>
        <v>0</v>
      </c>
    </row>
    <row r="1632" spans="2:14">
      <c r="B1632" s="61"/>
      <c r="C1632" s="55"/>
      <c r="D1632" s="62">
        <v>2220101</v>
      </c>
      <c r="E1632" s="63" t="s">
        <v>366</v>
      </c>
      <c r="F1632" s="153">
        <v>120000</v>
      </c>
      <c r="H1632" s="61"/>
      <c r="I1632" s="55"/>
      <c r="J1632" s="62">
        <v>2220101</v>
      </c>
      <c r="K1632" s="63" t="s">
        <v>366</v>
      </c>
      <c r="L1632" s="153">
        <v>120000</v>
      </c>
      <c r="N1632" s="153">
        <f t="shared" si="25"/>
        <v>0</v>
      </c>
    </row>
    <row r="1633" spans="2:14">
      <c r="B1633" s="61"/>
      <c r="C1633" s="55"/>
      <c r="D1633" s="62">
        <v>2220105</v>
      </c>
      <c r="E1633" s="63" t="s">
        <v>200</v>
      </c>
      <c r="F1633" s="153">
        <v>400000</v>
      </c>
      <c r="H1633" s="61"/>
      <c r="I1633" s="55"/>
      <c r="J1633" s="62">
        <v>2220105</v>
      </c>
      <c r="K1633" s="63" t="s">
        <v>200</v>
      </c>
      <c r="L1633" s="153">
        <v>400000</v>
      </c>
      <c r="N1633" s="153">
        <f t="shared" si="25"/>
        <v>0</v>
      </c>
    </row>
    <row r="1634" spans="2:14">
      <c r="B1634" s="61"/>
      <c r="C1634" s="55"/>
      <c r="D1634" s="1761">
        <v>3111000</v>
      </c>
      <c r="E1634" s="1762" t="s">
        <v>69</v>
      </c>
      <c r="F1634" s="1763">
        <v>400000</v>
      </c>
      <c r="H1634" s="61"/>
      <c r="I1634" s="55"/>
      <c r="J1634" s="1761">
        <v>3111000</v>
      </c>
      <c r="K1634" s="1762" t="s">
        <v>69</v>
      </c>
      <c r="L1634" s="1763">
        <v>400000</v>
      </c>
      <c r="N1634" s="1763">
        <f t="shared" si="25"/>
        <v>0</v>
      </c>
    </row>
    <row r="1635" spans="2:14">
      <c r="B1635" s="61"/>
      <c r="C1635" s="55"/>
      <c r="D1635" s="62">
        <v>3111001</v>
      </c>
      <c r="E1635" s="63" t="s">
        <v>368</v>
      </c>
      <c r="F1635" s="153">
        <v>400000</v>
      </c>
      <c r="H1635" s="61"/>
      <c r="I1635" s="55"/>
      <c r="J1635" s="62">
        <v>3111001</v>
      </c>
      <c r="K1635" s="63" t="s">
        <v>368</v>
      </c>
      <c r="L1635" s="153">
        <v>400000</v>
      </c>
      <c r="N1635" s="153">
        <f t="shared" si="25"/>
        <v>0</v>
      </c>
    </row>
    <row r="1636" spans="2:14">
      <c r="B1636" s="61"/>
      <c r="C1636" s="55"/>
      <c r="D1636" s="62">
        <v>3111002</v>
      </c>
      <c r="E1636" s="63" t="s">
        <v>369</v>
      </c>
      <c r="F1636" s="153">
        <v>0</v>
      </c>
      <c r="H1636" s="61"/>
      <c r="I1636" s="55"/>
      <c r="J1636" s="62">
        <v>3111002</v>
      </c>
      <c r="K1636" s="63" t="s">
        <v>369</v>
      </c>
      <c r="L1636" s="153">
        <v>0</v>
      </c>
      <c r="N1636" s="153">
        <f t="shared" si="25"/>
        <v>0</v>
      </c>
    </row>
    <row r="1637" spans="2:14">
      <c r="B1637" s="61"/>
      <c r="C1637" s="55"/>
      <c r="D1637" s="62"/>
      <c r="E1637" s="63"/>
      <c r="F1637" s="153"/>
      <c r="H1637" s="61"/>
      <c r="I1637" s="55"/>
      <c r="J1637" s="62"/>
      <c r="K1637" s="63"/>
      <c r="L1637" s="153"/>
      <c r="N1637" s="153">
        <f t="shared" si="25"/>
        <v>0</v>
      </c>
    </row>
    <row r="1638" spans="2:14">
      <c r="B1638" s="1507"/>
      <c r="C1638" s="1723"/>
      <c r="D1638" s="1659" t="s">
        <v>370</v>
      </c>
      <c r="E1638" s="1765"/>
      <c r="F1638" s="1766">
        <v>162915312</v>
      </c>
      <c r="H1638" s="1507"/>
      <c r="I1638" s="1723"/>
      <c r="J1638" s="1659" t="s">
        <v>370</v>
      </c>
      <c r="K1638" s="1765"/>
      <c r="L1638" s="1766">
        <v>162915312</v>
      </c>
      <c r="N1638" s="1766">
        <f t="shared" si="25"/>
        <v>0</v>
      </c>
    </row>
    <row r="1639" spans="2:14">
      <c r="B1639" s="61"/>
      <c r="C1639" s="55"/>
      <c r="D1639" s="1511"/>
      <c r="E1639" s="1767"/>
      <c r="F1639" s="1768"/>
      <c r="H1639" s="61"/>
      <c r="I1639" s="55"/>
      <c r="J1639" s="1511"/>
      <c r="K1639" s="1767"/>
      <c r="L1639" s="1768"/>
      <c r="N1639" s="1768">
        <f t="shared" si="25"/>
        <v>0</v>
      </c>
    </row>
    <row r="1640" spans="2:14">
      <c r="B1640" s="1528"/>
      <c r="C1640" s="1723" t="s">
        <v>9</v>
      </c>
      <c r="D1640" s="1710" t="s">
        <v>371</v>
      </c>
      <c r="E1640" s="1769"/>
      <c r="F1640" s="1770"/>
      <c r="H1640" s="1528"/>
      <c r="I1640" s="1723" t="s">
        <v>9</v>
      </c>
      <c r="J1640" s="1710" t="s">
        <v>371</v>
      </c>
      <c r="K1640" s="1769"/>
      <c r="L1640" s="1770"/>
      <c r="N1640" s="1770">
        <f t="shared" si="25"/>
        <v>0</v>
      </c>
    </row>
    <row r="1641" spans="2:14">
      <c r="B1641" s="1528"/>
      <c r="C1641" s="1723"/>
      <c r="D1641" s="1507" t="s">
        <v>372</v>
      </c>
      <c r="E1641" s="1771"/>
      <c r="F1641" s="1772"/>
      <c r="H1641" s="1528"/>
      <c r="I1641" s="1723"/>
      <c r="J1641" s="1507" t="s">
        <v>372</v>
      </c>
      <c r="K1641" s="1771"/>
      <c r="L1641" s="1772"/>
      <c r="N1641" s="1772">
        <f t="shared" si="25"/>
        <v>0</v>
      </c>
    </row>
    <row r="1642" spans="2:14">
      <c r="B1642" s="1528"/>
      <c r="C1642" s="1723" t="s">
        <v>146</v>
      </c>
      <c r="D1642" s="1507" t="s">
        <v>373</v>
      </c>
      <c r="E1642" s="1771"/>
      <c r="F1642" s="1772"/>
      <c r="H1642" s="1528"/>
      <c r="I1642" s="1723" t="s">
        <v>146</v>
      </c>
      <c r="J1642" s="1507" t="s">
        <v>373</v>
      </c>
      <c r="K1642" s="1771"/>
      <c r="L1642" s="1772"/>
      <c r="N1642" s="1772">
        <f t="shared" si="25"/>
        <v>0</v>
      </c>
    </row>
    <row r="1643" spans="2:14">
      <c r="B1643" s="61"/>
      <c r="C1643" s="55"/>
      <c r="D1643" s="1761">
        <v>2110100</v>
      </c>
      <c r="E1643" s="1762" t="s">
        <v>13</v>
      </c>
      <c r="F1643" s="1763">
        <v>0</v>
      </c>
      <c r="H1643" s="61"/>
      <c r="I1643" s="55"/>
      <c r="J1643" s="1761">
        <v>2110100</v>
      </c>
      <c r="K1643" s="1762" t="s">
        <v>13</v>
      </c>
      <c r="L1643" s="1763">
        <v>0</v>
      </c>
      <c r="N1643" s="1763">
        <f t="shared" si="25"/>
        <v>0</v>
      </c>
    </row>
    <row r="1644" spans="2:14">
      <c r="B1644" s="61"/>
      <c r="C1644" s="55"/>
      <c r="D1644" s="62">
        <v>2110101</v>
      </c>
      <c r="E1644" s="63" t="s">
        <v>14</v>
      </c>
      <c r="F1644" s="153">
        <v>0</v>
      </c>
      <c r="H1644" s="61"/>
      <c r="I1644" s="55"/>
      <c r="J1644" s="62">
        <v>2110101</v>
      </c>
      <c r="K1644" s="63" t="s">
        <v>14</v>
      </c>
      <c r="L1644" s="153">
        <v>0</v>
      </c>
      <c r="N1644" s="153">
        <f t="shared" si="25"/>
        <v>0</v>
      </c>
    </row>
    <row r="1645" spans="2:14">
      <c r="B1645" s="61"/>
      <c r="C1645" s="55"/>
      <c r="D1645" s="1761">
        <v>2210200</v>
      </c>
      <c r="E1645" s="1762" t="s">
        <v>20</v>
      </c>
      <c r="F1645" s="1763">
        <v>318000</v>
      </c>
      <c r="H1645" s="61"/>
      <c r="I1645" s="55"/>
      <c r="J1645" s="1761">
        <v>2210200</v>
      </c>
      <c r="K1645" s="1762" t="s">
        <v>20</v>
      </c>
      <c r="L1645" s="1763">
        <v>318000</v>
      </c>
      <c r="N1645" s="1763">
        <f t="shared" si="25"/>
        <v>0</v>
      </c>
    </row>
    <row r="1646" spans="2:14">
      <c r="B1646" s="61"/>
      <c r="C1646" s="55"/>
      <c r="D1646" s="62">
        <v>2210201</v>
      </c>
      <c r="E1646" s="63" t="s">
        <v>187</v>
      </c>
      <c r="F1646" s="153">
        <v>248000</v>
      </c>
      <c r="H1646" s="61"/>
      <c r="I1646" s="55"/>
      <c r="J1646" s="62">
        <v>2210201</v>
      </c>
      <c r="K1646" s="63" t="s">
        <v>187</v>
      </c>
      <c r="L1646" s="153">
        <v>248000</v>
      </c>
      <c r="N1646" s="153">
        <f t="shared" si="25"/>
        <v>0</v>
      </c>
    </row>
    <row r="1647" spans="2:14">
      <c r="B1647" s="61"/>
      <c r="C1647" s="55"/>
      <c r="D1647" s="62">
        <v>2210202</v>
      </c>
      <c r="E1647" s="63" t="s">
        <v>359</v>
      </c>
      <c r="F1647" s="153">
        <v>60000</v>
      </c>
      <c r="H1647" s="61"/>
      <c r="I1647" s="55"/>
      <c r="J1647" s="62">
        <v>2210202</v>
      </c>
      <c r="K1647" s="63" t="s">
        <v>359</v>
      </c>
      <c r="L1647" s="153">
        <v>60000</v>
      </c>
      <c r="N1647" s="153">
        <f t="shared" si="25"/>
        <v>0</v>
      </c>
    </row>
    <row r="1648" spans="2:14">
      <c r="B1648" s="61"/>
      <c r="C1648" s="55"/>
      <c r="D1648" s="62">
        <v>2210203</v>
      </c>
      <c r="E1648" s="63" t="s">
        <v>23</v>
      </c>
      <c r="F1648" s="153">
        <v>10000</v>
      </c>
      <c r="H1648" s="61"/>
      <c r="I1648" s="55"/>
      <c r="J1648" s="62">
        <v>2210203</v>
      </c>
      <c r="K1648" s="63" t="s">
        <v>23</v>
      </c>
      <c r="L1648" s="153">
        <v>10000</v>
      </c>
      <c r="N1648" s="153">
        <f t="shared" si="25"/>
        <v>0</v>
      </c>
    </row>
    <row r="1649" spans="2:14">
      <c r="B1649" s="1761"/>
      <c r="C1649" s="55"/>
      <c r="D1649" s="1761">
        <v>2210300</v>
      </c>
      <c r="E1649" s="1762" t="s">
        <v>24</v>
      </c>
      <c r="F1649" s="1763">
        <v>1361300</v>
      </c>
      <c r="H1649" s="1761"/>
      <c r="I1649" s="55"/>
      <c r="J1649" s="1761">
        <v>2210300</v>
      </c>
      <c r="K1649" s="1762" t="s">
        <v>24</v>
      </c>
      <c r="L1649" s="1763">
        <v>1361300</v>
      </c>
      <c r="N1649" s="1763">
        <f t="shared" si="25"/>
        <v>0</v>
      </c>
    </row>
    <row r="1650" spans="2:14">
      <c r="B1650" s="61"/>
      <c r="C1650" s="62"/>
      <c r="D1650" s="62">
        <v>2210301</v>
      </c>
      <c r="E1650" s="63" t="s">
        <v>188</v>
      </c>
      <c r="F1650" s="153">
        <v>400000</v>
      </c>
      <c r="H1650" s="61"/>
      <c r="I1650" s="62"/>
      <c r="J1650" s="62">
        <v>2210301</v>
      </c>
      <c r="K1650" s="63" t="s">
        <v>188</v>
      </c>
      <c r="L1650" s="153">
        <v>400000</v>
      </c>
      <c r="N1650" s="153">
        <f t="shared" si="25"/>
        <v>0</v>
      </c>
    </row>
    <row r="1651" spans="2:14">
      <c r="B1651" s="61"/>
      <c r="C1651" s="62"/>
      <c r="D1651" s="62">
        <v>2210302</v>
      </c>
      <c r="E1651" s="63" t="s">
        <v>26</v>
      </c>
      <c r="F1651" s="153">
        <v>578500</v>
      </c>
      <c r="H1651" s="61"/>
      <c r="I1651" s="62"/>
      <c r="J1651" s="62">
        <v>2210302</v>
      </c>
      <c r="K1651" s="63" t="s">
        <v>26</v>
      </c>
      <c r="L1651" s="153">
        <v>578500</v>
      </c>
      <c r="N1651" s="153">
        <f t="shared" si="25"/>
        <v>0</v>
      </c>
    </row>
    <row r="1652" spans="2:14">
      <c r="B1652" s="61"/>
      <c r="C1652" s="62"/>
      <c r="D1652" s="62">
        <v>2210303</v>
      </c>
      <c r="E1652" s="63" t="s">
        <v>223</v>
      </c>
      <c r="F1652" s="153">
        <v>382800</v>
      </c>
      <c r="H1652" s="61"/>
      <c r="I1652" s="62"/>
      <c r="J1652" s="62">
        <v>2210303</v>
      </c>
      <c r="K1652" s="63" t="s">
        <v>223</v>
      </c>
      <c r="L1652" s="153">
        <v>382800</v>
      </c>
      <c r="N1652" s="153">
        <f t="shared" si="25"/>
        <v>0</v>
      </c>
    </row>
    <row r="1653" spans="2:14">
      <c r="B1653" s="61"/>
      <c r="C1653" s="62"/>
      <c r="D1653" s="1761">
        <v>2210500</v>
      </c>
      <c r="E1653" s="1762" t="s">
        <v>31</v>
      </c>
      <c r="F1653" s="1763">
        <v>400000</v>
      </c>
      <c r="H1653" s="61"/>
      <c r="I1653" s="62"/>
      <c r="J1653" s="1761">
        <v>2210500</v>
      </c>
      <c r="K1653" s="1762" t="s">
        <v>31</v>
      </c>
      <c r="L1653" s="1763">
        <v>400000</v>
      </c>
      <c r="N1653" s="1763">
        <f t="shared" si="25"/>
        <v>0</v>
      </c>
    </row>
    <row r="1654" spans="2:14">
      <c r="B1654" s="61"/>
      <c r="C1654" s="62"/>
      <c r="D1654" s="62">
        <v>2210502</v>
      </c>
      <c r="E1654" s="63" t="s">
        <v>105</v>
      </c>
      <c r="F1654" s="153">
        <v>100000</v>
      </c>
      <c r="H1654" s="61"/>
      <c r="I1654" s="62"/>
      <c r="J1654" s="62">
        <v>2210502</v>
      </c>
      <c r="K1654" s="63" t="s">
        <v>105</v>
      </c>
      <c r="L1654" s="153">
        <v>100000</v>
      </c>
      <c r="N1654" s="153">
        <f t="shared" si="25"/>
        <v>0</v>
      </c>
    </row>
    <row r="1655" spans="2:14">
      <c r="B1655" s="61"/>
      <c r="C1655" s="62"/>
      <c r="D1655" s="62">
        <v>2210503</v>
      </c>
      <c r="E1655" s="63" t="s">
        <v>32</v>
      </c>
      <c r="F1655" s="153">
        <v>65000</v>
      </c>
      <c r="H1655" s="61"/>
      <c r="I1655" s="62"/>
      <c r="J1655" s="62">
        <v>2210503</v>
      </c>
      <c r="K1655" s="63" t="s">
        <v>32</v>
      </c>
      <c r="L1655" s="153">
        <v>65000</v>
      </c>
      <c r="N1655" s="153">
        <f t="shared" si="25"/>
        <v>0</v>
      </c>
    </row>
    <row r="1656" spans="2:14">
      <c r="B1656" s="61"/>
      <c r="C1656" s="62"/>
      <c r="D1656" s="62">
        <v>2210504</v>
      </c>
      <c r="E1656" s="63" t="s">
        <v>33</v>
      </c>
      <c r="F1656" s="153">
        <v>235000</v>
      </c>
      <c r="H1656" s="61"/>
      <c r="I1656" s="62"/>
      <c r="J1656" s="62">
        <v>2210504</v>
      </c>
      <c r="K1656" s="63" t="s">
        <v>33</v>
      </c>
      <c r="L1656" s="153">
        <v>235000</v>
      </c>
      <c r="N1656" s="153">
        <f t="shared" si="25"/>
        <v>0</v>
      </c>
    </row>
    <row r="1657" spans="2:14">
      <c r="B1657" s="61"/>
      <c r="C1657" s="62"/>
      <c r="D1657" s="1761">
        <v>2210700</v>
      </c>
      <c r="E1657" s="1762" t="s">
        <v>35</v>
      </c>
      <c r="F1657" s="1763">
        <v>775000</v>
      </c>
      <c r="H1657" s="61"/>
      <c r="I1657" s="62"/>
      <c r="J1657" s="1761">
        <v>2210700</v>
      </c>
      <c r="K1657" s="1762" t="s">
        <v>35</v>
      </c>
      <c r="L1657" s="1763">
        <v>775000</v>
      </c>
      <c r="N1657" s="1763">
        <f t="shared" si="25"/>
        <v>0</v>
      </c>
    </row>
    <row r="1658" spans="2:14">
      <c r="B1658" s="61"/>
      <c r="C1658" s="62"/>
      <c r="D1658" s="62">
        <v>2210701</v>
      </c>
      <c r="E1658" s="63" t="s">
        <v>190</v>
      </c>
      <c r="F1658" s="153">
        <v>75000</v>
      </c>
      <c r="H1658" s="61"/>
      <c r="I1658" s="62"/>
      <c r="J1658" s="62">
        <v>2210701</v>
      </c>
      <c r="K1658" s="63" t="s">
        <v>190</v>
      </c>
      <c r="L1658" s="153">
        <v>75000</v>
      </c>
      <c r="N1658" s="153">
        <f t="shared" si="25"/>
        <v>0</v>
      </c>
    </row>
    <row r="1659" spans="2:14">
      <c r="B1659" s="61"/>
      <c r="C1659" s="62"/>
      <c r="D1659" s="62">
        <v>2210704</v>
      </c>
      <c r="E1659" s="63" t="s">
        <v>38</v>
      </c>
      <c r="F1659" s="153">
        <v>100000</v>
      </c>
      <c r="H1659" s="61"/>
      <c r="I1659" s="62"/>
      <c r="J1659" s="62">
        <v>2210704</v>
      </c>
      <c r="K1659" s="63" t="s">
        <v>38</v>
      </c>
      <c r="L1659" s="153">
        <v>100000</v>
      </c>
      <c r="N1659" s="153">
        <f t="shared" si="25"/>
        <v>0</v>
      </c>
    </row>
    <row r="1660" spans="2:14">
      <c r="B1660" s="61"/>
      <c r="C1660" s="62"/>
      <c r="D1660" s="62">
        <v>2210710</v>
      </c>
      <c r="E1660" s="63" t="s">
        <v>361</v>
      </c>
      <c r="F1660" s="153">
        <v>180000</v>
      </c>
      <c r="H1660" s="61"/>
      <c r="I1660" s="62"/>
      <c r="J1660" s="62">
        <v>2210710</v>
      </c>
      <c r="K1660" s="63" t="s">
        <v>361</v>
      </c>
      <c r="L1660" s="153">
        <v>180000</v>
      </c>
      <c r="N1660" s="153">
        <f t="shared" si="25"/>
        <v>0</v>
      </c>
    </row>
    <row r="1661" spans="2:14">
      <c r="B1661" s="61"/>
      <c r="C1661" s="62"/>
      <c r="D1661" s="62">
        <v>2210715</v>
      </c>
      <c r="E1661" s="63" t="s">
        <v>362</v>
      </c>
      <c r="F1661" s="153">
        <v>420000</v>
      </c>
      <c r="H1661" s="61"/>
      <c r="I1661" s="62"/>
      <c r="J1661" s="62">
        <v>2210715</v>
      </c>
      <c r="K1661" s="63" t="s">
        <v>362</v>
      </c>
      <c r="L1661" s="153">
        <v>420000</v>
      </c>
      <c r="N1661" s="153">
        <f t="shared" si="25"/>
        <v>0</v>
      </c>
    </row>
    <row r="1662" spans="2:14">
      <c r="B1662" s="61"/>
      <c r="C1662" s="55"/>
      <c r="D1662" s="1761">
        <v>2210800</v>
      </c>
      <c r="E1662" s="1762" t="s">
        <v>42</v>
      </c>
      <c r="F1662" s="1763">
        <v>340000</v>
      </c>
      <c r="H1662" s="61"/>
      <c r="I1662" s="55"/>
      <c r="J1662" s="1761">
        <v>2210800</v>
      </c>
      <c r="K1662" s="1762" t="s">
        <v>42</v>
      </c>
      <c r="L1662" s="1763">
        <v>340000</v>
      </c>
      <c r="N1662" s="1763">
        <f t="shared" si="25"/>
        <v>0</v>
      </c>
    </row>
    <row r="1663" spans="2:14">
      <c r="B1663" s="61"/>
      <c r="C1663" s="55"/>
      <c r="D1663" s="62">
        <v>2210801</v>
      </c>
      <c r="E1663" s="63" t="s">
        <v>195</v>
      </c>
      <c r="F1663" s="153">
        <v>240000</v>
      </c>
      <c r="H1663" s="61"/>
      <c r="I1663" s="55"/>
      <c r="J1663" s="62">
        <v>2210801</v>
      </c>
      <c r="K1663" s="63" t="s">
        <v>195</v>
      </c>
      <c r="L1663" s="153">
        <v>240000</v>
      </c>
      <c r="N1663" s="153">
        <f t="shared" si="25"/>
        <v>0</v>
      </c>
    </row>
    <row r="1664" spans="2:14">
      <c r="B1664" s="61"/>
      <c r="C1664" s="55"/>
      <c r="D1664" s="62">
        <v>2210802</v>
      </c>
      <c r="E1664" s="63" t="s">
        <v>97</v>
      </c>
      <c r="F1664" s="153">
        <v>100000</v>
      </c>
      <c r="H1664" s="61"/>
      <c r="I1664" s="55"/>
      <c r="J1664" s="62">
        <v>2210802</v>
      </c>
      <c r="K1664" s="63" t="s">
        <v>97</v>
      </c>
      <c r="L1664" s="153">
        <v>100000</v>
      </c>
      <c r="N1664" s="153">
        <f t="shared" si="25"/>
        <v>0</v>
      </c>
    </row>
    <row r="1665" spans="2:14">
      <c r="B1665" s="61"/>
      <c r="C1665" s="55"/>
      <c r="D1665" s="1761">
        <v>2211100</v>
      </c>
      <c r="E1665" s="1762" t="s">
        <v>51</v>
      </c>
      <c r="F1665" s="1763">
        <v>638000</v>
      </c>
      <c r="H1665" s="61"/>
      <c r="I1665" s="55"/>
      <c r="J1665" s="1761">
        <v>2211100</v>
      </c>
      <c r="K1665" s="1762" t="s">
        <v>51</v>
      </c>
      <c r="L1665" s="1763">
        <v>638000</v>
      </c>
      <c r="N1665" s="1763">
        <f t="shared" si="25"/>
        <v>0</v>
      </c>
    </row>
    <row r="1666" spans="2:14">
      <c r="B1666" s="61"/>
      <c r="C1666" s="55"/>
      <c r="D1666" s="62">
        <v>2211101</v>
      </c>
      <c r="E1666" s="63" t="s">
        <v>289</v>
      </c>
      <c r="F1666" s="153">
        <v>255200</v>
      </c>
      <c r="H1666" s="61"/>
      <c r="I1666" s="55"/>
      <c r="J1666" s="62">
        <v>2211101</v>
      </c>
      <c r="K1666" s="63" t="s">
        <v>289</v>
      </c>
      <c r="L1666" s="153">
        <v>255200</v>
      </c>
      <c r="N1666" s="153">
        <f t="shared" si="25"/>
        <v>0</v>
      </c>
    </row>
    <row r="1667" spans="2:14">
      <c r="B1667" s="61"/>
      <c r="C1667" s="55"/>
      <c r="D1667" s="62">
        <v>2211102</v>
      </c>
      <c r="E1667" s="63" t="s">
        <v>53</v>
      </c>
      <c r="F1667" s="153">
        <v>255200</v>
      </c>
      <c r="H1667" s="61"/>
      <c r="I1667" s="55"/>
      <c r="J1667" s="62">
        <v>2211102</v>
      </c>
      <c r="K1667" s="63" t="s">
        <v>53</v>
      </c>
      <c r="L1667" s="153">
        <v>255200</v>
      </c>
      <c r="N1667" s="153">
        <f t="shared" si="25"/>
        <v>0</v>
      </c>
    </row>
    <row r="1668" spans="2:14">
      <c r="B1668" s="61"/>
      <c r="C1668" s="55"/>
      <c r="D1668" s="62">
        <v>2211103</v>
      </c>
      <c r="E1668" s="63" t="s">
        <v>54</v>
      </c>
      <c r="F1668" s="153">
        <v>127600</v>
      </c>
      <c r="H1668" s="61"/>
      <c r="I1668" s="55"/>
      <c r="J1668" s="62">
        <v>2211103</v>
      </c>
      <c r="K1668" s="63" t="s">
        <v>54</v>
      </c>
      <c r="L1668" s="153">
        <v>127600</v>
      </c>
      <c r="N1668" s="153">
        <f t="shared" si="25"/>
        <v>0</v>
      </c>
    </row>
    <row r="1669" spans="2:14">
      <c r="B1669" s="1761"/>
      <c r="C1669" s="55"/>
      <c r="D1669" s="1761">
        <v>2211300</v>
      </c>
      <c r="E1669" s="1762" t="s">
        <v>57</v>
      </c>
      <c r="F1669" s="1763">
        <v>497000</v>
      </c>
      <c r="H1669" s="1761"/>
      <c r="I1669" s="55"/>
      <c r="J1669" s="1761">
        <v>2211300</v>
      </c>
      <c r="K1669" s="1762" t="s">
        <v>57</v>
      </c>
      <c r="L1669" s="1763">
        <v>497000</v>
      </c>
      <c r="N1669" s="1763">
        <f t="shared" si="25"/>
        <v>0</v>
      </c>
    </row>
    <row r="1670" spans="2:14">
      <c r="B1670" s="61"/>
      <c r="C1670" s="55"/>
      <c r="D1670" s="62">
        <v>2211305</v>
      </c>
      <c r="E1670" s="63" t="s">
        <v>365</v>
      </c>
      <c r="F1670" s="153">
        <v>432000</v>
      </c>
      <c r="H1670" s="61"/>
      <c r="I1670" s="55"/>
      <c r="J1670" s="62">
        <v>2211305</v>
      </c>
      <c r="K1670" s="63" t="s">
        <v>365</v>
      </c>
      <c r="L1670" s="153">
        <v>432000</v>
      </c>
      <c r="N1670" s="153">
        <f t="shared" si="25"/>
        <v>0</v>
      </c>
    </row>
    <row r="1671" spans="2:14">
      <c r="B1671" s="61"/>
      <c r="C1671" s="55"/>
      <c r="D1671" s="62">
        <v>2211306</v>
      </c>
      <c r="E1671" s="63" t="s">
        <v>58</v>
      </c>
      <c r="F1671" s="153">
        <v>65000</v>
      </c>
      <c r="H1671" s="61"/>
      <c r="I1671" s="55"/>
      <c r="J1671" s="62">
        <v>2211306</v>
      </c>
      <c r="K1671" s="63" t="s">
        <v>58</v>
      </c>
      <c r="L1671" s="153">
        <v>65000</v>
      </c>
      <c r="N1671" s="153">
        <f t="shared" si="25"/>
        <v>0</v>
      </c>
    </row>
    <row r="1672" spans="2:14">
      <c r="B1672" s="61"/>
      <c r="C1672" s="55"/>
      <c r="D1672" s="1761">
        <v>3111000</v>
      </c>
      <c r="E1672" s="1762" t="s">
        <v>69</v>
      </c>
      <c r="F1672" s="1763">
        <v>580000</v>
      </c>
      <c r="H1672" s="61"/>
      <c r="I1672" s="55"/>
      <c r="J1672" s="1761">
        <v>3111000</v>
      </c>
      <c r="K1672" s="1762" t="s">
        <v>69</v>
      </c>
      <c r="L1672" s="1763">
        <v>580000</v>
      </c>
      <c r="N1672" s="1763">
        <f t="shared" ref="N1672:N1735" si="26">F1672-L1672</f>
        <v>0</v>
      </c>
    </row>
    <row r="1673" spans="2:14">
      <c r="B1673" s="61"/>
      <c r="C1673" s="55"/>
      <c r="D1673" s="62">
        <v>3111001</v>
      </c>
      <c r="E1673" s="63" t="s">
        <v>368</v>
      </c>
      <c r="F1673" s="153">
        <v>290000</v>
      </c>
      <c r="H1673" s="61"/>
      <c r="I1673" s="55"/>
      <c r="J1673" s="62">
        <v>3111001</v>
      </c>
      <c r="K1673" s="63" t="s">
        <v>368</v>
      </c>
      <c r="L1673" s="153">
        <v>290000</v>
      </c>
      <c r="N1673" s="153">
        <f t="shared" si="26"/>
        <v>0</v>
      </c>
    </row>
    <row r="1674" spans="2:14">
      <c r="B1674" s="61"/>
      <c r="C1674" s="55"/>
      <c r="D1674" s="62">
        <v>3111002</v>
      </c>
      <c r="E1674" s="63" t="s">
        <v>369</v>
      </c>
      <c r="F1674" s="153">
        <v>290000</v>
      </c>
      <c r="H1674" s="61"/>
      <c r="I1674" s="55"/>
      <c r="J1674" s="62">
        <v>3111002</v>
      </c>
      <c r="K1674" s="63" t="s">
        <v>369</v>
      </c>
      <c r="L1674" s="153">
        <v>290000</v>
      </c>
      <c r="N1674" s="153">
        <f t="shared" si="26"/>
        <v>0</v>
      </c>
    </row>
    <row r="1675" spans="2:14" ht="30">
      <c r="B1675" s="61"/>
      <c r="C1675" s="55"/>
      <c r="D1675" s="1761">
        <v>3111400</v>
      </c>
      <c r="E1675" s="1762" t="s">
        <v>300</v>
      </c>
      <c r="F1675" s="1773">
        <v>700000</v>
      </c>
      <c r="H1675" s="61"/>
      <c r="I1675" s="55"/>
      <c r="J1675" s="1761">
        <v>3111400</v>
      </c>
      <c r="K1675" s="1762" t="s">
        <v>300</v>
      </c>
      <c r="L1675" s="1773">
        <v>700000</v>
      </c>
      <c r="N1675" s="1773">
        <f t="shared" si="26"/>
        <v>0</v>
      </c>
    </row>
    <row r="1676" spans="2:14" ht="30">
      <c r="B1676" s="61"/>
      <c r="C1676" s="55"/>
      <c r="D1676" s="62">
        <v>3111401</v>
      </c>
      <c r="E1676" s="63" t="s">
        <v>1264</v>
      </c>
      <c r="F1676" s="177">
        <v>0</v>
      </c>
      <c r="H1676" s="61"/>
      <c r="I1676" s="55"/>
      <c r="J1676" s="62">
        <v>3111401</v>
      </c>
      <c r="K1676" s="63" t="s">
        <v>1264</v>
      </c>
      <c r="L1676" s="177">
        <v>0</v>
      </c>
      <c r="N1676" s="177">
        <f t="shared" si="26"/>
        <v>0</v>
      </c>
    </row>
    <row r="1677" spans="2:14" ht="30">
      <c r="B1677" s="61"/>
      <c r="C1677" s="55"/>
      <c r="D1677" s="62">
        <v>3111402</v>
      </c>
      <c r="E1677" s="63" t="s">
        <v>374</v>
      </c>
      <c r="F1677" s="153">
        <v>700000</v>
      </c>
      <c r="H1677" s="61"/>
      <c r="I1677" s="55"/>
      <c r="J1677" s="62">
        <v>3111402</v>
      </c>
      <c r="K1677" s="63" t="s">
        <v>374</v>
      </c>
      <c r="L1677" s="153">
        <v>700000</v>
      </c>
      <c r="N1677" s="153">
        <f t="shared" si="26"/>
        <v>0</v>
      </c>
    </row>
    <row r="1678" spans="2:14">
      <c r="B1678" s="1507"/>
      <c r="C1678" s="1723"/>
      <c r="D1678" s="1659" t="s">
        <v>1751</v>
      </c>
      <c r="E1678" s="1765"/>
      <c r="F1678" s="1766">
        <v>5609300</v>
      </c>
      <c r="H1678" s="1507"/>
      <c r="I1678" s="1723"/>
      <c r="J1678" s="1659" t="s">
        <v>1751</v>
      </c>
      <c r="K1678" s="1765"/>
      <c r="L1678" s="1766">
        <v>5609300</v>
      </c>
      <c r="N1678" s="1766">
        <f t="shared" si="26"/>
        <v>0</v>
      </c>
    </row>
    <row r="1679" spans="2:14">
      <c r="B1679" s="61"/>
      <c r="C1679" s="55"/>
      <c r="D1679" s="1688"/>
      <c r="E1679" s="1760"/>
      <c r="F1679" s="153"/>
      <c r="H1679" s="61"/>
      <c r="I1679" s="55"/>
      <c r="J1679" s="1688"/>
      <c r="K1679" s="1760"/>
      <c r="L1679" s="153"/>
      <c r="N1679" s="153">
        <f t="shared" si="26"/>
        <v>0</v>
      </c>
    </row>
    <row r="1680" spans="2:14">
      <c r="B1680" s="61"/>
      <c r="C1680" s="55"/>
      <c r="D1680" s="1671" t="s">
        <v>373</v>
      </c>
      <c r="E1680" s="1774"/>
      <c r="F1680" s="153"/>
      <c r="H1680" s="61"/>
      <c r="I1680" s="55"/>
      <c r="J1680" s="1671" t="s">
        <v>373</v>
      </c>
      <c r="K1680" s="1774"/>
      <c r="L1680" s="153"/>
      <c r="N1680" s="153">
        <f t="shared" si="26"/>
        <v>0</v>
      </c>
    </row>
    <row r="1681" spans="2:14">
      <c r="B1681" s="61"/>
      <c r="C1681" s="55"/>
      <c r="D1681" s="1761">
        <v>3110200</v>
      </c>
      <c r="E1681" s="1762" t="s">
        <v>375</v>
      </c>
      <c r="F1681" s="1763">
        <v>0</v>
      </c>
      <c r="H1681" s="61"/>
      <c r="I1681" s="55"/>
      <c r="J1681" s="1761">
        <v>3110200</v>
      </c>
      <c r="K1681" s="1762" t="s">
        <v>375</v>
      </c>
      <c r="L1681" s="1763">
        <v>0</v>
      </c>
      <c r="N1681" s="1763">
        <f t="shared" si="26"/>
        <v>0</v>
      </c>
    </row>
    <row r="1682" spans="2:14" ht="75">
      <c r="B1682" s="61"/>
      <c r="C1682" s="55"/>
      <c r="D1682" s="62">
        <v>3110202</v>
      </c>
      <c r="E1682" s="63" t="s">
        <v>1495</v>
      </c>
      <c r="F1682" s="153"/>
      <c r="H1682" s="61"/>
      <c r="I1682" s="55"/>
      <c r="J1682" s="62">
        <v>3110202</v>
      </c>
      <c r="K1682" s="63" t="s">
        <v>1495</v>
      </c>
      <c r="L1682" s="153"/>
      <c r="N1682" s="153">
        <f t="shared" si="26"/>
        <v>0</v>
      </c>
    </row>
    <row r="1683" spans="2:14">
      <c r="B1683" s="1671"/>
      <c r="C1683" s="55"/>
      <c r="D1683" s="1761">
        <v>3110500</v>
      </c>
      <c r="E1683" s="1762" t="s">
        <v>260</v>
      </c>
      <c r="F1683" s="1763">
        <v>9080000</v>
      </c>
      <c r="H1683" s="1671"/>
      <c r="I1683" s="55"/>
      <c r="J1683" s="1761">
        <v>3110500</v>
      </c>
      <c r="K1683" s="1762" t="s">
        <v>260</v>
      </c>
      <c r="L1683" s="1763">
        <v>9080000</v>
      </c>
      <c r="N1683" s="1763">
        <f t="shared" si="26"/>
        <v>0</v>
      </c>
    </row>
    <row r="1684" spans="2:14" ht="60">
      <c r="B1684" s="61"/>
      <c r="C1684" s="55"/>
      <c r="D1684" s="62">
        <v>3110599</v>
      </c>
      <c r="E1684" s="63" t="s">
        <v>1496</v>
      </c>
      <c r="F1684" s="153">
        <v>4540000</v>
      </c>
      <c r="H1684" s="61"/>
      <c r="I1684" s="55"/>
      <c r="J1684" s="62">
        <v>3110599</v>
      </c>
      <c r="K1684" s="63" t="s">
        <v>1496</v>
      </c>
      <c r="L1684" s="153">
        <v>4540000</v>
      </c>
      <c r="N1684" s="153">
        <f t="shared" si="26"/>
        <v>0</v>
      </c>
    </row>
    <row r="1685" spans="2:14" ht="60">
      <c r="B1685" s="61"/>
      <c r="C1685" s="55"/>
      <c r="D1685" s="62">
        <v>3110599</v>
      </c>
      <c r="E1685" s="63" t="s">
        <v>1497</v>
      </c>
      <c r="F1685" s="153">
        <v>4540000</v>
      </c>
      <c r="H1685" s="61"/>
      <c r="I1685" s="55"/>
      <c r="J1685" s="62">
        <v>3110599</v>
      </c>
      <c r="K1685" s="63" t="s">
        <v>1497</v>
      </c>
      <c r="L1685" s="153">
        <v>4540000</v>
      </c>
      <c r="N1685" s="153">
        <f t="shared" si="26"/>
        <v>0</v>
      </c>
    </row>
    <row r="1686" spans="2:14">
      <c r="B1686" s="1671"/>
      <c r="C1686" s="55"/>
      <c r="D1686" s="1761">
        <v>3111400</v>
      </c>
      <c r="E1686" s="1762" t="s">
        <v>602</v>
      </c>
      <c r="F1686" s="1773">
        <v>0</v>
      </c>
      <c r="H1686" s="1671"/>
      <c r="I1686" s="55"/>
      <c r="J1686" s="1761">
        <v>3111400</v>
      </c>
      <c r="K1686" s="1762" t="s">
        <v>602</v>
      </c>
      <c r="L1686" s="1773">
        <v>0</v>
      </c>
      <c r="N1686" s="1773">
        <f t="shared" si="26"/>
        <v>0</v>
      </c>
    </row>
    <row r="1687" spans="2:14" ht="30">
      <c r="B1687" s="61"/>
      <c r="C1687" s="55"/>
      <c r="D1687" s="62">
        <v>3111401</v>
      </c>
      <c r="E1687" s="63" t="s">
        <v>1264</v>
      </c>
      <c r="F1687" s="177"/>
      <c r="H1687" s="61"/>
      <c r="I1687" s="55"/>
      <c r="J1687" s="62">
        <v>3111401</v>
      </c>
      <c r="K1687" s="63" t="s">
        <v>1264</v>
      </c>
      <c r="L1687" s="177"/>
      <c r="N1687" s="177">
        <f t="shared" si="26"/>
        <v>0</v>
      </c>
    </row>
    <row r="1688" spans="2:14">
      <c r="B1688" s="1507"/>
      <c r="C1688" s="1723"/>
      <c r="D1688" s="1659" t="s">
        <v>376</v>
      </c>
      <c r="E1688" s="1765"/>
      <c r="F1688" s="1722">
        <v>9080000</v>
      </c>
      <c r="H1688" s="1507"/>
      <c r="I1688" s="1723"/>
      <c r="J1688" s="1659" t="s">
        <v>376</v>
      </c>
      <c r="K1688" s="1765"/>
      <c r="L1688" s="1722">
        <v>9080000</v>
      </c>
      <c r="N1688" s="1722">
        <f t="shared" si="26"/>
        <v>0</v>
      </c>
    </row>
    <row r="1689" spans="2:14">
      <c r="B1689" s="1507"/>
      <c r="C1689" s="1723"/>
      <c r="D1689" s="1659" t="s">
        <v>84</v>
      </c>
      <c r="E1689" s="1775"/>
      <c r="F1689" s="1722">
        <v>14689300</v>
      </c>
      <c r="H1689" s="1507"/>
      <c r="I1689" s="1723"/>
      <c r="J1689" s="1659" t="s">
        <v>84</v>
      </c>
      <c r="K1689" s="1775"/>
      <c r="L1689" s="1722">
        <v>14689300</v>
      </c>
      <c r="N1689" s="1722">
        <f t="shared" si="26"/>
        <v>0</v>
      </c>
    </row>
    <row r="1690" spans="2:14">
      <c r="B1690" s="61"/>
      <c r="C1690" s="55"/>
      <c r="D1690" s="1688"/>
      <c r="E1690" s="1776"/>
      <c r="F1690" s="153"/>
      <c r="H1690" s="61"/>
      <c r="I1690" s="55"/>
      <c r="J1690" s="1688"/>
      <c r="K1690" s="1776"/>
      <c r="L1690" s="153"/>
      <c r="N1690" s="153">
        <f t="shared" si="26"/>
        <v>0</v>
      </c>
    </row>
    <row r="1691" spans="2:14">
      <c r="B1691" s="61"/>
      <c r="C1691" s="55"/>
      <c r="D1691" s="1688"/>
      <c r="E1691" s="1760"/>
      <c r="F1691" s="153"/>
      <c r="H1691" s="61"/>
      <c r="I1691" s="55"/>
      <c r="J1691" s="1688"/>
      <c r="K1691" s="1760"/>
      <c r="L1691" s="153"/>
      <c r="N1691" s="153">
        <f t="shared" si="26"/>
        <v>0</v>
      </c>
    </row>
    <row r="1692" spans="2:14">
      <c r="B1692" s="1528"/>
      <c r="C1692" s="1723" t="s">
        <v>146</v>
      </c>
      <c r="D1692" s="1507" t="s">
        <v>1752</v>
      </c>
      <c r="E1692" s="1771"/>
      <c r="F1692" s="1772"/>
      <c r="H1692" s="1528"/>
      <c r="I1692" s="1723" t="s">
        <v>146</v>
      </c>
      <c r="J1692" s="1507" t="s">
        <v>1752</v>
      </c>
      <c r="K1692" s="1771"/>
      <c r="L1692" s="1772"/>
      <c r="N1692" s="1772">
        <f t="shared" si="26"/>
        <v>0</v>
      </c>
    </row>
    <row r="1693" spans="2:14">
      <c r="B1693" s="1528"/>
      <c r="C1693" s="1723"/>
      <c r="D1693" s="1507" t="s">
        <v>377</v>
      </c>
      <c r="E1693" s="1771"/>
      <c r="F1693" s="1772"/>
      <c r="H1693" s="1528"/>
      <c r="I1693" s="1723"/>
      <c r="J1693" s="1507" t="s">
        <v>377</v>
      </c>
      <c r="K1693" s="1771"/>
      <c r="L1693" s="1772"/>
      <c r="N1693" s="1772">
        <f t="shared" si="26"/>
        <v>0</v>
      </c>
    </row>
    <row r="1694" spans="2:14">
      <c r="B1694" s="61"/>
      <c r="C1694" s="55"/>
      <c r="D1694" s="1761">
        <v>2110100</v>
      </c>
      <c r="E1694" s="1762" t="s">
        <v>13</v>
      </c>
      <c r="F1694" s="1763">
        <v>0</v>
      </c>
      <c r="H1694" s="61"/>
      <c r="I1694" s="55"/>
      <c r="J1694" s="1761">
        <v>2110100</v>
      </c>
      <c r="K1694" s="1762" t="s">
        <v>13</v>
      </c>
      <c r="L1694" s="1763">
        <v>0</v>
      </c>
      <c r="N1694" s="1763">
        <f t="shared" si="26"/>
        <v>0</v>
      </c>
    </row>
    <row r="1695" spans="2:14">
      <c r="B1695" s="61"/>
      <c r="C1695" s="55"/>
      <c r="D1695" s="62">
        <v>2110101</v>
      </c>
      <c r="E1695" s="63" t="s">
        <v>14</v>
      </c>
      <c r="F1695" s="153"/>
      <c r="H1695" s="61"/>
      <c r="I1695" s="55"/>
      <c r="J1695" s="62">
        <v>2110101</v>
      </c>
      <c r="K1695" s="63" t="s">
        <v>14</v>
      </c>
      <c r="L1695" s="153"/>
      <c r="N1695" s="153">
        <f t="shared" si="26"/>
        <v>0</v>
      </c>
    </row>
    <row r="1696" spans="2:14">
      <c r="B1696" s="61"/>
      <c r="C1696" s="55"/>
      <c r="D1696" s="1761">
        <v>2210200</v>
      </c>
      <c r="E1696" s="1762" t="s">
        <v>20</v>
      </c>
      <c r="F1696" s="1763">
        <v>350000</v>
      </c>
      <c r="H1696" s="61"/>
      <c r="I1696" s="55"/>
      <c r="J1696" s="1761">
        <v>2210200</v>
      </c>
      <c r="K1696" s="1762" t="s">
        <v>20</v>
      </c>
      <c r="L1696" s="1763">
        <v>350000</v>
      </c>
      <c r="N1696" s="1763">
        <f t="shared" si="26"/>
        <v>0</v>
      </c>
    </row>
    <row r="1697" spans="2:14">
      <c r="B1697" s="61"/>
      <c r="C1697" s="55"/>
      <c r="D1697" s="62">
        <v>2210201</v>
      </c>
      <c r="E1697" s="63" t="s">
        <v>187</v>
      </c>
      <c r="F1697" s="153">
        <v>280000</v>
      </c>
      <c r="H1697" s="61"/>
      <c r="I1697" s="55"/>
      <c r="J1697" s="62">
        <v>2210201</v>
      </c>
      <c r="K1697" s="63" t="s">
        <v>187</v>
      </c>
      <c r="L1697" s="153">
        <v>280000</v>
      </c>
      <c r="N1697" s="153">
        <f t="shared" si="26"/>
        <v>0</v>
      </c>
    </row>
    <row r="1698" spans="2:14">
      <c r="B1698" s="61"/>
      <c r="C1698" s="55"/>
      <c r="D1698" s="62">
        <v>2210202</v>
      </c>
      <c r="E1698" s="63" t="s">
        <v>359</v>
      </c>
      <c r="F1698" s="153">
        <v>50000</v>
      </c>
      <c r="H1698" s="61"/>
      <c r="I1698" s="55"/>
      <c r="J1698" s="62">
        <v>2210202</v>
      </c>
      <c r="K1698" s="63" t="s">
        <v>359</v>
      </c>
      <c r="L1698" s="153">
        <v>50000</v>
      </c>
      <c r="N1698" s="153">
        <f t="shared" si="26"/>
        <v>0</v>
      </c>
    </row>
    <row r="1699" spans="2:14">
      <c r="B1699" s="61"/>
      <c r="C1699" s="55"/>
      <c r="D1699" s="62">
        <v>2210203</v>
      </c>
      <c r="E1699" s="63" t="s">
        <v>23</v>
      </c>
      <c r="F1699" s="153">
        <v>20000</v>
      </c>
      <c r="H1699" s="61"/>
      <c r="I1699" s="55"/>
      <c r="J1699" s="62">
        <v>2210203</v>
      </c>
      <c r="K1699" s="63" t="s">
        <v>23</v>
      </c>
      <c r="L1699" s="153">
        <v>20000</v>
      </c>
      <c r="N1699" s="153">
        <f t="shared" si="26"/>
        <v>0</v>
      </c>
    </row>
    <row r="1700" spans="2:14">
      <c r="B1700" s="61"/>
      <c r="C1700" s="55"/>
      <c r="D1700" s="1761">
        <v>2210300</v>
      </c>
      <c r="E1700" s="1762" t="s">
        <v>24</v>
      </c>
      <c r="F1700" s="1763">
        <v>1261300</v>
      </c>
      <c r="H1700" s="61"/>
      <c r="I1700" s="55"/>
      <c r="J1700" s="1761">
        <v>2210300</v>
      </c>
      <c r="K1700" s="1762" t="s">
        <v>24</v>
      </c>
      <c r="L1700" s="1763">
        <v>1261300</v>
      </c>
      <c r="N1700" s="1763">
        <f t="shared" si="26"/>
        <v>0</v>
      </c>
    </row>
    <row r="1701" spans="2:14">
      <c r="B1701" s="61"/>
      <c r="C1701" s="55"/>
      <c r="D1701" s="62">
        <v>2210301</v>
      </c>
      <c r="E1701" s="63" t="s">
        <v>188</v>
      </c>
      <c r="F1701" s="153">
        <v>400000</v>
      </c>
      <c r="H1701" s="61"/>
      <c r="I1701" s="55"/>
      <c r="J1701" s="62">
        <v>2210301</v>
      </c>
      <c r="K1701" s="63" t="s">
        <v>188</v>
      </c>
      <c r="L1701" s="153">
        <v>400000</v>
      </c>
      <c r="N1701" s="153">
        <f t="shared" si="26"/>
        <v>0</v>
      </c>
    </row>
    <row r="1702" spans="2:14">
      <c r="B1702" s="61"/>
      <c r="C1702" s="55"/>
      <c r="D1702" s="62">
        <v>2210302</v>
      </c>
      <c r="E1702" s="63" t="s">
        <v>26</v>
      </c>
      <c r="F1702" s="153">
        <v>478500</v>
      </c>
      <c r="H1702" s="61"/>
      <c r="I1702" s="55"/>
      <c r="J1702" s="62">
        <v>2210302</v>
      </c>
      <c r="K1702" s="63" t="s">
        <v>26</v>
      </c>
      <c r="L1702" s="153">
        <v>478500</v>
      </c>
      <c r="N1702" s="153">
        <f t="shared" si="26"/>
        <v>0</v>
      </c>
    </row>
    <row r="1703" spans="2:14">
      <c r="B1703" s="61"/>
      <c r="C1703" s="55"/>
      <c r="D1703" s="62">
        <v>2210303</v>
      </c>
      <c r="E1703" s="63" t="s">
        <v>223</v>
      </c>
      <c r="F1703" s="153">
        <v>382800</v>
      </c>
      <c r="H1703" s="61"/>
      <c r="I1703" s="55"/>
      <c r="J1703" s="62">
        <v>2210303</v>
      </c>
      <c r="K1703" s="63" t="s">
        <v>223</v>
      </c>
      <c r="L1703" s="153">
        <v>382800</v>
      </c>
      <c r="N1703" s="153">
        <f t="shared" si="26"/>
        <v>0</v>
      </c>
    </row>
    <row r="1704" spans="2:14">
      <c r="B1704" s="61"/>
      <c r="C1704" s="55"/>
      <c r="D1704" s="1761">
        <v>2210500</v>
      </c>
      <c r="E1704" s="1762" t="s">
        <v>31</v>
      </c>
      <c r="F1704" s="1763">
        <v>400000</v>
      </c>
      <c r="H1704" s="61"/>
      <c r="I1704" s="55"/>
      <c r="J1704" s="1761">
        <v>2210500</v>
      </c>
      <c r="K1704" s="1762" t="s">
        <v>31</v>
      </c>
      <c r="L1704" s="1763">
        <v>400000</v>
      </c>
      <c r="N1704" s="1763">
        <f t="shared" si="26"/>
        <v>0</v>
      </c>
    </row>
    <row r="1705" spans="2:14">
      <c r="B1705" s="61"/>
      <c r="C1705" s="55"/>
      <c r="D1705" s="62">
        <v>2210502</v>
      </c>
      <c r="E1705" s="63" t="s">
        <v>105</v>
      </c>
      <c r="F1705" s="153">
        <v>100000</v>
      </c>
      <c r="H1705" s="61"/>
      <c r="I1705" s="55"/>
      <c r="J1705" s="62">
        <v>2210502</v>
      </c>
      <c r="K1705" s="63" t="s">
        <v>105</v>
      </c>
      <c r="L1705" s="153">
        <v>100000</v>
      </c>
      <c r="N1705" s="153">
        <f t="shared" si="26"/>
        <v>0</v>
      </c>
    </row>
    <row r="1706" spans="2:14">
      <c r="B1706" s="61"/>
      <c r="C1706" s="55"/>
      <c r="D1706" s="62">
        <v>2210503</v>
      </c>
      <c r="E1706" s="63" t="s">
        <v>32</v>
      </c>
      <c r="F1706" s="153">
        <v>65000</v>
      </c>
      <c r="H1706" s="61"/>
      <c r="I1706" s="55"/>
      <c r="J1706" s="62">
        <v>2210503</v>
      </c>
      <c r="K1706" s="63" t="s">
        <v>32</v>
      </c>
      <c r="L1706" s="153">
        <v>65000</v>
      </c>
      <c r="N1706" s="153">
        <f t="shared" si="26"/>
        <v>0</v>
      </c>
    </row>
    <row r="1707" spans="2:14">
      <c r="B1707" s="61"/>
      <c r="C1707" s="55"/>
      <c r="D1707" s="62">
        <v>2210504</v>
      </c>
      <c r="E1707" s="63" t="s">
        <v>33</v>
      </c>
      <c r="F1707" s="153">
        <v>235000</v>
      </c>
      <c r="H1707" s="61"/>
      <c r="I1707" s="55"/>
      <c r="J1707" s="62">
        <v>2210504</v>
      </c>
      <c r="K1707" s="63" t="s">
        <v>33</v>
      </c>
      <c r="L1707" s="153">
        <v>235000</v>
      </c>
      <c r="N1707" s="153">
        <f t="shared" si="26"/>
        <v>0</v>
      </c>
    </row>
    <row r="1708" spans="2:14">
      <c r="B1708" s="61"/>
      <c r="C1708" s="55"/>
      <c r="D1708" s="1761">
        <v>2210700</v>
      </c>
      <c r="E1708" s="1762" t="s">
        <v>35</v>
      </c>
      <c r="F1708" s="1763">
        <v>775000</v>
      </c>
      <c r="H1708" s="61"/>
      <c r="I1708" s="55"/>
      <c r="J1708" s="1761">
        <v>2210700</v>
      </c>
      <c r="K1708" s="1762" t="s">
        <v>35</v>
      </c>
      <c r="L1708" s="1763">
        <v>775000</v>
      </c>
      <c r="N1708" s="1763">
        <f t="shared" si="26"/>
        <v>0</v>
      </c>
    </row>
    <row r="1709" spans="2:14">
      <c r="B1709" s="61"/>
      <c r="C1709" s="55"/>
      <c r="D1709" s="62">
        <v>2210701</v>
      </c>
      <c r="E1709" s="63" t="s">
        <v>190</v>
      </c>
      <c r="F1709" s="153">
        <v>75000</v>
      </c>
      <c r="H1709" s="61"/>
      <c r="I1709" s="55"/>
      <c r="J1709" s="62">
        <v>2210701</v>
      </c>
      <c r="K1709" s="63" t="s">
        <v>190</v>
      </c>
      <c r="L1709" s="153">
        <v>75000</v>
      </c>
      <c r="N1709" s="153">
        <f t="shared" si="26"/>
        <v>0</v>
      </c>
    </row>
    <row r="1710" spans="2:14">
      <c r="B1710" s="61"/>
      <c r="C1710" s="55"/>
      <c r="D1710" s="62">
        <v>2210704</v>
      </c>
      <c r="E1710" s="63" t="s">
        <v>38</v>
      </c>
      <c r="F1710" s="153">
        <v>100000</v>
      </c>
      <c r="H1710" s="61"/>
      <c r="I1710" s="55"/>
      <c r="J1710" s="62">
        <v>2210704</v>
      </c>
      <c r="K1710" s="63" t="s">
        <v>38</v>
      </c>
      <c r="L1710" s="153">
        <v>100000</v>
      </c>
      <c r="N1710" s="153">
        <f t="shared" si="26"/>
        <v>0</v>
      </c>
    </row>
    <row r="1711" spans="2:14">
      <c r="B1711" s="61"/>
      <c r="C1711" s="55"/>
      <c r="D1711" s="62">
        <v>2210710</v>
      </c>
      <c r="E1711" s="63" t="s">
        <v>361</v>
      </c>
      <c r="F1711" s="153">
        <v>180000</v>
      </c>
      <c r="H1711" s="61"/>
      <c r="I1711" s="55"/>
      <c r="J1711" s="62">
        <v>2210710</v>
      </c>
      <c r="K1711" s="63" t="s">
        <v>361</v>
      </c>
      <c r="L1711" s="153">
        <v>180000</v>
      </c>
      <c r="N1711" s="153">
        <f t="shared" si="26"/>
        <v>0</v>
      </c>
    </row>
    <row r="1712" spans="2:14">
      <c r="B1712" s="61"/>
      <c r="C1712" s="55"/>
      <c r="D1712" s="62">
        <v>2210715</v>
      </c>
      <c r="E1712" s="63" t="s">
        <v>362</v>
      </c>
      <c r="F1712" s="153">
        <v>420000</v>
      </c>
      <c r="H1712" s="61"/>
      <c r="I1712" s="55"/>
      <c r="J1712" s="62">
        <v>2210715</v>
      </c>
      <c r="K1712" s="63" t="s">
        <v>362</v>
      </c>
      <c r="L1712" s="153">
        <v>420000</v>
      </c>
      <c r="N1712" s="153">
        <f t="shared" si="26"/>
        <v>0</v>
      </c>
    </row>
    <row r="1713" spans="2:14">
      <c r="B1713" s="61"/>
      <c r="C1713" s="55"/>
      <c r="D1713" s="1761">
        <v>2210800</v>
      </c>
      <c r="E1713" s="1762" t="s">
        <v>42</v>
      </c>
      <c r="F1713" s="1763">
        <v>340000</v>
      </c>
      <c r="H1713" s="61"/>
      <c r="I1713" s="55"/>
      <c r="J1713" s="1761">
        <v>2210800</v>
      </c>
      <c r="K1713" s="1762" t="s">
        <v>42</v>
      </c>
      <c r="L1713" s="1763">
        <v>340000</v>
      </c>
      <c r="N1713" s="1763">
        <f t="shared" si="26"/>
        <v>0</v>
      </c>
    </row>
    <row r="1714" spans="2:14">
      <c r="B1714" s="61"/>
      <c r="C1714" s="55"/>
      <c r="D1714" s="62">
        <v>2210801</v>
      </c>
      <c r="E1714" s="63" t="s">
        <v>195</v>
      </c>
      <c r="F1714" s="153">
        <v>240000</v>
      </c>
      <c r="H1714" s="61"/>
      <c r="I1714" s="55"/>
      <c r="J1714" s="62">
        <v>2210801</v>
      </c>
      <c r="K1714" s="63" t="s">
        <v>195</v>
      </c>
      <c r="L1714" s="153">
        <v>240000</v>
      </c>
      <c r="N1714" s="153">
        <f t="shared" si="26"/>
        <v>0</v>
      </c>
    </row>
    <row r="1715" spans="2:14">
      <c r="B1715" s="61"/>
      <c r="C1715" s="55"/>
      <c r="D1715" s="62">
        <v>2210802</v>
      </c>
      <c r="E1715" s="63" t="s">
        <v>97</v>
      </c>
      <c r="F1715" s="153">
        <v>100000</v>
      </c>
      <c r="H1715" s="61"/>
      <c r="I1715" s="55"/>
      <c r="J1715" s="62">
        <v>2210802</v>
      </c>
      <c r="K1715" s="63" t="s">
        <v>97</v>
      </c>
      <c r="L1715" s="153">
        <v>100000</v>
      </c>
      <c r="N1715" s="153">
        <f t="shared" si="26"/>
        <v>0</v>
      </c>
    </row>
    <row r="1716" spans="2:14">
      <c r="B1716" s="61"/>
      <c r="C1716" s="55"/>
      <c r="D1716" s="1761">
        <v>2211000</v>
      </c>
      <c r="E1716" s="1762" t="s">
        <v>118</v>
      </c>
      <c r="F1716" s="1763">
        <v>740000</v>
      </c>
      <c r="H1716" s="61"/>
      <c r="I1716" s="55"/>
      <c r="J1716" s="1761">
        <v>2211000</v>
      </c>
      <c r="K1716" s="1762" t="s">
        <v>118</v>
      </c>
      <c r="L1716" s="1763">
        <v>740000</v>
      </c>
      <c r="N1716" s="1763">
        <f t="shared" si="26"/>
        <v>0</v>
      </c>
    </row>
    <row r="1717" spans="2:14">
      <c r="B1717" s="61"/>
      <c r="C1717" s="55"/>
      <c r="D1717" s="62">
        <v>2211006</v>
      </c>
      <c r="E1717" s="63" t="s">
        <v>363</v>
      </c>
      <c r="F1717" s="153">
        <v>500000</v>
      </c>
      <c r="H1717" s="61"/>
      <c r="I1717" s="55"/>
      <c r="J1717" s="62">
        <v>2211006</v>
      </c>
      <c r="K1717" s="63" t="s">
        <v>363</v>
      </c>
      <c r="L1717" s="153">
        <v>500000</v>
      </c>
      <c r="N1717" s="153">
        <f t="shared" si="26"/>
        <v>0</v>
      </c>
    </row>
    <row r="1718" spans="2:14">
      <c r="B1718" s="61"/>
      <c r="C1718" s="55"/>
      <c r="D1718" s="62">
        <v>2211009</v>
      </c>
      <c r="E1718" s="1777" t="s">
        <v>364</v>
      </c>
      <c r="F1718" s="153">
        <v>0</v>
      </c>
      <c r="H1718" s="61"/>
      <c r="I1718" s="55"/>
      <c r="J1718" s="62">
        <v>2211009</v>
      </c>
      <c r="K1718" s="1777" t="s">
        <v>364</v>
      </c>
      <c r="L1718" s="153">
        <v>0</v>
      </c>
      <c r="N1718" s="153">
        <f t="shared" si="26"/>
        <v>0</v>
      </c>
    </row>
    <row r="1719" spans="2:14">
      <c r="B1719" s="61"/>
      <c r="C1719" s="55"/>
      <c r="D1719" s="62">
        <v>2211016</v>
      </c>
      <c r="E1719" s="1777" t="s">
        <v>196</v>
      </c>
      <c r="F1719" s="153">
        <v>240000</v>
      </c>
      <c r="H1719" s="61"/>
      <c r="I1719" s="55"/>
      <c r="J1719" s="62">
        <v>2211016</v>
      </c>
      <c r="K1719" s="1777" t="s">
        <v>196</v>
      </c>
      <c r="L1719" s="153">
        <v>240000</v>
      </c>
      <c r="N1719" s="153">
        <f t="shared" si="26"/>
        <v>0</v>
      </c>
    </row>
    <row r="1720" spans="2:14">
      <c r="B1720" s="61"/>
      <c r="C1720" s="55"/>
      <c r="D1720" s="1761">
        <v>2211100</v>
      </c>
      <c r="E1720" s="1762" t="s">
        <v>51</v>
      </c>
      <c r="F1720" s="1763">
        <v>638000</v>
      </c>
      <c r="H1720" s="61"/>
      <c r="I1720" s="55"/>
      <c r="J1720" s="1761">
        <v>2211100</v>
      </c>
      <c r="K1720" s="1762" t="s">
        <v>51</v>
      </c>
      <c r="L1720" s="1763">
        <v>638000</v>
      </c>
      <c r="N1720" s="1763">
        <f t="shared" si="26"/>
        <v>0</v>
      </c>
    </row>
    <row r="1721" spans="2:14">
      <c r="B1721" s="61"/>
      <c r="C1721" s="55"/>
      <c r="D1721" s="62">
        <v>2211101</v>
      </c>
      <c r="E1721" s="63" t="s">
        <v>289</v>
      </c>
      <c r="F1721" s="153">
        <v>255200</v>
      </c>
      <c r="H1721" s="61"/>
      <c r="I1721" s="55"/>
      <c r="J1721" s="62">
        <v>2211101</v>
      </c>
      <c r="K1721" s="63" t="s">
        <v>289</v>
      </c>
      <c r="L1721" s="153">
        <v>255200</v>
      </c>
      <c r="N1721" s="153">
        <f t="shared" si="26"/>
        <v>0</v>
      </c>
    </row>
    <row r="1722" spans="2:14">
      <c r="B1722" s="61"/>
      <c r="C1722" s="55"/>
      <c r="D1722" s="62">
        <v>2211102</v>
      </c>
      <c r="E1722" s="63" t="s">
        <v>53</v>
      </c>
      <c r="F1722" s="153">
        <v>255200</v>
      </c>
      <c r="H1722" s="61"/>
      <c r="I1722" s="55"/>
      <c r="J1722" s="62">
        <v>2211102</v>
      </c>
      <c r="K1722" s="63" t="s">
        <v>53</v>
      </c>
      <c r="L1722" s="153">
        <v>255200</v>
      </c>
      <c r="N1722" s="153">
        <f t="shared" si="26"/>
        <v>0</v>
      </c>
    </row>
    <row r="1723" spans="2:14">
      <c r="B1723" s="61"/>
      <c r="C1723" s="55"/>
      <c r="D1723" s="62">
        <v>2211103</v>
      </c>
      <c r="E1723" s="63" t="s">
        <v>54</v>
      </c>
      <c r="F1723" s="153">
        <v>127600</v>
      </c>
      <c r="H1723" s="61"/>
      <c r="I1723" s="55"/>
      <c r="J1723" s="62">
        <v>2211103</v>
      </c>
      <c r="K1723" s="63" t="s">
        <v>54</v>
      </c>
      <c r="L1723" s="153">
        <v>127600</v>
      </c>
      <c r="N1723" s="153">
        <f t="shared" si="26"/>
        <v>0</v>
      </c>
    </row>
    <row r="1724" spans="2:14">
      <c r="B1724" s="61"/>
      <c r="C1724" s="55"/>
      <c r="D1724" s="1761">
        <v>2211300</v>
      </c>
      <c r="E1724" s="1762" t="s">
        <v>57</v>
      </c>
      <c r="F1724" s="1763">
        <v>497000</v>
      </c>
      <c r="H1724" s="61"/>
      <c r="I1724" s="55"/>
      <c r="J1724" s="1761">
        <v>2211300</v>
      </c>
      <c r="K1724" s="1762" t="s">
        <v>57</v>
      </c>
      <c r="L1724" s="1763">
        <v>497000</v>
      </c>
      <c r="N1724" s="1763">
        <f t="shared" si="26"/>
        <v>0</v>
      </c>
    </row>
    <row r="1725" spans="2:14">
      <c r="B1725" s="61"/>
      <c r="C1725" s="55"/>
      <c r="D1725" s="62">
        <v>2211305</v>
      </c>
      <c r="E1725" s="63" t="s">
        <v>365</v>
      </c>
      <c r="F1725" s="153">
        <v>432000</v>
      </c>
      <c r="H1725" s="61"/>
      <c r="I1725" s="55"/>
      <c r="J1725" s="62">
        <v>2211305</v>
      </c>
      <c r="K1725" s="63" t="s">
        <v>365</v>
      </c>
      <c r="L1725" s="153">
        <v>432000</v>
      </c>
      <c r="N1725" s="153">
        <f t="shared" si="26"/>
        <v>0</v>
      </c>
    </row>
    <row r="1726" spans="2:14">
      <c r="B1726" s="61"/>
      <c r="C1726" s="55"/>
      <c r="D1726" s="62">
        <v>2211306</v>
      </c>
      <c r="E1726" s="63" t="s">
        <v>58</v>
      </c>
      <c r="F1726" s="153">
        <v>65000</v>
      </c>
      <c r="H1726" s="61"/>
      <c r="I1726" s="55"/>
      <c r="J1726" s="62">
        <v>2211306</v>
      </c>
      <c r="K1726" s="63" t="s">
        <v>58</v>
      </c>
      <c r="L1726" s="153">
        <v>65000</v>
      </c>
      <c r="N1726" s="153">
        <f t="shared" si="26"/>
        <v>0</v>
      </c>
    </row>
    <row r="1727" spans="2:14">
      <c r="B1727" s="61"/>
      <c r="C1727" s="55"/>
      <c r="D1727" s="1761">
        <v>3111000</v>
      </c>
      <c r="E1727" s="1762" t="s">
        <v>69</v>
      </c>
      <c r="F1727" s="1763">
        <v>580000</v>
      </c>
      <c r="H1727" s="61"/>
      <c r="I1727" s="55"/>
      <c r="J1727" s="1761">
        <v>3111000</v>
      </c>
      <c r="K1727" s="1762" t="s">
        <v>69</v>
      </c>
      <c r="L1727" s="1763">
        <v>580000</v>
      </c>
      <c r="N1727" s="1763">
        <f t="shared" si="26"/>
        <v>0</v>
      </c>
    </row>
    <row r="1728" spans="2:14">
      <c r="B1728" s="61"/>
      <c r="C1728" s="55"/>
      <c r="D1728" s="62">
        <v>3111001</v>
      </c>
      <c r="E1728" s="63" t="s">
        <v>368</v>
      </c>
      <c r="F1728" s="153">
        <v>290000</v>
      </c>
      <c r="H1728" s="61"/>
      <c r="I1728" s="55"/>
      <c r="J1728" s="62">
        <v>3111001</v>
      </c>
      <c r="K1728" s="63" t="s">
        <v>368</v>
      </c>
      <c r="L1728" s="153">
        <v>290000</v>
      </c>
      <c r="N1728" s="153">
        <f t="shared" si="26"/>
        <v>0</v>
      </c>
    </row>
    <row r="1729" spans="2:14">
      <c r="B1729" s="61"/>
      <c r="C1729" s="55"/>
      <c r="D1729" s="62">
        <v>3111002</v>
      </c>
      <c r="E1729" s="63" t="s">
        <v>369</v>
      </c>
      <c r="F1729" s="153">
        <v>290000</v>
      </c>
      <c r="H1729" s="61"/>
      <c r="I1729" s="55"/>
      <c r="J1729" s="62">
        <v>3111002</v>
      </c>
      <c r="K1729" s="63" t="s">
        <v>369</v>
      </c>
      <c r="L1729" s="153">
        <v>290000</v>
      </c>
      <c r="N1729" s="153">
        <f t="shared" si="26"/>
        <v>0</v>
      </c>
    </row>
    <row r="1730" spans="2:14">
      <c r="B1730" s="1671"/>
      <c r="C1730" s="55"/>
      <c r="D1730" s="1761">
        <v>3111400</v>
      </c>
      <c r="E1730" s="1762" t="s">
        <v>378</v>
      </c>
      <c r="F1730" s="1763">
        <v>700000</v>
      </c>
      <c r="H1730" s="1671"/>
      <c r="I1730" s="55"/>
      <c r="J1730" s="1761">
        <v>3111400</v>
      </c>
      <c r="K1730" s="1762" t="s">
        <v>378</v>
      </c>
      <c r="L1730" s="1763">
        <v>700000</v>
      </c>
      <c r="N1730" s="1763">
        <f t="shared" si="26"/>
        <v>0</v>
      </c>
    </row>
    <row r="1731" spans="2:14" ht="30">
      <c r="B1731" s="1671"/>
      <c r="C1731" s="55"/>
      <c r="D1731" s="62">
        <v>3111401</v>
      </c>
      <c r="E1731" s="63" t="s">
        <v>1264</v>
      </c>
      <c r="F1731" s="177">
        <v>0</v>
      </c>
      <c r="H1731" s="1671"/>
      <c r="I1731" s="55"/>
      <c r="J1731" s="62">
        <v>3111401</v>
      </c>
      <c r="K1731" s="63" t="s">
        <v>1264</v>
      </c>
      <c r="L1731" s="177">
        <v>0</v>
      </c>
      <c r="N1731" s="177">
        <f t="shared" si="26"/>
        <v>0</v>
      </c>
    </row>
    <row r="1732" spans="2:14" ht="30">
      <c r="B1732" s="61"/>
      <c r="C1732" s="55"/>
      <c r="D1732" s="62">
        <v>3111402</v>
      </c>
      <c r="E1732" s="63" t="s">
        <v>374</v>
      </c>
      <c r="F1732" s="153">
        <v>700000</v>
      </c>
      <c r="H1732" s="61"/>
      <c r="I1732" s="55"/>
      <c r="J1732" s="62">
        <v>3111402</v>
      </c>
      <c r="K1732" s="63" t="s">
        <v>374</v>
      </c>
      <c r="L1732" s="153">
        <v>700000</v>
      </c>
      <c r="N1732" s="153">
        <f t="shared" si="26"/>
        <v>0</v>
      </c>
    </row>
    <row r="1733" spans="2:14">
      <c r="B1733" s="1507"/>
      <c r="C1733" s="1723"/>
      <c r="D1733" s="1659" t="s">
        <v>379</v>
      </c>
      <c r="E1733" s="1765"/>
      <c r="F1733" s="1766">
        <v>6281300</v>
      </c>
      <c r="H1733" s="1507"/>
      <c r="I1733" s="1723"/>
      <c r="J1733" s="1659" t="s">
        <v>379</v>
      </c>
      <c r="K1733" s="1765"/>
      <c r="L1733" s="1766">
        <v>6281300</v>
      </c>
      <c r="N1733" s="1766">
        <f t="shared" si="26"/>
        <v>0</v>
      </c>
    </row>
    <row r="1734" spans="2:14">
      <c r="B1734" s="1528"/>
      <c r="C1734" s="1723"/>
      <c r="D1734" s="1507" t="s">
        <v>92</v>
      </c>
      <c r="E1734" s="1771"/>
      <c r="F1734" s="1772"/>
      <c r="H1734" s="1528"/>
      <c r="I1734" s="1723"/>
      <c r="J1734" s="1507" t="s">
        <v>92</v>
      </c>
      <c r="K1734" s="1771"/>
      <c r="L1734" s="1772"/>
      <c r="N1734" s="1772">
        <f t="shared" si="26"/>
        <v>0</v>
      </c>
    </row>
    <row r="1735" spans="2:14">
      <c r="B1735" s="61"/>
      <c r="C1735" s="55"/>
      <c r="D1735" s="1761">
        <v>2210600</v>
      </c>
      <c r="E1735" s="1778" t="s">
        <v>380</v>
      </c>
      <c r="F1735" s="1773">
        <v>0</v>
      </c>
      <c r="H1735" s="61"/>
      <c r="I1735" s="55"/>
      <c r="J1735" s="1761">
        <v>2210600</v>
      </c>
      <c r="K1735" s="1778" t="s">
        <v>380</v>
      </c>
      <c r="L1735" s="1773">
        <v>0</v>
      </c>
      <c r="N1735" s="1773">
        <f t="shared" si="26"/>
        <v>0</v>
      </c>
    </row>
    <row r="1736" spans="2:14" ht="30">
      <c r="B1736" s="61"/>
      <c r="C1736" s="19"/>
      <c r="D1736" s="62">
        <v>2210606</v>
      </c>
      <c r="E1736" s="63" t="s">
        <v>1261</v>
      </c>
      <c r="F1736" s="153"/>
      <c r="H1736" s="61"/>
      <c r="I1736" s="19"/>
      <c r="J1736" s="62">
        <v>2210606</v>
      </c>
      <c r="K1736" s="63" t="s">
        <v>1261</v>
      </c>
      <c r="L1736" s="153"/>
      <c r="N1736" s="153">
        <f t="shared" ref="N1736:N1799" si="27">F1736-L1736</f>
        <v>0</v>
      </c>
    </row>
    <row r="1737" spans="2:14">
      <c r="B1737" s="1671"/>
      <c r="C1737" s="55"/>
      <c r="D1737" s="1761">
        <v>3110400</v>
      </c>
      <c r="E1737" s="1762" t="s">
        <v>381</v>
      </c>
      <c r="F1737" s="1763">
        <v>547860120</v>
      </c>
      <c r="H1737" s="1671"/>
      <c r="I1737" s="55"/>
      <c r="J1737" s="1761">
        <v>3110400</v>
      </c>
      <c r="K1737" s="1762" t="s">
        <v>381</v>
      </c>
      <c r="L1737" s="1763">
        <v>535860120</v>
      </c>
      <c r="N1737" s="1763">
        <f t="shared" si="27"/>
        <v>12000000</v>
      </c>
    </row>
    <row r="1738" spans="2:14" ht="30">
      <c r="B1738" s="61"/>
      <c r="C1738" s="19"/>
      <c r="D1738" s="62">
        <v>3110401</v>
      </c>
      <c r="E1738" s="1779" t="s">
        <v>1260</v>
      </c>
      <c r="F1738" s="153">
        <v>0</v>
      </c>
      <c r="H1738" s="61"/>
      <c r="I1738" s="19"/>
      <c r="J1738" s="62">
        <v>3110401</v>
      </c>
      <c r="K1738" s="1779" t="s">
        <v>1260</v>
      </c>
      <c r="L1738" s="153">
        <v>0</v>
      </c>
      <c r="N1738" s="153">
        <f t="shared" si="27"/>
        <v>0</v>
      </c>
    </row>
    <row r="1739" spans="2:14" ht="60">
      <c r="B1739" s="1717"/>
      <c r="C1739" s="1521"/>
      <c r="D1739" s="1780">
        <v>3110401</v>
      </c>
      <c r="E1739" s="1781" t="s">
        <v>1262</v>
      </c>
      <c r="F1739" s="1782">
        <v>12000000</v>
      </c>
      <c r="H1739" s="61"/>
      <c r="I1739" s="19"/>
      <c r="J1739" s="62">
        <v>3110401</v>
      </c>
      <c r="K1739" s="1779" t="s">
        <v>1262</v>
      </c>
      <c r="L1739" s="1783"/>
      <c r="N1739" s="1783">
        <f t="shared" si="27"/>
        <v>12000000</v>
      </c>
    </row>
    <row r="1740" spans="2:14" ht="30">
      <c r="B1740" s="61"/>
      <c r="C1740" s="19"/>
      <c r="D1740" s="62">
        <v>3110401</v>
      </c>
      <c r="E1740" s="1784" t="s">
        <v>1498</v>
      </c>
      <c r="F1740" s="143">
        <v>445098850</v>
      </c>
      <c r="H1740" s="61"/>
      <c r="I1740" s="19"/>
      <c r="J1740" s="62">
        <v>3110401</v>
      </c>
      <c r="K1740" s="1784" t="s">
        <v>1498</v>
      </c>
      <c r="L1740" s="143">
        <v>445098850</v>
      </c>
      <c r="N1740" s="143">
        <f t="shared" si="27"/>
        <v>0</v>
      </c>
    </row>
    <row r="1741" spans="2:14" ht="30">
      <c r="B1741" s="61"/>
      <c r="C1741" s="55"/>
      <c r="D1741" s="62">
        <v>3110499</v>
      </c>
      <c r="E1741" s="63" t="s">
        <v>1267</v>
      </c>
      <c r="F1741" s="1785">
        <v>21600000</v>
      </c>
      <c r="H1741" s="61"/>
      <c r="I1741" s="55"/>
      <c r="J1741" s="62">
        <v>3110499</v>
      </c>
      <c r="K1741" s="63" t="s">
        <v>1267</v>
      </c>
      <c r="L1741" s="1785">
        <v>21600000</v>
      </c>
      <c r="N1741" s="1785">
        <f t="shared" si="27"/>
        <v>0</v>
      </c>
    </row>
    <row r="1742" spans="2:14" ht="30">
      <c r="B1742" s="61"/>
      <c r="C1742" s="55"/>
      <c r="D1742" s="62">
        <v>3110499</v>
      </c>
      <c r="E1742" s="63" t="s">
        <v>1499</v>
      </c>
      <c r="F1742" s="1786">
        <v>40000000</v>
      </c>
      <c r="H1742" s="61"/>
      <c r="I1742" s="55"/>
      <c r="J1742" s="62">
        <v>3110499</v>
      </c>
      <c r="K1742" s="63" t="s">
        <v>1499</v>
      </c>
      <c r="L1742" s="1786">
        <v>40000000</v>
      </c>
      <c r="N1742" s="1786">
        <f t="shared" si="27"/>
        <v>0</v>
      </c>
    </row>
    <row r="1743" spans="2:14">
      <c r="B1743" s="61"/>
      <c r="C1743" s="55"/>
      <c r="D1743" s="62">
        <v>3110499</v>
      </c>
      <c r="E1743" s="1787" t="s">
        <v>1500</v>
      </c>
      <c r="F1743" s="1764">
        <v>29161270</v>
      </c>
      <c r="H1743" s="61"/>
      <c r="I1743" s="55"/>
      <c r="J1743" s="62">
        <v>3110499</v>
      </c>
      <c r="K1743" s="1787" t="s">
        <v>1500</v>
      </c>
      <c r="L1743" s="1764">
        <v>29161270</v>
      </c>
      <c r="N1743" s="1764">
        <f t="shared" si="27"/>
        <v>0</v>
      </c>
    </row>
    <row r="1744" spans="2:14">
      <c r="B1744" s="1671"/>
      <c r="C1744" s="55"/>
      <c r="D1744" s="1761">
        <v>3111100</v>
      </c>
      <c r="E1744" s="1762" t="s">
        <v>73</v>
      </c>
      <c r="F1744" s="1763">
        <v>0</v>
      </c>
      <c r="H1744" s="1671"/>
      <c r="I1744" s="55"/>
      <c r="J1744" s="1761">
        <v>3111100</v>
      </c>
      <c r="K1744" s="1762" t="s">
        <v>73</v>
      </c>
      <c r="L1744" s="1763">
        <v>0</v>
      </c>
      <c r="N1744" s="1763">
        <f t="shared" si="27"/>
        <v>0</v>
      </c>
    </row>
    <row r="1745" spans="2:14">
      <c r="B1745" s="61"/>
      <c r="C1745" s="55"/>
      <c r="D1745" s="62">
        <v>3111120</v>
      </c>
      <c r="E1745" s="63" t="s">
        <v>382</v>
      </c>
      <c r="F1745" s="153"/>
      <c r="H1745" s="61"/>
      <c r="I1745" s="55"/>
      <c r="J1745" s="62">
        <v>3111120</v>
      </c>
      <c r="K1745" s="63" t="s">
        <v>382</v>
      </c>
      <c r="L1745" s="153"/>
      <c r="N1745" s="153">
        <f t="shared" si="27"/>
        <v>0</v>
      </c>
    </row>
    <row r="1746" spans="2:14">
      <c r="B1746" s="1528"/>
      <c r="C1746" s="1723"/>
      <c r="D1746" s="1659" t="s">
        <v>383</v>
      </c>
      <c r="E1746" s="1765"/>
      <c r="F1746" s="1722">
        <v>547860120</v>
      </c>
      <c r="H1746" s="1528"/>
      <c r="I1746" s="1723"/>
      <c r="J1746" s="1659" t="s">
        <v>383</v>
      </c>
      <c r="K1746" s="1765"/>
      <c r="L1746" s="1722">
        <v>535860120</v>
      </c>
      <c r="N1746" s="1722">
        <f t="shared" si="27"/>
        <v>12000000</v>
      </c>
    </row>
    <row r="1747" spans="2:14">
      <c r="B1747" s="1528"/>
      <c r="C1747" s="1723"/>
      <c r="D1747" s="1659" t="s">
        <v>84</v>
      </c>
      <c r="E1747" s="1775"/>
      <c r="F1747" s="1722">
        <v>554141420</v>
      </c>
      <c r="H1747" s="1528"/>
      <c r="I1747" s="1723"/>
      <c r="J1747" s="1659" t="s">
        <v>84</v>
      </c>
      <c r="K1747" s="1775"/>
      <c r="L1747" s="1722">
        <v>542141420</v>
      </c>
      <c r="N1747" s="1722">
        <f t="shared" si="27"/>
        <v>12000000</v>
      </c>
    </row>
    <row r="1748" spans="2:14">
      <c r="B1748" s="61"/>
      <c r="C1748" s="55"/>
      <c r="D1748" s="1688"/>
      <c r="E1748" s="1776"/>
      <c r="F1748" s="153"/>
      <c r="H1748" s="61"/>
      <c r="I1748" s="55"/>
      <c r="J1748" s="1688"/>
      <c r="K1748" s="1776"/>
      <c r="L1748" s="153"/>
      <c r="N1748" s="153">
        <f t="shared" si="27"/>
        <v>0</v>
      </c>
    </row>
    <row r="1749" spans="2:14">
      <c r="B1749" s="1528"/>
      <c r="C1749" s="1723" t="s">
        <v>100</v>
      </c>
      <c r="D1749" s="1659" t="s">
        <v>384</v>
      </c>
      <c r="E1749" s="1775"/>
      <c r="F1749" s="1772"/>
      <c r="H1749" s="1528"/>
      <c r="I1749" s="1723" t="s">
        <v>100</v>
      </c>
      <c r="J1749" s="1659" t="s">
        <v>384</v>
      </c>
      <c r="K1749" s="1775"/>
      <c r="L1749" s="1772"/>
      <c r="N1749" s="1772">
        <f t="shared" si="27"/>
        <v>0</v>
      </c>
    </row>
    <row r="1750" spans="2:14">
      <c r="B1750" s="1528"/>
      <c r="C1750" s="1723"/>
      <c r="D1750" s="1659" t="s">
        <v>385</v>
      </c>
      <c r="E1750" s="1765"/>
      <c r="F1750" s="1772"/>
      <c r="H1750" s="1528"/>
      <c r="I1750" s="1723"/>
      <c r="J1750" s="1659" t="s">
        <v>385</v>
      </c>
      <c r="K1750" s="1765"/>
      <c r="L1750" s="1772"/>
      <c r="N1750" s="1772">
        <f t="shared" si="27"/>
        <v>0</v>
      </c>
    </row>
    <row r="1751" spans="2:14">
      <c r="B1751" s="1528"/>
      <c r="C1751" s="1723" t="s">
        <v>386</v>
      </c>
      <c r="D1751" s="1659" t="s">
        <v>387</v>
      </c>
      <c r="E1751" s="1765"/>
      <c r="F1751" s="1772"/>
      <c r="H1751" s="1528"/>
      <c r="I1751" s="1723" t="s">
        <v>386</v>
      </c>
      <c r="J1751" s="1659" t="s">
        <v>387</v>
      </c>
      <c r="K1751" s="1765"/>
      <c r="L1751" s="1772"/>
      <c r="N1751" s="1772">
        <f t="shared" si="27"/>
        <v>0</v>
      </c>
    </row>
    <row r="1752" spans="2:14">
      <c r="B1752" s="61"/>
      <c r="C1752" s="55"/>
      <c r="D1752" s="1761">
        <v>2110100</v>
      </c>
      <c r="E1752" s="1762" t="s">
        <v>13</v>
      </c>
      <c r="F1752" s="1763">
        <v>0</v>
      </c>
      <c r="H1752" s="61"/>
      <c r="I1752" s="55"/>
      <c r="J1752" s="1761">
        <v>2110100</v>
      </c>
      <c r="K1752" s="1762" t="s">
        <v>13</v>
      </c>
      <c r="L1752" s="1763">
        <v>0</v>
      </c>
      <c r="N1752" s="1763">
        <f t="shared" si="27"/>
        <v>0</v>
      </c>
    </row>
    <row r="1753" spans="2:14">
      <c r="B1753" s="61"/>
      <c r="C1753" s="55"/>
      <c r="D1753" s="62">
        <v>2110101</v>
      </c>
      <c r="E1753" s="63" t="s">
        <v>14</v>
      </c>
      <c r="F1753" s="153"/>
      <c r="H1753" s="61"/>
      <c r="I1753" s="55"/>
      <c r="J1753" s="62">
        <v>2110101</v>
      </c>
      <c r="K1753" s="63" t="s">
        <v>14</v>
      </c>
      <c r="L1753" s="153"/>
      <c r="N1753" s="153">
        <f t="shared" si="27"/>
        <v>0</v>
      </c>
    </row>
    <row r="1754" spans="2:14">
      <c r="B1754" s="61"/>
      <c r="C1754" s="55"/>
      <c r="D1754" s="1761">
        <v>2210200</v>
      </c>
      <c r="E1754" s="1762" t="s">
        <v>20</v>
      </c>
      <c r="F1754" s="1763">
        <v>504000</v>
      </c>
      <c r="H1754" s="61"/>
      <c r="I1754" s="55"/>
      <c r="J1754" s="1761">
        <v>2210200</v>
      </c>
      <c r="K1754" s="1762" t="s">
        <v>20</v>
      </c>
      <c r="L1754" s="1763">
        <v>504000</v>
      </c>
      <c r="N1754" s="1763">
        <f t="shared" si="27"/>
        <v>0</v>
      </c>
    </row>
    <row r="1755" spans="2:14">
      <c r="B1755" s="61"/>
      <c r="C1755" s="55"/>
      <c r="D1755" s="62">
        <v>2210201</v>
      </c>
      <c r="E1755" s="63" t="s">
        <v>187</v>
      </c>
      <c r="F1755" s="153">
        <v>414000</v>
      </c>
      <c r="H1755" s="61"/>
      <c r="I1755" s="55"/>
      <c r="J1755" s="62">
        <v>2210201</v>
      </c>
      <c r="K1755" s="63" t="s">
        <v>187</v>
      </c>
      <c r="L1755" s="153">
        <v>414000</v>
      </c>
      <c r="N1755" s="153">
        <f t="shared" si="27"/>
        <v>0</v>
      </c>
    </row>
    <row r="1756" spans="2:14">
      <c r="B1756" s="61"/>
      <c r="C1756" s="55"/>
      <c r="D1756" s="62">
        <v>2210202</v>
      </c>
      <c r="E1756" s="63" t="s">
        <v>359</v>
      </c>
      <c r="F1756" s="153">
        <v>70000</v>
      </c>
      <c r="H1756" s="61"/>
      <c r="I1756" s="55"/>
      <c r="J1756" s="62">
        <v>2210202</v>
      </c>
      <c r="K1756" s="63" t="s">
        <v>359</v>
      </c>
      <c r="L1756" s="153">
        <v>70000</v>
      </c>
      <c r="N1756" s="153">
        <f t="shared" si="27"/>
        <v>0</v>
      </c>
    </row>
    <row r="1757" spans="2:14">
      <c r="B1757" s="61"/>
      <c r="C1757" s="55"/>
      <c r="D1757" s="62">
        <v>2210203</v>
      </c>
      <c r="E1757" s="63" t="s">
        <v>23</v>
      </c>
      <c r="F1757" s="153">
        <v>20000</v>
      </c>
      <c r="H1757" s="61"/>
      <c r="I1757" s="55"/>
      <c r="J1757" s="62">
        <v>2210203</v>
      </c>
      <c r="K1757" s="63" t="s">
        <v>23</v>
      </c>
      <c r="L1757" s="153">
        <v>20000</v>
      </c>
      <c r="N1757" s="153">
        <f t="shared" si="27"/>
        <v>0</v>
      </c>
    </row>
    <row r="1758" spans="2:14">
      <c r="B1758" s="61"/>
      <c r="C1758" s="55"/>
      <c r="D1758" s="1761">
        <v>2210300</v>
      </c>
      <c r="E1758" s="1762" t="s">
        <v>24</v>
      </c>
      <c r="F1758" s="1763">
        <v>1781000</v>
      </c>
      <c r="H1758" s="61"/>
      <c r="I1758" s="55"/>
      <c r="J1758" s="1761">
        <v>2210300</v>
      </c>
      <c r="K1758" s="1762" t="s">
        <v>24</v>
      </c>
      <c r="L1758" s="1763">
        <v>1781000</v>
      </c>
      <c r="N1758" s="1763">
        <f t="shared" si="27"/>
        <v>0</v>
      </c>
    </row>
    <row r="1759" spans="2:14">
      <c r="B1759" s="61"/>
      <c r="C1759" s="55"/>
      <c r="D1759" s="62">
        <v>2210301</v>
      </c>
      <c r="E1759" s="63" t="s">
        <v>188</v>
      </c>
      <c r="F1759" s="153">
        <v>696000</v>
      </c>
      <c r="H1759" s="61"/>
      <c r="I1759" s="55"/>
      <c r="J1759" s="62">
        <v>2210301</v>
      </c>
      <c r="K1759" s="63" t="s">
        <v>188</v>
      </c>
      <c r="L1759" s="153">
        <v>696000</v>
      </c>
      <c r="N1759" s="153">
        <f t="shared" si="27"/>
        <v>0</v>
      </c>
    </row>
    <row r="1760" spans="2:14">
      <c r="B1760" s="61"/>
      <c r="C1760" s="55"/>
      <c r="D1760" s="62">
        <v>2210302</v>
      </c>
      <c r="E1760" s="63" t="s">
        <v>26</v>
      </c>
      <c r="F1760" s="153">
        <v>500000</v>
      </c>
      <c r="H1760" s="61"/>
      <c r="I1760" s="55"/>
      <c r="J1760" s="62">
        <v>2210302</v>
      </c>
      <c r="K1760" s="63" t="s">
        <v>26</v>
      </c>
      <c r="L1760" s="153">
        <v>500000</v>
      </c>
      <c r="N1760" s="153">
        <f t="shared" si="27"/>
        <v>0</v>
      </c>
    </row>
    <row r="1761" spans="2:14">
      <c r="B1761" s="61"/>
      <c r="C1761" s="55"/>
      <c r="D1761" s="62">
        <v>2210303</v>
      </c>
      <c r="E1761" s="63" t="s">
        <v>223</v>
      </c>
      <c r="F1761" s="153">
        <v>585000</v>
      </c>
      <c r="H1761" s="61"/>
      <c r="I1761" s="55"/>
      <c r="J1761" s="62">
        <v>2210303</v>
      </c>
      <c r="K1761" s="63" t="s">
        <v>223</v>
      </c>
      <c r="L1761" s="153">
        <v>585000</v>
      </c>
      <c r="N1761" s="153">
        <f t="shared" si="27"/>
        <v>0</v>
      </c>
    </row>
    <row r="1762" spans="2:14">
      <c r="B1762" s="61"/>
      <c r="C1762" s="55"/>
      <c r="D1762" s="1761">
        <v>2210500</v>
      </c>
      <c r="E1762" s="1762" t="s">
        <v>31</v>
      </c>
      <c r="F1762" s="1763">
        <v>842411</v>
      </c>
      <c r="H1762" s="61"/>
      <c r="I1762" s="55"/>
      <c r="J1762" s="1761">
        <v>2210500</v>
      </c>
      <c r="K1762" s="1762" t="s">
        <v>31</v>
      </c>
      <c r="L1762" s="1763">
        <v>842411</v>
      </c>
      <c r="N1762" s="1763">
        <f t="shared" si="27"/>
        <v>0</v>
      </c>
    </row>
    <row r="1763" spans="2:14">
      <c r="B1763" s="61"/>
      <c r="C1763" s="55"/>
      <c r="D1763" s="62">
        <v>2210502</v>
      </c>
      <c r="E1763" s="63" t="s">
        <v>105</v>
      </c>
      <c r="F1763" s="153">
        <v>342411</v>
      </c>
      <c r="H1763" s="61"/>
      <c r="I1763" s="55"/>
      <c r="J1763" s="62">
        <v>2210502</v>
      </c>
      <c r="K1763" s="63" t="s">
        <v>105</v>
      </c>
      <c r="L1763" s="153">
        <v>342411</v>
      </c>
      <c r="N1763" s="153">
        <f t="shared" si="27"/>
        <v>0</v>
      </c>
    </row>
    <row r="1764" spans="2:14">
      <c r="B1764" s="61"/>
      <c r="C1764" s="55"/>
      <c r="D1764" s="62">
        <v>2210503</v>
      </c>
      <c r="E1764" s="63" t="s">
        <v>32</v>
      </c>
      <c r="F1764" s="153">
        <v>65000</v>
      </c>
      <c r="H1764" s="61"/>
      <c r="I1764" s="55"/>
      <c r="J1764" s="62">
        <v>2210503</v>
      </c>
      <c r="K1764" s="63" t="s">
        <v>32</v>
      </c>
      <c r="L1764" s="153">
        <v>65000</v>
      </c>
      <c r="N1764" s="153">
        <f t="shared" si="27"/>
        <v>0</v>
      </c>
    </row>
    <row r="1765" spans="2:14">
      <c r="B1765" s="61"/>
      <c r="C1765" s="55"/>
      <c r="D1765" s="62">
        <v>2210504</v>
      </c>
      <c r="E1765" s="63" t="s">
        <v>33</v>
      </c>
      <c r="F1765" s="153">
        <v>435000</v>
      </c>
      <c r="H1765" s="61"/>
      <c r="I1765" s="55"/>
      <c r="J1765" s="62">
        <v>2210504</v>
      </c>
      <c r="K1765" s="63" t="s">
        <v>33</v>
      </c>
      <c r="L1765" s="153">
        <v>435000</v>
      </c>
      <c r="N1765" s="153">
        <f t="shared" si="27"/>
        <v>0</v>
      </c>
    </row>
    <row r="1766" spans="2:14">
      <c r="B1766" s="61"/>
      <c r="C1766" s="55"/>
      <c r="D1766" s="1761">
        <v>2210700</v>
      </c>
      <c r="E1766" s="1762" t="s">
        <v>35</v>
      </c>
      <c r="F1766" s="1763">
        <v>1050000</v>
      </c>
      <c r="H1766" s="61"/>
      <c r="I1766" s="55"/>
      <c r="J1766" s="1761">
        <v>2210700</v>
      </c>
      <c r="K1766" s="1762" t="s">
        <v>35</v>
      </c>
      <c r="L1766" s="1763">
        <v>1050000</v>
      </c>
      <c r="N1766" s="1763">
        <f t="shared" si="27"/>
        <v>0</v>
      </c>
    </row>
    <row r="1767" spans="2:14">
      <c r="B1767" s="61"/>
      <c r="C1767" s="55"/>
      <c r="D1767" s="62">
        <v>2210701</v>
      </c>
      <c r="E1767" s="63" t="s">
        <v>190</v>
      </c>
      <c r="F1767" s="153">
        <v>100000</v>
      </c>
      <c r="H1767" s="61"/>
      <c r="I1767" s="55"/>
      <c r="J1767" s="62">
        <v>2210701</v>
      </c>
      <c r="K1767" s="63" t="s">
        <v>190</v>
      </c>
      <c r="L1767" s="153">
        <v>100000</v>
      </c>
      <c r="N1767" s="153">
        <f t="shared" si="27"/>
        <v>0</v>
      </c>
    </row>
    <row r="1768" spans="2:14">
      <c r="B1768" s="61"/>
      <c r="C1768" s="55"/>
      <c r="D1768" s="62">
        <v>2210704</v>
      </c>
      <c r="E1768" s="63" t="s">
        <v>38</v>
      </c>
      <c r="F1768" s="153">
        <v>150000</v>
      </c>
      <c r="H1768" s="61"/>
      <c r="I1768" s="55"/>
      <c r="J1768" s="62">
        <v>2210704</v>
      </c>
      <c r="K1768" s="63" t="s">
        <v>38</v>
      </c>
      <c r="L1768" s="153">
        <v>150000</v>
      </c>
      <c r="N1768" s="153">
        <f t="shared" si="27"/>
        <v>0</v>
      </c>
    </row>
    <row r="1769" spans="2:14">
      <c r="B1769" s="61"/>
      <c r="C1769" s="55"/>
      <c r="D1769" s="62">
        <v>2210710</v>
      </c>
      <c r="E1769" s="63" t="s">
        <v>361</v>
      </c>
      <c r="F1769" s="153">
        <v>240000</v>
      </c>
      <c r="H1769" s="61"/>
      <c r="I1769" s="55"/>
      <c r="J1769" s="62">
        <v>2210710</v>
      </c>
      <c r="K1769" s="63" t="s">
        <v>361</v>
      </c>
      <c r="L1769" s="153">
        <v>240000</v>
      </c>
      <c r="N1769" s="153">
        <f t="shared" si="27"/>
        <v>0</v>
      </c>
    </row>
    <row r="1770" spans="2:14">
      <c r="B1770" s="61"/>
      <c r="C1770" s="55"/>
      <c r="D1770" s="62">
        <v>2210715</v>
      </c>
      <c r="E1770" s="63" t="s">
        <v>362</v>
      </c>
      <c r="F1770" s="153">
        <v>560000</v>
      </c>
      <c r="H1770" s="61"/>
      <c r="I1770" s="55"/>
      <c r="J1770" s="62">
        <v>2210715</v>
      </c>
      <c r="K1770" s="63" t="s">
        <v>362</v>
      </c>
      <c r="L1770" s="153">
        <v>560000</v>
      </c>
      <c r="N1770" s="153">
        <f t="shared" si="27"/>
        <v>0</v>
      </c>
    </row>
    <row r="1771" spans="2:14">
      <c r="B1771" s="61"/>
      <c r="C1771" s="55"/>
      <c r="D1771" s="62">
        <v>2210799</v>
      </c>
      <c r="E1771" s="63" t="s">
        <v>388</v>
      </c>
      <c r="F1771" s="153">
        <v>0</v>
      </c>
      <c r="H1771" s="61"/>
      <c r="I1771" s="55"/>
      <c r="J1771" s="62">
        <v>2210799</v>
      </c>
      <c r="K1771" s="63" t="s">
        <v>388</v>
      </c>
      <c r="L1771" s="153">
        <v>0</v>
      </c>
      <c r="N1771" s="153">
        <f t="shared" si="27"/>
        <v>0</v>
      </c>
    </row>
    <row r="1772" spans="2:14">
      <c r="B1772" s="61"/>
      <c r="C1772" s="55"/>
      <c r="D1772" s="1761">
        <v>2210800</v>
      </c>
      <c r="E1772" s="1762" t="s">
        <v>42</v>
      </c>
      <c r="F1772" s="1763">
        <v>570000</v>
      </c>
      <c r="H1772" s="61"/>
      <c r="I1772" s="55"/>
      <c r="J1772" s="1761">
        <v>2210800</v>
      </c>
      <c r="K1772" s="1762" t="s">
        <v>42</v>
      </c>
      <c r="L1772" s="1763">
        <v>570000</v>
      </c>
      <c r="N1772" s="1763">
        <f t="shared" si="27"/>
        <v>0</v>
      </c>
    </row>
    <row r="1773" spans="2:14">
      <c r="B1773" s="61"/>
      <c r="C1773" s="55"/>
      <c r="D1773" s="62">
        <v>2210801</v>
      </c>
      <c r="E1773" s="63" t="s">
        <v>195</v>
      </c>
      <c r="F1773" s="153">
        <v>420000</v>
      </c>
      <c r="H1773" s="61"/>
      <c r="I1773" s="55"/>
      <c r="J1773" s="62">
        <v>2210801</v>
      </c>
      <c r="K1773" s="63" t="s">
        <v>195</v>
      </c>
      <c r="L1773" s="153">
        <v>420000</v>
      </c>
      <c r="N1773" s="153">
        <f t="shared" si="27"/>
        <v>0</v>
      </c>
    </row>
    <row r="1774" spans="2:14">
      <c r="B1774" s="61"/>
      <c r="C1774" s="55"/>
      <c r="D1774" s="62">
        <v>2210802</v>
      </c>
      <c r="E1774" s="63" t="s">
        <v>97</v>
      </c>
      <c r="F1774" s="153">
        <v>150000</v>
      </c>
      <c r="H1774" s="61"/>
      <c r="I1774" s="55"/>
      <c r="J1774" s="62">
        <v>2210802</v>
      </c>
      <c r="K1774" s="63" t="s">
        <v>97</v>
      </c>
      <c r="L1774" s="153">
        <v>150000</v>
      </c>
      <c r="N1774" s="153">
        <f t="shared" si="27"/>
        <v>0</v>
      </c>
    </row>
    <row r="1775" spans="2:14">
      <c r="B1775" s="61"/>
      <c r="C1775" s="55"/>
      <c r="D1775" s="1761">
        <v>2211000</v>
      </c>
      <c r="E1775" s="1762" t="s">
        <v>118</v>
      </c>
      <c r="F1775" s="1763">
        <v>6685000</v>
      </c>
      <c r="H1775" s="61"/>
      <c r="I1775" s="55"/>
      <c r="J1775" s="1761">
        <v>2211000</v>
      </c>
      <c r="K1775" s="1762" t="s">
        <v>118</v>
      </c>
      <c r="L1775" s="1763">
        <v>6685000</v>
      </c>
      <c r="N1775" s="1763">
        <f t="shared" si="27"/>
        <v>0</v>
      </c>
    </row>
    <row r="1776" spans="2:14" ht="30">
      <c r="B1776" s="61"/>
      <c r="C1776" s="55"/>
      <c r="D1776" s="62">
        <v>2211006</v>
      </c>
      <c r="E1776" s="63" t="s">
        <v>1501</v>
      </c>
      <c r="F1776" s="153">
        <v>6020000</v>
      </c>
      <c r="H1776" s="61"/>
      <c r="I1776" s="55"/>
      <c r="J1776" s="62">
        <v>2211006</v>
      </c>
      <c r="K1776" s="63" t="s">
        <v>1501</v>
      </c>
      <c r="L1776" s="153">
        <v>6020000</v>
      </c>
      <c r="N1776" s="153">
        <f t="shared" si="27"/>
        <v>0</v>
      </c>
    </row>
    <row r="1777" spans="2:14">
      <c r="B1777" s="61"/>
      <c r="C1777" s="55"/>
      <c r="D1777" s="62">
        <v>2211009</v>
      </c>
      <c r="E1777" s="1777" t="s">
        <v>364</v>
      </c>
      <c r="F1777" s="153">
        <v>65000</v>
      </c>
      <c r="H1777" s="61"/>
      <c r="I1777" s="55"/>
      <c r="J1777" s="62">
        <v>2211009</v>
      </c>
      <c r="K1777" s="1777" t="s">
        <v>364</v>
      </c>
      <c r="L1777" s="153">
        <v>65000</v>
      </c>
      <c r="N1777" s="153">
        <f t="shared" si="27"/>
        <v>0</v>
      </c>
    </row>
    <row r="1778" spans="2:14">
      <c r="B1778" s="61"/>
      <c r="C1778" s="55"/>
      <c r="D1778" s="62">
        <v>2211016</v>
      </c>
      <c r="E1778" s="1777" t="s">
        <v>196</v>
      </c>
      <c r="F1778" s="153">
        <v>600000</v>
      </c>
      <c r="H1778" s="61"/>
      <c r="I1778" s="55"/>
      <c r="J1778" s="62">
        <v>2211016</v>
      </c>
      <c r="K1778" s="1777" t="s">
        <v>196</v>
      </c>
      <c r="L1778" s="153">
        <v>600000</v>
      </c>
      <c r="N1778" s="153">
        <f t="shared" si="27"/>
        <v>0</v>
      </c>
    </row>
    <row r="1779" spans="2:14">
      <c r="B1779" s="61"/>
      <c r="C1779" s="55"/>
      <c r="D1779" s="1761">
        <v>2211100</v>
      </c>
      <c r="E1779" s="1762" t="s">
        <v>51</v>
      </c>
      <c r="F1779" s="1763">
        <v>1140000</v>
      </c>
      <c r="H1779" s="61"/>
      <c r="I1779" s="55"/>
      <c r="J1779" s="1761">
        <v>2211100</v>
      </c>
      <c r="K1779" s="1762" t="s">
        <v>51</v>
      </c>
      <c r="L1779" s="1763">
        <v>1140000</v>
      </c>
      <c r="N1779" s="1763">
        <f t="shared" si="27"/>
        <v>0</v>
      </c>
    </row>
    <row r="1780" spans="2:14">
      <c r="B1780" s="61"/>
      <c r="C1780" s="55"/>
      <c r="D1780" s="62">
        <v>2211101</v>
      </c>
      <c r="E1780" s="63" t="s">
        <v>289</v>
      </c>
      <c r="F1780" s="153">
        <v>470000</v>
      </c>
      <c r="H1780" s="61"/>
      <c r="I1780" s="55"/>
      <c r="J1780" s="62">
        <v>2211101</v>
      </c>
      <c r="K1780" s="63" t="s">
        <v>289</v>
      </c>
      <c r="L1780" s="153">
        <v>470000</v>
      </c>
      <c r="N1780" s="153">
        <f t="shared" si="27"/>
        <v>0</v>
      </c>
    </row>
    <row r="1781" spans="2:14">
      <c r="B1781" s="61"/>
      <c r="C1781" s="55"/>
      <c r="D1781" s="62">
        <v>2211102</v>
      </c>
      <c r="E1781" s="63" t="s">
        <v>53</v>
      </c>
      <c r="F1781" s="153">
        <v>430000</v>
      </c>
      <c r="H1781" s="61"/>
      <c r="I1781" s="55"/>
      <c r="J1781" s="62">
        <v>2211102</v>
      </c>
      <c r="K1781" s="63" t="s">
        <v>53</v>
      </c>
      <c r="L1781" s="153">
        <v>430000</v>
      </c>
      <c r="N1781" s="153">
        <f t="shared" si="27"/>
        <v>0</v>
      </c>
    </row>
    <row r="1782" spans="2:14">
      <c r="B1782" s="61"/>
      <c r="C1782" s="55"/>
      <c r="D1782" s="62">
        <v>2211103</v>
      </c>
      <c r="E1782" s="63" t="s">
        <v>54</v>
      </c>
      <c r="F1782" s="153">
        <v>240000</v>
      </c>
      <c r="H1782" s="61"/>
      <c r="I1782" s="55"/>
      <c r="J1782" s="62">
        <v>2211103</v>
      </c>
      <c r="K1782" s="63" t="s">
        <v>54</v>
      </c>
      <c r="L1782" s="153">
        <v>240000</v>
      </c>
      <c r="N1782" s="153">
        <f t="shared" si="27"/>
        <v>0</v>
      </c>
    </row>
    <row r="1783" spans="2:14">
      <c r="B1783" s="61"/>
      <c r="C1783" s="55"/>
      <c r="D1783" s="1761">
        <v>2211200</v>
      </c>
      <c r="E1783" s="1762" t="s">
        <v>55</v>
      </c>
      <c r="F1783" s="1763">
        <v>2950000</v>
      </c>
      <c r="H1783" s="61"/>
      <c r="I1783" s="55"/>
      <c r="J1783" s="1761">
        <v>2211200</v>
      </c>
      <c r="K1783" s="1762" t="s">
        <v>55</v>
      </c>
      <c r="L1783" s="1763">
        <v>2950000</v>
      </c>
      <c r="N1783" s="1763">
        <f t="shared" si="27"/>
        <v>0</v>
      </c>
    </row>
    <row r="1784" spans="2:14">
      <c r="B1784" s="61"/>
      <c r="C1784" s="55"/>
      <c r="D1784" s="62">
        <v>2211201</v>
      </c>
      <c r="E1784" s="63" t="s">
        <v>1502</v>
      </c>
      <c r="F1784" s="153">
        <v>2950000</v>
      </c>
      <c r="H1784" s="61"/>
      <c r="I1784" s="55"/>
      <c r="J1784" s="62">
        <v>2211201</v>
      </c>
      <c r="K1784" s="63" t="s">
        <v>1502</v>
      </c>
      <c r="L1784" s="153">
        <v>2950000</v>
      </c>
      <c r="N1784" s="153">
        <f t="shared" si="27"/>
        <v>0</v>
      </c>
    </row>
    <row r="1785" spans="2:14">
      <c r="B1785" s="61"/>
      <c r="C1785" s="55"/>
      <c r="D1785" s="1761">
        <v>2211300</v>
      </c>
      <c r="E1785" s="1762" t="s">
        <v>57</v>
      </c>
      <c r="F1785" s="1763">
        <v>672000</v>
      </c>
      <c r="H1785" s="61"/>
      <c r="I1785" s="55"/>
      <c r="J1785" s="1761">
        <v>2211300</v>
      </c>
      <c r="K1785" s="1762" t="s">
        <v>57</v>
      </c>
      <c r="L1785" s="1763">
        <v>672000</v>
      </c>
      <c r="N1785" s="1763">
        <f t="shared" si="27"/>
        <v>0</v>
      </c>
    </row>
    <row r="1786" spans="2:14">
      <c r="B1786" s="61"/>
      <c r="C1786" s="55"/>
      <c r="D1786" s="62">
        <v>2211305</v>
      </c>
      <c r="E1786" s="63" t="s">
        <v>365</v>
      </c>
      <c r="F1786" s="153">
        <v>432000</v>
      </c>
      <c r="H1786" s="61"/>
      <c r="I1786" s="55"/>
      <c r="J1786" s="62">
        <v>2211305</v>
      </c>
      <c r="K1786" s="63" t="s">
        <v>365</v>
      </c>
      <c r="L1786" s="153">
        <v>432000</v>
      </c>
      <c r="N1786" s="153">
        <f t="shared" si="27"/>
        <v>0</v>
      </c>
    </row>
    <row r="1787" spans="2:14">
      <c r="B1787" s="61"/>
      <c r="C1787" s="55"/>
      <c r="D1787" s="62">
        <v>2211306</v>
      </c>
      <c r="E1787" s="63" t="s">
        <v>58</v>
      </c>
      <c r="F1787" s="153">
        <v>240000</v>
      </c>
      <c r="H1787" s="61"/>
      <c r="I1787" s="55"/>
      <c r="J1787" s="62">
        <v>2211306</v>
      </c>
      <c r="K1787" s="63" t="s">
        <v>58</v>
      </c>
      <c r="L1787" s="153">
        <v>240000</v>
      </c>
      <c r="N1787" s="153">
        <f t="shared" si="27"/>
        <v>0</v>
      </c>
    </row>
    <row r="1788" spans="2:14">
      <c r="B1788" s="61"/>
      <c r="C1788" s="55"/>
      <c r="D1788" s="1761">
        <v>2220100</v>
      </c>
      <c r="E1788" s="1762" t="s">
        <v>62</v>
      </c>
      <c r="F1788" s="1763">
        <v>7140000</v>
      </c>
      <c r="H1788" s="61"/>
      <c r="I1788" s="55"/>
      <c r="J1788" s="1761">
        <v>2220100</v>
      </c>
      <c r="K1788" s="1762" t="s">
        <v>62</v>
      </c>
      <c r="L1788" s="1763">
        <v>7140000</v>
      </c>
      <c r="N1788" s="1763">
        <f t="shared" si="27"/>
        <v>0</v>
      </c>
    </row>
    <row r="1789" spans="2:14">
      <c r="B1789" s="61"/>
      <c r="C1789" s="55"/>
      <c r="D1789" s="62">
        <v>2220101</v>
      </c>
      <c r="E1789" s="63" t="s">
        <v>366</v>
      </c>
      <c r="F1789" s="153">
        <v>3120000</v>
      </c>
      <c r="H1789" s="61"/>
      <c r="I1789" s="55"/>
      <c r="J1789" s="62">
        <v>2220101</v>
      </c>
      <c r="K1789" s="63" t="s">
        <v>366</v>
      </c>
      <c r="L1789" s="153">
        <v>3120000</v>
      </c>
      <c r="N1789" s="153">
        <f t="shared" si="27"/>
        <v>0</v>
      </c>
    </row>
    <row r="1790" spans="2:14">
      <c r="B1790" s="61"/>
      <c r="C1790" s="55"/>
      <c r="D1790" s="62">
        <v>2220105</v>
      </c>
      <c r="E1790" s="63" t="s">
        <v>200</v>
      </c>
      <c r="F1790" s="153">
        <v>4020000</v>
      </c>
      <c r="H1790" s="61"/>
      <c r="I1790" s="55"/>
      <c r="J1790" s="62">
        <v>2220105</v>
      </c>
      <c r="K1790" s="63" t="s">
        <v>200</v>
      </c>
      <c r="L1790" s="153">
        <v>4020000</v>
      </c>
      <c r="N1790" s="153">
        <f t="shared" si="27"/>
        <v>0</v>
      </c>
    </row>
    <row r="1791" spans="2:14">
      <c r="B1791" s="61"/>
      <c r="C1791" s="55"/>
      <c r="D1791" s="1761">
        <v>2220200</v>
      </c>
      <c r="E1791" s="1762" t="s">
        <v>124</v>
      </c>
      <c r="F1791" s="1763">
        <v>14710000</v>
      </c>
      <c r="H1791" s="61"/>
      <c r="I1791" s="55"/>
      <c r="J1791" s="1761">
        <v>2220200</v>
      </c>
      <c r="K1791" s="1762" t="s">
        <v>124</v>
      </c>
      <c r="L1791" s="1763">
        <v>14710000</v>
      </c>
      <c r="N1791" s="1763">
        <f t="shared" si="27"/>
        <v>0</v>
      </c>
    </row>
    <row r="1792" spans="2:14">
      <c r="B1792" s="61"/>
      <c r="C1792" s="55"/>
      <c r="D1792" s="62">
        <v>2220201</v>
      </c>
      <c r="E1792" s="63" t="s">
        <v>367</v>
      </c>
      <c r="F1792" s="153">
        <v>14130000</v>
      </c>
      <c r="H1792" s="61"/>
      <c r="I1792" s="55"/>
      <c r="J1792" s="62">
        <v>2220201</v>
      </c>
      <c r="K1792" s="63" t="s">
        <v>367</v>
      </c>
      <c r="L1792" s="153">
        <v>14130000</v>
      </c>
      <c r="N1792" s="153">
        <f t="shared" si="27"/>
        <v>0</v>
      </c>
    </row>
    <row r="1793" spans="2:14">
      <c r="B1793" s="61"/>
      <c r="C1793" s="55"/>
      <c r="D1793" s="62">
        <v>2220210</v>
      </c>
      <c r="E1793" s="63" t="s">
        <v>163</v>
      </c>
      <c r="F1793" s="153">
        <v>580000</v>
      </c>
      <c r="H1793" s="61"/>
      <c r="I1793" s="55"/>
      <c r="J1793" s="62">
        <v>2220210</v>
      </c>
      <c r="K1793" s="63" t="s">
        <v>163</v>
      </c>
      <c r="L1793" s="153">
        <v>580000</v>
      </c>
      <c r="N1793" s="153">
        <f t="shared" si="27"/>
        <v>0</v>
      </c>
    </row>
    <row r="1794" spans="2:14">
      <c r="B1794" s="61"/>
      <c r="C1794" s="55"/>
      <c r="D1794" s="1761">
        <v>3110700</v>
      </c>
      <c r="E1794" s="1762" t="s">
        <v>65</v>
      </c>
      <c r="F1794" s="1773">
        <v>0</v>
      </c>
      <c r="H1794" s="61"/>
      <c r="I1794" s="55"/>
      <c r="J1794" s="1761">
        <v>3110700</v>
      </c>
      <c r="K1794" s="1762" t="s">
        <v>65</v>
      </c>
      <c r="L1794" s="1773">
        <v>0</v>
      </c>
      <c r="N1794" s="1773">
        <f t="shared" si="27"/>
        <v>0</v>
      </c>
    </row>
    <row r="1795" spans="2:14">
      <c r="B1795" s="61"/>
      <c r="C1795" s="55"/>
      <c r="D1795" s="62">
        <v>3110701</v>
      </c>
      <c r="E1795" s="1788" t="s">
        <v>1263</v>
      </c>
      <c r="F1795" s="177">
        <v>0</v>
      </c>
      <c r="H1795" s="61"/>
      <c r="I1795" s="55"/>
      <c r="J1795" s="62">
        <v>3110701</v>
      </c>
      <c r="K1795" s="1788" t="s">
        <v>1263</v>
      </c>
      <c r="L1795" s="177">
        <v>0</v>
      </c>
      <c r="N1795" s="177">
        <f t="shared" si="27"/>
        <v>0</v>
      </c>
    </row>
    <row r="1796" spans="2:14">
      <c r="B1796" s="61"/>
      <c r="C1796" s="55"/>
      <c r="D1796" s="1761">
        <v>3111000</v>
      </c>
      <c r="E1796" s="1762" t="s">
        <v>69</v>
      </c>
      <c r="F1796" s="1763">
        <v>800000</v>
      </c>
      <c r="H1796" s="61"/>
      <c r="I1796" s="55"/>
      <c r="J1796" s="1761">
        <v>3111000</v>
      </c>
      <c r="K1796" s="1762" t="s">
        <v>69</v>
      </c>
      <c r="L1796" s="1763">
        <v>800000</v>
      </c>
      <c r="N1796" s="1763">
        <f t="shared" si="27"/>
        <v>0</v>
      </c>
    </row>
    <row r="1797" spans="2:14">
      <c r="B1797" s="61"/>
      <c r="C1797" s="55"/>
      <c r="D1797" s="62">
        <v>3111001</v>
      </c>
      <c r="E1797" s="63" t="s">
        <v>368</v>
      </c>
      <c r="F1797" s="153">
        <v>400000</v>
      </c>
      <c r="H1797" s="61"/>
      <c r="I1797" s="55"/>
      <c r="J1797" s="62">
        <v>3111001</v>
      </c>
      <c r="K1797" s="63" t="s">
        <v>368</v>
      </c>
      <c r="L1797" s="153">
        <v>400000</v>
      </c>
      <c r="N1797" s="153">
        <f t="shared" si="27"/>
        <v>0</v>
      </c>
    </row>
    <row r="1798" spans="2:14">
      <c r="B1798" s="61"/>
      <c r="C1798" s="55"/>
      <c r="D1798" s="62">
        <v>3111002</v>
      </c>
      <c r="E1798" s="63" t="s">
        <v>369</v>
      </c>
      <c r="F1798" s="153">
        <v>400000</v>
      </c>
      <c r="H1798" s="61"/>
      <c r="I1798" s="55"/>
      <c r="J1798" s="62">
        <v>3111002</v>
      </c>
      <c r="K1798" s="63" t="s">
        <v>369</v>
      </c>
      <c r="L1798" s="153">
        <v>400000</v>
      </c>
      <c r="N1798" s="153">
        <f t="shared" si="27"/>
        <v>0</v>
      </c>
    </row>
    <row r="1799" spans="2:14">
      <c r="B1799" s="1671"/>
      <c r="C1799" s="55"/>
      <c r="D1799" s="1761">
        <v>3111400</v>
      </c>
      <c r="E1799" s="1762" t="s">
        <v>90</v>
      </c>
      <c r="F1799" s="1773">
        <v>1640000</v>
      </c>
      <c r="H1799" s="1671"/>
      <c r="I1799" s="55"/>
      <c r="J1799" s="1761">
        <v>3111400</v>
      </c>
      <c r="K1799" s="1762" t="s">
        <v>90</v>
      </c>
      <c r="L1799" s="1773">
        <v>1640000</v>
      </c>
      <c r="N1799" s="1773">
        <f t="shared" si="27"/>
        <v>0</v>
      </c>
    </row>
    <row r="1800" spans="2:14">
      <c r="B1800" s="61"/>
      <c r="C1800" s="55"/>
      <c r="D1800" s="62">
        <v>3111401</v>
      </c>
      <c r="E1800" s="63" t="s">
        <v>1503</v>
      </c>
      <c r="F1800" s="177">
        <v>0</v>
      </c>
      <c r="H1800" s="61"/>
      <c r="I1800" s="55"/>
      <c r="J1800" s="62">
        <v>3111401</v>
      </c>
      <c r="K1800" s="63" t="s">
        <v>1503</v>
      </c>
      <c r="L1800" s="177">
        <v>0</v>
      </c>
      <c r="N1800" s="177">
        <f t="shared" ref="N1800:N1863" si="28">F1800-L1800</f>
        <v>0</v>
      </c>
    </row>
    <row r="1801" spans="2:14" ht="30">
      <c r="B1801" s="61"/>
      <c r="C1801" s="55"/>
      <c r="D1801" s="62">
        <v>3111402</v>
      </c>
      <c r="E1801" s="63" t="s">
        <v>374</v>
      </c>
      <c r="F1801" s="153">
        <v>1640000</v>
      </c>
      <c r="H1801" s="61"/>
      <c r="I1801" s="55"/>
      <c r="J1801" s="62">
        <v>3111402</v>
      </c>
      <c r="K1801" s="63" t="s">
        <v>374</v>
      </c>
      <c r="L1801" s="153">
        <v>1640000</v>
      </c>
      <c r="N1801" s="153">
        <f t="shared" si="28"/>
        <v>0</v>
      </c>
    </row>
    <row r="1802" spans="2:14">
      <c r="B1802" s="1507"/>
      <c r="C1802" s="1723"/>
      <c r="D1802" s="1659" t="s">
        <v>389</v>
      </c>
      <c r="E1802" s="1765"/>
      <c r="F1802" s="1766">
        <v>40484411</v>
      </c>
      <c r="H1802" s="1507"/>
      <c r="I1802" s="1723"/>
      <c r="J1802" s="1659" t="s">
        <v>389</v>
      </c>
      <c r="K1802" s="1765"/>
      <c r="L1802" s="1766">
        <v>40484411</v>
      </c>
      <c r="N1802" s="1766">
        <f t="shared" si="28"/>
        <v>0</v>
      </c>
    </row>
    <row r="1803" spans="2:14">
      <c r="B1803" s="61"/>
      <c r="C1803" s="55"/>
      <c r="D1803" s="62"/>
      <c r="E1803" s="63"/>
      <c r="F1803" s="153"/>
      <c r="H1803" s="61"/>
      <c r="I1803" s="55"/>
      <c r="J1803" s="62"/>
      <c r="K1803" s="63"/>
      <c r="L1803" s="153"/>
      <c r="N1803" s="153">
        <f t="shared" si="28"/>
        <v>0</v>
      </c>
    </row>
    <row r="1804" spans="2:14">
      <c r="B1804" s="61"/>
      <c r="C1804" s="55"/>
      <c r="D1804" s="1688" t="s">
        <v>390</v>
      </c>
      <c r="E1804" s="1760"/>
      <c r="F1804" s="153"/>
      <c r="H1804" s="61"/>
      <c r="I1804" s="55"/>
      <c r="J1804" s="1688" t="s">
        <v>390</v>
      </c>
      <c r="K1804" s="1760"/>
      <c r="L1804" s="153"/>
      <c r="N1804" s="153">
        <f t="shared" si="28"/>
        <v>0</v>
      </c>
    </row>
    <row r="1805" spans="2:14">
      <c r="B1805" s="61"/>
      <c r="C1805" s="55"/>
      <c r="D1805" s="1761">
        <v>2211000</v>
      </c>
      <c r="E1805" s="1762" t="s">
        <v>118</v>
      </c>
      <c r="F1805" s="1773">
        <v>0</v>
      </c>
      <c r="H1805" s="61"/>
      <c r="I1805" s="55"/>
      <c r="J1805" s="1761">
        <v>2211000</v>
      </c>
      <c r="K1805" s="1762" t="s">
        <v>118</v>
      </c>
      <c r="L1805" s="1773">
        <v>0</v>
      </c>
      <c r="N1805" s="1773">
        <f t="shared" si="28"/>
        <v>0</v>
      </c>
    </row>
    <row r="1806" spans="2:14">
      <c r="B1806" s="61"/>
      <c r="C1806" s="55"/>
      <c r="D1806" s="62">
        <v>2211006</v>
      </c>
      <c r="E1806" s="1789" t="s">
        <v>391</v>
      </c>
      <c r="F1806" s="153">
        <v>0</v>
      </c>
      <c r="H1806" s="61"/>
      <c r="I1806" s="55"/>
      <c r="J1806" s="62">
        <v>2211006</v>
      </c>
      <c r="K1806" s="1789" t="s">
        <v>391</v>
      </c>
      <c r="L1806" s="153">
        <v>0</v>
      </c>
      <c r="N1806" s="153">
        <f t="shared" si="28"/>
        <v>0</v>
      </c>
    </row>
    <row r="1807" spans="2:14">
      <c r="B1807" s="61"/>
      <c r="C1807" s="55"/>
      <c r="D1807" s="1761">
        <v>3110200</v>
      </c>
      <c r="E1807" s="1762" t="s">
        <v>375</v>
      </c>
      <c r="F1807" s="1763">
        <v>0</v>
      </c>
      <c r="H1807" s="61"/>
      <c r="I1807" s="55"/>
      <c r="J1807" s="1761">
        <v>3110200</v>
      </c>
      <c r="K1807" s="1762" t="s">
        <v>375</v>
      </c>
      <c r="L1807" s="1763">
        <v>0</v>
      </c>
      <c r="N1807" s="1763">
        <f t="shared" si="28"/>
        <v>0</v>
      </c>
    </row>
    <row r="1808" spans="2:14" ht="30">
      <c r="B1808" s="61"/>
      <c r="C1808" s="55"/>
      <c r="D1808" s="62">
        <v>3110202</v>
      </c>
      <c r="E1808" s="63" t="s">
        <v>1265</v>
      </c>
      <c r="F1808" s="153">
        <v>0</v>
      </c>
      <c r="H1808" s="61"/>
      <c r="I1808" s="55"/>
      <c r="J1808" s="62">
        <v>3110202</v>
      </c>
      <c r="K1808" s="63" t="s">
        <v>1265</v>
      </c>
      <c r="L1808" s="153">
        <v>0</v>
      </c>
      <c r="N1808" s="153">
        <f t="shared" si="28"/>
        <v>0</v>
      </c>
    </row>
    <row r="1809" spans="2:14">
      <c r="B1809" s="61"/>
      <c r="C1809" s="55"/>
      <c r="D1809" s="1761">
        <v>3110400</v>
      </c>
      <c r="E1809" s="1762" t="s">
        <v>381</v>
      </c>
      <c r="F1809" s="1763">
        <v>46770462</v>
      </c>
      <c r="H1809" s="61"/>
      <c r="I1809" s="55"/>
      <c r="J1809" s="1761">
        <v>3110400</v>
      </c>
      <c r="K1809" s="1762" t="s">
        <v>381</v>
      </c>
      <c r="L1809" s="1763">
        <v>40770462</v>
      </c>
      <c r="N1809" s="1763">
        <f t="shared" si="28"/>
        <v>6000000</v>
      </c>
    </row>
    <row r="1810" spans="2:14" ht="45">
      <c r="B1810" s="1717"/>
      <c r="C1810" s="1790"/>
      <c r="D1810" s="1780">
        <v>3110402</v>
      </c>
      <c r="E1810" s="1791" t="s">
        <v>1753</v>
      </c>
      <c r="F1810" s="1792">
        <v>45448000</v>
      </c>
      <c r="H1810" s="61"/>
      <c r="I1810" s="55"/>
      <c r="J1810" s="62">
        <v>3110402</v>
      </c>
      <c r="K1810" s="1793" t="s">
        <v>1753</v>
      </c>
      <c r="L1810" s="1794">
        <v>39448000</v>
      </c>
      <c r="N1810" s="1794">
        <f t="shared" si="28"/>
        <v>6000000</v>
      </c>
    </row>
    <row r="1811" spans="2:14">
      <c r="B1811" s="61"/>
      <c r="C1811" s="55"/>
      <c r="D1811" s="62">
        <v>3110499</v>
      </c>
      <c r="E1811" s="1795" t="s">
        <v>1504</v>
      </c>
      <c r="F1811" s="1796">
        <v>1322462</v>
      </c>
      <c r="H1811" s="61"/>
      <c r="I1811" s="55"/>
      <c r="J1811" s="62">
        <v>3110499</v>
      </c>
      <c r="K1811" s="1795" t="s">
        <v>1504</v>
      </c>
      <c r="L1811" s="1796">
        <v>1322462</v>
      </c>
      <c r="N1811" s="1796">
        <f t="shared" si="28"/>
        <v>0</v>
      </c>
    </row>
    <row r="1812" spans="2:14">
      <c r="B1812" s="61"/>
      <c r="C1812" s="55"/>
      <c r="D1812" s="1761">
        <v>3110500</v>
      </c>
      <c r="E1812" s="1762" t="s">
        <v>260</v>
      </c>
      <c r="F1812" s="1763">
        <v>6750000</v>
      </c>
      <c r="H1812" s="61"/>
      <c r="I1812" s="55"/>
      <c r="J1812" s="1761">
        <v>3110500</v>
      </c>
      <c r="K1812" s="1762" t="s">
        <v>260</v>
      </c>
      <c r="L1812" s="1763">
        <v>6750000</v>
      </c>
      <c r="N1812" s="1763">
        <f t="shared" si="28"/>
        <v>0</v>
      </c>
    </row>
    <row r="1813" spans="2:14" ht="30">
      <c r="B1813" s="61"/>
      <c r="C1813" s="55"/>
      <c r="D1813" s="62">
        <v>3110599</v>
      </c>
      <c r="E1813" s="145" t="s">
        <v>1754</v>
      </c>
      <c r="F1813" s="1764">
        <v>6750000</v>
      </c>
      <c r="H1813" s="61"/>
      <c r="I1813" s="55"/>
      <c r="J1813" s="62">
        <v>3110599</v>
      </c>
      <c r="K1813" s="145" t="s">
        <v>1754</v>
      </c>
      <c r="L1813" s="1764">
        <v>6750000</v>
      </c>
      <c r="N1813" s="1764">
        <f t="shared" si="28"/>
        <v>0</v>
      </c>
    </row>
    <row r="1814" spans="2:14">
      <c r="B1814" s="61"/>
      <c r="C1814" s="55"/>
      <c r="D1814" s="1761">
        <v>3110700</v>
      </c>
      <c r="E1814" s="1762" t="s">
        <v>65</v>
      </c>
      <c r="F1814" s="1773">
        <v>35000000</v>
      </c>
      <c r="H1814" s="61"/>
      <c r="I1814" s="55"/>
      <c r="J1814" s="1761">
        <v>3110700</v>
      </c>
      <c r="K1814" s="1762" t="s">
        <v>65</v>
      </c>
      <c r="L1814" s="1773">
        <v>35000000</v>
      </c>
      <c r="N1814" s="1773">
        <f t="shared" si="28"/>
        <v>0</v>
      </c>
    </row>
    <row r="1815" spans="2:14">
      <c r="B1815" s="61"/>
      <c r="C1815" s="55"/>
      <c r="D1815" s="62">
        <v>3110701</v>
      </c>
      <c r="E1815" s="1788" t="s">
        <v>1263</v>
      </c>
      <c r="F1815" s="177">
        <v>0</v>
      </c>
      <c r="H1815" s="61"/>
      <c r="I1815" s="55"/>
      <c r="J1815" s="62">
        <v>3110701</v>
      </c>
      <c r="K1815" s="1788" t="s">
        <v>1263</v>
      </c>
      <c r="L1815" s="177">
        <v>0</v>
      </c>
      <c r="N1815" s="177">
        <f t="shared" si="28"/>
        <v>0</v>
      </c>
    </row>
    <row r="1816" spans="2:14" ht="30">
      <c r="B1816" s="61"/>
      <c r="C1816" s="55"/>
      <c r="D1816" s="62">
        <v>3110799</v>
      </c>
      <c r="E1816" s="63" t="s">
        <v>1505</v>
      </c>
      <c r="F1816" s="177">
        <v>35000000</v>
      </c>
      <c r="H1816" s="61"/>
      <c r="I1816" s="55"/>
      <c r="J1816" s="62">
        <v>3110799</v>
      </c>
      <c r="K1816" s="63" t="s">
        <v>1505</v>
      </c>
      <c r="L1816" s="177">
        <v>35000000</v>
      </c>
      <c r="N1816" s="177">
        <f t="shared" si="28"/>
        <v>0</v>
      </c>
    </row>
    <row r="1817" spans="2:14">
      <c r="B1817" s="1671"/>
      <c r="C1817" s="55"/>
      <c r="D1817" s="1761">
        <v>3111400</v>
      </c>
      <c r="E1817" s="1762" t="s">
        <v>90</v>
      </c>
      <c r="F1817" s="1773">
        <v>28700000</v>
      </c>
      <c r="H1817" s="1671"/>
      <c r="I1817" s="55"/>
      <c r="J1817" s="1761">
        <v>3111400</v>
      </c>
      <c r="K1817" s="1762" t="s">
        <v>90</v>
      </c>
      <c r="L1817" s="1773">
        <v>28700000</v>
      </c>
      <c r="N1817" s="1773">
        <f t="shared" si="28"/>
        <v>0</v>
      </c>
    </row>
    <row r="1818" spans="2:14" ht="30">
      <c r="B1818" s="61"/>
      <c r="C1818" s="55"/>
      <c r="D1818" s="62">
        <v>3111401</v>
      </c>
      <c r="E1818" s="63" t="s">
        <v>1506</v>
      </c>
      <c r="F1818" s="1785">
        <v>15700000</v>
      </c>
      <c r="H1818" s="61"/>
      <c r="I1818" s="55"/>
      <c r="J1818" s="62">
        <v>3111401</v>
      </c>
      <c r="K1818" s="63" t="s">
        <v>1506</v>
      </c>
      <c r="L1818" s="1785">
        <v>15700000</v>
      </c>
      <c r="N1818" s="1785">
        <f t="shared" si="28"/>
        <v>0</v>
      </c>
    </row>
    <row r="1819" spans="2:14">
      <c r="B1819" s="61"/>
      <c r="C1819" s="55"/>
      <c r="D1819" s="62">
        <v>3111401</v>
      </c>
      <c r="E1819" s="63" t="s">
        <v>1507</v>
      </c>
      <c r="F1819" s="1797">
        <v>8000000</v>
      </c>
      <c r="H1819" s="61"/>
      <c r="I1819" s="55"/>
      <c r="J1819" s="62">
        <v>3111401</v>
      </c>
      <c r="K1819" s="63" t="s">
        <v>1507</v>
      </c>
      <c r="L1819" s="1797">
        <v>8000000</v>
      </c>
      <c r="N1819" s="1797">
        <f t="shared" si="28"/>
        <v>0</v>
      </c>
    </row>
    <row r="1820" spans="2:14" ht="30">
      <c r="B1820" s="61"/>
      <c r="C1820" s="55"/>
      <c r="D1820" s="62">
        <v>3111401</v>
      </c>
      <c r="E1820" s="63" t="s">
        <v>1508</v>
      </c>
      <c r="F1820" s="177">
        <v>5000000</v>
      </c>
      <c r="H1820" s="61"/>
      <c r="I1820" s="55"/>
      <c r="J1820" s="62">
        <v>3111401</v>
      </c>
      <c r="K1820" s="63" t="s">
        <v>1508</v>
      </c>
      <c r="L1820" s="177">
        <v>5000000</v>
      </c>
      <c r="N1820" s="177">
        <f t="shared" si="28"/>
        <v>0</v>
      </c>
    </row>
    <row r="1821" spans="2:14">
      <c r="B1821" s="1507"/>
      <c r="C1821" s="1723"/>
      <c r="D1821" s="1659" t="s">
        <v>389</v>
      </c>
      <c r="E1821" s="1765"/>
      <c r="F1821" s="1722">
        <v>117220462</v>
      </c>
      <c r="H1821" s="1507"/>
      <c r="I1821" s="1723"/>
      <c r="J1821" s="1659" t="s">
        <v>389</v>
      </c>
      <c r="K1821" s="1765"/>
      <c r="L1821" s="1722">
        <v>111220462</v>
      </c>
      <c r="N1821" s="1722">
        <f t="shared" si="28"/>
        <v>6000000</v>
      </c>
    </row>
    <row r="1822" spans="2:14">
      <c r="B1822" s="1507"/>
      <c r="C1822" s="1723"/>
      <c r="D1822" s="1659" t="s">
        <v>84</v>
      </c>
      <c r="E1822" s="1765"/>
      <c r="F1822" s="1722">
        <v>157704873</v>
      </c>
      <c r="H1822" s="1507"/>
      <c r="I1822" s="1723"/>
      <c r="J1822" s="1659" t="s">
        <v>84</v>
      </c>
      <c r="K1822" s="1765"/>
      <c r="L1822" s="1722">
        <v>151704873</v>
      </c>
      <c r="N1822" s="1722">
        <f t="shared" si="28"/>
        <v>6000000</v>
      </c>
    </row>
    <row r="1823" spans="2:14">
      <c r="B1823" s="1528"/>
      <c r="C1823" s="1723"/>
      <c r="D1823" s="1507"/>
      <c r="E1823" s="1798" t="s">
        <v>99</v>
      </c>
      <c r="F1823" s="1722">
        <v>215290323</v>
      </c>
      <c r="H1823" s="1528"/>
      <c r="I1823" s="1723"/>
      <c r="J1823" s="1507"/>
      <c r="K1823" s="1798" t="s">
        <v>99</v>
      </c>
      <c r="L1823" s="1722">
        <v>215290323</v>
      </c>
      <c r="N1823" s="1722">
        <f t="shared" si="28"/>
        <v>0</v>
      </c>
    </row>
    <row r="1824" spans="2:14">
      <c r="B1824" s="1528"/>
      <c r="C1824" s="1723"/>
      <c r="D1824" s="1507"/>
      <c r="E1824" s="1798" t="s">
        <v>175</v>
      </c>
      <c r="F1824" s="1722">
        <v>674160582</v>
      </c>
      <c r="H1824" s="1528"/>
      <c r="I1824" s="1723"/>
      <c r="J1824" s="1507"/>
      <c r="K1824" s="1798" t="s">
        <v>175</v>
      </c>
      <c r="L1824" s="1722">
        <v>656160582</v>
      </c>
      <c r="N1824" s="1722">
        <f t="shared" si="28"/>
        <v>18000000</v>
      </c>
    </row>
    <row r="1825" spans="2:14">
      <c r="B1825" s="1528"/>
      <c r="C1825" s="1723"/>
      <c r="D1825" s="1583" t="s">
        <v>1270</v>
      </c>
      <c r="E1825" s="1620"/>
      <c r="F1825" s="1722">
        <v>889450905</v>
      </c>
      <c r="H1825" s="1528"/>
      <c r="I1825" s="1723"/>
      <c r="J1825" s="1583" t="s">
        <v>1270</v>
      </c>
      <c r="K1825" s="1620"/>
      <c r="L1825" s="1722">
        <v>871450905</v>
      </c>
      <c r="N1825" s="1722">
        <f t="shared" si="28"/>
        <v>18000000</v>
      </c>
    </row>
    <row r="1826" spans="2:14">
      <c r="B1826" s="1528"/>
      <c r="C1826" s="1723"/>
      <c r="D1826" s="1507"/>
      <c r="E1826" s="1658"/>
      <c r="F1826" s="1722"/>
      <c r="H1826" s="1528"/>
      <c r="I1826" s="1723"/>
      <c r="J1826" s="1507"/>
      <c r="K1826" s="1658"/>
      <c r="L1826" s="1722"/>
      <c r="N1826" s="1722">
        <f t="shared" si="28"/>
        <v>0</v>
      </c>
    </row>
    <row r="1827" spans="2:14">
      <c r="B1827" s="1708"/>
      <c r="C1827" s="1708"/>
      <c r="D1827" s="61"/>
      <c r="E1827" s="74"/>
      <c r="F1827" s="177"/>
      <c r="H1827" s="1708"/>
      <c r="I1827" s="1708"/>
      <c r="J1827" s="61"/>
      <c r="K1827" s="74"/>
      <c r="L1827" s="177"/>
      <c r="N1827" s="177">
        <f t="shared" si="28"/>
        <v>0</v>
      </c>
    </row>
    <row r="1828" spans="2:14">
      <c r="B1828" s="1799"/>
      <c r="C1828" s="1799"/>
      <c r="D1828" s="1800" t="s">
        <v>392</v>
      </c>
      <c r="E1828" s="1801"/>
      <c r="F1828" s="169"/>
      <c r="H1828" s="1799"/>
      <c r="I1828" s="1799"/>
      <c r="J1828" s="1800" t="s">
        <v>392</v>
      </c>
      <c r="K1828" s="1801"/>
      <c r="L1828" s="169"/>
      <c r="N1828" s="169">
        <f t="shared" si="28"/>
        <v>0</v>
      </c>
    </row>
    <row r="1829" spans="2:14">
      <c r="B1829" s="1799"/>
      <c r="C1829" s="1799"/>
      <c r="D1829" s="1800" t="s">
        <v>393</v>
      </c>
      <c r="E1829" s="1802"/>
      <c r="F1829" s="169">
        <v>0</v>
      </c>
      <c r="H1829" s="1799"/>
      <c r="I1829" s="1799"/>
      <c r="J1829" s="1800" t="s">
        <v>393</v>
      </c>
      <c r="K1829" s="1802"/>
      <c r="L1829" s="169">
        <v>0</v>
      </c>
      <c r="N1829" s="169">
        <f t="shared" si="28"/>
        <v>0</v>
      </c>
    </row>
    <row r="1830" spans="2:14">
      <c r="B1830" s="1803"/>
      <c r="C1830" s="1803"/>
      <c r="D1830" s="1804" t="s">
        <v>394</v>
      </c>
      <c r="E1830" s="1805"/>
      <c r="F1830" s="1804"/>
      <c r="H1830" s="1803"/>
      <c r="I1830" s="1803"/>
      <c r="J1830" s="1804" t="s">
        <v>394</v>
      </c>
      <c r="K1830" s="1805"/>
      <c r="L1830" s="1804"/>
      <c r="N1830" s="1804">
        <f t="shared" si="28"/>
        <v>0</v>
      </c>
    </row>
    <row r="1831" spans="2:14">
      <c r="B1831" s="1803" t="s">
        <v>178</v>
      </c>
      <c r="C1831" s="1803" t="s">
        <v>146</v>
      </c>
      <c r="D1831" s="1806" t="s">
        <v>395</v>
      </c>
      <c r="E1831" s="1807"/>
      <c r="F1831" s="1806"/>
      <c r="H1831" s="1803" t="s">
        <v>178</v>
      </c>
      <c r="I1831" s="1803" t="s">
        <v>146</v>
      </c>
      <c r="J1831" s="1806" t="s">
        <v>395</v>
      </c>
      <c r="K1831" s="1807"/>
      <c r="L1831" s="1806"/>
      <c r="N1831" s="1806">
        <f t="shared" si="28"/>
        <v>0</v>
      </c>
    </row>
    <row r="1832" spans="2:14">
      <c r="B1832" s="1803"/>
      <c r="C1832" s="1803"/>
      <c r="D1832" s="1543">
        <v>2110100</v>
      </c>
      <c r="E1832" s="1808" t="s">
        <v>13</v>
      </c>
      <c r="F1832" s="1768">
        <v>891170557</v>
      </c>
      <c r="H1832" s="1803"/>
      <c r="I1832" s="1803"/>
      <c r="J1832" s="1543">
        <v>2110100</v>
      </c>
      <c r="K1832" s="1808" t="s">
        <v>13</v>
      </c>
      <c r="L1832" s="1768">
        <v>891170557</v>
      </c>
      <c r="N1832" s="1768">
        <f t="shared" si="28"/>
        <v>0</v>
      </c>
    </row>
    <row r="1833" spans="2:14">
      <c r="B1833" s="1809"/>
      <c r="C1833" s="1809"/>
      <c r="D1833" s="39">
        <v>2110101</v>
      </c>
      <c r="E1833" s="1810" t="s">
        <v>396</v>
      </c>
      <c r="F1833" s="150">
        <v>891170557</v>
      </c>
      <c r="H1833" s="1809"/>
      <c r="I1833" s="1809"/>
      <c r="J1833" s="39">
        <v>2110101</v>
      </c>
      <c r="K1833" s="1810" t="s">
        <v>396</v>
      </c>
      <c r="L1833" s="150">
        <v>891170557</v>
      </c>
      <c r="N1833" s="150">
        <f t="shared" si="28"/>
        <v>0</v>
      </c>
    </row>
    <row r="1834" spans="2:14">
      <c r="B1834" s="1803"/>
      <c r="C1834" s="1803"/>
      <c r="D1834" s="1543">
        <v>2110200</v>
      </c>
      <c r="E1834" s="1808" t="s">
        <v>148</v>
      </c>
      <c r="F1834" s="1763">
        <v>12656000</v>
      </c>
      <c r="H1834" s="1803"/>
      <c r="I1834" s="1803"/>
      <c r="J1834" s="1543">
        <v>2110200</v>
      </c>
      <c r="K1834" s="1808" t="s">
        <v>148</v>
      </c>
      <c r="L1834" s="1763">
        <v>12656000</v>
      </c>
      <c r="N1834" s="1763">
        <f t="shared" si="28"/>
        <v>0</v>
      </c>
    </row>
    <row r="1835" spans="2:14">
      <c r="B1835" s="1809"/>
      <c r="C1835" s="1809"/>
      <c r="D1835" s="39">
        <v>2110202</v>
      </c>
      <c r="E1835" s="1810" t="s">
        <v>1853</v>
      </c>
      <c r="F1835" s="150">
        <v>12656000</v>
      </c>
      <c r="H1835" s="1809"/>
      <c r="I1835" s="1809"/>
      <c r="J1835" s="39">
        <v>2110202</v>
      </c>
      <c r="K1835" s="1810" t="s">
        <v>1853</v>
      </c>
      <c r="L1835" s="150">
        <v>12656000</v>
      </c>
      <c r="N1835" s="150">
        <f t="shared" si="28"/>
        <v>0</v>
      </c>
    </row>
    <row r="1836" spans="2:14">
      <c r="B1836" s="1803"/>
      <c r="C1836" s="1803"/>
      <c r="D1836" s="1543">
        <v>2210200</v>
      </c>
      <c r="E1836" s="1808" t="s">
        <v>20</v>
      </c>
      <c r="F1836" s="1768">
        <v>307907.10200000001</v>
      </c>
      <c r="H1836" s="1803"/>
      <c r="I1836" s="1803"/>
      <c r="J1836" s="1543">
        <v>2210200</v>
      </c>
      <c r="K1836" s="1808" t="s">
        <v>20</v>
      </c>
      <c r="L1836" s="1768">
        <v>307907.10200000001</v>
      </c>
      <c r="N1836" s="1768">
        <f t="shared" si="28"/>
        <v>0</v>
      </c>
    </row>
    <row r="1837" spans="2:14">
      <c r="B1837" s="1809"/>
      <c r="C1837" s="1809"/>
      <c r="D1837" s="39">
        <v>2210201</v>
      </c>
      <c r="E1837" s="1810" t="s">
        <v>187</v>
      </c>
      <c r="F1837" s="150">
        <v>230260</v>
      </c>
      <c r="H1837" s="1809"/>
      <c r="I1837" s="1809"/>
      <c r="J1837" s="39">
        <v>2210201</v>
      </c>
      <c r="K1837" s="1810" t="s">
        <v>187</v>
      </c>
      <c r="L1837" s="150">
        <v>230260</v>
      </c>
      <c r="N1837" s="150">
        <f t="shared" si="28"/>
        <v>0</v>
      </c>
    </row>
    <row r="1838" spans="2:14">
      <c r="B1838" s="1809"/>
      <c r="C1838" s="1809"/>
      <c r="D1838" s="39">
        <v>2210202</v>
      </c>
      <c r="E1838" s="1810" t="s">
        <v>22</v>
      </c>
      <c r="F1838" s="150">
        <v>39107.102000000021</v>
      </c>
      <c r="H1838" s="1809"/>
      <c r="I1838" s="1809"/>
      <c r="J1838" s="39">
        <v>2210202</v>
      </c>
      <c r="K1838" s="1810" t="s">
        <v>22</v>
      </c>
      <c r="L1838" s="150">
        <v>39107.102000000021</v>
      </c>
      <c r="N1838" s="150">
        <f t="shared" si="28"/>
        <v>0</v>
      </c>
    </row>
    <row r="1839" spans="2:14">
      <c r="B1839" s="1809"/>
      <c r="C1839" s="1809"/>
      <c r="D1839" s="39">
        <v>2210203</v>
      </c>
      <c r="E1839" s="1810" t="s">
        <v>23</v>
      </c>
      <c r="F1839" s="150">
        <v>38540</v>
      </c>
      <c r="H1839" s="1809"/>
      <c r="I1839" s="1809"/>
      <c r="J1839" s="39">
        <v>2210203</v>
      </c>
      <c r="K1839" s="1810" t="s">
        <v>23</v>
      </c>
      <c r="L1839" s="150">
        <v>38540</v>
      </c>
      <c r="N1839" s="150">
        <f t="shared" si="28"/>
        <v>0</v>
      </c>
    </row>
    <row r="1840" spans="2:14">
      <c r="B1840" s="1803"/>
      <c r="C1840" s="1803"/>
      <c r="D1840" s="1543">
        <v>2210300</v>
      </c>
      <c r="E1840" s="1808" t="s">
        <v>24</v>
      </c>
      <c r="F1840" s="1768">
        <v>2372812</v>
      </c>
      <c r="H1840" s="1803"/>
      <c r="I1840" s="1803"/>
      <c r="J1840" s="1543">
        <v>2210300</v>
      </c>
      <c r="K1840" s="1808" t="s">
        <v>24</v>
      </c>
      <c r="L1840" s="1768">
        <v>2372812</v>
      </c>
      <c r="N1840" s="1768">
        <f t="shared" si="28"/>
        <v>0</v>
      </c>
    </row>
    <row r="1841" spans="2:14">
      <c r="B1841" s="1809"/>
      <c r="C1841" s="1809"/>
      <c r="D1841" s="39">
        <v>2210301</v>
      </c>
      <c r="E1841" s="1810" t="s">
        <v>25</v>
      </c>
      <c r="F1841" s="150">
        <v>989612</v>
      </c>
      <c r="H1841" s="1809"/>
      <c r="I1841" s="1809"/>
      <c r="J1841" s="39">
        <v>2210301</v>
      </c>
      <c r="K1841" s="1810" t="s">
        <v>25</v>
      </c>
      <c r="L1841" s="150">
        <v>989612</v>
      </c>
      <c r="N1841" s="150">
        <f t="shared" si="28"/>
        <v>0</v>
      </c>
    </row>
    <row r="1842" spans="2:14">
      <c r="B1842" s="1803"/>
      <c r="C1842" s="1803"/>
      <c r="D1842" s="39">
        <v>2210302</v>
      </c>
      <c r="E1842" s="1810" t="s">
        <v>411</v>
      </c>
      <c r="F1842" s="150">
        <v>550000</v>
      </c>
      <c r="H1842" s="1803"/>
      <c r="I1842" s="1803"/>
      <c r="J1842" s="39">
        <v>2210302</v>
      </c>
      <c r="K1842" s="1810" t="s">
        <v>411</v>
      </c>
      <c r="L1842" s="150">
        <v>550000</v>
      </c>
      <c r="N1842" s="150">
        <f t="shared" si="28"/>
        <v>0</v>
      </c>
    </row>
    <row r="1843" spans="2:14">
      <c r="B1843" s="1809"/>
      <c r="C1843" s="1809"/>
      <c r="D1843" s="39">
        <v>2210303</v>
      </c>
      <c r="E1843" s="1810" t="s">
        <v>223</v>
      </c>
      <c r="F1843" s="150">
        <v>833200</v>
      </c>
      <c r="H1843" s="1809"/>
      <c r="I1843" s="1809"/>
      <c r="J1843" s="39">
        <v>2210303</v>
      </c>
      <c r="K1843" s="1810" t="s">
        <v>223</v>
      </c>
      <c r="L1843" s="150">
        <v>833200</v>
      </c>
      <c r="N1843" s="150">
        <f t="shared" si="28"/>
        <v>0</v>
      </c>
    </row>
    <row r="1844" spans="2:14">
      <c r="B1844" s="1809"/>
      <c r="C1844" s="1809"/>
      <c r="D1844" s="1543">
        <v>2210400</v>
      </c>
      <c r="E1844" s="1808" t="s">
        <v>189</v>
      </c>
      <c r="F1844" s="1768">
        <v>644906.39</v>
      </c>
      <c r="H1844" s="1809"/>
      <c r="I1844" s="1809"/>
      <c r="J1844" s="1543">
        <v>2210400</v>
      </c>
      <c r="K1844" s="1808" t="s">
        <v>189</v>
      </c>
      <c r="L1844" s="1768">
        <v>644906.39</v>
      </c>
      <c r="N1844" s="1768">
        <f t="shared" si="28"/>
        <v>0</v>
      </c>
    </row>
    <row r="1845" spans="2:14">
      <c r="B1845" s="1803"/>
      <c r="C1845" s="1803"/>
      <c r="D1845" s="39">
        <v>2210403</v>
      </c>
      <c r="E1845" s="1810" t="s">
        <v>223</v>
      </c>
      <c r="F1845" s="150">
        <v>276800</v>
      </c>
      <c r="H1845" s="1803"/>
      <c r="I1845" s="1803"/>
      <c r="J1845" s="39">
        <v>2210403</v>
      </c>
      <c r="K1845" s="1810" t="s">
        <v>223</v>
      </c>
      <c r="L1845" s="150">
        <v>276800</v>
      </c>
      <c r="N1845" s="150">
        <f t="shared" si="28"/>
        <v>0</v>
      </c>
    </row>
    <row r="1846" spans="2:14">
      <c r="B1846" s="1809"/>
      <c r="C1846" s="1809"/>
      <c r="D1846" s="39">
        <v>2210404</v>
      </c>
      <c r="E1846" s="1810" t="s">
        <v>28</v>
      </c>
      <c r="F1846" s="150">
        <v>368106.39</v>
      </c>
      <c r="H1846" s="1809"/>
      <c r="I1846" s="1809"/>
      <c r="J1846" s="39">
        <v>2210404</v>
      </c>
      <c r="K1846" s="1810" t="s">
        <v>28</v>
      </c>
      <c r="L1846" s="150">
        <v>368106.39</v>
      </c>
      <c r="N1846" s="150">
        <f t="shared" si="28"/>
        <v>0</v>
      </c>
    </row>
    <row r="1847" spans="2:14">
      <c r="B1847" s="1809"/>
      <c r="C1847" s="1809"/>
      <c r="D1847" s="1543">
        <v>2210500</v>
      </c>
      <c r="E1847" s="1808" t="s">
        <v>31</v>
      </c>
      <c r="F1847" s="1768">
        <v>4245750</v>
      </c>
      <c r="H1847" s="1809"/>
      <c r="I1847" s="1809"/>
      <c r="J1847" s="1543">
        <v>2210500</v>
      </c>
      <c r="K1847" s="1808" t="s">
        <v>31</v>
      </c>
      <c r="L1847" s="1768">
        <v>4245750</v>
      </c>
      <c r="N1847" s="1768">
        <f t="shared" si="28"/>
        <v>0</v>
      </c>
    </row>
    <row r="1848" spans="2:14">
      <c r="B1848" s="1803"/>
      <c r="C1848" s="1803"/>
      <c r="D1848" s="39">
        <v>2210502</v>
      </c>
      <c r="E1848" s="1810" t="s">
        <v>397</v>
      </c>
      <c r="F1848" s="150">
        <v>72762.043999999994</v>
      </c>
      <c r="H1848" s="1803"/>
      <c r="I1848" s="1803"/>
      <c r="J1848" s="39">
        <v>2210502</v>
      </c>
      <c r="K1848" s="1810" t="s">
        <v>397</v>
      </c>
      <c r="L1848" s="150">
        <v>72762.043999999994</v>
      </c>
      <c r="N1848" s="150">
        <f t="shared" si="28"/>
        <v>0</v>
      </c>
    </row>
    <row r="1849" spans="2:14" ht="30">
      <c r="B1849" s="1809"/>
      <c r="C1849" s="1809"/>
      <c r="D1849" s="39">
        <v>2210504</v>
      </c>
      <c r="E1849" s="1810" t="s">
        <v>398</v>
      </c>
      <c r="F1849" s="191">
        <v>4172987.9560000002</v>
      </c>
      <c r="H1849" s="1809"/>
      <c r="I1849" s="1809"/>
      <c r="J1849" s="39">
        <v>2210504</v>
      </c>
      <c r="K1849" s="1810" t="s">
        <v>398</v>
      </c>
      <c r="L1849" s="191">
        <v>4172987.9560000002</v>
      </c>
      <c r="N1849" s="191">
        <f t="shared" si="28"/>
        <v>0</v>
      </c>
    </row>
    <row r="1850" spans="2:14" ht="30">
      <c r="B1850" s="1809"/>
      <c r="C1850" s="1809"/>
      <c r="D1850" s="1543">
        <v>2210700</v>
      </c>
      <c r="E1850" s="1808" t="s">
        <v>1589</v>
      </c>
      <c r="F1850" s="1768">
        <v>2210000</v>
      </c>
      <c r="H1850" s="1809"/>
      <c r="I1850" s="1809"/>
      <c r="J1850" s="1543">
        <v>2210700</v>
      </c>
      <c r="K1850" s="1808" t="s">
        <v>1589</v>
      </c>
      <c r="L1850" s="1768">
        <v>2210000</v>
      </c>
      <c r="N1850" s="1768">
        <f t="shared" si="28"/>
        <v>0</v>
      </c>
    </row>
    <row r="1851" spans="2:14">
      <c r="B1851" s="1809"/>
      <c r="C1851" s="1809"/>
      <c r="D1851" s="39">
        <v>2210710</v>
      </c>
      <c r="E1851" s="1810" t="s">
        <v>39</v>
      </c>
      <c r="F1851" s="150">
        <v>946000</v>
      </c>
      <c r="H1851" s="1809"/>
      <c r="I1851" s="1809"/>
      <c r="J1851" s="39">
        <v>2210710</v>
      </c>
      <c r="K1851" s="1810" t="s">
        <v>39</v>
      </c>
      <c r="L1851" s="150">
        <v>946000</v>
      </c>
      <c r="N1851" s="150">
        <f t="shared" si="28"/>
        <v>0</v>
      </c>
    </row>
    <row r="1852" spans="2:14">
      <c r="B1852" s="1809"/>
      <c r="C1852" s="1809"/>
      <c r="D1852" s="39">
        <v>2210711</v>
      </c>
      <c r="E1852" s="1810" t="s">
        <v>399</v>
      </c>
      <c r="F1852" s="150">
        <v>174000</v>
      </c>
      <c r="H1852" s="1809"/>
      <c r="I1852" s="1809"/>
      <c r="J1852" s="39">
        <v>2210711</v>
      </c>
      <c r="K1852" s="1810" t="s">
        <v>399</v>
      </c>
      <c r="L1852" s="150">
        <v>174000</v>
      </c>
      <c r="N1852" s="150">
        <f t="shared" si="28"/>
        <v>0</v>
      </c>
    </row>
    <row r="1853" spans="2:14">
      <c r="B1853" s="1809"/>
      <c r="C1853" s="1809"/>
      <c r="D1853" s="39">
        <v>2210712</v>
      </c>
      <c r="E1853" s="1810" t="s">
        <v>339</v>
      </c>
      <c r="F1853" s="150">
        <v>290000</v>
      </c>
      <c r="H1853" s="1809"/>
      <c r="I1853" s="1809"/>
      <c r="J1853" s="39">
        <v>2210712</v>
      </c>
      <c r="K1853" s="1810" t="s">
        <v>339</v>
      </c>
      <c r="L1853" s="150">
        <v>290000</v>
      </c>
      <c r="N1853" s="150">
        <f t="shared" si="28"/>
        <v>0</v>
      </c>
    </row>
    <row r="1854" spans="2:14">
      <c r="B1854" s="1803"/>
      <c r="C1854" s="1803"/>
      <c r="D1854" s="39">
        <v>2210715</v>
      </c>
      <c r="E1854" s="1810" t="s">
        <v>40</v>
      </c>
      <c r="F1854" s="150">
        <v>660000</v>
      </c>
      <c r="H1854" s="1803"/>
      <c r="I1854" s="1803"/>
      <c r="J1854" s="39">
        <v>2210715</v>
      </c>
      <c r="K1854" s="1810" t="s">
        <v>40</v>
      </c>
      <c r="L1854" s="150">
        <v>660000</v>
      </c>
      <c r="N1854" s="150">
        <f t="shared" si="28"/>
        <v>0</v>
      </c>
    </row>
    <row r="1855" spans="2:14">
      <c r="B1855" s="1809"/>
      <c r="C1855" s="1809"/>
      <c r="D1855" s="39">
        <v>2210799</v>
      </c>
      <c r="E1855" s="1810" t="s">
        <v>400</v>
      </c>
      <c r="F1855" s="150">
        <v>140000</v>
      </c>
      <c r="H1855" s="1809"/>
      <c r="I1855" s="1809"/>
      <c r="J1855" s="39">
        <v>2210799</v>
      </c>
      <c r="K1855" s="1810" t="s">
        <v>400</v>
      </c>
      <c r="L1855" s="150">
        <v>140000</v>
      </c>
      <c r="N1855" s="150">
        <f t="shared" si="28"/>
        <v>0</v>
      </c>
    </row>
    <row r="1856" spans="2:14">
      <c r="B1856" s="1809"/>
      <c r="C1856" s="1809"/>
      <c r="D1856" s="1543">
        <v>2210800</v>
      </c>
      <c r="E1856" s="1808" t="s">
        <v>42</v>
      </c>
      <c r="F1856" s="1768">
        <v>3690000</v>
      </c>
      <c r="H1856" s="1809"/>
      <c r="I1856" s="1809"/>
      <c r="J1856" s="1543">
        <v>2210800</v>
      </c>
      <c r="K1856" s="1808" t="s">
        <v>42</v>
      </c>
      <c r="L1856" s="1768">
        <v>3690000</v>
      </c>
      <c r="N1856" s="1768">
        <f t="shared" si="28"/>
        <v>0</v>
      </c>
    </row>
    <row r="1857" spans="2:14">
      <c r="B1857" s="1803"/>
      <c r="C1857" s="1803"/>
      <c r="D1857" s="39">
        <v>2210801</v>
      </c>
      <c r="E1857" s="1810" t="s">
        <v>401</v>
      </c>
      <c r="F1857" s="150">
        <v>1290000</v>
      </c>
      <c r="H1857" s="1803"/>
      <c r="I1857" s="1803"/>
      <c r="J1857" s="39">
        <v>2210801</v>
      </c>
      <c r="K1857" s="1810" t="s">
        <v>401</v>
      </c>
      <c r="L1857" s="150">
        <v>1290000</v>
      </c>
      <c r="N1857" s="150">
        <f t="shared" si="28"/>
        <v>0</v>
      </c>
    </row>
    <row r="1858" spans="2:14">
      <c r="B1858" s="1809"/>
      <c r="C1858" s="1809"/>
      <c r="D1858" s="39">
        <v>2210803</v>
      </c>
      <c r="E1858" s="1810" t="s">
        <v>195</v>
      </c>
      <c r="F1858" s="150">
        <v>1600000</v>
      </c>
      <c r="H1858" s="1809"/>
      <c r="I1858" s="1809"/>
      <c r="J1858" s="39">
        <v>2210803</v>
      </c>
      <c r="K1858" s="1810" t="s">
        <v>195</v>
      </c>
      <c r="L1858" s="150">
        <v>1600000</v>
      </c>
      <c r="N1858" s="150">
        <f t="shared" si="28"/>
        <v>0</v>
      </c>
    </row>
    <row r="1859" spans="2:14">
      <c r="B1859" s="1809"/>
      <c r="C1859" s="1809"/>
      <c r="D1859" s="39">
        <v>2210803</v>
      </c>
      <c r="E1859" s="1810" t="s">
        <v>1590</v>
      </c>
      <c r="F1859" s="150">
        <v>800000</v>
      </c>
      <c r="H1859" s="1809"/>
      <c r="I1859" s="1809"/>
      <c r="J1859" s="39">
        <v>2210803</v>
      </c>
      <c r="K1859" s="1810" t="s">
        <v>1590</v>
      </c>
      <c r="L1859" s="150">
        <v>800000</v>
      </c>
      <c r="N1859" s="150">
        <f t="shared" si="28"/>
        <v>0</v>
      </c>
    </row>
    <row r="1860" spans="2:14">
      <c r="B1860" s="1809"/>
      <c r="C1860" s="1809"/>
      <c r="D1860" s="1543">
        <v>2211100</v>
      </c>
      <c r="E1860" s="1808" t="s">
        <v>51</v>
      </c>
      <c r="F1860" s="1768">
        <v>1510320.2340000002</v>
      </c>
      <c r="H1860" s="1809"/>
      <c r="I1860" s="1809"/>
      <c r="J1860" s="1543">
        <v>2211100</v>
      </c>
      <c r="K1860" s="1808" t="s">
        <v>51</v>
      </c>
      <c r="L1860" s="1768">
        <v>1510320.2340000002</v>
      </c>
      <c r="N1860" s="1768">
        <f t="shared" si="28"/>
        <v>0</v>
      </c>
    </row>
    <row r="1861" spans="2:14">
      <c r="B1861" s="1803"/>
      <c r="C1861" s="1803"/>
      <c r="D1861" s="39">
        <v>2211101</v>
      </c>
      <c r="E1861" s="1810" t="s">
        <v>289</v>
      </c>
      <c r="F1861" s="150">
        <v>800000</v>
      </c>
      <c r="H1861" s="1803"/>
      <c r="I1861" s="1803"/>
      <c r="J1861" s="39">
        <v>2211101</v>
      </c>
      <c r="K1861" s="1810" t="s">
        <v>289</v>
      </c>
      <c r="L1861" s="150">
        <v>800000</v>
      </c>
      <c r="N1861" s="150">
        <f t="shared" si="28"/>
        <v>0</v>
      </c>
    </row>
    <row r="1862" spans="2:14">
      <c r="B1862" s="1803"/>
      <c r="C1862" s="1803"/>
      <c r="D1862" s="39">
        <v>2211102</v>
      </c>
      <c r="E1862" s="1810" t="s">
        <v>53</v>
      </c>
      <c r="F1862" s="150">
        <v>578381.23400000005</v>
      </c>
      <c r="H1862" s="1803"/>
      <c r="I1862" s="1803"/>
      <c r="J1862" s="39">
        <v>2211102</v>
      </c>
      <c r="K1862" s="1810" t="s">
        <v>53</v>
      </c>
      <c r="L1862" s="150">
        <v>578381.23400000005</v>
      </c>
      <c r="N1862" s="150">
        <f t="shared" si="28"/>
        <v>0</v>
      </c>
    </row>
    <row r="1863" spans="2:14">
      <c r="B1863" s="1803"/>
      <c r="C1863" s="1803"/>
      <c r="D1863" s="39">
        <v>2211103</v>
      </c>
      <c r="E1863" s="1810" t="s">
        <v>402</v>
      </c>
      <c r="F1863" s="150">
        <v>131939</v>
      </c>
      <c r="H1863" s="1803"/>
      <c r="I1863" s="1803"/>
      <c r="J1863" s="39">
        <v>2211103</v>
      </c>
      <c r="K1863" s="1810" t="s">
        <v>402</v>
      </c>
      <c r="L1863" s="150">
        <v>131939</v>
      </c>
      <c r="N1863" s="150">
        <f t="shared" si="28"/>
        <v>0</v>
      </c>
    </row>
    <row r="1864" spans="2:14">
      <c r="B1864" s="1803"/>
      <c r="C1864" s="1803"/>
      <c r="D1864" s="1543">
        <v>2211200</v>
      </c>
      <c r="E1864" s="1808" t="s">
        <v>55</v>
      </c>
      <c r="F1864" s="1768">
        <v>2000000</v>
      </c>
      <c r="H1864" s="1803"/>
      <c r="I1864" s="1803"/>
      <c r="J1864" s="1543">
        <v>2211200</v>
      </c>
      <c r="K1864" s="1808" t="s">
        <v>55</v>
      </c>
      <c r="L1864" s="1768">
        <v>2000000</v>
      </c>
      <c r="N1864" s="1768">
        <f t="shared" ref="N1864:N1927" si="29">F1864-L1864</f>
        <v>0</v>
      </c>
    </row>
    <row r="1865" spans="2:14">
      <c r="B1865" s="1803"/>
      <c r="C1865" s="1803"/>
      <c r="D1865" s="39">
        <v>2211201</v>
      </c>
      <c r="E1865" s="1810" t="s">
        <v>56</v>
      </c>
      <c r="F1865" s="150">
        <v>2000000</v>
      </c>
      <c r="H1865" s="1803"/>
      <c r="I1865" s="1803"/>
      <c r="J1865" s="39">
        <v>2211201</v>
      </c>
      <c r="K1865" s="1810" t="s">
        <v>56</v>
      </c>
      <c r="L1865" s="150">
        <v>2000000</v>
      </c>
      <c r="N1865" s="150">
        <f t="shared" si="29"/>
        <v>0</v>
      </c>
    </row>
    <row r="1866" spans="2:14">
      <c r="B1866" s="1809"/>
      <c r="C1866" s="1809"/>
      <c r="D1866" s="1543">
        <v>2211300</v>
      </c>
      <c r="E1866" s="1808" t="s">
        <v>57</v>
      </c>
      <c r="F1866" s="1768">
        <v>590000</v>
      </c>
      <c r="H1866" s="1809"/>
      <c r="I1866" s="1809"/>
      <c r="J1866" s="1543">
        <v>2211300</v>
      </c>
      <c r="K1866" s="1808" t="s">
        <v>57</v>
      </c>
      <c r="L1866" s="1768">
        <v>590000</v>
      </c>
      <c r="N1866" s="1768">
        <f t="shared" si="29"/>
        <v>0</v>
      </c>
    </row>
    <row r="1867" spans="2:14">
      <c r="B1867" s="1809"/>
      <c r="C1867" s="1809"/>
      <c r="D1867" s="39">
        <v>2211306</v>
      </c>
      <c r="E1867" s="1810" t="s">
        <v>58</v>
      </c>
      <c r="F1867" s="150">
        <v>290000</v>
      </c>
      <c r="H1867" s="1809"/>
      <c r="I1867" s="1809"/>
      <c r="J1867" s="39">
        <v>2211306</v>
      </c>
      <c r="K1867" s="1810" t="s">
        <v>58</v>
      </c>
      <c r="L1867" s="150">
        <v>290000</v>
      </c>
      <c r="N1867" s="150">
        <f t="shared" si="29"/>
        <v>0</v>
      </c>
    </row>
    <row r="1868" spans="2:14">
      <c r="B1868" s="1809"/>
      <c r="C1868" s="1809"/>
      <c r="D1868" s="39">
        <v>2211308</v>
      </c>
      <c r="E1868" s="1810" t="s">
        <v>1591</v>
      </c>
      <c r="F1868" s="150">
        <v>300000</v>
      </c>
      <c r="H1868" s="1809"/>
      <c r="I1868" s="1809"/>
      <c r="J1868" s="39">
        <v>2211308</v>
      </c>
      <c r="K1868" s="1810" t="s">
        <v>1591</v>
      </c>
      <c r="L1868" s="150">
        <v>300000</v>
      </c>
      <c r="N1868" s="150">
        <f t="shared" si="29"/>
        <v>0</v>
      </c>
    </row>
    <row r="1869" spans="2:14">
      <c r="B1869" s="1809"/>
      <c r="C1869" s="1809"/>
      <c r="D1869" s="1543">
        <v>2220100</v>
      </c>
      <c r="E1869" s="1808" t="s">
        <v>62</v>
      </c>
      <c r="F1869" s="1768">
        <v>4600000</v>
      </c>
      <c r="H1869" s="1809"/>
      <c r="I1869" s="1809"/>
      <c r="J1869" s="1543">
        <v>2220100</v>
      </c>
      <c r="K1869" s="1808" t="s">
        <v>62</v>
      </c>
      <c r="L1869" s="1768">
        <v>4600000</v>
      </c>
      <c r="N1869" s="1768">
        <f t="shared" si="29"/>
        <v>0</v>
      </c>
    </row>
    <row r="1870" spans="2:14">
      <c r="B1870" s="1803"/>
      <c r="C1870" s="1803"/>
      <c r="D1870" s="39">
        <v>2220101</v>
      </c>
      <c r="E1870" s="1810" t="s">
        <v>1592</v>
      </c>
      <c r="F1870" s="150">
        <v>2500000</v>
      </c>
      <c r="H1870" s="1803"/>
      <c r="I1870" s="1803"/>
      <c r="J1870" s="39">
        <v>2220101</v>
      </c>
      <c r="K1870" s="1810" t="s">
        <v>1592</v>
      </c>
      <c r="L1870" s="150">
        <v>2500000</v>
      </c>
      <c r="N1870" s="150">
        <f t="shared" si="29"/>
        <v>0</v>
      </c>
    </row>
    <row r="1871" spans="2:14">
      <c r="B1871" s="1809"/>
      <c r="C1871" s="1809"/>
      <c r="D1871" s="39">
        <v>2220102</v>
      </c>
      <c r="E1871" s="1810" t="s">
        <v>1593</v>
      </c>
      <c r="F1871" s="150">
        <v>600000</v>
      </c>
      <c r="H1871" s="1809"/>
      <c r="I1871" s="1809"/>
      <c r="J1871" s="39">
        <v>2220102</v>
      </c>
      <c r="K1871" s="1810" t="s">
        <v>1593</v>
      </c>
      <c r="L1871" s="150">
        <v>600000</v>
      </c>
      <c r="N1871" s="150">
        <f t="shared" si="29"/>
        <v>0</v>
      </c>
    </row>
    <row r="1872" spans="2:14">
      <c r="B1872" s="1809"/>
      <c r="C1872" s="1809"/>
      <c r="D1872" s="39">
        <v>2220105</v>
      </c>
      <c r="E1872" s="1810" t="s">
        <v>404</v>
      </c>
      <c r="F1872" s="150">
        <v>1500000</v>
      </c>
      <c r="H1872" s="1809"/>
      <c r="I1872" s="1809"/>
      <c r="J1872" s="39">
        <v>2220105</v>
      </c>
      <c r="K1872" s="1810" t="s">
        <v>404</v>
      </c>
      <c r="L1872" s="150">
        <v>1500000</v>
      </c>
      <c r="N1872" s="150">
        <f t="shared" si="29"/>
        <v>0</v>
      </c>
    </row>
    <row r="1873" spans="2:14">
      <c r="B1873" s="1803"/>
      <c r="C1873" s="1803"/>
      <c r="D1873" s="1543">
        <v>2220200</v>
      </c>
      <c r="E1873" s="1808" t="s">
        <v>405</v>
      </c>
      <c r="F1873" s="1768">
        <v>105306.24000000001</v>
      </c>
      <c r="H1873" s="1803"/>
      <c r="I1873" s="1803"/>
      <c r="J1873" s="1543">
        <v>2220200</v>
      </c>
      <c r="K1873" s="1808" t="s">
        <v>405</v>
      </c>
      <c r="L1873" s="1768">
        <v>105306.24000000001</v>
      </c>
      <c r="N1873" s="1768">
        <f t="shared" si="29"/>
        <v>0</v>
      </c>
    </row>
    <row r="1874" spans="2:14">
      <c r="B1874" s="1809"/>
      <c r="C1874" s="1809"/>
      <c r="D1874" s="39">
        <v>2220205</v>
      </c>
      <c r="E1874" s="1810" t="s">
        <v>125</v>
      </c>
      <c r="F1874" s="150">
        <v>105306.24000000001</v>
      </c>
      <c r="H1874" s="1809"/>
      <c r="I1874" s="1809"/>
      <c r="J1874" s="39">
        <v>2220205</v>
      </c>
      <c r="K1874" s="1810" t="s">
        <v>125</v>
      </c>
      <c r="L1874" s="150">
        <v>105306.24000000001</v>
      </c>
      <c r="N1874" s="150">
        <f t="shared" si="29"/>
        <v>0</v>
      </c>
    </row>
    <row r="1875" spans="2:14">
      <c r="B1875" s="1803"/>
      <c r="C1875" s="1803"/>
      <c r="D1875" s="1543">
        <v>3111000</v>
      </c>
      <c r="E1875" s="1808" t="s">
        <v>69</v>
      </c>
      <c r="F1875" s="1768">
        <v>1755000</v>
      </c>
      <c r="H1875" s="1803"/>
      <c r="I1875" s="1803"/>
      <c r="J1875" s="1543">
        <v>3111000</v>
      </c>
      <c r="K1875" s="1808" t="s">
        <v>69</v>
      </c>
      <c r="L1875" s="1768">
        <v>1755000</v>
      </c>
      <c r="N1875" s="1768">
        <f t="shared" si="29"/>
        <v>0</v>
      </c>
    </row>
    <row r="1876" spans="2:14">
      <c r="B1876" s="1809"/>
      <c r="C1876" s="1809"/>
      <c r="D1876" s="39">
        <v>3111001</v>
      </c>
      <c r="E1876" s="1810" t="s">
        <v>70</v>
      </c>
      <c r="F1876" s="150">
        <v>760000</v>
      </c>
      <c r="H1876" s="1809"/>
      <c r="I1876" s="1809"/>
      <c r="J1876" s="39">
        <v>3111001</v>
      </c>
      <c r="K1876" s="1810" t="s">
        <v>70</v>
      </c>
      <c r="L1876" s="150">
        <v>760000</v>
      </c>
      <c r="N1876" s="150">
        <f t="shared" si="29"/>
        <v>0</v>
      </c>
    </row>
    <row r="1877" spans="2:14">
      <c r="B1877" s="1809"/>
      <c r="C1877" s="1809"/>
      <c r="D1877" s="39">
        <v>3111002</v>
      </c>
      <c r="E1877" s="1810" t="s">
        <v>71</v>
      </c>
      <c r="F1877" s="150">
        <v>995000</v>
      </c>
      <c r="H1877" s="1809"/>
      <c r="I1877" s="1809"/>
      <c r="J1877" s="39">
        <v>3111002</v>
      </c>
      <c r="K1877" s="1810" t="s">
        <v>71</v>
      </c>
      <c r="L1877" s="150">
        <v>995000</v>
      </c>
      <c r="N1877" s="150">
        <f t="shared" si="29"/>
        <v>0</v>
      </c>
    </row>
    <row r="1878" spans="2:14">
      <c r="B1878" s="1811"/>
      <c r="C1878" s="1811"/>
      <c r="D1878" s="1800" t="s">
        <v>406</v>
      </c>
      <c r="E1878" s="1812"/>
      <c r="F1878" s="1710">
        <v>927858558.96599996</v>
      </c>
      <c r="H1878" s="1811"/>
      <c r="I1878" s="1811"/>
      <c r="J1878" s="1800" t="s">
        <v>406</v>
      </c>
      <c r="K1878" s="1812"/>
      <c r="L1878" s="1710">
        <v>927858558.96599996</v>
      </c>
      <c r="N1878" s="1710">
        <f t="shared" si="29"/>
        <v>0</v>
      </c>
    </row>
    <row r="1879" spans="2:14">
      <c r="B1879" s="1809"/>
      <c r="C1879" s="1809"/>
      <c r="D1879" s="1543"/>
      <c r="E1879" s="1808"/>
      <c r="F1879" s="169">
        <v>0</v>
      </c>
      <c r="H1879" s="1809"/>
      <c r="I1879" s="1809"/>
      <c r="J1879" s="1543"/>
      <c r="K1879" s="1808"/>
      <c r="L1879" s="169">
        <v>0</v>
      </c>
      <c r="N1879" s="169">
        <f t="shared" si="29"/>
        <v>0</v>
      </c>
    </row>
    <row r="1880" spans="2:14">
      <c r="B1880" s="1803" t="s">
        <v>178</v>
      </c>
      <c r="C1880" s="1803" t="s">
        <v>146</v>
      </c>
      <c r="D1880" s="1543" t="s">
        <v>92</v>
      </c>
      <c r="E1880" s="1808"/>
      <c r="F1880" s="169">
        <v>0</v>
      </c>
      <c r="H1880" s="1803" t="s">
        <v>178</v>
      </c>
      <c r="I1880" s="1803" t="s">
        <v>146</v>
      </c>
      <c r="J1880" s="1543" t="s">
        <v>92</v>
      </c>
      <c r="K1880" s="1808"/>
      <c r="L1880" s="169">
        <v>0</v>
      </c>
      <c r="N1880" s="169">
        <f t="shared" si="29"/>
        <v>0</v>
      </c>
    </row>
    <row r="1881" spans="2:14">
      <c r="B1881" s="1809"/>
      <c r="C1881" s="1809"/>
      <c r="D1881" s="1543">
        <v>3111100</v>
      </c>
      <c r="E1881" s="1808" t="s">
        <v>73</v>
      </c>
      <c r="F1881" s="1768">
        <v>2157207</v>
      </c>
      <c r="H1881" s="1809"/>
      <c r="I1881" s="1809"/>
      <c r="J1881" s="1543">
        <v>3111100</v>
      </c>
      <c r="K1881" s="1808" t="s">
        <v>73</v>
      </c>
      <c r="L1881" s="1768">
        <v>2157207</v>
      </c>
      <c r="N1881" s="1768">
        <f t="shared" si="29"/>
        <v>0</v>
      </c>
    </row>
    <row r="1882" spans="2:14" ht="30">
      <c r="B1882" s="1809"/>
      <c r="C1882" s="1809"/>
      <c r="D1882" s="39">
        <v>3111112</v>
      </c>
      <c r="E1882" s="1813" t="s">
        <v>1594</v>
      </c>
      <c r="F1882" s="150">
        <v>2157207</v>
      </c>
      <c r="H1882" s="1809"/>
      <c r="I1882" s="1809"/>
      <c r="J1882" s="39">
        <v>3111112</v>
      </c>
      <c r="K1882" s="1813" t="s">
        <v>1594</v>
      </c>
      <c r="L1882" s="150">
        <v>2157207</v>
      </c>
      <c r="N1882" s="150">
        <f t="shared" si="29"/>
        <v>0</v>
      </c>
    </row>
    <row r="1883" spans="2:14">
      <c r="B1883" s="1809"/>
      <c r="C1883" s="1809"/>
      <c r="D1883" s="1543" t="s">
        <v>175</v>
      </c>
      <c r="E1883" s="1808"/>
      <c r="F1883" s="1603">
        <v>2157207</v>
      </c>
      <c r="H1883" s="1809"/>
      <c r="I1883" s="1809"/>
      <c r="J1883" s="1543" t="s">
        <v>175</v>
      </c>
      <c r="K1883" s="1808"/>
      <c r="L1883" s="1603">
        <v>2157207</v>
      </c>
      <c r="N1883" s="1603">
        <f t="shared" si="29"/>
        <v>0</v>
      </c>
    </row>
    <row r="1884" spans="2:14">
      <c r="B1884" s="1803"/>
      <c r="C1884" s="1803"/>
      <c r="D1884" s="1804" t="s">
        <v>407</v>
      </c>
      <c r="E1884" s="1805"/>
      <c r="F1884" s="1511">
        <v>930015765.96599996</v>
      </c>
      <c r="H1884" s="1803"/>
      <c r="I1884" s="1803"/>
      <c r="J1884" s="1804" t="s">
        <v>407</v>
      </c>
      <c r="K1884" s="1805"/>
      <c r="L1884" s="1511">
        <v>930015765.96599996</v>
      </c>
      <c r="N1884" s="1511">
        <f t="shared" si="29"/>
        <v>0</v>
      </c>
    </row>
    <row r="1885" spans="2:14">
      <c r="B1885" s="1809"/>
      <c r="C1885" s="1809"/>
      <c r="D1885" s="1543"/>
      <c r="E1885" s="1808"/>
      <c r="F1885" s="169">
        <v>0</v>
      </c>
      <c r="H1885" s="1809"/>
      <c r="I1885" s="1809"/>
      <c r="J1885" s="1543"/>
      <c r="K1885" s="1808"/>
      <c r="L1885" s="169">
        <v>0</v>
      </c>
      <c r="N1885" s="169">
        <f t="shared" si="29"/>
        <v>0</v>
      </c>
    </row>
    <row r="1886" spans="2:14">
      <c r="B1886" s="1809"/>
      <c r="C1886" s="1809"/>
      <c r="D1886" s="1543"/>
      <c r="E1886" s="1808"/>
      <c r="F1886" s="169">
        <v>0</v>
      </c>
      <c r="H1886" s="1809"/>
      <c r="I1886" s="1809"/>
      <c r="J1886" s="1543"/>
      <c r="K1886" s="1808"/>
      <c r="L1886" s="169">
        <v>0</v>
      </c>
      <c r="N1886" s="169">
        <f t="shared" si="29"/>
        <v>0</v>
      </c>
    </row>
    <row r="1887" spans="2:14">
      <c r="B1887" s="1809"/>
      <c r="C1887" s="1809"/>
      <c r="D1887" s="1543"/>
      <c r="E1887" s="1808"/>
      <c r="F1887" s="169">
        <v>0</v>
      </c>
      <c r="H1887" s="1809"/>
      <c r="I1887" s="1809"/>
      <c r="J1887" s="1543"/>
      <c r="K1887" s="1808"/>
      <c r="L1887" s="169">
        <v>0</v>
      </c>
      <c r="N1887" s="169">
        <f t="shared" si="29"/>
        <v>0</v>
      </c>
    </row>
    <row r="1888" spans="2:14">
      <c r="B1888" s="1803" t="s">
        <v>178</v>
      </c>
      <c r="C1888" s="1803" t="s">
        <v>146</v>
      </c>
      <c r="D1888" s="1804" t="s">
        <v>408</v>
      </c>
      <c r="E1888" s="1805"/>
      <c r="F1888" s="1511"/>
      <c r="H1888" s="1803" t="s">
        <v>178</v>
      </c>
      <c r="I1888" s="1803" t="s">
        <v>146</v>
      </c>
      <c r="J1888" s="1804" t="s">
        <v>408</v>
      </c>
      <c r="K1888" s="1805"/>
      <c r="L1888" s="1511"/>
      <c r="N1888" s="1511">
        <f t="shared" si="29"/>
        <v>0</v>
      </c>
    </row>
    <row r="1889" spans="2:14">
      <c r="B1889" s="1803"/>
      <c r="C1889" s="1803"/>
      <c r="D1889" s="1543">
        <v>2210300</v>
      </c>
      <c r="E1889" s="1808" t="s">
        <v>24</v>
      </c>
      <c r="F1889" s="1763">
        <v>3000000</v>
      </c>
      <c r="H1889" s="1803"/>
      <c r="I1889" s="1803"/>
      <c r="J1889" s="1543">
        <v>2210300</v>
      </c>
      <c r="K1889" s="1808" t="s">
        <v>24</v>
      </c>
      <c r="L1889" s="1763">
        <v>3000000</v>
      </c>
      <c r="N1889" s="1763">
        <f t="shared" si="29"/>
        <v>0</v>
      </c>
    </row>
    <row r="1890" spans="2:14">
      <c r="B1890" s="1803"/>
      <c r="C1890" s="1803"/>
      <c r="D1890" s="39">
        <v>2210303</v>
      </c>
      <c r="E1890" s="1810" t="s">
        <v>1595</v>
      </c>
      <c r="F1890" s="153">
        <v>3000000</v>
      </c>
      <c r="H1890" s="1803"/>
      <c r="I1890" s="1803"/>
      <c r="J1890" s="39">
        <v>2210303</v>
      </c>
      <c r="K1890" s="1810" t="s">
        <v>1595</v>
      </c>
      <c r="L1890" s="153">
        <v>3000000</v>
      </c>
      <c r="N1890" s="153">
        <f t="shared" si="29"/>
        <v>0</v>
      </c>
    </row>
    <row r="1891" spans="2:14">
      <c r="B1891" s="1803"/>
      <c r="C1891" s="1803"/>
      <c r="D1891" s="1543" t="s">
        <v>409</v>
      </c>
      <c r="E1891" s="1808"/>
      <c r="F1891" s="1511">
        <v>3000000</v>
      </c>
      <c r="H1891" s="1803"/>
      <c r="I1891" s="1803"/>
      <c r="J1891" s="1543" t="s">
        <v>409</v>
      </c>
      <c r="K1891" s="1808"/>
      <c r="L1891" s="1511">
        <v>3000000</v>
      </c>
      <c r="N1891" s="1511">
        <f t="shared" si="29"/>
        <v>0</v>
      </c>
    </row>
    <row r="1892" spans="2:14">
      <c r="B1892" s="1809"/>
      <c r="C1892" s="1809"/>
      <c r="D1892" s="39"/>
      <c r="E1892" s="1810"/>
      <c r="F1892" s="169">
        <v>0</v>
      </c>
      <c r="H1892" s="1809"/>
      <c r="I1892" s="1809"/>
      <c r="J1892" s="39"/>
      <c r="K1892" s="1810"/>
      <c r="L1892" s="169">
        <v>0</v>
      </c>
      <c r="N1892" s="169">
        <f t="shared" si="29"/>
        <v>0</v>
      </c>
    </row>
    <row r="1893" spans="2:14">
      <c r="B1893" s="1809"/>
      <c r="C1893" s="1809"/>
      <c r="D1893" s="39"/>
      <c r="E1893" s="1810"/>
      <c r="F1893" s="169">
        <v>0</v>
      </c>
      <c r="H1893" s="1809"/>
      <c r="I1893" s="1809"/>
      <c r="J1893" s="39"/>
      <c r="K1893" s="1810"/>
      <c r="L1893" s="169">
        <v>0</v>
      </c>
      <c r="N1893" s="169">
        <f t="shared" si="29"/>
        <v>0</v>
      </c>
    </row>
    <row r="1894" spans="2:14">
      <c r="B1894" s="1803" t="s">
        <v>178</v>
      </c>
      <c r="C1894" s="1803" t="s">
        <v>146</v>
      </c>
      <c r="D1894" s="77" t="s">
        <v>410</v>
      </c>
      <c r="E1894" s="1808"/>
      <c r="F1894" s="169">
        <v>0</v>
      </c>
      <c r="H1894" s="1803" t="s">
        <v>178</v>
      </c>
      <c r="I1894" s="1803" t="s">
        <v>146</v>
      </c>
      <c r="J1894" s="77" t="s">
        <v>410</v>
      </c>
      <c r="K1894" s="1808"/>
      <c r="L1894" s="169">
        <v>0</v>
      </c>
      <c r="N1894" s="169">
        <f t="shared" si="29"/>
        <v>0</v>
      </c>
    </row>
    <row r="1895" spans="2:14">
      <c r="B1895" s="1803"/>
      <c r="C1895" s="1803"/>
      <c r="D1895" s="1543">
        <v>2110100</v>
      </c>
      <c r="E1895" s="1808" t="s">
        <v>13</v>
      </c>
      <c r="F1895" s="1763">
        <v>66062932</v>
      </c>
      <c r="H1895" s="1803"/>
      <c r="I1895" s="1803"/>
      <c r="J1895" s="1543">
        <v>2110100</v>
      </c>
      <c r="K1895" s="1808" t="s">
        <v>13</v>
      </c>
      <c r="L1895" s="1763">
        <v>66062932</v>
      </c>
      <c r="N1895" s="1763">
        <f t="shared" si="29"/>
        <v>0</v>
      </c>
    </row>
    <row r="1896" spans="2:14">
      <c r="B1896" s="1809"/>
      <c r="C1896" s="1809"/>
      <c r="D1896" s="39">
        <v>2110101</v>
      </c>
      <c r="E1896" s="1810" t="s">
        <v>14</v>
      </c>
      <c r="F1896" s="153">
        <v>66062932</v>
      </c>
      <c r="H1896" s="1809"/>
      <c r="I1896" s="1809"/>
      <c r="J1896" s="39">
        <v>2110101</v>
      </c>
      <c r="K1896" s="1810" t="s">
        <v>14</v>
      </c>
      <c r="L1896" s="153">
        <v>66062932</v>
      </c>
      <c r="N1896" s="153">
        <f t="shared" si="29"/>
        <v>0</v>
      </c>
    </row>
    <row r="1897" spans="2:14">
      <c r="B1897" s="1803"/>
      <c r="C1897" s="1803"/>
      <c r="D1897" s="1543">
        <v>2210100</v>
      </c>
      <c r="E1897" s="1808" t="s">
        <v>16</v>
      </c>
      <c r="F1897" s="1763">
        <v>20193912.618000001</v>
      </c>
      <c r="H1897" s="1803"/>
      <c r="I1897" s="1803"/>
      <c r="J1897" s="1543">
        <v>2210100</v>
      </c>
      <c r="K1897" s="1808" t="s">
        <v>16</v>
      </c>
      <c r="L1897" s="1763">
        <v>193912.61800000002</v>
      </c>
      <c r="N1897" s="1763">
        <f t="shared" si="29"/>
        <v>20000000</v>
      </c>
    </row>
    <row r="1898" spans="2:14">
      <c r="B1898" s="1803"/>
      <c r="C1898" s="1803"/>
      <c r="D1898" s="39">
        <v>2210101</v>
      </c>
      <c r="E1898" s="1810" t="s">
        <v>17</v>
      </c>
      <c r="F1898" s="153">
        <v>100275.21400000001</v>
      </c>
      <c r="H1898" s="1803"/>
      <c r="I1898" s="1803"/>
      <c r="J1898" s="39">
        <v>2210101</v>
      </c>
      <c r="K1898" s="1810" t="s">
        <v>17</v>
      </c>
      <c r="L1898" s="153">
        <v>100275.21400000001</v>
      </c>
      <c r="N1898" s="153">
        <f t="shared" si="29"/>
        <v>0</v>
      </c>
    </row>
    <row r="1899" spans="2:14">
      <c r="B1899" s="1814"/>
      <c r="C1899" s="1814"/>
      <c r="D1899" s="1815">
        <v>2210106</v>
      </c>
      <c r="E1899" s="1816" t="s">
        <v>1835</v>
      </c>
      <c r="F1899" s="1817">
        <v>20000000</v>
      </c>
      <c r="H1899" s="1803"/>
      <c r="I1899" s="1803"/>
      <c r="J1899" s="39"/>
      <c r="K1899" s="1810"/>
      <c r="L1899" s="153"/>
      <c r="N1899" s="153">
        <f t="shared" si="29"/>
        <v>20000000</v>
      </c>
    </row>
    <row r="1900" spans="2:14">
      <c r="B1900" s="1803"/>
      <c r="C1900" s="1803"/>
      <c r="D1900" s="39">
        <v>2210102</v>
      </c>
      <c r="E1900" s="1810" t="s">
        <v>18</v>
      </c>
      <c r="F1900" s="153">
        <v>93637.403999999995</v>
      </c>
      <c r="H1900" s="1803"/>
      <c r="I1900" s="1803"/>
      <c r="J1900" s="39">
        <v>2210102</v>
      </c>
      <c r="K1900" s="1810" t="s">
        <v>18</v>
      </c>
      <c r="L1900" s="153">
        <v>93637.403999999995</v>
      </c>
      <c r="N1900" s="153">
        <f t="shared" si="29"/>
        <v>0</v>
      </c>
    </row>
    <row r="1901" spans="2:14">
      <c r="B1901" s="1809"/>
      <c r="C1901" s="1809"/>
      <c r="D1901" s="1543">
        <v>2210200</v>
      </c>
      <c r="E1901" s="1808" t="s">
        <v>20</v>
      </c>
      <c r="F1901" s="1763">
        <v>400186.48600000003</v>
      </c>
      <c r="H1901" s="1809"/>
      <c r="I1901" s="1809"/>
      <c r="J1901" s="1543">
        <v>2210200</v>
      </c>
      <c r="K1901" s="1808" t="s">
        <v>20</v>
      </c>
      <c r="L1901" s="1763">
        <v>400186.48600000003</v>
      </c>
      <c r="N1901" s="1763">
        <f t="shared" si="29"/>
        <v>0</v>
      </c>
    </row>
    <row r="1902" spans="2:14">
      <c r="B1902" s="1809"/>
      <c r="C1902" s="1809"/>
      <c r="D1902" s="39">
        <v>2210201</v>
      </c>
      <c r="E1902" s="1810" t="s">
        <v>187</v>
      </c>
      <c r="F1902" s="153">
        <v>378597.842</v>
      </c>
      <c r="H1902" s="1809"/>
      <c r="I1902" s="1809"/>
      <c r="J1902" s="39">
        <v>2210201</v>
      </c>
      <c r="K1902" s="1810" t="s">
        <v>187</v>
      </c>
      <c r="L1902" s="153">
        <v>378597.842</v>
      </c>
      <c r="N1902" s="153">
        <f t="shared" si="29"/>
        <v>0</v>
      </c>
    </row>
    <row r="1903" spans="2:14">
      <c r="B1903" s="1803"/>
      <c r="C1903" s="1803"/>
      <c r="D1903" s="39">
        <v>2210202</v>
      </c>
      <c r="E1903" s="1810" t="s">
        <v>22</v>
      </c>
      <c r="F1903" s="153">
        <v>21588.644</v>
      </c>
      <c r="H1903" s="1803"/>
      <c r="I1903" s="1803"/>
      <c r="J1903" s="39">
        <v>2210202</v>
      </c>
      <c r="K1903" s="1810" t="s">
        <v>22</v>
      </c>
      <c r="L1903" s="153">
        <v>21588.644</v>
      </c>
      <c r="N1903" s="153">
        <f t="shared" si="29"/>
        <v>0</v>
      </c>
    </row>
    <row r="1904" spans="2:14">
      <c r="B1904" s="1809"/>
      <c r="C1904" s="1809"/>
      <c r="D1904" s="1543">
        <v>2210300</v>
      </c>
      <c r="E1904" s="1808" t="s">
        <v>24</v>
      </c>
      <c r="F1904" s="1763">
        <v>3350330.86</v>
      </c>
      <c r="H1904" s="1809"/>
      <c r="I1904" s="1809"/>
      <c r="J1904" s="1543">
        <v>2210300</v>
      </c>
      <c r="K1904" s="1808" t="s">
        <v>24</v>
      </c>
      <c r="L1904" s="1763">
        <v>3350330.86</v>
      </c>
      <c r="N1904" s="1763">
        <f t="shared" si="29"/>
        <v>0</v>
      </c>
    </row>
    <row r="1905" spans="2:14">
      <c r="B1905" s="1809"/>
      <c r="C1905" s="1809"/>
      <c r="D1905" s="39">
        <v>2210301</v>
      </c>
      <c r="E1905" s="1810" t="s">
        <v>25</v>
      </c>
      <c r="F1905" s="153">
        <v>910330.86</v>
      </c>
      <c r="H1905" s="1809"/>
      <c r="I1905" s="1809"/>
      <c r="J1905" s="39">
        <v>2210301</v>
      </c>
      <c r="K1905" s="1810" t="s">
        <v>25</v>
      </c>
      <c r="L1905" s="153">
        <v>910330.86</v>
      </c>
      <c r="N1905" s="153">
        <f t="shared" si="29"/>
        <v>0</v>
      </c>
    </row>
    <row r="1906" spans="2:14">
      <c r="B1906" s="1803"/>
      <c r="C1906" s="1803"/>
      <c r="D1906" s="39">
        <v>2210302</v>
      </c>
      <c r="E1906" s="1810" t="s">
        <v>411</v>
      </c>
      <c r="F1906" s="153">
        <v>1211695.5</v>
      </c>
      <c r="H1906" s="1803"/>
      <c r="I1906" s="1803"/>
      <c r="J1906" s="39">
        <v>2210302</v>
      </c>
      <c r="K1906" s="1810" t="s">
        <v>411</v>
      </c>
      <c r="L1906" s="153">
        <v>1211695.5</v>
      </c>
      <c r="N1906" s="153">
        <f t="shared" si="29"/>
        <v>0</v>
      </c>
    </row>
    <row r="1907" spans="2:14">
      <c r="B1907" s="1809"/>
      <c r="C1907" s="1809"/>
      <c r="D1907" s="39">
        <v>2210303</v>
      </c>
      <c r="E1907" s="1810" t="s">
        <v>223</v>
      </c>
      <c r="F1907" s="153">
        <v>1228304.5</v>
      </c>
      <c r="H1907" s="1809"/>
      <c r="I1907" s="1809"/>
      <c r="J1907" s="39">
        <v>2210303</v>
      </c>
      <c r="K1907" s="1810" t="s">
        <v>223</v>
      </c>
      <c r="L1907" s="153">
        <v>1228304.5</v>
      </c>
      <c r="N1907" s="153">
        <f t="shared" si="29"/>
        <v>0</v>
      </c>
    </row>
    <row r="1908" spans="2:14">
      <c r="B1908" s="1809"/>
      <c r="C1908" s="1809"/>
      <c r="D1908" s="1543">
        <v>2211200</v>
      </c>
      <c r="E1908" s="1808" t="s">
        <v>55</v>
      </c>
      <c r="F1908" s="1768">
        <v>1500000</v>
      </c>
      <c r="H1908" s="1809"/>
      <c r="I1908" s="1809"/>
      <c r="J1908" s="1543">
        <v>2211200</v>
      </c>
      <c r="K1908" s="1808" t="s">
        <v>55</v>
      </c>
      <c r="L1908" s="1768">
        <v>1500000</v>
      </c>
      <c r="N1908" s="1768">
        <f t="shared" si="29"/>
        <v>0</v>
      </c>
    </row>
    <row r="1909" spans="2:14">
      <c r="B1909" s="1809"/>
      <c r="C1909" s="1809"/>
      <c r="D1909" s="39">
        <v>2211201</v>
      </c>
      <c r="E1909" s="1810" t="s">
        <v>56</v>
      </c>
      <c r="F1909" s="150">
        <v>1500000</v>
      </c>
      <c r="H1909" s="1809"/>
      <c r="I1909" s="1809"/>
      <c r="J1909" s="39">
        <v>2211201</v>
      </c>
      <c r="K1909" s="1810" t="s">
        <v>56</v>
      </c>
      <c r="L1909" s="150">
        <v>1500000</v>
      </c>
      <c r="N1909" s="150">
        <f t="shared" si="29"/>
        <v>0</v>
      </c>
    </row>
    <row r="1910" spans="2:14">
      <c r="B1910" s="1803"/>
      <c r="C1910" s="1803"/>
      <c r="D1910" s="1800" t="s">
        <v>99</v>
      </c>
      <c r="E1910" s="1812"/>
      <c r="F1910" s="1710">
        <v>91507361.964000002</v>
      </c>
      <c r="H1910" s="1803"/>
      <c r="I1910" s="1803"/>
      <c r="J1910" s="1800" t="s">
        <v>99</v>
      </c>
      <c r="K1910" s="1812"/>
      <c r="L1910" s="1710">
        <v>71507361.964000002</v>
      </c>
      <c r="N1910" s="1710">
        <f t="shared" si="29"/>
        <v>20000000</v>
      </c>
    </row>
    <row r="1911" spans="2:14">
      <c r="B1911" s="1803"/>
      <c r="C1911" s="1803"/>
      <c r="D1911" s="80"/>
      <c r="E1911" s="1818"/>
      <c r="F1911" s="169">
        <v>0</v>
      </c>
      <c r="H1911" s="1803"/>
      <c r="I1911" s="1803"/>
      <c r="J1911" s="80"/>
      <c r="K1911" s="1818"/>
      <c r="L1911" s="169">
        <v>0</v>
      </c>
      <c r="N1911" s="169">
        <f t="shared" si="29"/>
        <v>0</v>
      </c>
    </row>
    <row r="1912" spans="2:14">
      <c r="B1912" s="1819" t="s">
        <v>144</v>
      </c>
      <c r="C1912" s="1803" t="s">
        <v>146</v>
      </c>
      <c r="D1912" s="1820" t="s">
        <v>412</v>
      </c>
      <c r="E1912" s="1808"/>
      <c r="F1912" s="169"/>
      <c r="H1912" s="1819" t="s">
        <v>144</v>
      </c>
      <c r="I1912" s="1803" t="s">
        <v>146</v>
      </c>
      <c r="J1912" s="1820" t="s">
        <v>412</v>
      </c>
      <c r="K1912" s="1808"/>
      <c r="L1912" s="169"/>
      <c r="N1912" s="169">
        <f t="shared" si="29"/>
        <v>0</v>
      </c>
    </row>
    <row r="1913" spans="2:14">
      <c r="B1913" s="1803"/>
      <c r="C1913" s="1803"/>
      <c r="D1913" s="1543">
        <v>3110202</v>
      </c>
      <c r="E1913" s="1808" t="s">
        <v>413</v>
      </c>
      <c r="F1913" s="1763">
        <v>91617939</v>
      </c>
      <c r="H1913" s="1803"/>
      <c r="I1913" s="1803"/>
      <c r="J1913" s="1543">
        <v>3110202</v>
      </c>
      <c r="K1913" s="1808" t="s">
        <v>413</v>
      </c>
      <c r="L1913" s="1763">
        <v>86617939</v>
      </c>
      <c r="N1913" s="1763">
        <f t="shared" si="29"/>
        <v>5000000</v>
      </c>
    </row>
    <row r="1914" spans="2:14">
      <c r="B1914" s="1809"/>
      <c r="C1914" s="1809"/>
      <c r="D1914" s="39">
        <v>3110202</v>
      </c>
      <c r="E1914" s="1810" t="s">
        <v>1596</v>
      </c>
      <c r="F1914" s="150">
        <v>4400000</v>
      </c>
      <c r="H1914" s="1809"/>
      <c r="I1914" s="1809"/>
      <c r="J1914" s="39">
        <v>3110202</v>
      </c>
      <c r="K1914" s="1810" t="s">
        <v>1596</v>
      </c>
      <c r="L1914" s="150">
        <v>4400000</v>
      </c>
      <c r="N1914" s="150">
        <f t="shared" si="29"/>
        <v>0</v>
      </c>
    </row>
    <row r="1915" spans="2:14">
      <c r="B1915" s="1809"/>
      <c r="C1915" s="1809"/>
      <c r="D1915" s="39">
        <v>3110202</v>
      </c>
      <c r="E1915" s="1810" t="s">
        <v>1597</v>
      </c>
      <c r="F1915" s="150">
        <v>2500000</v>
      </c>
      <c r="H1915" s="1809"/>
      <c r="I1915" s="1809"/>
      <c r="J1915" s="39">
        <v>3110202</v>
      </c>
      <c r="K1915" s="1810" t="s">
        <v>1597</v>
      </c>
      <c r="L1915" s="150">
        <v>2500000</v>
      </c>
      <c r="N1915" s="150">
        <f t="shared" si="29"/>
        <v>0</v>
      </c>
    </row>
    <row r="1916" spans="2:14">
      <c r="B1916" s="1809"/>
      <c r="C1916" s="1809"/>
      <c r="D1916" s="39">
        <v>3110202</v>
      </c>
      <c r="E1916" s="1821" t="s">
        <v>1598</v>
      </c>
      <c r="F1916" s="150">
        <v>8000000</v>
      </c>
      <c r="H1916" s="1809"/>
      <c r="I1916" s="1809"/>
      <c r="J1916" s="39">
        <v>3110202</v>
      </c>
      <c r="K1916" s="1821" t="s">
        <v>1598</v>
      </c>
      <c r="L1916" s="150">
        <v>8000000</v>
      </c>
      <c r="N1916" s="150">
        <f t="shared" si="29"/>
        <v>0</v>
      </c>
    </row>
    <row r="1917" spans="2:14">
      <c r="B1917" s="1822"/>
      <c r="C1917" s="1822"/>
      <c r="D1917" s="1815">
        <v>3110202</v>
      </c>
      <c r="E1917" s="1816" t="s">
        <v>1599</v>
      </c>
      <c r="F1917" s="1823">
        <v>5300000</v>
      </c>
      <c r="H1917" s="1809"/>
      <c r="I1917" s="1809"/>
      <c r="J1917" s="39">
        <v>3110202</v>
      </c>
      <c r="K1917" s="1810" t="s">
        <v>1599</v>
      </c>
      <c r="L1917" s="150">
        <v>5800000</v>
      </c>
      <c r="N1917" s="150">
        <f t="shared" si="29"/>
        <v>-500000</v>
      </c>
    </row>
    <row r="1918" spans="2:14">
      <c r="B1918" s="1809"/>
      <c r="C1918" s="1809"/>
      <c r="D1918" s="39">
        <v>3110202</v>
      </c>
      <c r="E1918" s="1821" t="s">
        <v>1600</v>
      </c>
      <c r="F1918" s="152">
        <v>4000000</v>
      </c>
      <c r="H1918" s="1809"/>
      <c r="I1918" s="1809"/>
      <c r="J1918" s="39">
        <v>3110202</v>
      </c>
      <c r="K1918" s="1821" t="s">
        <v>1600</v>
      </c>
      <c r="L1918" s="152">
        <v>4000000</v>
      </c>
      <c r="N1918" s="152">
        <f t="shared" si="29"/>
        <v>0</v>
      </c>
    </row>
    <row r="1919" spans="2:14" ht="30">
      <c r="B1919" s="1809"/>
      <c r="C1919" s="1809"/>
      <c r="D1919" s="39">
        <v>3110202</v>
      </c>
      <c r="E1919" s="1824" t="s">
        <v>1601</v>
      </c>
      <c r="F1919" s="152">
        <v>5000000</v>
      </c>
      <c r="H1919" s="1809"/>
      <c r="I1919" s="1809"/>
      <c r="J1919" s="39">
        <v>3110202</v>
      </c>
      <c r="K1919" s="1824" t="s">
        <v>1601</v>
      </c>
      <c r="L1919" s="152">
        <v>5000000</v>
      </c>
      <c r="N1919" s="152">
        <f t="shared" si="29"/>
        <v>0</v>
      </c>
    </row>
    <row r="1920" spans="2:14">
      <c r="B1920" s="1822"/>
      <c r="C1920" s="1822"/>
      <c r="D1920" s="1815">
        <v>3110202</v>
      </c>
      <c r="E1920" s="1825" t="s">
        <v>1602</v>
      </c>
      <c r="F1920" s="1826">
        <v>11000000</v>
      </c>
      <c r="H1920" s="1809"/>
      <c r="I1920" s="1809"/>
      <c r="J1920" s="39">
        <v>3110202</v>
      </c>
      <c r="K1920" s="1821" t="s">
        <v>1602</v>
      </c>
      <c r="L1920" s="152">
        <v>13000000</v>
      </c>
      <c r="N1920" s="152">
        <f t="shared" si="29"/>
        <v>-2000000</v>
      </c>
    </row>
    <row r="1921" spans="2:14">
      <c r="B1921" s="1822"/>
      <c r="C1921" s="1822"/>
      <c r="D1921" s="1815">
        <v>3110202</v>
      </c>
      <c r="E1921" s="1827" t="s">
        <v>1603</v>
      </c>
      <c r="F1921" s="1826">
        <v>9000000</v>
      </c>
      <c r="H1921" s="1809"/>
      <c r="I1921" s="1809"/>
      <c r="J1921" s="39">
        <v>3110202</v>
      </c>
      <c r="K1921" s="1824" t="s">
        <v>1603</v>
      </c>
      <c r="L1921" s="152">
        <v>10000000</v>
      </c>
      <c r="N1921" s="152">
        <f t="shared" si="29"/>
        <v>-1000000</v>
      </c>
    </row>
    <row r="1922" spans="2:14" ht="30">
      <c r="B1922" s="1809"/>
      <c r="C1922" s="1809"/>
      <c r="D1922" s="39">
        <v>3110202</v>
      </c>
      <c r="E1922" s="1821" t="s">
        <v>1604</v>
      </c>
      <c r="F1922" s="152">
        <v>5000000</v>
      </c>
      <c r="H1922" s="1809"/>
      <c r="I1922" s="1809"/>
      <c r="J1922" s="39">
        <v>3110202</v>
      </c>
      <c r="K1922" s="1821" t="s">
        <v>1604</v>
      </c>
      <c r="L1922" s="152">
        <v>5000000</v>
      </c>
      <c r="N1922" s="152">
        <f t="shared" si="29"/>
        <v>0</v>
      </c>
    </row>
    <row r="1923" spans="2:14">
      <c r="B1923" s="1809"/>
      <c r="C1923" s="1809"/>
      <c r="D1923" s="39">
        <v>3110202</v>
      </c>
      <c r="E1923" s="1824" t="s">
        <v>1605</v>
      </c>
      <c r="F1923" s="152">
        <v>2000000</v>
      </c>
      <c r="H1923" s="1809"/>
      <c r="I1923" s="1809"/>
      <c r="J1923" s="39">
        <v>3110202</v>
      </c>
      <c r="K1923" s="1824" t="s">
        <v>1605</v>
      </c>
      <c r="L1923" s="152">
        <v>2000000</v>
      </c>
      <c r="N1923" s="152">
        <f t="shared" si="29"/>
        <v>0</v>
      </c>
    </row>
    <row r="1924" spans="2:14">
      <c r="B1924" s="1809"/>
      <c r="C1924" s="1809"/>
      <c r="D1924" s="39">
        <v>3110202</v>
      </c>
      <c r="E1924" s="1821" t="s">
        <v>1698</v>
      </c>
      <c r="F1924" s="152">
        <v>2000000</v>
      </c>
      <c r="H1924" s="1809"/>
      <c r="I1924" s="1809"/>
      <c r="J1924" s="39">
        <v>3110202</v>
      </c>
      <c r="K1924" s="1821" t="s">
        <v>1698</v>
      </c>
      <c r="L1924" s="152">
        <v>2000000</v>
      </c>
      <c r="N1924" s="152">
        <f t="shared" si="29"/>
        <v>0</v>
      </c>
    </row>
    <row r="1925" spans="2:14">
      <c r="B1925" s="1822"/>
      <c r="C1925" s="1822"/>
      <c r="D1925" s="1815">
        <v>3110202</v>
      </c>
      <c r="E1925" s="1827" t="s">
        <v>1606</v>
      </c>
      <c r="F1925" s="1826">
        <v>4450000</v>
      </c>
      <c r="H1925" s="1809"/>
      <c r="I1925" s="1809"/>
      <c r="J1925" s="39">
        <v>3110202</v>
      </c>
      <c r="K1925" s="1824" t="s">
        <v>1606</v>
      </c>
      <c r="L1925" s="152">
        <v>4950000</v>
      </c>
      <c r="N1925" s="152">
        <f t="shared" si="29"/>
        <v>-500000</v>
      </c>
    </row>
    <row r="1926" spans="2:14">
      <c r="B1926" s="1809"/>
      <c r="C1926" s="1809"/>
      <c r="D1926" s="39">
        <v>3110202</v>
      </c>
      <c r="E1926" s="1821" t="s">
        <v>1607</v>
      </c>
      <c r="F1926" s="152">
        <v>2000000</v>
      </c>
      <c r="H1926" s="1809"/>
      <c r="I1926" s="1809"/>
      <c r="J1926" s="39">
        <v>3110202</v>
      </c>
      <c r="K1926" s="1821" t="s">
        <v>1607</v>
      </c>
      <c r="L1926" s="152">
        <v>2000000</v>
      </c>
      <c r="N1926" s="152">
        <f t="shared" si="29"/>
        <v>0</v>
      </c>
    </row>
    <row r="1927" spans="2:14">
      <c r="B1927" s="1822"/>
      <c r="C1927" s="1822"/>
      <c r="D1927" s="1815">
        <v>3110202</v>
      </c>
      <c r="E1927" s="1825" t="s">
        <v>1836</v>
      </c>
      <c r="F1927" s="1826">
        <v>9000000</v>
      </c>
      <c r="H1927" s="1809"/>
      <c r="I1927" s="1809"/>
      <c r="J1927" s="39"/>
      <c r="K1927" s="1821"/>
      <c r="L1927" s="152"/>
      <c r="N1927" s="152">
        <f t="shared" si="29"/>
        <v>9000000</v>
      </c>
    </row>
    <row r="1928" spans="2:14">
      <c r="B1928" s="1809"/>
      <c r="C1928" s="1809"/>
      <c r="D1928" s="39">
        <v>3110202</v>
      </c>
      <c r="E1928" s="1824" t="s">
        <v>1608</v>
      </c>
      <c r="F1928" s="152">
        <v>2000000</v>
      </c>
      <c r="H1928" s="1809"/>
      <c r="I1928" s="1809"/>
      <c r="J1928" s="39">
        <v>3110202</v>
      </c>
      <c r="K1928" s="1824" t="s">
        <v>1608</v>
      </c>
      <c r="L1928" s="152">
        <v>2000000</v>
      </c>
      <c r="N1928" s="152">
        <f t="shared" ref="N1928:N1991" si="30">F1928-L1928</f>
        <v>0</v>
      </c>
    </row>
    <row r="1929" spans="2:14">
      <c r="B1929" s="1809"/>
      <c r="C1929" s="1809"/>
      <c r="D1929" s="39">
        <v>3110202</v>
      </c>
      <c r="E1929" s="1821" t="s">
        <v>1609</v>
      </c>
      <c r="F1929" s="153">
        <v>2000000</v>
      </c>
      <c r="H1929" s="1809"/>
      <c r="I1929" s="1809"/>
      <c r="J1929" s="39">
        <v>3110202</v>
      </c>
      <c r="K1929" s="1821" t="s">
        <v>1609</v>
      </c>
      <c r="L1929" s="153">
        <v>2000000</v>
      </c>
      <c r="N1929" s="153">
        <f t="shared" si="30"/>
        <v>0</v>
      </c>
    </row>
    <row r="1930" spans="2:14">
      <c r="B1930" s="1809"/>
      <c r="C1930" s="1809"/>
      <c r="D1930" s="39">
        <v>3110202</v>
      </c>
      <c r="E1930" s="1824" t="s">
        <v>1610</v>
      </c>
      <c r="F1930" s="153">
        <v>2000000</v>
      </c>
      <c r="H1930" s="1809"/>
      <c r="I1930" s="1809"/>
      <c r="J1930" s="39">
        <v>3110202</v>
      </c>
      <c r="K1930" s="1824" t="s">
        <v>1610</v>
      </c>
      <c r="L1930" s="153">
        <v>2000000</v>
      </c>
      <c r="N1930" s="153">
        <f t="shared" si="30"/>
        <v>0</v>
      </c>
    </row>
    <row r="1931" spans="2:14">
      <c r="B1931" s="1809"/>
      <c r="C1931" s="1809"/>
      <c r="D1931" s="39">
        <v>3110202</v>
      </c>
      <c r="E1931" s="1821" t="s">
        <v>1611</v>
      </c>
      <c r="F1931" s="152">
        <v>2044690</v>
      </c>
      <c r="H1931" s="1809"/>
      <c r="I1931" s="1809"/>
      <c r="J1931" s="39">
        <v>3110202</v>
      </c>
      <c r="K1931" s="1821" t="s">
        <v>1611</v>
      </c>
      <c r="L1931" s="152">
        <v>2044690</v>
      </c>
      <c r="N1931" s="152">
        <f t="shared" si="30"/>
        <v>0</v>
      </c>
    </row>
    <row r="1932" spans="2:14" ht="60">
      <c r="B1932" s="1809"/>
      <c r="C1932" s="1809"/>
      <c r="D1932" s="39">
        <v>3110202</v>
      </c>
      <c r="E1932" s="1824" t="s">
        <v>1800</v>
      </c>
      <c r="F1932" s="153">
        <v>7923249</v>
      </c>
      <c r="H1932" s="1809"/>
      <c r="I1932" s="1809"/>
      <c r="J1932" s="39">
        <v>3110202</v>
      </c>
      <c r="K1932" s="1824" t="s">
        <v>1800</v>
      </c>
      <c r="L1932" s="153">
        <v>7923249</v>
      </c>
      <c r="N1932" s="153">
        <f t="shared" si="30"/>
        <v>0</v>
      </c>
    </row>
    <row r="1933" spans="2:14" ht="30">
      <c r="B1933" s="1809"/>
      <c r="C1933" s="1809"/>
      <c r="D1933" s="39">
        <v>3110202</v>
      </c>
      <c r="E1933" s="1821" t="s">
        <v>1612</v>
      </c>
      <c r="F1933" s="143">
        <v>2000000</v>
      </c>
      <c r="H1933" s="1809"/>
      <c r="I1933" s="1809"/>
      <c r="J1933" s="39">
        <v>3110202</v>
      </c>
      <c r="K1933" s="1821" t="s">
        <v>1612</v>
      </c>
      <c r="L1933" s="143">
        <v>2000000</v>
      </c>
      <c r="N1933" s="143">
        <f t="shared" si="30"/>
        <v>0</v>
      </c>
    </row>
    <row r="1934" spans="2:14">
      <c r="B1934" s="1809"/>
      <c r="C1934" s="1809"/>
      <c r="D1934" s="1543">
        <v>3110300</v>
      </c>
      <c r="E1934" s="1808" t="s">
        <v>293</v>
      </c>
      <c r="F1934" s="1763">
        <v>3600000</v>
      </c>
      <c r="H1934" s="1809"/>
      <c r="I1934" s="1809"/>
      <c r="J1934" s="1543">
        <v>3110300</v>
      </c>
      <c r="K1934" s="1808" t="s">
        <v>293</v>
      </c>
      <c r="L1934" s="1763">
        <v>3600000</v>
      </c>
      <c r="N1934" s="1763">
        <f t="shared" si="30"/>
        <v>0</v>
      </c>
    </row>
    <row r="1935" spans="2:14">
      <c r="B1935" s="1809"/>
      <c r="C1935" s="1809"/>
      <c r="D1935" s="39" t="s">
        <v>444</v>
      </c>
      <c r="E1935" s="1821" t="s">
        <v>1613</v>
      </c>
      <c r="F1935" s="152">
        <v>3600000</v>
      </c>
      <c r="H1935" s="1809"/>
      <c r="I1935" s="1809"/>
      <c r="J1935" s="39" t="s">
        <v>444</v>
      </c>
      <c r="K1935" s="1821" t="s">
        <v>1613</v>
      </c>
      <c r="L1935" s="152">
        <v>3600000</v>
      </c>
      <c r="N1935" s="152">
        <f t="shared" si="30"/>
        <v>0</v>
      </c>
    </row>
    <row r="1936" spans="2:14">
      <c r="B1936" s="1809"/>
      <c r="C1936" s="1809"/>
      <c r="D1936" s="1543">
        <v>3111500</v>
      </c>
      <c r="E1936" s="1808" t="s">
        <v>414</v>
      </c>
      <c r="F1936" s="1763">
        <v>6000000</v>
      </c>
      <c r="H1936" s="1809"/>
      <c r="I1936" s="1809"/>
      <c r="J1936" s="1543">
        <v>3111500</v>
      </c>
      <c r="K1936" s="1808" t="s">
        <v>414</v>
      </c>
      <c r="L1936" s="1763">
        <v>6000000</v>
      </c>
      <c r="N1936" s="1763">
        <f t="shared" si="30"/>
        <v>0</v>
      </c>
    </row>
    <row r="1937" spans="2:14" ht="30">
      <c r="B1937" s="1809"/>
      <c r="C1937" s="1809"/>
      <c r="D1937" s="39">
        <v>3111504</v>
      </c>
      <c r="E1937" s="1810" t="s">
        <v>1614</v>
      </c>
      <c r="F1937" s="152">
        <v>3000000</v>
      </c>
      <c r="H1937" s="1809"/>
      <c r="I1937" s="1809"/>
      <c r="J1937" s="39">
        <v>3111504</v>
      </c>
      <c r="K1937" s="1810" t="s">
        <v>1614</v>
      </c>
      <c r="L1937" s="152">
        <v>3000000</v>
      </c>
      <c r="N1937" s="152">
        <f t="shared" si="30"/>
        <v>0</v>
      </c>
    </row>
    <row r="1938" spans="2:14">
      <c r="B1938" s="1809"/>
      <c r="C1938" s="1809"/>
      <c r="D1938" s="39">
        <v>3111504</v>
      </c>
      <c r="E1938" s="1821" t="s">
        <v>1615</v>
      </c>
      <c r="F1938" s="153">
        <v>3000000</v>
      </c>
      <c r="H1938" s="1809"/>
      <c r="I1938" s="1809"/>
      <c r="J1938" s="39">
        <v>3111504</v>
      </c>
      <c r="K1938" s="1821" t="s">
        <v>1615</v>
      </c>
      <c r="L1938" s="153">
        <v>3000000</v>
      </c>
      <c r="N1938" s="153">
        <f t="shared" si="30"/>
        <v>0</v>
      </c>
    </row>
    <row r="1939" spans="2:14">
      <c r="B1939" s="1811"/>
      <c r="C1939" s="1811"/>
      <c r="D1939" s="1800" t="s">
        <v>175</v>
      </c>
      <c r="E1939" s="1812"/>
      <c r="F1939" s="1603">
        <v>101217939</v>
      </c>
      <c r="H1939" s="1811"/>
      <c r="I1939" s="1811"/>
      <c r="J1939" s="1800" t="s">
        <v>175</v>
      </c>
      <c r="K1939" s="1812"/>
      <c r="L1939" s="1603">
        <v>96217939</v>
      </c>
      <c r="N1939" s="1603">
        <f t="shared" si="30"/>
        <v>5000000</v>
      </c>
    </row>
    <row r="1940" spans="2:14">
      <c r="B1940" s="1828"/>
      <c r="C1940" s="1828"/>
      <c r="D1940" s="1800" t="s">
        <v>415</v>
      </c>
      <c r="E1940" s="1829"/>
      <c r="F1940" s="1710">
        <v>192725300.96399999</v>
      </c>
      <c r="H1940" s="1828"/>
      <c r="I1940" s="1828"/>
      <c r="J1940" s="1800" t="s">
        <v>415</v>
      </c>
      <c r="K1940" s="1829"/>
      <c r="L1940" s="1710">
        <v>167725300.96399999</v>
      </c>
      <c r="N1940" s="1710">
        <f t="shared" si="30"/>
        <v>25000000</v>
      </c>
    </row>
    <row r="1941" spans="2:14">
      <c r="B1941" s="1809"/>
      <c r="C1941" s="1809"/>
      <c r="D1941" s="1543"/>
      <c r="E1941" s="1808"/>
      <c r="F1941" s="169">
        <v>0</v>
      </c>
      <c r="H1941" s="1809"/>
      <c r="I1941" s="1809"/>
      <c r="J1941" s="1543"/>
      <c r="K1941" s="1808"/>
      <c r="L1941" s="169">
        <v>0</v>
      </c>
      <c r="N1941" s="169">
        <f t="shared" si="30"/>
        <v>0</v>
      </c>
    </row>
    <row r="1942" spans="2:14">
      <c r="B1942" s="1809"/>
      <c r="C1942" s="1809"/>
      <c r="D1942" s="39"/>
      <c r="E1942" s="1802"/>
      <c r="F1942" s="169">
        <v>0</v>
      </c>
      <c r="H1942" s="1809"/>
      <c r="I1942" s="1809"/>
      <c r="J1942" s="39"/>
      <c r="K1942" s="1802"/>
      <c r="L1942" s="169">
        <v>0</v>
      </c>
      <c r="N1942" s="169">
        <f t="shared" si="30"/>
        <v>0</v>
      </c>
    </row>
    <row r="1943" spans="2:14">
      <c r="B1943" s="1811"/>
      <c r="C1943" s="1811"/>
      <c r="D1943" s="1830" t="s">
        <v>416</v>
      </c>
      <c r="E1943" s="1812"/>
      <c r="F1943" s="1710">
        <v>1125741066.9299998</v>
      </c>
      <c r="H1943" s="1811"/>
      <c r="I1943" s="1811"/>
      <c r="J1943" s="1830" t="s">
        <v>416</v>
      </c>
      <c r="K1943" s="1812"/>
      <c r="L1943" s="1710">
        <v>1100741066.9299998</v>
      </c>
      <c r="N1943" s="1710">
        <f t="shared" si="30"/>
        <v>25000000</v>
      </c>
    </row>
    <row r="1944" spans="2:14">
      <c r="B1944" s="1803"/>
      <c r="C1944" s="1803"/>
      <c r="D1944" s="77"/>
      <c r="E1944" s="1808"/>
      <c r="F1944" s="169">
        <v>0</v>
      </c>
      <c r="H1944" s="1803"/>
      <c r="I1944" s="1803"/>
      <c r="J1944" s="77"/>
      <c r="K1944" s="1808"/>
      <c r="L1944" s="169">
        <v>0</v>
      </c>
      <c r="N1944" s="169">
        <f t="shared" si="30"/>
        <v>0</v>
      </c>
    </row>
    <row r="1945" spans="2:14">
      <c r="B1945" s="1819" t="s">
        <v>144</v>
      </c>
      <c r="C1945" s="1803" t="s">
        <v>146</v>
      </c>
      <c r="D1945" s="77" t="s">
        <v>417</v>
      </c>
      <c r="E1945" s="1808"/>
      <c r="F1945" s="169">
        <v>0</v>
      </c>
      <c r="H1945" s="1819" t="s">
        <v>144</v>
      </c>
      <c r="I1945" s="1803" t="s">
        <v>146</v>
      </c>
      <c r="J1945" s="77" t="s">
        <v>417</v>
      </c>
      <c r="K1945" s="1808"/>
      <c r="L1945" s="169">
        <v>0</v>
      </c>
      <c r="N1945" s="169">
        <f t="shared" si="30"/>
        <v>0</v>
      </c>
    </row>
    <row r="1946" spans="2:14">
      <c r="B1946" s="1803"/>
      <c r="C1946" s="1803"/>
      <c r="D1946" s="1543">
        <v>2210300</v>
      </c>
      <c r="E1946" s="1808" t="s">
        <v>24</v>
      </c>
      <c r="F1946" s="1763">
        <v>1370000</v>
      </c>
      <c r="H1946" s="1803"/>
      <c r="I1946" s="1803"/>
      <c r="J1946" s="1543">
        <v>2210300</v>
      </c>
      <c r="K1946" s="1808" t="s">
        <v>24</v>
      </c>
      <c r="L1946" s="1763">
        <v>1370000</v>
      </c>
      <c r="N1946" s="1763">
        <f t="shared" si="30"/>
        <v>0</v>
      </c>
    </row>
    <row r="1947" spans="2:14">
      <c r="B1947" s="1809"/>
      <c r="C1947" s="1809"/>
      <c r="D1947" s="39">
        <v>2210303</v>
      </c>
      <c r="E1947" s="1810" t="s">
        <v>27</v>
      </c>
      <c r="F1947" s="153">
        <v>1370000</v>
      </c>
      <c r="H1947" s="1809"/>
      <c r="I1947" s="1809"/>
      <c r="J1947" s="39">
        <v>2210303</v>
      </c>
      <c r="K1947" s="1810" t="s">
        <v>27</v>
      </c>
      <c r="L1947" s="153">
        <v>1370000</v>
      </c>
      <c r="N1947" s="153">
        <f t="shared" si="30"/>
        <v>0</v>
      </c>
    </row>
    <row r="1948" spans="2:14">
      <c r="B1948" s="1811"/>
      <c r="C1948" s="1811"/>
      <c r="D1948" s="1800" t="s">
        <v>99</v>
      </c>
      <c r="E1948" s="1812"/>
      <c r="F1948" s="1603">
        <v>1370000</v>
      </c>
      <c r="H1948" s="1811"/>
      <c r="I1948" s="1811"/>
      <c r="J1948" s="1800" t="s">
        <v>99</v>
      </c>
      <c r="K1948" s="1812"/>
      <c r="L1948" s="1603">
        <v>1370000</v>
      </c>
      <c r="N1948" s="1603">
        <f t="shared" si="30"/>
        <v>0</v>
      </c>
    </row>
    <row r="1949" spans="2:14">
      <c r="B1949" s="1803"/>
      <c r="C1949" s="1803"/>
      <c r="D1949" s="1543" t="s">
        <v>418</v>
      </c>
      <c r="E1949" s="1808"/>
      <c r="F1949" s="1511">
        <v>1370000</v>
      </c>
      <c r="H1949" s="1803"/>
      <c r="I1949" s="1803"/>
      <c r="J1949" s="1543" t="s">
        <v>418</v>
      </c>
      <c r="K1949" s="1808"/>
      <c r="L1949" s="1511">
        <v>1370000</v>
      </c>
      <c r="N1949" s="1511">
        <f t="shared" si="30"/>
        <v>0</v>
      </c>
    </row>
    <row r="1950" spans="2:14">
      <c r="B1950" s="1803"/>
      <c r="C1950" s="1803"/>
      <c r="D1950" s="1543"/>
      <c r="E1950" s="1808"/>
      <c r="F1950" s="169">
        <v>0</v>
      </c>
      <c r="H1950" s="1803"/>
      <c r="I1950" s="1803"/>
      <c r="J1950" s="1543"/>
      <c r="K1950" s="1808"/>
      <c r="L1950" s="169">
        <v>0</v>
      </c>
      <c r="N1950" s="169">
        <f t="shared" si="30"/>
        <v>0</v>
      </c>
    </row>
    <row r="1951" spans="2:14">
      <c r="B1951" s="1819" t="s">
        <v>144</v>
      </c>
      <c r="C1951" s="1803" t="s">
        <v>146</v>
      </c>
      <c r="D1951" s="39"/>
      <c r="E1951" s="1810"/>
      <c r="F1951" s="169">
        <v>0</v>
      </c>
      <c r="H1951" s="1819" t="s">
        <v>144</v>
      </c>
      <c r="I1951" s="1803" t="s">
        <v>146</v>
      </c>
      <c r="J1951" s="39"/>
      <c r="K1951" s="1810"/>
      <c r="L1951" s="169">
        <v>0</v>
      </c>
      <c r="N1951" s="169">
        <f t="shared" si="30"/>
        <v>0</v>
      </c>
    </row>
    <row r="1952" spans="2:14">
      <c r="B1952" s="1809"/>
      <c r="C1952" s="1809"/>
      <c r="D1952" s="1820" t="s">
        <v>419</v>
      </c>
      <c r="E1952" s="1810"/>
      <c r="F1952" s="169">
        <v>0</v>
      </c>
      <c r="H1952" s="1809"/>
      <c r="I1952" s="1809"/>
      <c r="J1952" s="1820" t="s">
        <v>419</v>
      </c>
      <c r="K1952" s="1810"/>
      <c r="L1952" s="169">
        <v>0</v>
      </c>
      <c r="N1952" s="169">
        <f t="shared" si="30"/>
        <v>0</v>
      </c>
    </row>
    <row r="1953" spans="2:14">
      <c r="B1953" s="1809"/>
      <c r="C1953" s="1809"/>
      <c r="D1953" s="1830" t="s">
        <v>420</v>
      </c>
      <c r="E1953" s="1810"/>
      <c r="F1953" s="169"/>
      <c r="H1953" s="1809"/>
      <c r="I1953" s="1809"/>
      <c r="J1953" s="1830" t="s">
        <v>420</v>
      </c>
      <c r="K1953" s="1810"/>
      <c r="L1953" s="169"/>
      <c r="N1953" s="169">
        <f t="shared" si="30"/>
        <v>0</v>
      </c>
    </row>
    <row r="1954" spans="2:14">
      <c r="B1954" s="1803"/>
      <c r="C1954" s="1819"/>
      <c r="D1954" s="1820" t="s">
        <v>421</v>
      </c>
      <c r="E1954" s="1808" t="s">
        <v>422</v>
      </c>
      <c r="F1954" s="1763">
        <v>353792689.79869449</v>
      </c>
      <c r="H1954" s="1803"/>
      <c r="I1954" s="1819"/>
      <c r="J1954" s="1820" t="s">
        <v>421</v>
      </c>
      <c r="K1954" s="1808" t="s">
        <v>422</v>
      </c>
      <c r="L1954" s="1763">
        <v>373792689.79869449</v>
      </c>
      <c r="N1954" s="1763">
        <f t="shared" si="30"/>
        <v>-20000000</v>
      </c>
    </row>
    <row r="1955" spans="2:14">
      <c r="B1955" s="1814"/>
      <c r="C1955" s="1814"/>
      <c r="D1955" s="1831" t="s">
        <v>423</v>
      </c>
      <c r="E1955" s="1832" t="s">
        <v>424</v>
      </c>
      <c r="F1955" s="1833">
        <v>113351535.03928199</v>
      </c>
      <c r="H1955" s="1803"/>
      <c r="I1955" s="1803"/>
      <c r="J1955" s="1820" t="s">
        <v>423</v>
      </c>
      <c r="K1955" s="1834" t="s">
        <v>424</v>
      </c>
      <c r="L1955" s="1835">
        <v>120351535.03928199</v>
      </c>
      <c r="N1955" s="1835">
        <f t="shared" si="30"/>
        <v>-7000000</v>
      </c>
    </row>
    <row r="1956" spans="2:14">
      <c r="B1956" s="1803"/>
      <c r="C1956" s="1803"/>
      <c r="D1956" s="1820" t="s">
        <v>1616</v>
      </c>
      <c r="E1956" s="1834" t="s">
        <v>1617</v>
      </c>
      <c r="F1956" s="1835">
        <v>7200000</v>
      </c>
      <c r="H1956" s="1803"/>
      <c r="I1956" s="1803"/>
      <c r="J1956" s="1820" t="s">
        <v>1616</v>
      </c>
      <c r="K1956" s="1834" t="s">
        <v>1617</v>
      </c>
      <c r="L1956" s="1835">
        <v>7200000</v>
      </c>
      <c r="N1956" s="1835">
        <f t="shared" si="30"/>
        <v>0</v>
      </c>
    </row>
    <row r="1957" spans="2:14">
      <c r="B1957" s="1814"/>
      <c r="C1957" s="1814"/>
      <c r="D1957" s="1831" t="s">
        <v>423</v>
      </c>
      <c r="E1957" s="1832" t="s">
        <v>425</v>
      </c>
      <c r="F1957" s="1833">
        <v>30400000</v>
      </c>
      <c r="H1957" s="1803"/>
      <c r="I1957" s="1803"/>
      <c r="J1957" s="1820" t="s">
        <v>423</v>
      </c>
      <c r="K1957" s="1834" t="s">
        <v>425</v>
      </c>
      <c r="L1957" s="1835">
        <v>32400000</v>
      </c>
      <c r="N1957" s="1835">
        <f t="shared" si="30"/>
        <v>-2000000</v>
      </c>
    </row>
    <row r="1958" spans="2:14">
      <c r="B1958" s="1814"/>
      <c r="C1958" s="1814"/>
      <c r="D1958" s="1831" t="s">
        <v>423</v>
      </c>
      <c r="E1958" s="1832" t="s">
        <v>426</v>
      </c>
      <c r="F1958" s="1833">
        <v>102000000</v>
      </c>
      <c r="H1958" s="1803"/>
      <c r="I1958" s="1803"/>
      <c r="J1958" s="1820" t="s">
        <v>423</v>
      </c>
      <c r="K1958" s="1834" t="s">
        <v>426</v>
      </c>
      <c r="L1958" s="1835">
        <v>108000000</v>
      </c>
      <c r="N1958" s="1835">
        <f t="shared" si="30"/>
        <v>-6000000</v>
      </c>
    </row>
    <row r="1959" spans="2:14">
      <c r="B1959" s="1803"/>
      <c r="C1959" s="1803"/>
      <c r="D1959" s="1820" t="s">
        <v>423</v>
      </c>
      <c r="E1959" s="1834" t="s">
        <v>1618</v>
      </c>
      <c r="F1959" s="1835">
        <v>8338052</v>
      </c>
      <c r="H1959" s="1803"/>
      <c r="I1959" s="1803"/>
      <c r="J1959" s="1820" t="s">
        <v>423</v>
      </c>
      <c r="K1959" s="1834" t="s">
        <v>1618</v>
      </c>
      <c r="L1959" s="1835">
        <v>8338052</v>
      </c>
      <c r="N1959" s="1835">
        <f t="shared" si="30"/>
        <v>0</v>
      </c>
    </row>
    <row r="1960" spans="2:14">
      <c r="B1960" s="1814"/>
      <c r="C1960" s="1814"/>
      <c r="D1960" s="1831" t="s">
        <v>423</v>
      </c>
      <c r="E1960" s="1832" t="s">
        <v>427</v>
      </c>
      <c r="F1960" s="1833">
        <v>13728893.035461299</v>
      </c>
      <c r="H1960" s="1803"/>
      <c r="I1960" s="1803"/>
      <c r="J1960" s="1820" t="s">
        <v>423</v>
      </c>
      <c r="K1960" s="1834" t="s">
        <v>427</v>
      </c>
      <c r="L1960" s="1835">
        <v>15728893.035461299</v>
      </c>
      <c r="N1960" s="1835">
        <f t="shared" si="30"/>
        <v>-2000000</v>
      </c>
    </row>
    <row r="1961" spans="2:14">
      <c r="B1961" s="1814"/>
      <c r="C1961" s="1814"/>
      <c r="D1961" s="1831" t="s">
        <v>423</v>
      </c>
      <c r="E1961" s="1832" t="s">
        <v>428</v>
      </c>
      <c r="F1961" s="1833">
        <v>5833540.1839608299</v>
      </c>
      <c r="H1961" s="1803"/>
      <c r="I1961" s="1803"/>
      <c r="J1961" s="1820" t="s">
        <v>423</v>
      </c>
      <c r="K1961" s="1834" t="s">
        <v>428</v>
      </c>
      <c r="L1961" s="1835">
        <v>6333540.1839608299</v>
      </c>
      <c r="N1961" s="1835">
        <f t="shared" si="30"/>
        <v>-500000</v>
      </c>
    </row>
    <row r="1962" spans="2:14">
      <c r="B1962" s="1814"/>
      <c r="C1962" s="1814"/>
      <c r="D1962" s="1831" t="s">
        <v>423</v>
      </c>
      <c r="E1962" s="1832" t="s">
        <v>429</v>
      </c>
      <c r="F1962" s="1833">
        <v>5975523.1537371604</v>
      </c>
      <c r="H1962" s="1803"/>
      <c r="I1962" s="1803"/>
      <c r="J1962" s="1820" t="s">
        <v>423</v>
      </c>
      <c r="K1962" s="1834" t="s">
        <v>429</v>
      </c>
      <c r="L1962" s="1835">
        <v>6475523.1537371604</v>
      </c>
      <c r="N1962" s="1835">
        <f t="shared" si="30"/>
        <v>-500000</v>
      </c>
    </row>
    <row r="1963" spans="2:14">
      <c r="B1963" s="1814"/>
      <c r="C1963" s="1814"/>
      <c r="D1963" s="1831" t="s">
        <v>423</v>
      </c>
      <c r="E1963" s="1832" t="s">
        <v>430</v>
      </c>
      <c r="F1963" s="1833">
        <v>5549574.24440818</v>
      </c>
      <c r="H1963" s="1803"/>
      <c r="I1963" s="1803"/>
      <c r="J1963" s="1820" t="s">
        <v>423</v>
      </c>
      <c r="K1963" s="1834" t="s">
        <v>430</v>
      </c>
      <c r="L1963" s="1835">
        <v>6049574.24440818</v>
      </c>
      <c r="N1963" s="1835">
        <f t="shared" si="30"/>
        <v>-500000</v>
      </c>
    </row>
    <row r="1964" spans="2:14">
      <c r="B1964" s="1803"/>
      <c r="C1964" s="1803"/>
      <c r="D1964" s="1820" t="s">
        <v>423</v>
      </c>
      <c r="E1964" s="1834" t="s">
        <v>431</v>
      </c>
      <c r="F1964" s="1835">
        <v>6049574.24440818</v>
      </c>
      <c r="H1964" s="1803"/>
      <c r="I1964" s="1803"/>
      <c r="J1964" s="1820" t="s">
        <v>423</v>
      </c>
      <c r="K1964" s="1834" t="s">
        <v>431</v>
      </c>
      <c r="L1964" s="1835">
        <v>6049574.24440818</v>
      </c>
      <c r="N1964" s="1835">
        <f t="shared" si="30"/>
        <v>0</v>
      </c>
    </row>
    <row r="1965" spans="2:14">
      <c r="B1965" s="1814"/>
      <c r="C1965" s="1814"/>
      <c r="D1965" s="1831" t="s">
        <v>423</v>
      </c>
      <c r="E1965" s="1832" t="s">
        <v>432</v>
      </c>
      <c r="F1965" s="1833">
        <v>5549574.24440818</v>
      </c>
      <c r="H1965" s="1803"/>
      <c r="I1965" s="1803"/>
      <c r="J1965" s="1820" t="s">
        <v>423</v>
      </c>
      <c r="K1965" s="1834" t="s">
        <v>432</v>
      </c>
      <c r="L1965" s="1835">
        <v>6049574.24440818</v>
      </c>
      <c r="N1965" s="1835">
        <f t="shared" si="30"/>
        <v>-500000</v>
      </c>
    </row>
    <row r="1966" spans="2:14">
      <c r="B1966" s="1803"/>
      <c r="C1966" s="1803"/>
      <c r="D1966" s="1820" t="s">
        <v>423</v>
      </c>
      <c r="E1966" s="1834" t="s">
        <v>433</v>
      </c>
      <c r="F1966" s="1835">
        <v>7259489.0932898102</v>
      </c>
      <c r="H1966" s="1803"/>
      <c r="I1966" s="1803"/>
      <c r="J1966" s="1820" t="s">
        <v>423</v>
      </c>
      <c r="K1966" s="1834" t="s">
        <v>433</v>
      </c>
      <c r="L1966" s="1835">
        <v>7259489.0932898102</v>
      </c>
      <c r="N1966" s="1835">
        <f t="shared" si="30"/>
        <v>0</v>
      </c>
    </row>
    <row r="1967" spans="2:14">
      <c r="B1967" s="1803"/>
      <c r="C1967" s="1803"/>
      <c r="D1967" s="1820" t="s">
        <v>423</v>
      </c>
      <c r="E1967" s="1834" t="s">
        <v>434</v>
      </c>
      <c r="F1967" s="1835">
        <v>7259489.0932898102</v>
      </c>
      <c r="H1967" s="1803"/>
      <c r="I1967" s="1803"/>
      <c r="J1967" s="1820" t="s">
        <v>423</v>
      </c>
      <c r="K1967" s="1834" t="s">
        <v>434</v>
      </c>
      <c r="L1967" s="1835">
        <v>7259489.0932898102</v>
      </c>
      <c r="N1967" s="1835">
        <f t="shared" si="30"/>
        <v>0</v>
      </c>
    </row>
    <row r="1968" spans="2:14">
      <c r="B1968" s="1803"/>
      <c r="C1968" s="1803"/>
      <c r="D1968" s="1820" t="s">
        <v>423</v>
      </c>
      <c r="E1968" s="1834" t="s">
        <v>435</v>
      </c>
      <c r="F1968" s="1835">
        <v>9679318.7910530809</v>
      </c>
      <c r="H1968" s="1803"/>
      <c r="I1968" s="1803"/>
      <c r="J1968" s="1820" t="s">
        <v>423</v>
      </c>
      <c r="K1968" s="1834" t="s">
        <v>435</v>
      </c>
      <c r="L1968" s="1835">
        <v>9679318.7910530809</v>
      </c>
      <c r="N1968" s="1835">
        <f t="shared" si="30"/>
        <v>0</v>
      </c>
    </row>
    <row r="1969" spans="2:14">
      <c r="B1969" s="1814"/>
      <c r="C1969" s="1814"/>
      <c r="D1969" s="1831" t="s">
        <v>423</v>
      </c>
      <c r="E1969" s="1832" t="s">
        <v>436</v>
      </c>
      <c r="F1969" s="1833">
        <v>12309063.337698</v>
      </c>
      <c r="H1969" s="1803"/>
      <c r="I1969" s="1803"/>
      <c r="J1969" s="1820" t="s">
        <v>423</v>
      </c>
      <c r="K1969" s="1834" t="s">
        <v>436</v>
      </c>
      <c r="L1969" s="1835">
        <v>13309063.337698</v>
      </c>
      <c r="N1969" s="1835">
        <f t="shared" si="30"/>
        <v>-1000000</v>
      </c>
    </row>
    <row r="1970" spans="2:14">
      <c r="B1970" s="1803"/>
      <c r="C1970" s="1803"/>
      <c r="D1970" s="1820" t="s">
        <v>423</v>
      </c>
      <c r="E1970" s="1834" t="s">
        <v>437</v>
      </c>
      <c r="F1970" s="1835">
        <v>7259489.0932898102</v>
      </c>
      <c r="H1970" s="1803"/>
      <c r="I1970" s="1803"/>
      <c r="J1970" s="1820" t="s">
        <v>423</v>
      </c>
      <c r="K1970" s="1834" t="s">
        <v>437</v>
      </c>
      <c r="L1970" s="1835">
        <v>7259489.0932898102</v>
      </c>
      <c r="N1970" s="1835">
        <f t="shared" si="30"/>
        <v>0</v>
      </c>
    </row>
    <row r="1971" spans="2:14">
      <c r="B1971" s="1803"/>
      <c r="C1971" s="1803"/>
      <c r="D1971" s="1820" t="s">
        <v>423</v>
      </c>
      <c r="E1971" s="1834" t="s">
        <v>438</v>
      </c>
      <c r="F1971" s="1835">
        <v>6049574.24440818</v>
      </c>
      <c r="H1971" s="1803"/>
      <c r="I1971" s="1803"/>
      <c r="J1971" s="1820" t="s">
        <v>423</v>
      </c>
      <c r="K1971" s="1834" t="s">
        <v>438</v>
      </c>
      <c r="L1971" s="1835">
        <v>6049574.24440818</v>
      </c>
      <c r="N1971" s="1835">
        <f t="shared" si="30"/>
        <v>0</v>
      </c>
    </row>
    <row r="1972" spans="2:14">
      <c r="B1972" s="1803"/>
      <c r="C1972" s="1803"/>
      <c r="D1972" s="1820"/>
      <c r="E1972" s="1834"/>
      <c r="F1972" s="1835"/>
      <c r="H1972" s="1803"/>
      <c r="I1972" s="1803"/>
      <c r="J1972" s="1820"/>
      <c r="K1972" s="1834"/>
      <c r="L1972" s="1835"/>
      <c r="N1972" s="1835">
        <f t="shared" si="30"/>
        <v>0</v>
      </c>
    </row>
    <row r="1973" spans="2:14">
      <c r="B1973" s="1819" t="s">
        <v>447</v>
      </c>
      <c r="C1973" s="1803" t="s">
        <v>146</v>
      </c>
      <c r="D1973" s="1543" t="s">
        <v>1619</v>
      </c>
      <c r="E1973" s="1836"/>
      <c r="F1973" s="1835"/>
      <c r="H1973" s="1819" t="s">
        <v>447</v>
      </c>
      <c r="I1973" s="1803" t="s">
        <v>146</v>
      </c>
      <c r="J1973" s="1543" t="s">
        <v>1619</v>
      </c>
      <c r="K1973" s="1836"/>
      <c r="L1973" s="1835"/>
      <c r="N1973" s="1835">
        <f t="shared" si="30"/>
        <v>0</v>
      </c>
    </row>
    <row r="1974" spans="2:14" ht="30">
      <c r="B1974" s="1803"/>
      <c r="C1974" s="1803"/>
      <c r="D1974" s="39">
        <v>2640499</v>
      </c>
      <c r="E1974" s="1836" t="s">
        <v>450</v>
      </c>
      <c r="F1974" s="153">
        <v>15066000</v>
      </c>
      <c r="H1974" s="1803"/>
      <c r="I1974" s="1803"/>
      <c r="J1974" s="39">
        <v>2640499</v>
      </c>
      <c r="K1974" s="1836" t="s">
        <v>450</v>
      </c>
      <c r="L1974" s="153">
        <v>15066000</v>
      </c>
      <c r="N1974" s="153">
        <f t="shared" si="30"/>
        <v>0</v>
      </c>
    </row>
    <row r="1975" spans="2:14">
      <c r="B1975" s="1803"/>
      <c r="C1975" s="1803"/>
      <c r="D1975" s="39">
        <v>2640499</v>
      </c>
      <c r="E1975" s="1836" t="s">
        <v>451</v>
      </c>
      <c r="F1975" s="153">
        <v>34590250</v>
      </c>
      <c r="H1975" s="1803"/>
      <c r="I1975" s="1803"/>
      <c r="J1975" s="39">
        <v>2640499</v>
      </c>
      <c r="K1975" s="1836" t="s">
        <v>451</v>
      </c>
      <c r="L1975" s="153">
        <v>34590250</v>
      </c>
      <c r="N1975" s="153">
        <f t="shared" si="30"/>
        <v>0</v>
      </c>
    </row>
    <row r="1976" spans="2:14">
      <c r="B1976" s="1803"/>
      <c r="C1976" s="1803"/>
      <c r="D1976" s="1543" t="s">
        <v>929</v>
      </c>
      <c r="E1976" s="1836"/>
      <c r="F1976" s="1763">
        <v>49656250</v>
      </c>
      <c r="H1976" s="1803"/>
      <c r="I1976" s="1803"/>
      <c r="J1976" s="1543" t="s">
        <v>929</v>
      </c>
      <c r="K1976" s="1836"/>
      <c r="L1976" s="1763">
        <v>49656250</v>
      </c>
      <c r="N1976" s="1763">
        <f t="shared" si="30"/>
        <v>0</v>
      </c>
    </row>
    <row r="1977" spans="2:14">
      <c r="B1977" s="1803"/>
      <c r="C1977" s="1803"/>
      <c r="D1977" s="1820"/>
      <c r="E1977" s="1834"/>
      <c r="F1977" s="1835"/>
      <c r="H1977" s="1803"/>
      <c r="I1977" s="1803"/>
      <c r="J1977" s="1820"/>
      <c r="K1977" s="1834"/>
      <c r="L1977" s="1835"/>
      <c r="N1977" s="1835">
        <f t="shared" si="30"/>
        <v>0</v>
      </c>
    </row>
    <row r="1978" spans="2:14">
      <c r="B1978" s="1819" t="s">
        <v>447</v>
      </c>
      <c r="C1978" s="1803" t="s">
        <v>146</v>
      </c>
      <c r="D1978" s="1671" t="s">
        <v>446</v>
      </c>
      <c r="E1978" s="1834"/>
      <c r="F1978" s="1835"/>
      <c r="H1978" s="1819" t="s">
        <v>447</v>
      </c>
      <c r="I1978" s="1803" t="s">
        <v>146</v>
      </c>
      <c r="J1978" s="1671" t="s">
        <v>446</v>
      </c>
      <c r="K1978" s="1834"/>
      <c r="L1978" s="1835"/>
      <c r="N1978" s="1835">
        <f t="shared" si="30"/>
        <v>0</v>
      </c>
    </row>
    <row r="1979" spans="2:14" ht="30">
      <c r="B1979" s="1803"/>
      <c r="C1979" s="1803"/>
      <c r="D1979" s="39">
        <v>2640503</v>
      </c>
      <c r="E1979" s="1836" t="s">
        <v>1620</v>
      </c>
      <c r="F1979" s="153">
        <v>10044000</v>
      </c>
      <c r="H1979" s="1803"/>
      <c r="I1979" s="1803"/>
      <c r="J1979" s="39">
        <v>2640503</v>
      </c>
      <c r="K1979" s="1836" t="s">
        <v>1620</v>
      </c>
      <c r="L1979" s="153">
        <v>10044000</v>
      </c>
      <c r="N1979" s="153">
        <f t="shared" si="30"/>
        <v>0</v>
      </c>
    </row>
    <row r="1980" spans="2:14">
      <c r="B1980" s="1803"/>
      <c r="C1980" s="1803"/>
      <c r="D1980" s="1806" t="s">
        <v>449</v>
      </c>
      <c r="E1980" s="1807"/>
      <c r="F1980" s="1837">
        <v>10044000</v>
      </c>
      <c r="H1980" s="1803"/>
      <c r="I1980" s="1803"/>
      <c r="J1980" s="1806" t="s">
        <v>449</v>
      </c>
      <c r="K1980" s="1807"/>
      <c r="L1980" s="1837">
        <v>10044000</v>
      </c>
      <c r="N1980" s="1837">
        <f t="shared" si="30"/>
        <v>0</v>
      </c>
    </row>
    <row r="1981" spans="2:14">
      <c r="B1981" s="1803"/>
      <c r="C1981" s="1803"/>
      <c r="D1981" s="1820"/>
      <c r="E1981" s="1834"/>
      <c r="F1981" s="1835"/>
      <c r="H1981" s="1803"/>
      <c r="I1981" s="1803"/>
      <c r="J1981" s="1820"/>
      <c r="K1981" s="1834"/>
      <c r="L1981" s="1835"/>
      <c r="N1981" s="1835">
        <f t="shared" si="30"/>
        <v>0</v>
      </c>
    </row>
    <row r="1982" spans="2:14">
      <c r="B1982" s="1803"/>
      <c r="C1982" s="1803"/>
      <c r="D1982" s="1800" t="s">
        <v>1621</v>
      </c>
      <c r="E1982" s="1802"/>
      <c r="F1982" s="1770">
        <v>1427184860.7286944</v>
      </c>
      <c r="H1982" s="1803"/>
      <c r="I1982" s="1803"/>
      <c r="J1982" s="1800" t="s">
        <v>1621</v>
      </c>
      <c r="K1982" s="1802"/>
      <c r="L1982" s="1770">
        <v>1427184860.7286944</v>
      </c>
      <c r="N1982" s="1770">
        <f t="shared" si="30"/>
        <v>0</v>
      </c>
    </row>
    <row r="1983" spans="2:14">
      <c r="B1983" s="1803"/>
      <c r="C1983" s="1803"/>
      <c r="D1983" s="1838" t="s">
        <v>1622</v>
      </c>
      <c r="E1983" s="1839"/>
      <c r="F1983" s="1770">
        <v>113419146</v>
      </c>
      <c r="H1983" s="1803"/>
      <c r="I1983" s="1803"/>
      <c r="J1983" s="1838" t="s">
        <v>1622</v>
      </c>
      <c r="K1983" s="1839"/>
      <c r="L1983" s="1770">
        <v>108419146</v>
      </c>
      <c r="N1983" s="1770">
        <f t="shared" si="30"/>
        <v>5000000</v>
      </c>
    </row>
    <row r="1984" spans="2:14">
      <c r="B1984" s="1811"/>
      <c r="C1984" s="1840"/>
      <c r="D1984" s="1830" t="s">
        <v>439</v>
      </c>
      <c r="E1984" s="1812"/>
      <c r="F1984" s="1710">
        <v>1480903756.7286944</v>
      </c>
      <c r="H1984" s="1811"/>
      <c r="I1984" s="1840"/>
      <c r="J1984" s="1830" t="s">
        <v>439</v>
      </c>
      <c r="K1984" s="1812"/>
      <c r="L1984" s="1710">
        <v>1475903756.7286944</v>
      </c>
      <c r="N1984" s="1710">
        <f t="shared" si="30"/>
        <v>5000000</v>
      </c>
    </row>
    <row r="1985" spans="2:14">
      <c r="B1985" s="1803"/>
      <c r="C1985" s="1819"/>
      <c r="D1985" s="77"/>
      <c r="E1985" s="1808"/>
      <c r="F1985" s="169">
        <v>0</v>
      </c>
      <c r="H1985" s="1803"/>
      <c r="I1985" s="1819"/>
      <c r="J1985" s="77"/>
      <c r="K1985" s="1808"/>
      <c r="L1985" s="169">
        <v>0</v>
      </c>
      <c r="N1985" s="169">
        <f t="shared" si="30"/>
        <v>0</v>
      </c>
    </row>
    <row r="1986" spans="2:14">
      <c r="B1986" s="1803"/>
      <c r="C1986" s="1803"/>
      <c r="D1986" s="1800" t="s">
        <v>440</v>
      </c>
      <c r="E1986" s="1802"/>
      <c r="F1986" s="169">
        <v>0</v>
      </c>
      <c r="H1986" s="1803"/>
      <c r="I1986" s="1803"/>
      <c r="J1986" s="1800" t="s">
        <v>440</v>
      </c>
      <c r="K1986" s="1802"/>
      <c r="L1986" s="169">
        <v>0</v>
      </c>
      <c r="N1986" s="169">
        <f t="shared" si="30"/>
        <v>0</v>
      </c>
    </row>
    <row r="1987" spans="2:14">
      <c r="B1987" s="1819" t="s">
        <v>168</v>
      </c>
      <c r="C1987" s="1803" t="s">
        <v>146</v>
      </c>
      <c r="D1987" s="77" t="s">
        <v>441</v>
      </c>
      <c r="E1987" s="1841"/>
      <c r="F1987" s="169">
        <v>0</v>
      </c>
      <c r="H1987" s="1819" t="s">
        <v>168</v>
      </c>
      <c r="I1987" s="1803" t="s">
        <v>146</v>
      </c>
      <c r="J1987" s="77" t="s">
        <v>441</v>
      </c>
      <c r="K1987" s="1841"/>
      <c r="L1987" s="169">
        <v>0</v>
      </c>
      <c r="N1987" s="169">
        <f t="shared" si="30"/>
        <v>0</v>
      </c>
    </row>
    <row r="1988" spans="2:14">
      <c r="B1988" s="1803"/>
      <c r="C1988" s="1803"/>
      <c r="D1988" s="1820" t="s">
        <v>442</v>
      </c>
      <c r="E1988" s="1808"/>
      <c r="F1988" s="169">
        <v>0</v>
      </c>
      <c r="H1988" s="1803"/>
      <c r="I1988" s="1803"/>
      <c r="J1988" s="1820" t="s">
        <v>442</v>
      </c>
      <c r="K1988" s="1808"/>
      <c r="L1988" s="169">
        <v>0</v>
      </c>
      <c r="N1988" s="169">
        <f t="shared" si="30"/>
        <v>0</v>
      </c>
    </row>
    <row r="1989" spans="2:14">
      <c r="B1989" s="1803"/>
      <c r="C1989" s="1803"/>
      <c r="D1989" s="1543">
        <v>2110100</v>
      </c>
      <c r="E1989" s="1808" t="s">
        <v>13</v>
      </c>
      <c r="F1989" s="1763">
        <v>905379774</v>
      </c>
      <c r="H1989" s="1803"/>
      <c r="I1989" s="1803"/>
      <c r="J1989" s="1543">
        <v>2110100</v>
      </c>
      <c r="K1989" s="1808" t="s">
        <v>13</v>
      </c>
      <c r="L1989" s="1763">
        <v>905379774</v>
      </c>
      <c r="N1989" s="1763">
        <f t="shared" si="30"/>
        <v>0</v>
      </c>
    </row>
    <row r="1990" spans="2:14">
      <c r="B1990" s="1809"/>
      <c r="C1990" s="1809"/>
      <c r="D1990" s="39">
        <v>2110101</v>
      </c>
      <c r="E1990" s="1810" t="s">
        <v>14</v>
      </c>
      <c r="F1990" s="153">
        <v>905379774</v>
      </c>
      <c r="H1990" s="1809"/>
      <c r="I1990" s="1809"/>
      <c r="J1990" s="39">
        <v>2110101</v>
      </c>
      <c r="K1990" s="1810" t="s">
        <v>14</v>
      </c>
      <c r="L1990" s="153">
        <v>905379774</v>
      </c>
      <c r="N1990" s="153">
        <f t="shared" si="30"/>
        <v>0</v>
      </c>
    </row>
    <row r="1991" spans="2:14">
      <c r="B1991" s="1803"/>
      <c r="C1991" s="1803"/>
      <c r="D1991" s="1543">
        <v>2110200</v>
      </c>
      <c r="E1991" s="1808" t="s">
        <v>148</v>
      </c>
      <c r="F1991" s="1763">
        <v>88920000</v>
      </c>
      <c r="H1991" s="1803"/>
      <c r="I1991" s="1803"/>
      <c r="J1991" s="1543">
        <v>2110200</v>
      </c>
      <c r="K1991" s="1808" t="s">
        <v>148</v>
      </c>
      <c r="L1991" s="1763">
        <v>88920000</v>
      </c>
      <c r="N1991" s="1763">
        <f t="shared" si="30"/>
        <v>0</v>
      </c>
    </row>
    <row r="1992" spans="2:14" ht="30">
      <c r="B1992" s="1809"/>
      <c r="C1992" s="1809"/>
      <c r="D1992" s="39">
        <v>2110202</v>
      </c>
      <c r="E1992" s="1810" t="s">
        <v>453</v>
      </c>
      <c r="F1992" s="153">
        <v>88920000</v>
      </c>
      <c r="H1992" s="1809"/>
      <c r="I1992" s="1809"/>
      <c r="J1992" s="39">
        <v>2110202</v>
      </c>
      <c r="K1992" s="1810" t="s">
        <v>453</v>
      </c>
      <c r="L1992" s="153">
        <v>88920000</v>
      </c>
      <c r="N1992" s="153">
        <f t="shared" ref="N1992:N2055" si="31">F1992-L1992</f>
        <v>0</v>
      </c>
    </row>
    <row r="1993" spans="2:14">
      <c r="B1993" s="1803"/>
      <c r="C1993" s="1803"/>
      <c r="D1993" s="1543">
        <v>2210200</v>
      </c>
      <c r="E1993" s="1808" t="s">
        <v>20</v>
      </c>
      <c r="F1993" s="1763">
        <v>123397.84200000002</v>
      </c>
      <c r="H1993" s="1803"/>
      <c r="I1993" s="1803"/>
      <c r="J1993" s="1543">
        <v>2210200</v>
      </c>
      <c r="K1993" s="1808" t="s">
        <v>20</v>
      </c>
      <c r="L1993" s="1763">
        <v>123397.84200000002</v>
      </c>
      <c r="N1993" s="1763">
        <f t="shared" si="31"/>
        <v>0</v>
      </c>
    </row>
    <row r="1994" spans="2:14">
      <c r="B1994" s="1809"/>
      <c r="C1994" s="1809"/>
      <c r="D1994" s="39">
        <v>2210201</v>
      </c>
      <c r="E1994" s="1810" t="s">
        <v>187</v>
      </c>
      <c r="F1994" s="153">
        <v>115910.1</v>
      </c>
      <c r="H1994" s="1809"/>
      <c r="I1994" s="1809"/>
      <c r="J1994" s="39">
        <v>2210201</v>
      </c>
      <c r="K1994" s="1810" t="s">
        <v>187</v>
      </c>
      <c r="L1994" s="153">
        <v>115910.1</v>
      </c>
      <c r="N1994" s="153">
        <f t="shared" si="31"/>
        <v>0</v>
      </c>
    </row>
    <row r="1995" spans="2:14">
      <c r="B1995" s="1809"/>
      <c r="C1995" s="1809"/>
      <c r="D1995" s="39">
        <v>2210202</v>
      </c>
      <c r="E1995" s="1810" t="s">
        <v>22</v>
      </c>
      <c r="F1995" s="153">
        <v>7487.7420000000102</v>
      </c>
      <c r="H1995" s="1809"/>
      <c r="I1995" s="1809"/>
      <c r="J1995" s="39">
        <v>2210202</v>
      </c>
      <c r="K1995" s="1810" t="s">
        <v>22</v>
      </c>
      <c r="L1995" s="153">
        <v>7487.7420000000102</v>
      </c>
      <c r="N1995" s="153">
        <f t="shared" si="31"/>
        <v>0</v>
      </c>
    </row>
    <row r="1996" spans="2:14">
      <c r="B1996" s="1803"/>
      <c r="C1996" s="1803"/>
      <c r="D1996" s="1543">
        <v>2210300</v>
      </c>
      <c r="E1996" s="1808" t="s">
        <v>24</v>
      </c>
      <c r="F1996" s="1763">
        <v>1184606</v>
      </c>
      <c r="H1996" s="1803"/>
      <c r="I1996" s="1803"/>
      <c r="J1996" s="1543">
        <v>2210300</v>
      </c>
      <c r="K1996" s="1808" t="s">
        <v>24</v>
      </c>
      <c r="L1996" s="1763">
        <v>1184606</v>
      </c>
      <c r="N1996" s="1763">
        <f t="shared" si="31"/>
        <v>0</v>
      </c>
    </row>
    <row r="1997" spans="2:14">
      <c r="B1997" s="1809"/>
      <c r="C1997" s="1809"/>
      <c r="D1997" s="39">
        <v>2210301</v>
      </c>
      <c r="E1997" s="1810" t="s">
        <v>1595</v>
      </c>
      <c r="F1997" s="153">
        <v>647500</v>
      </c>
      <c r="H1997" s="1809"/>
      <c r="I1997" s="1809"/>
      <c r="J1997" s="39">
        <v>2210301</v>
      </c>
      <c r="K1997" s="1810" t="s">
        <v>1595</v>
      </c>
      <c r="L1997" s="153">
        <v>647500</v>
      </c>
      <c r="N1997" s="153">
        <f t="shared" si="31"/>
        <v>0</v>
      </c>
    </row>
    <row r="1998" spans="2:14">
      <c r="B1998" s="1803"/>
      <c r="C1998" s="1803"/>
      <c r="D1998" s="39">
        <v>2210303</v>
      </c>
      <c r="E1998" s="1810" t="s">
        <v>223</v>
      </c>
      <c r="F1998" s="153">
        <v>537106</v>
      </c>
      <c r="H1998" s="1803"/>
      <c r="I1998" s="1803"/>
      <c r="J1998" s="39">
        <v>2210303</v>
      </c>
      <c r="K1998" s="1810" t="s">
        <v>223</v>
      </c>
      <c r="L1998" s="153">
        <v>537106</v>
      </c>
      <c r="N1998" s="153">
        <f t="shared" si="31"/>
        <v>0</v>
      </c>
    </row>
    <row r="1999" spans="2:14">
      <c r="B1999" s="1809"/>
      <c r="C1999" s="1809"/>
      <c r="D1999" s="1543">
        <v>2210400</v>
      </c>
      <c r="E1999" s="1808" t="s">
        <v>189</v>
      </c>
      <c r="F1999" s="1763">
        <v>480000</v>
      </c>
      <c r="H1999" s="1809"/>
      <c r="I1999" s="1809"/>
      <c r="J1999" s="1543">
        <v>2210400</v>
      </c>
      <c r="K1999" s="1808" t="s">
        <v>189</v>
      </c>
      <c r="L1999" s="1763">
        <v>480000</v>
      </c>
      <c r="N1999" s="1763">
        <f t="shared" si="31"/>
        <v>0</v>
      </c>
    </row>
    <row r="2000" spans="2:14">
      <c r="B2000" s="1809"/>
      <c r="C2000" s="1809"/>
      <c r="D2000" s="39">
        <v>2210403</v>
      </c>
      <c r="E2000" s="1810" t="s">
        <v>223</v>
      </c>
      <c r="F2000" s="153">
        <v>390000</v>
      </c>
      <c r="H2000" s="1809"/>
      <c r="I2000" s="1809"/>
      <c r="J2000" s="39">
        <v>2210403</v>
      </c>
      <c r="K2000" s="1810" t="s">
        <v>223</v>
      </c>
      <c r="L2000" s="153">
        <v>390000</v>
      </c>
      <c r="N2000" s="153">
        <f t="shared" si="31"/>
        <v>0</v>
      </c>
    </row>
    <row r="2001" spans="2:14">
      <c r="B2001" s="1803"/>
      <c r="C2001" s="1803"/>
      <c r="D2001" s="39">
        <v>2210404</v>
      </c>
      <c r="E2001" s="1810" t="s">
        <v>28</v>
      </c>
      <c r="F2001" s="153">
        <v>90000</v>
      </c>
      <c r="H2001" s="1803"/>
      <c r="I2001" s="1803"/>
      <c r="J2001" s="39">
        <v>2210404</v>
      </c>
      <c r="K2001" s="1810" t="s">
        <v>28</v>
      </c>
      <c r="L2001" s="153">
        <v>90000</v>
      </c>
      <c r="N2001" s="153">
        <f t="shared" si="31"/>
        <v>0</v>
      </c>
    </row>
    <row r="2002" spans="2:14">
      <c r="B2002" s="1809"/>
      <c r="C2002" s="1809"/>
      <c r="D2002" s="1543">
        <v>2210500</v>
      </c>
      <c r="E2002" s="1808" t="s">
        <v>31</v>
      </c>
      <c r="F2002" s="1763">
        <v>1500000</v>
      </c>
      <c r="H2002" s="1809"/>
      <c r="I2002" s="1809"/>
      <c r="J2002" s="1543">
        <v>2210500</v>
      </c>
      <c r="K2002" s="1808" t="s">
        <v>31</v>
      </c>
      <c r="L2002" s="1763">
        <v>1500000</v>
      </c>
      <c r="N2002" s="1763">
        <f t="shared" si="31"/>
        <v>0</v>
      </c>
    </row>
    <row r="2003" spans="2:14">
      <c r="B2003" s="1803"/>
      <c r="C2003" s="1803"/>
      <c r="D2003" s="39">
        <v>2210502</v>
      </c>
      <c r="E2003" s="1810" t="s">
        <v>397</v>
      </c>
      <c r="F2003" s="153">
        <v>116000</v>
      </c>
      <c r="H2003" s="1803"/>
      <c r="I2003" s="1803"/>
      <c r="J2003" s="39">
        <v>2210502</v>
      </c>
      <c r="K2003" s="1810" t="s">
        <v>397</v>
      </c>
      <c r="L2003" s="153">
        <v>116000</v>
      </c>
      <c r="N2003" s="153">
        <f t="shared" si="31"/>
        <v>0</v>
      </c>
    </row>
    <row r="2004" spans="2:14" ht="30">
      <c r="B2004" s="1809"/>
      <c r="C2004" s="1809"/>
      <c r="D2004" s="39">
        <v>2210504</v>
      </c>
      <c r="E2004" s="1810" t="s">
        <v>1623</v>
      </c>
      <c r="F2004" s="153">
        <v>1384000</v>
      </c>
      <c r="H2004" s="1809"/>
      <c r="I2004" s="1809"/>
      <c r="J2004" s="39">
        <v>2210504</v>
      </c>
      <c r="K2004" s="1810" t="s">
        <v>1623</v>
      </c>
      <c r="L2004" s="153">
        <v>1384000</v>
      </c>
      <c r="N2004" s="153">
        <f t="shared" si="31"/>
        <v>0</v>
      </c>
    </row>
    <row r="2005" spans="2:14">
      <c r="B2005" s="1809"/>
      <c r="C2005" s="1809"/>
      <c r="D2005" s="1543">
        <v>2210700</v>
      </c>
      <c r="E2005" s="1808" t="s">
        <v>35</v>
      </c>
      <c r="F2005" s="1763">
        <v>1500000</v>
      </c>
      <c r="H2005" s="1809"/>
      <c r="I2005" s="1809"/>
      <c r="J2005" s="1543">
        <v>2210700</v>
      </c>
      <c r="K2005" s="1808" t="s">
        <v>35</v>
      </c>
      <c r="L2005" s="1763">
        <v>1500000</v>
      </c>
      <c r="N2005" s="1763">
        <f t="shared" si="31"/>
        <v>0</v>
      </c>
    </row>
    <row r="2006" spans="2:14">
      <c r="B2006" s="1809"/>
      <c r="C2006" s="1809"/>
      <c r="D2006" s="39">
        <v>2210710</v>
      </c>
      <c r="E2006" s="1810" t="s">
        <v>39</v>
      </c>
      <c r="F2006" s="153">
        <v>287000</v>
      </c>
      <c r="H2006" s="1809"/>
      <c r="I2006" s="1809"/>
      <c r="J2006" s="39">
        <v>2210710</v>
      </c>
      <c r="K2006" s="1810" t="s">
        <v>39</v>
      </c>
      <c r="L2006" s="153">
        <v>287000</v>
      </c>
      <c r="N2006" s="153">
        <f t="shared" si="31"/>
        <v>0</v>
      </c>
    </row>
    <row r="2007" spans="2:14">
      <c r="B2007" s="1809"/>
      <c r="C2007" s="1809"/>
      <c r="D2007" s="39">
        <v>2210711</v>
      </c>
      <c r="E2007" s="1810" t="s">
        <v>399</v>
      </c>
      <c r="F2007" s="153">
        <v>116000</v>
      </c>
      <c r="H2007" s="1809"/>
      <c r="I2007" s="1809"/>
      <c r="J2007" s="39">
        <v>2210711</v>
      </c>
      <c r="K2007" s="1810" t="s">
        <v>399</v>
      </c>
      <c r="L2007" s="153">
        <v>116000</v>
      </c>
      <c r="N2007" s="153">
        <f t="shared" si="31"/>
        <v>0</v>
      </c>
    </row>
    <row r="2008" spans="2:14">
      <c r="B2008" s="1809"/>
      <c r="C2008" s="1809"/>
      <c r="D2008" s="1842">
        <v>2210712</v>
      </c>
      <c r="E2008" s="1843" t="s">
        <v>339</v>
      </c>
      <c r="F2008" s="153">
        <v>170226</v>
      </c>
      <c r="H2008" s="1809"/>
      <c r="I2008" s="1809"/>
      <c r="J2008" s="1842">
        <v>2210712</v>
      </c>
      <c r="K2008" s="1843" t="s">
        <v>339</v>
      </c>
      <c r="L2008" s="153">
        <v>170226</v>
      </c>
      <c r="N2008" s="153">
        <f t="shared" si="31"/>
        <v>0</v>
      </c>
    </row>
    <row r="2009" spans="2:14">
      <c r="B2009" s="1803"/>
      <c r="C2009" s="1803"/>
      <c r="D2009" s="39">
        <v>2210715</v>
      </c>
      <c r="E2009" s="1810" t="s">
        <v>40</v>
      </c>
      <c r="F2009" s="153">
        <v>839774</v>
      </c>
      <c r="H2009" s="1803"/>
      <c r="I2009" s="1803"/>
      <c r="J2009" s="39">
        <v>2210715</v>
      </c>
      <c r="K2009" s="1810" t="s">
        <v>40</v>
      </c>
      <c r="L2009" s="153">
        <v>839774</v>
      </c>
      <c r="N2009" s="153">
        <f t="shared" si="31"/>
        <v>0</v>
      </c>
    </row>
    <row r="2010" spans="2:14">
      <c r="B2010" s="1809"/>
      <c r="C2010" s="1809"/>
      <c r="D2010" s="39">
        <v>2210799</v>
      </c>
      <c r="E2010" s="1810" t="s">
        <v>400</v>
      </c>
      <c r="F2010" s="153">
        <v>87000</v>
      </c>
      <c r="H2010" s="1809"/>
      <c r="I2010" s="1809"/>
      <c r="J2010" s="39">
        <v>2210799</v>
      </c>
      <c r="K2010" s="1810" t="s">
        <v>400</v>
      </c>
      <c r="L2010" s="153">
        <v>87000</v>
      </c>
      <c r="N2010" s="153">
        <f t="shared" si="31"/>
        <v>0</v>
      </c>
    </row>
    <row r="2011" spans="2:14">
      <c r="B2011" s="1803"/>
      <c r="C2011" s="1803"/>
      <c r="D2011" s="1543">
        <v>2210800</v>
      </c>
      <c r="E2011" s="1808" t="s">
        <v>42</v>
      </c>
      <c r="F2011" s="1763">
        <v>892831</v>
      </c>
      <c r="H2011" s="1803"/>
      <c r="I2011" s="1803"/>
      <c r="J2011" s="1543">
        <v>2210800</v>
      </c>
      <c r="K2011" s="1808" t="s">
        <v>42</v>
      </c>
      <c r="L2011" s="1763">
        <v>892831</v>
      </c>
      <c r="N2011" s="1763">
        <f t="shared" si="31"/>
        <v>0</v>
      </c>
    </row>
    <row r="2012" spans="2:14">
      <c r="B2012" s="1803"/>
      <c r="C2012" s="1803"/>
      <c r="D2012" s="39">
        <v>2210803</v>
      </c>
      <c r="E2012" s="1810" t="s">
        <v>195</v>
      </c>
      <c r="F2012" s="153">
        <v>892831</v>
      </c>
      <c r="H2012" s="1803"/>
      <c r="I2012" s="1803"/>
      <c r="J2012" s="39">
        <v>2210803</v>
      </c>
      <c r="K2012" s="1810" t="s">
        <v>195</v>
      </c>
      <c r="L2012" s="153">
        <v>892831</v>
      </c>
      <c r="N2012" s="153">
        <f t="shared" si="31"/>
        <v>0</v>
      </c>
    </row>
    <row r="2013" spans="2:14">
      <c r="B2013" s="1803"/>
      <c r="C2013" s="1803"/>
      <c r="D2013" s="1543">
        <v>2211100</v>
      </c>
      <c r="E2013" s="1808" t="s">
        <v>51</v>
      </c>
      <c r="F2013" s="1763">
        <v>500000.24199999997</v>
      </c>
      <c r="H2013" s="1803"/>
      <c r="I2013" s="1803"/>
      <c r="J2013" s="1543">
        <v>2211100</v>
      </c>
      <c r="K2013" s="1808" t="s">
        <v>51</v>
      </c>
      <c r="L2013" s="1763">
        <v>500000.24199999997</v>
      </c>
      <c r="N2013" s="1763">
        <f t="shared" si="31"/>
        <v>0</v>
      </c>
    </row>
    <row r="2014" spans="2:14">
      <c r="B2014" s="1803"/>
      <c r="C2014" s="1803"/>
      <c r="D2014" s="39">
        <v>2211101</v>
      </c>
      <c r="E2014" s="1810" t="s">
        <v>289</v>
      </c>
      <c r="F2014" s="153">
        <v>238357.54</v>
      </c>
      <c r="H2014" s="1803"/>
      <c r="I2014" s="1803"/>
      <c r="J2014" s="39">
        <v>2211101</v>
      </c>
      <c r="K2014" s="1810" t="s">
        <v>289</v>
      </c>
      <c r="L2014" s="153">
        <v>238357.54</v>
      </c>
      <c r="N2014" s="153">
        <f t="shared" si="31"/>
        <v>0</v>
      </c>
    </row>
    <row r="2015" spans="2:14">
      <c r="B2015" s="1803"/>
      <c r="C2015" s="1803"/>
      <c r="D2015" s="39">
        <v>2211102</v>
      </c>
      <c r="E2015" s="1810" t="s">
        <v>53</v>
      </c>
      <c r="F2015" s="153">
        <v>228536.234</v>
      </c>
      <c r="H2015" s="1803"/>
      <c r="I2015" s="1803"/>
      <c r="J2015" s="39">
        <v>2211102</v>
      </c>
      <c r="K2015" s="1810" t="s">
        <v>53</v>
      </c>
      <c r="L2015" s="153">
        <v>228536.234</v>
      </c>
      <c r="N2015" s="153">
        <f t="shared" si="31"/>
        <v>0</v>
      </c>
    </row>
    <row r="2016" spans="2:14">
      <c r="B2016" s="1803"/>
      <c r="C2016" s="1803"/>
      <c r="D2016" s="39">
        <v>2211103</v>
      </c>
      <c r="E2016" s="1810" t="s">
        <v>402</v>
      </c>
      <c r="F2016" s="153">
        <v>33106.468000000001</v>
      </c>
      <c r="H2016" s="1803"/>
      <c r="I2016" s="1803"/>
      <c r="J2016" s="39">
        <v>2211103</v>
      </c>
      <c r="K2016" s="1810" t="s">
        <v>402</v>
      </c>
      <c r="L2016" s="153">
        <v>33106.468000000001</v>
      </c>
      <c r="N2016" s="153">
        <f t="shared" si="31"/>
        <v>0</v>
      </c>
    </row>
    <row r="2017" spans="2:14">
      <c r="B2017" s="1803"/>
      <c r="C2017" s="1803"/>
      <c r="D2017" s="1543">
        <v>2211200</v>
      </c>
      <c r="E2017" s="1808" t="s">
        <v>55</v>
      </c>
      <c r="F2017" s="1763">
        <v>870000</v>
      </c>
      <c r="H2017" s="1803"/>
      <c r="I2017" s="1803"/>
      <c r="J2017" s="1543">
        <v>2211200</v>
      </c>
      <c r="K2017" s="1808" t="s">
        <v>55</v>
      </c>
      <c r="L2017" s="1763">
        <v>870000</v>
      </c>
      <c r="N2017" s="1763">
        <f t="shared" si="31"/>
        <v>0</v>
      </c>
    </row>
    <row r="2018" spans="2:14">
      <c r="B2018" s="1803"/>
      <c r="C2018" s="1803"/>
      <c r="D2018" s="39">
        <v>2211201</v>
      </c>
      <c r="E2018" s="1810" t="s">
        <v>56</v>
      </c>
      <c r="F2018" s="153">
        <v>870000</v>
      </c>
      <c r="H2018" s="1803"/>
      <c r="I2018" s="1803"/>
      <c r="J2018" s="39">
        <v>2211201</v>
      </c>
      <c r="K2018" s="1810" t="s">
        <v>56</v>
      </c>
      <c r="L2018" s="153">
        <v>870000</v>
      </c>
      <c r="N2018" s="153">
        <f t="shared" si="31"/>
        <v>0</v>
      </c>
    </row>
    <row r="2019" spans="2:14">
      <c r="B2019" s="1803"/>
      <c r="C2019" s="1803"/>
      <c r="D2019" s="1543">
        <v>2220100</v>
      </c>
      <c r="E2019" s="1808" t="s">
        <v>62</v>
      </c>
      <c r="F2019" s="1763">
        <v>1894000</v>
      </c>
      <c r="H2019" s="1803"/>
      <c r="I2019" s="1803"/>
      <c r="J2019" s="1543">
        <v>2220100</v>
      </c>
      <c r="K2019" s="1808" t="s">
        <v>62</v>
      </c>
      <c r="L2019" s="1763">
        <v>1894000</v>
      </c>
      <c r="N2019" s="1763">
        <f t="shared" si="31"/>
        <v>0</v>
      </c>
    </row>
    <row r="2020" spans="2:14">
      <c r="B2020" s="1803"/>
      <c r="C2020" s="1803"/>
      <c r="D2020" s="39">
        <v>2220101</v>
      </c>
      <c r="E2020" s="1810" t="s">
        <v>403</v>
      </c>
      <c r="F2020" s="153">
        <v>1421392.8</v>
      </c>
      <c r="H2020" s="1803"/>
      <c r="I2020" s="1803"/>
      <c r="J2020" s="39">
        <v>2220101</v>
      </c>
      <c r="K2020" s="1810" t="s">
        <v>403</v>
      </c>
      <c r="L2020" s="153">
        <v>1421392.8</v>
      </c>
      <c r="N2020" s="153">
        <f t="shared" si="31"/>
        <v>0</v>
      </c>
    </row>
    <row r="2021" spans="2:14">
      <c r="B2021" s="1809"/>
      <c r="C2021" s="1809"/>
      <c r="D2021" s="39">
        <v>2220105</v>
      </c>
      <c r="E2021" s="1810" t="s">
        <v>404</v>
      </c>
      <c r="F2021" s="153">
        <v>472607.2</v>
      </c>
      <c r="H2021" s="1809"/>
      <c r="I2021" s="1809"/>
      <c r="J2021" s="39">
        <v>2220105</v>
      </c>
      <c r="K2021" s="1810" t="s">
        <v>404</v>
      </c>
      <c r="L2021" s="153">
        <v>472607.2</v>
      </c>
      <c r="N2021" s="153">
        <f t="shared" si="31"/>
        <v>0</v>
      </c>
    </row>
    <row r="2022" spans="2:14">
      <c r="B2022" s="1809"/>
      <c r="C2022" s="1809"/>
      <c r="D2022" s="1543">
        <v>2220200</v>
      </c>
      <c r="E2022" s="1808" t="s">
        <v>405</v>
      </c>
      <c r="F2022" s="1763">
        <v>105000</v>
      </c>
      <c r="H2022" s="1809"/>
      <c r="I2022" s="1809"/>
      <c r="J2022" s="1543">
        <v>2220200</v>
      </c>
      <c r="K2022" s="1808" t="s">
        <v>405</v>
      </c>
      <c r="L2022" s="1763">
        <v>105000</v>
      </c>
      <c r="N2022" s="1763">
        <f t="shared" si="31"/>
        <v>0</v>
      </c>
    </row>
    <row r="2023" spans="2:14">
      <c r="B2023" s="1809"/>
      <c r="C2023" s="1809"/>
      <c r="D2023" s="39">
        <v>2220205</v>
      </c>
      <c r="E2023" s="1810" t="s">
        <v>125</v>
      </c>
      <c r="F2023" s="153">
        <v>105000</v>
      </c>
      <c r="H2023" s="1809"/>
      <c r="I2023" s="1809"/>
      <c r="J2023" s="39">
        <v>2220205</v>
      </c>
      <c r="K2023" s="1810" t="s">
        <v>125</v>
      </c>
      <c r="L2023" s="153">
        <v>105000</v>
      </c>
      <c r="N2023" s="153">
        <f t="shared" si="31"/>
        <v>0</v>
      </c>
    </row>
    <row r="2024" spans="2:14">
      <c r="B2024" s="1803"/>
      <c r="C2024" s="1803"/>
      <c r="D2024" s="1543">
        <v>2640400</v>
      </c>
      <c r="E2024" s="1808" t="s">
        <v>1624</v>
      </c>
      <c r="F2024" s="1763">
        <v>58050445</v>
      </c>
      <c r="H2024" s="1803"/>
      <c r="I2024" s="1803"/>
      <c r="J2024" s="1543">
        <v>2640400</v>
      </c>
      <c r="K2024" s="1808" t="s">
        <v>1624</v>
      </c>
      <c r="L2024" s="1763">
        <v>58050445</v>
      </c>
      <c r="N2024" s="1763">
        <f t="shared" si="31"/>
        <v>0</v>
      </c>
    </row>
    <row r="2025" spans="2:14">
      <c r="B2025" s="1809"/>
      <c r="C2025" s="1809"/>
      <c r="D2025" s="39">
        <v>2640499</v>
      </c>
      <c r="E2025" s="1810" t="s">
        <v>1625</v>
      </c>
      <c r="F2025" s="191">
        <v>58050445</v>
      </c>
      <c r="H2025" s="1809"/>
      <c r="I2025" s="1809"/>
      <c r="J2025" s="39">
        <v>2640499</v>
      </c>
      <c r="K2025" s="1810" t="s">
        <v>1625</v>
      </c>
      <c r="L2025" s="191">
        <v>58050445</v>
      </c>
      <c r="N2025" s="191">
        <f t="shared" si="31"/>
        <v>0</v>
      </c>
    </row>
    <row r="2026" spans="2:14">
      <c r="B2026" s="1803"/>
      <c r="C2026" s="1803"/>
      <c r="D2026" s="1543">
        <v>3110700</v>
      </c>
      <c r="E2026" s="1808" t="s">
        <v>65</v>
      </c>
      <c r="F2026" s="1763">
        <v>1701800</v>
      </c>
      <c r="H2026" s="1803"/>
      <c r="I2026" s="1803"/>
      <c r="J2026" s="1543">
        <v>3110700</v>
      </c>
      <c r="K2026" s="1808" t="s">
        <v>65</v>
      </c>
      <c r="L2026" s="1763">
        <v>1701800</v>
      </c>
      <c r="N2026" s="1763">
        <f t="shared" si="31"/>
        <v>0</v>
      </c>
    </row>
    <row r="2027" spans="2:14">
      <c r="B2027" s="1809"/>
      <c r="C2027" s="1809"/>
      <c r="D2027" s="39">
        <v>3110704</v>
      </c>
      <c r="E2027" s="1810" t="s">
        <v>443</v>
      </c>
      <c r="F2027" s="153">
        <v>1701800</v>
      </c>
      <c r="H2027" s="1809"/>
      <c r="I2027" s="1809"/>
      <c r="J2027" s="39">
        <v>3110704</v>
      </c>
      <c r="K2027" s="1810" t="s">
        <v>443</v>
      </c>
      <c r="L2027" s="153">
        <v>1701800</v>
      </c>
      <c r="N2027" s="153">
        <f t="shared" si="31"/>
        <v>0</v>
      </c>
    </row>
    <row r="2028" spans="2:14">
      <c r="B2028" s="1809"/>
      <c r="C2028" s="1809"/>
      <c r="D2028" s="1543">
        <v>3111000</v>
      </c>
      <c r="E2028" s="1808" t="s">
        <v>69</v>
      </c>
      <c r="F2028" s="1768">
        <v>2000000</v>
      </c>
      <c r="H2028" s="1809"/>
      <c r="I2028" s="1809"/>
      <c r="J2028" s="1543">
        <v>3111000</v>
      </c>
      <c r="K2028" s="1808" t="s">
        <v>69</v>
      </c>
      <c r="L2028" s="1768">
        <v>2000000</v>
      </c>
      <c r="N2028" s="1768">
        <f t="shared" si="31"/>
        <v>0</v>
      </c>
    </row>
    <row r="2029" spans="2:14">
      <c r="B2029" s="1803"/>
      <c r="C2029" s="1803"/>
      <c r="D2029" s="39">
        <v>3111001</v>
      </c>
      <c r="E2029" s="1810" t="s">
        <v>70</v>
      </c>
      <c r="F2029" s="150">
        <v>950000</v>
      </c>
      <c r="H2029" s="1803"/>
      <c r="I2029" s="1803"/>
      <c r="J2029" s="39">
        <v>3111001</v>
      </c>
      <c r="K2029" s="1810" t="s">
        <v>70</v>
      </c>
      <c r="L2029" s="150">
        <v>950000</v>
      </c>
      <c r="N2029" s="150">
        <f t="shared" si="31"/>
        <v>0</v>
      </c>
    </row>
    <row r="2030" spans="2:14">
      <c r="B2030" s="1809"/>
      <c r="C2030" s="1809"/>
      <c r="D2030" s="39">
        <v>3111002</v>
      </c>
      <c r="E2030" s="1810" t="s">
        <v>71</v>
      </c>
      <c r="F2030" s="150">
        <v>1050000</v>
      </c>
      <c r="H2030" s="1809"/>
      <c r="I2030" s="1809"/>
      <c r="J2030" s="39">
        <v>3111002</v>
      </c>
      <c r="K2030" s="1810" t="s">
        <v>71</v>
      </c>
      <c r="L2030" s="150">
        <v>1050000</v>
      </c>
      <c r="N2030" s="150">
        <f t="shared" si="31"/>
        <v>0</v>
      </c>
    </row>
    <row r="2031" spans="2:14">
      <c r="B2031" s="1811"/>
      <c r="C2031" s="1811"/>
      <c r="D2031" s="1800" t="s">
        <v>406</v>
      </c>
      <c r="E2031" s="1812"/>
      <c r="F2031" s="1710">
        <v>1065101854.084</v>
      </c>
      <c r="H2031" s="1811"/>
      <c r="I2031" s="1811"/>
      <c r="J2031" s="1800" t="s">
        <v>406</v>
      </c>
      <c r="K2031" s="1812"/>
      <c r="L2031" s="1710">
        <v>1065101854.084</v>
      </c>
      <c r="N2031" s="1710">
        <f t="shared" si="31"/>
        <v>0</v>
      </c>
    </row>
    <row r="2032" spans="2:14">
      <c r="B2032" s="1844"/>
      <c r="C2032" s="1844"/>
      <c r="D2032" s="80"/>
      <c r="E2032" s="1818"/>
      <c r="F2032" s="169"/>
      <c r="H2032" s="1844"/>
      <c r="I2032" s="1844"/>
      <c r="J2032" s="80"/>
      <c r="K2032" s="1818"/>
      <c r="L2032" s="169"/>
      <c r="N2032" s="169">
        <f t="shared" si="31"/>
        <v>0</v>
      </c>
    </row>
    <row r="2033" spans="2:14">
      <c r="B2033" s="1819" t="s">
        <v>168</v>
      </c>
      <c r="C2033" s="1803" t="s">
        <v>146</v>
      </c>
      <c r="D2033" s="1543">
        <v>3110300</v>
      </c>
      <c r="E2033" s="1808" t="s">
        <v>293</v>
      </c>
      <c r="F2033" s="1636"/>
      <c r="H2033" s="1819" t="s">
        <v>168</v>
      </c>
      <c r="I2033" s="1803" t="s">
        <v>146</v>
      </c>
      <c r="J2033" s="1543">
        <v>3110300</v>
      </c>
      <c r="K2033" s="1808" t="s">
        <v>293</v>
      </c>
      <c r="L2033" s="1636"/>
      <c r="N2033" s="1636">
        <f t="shared" si="31"/>
        <v>0</v>
      </c>
    </row>
    <row r="2034" spans="2:14">
      <c r="B2034" s="1819"/>
      <c r="C2034" s="1803"/>
      <c r="D2034" s="1543">
        <v>3111100</v>
      </c>
      <c r="E2034" s="1808" t="s">
        <v>475</v>
      </c>
      <c r="F2034" s="1763">
        <v>7150000</v>
      </c>
      <c r="H2034" s="1819"/>
      <c r="I2034" s="1803"/>
      <c r="J2034" s="1543">
        <v>3111100</v>
      </c>
      <c r="K2034" s="1808" t="s">
        <v>475</v>
      </c>
      <c r="L2034" s="1763">
        <v>7150000</v>
      </c>
      <c r="N2034" s="1763">
        <f t="shared" si="31"/>
        <v>0</v>
      </c>
    </row>
    <row r="2035" spans="2:14" ht="45">
      <c r="B2035" s="1819"/>
      <c r="C2035" s="1803"/>
      <c r="D2035" s="39">
        <v>3111101</v>
      </c>
      <c r="E2035" s="1810" t="s">
        <v>1626</v>
      </c>
      <c r="F2035" s="150">
        <v>3000000</v>
      </c>
      <c r="H2035" s="1819"/>
      <c r="I2035" s="1803"/>
      <c r="J2035" s="39">
        <v>3111101</v>
      </c>
      <c r="K2035" s="1810" t="s">
        <v>1626</v>
      </c>
      <c r="L2035" s="150">
        <v>3000000</v>
      </c>
      <c r="N2035" s="150">
        <f t="shared" si="31"/>
        <v>0</v>
      </c>
    </row>
    <row r="2036" spans="2:14">
      <c r="B2036" s="1819"/>
      <c r="C2036" s="1803"/>
      <c r="D2036" s="39">
        <v>3111101</v>
      </c>
      <c r="E2036" s="1821" t="s">
        <v>1627</v>
      </c>
      <c r="F2036" s="153">
        <v>1200000</v>
      </c>
      <c r="H2036" s="1819"/>
      <c r="I2036" s="1803"/>
      <c r="J2036" s="39">
        <v>3111101</v>
      </c>
      <c r="K2036" s="1821" t="s">
        <v>1627</v>
      </c>
      <c r="L2036" s="153">
        <v>1200000</v>
      </c>
      <c r="N2036" s="153">
        <f t="shared" si="31"/>
        <v>0</v>
      </c>
    </row>
    <row r="2037" spans="2:14">
      <c r="B2037" s="1819"/>
      <c r="C2037" s="1803"/>
      <c r="D2037" s="39">
        <v>3111101</v>
      </c>
      <c r="E2037" s="1821" t="s">
        <v>1628</v>
      </c>
      <c r="F2037" s="153">
        <v>1000000</v>
      </c>
      <c r="H2037" s="1819"/>
      <c r="I2037" s="1803"/>
      <c r="J2037" s="39">
        <v>3111101</v>
      </c>
      <c r="K2037" s="1821" t="s">
        <v>1628</v>
      </c>
      <c r="L2037" s="153">
        <v>1000000</v>
      </c>
      <c r="N2037" s="153">
        <f t="shared" si="31"/>
        <v>0</v>
      </c>
    </row>
    <row r="2038" spans="2:14">
      <c r="B2038" s="1819"/>
      <c r="C2038" s="1803"/>
      <c r="D2038" s="39">
        <v>3111101</v>
      </c>
      <c r="E2038" s="1821" t="s">
        <v>1629</v>
      </c>
      <c r="F2038" s="153">
        <v>1950000</v>
      </c>
      <c r="H2038" s="1819"/>
      <c r="I2038" s="1803"/>
      <c r="J2038" s="39">
        <v>3111101</v>
      </c>
      <c r="K2038" s="1821" t="s">
        <v>1629</v>
      </c>
      <c r="L2038" s="153">
        <v>1950000</v>
      </c>
      <c r="N2038" s="153">
        <f t="shared" si="31"/>
        <v>0</v>
      </c>
    </row>
    <row r="2039" spans="2:14">
      <c r="B2039" s="1819"/>
      <c r="C2039" s="1803"/>
      <c r="D2039" s="1543">
        <v>3110202</v>
      </c>
      <c r="E2039" s="1808" t="s">
        <v>413</v>
      </c>
      <c r="F2039" s="1763">
        <v>12261165</v>
      </c>
      <c r="H2039" s="1819"/>
      <c r="I2039" s="1803"/>
      <c r="J2039" s="1543">
        <v>3110202</v>
      </c>
      <c r="K2039" s="1808" t="s">
        <v>413</v>
      </c>
      <c r="L2039" s="1763">
        <v>12261165</v>
      </c>
      <c r="N2039" s="1763">
        <f t="shared" si="31"/>
        <v>0</v>
      </c>
    </row>
    <row r="2040" spans="2:14">
      <c r="B2040" s="1819"/>
      <c r="C2040" s="1803"/>
      <c r="D2040" s="39">
        <v>3110202</v>
      </c>
      <c r="E2040" s="1810" t="s">
        <v>1630</v>
      </c>
      <c r="F2040" s="153">
        <v>6200000</v>
      </c>
      <c r="H2040" s="1819"/>
      <c r="I2040" s="1803"/>
      <c r="J2040" s="39">
        <v>3110202</v>
      </c>
      <c r="K2040" s="1810" t="s">
        <v>1630</v>
      </c>
      <c r="L2040" s="153">
        <v>6200000</v>
      </c>
      <c r="N2040" s="153">
        <f t="shared" si="31"/>
        <v>0</v>
      </c>
    </row>
    <row r="2041" spans="2:14">
      <c r="B2041" s="1819"/>
      <c r="C2041" s="1803"/>
      <c r="D2041" s="39">
        <v>3110202</v>
      </c>
      <c r="E2041" s="1810" t="s">
        <v>1631</v>
      </c>
      <c r="F2041" s="153">
        <v>2061165</v>
      </c>
      <c r="H2041" s="1819"/>
      <c r="I2041" s="1803"/>
      <c r="J2041" s="39">
        <v>3110202</v>
      </c>
      <c r="K2041" s="1810" t="s">
        <v>1631</v>
      </c>
      <c r="L2041" s="153">
        <v>2061165</v>
      </c>
      <c r="N2041" s="153">
        <f t="shared" si="31"/>
        <v>0</v>
      </c>
    </row>
    <row r="2042" spans="2:14" ht="60">
      <c r="B2042" s="1819"/>
      <c r="C2042" s="1803"/>
      <c r="D2042" s="39">
        <v>3110202</v>
      </c>
      <c r="E2042" s="1821" t="s">
        <v>1632</v>
      </c>
      <c r="F2042" s="1835">
        <v>4000000</v>
      </c>
      <c r="H2042" s="1819"/>
      <c r="I2042" s="1803"/>
      <c r="J2042" s="39">
        <v>3110202</v>
      </c>
      <c r="K2042" s="1821" t="s">
        <v>1632</v>
      </c>
      <c r="L2042" s="1835">
        <v>4000000</v>
      </c>
      <c r="N2042" s="1835">
        <f t="shared" si="31"/>
        <v>0</v>
      </c>
    </row>
    <row r="2043" spans="2:14">
      <c r="B2043" s="1803"/>
      <c r="C2043" s="1803"/>
      <c r="D2043" s="1543" t="s">
        <v>445</v>
      </c>
      <c r="E2043" s="1808"/>
      <c r="F2043" s="1660">
        <v>19411165</v>
      </c>
      <c r="H2043" s="1803"/>
      <c r="I2043" s="1803"/>
      <c r="J2043" s="1543" t="s">
        <v>445</v>
      </c>
      <c r="K2043" s="1808"/>
      <c r="L2043" s="1660">
        <v>19411165</v>
      </c>
      <c r="N2043" s="1660">
        <f t="shared" si="31"/>
        <v>0</v>
      </c>
    </row>
    <row r="2044" spans="2:14">
      <c r="B2044" s="1803"/>
      <c r="C2044" s="1803"/>
      <c r="D2044" s="1543"/>
      <c r="E2044" s="1808" t="s">
        <v>84</v>
      </c>
      <c r="F2044" s="1660">
        <v>1084513019.0840001</v>
      </c>
      <c r="H2044" s="1803"/>
      <c r="I2044" s="1803"/>
      <c r="J2044" s="1543"/>
      <c r="K2044" s="1808" t="s">
        <v>84</v>
      </c>
      <c r="L2044" s="1660">
        <v>1084513019.0840001</v>
      </c>
      <c r="N2044" s="1660">
        <f t="shared" si="31"/>
        <v>0</v>
      </c>
    </row>
    <row r="2045" spans="2:14">
      <c r="B2045" s="1803"/>
      <c r="C2045" s="1803"/>
      <c r="D2045" s="1543"/>
      <c r="E2045" s="1808"/>
      <c r="F2045" s="1660"/>
      <c r="H2045" s="1803"/>
      <c r="I2045" s="1803"/>
      <c r="J2045" s="1543"/>
      <c r="K2045" s="1808"/>
      <c r="L2045" s="1660"/>
      <c r="N2045" s="1660">
        <f t="shared" si="31"/>
        <v>0</v>
      </c>
    </row>
    <row r="2046" spans="2:14">
      <c r="B2046" s="1819" t="s">
        <v>168</v>
      </c>
      <c r="C2046" s="1803" t="s">
        <v>146</v>
      </c>
      <c r="D2046" s="1845" t="s">
        <v>1633</v>
      </c>
      <c r="E2046" s="1846"/>
      <c r="F2046" s="1660"/>
      <c r="H2046" s="1819" t="s">
        <v>168</v>
      </c>
      <c r="I2046" s="1803" t="s">
        <v>146</v>
      </c>
      <c r="J2046" s="1845" t="s">
        <v>1633</v>
      </c>
      <c r="K2046" s="1846"/>
      <c r="L2046" s="1660"/>
      <c r="N2046" s="1660">
        <f t="shared" si="31"/>
        <v>0</v>
      </c>
    </row>
    <row r="2047" spans="2:14">
      <c r="B2047" s="1803"/>
      <c r="C2047" s="1803"/>
      <c r="D2047" s="1543">
        <v>2210300</v>
      </c>
      <c r="E2047" s="1808" t="s">
        <v>24</v>
      </c>
      <c r="F2047" s="1768">
        <v>1084100</v>
      </c>
      <c r="H2047" s="1803"/>
      <c r="I2047" s="1803"/>
      <c r="J2047" s="1543">
        <v>2210300</v>
      </c>
      <c r="K2047" s="1808" t="s">
        <v>24</v>
      </c>
      <c r="L2047" s="1768">
        <v>1084100</v>
      </c>
      <c r="N2047" s="1768">
        <f t="shared" si="31"/>
        <v>0</v>
      </c>
    </row>
    <row r="2048" spans="2:14">
      <c r="B2048" s="1803"/>
      <c r="C2048" s="1803"/>
      <c r="D2048" s="39">
        <v>2210301</v>
      </c>
      <c r="E2048" s="1810" t="s">
        <v>25</v>
      </c>
      <c r="F2048" s="191">
        <v>534000</v>
      </c>
      <c r="H2048" s="1803"/>
      <c r="I2048" s="1803"/>
      <c r="J2048" s="39">
        <v>2210301</v>
      </c>
      <c r="K2048" s="1810" t="s">
        <v>25</v>
      </c>
      <c r="L2048" s="191">
        <v>534000</v>
      </c>
      <c r="N2048" s="191">
        <f t="shared" si="31"/>
        <v>0</v>
      </c>
    </row>
    <row r="2049" spans="2:14">
      <c r="B2049" s="1803"/>
      <c r="C2049" s="1803"/>
      <c r="D2049" s="39">
        <v>2210302</v>
      </c>
      <c r="E2049" s="1810" t="s">
        <v>411</v>
      </c>
      <c r="F2049" s="191">
        <v>300000</v>
      </c>
      <c r="H2049" s="1803"/>
      <c r="I2049" s="1803"/>
      <c r="J2049" s="39">
        <v>2210302</v>
      </c>
      <c r="K2049" s="1810" t="s">
        <v>411</v>
      </c>
      <c r="L2049" s="191">
        <v>300000</v>
      </c>
      <c r="N2049" s="191">
        <f t="shared" si="31"/>
        <v>0</v>
      </c>
    </row>
    <row r="2050" spans="2:14">
      <c r="B2050" s="1803"/>
      <c r="C2050" s="1803"/>
      <c r="D2050" s="39">
        <v>2210303</v>
      </c>
      <c r="E2050" s="1810" t="s">
        <v>223</v>
      </c>
      <c r="F2050" s="191">
        <v>250100</v>
      </c>
      <c r="H2050" s="1803"/>
      <c r="I2050" s="1803"/>
      <c r="J2050" s="39">
        <v>2210303</v>
      </c>
      <c r="K2050" s="1810" t="s">
        <v>223</v>
      </c>
      <c r="L2050" s="191">
        <v>250100</v>
      </c>
      <c r="N2050" s="191">
        <f t="shared" si="31"/>
        <v>0</v>
      </c>
    </row>
    <row r="2051" spans="2:14">
      <c r="B2051" s="1803"/>
      <c r="C2051" s="1803"/>
      <c r="D2051" s="1543">
        <v>2210800</v>
      </c>
      <c r="E2051" s="1808" t="s">
        <v>42</v>
      </c>
      <c r="F2051" s="1768">
        <v>872000</v>
      </c>
      <c r="H2051" s="1803"/>
      <c r="I2051" s="1803"/>
      <c r="J2051" s="1543">
        <v>2210800</v>
      </c>
      <c r="K2051" s="1808" t="s">
        <v>42</v>
      </c>
      <c r="L2051" s="1768">
        <v>872000</v>
      </c>
      <c r="N2051" s="1768">
        <f t="shared" si="31"/>
        <v>0</v>
      </c>
    </row>
    <row r="2052" spans="2:14">
      <c r="B2052" s="1803"/>
      <c r="C2052" s="1803"/>
      <c r="D2052" s="39">
        <v>2210802</v>
      </c>
      <c r="E2052" s="1810" t="s">
        <v>97</v>
      </c>
      <c r="F2052" s="191">
        <v>872000</v>
      </c>
      <c r="H2052" s="1803"/>
      <c r="I2052" s="1803"/>
      <c r="J2052" s="39">
        <v>2210802</v>
      </c>
      <c r="K2052" s="1810" t="s">
        <v>97</v>
      </c>
      <c r="L2052" s="191">
        <v>872000</v>
      </c>
      <c r="N2052" s="191">
        <f t="shared" si="31"/>
        <v>0</v>
      </c>
    </row>
    <row r="2053" spans="2:14">
      <c r="B2053" s="1803"/>
      <c r="C2053" s="1803"/>
      <c r="D2053" s="1543">
        <v>2211200</v>
      </c>
      <c r="E2053" s="1808" t="s">
        <v>55</v>
      </c>
      <c r="F2053" s="1847">
        <v>43900</v>
      </c>
      <c r="H2053" s="1803"/>
      <c r="I2053" s="1803"/>
      <c r="J2053" s="1543">
        <v>2211200</v>
      </c>
      <c r="K2053" s="1808" t="s">
        <v>55</v>
      </c>
      <c r="L2053" s="1847">
        <v>43900</v>
      </c>
      <c r="N2053" s="1847">
        <f t="shared" si="31"/>
        <v>0</v>
      </c>
    </row>
    <row r="2054" spans="2:14">
      <c r="B2054" s="1803"/>
      <c r="C2054" s="1803"/>
      <c r="D2054" s="39">
        <v>2211201</v>
      </c>
      <c r="E2054" s="1810" t="s">
        <v>56</v>
      </c>
      <c r="F2054" s="191">
        <v>43900</v>
      </c>
      <c r="H2054" s="1803"/>
      <c r="I2054" s="1803"/>
      <c r="J2054" s="39">
        <v>2211201</v>
      </c>
      <c r="K2054" s="1810" t="s">
        <v>56</v>
      </c>
      <c r="L2054" s="191">
        <v>43900</v>
      </c>
      <c r="N2054" s="191">
        <f t="shared" si="31"/>
        <v>0</v>
      </c>
    </row>
    <row r="2055" spans="2:14">
      <c r="B2055" s="1803"/>
      <c r="C2055" s="1803"/>
      <c r="D2055" s="1543"/>
      <c r="E2055" s="1812" t="s">
        <v>91</v>
      </c>
      <c r="F2055" s="1770">
        <v>2000000</v>
      </c>
      <c r="H2055" s="1803"/>
      <c r="I2055" s="1803"/>
      <c r="J2055" s="1543"/>
      <c r="K2055" s="1812" t="s">
        <v>91</v>
      </c>
      <c r="L2055" s="1770">
        <v>2000000</v>
      </c>
      <c r="N2055" s="1770">
        <f t="shared" si="31"/>
        <v>0</v>
      </c>
    </row>
    <row r="2056" spans="2:14">
      <c r="B2056" s="1803"/>
      <c r="C2056" s="1803"/>
      <c r="D2056" s="1543"/>
      <c r="E2056" s="1808"/>
      <c r="F2056" s="1660"/>
      <c r="H2056" s="1803"/>
      <c r="I2056" s="1803"/>
      <c r="J2056" s="1543"/>
      <c r="K2056" s="1808"/>
      <c r="L2056" s="1660"/>
      <c r="N2056" s="1660">
        <f t="shared" ref="N2056:N2119" si="32">F2056-L2056</f>
        <v>0</v>
      </c>
    </row>
    <row r="2057" spans="2:14">
      <c r="B2057" s="1803"/>
      <c r="C2057" s="1803"/>
      <c r="D2057" s="1543" t="s">
        <v>92</v>
      </c>
      <c r="E2057" s="1808"/>
      <c r="F2057" s="1603"/>
      <c r="H2057" s="1803"/>
      <c r="I2057" s="1803"/>
      <c r="J2057" s="1543" t="s">
        <v>92</v>
      </c>
      <c r="K2057" s="1808"/>
      <c r="L2057" s="1603"/>
      <c r="N2057" s="1603">
        <f t="shared" si="32"/>
        <v>0</v>
      </c>
    </row>
    <row r="2058" spans="2:14">
      <c r="B2058" s="1848"/>
      <c r="C2058" s="1848"/>
      <c r="D2058" s="1671" t="s">
        <v>446</v>
      </c>
      <c r="E2058" s="1834"/>
      <c r="F2058" s="169">
        <v>0</v>
      </c>
      <c r="H2058" s="1848"/>
      <c r="I2058" s="1848"/>
      <c r="J2058" s="1671" t="s">
        <v>446</v>
      </c>
      <c r="K2058" s="1834"/>
      <c r="L2058" s="169">
        <v>0</v>
      </c>
      <c r="N2058" s="169">
        <f t="shared" si="32"/>
        <v>0</v>
      </c>
    </row>
    <row r="2059" spans="2:14" ht="30">
      <c r="B2059" s="1819" t="s">
        <v>447</v>
      </c>
      <c r="C2059" s="1803" t="s">
        <v>146</v>
      </c>
      <c r="D2059" s="39">
        <v>2640503</v>
      </c>
      <c r="E2059" s="1836" t="s">
        <v>448</v>
      </c>
      <c r="F2059" s="153">
        <v>3557250</v>
      </c>
      <c r="H2059" s="1819" t="s">
        <v>447</v>
      </c>
      <c r="I2059" s="1803" t="s">
        <v>146</v>
      </c>
      <c r="J2059" s="39">
        <v>2640503</v>
      </c>
      <c r="K2059" s="1836" t="s">
        <v>448</v>
      </c>
      <c r="L2059" s="153">
        <v>3557250</v>
      </c>
      <c r="N2059" s="153">
        <f t="shared" si="32"/>
        <v>0</v>
      </c>
    </row>
    <row r="2060" spans="2:14">
      <c r="B2060" s="1811"/>
      <c r="C2060" s="1811"/>
      <c r="D2060" s="1838" t="s">
        <v>449</v>
      </c>
      <c r="E2060" s="1839"/>
      <c r="F2060" s="1710">
        <v>3557250</v>
      </c>
      <c r="H2060" s="1811"/>
      <c r="I2060" s="1811"/>
      <c r="J2060" s="1838" t="s">
        <v>449</v>
      </c>
      <c r="K2060" s="1839"/>
      <c r="L2060" s="1710">
        <v>3557250</v>
      </c>
      <c r="N2060" s="1710">
        <f t="shared" si="32"/>
        <v>0</v>
      </c>
    </row>
    <row r="2061" spans="2:14">
      <c r="B2061" s="1811"/>
      <c r="C2061" s="1811"/>
      <c r="D2061" s="1800"/>
      <c r="E2061" s="1802"/>
      <c r="F2061" s="1710"/>
      <c r="H2061" s="1811"/>
      <c r="I2061" s="1811"/>
      <c r="J2061" s="1800"/>
      <c r="K2061" s="1802"/>
      <c r="L2061" s="1710"/>
      <c r="N2061" s="1710">
        <f t="shared" si="32"/>
        <v>0</v>
      </c>
    </row>
    <row r="2062" spans="2:14">
      <c r="B2062" s="1809"/>
      <c r="C2062" s="1809"/>
      <c r="D2062" s="1543"/>
      <c r="E2062" s="1808"/>
      <c r="F2062" s="164"/>
      <c r="H2062" s="1809"/>
      <c r="I2062" s="1809"/>
      <c r="J2062" s="1543"/>
      <c r="K2062" s="1808"/>
      <c r="L2062" s="164"/>
      <c r="N2062" s="164">
        <f t="shared" si="32"/>
        <v>0</v>
      </c>
    </row>
    <row r="2063" spans="2:14">
      <c r="B2063" s="1819" t="s">
        <v>168</v>
      </c>
      <c r="C2063" s="1849">
        <v>1</v>
      </c>
      <c r="D2063" s="77" t="s">
        <v>452</v>
      </c>
      <c r="E2063" s="1808"/>
      <c r="F2063" s="164">
        <v>0</v>
      </c>
      <c r="H2063" s="1819" t="s">
        <v>168</v>
      </c>
      <c r="I2063" s="1849">
        <v>1</v>
      </c>
      <c r="J2063" s="77" t="s">
        <v>452</v>
      </c>
      <c r="K2063" s="1808"/>
      <c r="L2063" s="164">
        <v>0</v>
      </c>
      <c r="N2063" s="164">
        <f t="shared" si="32"/>
        <v>0</v>
      </c>
    </row>
    <row r="2064" spans="2:14">
      <c r="B2064" s="1803"/>
      <c r="C2064" s="1803"/>
      <c r="D2064" s="1543">
        <v>2210300</v>
      </c>
      <c r="E2064" s="1808" t="s">
        <v>454</v>
      </c>
      <c r="F2064" s="1763">
        <v>2004170.22</v>
      </c>
      <c r="H2064" s="1803"/>
      <c r="I2064" s="1803"/>
      <c r="J2064" s="1543">
        <v>2210300</v>
      </c>
      <c r="K2064" s="1808" t="s">
        <v>454</v>
      </c>
      <c r="L2064" s="1763">
        <v>2004170.22</v>
      </c>
      <c r="N2064" s="1763">
        <f t="shared" si="32"/>
        <v>0</v>
      </c>
    </row>
    <row r="2065" spans="2:14">
      <c r="B2065" s="1803"/>
      <c r="C2065" s="1803"/>
      <c r="D2065" s="39">
        <v>2210303</v>
      </c>
      <c r="E2065" s="1810" t="s">
        <v>27</v>
      </c>
      <c r="F2065" s="153">
        <v>2004170.22</v>
      </c>
      <c r="H2065" s="1803"/>
      <c r="I2065" s="1803"/>
      <c r="J2065" s="39">
        <v>2210303</v>
      </c>
      <c r="K2065" s="1810" t="s">
        <v>27</v>
      </c>
      <c r="L2065" s="153">
        <v>2004170.22</v>
      </c>
      <c r="N2065" s="153">
        <f t="shared" si="32"/>
        <v>0</v>
      </c>
    </row>
    <row r="2066" spans="2:14">
      <c r="B2066" s="1803"/>
      <c r="C2066" s="1803"/>
      <c r="D2066" s="1543">
        <v>2210500</v>
      </c>
      <c r="E2066" s="1808" t="s">
        <v>31</v>
      </c>
      <c r="F2066" s="1763">
        <v>440000</v>
      </c>
      <c r="H2066" s="1803"/>
      <c r="I2066" s="1803"/>
      <c r="J2066" s="1543">
        <v>2210500</v>
      </c>
      <c r="K2066" s="1808" t="s">
        <v>31</v>
      </c>
      <c r="L2066" s="1763">
        <v>440000</v>
      </c>
      <c r="N2066" s="1763">
        <f t="shared" si="32"/>
        <v>0</v>
      </c>
    </row>
    <row r="2067" spans="2:14">
      <c r="B2067" s="1803"/>
      <c r="C2067" s="1803"/>
      <c r="D2067" s="39">
        <v>2210502</v>
      </c>
      <c r="E2067" s="1810" t="s">
        <v>397</v>
      </c>
      <c r="F2067" s="153">
        <v>440000</v>
      </c>
      <c r="H2067" s="1803"/>
      <c r="I2067" s="1803"/>
      <c r="J2067" s="39">
        <v>2210502</v>
      </c>
      <c r="K2067" s="1810" t="s">
        <v>397</v>
      </c>
      <c r="L2067" s="153">
        <v>440000</v>
      </c>
      <c r="N2067" s="153">
        <f t="shared" si="32"/>
        <v>0</v>
      </c>
    </row>
    <row r="2068" spans="2:14">
      <c r="B2068" s="1803"/>
      <c r="C2068" s="1803"/>
      <c r="D2068" s="1543">
        <v>2211200</v>
      </c>
      <c r="E2068" s="1808" t="s">
        <v>55</v>
      </c>
      <c r="F2068" s="1768">
        <v>800000</v>
      </c>
      <c r="H2068" s="1803"/>
      <c r="I2068" s="1803"/>
      <c r="J2068" s="1543">
        <v>2211200</v>
      </c>
      <c r="K2068" s="1808" t="s">
        <v>55</v>
      </c>
      <c r="L2068" s="1768">
        <v>800000</v>
      </c>
      <c r="N2068" s="1768">
        <f t="shared" si="32"/>
        <v>0</v>
      </c>
    </row>
    <row r="2069" spans="2:14">
      <c r="B2069" s="1809"/>
      <c r="C2069" s="1809"/>
      <c r="D2069" s="39">
        <v>2211201</v>
      </c>
      <c r="E2069" s="1810" t="s">
        <v>56</v>
      </c>
      <c r="F2069" s="150">
        <v>550000</v>
      </c>
      <c r="H2069" s="1809"/>
      <c r="I2069" s="1809"/>
      <c r="J2069" s="39">
        <v>2211201</v>
      </c>
      <c r="K2069" s="1810" t="s">
        <v>56</v>
      </c>
      <c r="L2069" s="150">
        <v>550000</v>
      </c>
      <c r="N2069" s="150">
        <f t="shared" si="32"/>
        <v>0</v>
      </c>
    </row>
    <row r="2070" spans="2:14">
      <c r="B2070" s="1803"/>
      <c r="C2070" s="1803"/>
      <c r="D2070" s="39">
        <v>2211204</v>
      </c>
      <c r="E2070" s="1810" t="s">
        <v>1634</v>
      </c>
      <c r="F2070" s="153">
        <v>250000</v>
      </c>
      <c r="H2070" s="1803"/>
      <c r="I2070" s="1803"/>
      <c r="J2070" s="39">
        <v>2211204</v>
      </c>
      <c r="K2070" s="1810" t="s">
        <v>1634</v>
      </c>
      <c r="L2070" s="153">
        <v>250000</v>
      </c>
      <c r="N2070" s="153">
        <f t="shared" si="32"/>
        <v>0</v>
      </c>
    </row>
    <row r="2071" spans="2:14">
      <c r="B2071" s="1811"/>
      <c r="C2071" s="1811"/>
      <c r="D2071" s="1800"/>
      <c r="E2071" s="1812" t="s">
        <v>99</v>
      </c>
      <c r="F2071" s="1710">
        <v>3244170.2199999997</v>
      </c>
      <c r="H2071" s="1811"/>
      <c r="I2071" s="1811"/>
      <c r="J2071" s="1800"/>
      <c r="K2071" s="1812" t="s">
        <v>99</v>
      </c>
      <c r="L2071" s="1710">
        <v>3244170.2199999997</v>
      </c>
      <c r="N2071" s="1710">
        <f t="shared" si="32"/>
        <v>0</v>
      </c>
    </row>
    <row r="2072" spans="2:14">
      <c r="B2072" s="1809"/>
      <c r="C2072" s="1809"/>
      <c r="D2072" s="39"/>
      <c r="E2072" s="1810"/>
      <c r="F2072" s="169">
        <v>0</v>
      </c>
      <c r="H2072" s="1809"/>
      <c r="I2072" s="1809"/>
      <c r="J2072" s="39"/>
      <c r="K2072" s="1810"/>
      <c r="L2072" s="169">
        <v>0</v>
      </c>
      <c r="N2072" s="169">
        <f t="shared" si="32"/>
        <v>0</v>
      </c>
    </row>
    <row r="2073" spans="2:14">
      <c r="B2073" s="1819" t="s">
        <v>455</v>
      </c>
      <c r="C2073" s="1811" t="s">
        <v>146</v>
      </c>
      <c r="D2073" s="1830" t="s">
        <v>456</v>
      </c>
      <c r="E2073" s="1812"/>
      <c r="F2073" s="169">
        <v>0</v>
      </c>
      <c r="H2073" s="1819" t="s">
        <v>455</v>
      </c>
      <c r="I2073" s="1811" t="s">
        <v>146</v>
      </c>
      <c r="J2073" s="1830" t="s">
        <v>456</v>
      </c>
      <c r="K2073" s="1812"/>
      <c r="L2073" s="169">
        <v>0</v>
      </c>
      <c r="N2073" s="169">
        <f t="shared" si="32"/>
        <v>0</v>
      </c>
    </row>
    <row r="2074" spans="2:14">
      <c r="B2074" s="1819"/>
      <c r="C2074" s="1811"/>
      <c r="D2074" s="1543">
        <v>2210200</v>
      </c>
      <c r="E2074" s="1808" t="s">
        <v>16</v>
      </c>
      <c r="F2074" s="1763">
        <v>60900</v>
      </c>
      <c r="H2074" s="1819"/>
      <c r="I2074" s="1811"/>
      <c r="J2074" s="1543">
        <v>2210200</v>
      </c>
      <c r="K2074" s="1808" t="s">
        <v>16</v>
      </c>
      <c r="L2074" s="1763">
        <v>60900</v>
      </c>
      <c r="N2074" s="1763">
        <f t="shared" si="32"/>
        <v>0</v>
      </c>
    </row>
    <row r="2075" spans="2:14">
      <c r="B2075" s="1819"/>
      <c r="C2075" s="1811"/>
      <c r="D2075" s="39">
        <v>2210201</v>
      </c>
      <c r="E2075" s="1810" t="s">
        <v>187</v>
      </c>
      <c r="F2075" s="153">
        <v>60900</v>
      </c>
      <c r="H2075" s="1819"/>
      <c r="I2075" s="1811"/>
      <c r="J2075" s="39">
        <v>2210201</v>
      </c>
      <c r="K2075" s="1810" t="s">
        <v>187</v>
      </c>
      <c r="L2075" s="153">
        <v>60900</v>
      </c>
      <c r="N2075" s="153">
        <f t="shared" si="32"/>
        <v>0</v>
      </c>
    </row>
    <row r="2076" spans="2:14">
      <c r="B2076" s="1819"/>
      <c r="C2076" s="1811"/>
      <c r="D2076" s="1543">
        <v>2210300</v>
      </c>
      <c r="E2076" s="1808" t="s">
        <v>454</v>
      </c>
      <c r="F2076" s="1763">
        <v>2073000</v>
      </c>
      <c r="H2076" s="1819"/>
      <c r="I2076" s="1811"/>
      <c r="J2076" s="1543">
        <v>2210300</v>
      </c>
      <c r="K2076" s="1808" t="s">
        <v>454</v>
      </c>
      <c r="L2076" s="1763">
        <v>2073000</v>
      </c>
      <c r="N2076" s="1763">
        <f t="shared" si="32"/>
        <v>0</v>
      </c>
    </row>
    <row r="2077" spans="2:14">
      <c r="B2077" s="1803"/>
      <c r="C2077" s="1803"/>
      <c r="D2077" s="39">
        <v>2210301</v>
      </c>
      <c r="E2077" s="1810" t="s">
        <v>25</v>
      </c>
      <c r="F2077" s="153">
        <v>835000</v>
      </c>
      <c r="H2077" s="1803"/>
      <c r="I2077" s="1803"/>
      <c r="J2077" s="39">
        <v>2210301</v>
      </c>
      <c r="K2077" s="1810" t="s">
        <v>25</v>
      </c>
      <c r="L2077" s="153">
        <v>835000</v>
      </c>
      <c r="N2077" s="153">
        <f t="shared" si="32"/>
        <v>0</v>
      </c>
    </row>
    <row r="2078" spans="2:14">
      <c r="B2078" s="1809"/>
      <c r="C2078" s="1809"/>
      <c r="D2078" s="39">
        <v>2210302</v>
      </c>
      <c r="E2078" s="1810" t="s">
        <v>26</v>
      </c>
      <c r="F2078" s="153">
        <v>490000</v>
      </c>
      <c r="H2078" s="1809"/>
      <c r="I2078" s="1809"/>
      <c r="J2078" s="39">
        <v>2210302</v>
      </c>
      <c r="K2078" s="1810" t="s">
        <v>26</v>
      </c>
      <c r="L2078" s="153">
        <v>490000</v>
      </c>
      <c r="N2078" s="153">
        <f t="shared" si="32"/>
        <v>0</v>
      </c>
    </row>
    <row r="2079" spans="2:14">
      <c r="B2079" s="1803"/>
      <c r="C2079" s="1803"/>
      <c r="D2079" s="39">
        <v>2210303</v>
      </c>
      <c r="E2079" s="1810" t="s">
        <v>27</v>
      </c>
      <c r="F2079" s="153">
        <v>748000</v>
      </c>
      <c r="H2079" s="1803"/>
      <c r="I2079" s="1803"/>
      <c r="J2079" s="39">
        <v>2210303</v>
      </c>
      <c r="K2079" s="1810" t="s">
        <v>27</v>
      </c>
      <c r="L2079" s="153">
        <v>748000</v>
      </c>
      <c r="N2079" s="153">
        <f t="shared" si="32"/>
        <v>0</v>
      </c>
    </row>
    <row r="2080" spans="2:14">
      <c r="B2080" s="1809"/>
      <c r="C2080" s="1809"/>
      <c r="D2080" s="1543">
        <v>2210800</v>
      </c>
      <c r="E2080" s="1808" t="s">
        <v>42</v>
      </c>
      <c r="F2080" s="1763">
        <v>525969</v>
      </c>
      <c r="H2080" s="1809"/>
      <c r="I2080" s="1809"/>
      <c r="J2080" s="1543">
        <v>2210800</v>
      </c>
      <c r="K2080" s="1808" t="s">
        <v>42</v>
      </c>
      <c r="L2080" s="1763">
        <v>525969</v>
      </c>
      <c r="N2080" s="1763">
        <f t="shared" si="32"/>
        <v>0</v>
      </c>
    </row>
    <row r="2081" spans="2:14">
      <c r="B2081" s="1809"/>
      <c r="C2081" s="1809"/>
      <c r="D2081" s="39">
        <v>2210803</v>
      </c>
      <c r="E2081" s="1810" t="s">
        <v>195</v>
      </c>
      <c r="F2081" s="153">
        <v>525969</v>
      </c>
      <c r="H2081" s="1809"/>
      <c r="I2081" s="1809"/>
      <c r="J2081" s="39">
        <v>2210803</v>
      </c>
      <c r="K2081" s="1810" t="s">
        <v>195</v>
      </c>
      <c r="L2081" s="153">
        <v>525969</v>
      </c>
      <c r="N2081" s="153">
        <f t="shared" si="32"/>
        <v>0</v>
      </c>
    </row>
    <row r="2082" spans="2:14">
      <c r="B2082" s="1811"/>
      <c r="C2082" s="1811"/>
      <c r="D2082" s="1800"/>
      <c r="E2082" s="1812" t="s">
        <v>99</v>
      </c>
      <c r="F2082" s="1710">
        <v>2659869</v>
      </c>
      <c r="H2082" s="1811"/>
      <c r="I2082" s="1811"/>
      <c r="J2082" s="1800"/>
      <c r="K2082" s="1812" t="s">
        <v>99</v>
      </c>
      <c r="L2082" s="1710">
        <v>2659869</v>
      </c>
      <c r="N2082" s="1710">
        <f t="shared" si="32"/>
        <v>0</v>
      </c>
    </row>
    <row r="2083" spans="2:14">
      <c r="B2083" s="1811"/>
      <c r="C2083" s="1811"/>
      <c r="D2083" s="1800"/>
      <c r="E2083" s="1812" t="s">
        <v>84</v>
      </c>
      <c r="F2083" s="1710">
        <v>2659869</v>
      </c>
      <c r="H2083" s="1811"/>
      <c r="I2083" s="1811"/>
      <c r="J2083" s="1800"/>
      <c r="K2083" s="1812" t="s">
        <v>84</v>
      </c>
      <c r="L2083" s="1710">
        <v>2659869</v>
      </c>
      <c r="N2083" s="1710">
        <f t="shared" si="32"/>
        <v>0</v>
      </c>
    </row>
    <row r="2084" spans="2:14">
      <c r="B2084" s="1809"/>
      <c r="C2084" s="1809"/>
      <c r="D2084" s="39"/>
      <c r="E2084" s="1810"/>
      <c r="F2084" s="169">
        <v>0</v>
      </c>
      <c r="H2084" s="1809"/>
      <c r="I2084" s="1809"/>
      <c r="J2084" s="39"/>
      <c r="K2084" s="1810"/>
      <c r="L2084" s="169">
        <v>0</v>
      </c>
      <c r="N2084" s="169">
        <f t="shared" si="32"/>
        <v>0</v>
      </c>
    </row>
    <row r="2085" spans="2:14">
      <c r="B2085" s="1819" t="s">
        <v>168</v>
      </c>
      <c r="C2085" s="1811" t="s">
        <v>146</v>
      </c>
      <c r="D2085" s="1830" t="s">
        <v>457</v>
      </c>
      <c r="E2085" s="1812"/>
      <c r="F2085" s="169">
        <v>0</v>
      </c>
      <c r="H2085" s="1819" t="s">
        <v>168</v>
      </c>
      <c r="I2085" s="1811" t="s">
        <v>146</v>
      </c>
      <c r="J2085" s="1830" t="s">
        <v>457</v>
      </c>
      <c r="K2085" s="1812"/>
      <c r="L2085" s="169">
        <v>0</v>
      </c>
      <c r="N2085" s="169">
        <f t="shared" si="32"/>
        <v>0</v>
      </c>
    </row>
    <row r="2086" spans="2:14">
      <c r="B2086" s="1803"/>
      <c r="C2086" s="1803"/>
      <c r="D2086" s="1543">
        <v>2210300</v>
      </c>
      <c r="E2086" s="1808" t="s">
        <v>24</v>
      </c>
      <c r="F2086" s="1763">
        <v>424194.02</v>
      </c>
      <c r="H2086" s="1803"/>
      <c r="I2086" s="1803"/>
      <c r="J2086" s="1543">
        <v>2210300</v>
      </c>
      <c r="K2086" s="1808" t="s">
        <v>24</v>
      </c>
      <c r="L2086" s="1763">
        <v>424194.02</v>
      </c>
      <c r="N2086" s="1763">
        <f t="shared" si="32"/>
        <v>0</v>
      </c>
    </row>
    <row r="2087" spans="2:14">
      <c r="B2087" s="1809"/>
      <c r="C2087" s="1809"/>
      <c r="D2087" s="39">
        <v>2210303</v>
      </c>
      <c r="E2087" s="1810" t="s">
        <v>27</v>
      </c>
      <c r="F2087" s="153">
        <v>424194.02</v>
      </c>
      <c r="H2087" s="1809"/>
      <c r="I2087" s="1809"/>
      <c r="J2087" s="39">
        <v>2210303</v>
      </c>
      <c r="K2087" s="1810" t="s">
        <v>27</v>
      </c>
      <c r="L2087" s="153">
        <v>424194.02</v>
      </c>
      <c r="N2087" s="153">
        <f t="shared" si="32"/>
        <v>0</v>
      </c>
    </row>
    <row r="2088" spans="2:14">
      <c r="B2088" s="1803"/>
      <c r="C2088" s="1803"/>
      <c r="D2088" s="1543">
        <v>2211100</v>
      </c>
      <c r="E2088" s="1808" t="s">
        <v>51</v>
      </c>
      <c r="F2088" s="1763">
        <v>109748.702</v>
      </c>
      <c r="H2088" s="1803"/>
      <c r="I2088" s="1803"/>
      <c r="J2088" s="1543">
        <v>2211100</v>
      </c>
      <c r="K2088" s="1808" t="s">
        <v>51</v>
      </c>
      <c r="L2088" s="1763">
        <v>109748.702</v>
      </c>
      <c r="N2088" s="1763">
        <f t="shared" si="32"/>
        <v>0</v>
      </c>
    </row>
    <row r="2089" spans="2:14">
      <c r="B2089" s="1809"/>
      <c r="C2089" s="1809"/>
      <c r="D2089" s="39">
        <v>2211101</v>
      </c>
      <c r="E2089" s="1810" t="s">
        <v>289</v>
      </c>
      <c r="F2089" s="153">
        <v>109748.702</v>
      </c>
      <c r="H2089" s="1809"/>
      <c r="I2089" s="1809"/>
      <c r="J2089" s="39">
        <v>2211101</v>
      </c>
      <c r="K2089" s="1810" t="s">
        <v>289</v>
      </c>
      <c r="L2089" s="153">
        <v>109748.702</v>
      </c>
      <c r="N2089" s="153">
        <f t="shared" si="32"/>
        <v>0</v>
      </c>
    </row>
    <row r="2090" spans="2:14">
      <c r="B2090" s="1803"/>
      <c r="C2090" s="1803"/>
      <c r="D2090" s="1543">
        <v>2211200</v>
      </c>
      <c r="E2090" s="1808" t="s">
        <v>55</v>
      </c>
      <c r="F2090" s="1763">
        <v>750000</v>
      </c>
      <c r="H2090" s="1803"/>
      <c r="I2090" s="1803"/>
      <c r="J2090" s="1543">
        <v>2211200</v>
      </c>
      <c r="K2090" s="1808" t="s">
        <v>55</v>
      </c>
      <c r="L2090" s="1763">
        <v>750000</v>
      </c>
      <c r="N2090" s="1763">
        <f t="shared" si="32"/>
        <v>0</v>
      </c>
    </row>
    <row r="2091" spans="2:14">
      <c r="B2091" s="1809"/>
      <c r="C2091" s="1809"/>
      <c r="D2091" s="39">
        <v>2211201</v>
      </c>
      <c r="E2091" s="1810" t="s">
        <v>56</v>
      </c>
      <c r="F2091" s="153">
        <v>750000</v>
      </c>
      <c r="H2091" s="1809"/>
      <c r="I2091" s="1809"/>
      <c r="J2091" s="39">
        <v>2211201</v>
      </c>
      <c r="K2091" s="1810" t="s">
        <v>56</v>
      </c>
      <c r="L2091" s="153">
        <v>750000</v>
      </c>
      <c r="N2091" s="153">
        <f t="shared" si="32"/>
        <v>0</v>
      </c>
    </row>
    <row r="2092" spans="2:14">
      <c r="B2092" s="1803"/>
      <c r="C2092" s="1803"/>
      <c r="D2092" s="1543">
        <v>2220100</v>
      </c>
      <c r="E2092" s="1808" t="s">
        <v>62</v>
      </c>
      <c r="F2092" s="1763">
        <v>2758500</v>
      </c>
      <c r="H2092" s="1803"/>
      <c r="I2092" s="1803"/>
      <c r="J2092" s="1543">
        <v>2220100</v>
      </c>
      <c r="K2092" s="1808" t="s">
        <v>62</v>
      </c>
      <c r="L2092" s="1763">
        <v>2758500</v>
      </c>
      <c r="N2092" s="1763">
        <f t="shared" si="32"/>
        <v>0</v>
      </c>
    </row>
    <row r="2093" spans="2:14">
      <c r="B2093" s="1809"/>
      <c r="C2093" s="1809"/>
      <c r="D2093" s="39">
        <v>2220101</v>
      </c>
      <c r="E2093" s="1810" t="s">
        <v>1635</v>
      </c>
      <c r="F2093" s="153">
        <v>2758500</v>
      </c>
      <c r="H2093" s="1809"/>
      <c r="I2093" s="1809"/>
      <c r="J2093" s="39">
        <v>2220101</v>
      </c>
      <c r="K2093" s="1810" t="s">
        <v>1635</v>
      </c>
      <c r="L2093" s="153">
        <v>2758500</v>
      </c>
      <c r="N2093" s="153">
        <f t="shared" si="32"/>
        <v>0</v>
      </c>
    </row>
    <row r="2094" spans="2:14">
      <c r="B2094" s="1811"/>
      <c r="C2094" s="1811"/>
      <c r="D2094" s="1800" t="s">
        <v>310</v>
      </c>
      <c r="E2094" s="1812"/>
      <c r="F2094" s="1710">
        <v>4042442.7220000001</v>
      </c>
      <c r="H2094" s="1811"/>
      <c r="I2094" s="1811"/>
      <c r="J2094" s="1800" t="s">
        <v>310</v>
      </c>
      <c r="K2094" s="1812"/>
      <c r="L2094" s="1710">
        <v>4042442.7220000001</v>
      </c>
      <c r="N2094" s="1710">
        <f t="shared" si="32"/>
        <v>0</v>
      </c>
    </row>
    <row r="2095" spans="2:14">
      <c r="B2095" s="1809"/>
      <c r="C2095" s="1809"/>
      <c r="D2095" s="39"/>
      <c r="E2095" s="1810"/>
      <c r="F2095" s="169">
        <v>0</v>
      </c>
      <c r="H2095" s="1809"/>
      <c r="I2095" s="1809"/>
      <c r="J2095" s="39"/>
      <c r="K2095" s="1810"/>
      <c r="L2095" s="169">
        <v>0</v>
      </c>
      <c r="N2095" s="169">
        <f t="shared" si="32"/>
        <v>0</v>
      </c>
    </row>
    <row r="2096" spans="2:14">
      <c r="B2096" s="1819" t="s">
        <v>168</v>
      </c>
      <c r="C2096" s="1811" t="s">
        <v>146</v>
      </c>
      <c r="D2096" s="1850" t="s">
        <v>458</v>
      </c>
      <c r="E2096" s="1851"/>
      <c r="F2096" s="169">
        <v>0</v>
      </c>
      <c r="H2096" s="1819" t="s">
        <v>168</v>
      </c>
      <c r="I2096" s="1811" t="s">
        <v>146</v>
      </c>
      <c r="J2096" s="1850" t="s">
        <v>458</v>
      </c>
      <c r="K2096" s="1851"/>
      <c r="L2096" s="169">
        <v>0</v>
      </c>
      <c r="N2096" s="169">
        <f t="shared" si="32"/>
        <v>0</v>
      </c>
    </row>
    <row r="2097" spans="2:14" ht="60">
      <c r="B2097" s="1803"/>
      <c r="C2097" s="1803"/>
      <c r="D2097" s="1543">
        <v>2210300</v>
      </c>
      <c r="E2097" s="1808" t="s">
        <v>1636</v>
      </c>
      <c r="F2097" s="1763">
        <v>1500000</v>
      </c>
      <c r="H2097" s="1803"/>
      <c r="I2097" s="1803"/>
      <c r="J2097" s="1543">
        <v>2210300</v>
      </c>
      <c r="K2097" s="1808" t="s">
        <v>1636</v>
      </c>
      <c r="L2097" s="1763">
        <v>1500000</v>
      </c>
      <c r="N2097" s="1763">
        <f t="shared" si="32"/>
        <v>0</v>
      </c>
    </row>
    <row r="2098" spans="2:14">
      <c r="B2098" s="1803"/>
      <c r="C2098" s="1803"/>
      <c r="D2098" s="39">
        <v>2210301</v>
      </c>
      <c r="E2098" s="1810" t="s">
        <v>25</v>
      </c>
      <c r="F2098" s="153">
        <v>550000</v>
      </c>
      <c r="H2098" s="1803"/>
      <c r="I2098" s="1803"/>
      <c r="J2098" s="39">
        <v>2210301</v>
      </c>
      <c r="K2098" s="1810" t="s">
        <v>25</v>
      </c>
      <c r="L2098" s="153">
        <v>550000</v>
      </c>
      <c r="N2098" s="153">
        <f t="shared" si="32"/>
        <v>0</v>
      </c>
    </row>
    <row r="2099" spans="2:14">
      <c r="B2099" s="1803"/>
      <c r="C2099" s="1803"/>
      <c r="D2099" s="39">
        <v>2210302</v>
      </c>
      <c r="E2099" s="1810" t="s">
        <v>26</v>
      </c>
      <c r="F2099" s="153">
        <v>345000</v>
      </c>
      <c r="H2099" s="1803"/>
      <c r="I2099" s="1803"/>
      <c r="J2099" s="39">
        <v>2210302</v>
      </c>
      <c r="K2099" s="1810" t="s">
        <v>26</v>
      </c>
      <c r="L2099" s="153">
        <v>345000</v>
      </c>
      <c r="N2099" s="153">
        <f t="shared" si="32"/>
        <v>0</v>
      </c>
    </row>
    <row r="2100" spans="2:14">
      <c r="B2100" s="1803"/>
      <c r="C2100" s="1803"/>
      <c r="D2100" s="39">
        <v>2210303</v>
      </c>
      <c r="E2100" s="1810" t="s">
        <v>27</v>
      </c>
      <c r="F2100" s="153">
        <v>605000</v>
      </c>
      <c r="H2100" s="1803"/>
      <c r="I2100" s="1803"/>
      <c r="J2100" s="39">
        <v>2210303</v>
      </c>
      <c r="K2100" s="1810" t="s">
        <v>27</v>
      </c>
      <c r="L2100" s="153">
        <v>605000</v>
      </c>
      <c r="N2100" s="153">
        <f t="shared" si="32"/>
        <v>0</v>
      </c>
    </row>
    <row r="2101" spans="2:14">
      <c r="B2101" s="1809"/>
      <c r="C2101" s="1809"/>
      <c r="D2101" s="1543">
        <v>2210800</v>
      </c>
      <c r="E2101" s="1808" t="s">
        <v>42</v>
      </c>
      <c r="F2101" s="1763">
        <v>181200</v>
      </c>
      <c r="H2101" s="1809"/>
      <c r="I2101" s="1809"/>
      <c r="J2101" s="1543">
        <v>2210800</v>
      </c>
      <c r="K2101" s="1808" t="s">
        <v>42</v>
      </c>
      <c r="L2101" s="1763">
        <v>181200</v>
      </c>
      <c r="N2101" s="1763">
        <f t="shared" si="32"/>
        <v>0</v>
      </c>
    </row>
    <row r="2102" spans="2:14">
      <c r="B2102" s="1803"/>
      <c r="C2102" s="1803"/>
      <c r="D2102" s="39">
        <v>2210801</v>
      </c>
      <c r="E2102" s="1810" t="s">
        <v>43</v>
      </c>
      <c r="F2102" s="153">
        <v>181200</v>
      </c>
      <c r="H2102" s="1803"/>
      <c r="I2102" s="1803"/>
      <c r="J2102" s="39">
        <v>2210801</v>
      </c>
      <c r="K2102" s="1810" t="s">
        <v>43</v>
      </c>
      <c r="L2102" s="153">
        <v>181200</v>
      </c>
      <c r="N2102" s="153">
        <f t="shared" si="32"/>
        <v>0</v>
      </c>
    </row>
    <row r="2103" spans="2:14">
      <c r="B2103" s="1811"/>
      <c r="C2103" s="1811"/>
      <c r="D2103" s="1800" t="s">
        <v>99</v>
      </c>
      <c r="E2103" s="1812"/>
      <c r="F2103" s="1660">
        <v>1681200</v>
      </c>
      <c r="H2103" s="1811"/>
      <c r="I2103" s="1811"/>
      <c r="J2103" s="1800" t="s">
        <v>99</v>
      </c>
      <c r="K2103" s="1812"/>
      <c r="L2103" s="1660">
        <v>1681200</v>
      </c>
      <c r="N2103" s="1660">
        <f t="shared" si="32"/>
        <v>0</v>
      </c>
    </row>
    <row r="2104" spans="2:14">
      <c r="B2104" s="1811"/>
      <c r="C2104" s="1811"/>
      <c r="D2104" s="1800" t="s">
        <v>459</v>
      </c>
      <c r="E2104" s="1812"/>
      <c r="F2104" s="1660">
        <v>1681200</v>
      </c>
      <c r="H2104" s="1811"/>
      <c r="I2104" s="1811"/>
      <c r="J2104" s="1800" t="s">
        <v>459</v>
      </c>
      <c r="K2104" s="1812"/>
      <c r="L2104" s="1660">
        <v>1681200</v>
      </c>
      <c r="N2104" s="1660">
        <f t="shared" si="32"/>
        <v>0</v>
      </c>
    </row>
    <row r="2105" spans="2:14">
      <c r="B2105" s="1803"/>
      <c r="C2105" s="1803"/>
      <c r="D2105" s="1543"/>
      <c r="E2105" s="1808"/>
      <c r="F2105" s="169">
        <v>0</v>
      </c>
      <c r="H2105" s="1803"/>
      <c r="I2105" s="1803"/>
      <c r="J2105" s="1543"/>
      <c r="K2105" s="1808"/>
      <c r="L2105" s="169">
        <v>0</v>
      </c>
      <c r="N2105" s="169">
        <f t="shared" si="32"/>
        <v>0</v>
      </c>
    </row>
    <row r="2106" spans="2:14">
      <c r="B2106" s="1819" t="s">
        <v>455</v>
      </c>
      <c r="C2106" s="1811" t="s">
        <v>146</v>
      </c>
      <c r="D2106" s="1830" t="s">
        <v>460</v>
      </c>
      <c r="E2106" s="1812"/>
      <c r="F2106" s="169">
        <v>0</v>
      </c>
      <c r="H2106" s="1819" t="s">
        <v>455</v>
      </c>
      <c r="I2106" s="1811" t="s">
        <v>146</v>
      </c>
      <c r="J2106" s="1830" t="s">
        <v>460</v>
      </c>
      <c r="K2106" s="1812"/>
      <c r="L2106" s="169">
        <v>0</v>
      </c>
      <c r="N2106" s="169">
        <f t="shared" si="32"/>
        <v>0</v>
      </c>
    </row>
    <row r="2107" spans="2:14">
      <c r="B2107" s="1803"/>
      <c r="C2107" s="1803"/>
      <c r="D2107" s="1543">
        <v>2210300</v>
      </c>
      <c r="E2107" s="1808" t="s">
        <v>24</v>
      </c>
      <c r="F2107" s="1763">
        <v>556784.005</v>
      </c>
      <c r="H2107" s="1803"/>
      <c r="I2107" s="1803"/>
      <c r="J2107" s="1543">
        <v>2210300</v>
      </c>
      <c r="K2107" s="1808" t="s">
        <v>24</v>
      </c>
      <c r="L2107" s="1763">
        <v>556784.005</v>
      </c>
      <c r="N2107" s="1763">
        <f t="shared" si="32"/>
        <v>0</v>
      </c>
    </row>
    <row r="2108" spans="2:14">
      <c r="B2108" s="1809"/>
      <c r="C2108" s="1809"/>
      <c r="D2108" s="39">
        <v>2210303</v>
      </c>
      <c r="E2108" s="1810" t="s">
        <v>223</v>
      </c>
      <c r="F2108" s="153">
        <v>556784.005</v>
      </c>
      <c r="H2108" s="1809"/>
      <c r="I2108" s="1809"/>
      <c r="J2108" s="39">
        <v>2210303</v>
      </c>
      <c r="K2108" s="1810" t="s">
        <v>223</v>
      </c>
      <c r="L2108" s="153">
        <v>556784.005</v>
      </c>
      <c r="N2108" s="153">
        <f t="shared" si="32"/>
        <v>0</v>
      </c>
    </row>
    <row r="2109" spans="2:14">
      <c r="B2109" s="1803"/>
      <c r="C2109" s="1803"/>
      <c r="D2109" s="1543">
        <v>2210500</v>
      </c>
      <c r="E2109" s="1808" t="s">
        <v>31</v>
      </c>
      <c r="F2109" s="1763">
        <v>1445790.4679999999</v>
      </c>
      <c r="H2109" s="1803"/>
      <c r="I2109" s="1803"/>
      <c r="J2109" s="1543">
        <v>2210500</v>
      </c>
      <c r="K2109" s="1808" t="s">
        <v>31</v>
      </c>
      <c r="L2109" s="1763">
        <v>1445790.4679999999</v>
      </c>
      <c r="N2109" s="1763">
        <f t="shared" si="32"/>
        <v>0</v>
      </c>
    </row>
    <row r="2110" spans="2:14">
      <c r="B2110" s="1809"/>
      <c r="C2110" s="1809"/>
      <c r="D2110" s="39">
        <v>2210502</v>
      </c>
      <c r="E2110" s="1810" t="s">
        <v>105</v>
      </c>
      <c r="F2110" s="153">
        <v>31212.468000000001</v>
      </c>
      <c r="H2110" s="1809"/>
      <c r="I2110" s="1809"/>
      <c r="J2110" s="39">
        <v>2210502</v>
      </c>
      <c r="K2110" s="1810" t="s">
        <v>105</v>
      </c>
      <c r="L2110" s="153">
        <v>31212.468000000001</v>
      </c>
      <c r="N2110" s="153">
        <f t="shared" si="32"/>
        <v>0</v>
      </c>
    </row>
    <row r="2111" spans="2:14">
      <c r="B2111" s="1809"/>
      <c r="C2111" s="1809"/>
      <c r="D2111" s="39">
        <v>2210504</v>
      </c>
      <c r="E2111" s="1810" t="s">
        <v>461</v>
      </c>
      <c r="F2111" s="153">
        <v>297440</v>
      </c>
      <c r="H2111" s="1809"/>
      <c r="I2111" s="1809"/>
      <c r="J2111" s="39">
        <v>2210504</v>
      </c>
      <c r="K2111" s="1810" t="s">
        <v>461</v>
      </c>
      <c r="L2111" s="153">
        <v>297440</v>
      </c>
      <c r="N2111" s="153">
        <f t="shared" si="32"/>
        <v>0</v>
      </c>
    </row>
    <row r="2112" spans="2:14" ht="30">
      <c r="B2112" s="1809"/>
      <c r="C2112" s="1809"/>
      <c r="D2112" s="39">
        <v>2210505</v>
      </c>
      <c r="E2112" s="1810" t="s">
        <v>1637</v>
      </c>
      <c r="F2112" s="153">
        <v>1117138</v>
      </c>
      <c r="H2112" s="1809"/>
      <c r="I2112" s="1809"/>
      <c r="J2112" s="39">
        <v>2210505</v>
      </c>
      <c r="K2112" s="1810" t="s">
        <v>1637</v>
      </c>
      <c r="L2112" s="153">
        <v>1117138</v>
      </c>
      <c r="N2112" s="153">
        <f t="shared" si="32"/>
        <v>0</v>
      </c>
    </row>
    <row r="2113" spans="2:14">
      <c r="B2113" s="1803"/>
      <c r="C2113" s="1803"/>
      <c r="D2113" s="1543">
        <v>2210800</v>
      </c>
      <c r="E2113" s="1808" t="s">
        <v>42</v>
      </c>
      <c r="F2113" s="1763">
        <v>300000</v>
      </c>
      <c r="H2113" s="1803"/>
      <c r="I2113" s="1803"/>
      <c r="J2113" s="1543">
        <v>2210800</v>
      </c>
      <c r="K2113" s="1808" t="s">
        <v>42</v>
      </c>
      <c r="L2113" s="1763">
        <v>300000</v>
      </c>
      <c r="N2113" s="1763">
        <f t="shared" si="32"/>
        <v>0</v>
      </c>
    </row>
    <row r="2114" spans="2:14">
      <c r="B2114" s="1809"/>
      <c r="C2114" s="1809"/>
      <c r="D2114" s="39">
        <v>2210801</v>
      </c>
      <c r="E2114" s="1810" t="s">
        <v>43</v>
      </c>
      <c r="F2114" s="153">
        <v>300000</v>
      </c>
      <c r="H2114" s="1809"/>
      <c r="I2114" s="1809"/>
      <c r="J2114" s="39">
        <v>2210801</v>
      </c>
      <c r="K2114" s="1810" t="s">
        <v>43</v>
      </c>
      <c r="L2114" s="153">
        <v>300000</v>
      </c>
      <c r="N2114" s="153">
        <f t="shared" si="32"/>
        <v>0</v>
      </c>
    </row>
    <row r="2115" spans="2:14">
      <c r="B2115" s="1811"/>
      <c r="C2115" s="1811"/>
      <c r="D2115" s="1800" t="s">
        <v>462</v>
      </c>
      <c r="E2115" s="1812"/>
      <c r="F2115" s="1710">
        <v>2302574.4729999998</v>
      </c>
      <c r="H2115" s="1811"/>
      <c r="I2115" s="1811"/>
      <c r="J2115" s="1800" t="s">
        <v>462</v>
      </c>
      <c r="K2115" s="1812"/>
      <c r="L2115" s="1710">
        <v>2302574.4729999998</v>
      </c>
      <c r="N2115" s="1710">
        <f t="shared" si="32"/>
        <v>0</v>
      </c>
    </row>
    <row r="2116" spans="2:14">
      <c r="B2116" s="1803"/>
      <c r="C2116" s="1803"/>
      <c r="D2116" s="1543"/>
      <c r="E2116" s="1808"/>
      <c r="F2116" s="169">
        <v>0</v>
      </c>
      <c r="H2116" s="1803"/>
      <c r="I2116" s="1803"/>
      <c r="J2116" s="1543"/>
      <c r="K2116" s="1808"/>
      <c r="L2116" s="169">
        <v>0</v>
      </c>
      <c r="N2116" s="169">
        <f t="shared" si="32"/>
        <v>0</v>
      </c>
    </row>
    <row r="2117" spans="2:14">
      <c r="B2117" s="1819" t="s">
        <v>447</v>
      </c>
      <c r="C2117" s="1811" t="s">
        <v>146</v>
      </c>
      <c r="D2117" s="1800" t="s">
        <v>463</v>
      </c>
      <c r="E2117" s="1812"/>
      <c r="F2117" s="169">
        <v>0</v>
      </c>
      <c r="H2117" s="1819" t="s">
        <v>447</v>
      </c>
      <c r="I2117" s="1811" t="s">
        <v>146</v>
      </c>
      <c r="J2117" s="1800" t="s">
        <v>463</v>
      </c>
      <c r="K2117" s="1812"/>
      <c r="L2117" s="169">
        <v>0</v>
      </c>
      <c r="N2117" s="169">
        <f t="shared" si="32"/>
        <v>0</v>
      </c>
    </row>
    <row r="2118" spans="2:14">
      <c r="B2118" s="1803"/>
      <c r="C2118" s="1803"/>
      <c r="D2118" s="1543">
        <v>2210300</v>
      </c>
      <c r="E2118" s="1808" t="s">
        <v>24</v>
      </c>
      <c r="F2118" s="1763">
        <v>2847337.4416</v>
      </c>
      <c r="H2118" s="1803"/>
      <c r="I2118" s="1803"/>
      <c r="J2118" s="1543">
        <v>2210300</v>
      </c>
      <c r="K2118" s="1808" t="s">
        <v>24</v>
      </c>
      <c r="L2118" s="1763">
        <v>2847337.4416</v>
      </c>
      <c r="N2118" s="1763">
        <f t="shared" si="32"/>
        <v>0</v>
      </c>
    </row>
    <row r="2119" spans="2:14">
      <c r="B2119" s="1809"/>
      <c r="C2119" s="1809"/>
      <c r="D2119" s="39">
        <v>2210301</v>
      </c>
      <c r="E2119" s="1810" t="s">
        <v>25</v>
      </c>
      <c r="F2119" s="153">
        <v>896000</v>
      </c>
      <c r="H2119" s="1809"/>
      <c r="I2119" s="1809"/>
      <c r="J2119" s="39">
        <v>2210301</v>
      </c>
      <c r="K2119" s="1810" t="s">
        <v>25</v>
      </c>
      <c r="L2119" s="153">
        <v>896000</v>
      </c>
      <c r="N2119" s="153">
        <f t="shared" si="32"/>
        <v>0</v>
      </c>
    </row>
    <row r="2120" spans="2:14">
      <c r="B2120" s="1809"/>
      <c r="C2120" s="1809"/>
      <c r="D2120" s="39">
        <v>2210302</v>
      </c>
      <c r="E2120" s="1810" t="s">
        <v>411</v>
      </c>
      <c r="F2120" s="153">
        <v>970000</v>
      </c>
      <c r="H2120" s="1809"/>
      <c r="I2120" s="1809"/>
      <c r="J2120" s="39">
        <v>2210302</v>
      </c>
      <c r="K2120" s="1810" t="s">
        <v>411</v>
      </c>
      <c r="L2120" s="153">
        <v>970000</v>
      </c>
      <c r="N2120" s="153">
        <f t="shared" ref="N2120:N2183" si="33">F2120-L2120</f>
        <v>0</v>
      </c>
    </row>
    <row r="2121" spans="2:14">
      <c r="B2121" s="1809"/>
      <c r="C2121" s="1809"/>
      <c r="D2121" s="39">
        <v>2210303</v>
      </c>
      <c r="E2121" s="1810" t="s">
        <v>27</v>
      </c>
      <c r="F2121" s="153">
        <v>981337.44160000002</v>
      </c>
      <c r="H2121" s="1809"/>
      <c r="I2121" s="1809"/>
      <c r="J2121" s="39">
        <v>2210303</v>
      </c>
      <c r="K2121" s="1810" t="s">
        <v>27</v>
      </c>
      <c r="L2121" s="153">
        <v>981337.44160000002</v>
      </c>
      <c r="N2121" s="153">
        <f t="shared" si="33"/>
        <v>0</v>
      </c>
    </row>
    <row r="2122" spans="2:14">
      <c r="B2122" s="1803"/>
      <c r="C2122" s="1803"/>
      <c r="D2122" s="1543">
        <v>2211200</v>
      </c>
      <c r="E2122" s="1808" t="s">
        <v>55</v>
      </c>
      <c r="F2122" s="1763">
        <v>780000</v>
      </c>
      <c r="H2122" s="1803"/>
      <c r="I2122" s="1803"/>
      <c r="J2122" s="1543">
        <v>2211200</v>
      </c>
      <c r="K2122" s="1808" t="s">
        <v>55</v>
      </c>
      <c r="L2122" s="1763">
        <v>780000</v>
      </c>
      <c r="N2122" s="1763">
        <f t="shared" si="33"/>
        <v>0</v>
      </c>
    </row>
    <row r="2123" spans="2:14">
      <c r="B2123" s="1809"/>
      <c r="C2123" s="1809"/>
      <c r="D2123" s="39">
        <v>2211201</v>
      </c>
      <c r="E2123" s="1810" t="s">
        <v>56</v>
      </c>
      <c r="F2123" s="153">
        <v>780000</v>
      </c>
      <c r="H2123" s="1809"/>
      <c r="I2123" s="1809"/>
      <c r="J2123" s="39">
        <v>2211201</v>
      </c>
      <c r="K2123" s="1810" t="s">
        <v>56</v>
      </c>
      <c r="L2123" s="153">
        <v>780000</v>
      </c>
      <c r="N2123" s="153">
        <f t="shared" si="33"/>
        <v>0</v>
      </c>
    </row>
    <row r="2124" spans="2:14">
      <c r="B2124" s="1811"/>
      <c r="C2124" s="1811"/>
      <c r="D2124" s="1800" t="s">
        <v>99</v>
      </c>
      <c r="E2124" s="1812"/>
      <c r="F2124" s="1710">
        <v>3627337.4416</v>
      </c>
      <c r="H2124" s="1811"/>
      <c r="I2124" s="1811"/>
      <c r="J2124" s="1800" t="s">
        <v>99</v>
      </c>
      <c r="K2124" s="1812"/>
      <c r="L2124" s="1710">
        <v>3627337.4416</v>
      </c>
      <c r="N2124" s="1710">
        <f t="shared" si="33"/>
        <v>0</v>
      </c>
    </row>
    <row r="2125" spans="2:14">
      <c r="B2125" s="1811"/>
      <c r="C2125" s="1811"/>
      <c r="D2125" s="1800" t="s">
        <v>464</v>
      </c>
      <c r="E2125" s="1812"/>
      <c r="F2125" s="1710">
        <v>3627337.4416</v>
      </c>
      <c r="H2125" s="1811"/>
      <c r="I2125" s="1811"/>
      <c r="J2125" s="1800" t="s">
        <v>464</v>
      </c>
      <c r="K2125" s="1812"/>
      <c r="L2125" s="1710">
        <v>3627337.4416</v>
      </c>
      <c r="N2125" s="1710">
        <f t="shared" si="33"/>
        <v>0</v>
      </c>
    </row>
    <row r="2126" spans="2:14">
      <c r="B2126" s="1799"/>
      <c r="C2126" s="1799"/>
      <c r="D2126" s="1852"/>
      <c r="E2126" s="1801"/>
      <c r="F2126" s="169">
        <v>0</v>
      </c>
      <c r="H2126" s="1799"/>
      <c r="I2126" s="1799"/>
      <c r="J2126" s="1852"/>
      <c r="K2126" s="1801"/>
      <c r="L2126" s="169">
        <v>0</v>
      </c>
      <c r="N2126" s="169">
        <f t="shared" si="33"/>
        <v>0</v>
      </c>
    </row>
    <row r="2127" spans="2:14">
      <c r="B2127" s="1811"/>
      <c r="C2127" s="1811"/>
      <c r="D2127" s="1800" t="s">
        <v>465</v>
      </c>
      <c r="E2127" s="1812"/>
      <c r="F2127" s="1710">
        <v>1084659447.9405999</v>
      </c>
      <c r="H2127" s="1811"/>
      <c r="I2127" s="1811"/>
      <c r="J2127" s="1800" t="s">
        <v>465</v>
      </c>
      <c r="K2127" s="1812"/>
      <c r="L2127" s="1710">
        <v>1084659447.9405999</v>
      </c>
      <c r="N2127" s="1710">
        <f t="shared" si="33"/>
        <v>0</v>
      </c>
    </row>
    <row r="2128" spans="2:14">
      <c r="B2128" s="1809"/>
      <c r="C2128" s="1809"/>
      <c r="D2128" s="39"/>
      <c r="E2128" s="1810"/>
      <c r="F2128" s="169">
        <v>0</v>
      </c>
      <c r="H2128" s="1809"/>
      <c r="I2128" s="1809"/>
      <c r="J2128" s="39"/>
      <c r="K2128" s="1810"/>
      <c r="L2128" s="169">
        <v>0</v>
      </c>
      <c r="N2128" s="169">
        <f t="shared" si="33"/>
        <v>0</v>
      </c>
    </row>
    <row r="2129" spans="2:14">
      <c r="B2129" s="1809"/>
      <c r="C2129" s="1809"/>
      <c r="D2129" s="1800" t="s">
        <v>466</v>
      </c>
      <c r="E2129" s="1802"/>
      <c r="F2129" s="169">
        <v>0</v>
      </c>
      <c r="H2129" s="1809"/>
      <c r="I2129" s="1809"/>
      <c r="J2129" s="1800" t="s">
        <v>466</v>
      </c>
      <c r="K2129" s="1802"/>
      <c r="L2129" s="169">
        <v>0</v>
      </c>
      <c r="N2129" s="169">
        <f t="shared" si="33"/>
        <v>0</v>
      </c>
    </row>
    <row r="2130" spans="2:14">
      <c r="B2130" s="1811"/>
      <c r="C2130" s="1811"/>
      <c r="D2130" s="1830" t="s">
        <v>467</v>
      </c>
      <c r="E2130" s="1812"/>
      <c r="F2130" s="169">
        <v>0</v>
      </c>
      <c r="H2130" s="1811"/>
      <c r="I2130" s="1811"/>
      <c r="J2130" s="1830" t="s">
        <v>467</v>
      </c>
      <c r="K2130" s="1812"/>
      <c r="L2130" s="169">
        <v>0</v>
      </c>
      <c r="N2130" s="169">
        <f t="shared" si="33"/>
        <v>0</v>
      </c>
    </row>
    <row r="2131" spans="2:14">
      <c r="B2131" s="1811"/>
      <c r="C2131" s="1809"/>
      <c r="D2131" s="39"/>
      <c r="E2131" s="1810"/>
      <c r="F2131" s="169">
        <v>0</v>
      </c>
      <c r="H2131" s="1811"/>
      <c r="I2131" s="1809"/>
      <c r="J2131" s="39"/>
      <c r="K2131" s="1810"/>
      <c r="L2131" s="169">
        <v>0</v>
      </c>
      <c r="N2131" s="169">
        <f t="shared" si="33"/>
        <v>0</v>
      </c>
    </row>
    <row r="2132" spans="2:14">
      <c r="B2132" s="1819" t="s">
        <v>468</v>
      </c>
      <c r="C2132" s="1803" t="s">
        <v>146</v>
      </c>
      <c r="D2132" s="1804" t="s">
        <v>469</v>
      </c>
      <c r="E2132" s="1805"/>
      <c r="F2132" s="169">
        <v>0</v>
      </c>
      <c r="H2132" s="1819" t="s">
        <v>468</v>
      </c>
      <c r="I2132" s="1803" t="s">
        <v>146</v>
      </c>
      <c r="J2132" s="1804" t="s">
        <v>469</v>
      </c>
      <c r="K2132" s="1805"/>
      <c r="L2132" s="169">
        <v>0</v>
      </c>
      <c r="N2132" s="169">
        <f t="shared" si="33"/>
        <v>0</v>
      </c>
    </row>
    <row r="2133" spans="2:14">
      <c r="B2133" s="1803"/>
      <c r="C2133" s="1803"/>
      <c r="D2133" s="1543">
        <v>2110100</v>
      </c>
      <c r="E2133" s="1808" t="s">
        <v>13</v>
      </c>
      <c r="F2133" s="1763">
        <v>772253076</v>
      </c>
      <c r="H2133" s="1803"/>
      <c r="I2133" s="1803"/>
      <c r="J2133" s="1543">
        <v>2110100</v>
      </c>
      <c r="K2133" s="1808" t="s">
        <v>13</v>
      </c>
      <c r="L2133" s="1763">
        <v>772253076</v>
      </c>
      <c r="N2133" s="1763">
        <f t="shared" si="33"/>
        <v>0</v>
      </c>
    </row>
    <row r="2134" spans="2:14">
      <c r="B2134" s="1809"/>
      <c r="C2134" s="1809"/>
      <c r="D2134" s="39">
        <v>2110101</v>
      </c>
      <c r="E2134" s="1810" t="s">
        <v>14</v>
      </c>
      <c r="F2134" s="153">
        <v>772253076</v>
      </c>
      <c r="H2134" s="1809"/>
      <c r="I2134" s="1809"/>
      <c r="J2134" s="39">
        <v>2110101</v>
      </c>
      <c r="K2134" s="1810" t="s">
        <v>14</v>
      </c>
      <c r="L2134" s="153">
        <v>772253076</v>
      </c>
      <c r="N2134" s="153">
        <f t="shared" si="33"/>
        <v>0</v>
      </c>
    </row>
    <row r="2135" spans="2:14">
      <c r="B2135" s="1803"/>
      <c r="C2135" s="1803"/>
      <c r="D2135" s="1543">
        <v>2110200</v>
      </c>
      <c r="E2135" s="1808" t="s">
        <v>148</v>
      </c>
      <c r="F2135" s="1763">
        <v>1200000</v>
      </c>
      <c r="H2135" s="1803"/>
      <c r="I2135" s="1803"/>
      <c r="J2135" s="1543">
        <v>2110200</v>
      </c>
      <c r="K2135" s="1808" t="s">
        <v>148</v>
      </c>
      <c r="L2135" s="1763">
        <v>1200000</v>
      </c>
      <c r="N2135" s="1763">
        <f t="shared" si="33"/>
        <v>0</v>
      </c>
    </row>
    <row r="2136" spans="2:14">
      <c r="B2136" s="1803"/>
      <c r="C2136" s="1803"/>
      <c r="D2136" s="39">
        <v>2110202</v>
      </c>
      <c r="E2136" s="1810" t="s">
        <v>150</v>
      </c>
      <c r="F2136" s="153">
        <v>1200000</v>
      </c>
      <c r="H2136" s="1803"/>
      <c r="I2136" s="1803"/>
      <c r="J2136" s="39">
        <v>2110202</v>
      </c>
      <c r="K2136" s="1810" t="s">
        <v>150</v>
      </c>
      <c r="L2136" s="153">
        <v>1200000</v>
      </c>
      <c r="N2136" s="153">
        <f t="shared" si="33"/>
        <v>0</v>
      </c>
    </row>
    <row r="2137" spans="2:14">
      <c r="B2137" s="1803"/>
      <c r="C2137" s="1803"/>
      <c r="D2137" s="1543">
        <v>2210200</v>
      </c>
      <c r="E2137" s="1808" t="s">
        <v>20</v>
      </c>
      <c r="F2137" s="1763">
        <v>129197.842</v>
      </c>
      <c r="H2137" s="1803"/>
      <c r="I2137" s="1803"/>
      <c r="J2137" s="1543">
        <v>2210200</v>
      </c>
      <c r="K2137" s="1808" t="s">
        <v>20</v>
      </c>
      <c r="L2137" s="1763">
        <v>129197.842</v>
      </c>
      <c r="N2137" s="1763">
        <f t="shared" si="33"/>
        <v>0</v>
      </c>
    </row>
    <row r="2138" spans="2:14">
      <c r="B2138" s="1809"/>
      <c r="C2138" s="1809"/>
      <c r="D2138" s="39">
        <v>2210201</v>
      </c>
      <c r="E2138" s="1810" t="s">
        <v>187</v>
      </c>
      <c r="F2138" s="153">
        <v>116000</v>
      </c>
      <c r="H2138" s="1809"/>
      <c r="I2138" s="1809"/>
      <c r="J2138" s="39">
        <v>2210201</v>
      </c>
      <c r="K2138" s="1810" t="s">
        <v>187</v>
      </c>
      <c r="L2138" s="153">
        <v>116000</v>
      </c>
      <c r="N2138" s="153">
        <f t="shared" si="33"/>
        <v>0</v>
      </c>
    </row>
    <row r="2139" spans="2:14">
      <c r="B2139" s="1803"/>
      <c r="C2139" s="1803"/>
      <c r="D2139" s="39">
        <v>2210202</v>
      </c>
      <c r="E2139" s="1810" t="s">
        <v>22</v>
      </c>
      <c r="F2139" s="153">
        <v>13197.842000000001</v>
      </c>
      <c r="H2139" s="1803"/>
      <c r="I2139" s="1803"/>
      <c r="J2139" s="39">
        <v>2210202</v>
      </c>
      <c r="K2139" s="1810" t="s">
        <v>22</v>
      </c>
      <c r="L2139" s="153">
        <v>13197.842000000001</v>
      </c>
      <c r="N2139" s="153">
        <f t="shared" si="33"/>
        <v>0</v>
      </c>
    </row>
    <row r="2140" spans="2:14">
      <c r="B2140" s="1809"/>
      <c r="C2140" s="1809"/>
      <c r="D2140" s="1543">
        <v>2210300</v>
      </c>
      <c r="E2140" s="1808" t="s">
        <v>24</v>
      </c>
      <c r="F2140" s="1763">
        <v>4578234</v>
      </c>
      <c r="H2140" s="1809"/>
      <c r="I2140" s="1809"/>
      <c r="J2140" s="1543">
        <v>2210300</v>
      </c>
      <c r="K2140" s="1808" t="s">
        <v>24</v>
      </c>
      <c r="L2140" s="1763">
        <v>4578234</v>
      </c>
      <c r="N2140" s="1763">
        <f t="shared" si="33"/>
        <v>0</v>
      </c>
    </row>
    <row r="2141" spans="2:14">
      <c r="B2141" s="1803"/>
      <c r="C2141" s="1803"/>
      <c r="D2141" s="39">
        <v>2210301</v>
      </c>
      <c r="E2141" s="1810" t="s">
        <v>470</v>
      </c>
      <c r="F2141" s="153">
        <v>1900000</v>
      </c>
      <c r="H2141" s="1803"/>
      <c r="I2141" s="1803"/>
      <c r="J2141" s="39">
        <v>2210301</v>
      </c>
      <c r="K2141" s="1810" t="s">
        <v>470</v>
      </c>
      <c r="L2141" s="153">
        <v>1900000</v>
      </c>
      <c r="N2141" s="153">
        <f t="shared" si="33"/>
        <v>0</v>
      </c>
    </row>
    <row r="2142" spans="2:14">
      <c r="B2142" s="1803"/>
      <c r="C2142" s="1803"/>
      <c r="D2142" s="39">
        <v>2210302</v>
      </c>
      <c r="E2142" s="1810" t="s">
        <v>1595</v>
      </c>
      <c r="F2142" s="153">
        <v>1000000</v>
      </c>
      <c r="H2142" s="1803"/>
      <c r="I2142" s="1803"/>
      <c r="J2142" s="39">
        <v>2210302</v>
      </c>
      <c r="K2142" s="1810" t="s">
        <v>1595</v>
      </c>
      <c r="L2142" s="153">
        <v>1000000</v>
      </c>
      <c r="N2142" s="153">
        <f t="shared" si="33"/>
        <v>0</v>
      </c>
    </row>
    <row r="2143" spans="2:14">
      <c r="B2143" s="1809"/>
      <c r="C2143" s="1809"/>
      <c r="D2143" s="39">
        <v>2210303</v>
      </c>
      <c r="E2143" s="1810" t="s">
        <v>1638</v>
      </c>
      <c r="F2143" s="153">
        <v>1678234</v>
      </c>
      <c r="H2143" s="1809"/>
      <c r="I2143" s="1809"/>
      <c r="J2143" s="39">
        <v>2210303</v>
      </c>
      <c r="K2143" s="1810" t="s">
        <v>1638</v>
      </c>
      <c r="L2143" s="153">
        <v>1678234</v>
      </c>
      <c r="N2143" s="153">
        <f t="shared" si="33"/>
        <v>0</v>
      </c>
    </row>
    <row r="2144" spans="2:14">
      <c r="B2144" s="1809"/>
      <c r="C2144" s="1809"/>
      <c r="D2144" s="1543">
        <v>2210400</v>
      </c>
      <c r="E2144" s="1808" t="s">
        <v>189</v>
      </c>
      <c r="F2144" s="1763">
        <v>439999.73</v>
      </c>
      <c r="H2144" s="1809"/>
      <c r="I2144" s="1809"/>
      <c r="J2144" s="1543">
        <v>2210400</v>
      </c>
      <c r="K2144" s="1808" t="s">
        <v>189</v>
      </c>
      <c r="L2144" s="1763">
        <v>439999.73</v>
      </c>
      <c r="N2144" s="1763">
        <f t="shared" si="33"/>
        <v>0</v>
      </c>
    </row>
    <row r="2145" spans="2:14">
      <c r="B2145" s="1809"/>
      <c r="C2145" s="1809"/>
      <c r="D2145" s="39">
        <v>2210403</v>
      </c>
      <c r="E2145" s="1810" t="s">
        <v>1638</v>
      </c>
      <c r="F2145" s="153">
        <v>311766</v>
      </c>
      <c r="H2145" s="1809"/>
      <c r="I2145" s="1809"/>
      <c r="J2145" s="39">
        <v>2210403</v>
      </c>
      <c r="K2145" s="1810" t="s">
        <v>1638</v>
      </c>
      <c r="L2145" s="153">
        <v>311766</v>
      </c>
      <c r="N2145" s="153">
        <f t="shared" si="33"/>
        <v>0</v>
      </c>
    </row>
    <row r="2146" spans="2:14">
      <c r="B2146" s="1809"/>
      <c r="C2146" s="1809"/>
      <c r="D2146" s="39">
        <v>2210404</v>
      </c>
      <c r="E2146" s="1810" t="s">
        <v>28</v>
      </c>
      <c r="F2146" s="153">
        <v>128233.73</v>
      </c>
      <c r="H2146" s="1809"/>
      <c r="I2146" s="1809"/>
      <c r="J2146" s="39">
        <v>2210404</v>
      </c>
      <c r="K2146" s="1810" t="s">
        <v>28</v>
      </c>
      <c r="L2146" s="153">
        <v>128233.73</v>
      </c>
      <c r="N2146" s="153">
        <f t="shared" si="33"/>
        <v>0</v>
      </c>
    </row>
    <row r="2147" spans="2:14">
      <c r="B2147" s="1803"/>
      <c r="C2147" s="1803"/>
      <c r="D2147" s="1543">
        <v>2210500</v>
      </c>
      <c r="E2147" s="1808" t="s">
        <v>31</v>
      </c>
      <c r="F2147" s="1763">
        <v>1116000</v>
      </c>
      <c r="H2147" s="1803"/>
      <c r="I2147" s="1803"/>
      <c r="J2147" s="1543">
        <v>2210500</v>
      </c>
      <c r="K2147" s="1808" t="s">
        <v>31</v>
      </c>
      <c r="L2147" s="1763">
        <v>1116000</v>
      </c>
      <c r="N2147" s="1763">
        <f t="shared" si="33"/>
        <v>0</v>
      </c>
    </row>
    <row r="2148" spans="2:14">
      <c r="B2148" s="1803"/>
      <c r="C2148" s="1803"/>
      <c r="D2148" s="39">
        <v>2210502</v>
      </c>
      <c r="E2148" s="1810" t="s">
        <v>397</v>
      </c>
      <c r="F2148" s="153">
        <v>616000</v>
      </c>
      <c r="H2148" s="1803"/>
      <c r="I2148" s="1803"/>
      <c r="J2148" s="39">
        <v>2210502</v>
      </c>
      <c r="K2148" s="1810" t="s">
        <v>397</v>
      </c>
      <c r="L2148" s="153">
        <v>616000</v>
      </c>
      <c r="N2148" s="153">
        <f t="shared" si="33"/>
        <v>0</v>
      </c>
    </row>
    <row r="2149" spans="2:14" ht="30">
      <c r="B2149" s="1803"/>
      <c r="C2149" s="1803"/>
      <c r="D2149" s="39">
        <v>2210504</v>
      </c>
      <c r="E2149" s="1810" t="s">
        <v>1639</v>
      </c>
      <c r="F2149" s="153">
        <v>500000</v>
      </c>
      <c r="H2149" s="1803"/>
      <c r="I2149" s="1803"/>
      <c r="J2149" s="39">
        <v>2210504</v>
      </c>
      <c r="K2149" s="1810" t="s">
        <v>1639</v>
      </c>
      <c r="L2149" s="153">
        <v>500000</v>
      </c>
      <c r="N2149" s="153">
        <f t="shared" si="33"/>
        <v>0</v>
      </c>
    </row>
    <row r="2150" spans="2:14">
      <c r="B2150" s="1803"/>
      <c r="C2150" s="1803"/>
      <c r="D2150" s="1543">
        <v>2210700</v>
      </c>
      <c r="E2150" s="1808" t="s">
        <v>35</v>
      </c>
      <c r="F2150" s="1763">
        <v>1500000</v>
      </c>
      <c r="H2150" s="1803"/>
      <c r="I2150" s="1803"/>
      <c r="J2150" s="1543">
        <v>2210700</v>
      </c>
      <c r="K2150" s="1808" t="s">
        <v>35</v>
      </c>
      <c r="L2150" s="1763">
        <v>1500000</v>
      </c>
      <c r="N2150" s="1763">
        <f t="shared" si="33"/>
        <v>0</v>
      </c>
    </row>
    <row r="2151" spans="2:14">
      <c r="B2151" s="1803"/>
      <c r="C2151" s="1803"/>
      <c r="D2151" s="39">
        <v>2210710</v>
      </c>
      <c r="E2151" s="1810" t="s">
        <v>39</v>
      </c>
      <c r="F2151" s="153">
        <v>163000</v>
      </c>
      <c r="H2151" s="1803"/>
      <c r="I2151" s="1803"/>
      <c r="J2151" s="39">
        <v>2210710</v>
      </c>
      <c r="K2151" s="1810" t="s">
        <v>39</v>
      </c>
      <c r="L2151" s="153">
        <v>163000</v>
      </c>
      <c r="N2151" s="153">
        <f t="shared" si="33"/>
        <v>0</v>
      </c>
    </row>
    <row r="2152" spans="2:14">
      <c r="B2152" s="1803"/>
      <c r="C2152" s="1803"/>
      <c r="D2152" s="39">
        <v>2210711</v>
      </c>
      <c r="E2152" s="1810" t="s">
        <v>399</v>
      </c>
      <c r="F2152" s="153">
        <v>290000</v>
      </c>
      <c r="H2152" s="1803"/>
      <c r="I2152" s="1803"/>
      <c r="J2152" s="39">
        <v>2210711</v>
      </c>
      <c r="K2152" s="1810" t="s">
        <v>399</v>
      </c>
      <c r="L2152" s="153">
        <v>290000</v>
      </c>
      <c r="N2152" s="153">
        <f t="shared" si="33"/>
        <v>0</v>
      </c>
    </row>
    <row r="2153" spans="2:14">
      <c r="B2153" s="1803"/>
      <c r="C2153" s="1803"/>
      <c r="D2153" s="39">
        <v>2210712</v>
      </c>
      <c r="E2153" s="1810" t="s">
        <v>339</v>
      </c>
      <c r="F2153" s="153">
        <v>145000</v>
      </c>
      <c r="H2153" s="1803"/>
      <c r="I2153" s="1803"/>
      <c r="J2153" s="39">
        <v>2210712</v>
      </c>
      <c r="K2153" s="1810" t="s">
        <v>339</v>
      </c>
      <c r="L2153" s="153">
        <v>145000</v>
      </c>
      <c r="N2153" s="153">
        <f t="shared" si="33"/>
        <v>0</v>
      </c>
    </row>
    <row r="2154" spans="2:14">
      <c r="B2154" s="1803"/>
      <c r="C2154" s="1803"/>
      <c r="D2154" s="39">
        <v>2210715</v>
      </c>
      <c r="E2154" s="1810" t="s">
        <v>40</v>
      </c>
      <c r="F2154" s="153">
        <v>804000</v>
      </c>
      <c r="H2154" s="1803"/>
      <c r="I2154" s="1803"/>
      <c r="J2154" s="39">
        <v>2210715</v>
      </c>
      <c r="K2154" s="1810" t="s">
        <v>40</v>
      </c>
      <c r="L2154" s="153">
        <v>804000</v>
      </c>
      <c r="N2154" s="153">
        <f t="shared" si="33"/>
        <v>0</v>
      </c>
    </row>
    <row r="2155" spans="2:14">
      <c r="B2155" s="1803"/>
      <c r="C2155" s="1803"/>
      <c r="D2155" s="39">
        <v>2210799</v>
      </c>
      <c r="E2155" s="1810" t="s">
        <v>400</v>
      </c>
      <c r="F2155" s="153">
        <v>98000</v>
      </c>
      <c r="H2155" s="1803"/>
      <c r="I2155" s="1803"/>
      <c r="J2155" s="39">
        <v>2210799</v>
      </c>
      <c r="K2155" s="1810" t="s">
        <v>400</v>
      </c>
      <c r="L2155" s="153">
        <v>98000</v>
      </c>
      <c r="N2155" s="153">
        <f t="shared" si="33"/>
        <v>0</v>
      </c>
    </row>
    <row r="2156" spans="2:14">
      <c r="B2156" s="1803"/>
      <c r="C2156" s="1803"/>
      <c r="D2156" s="1543">
        <v>2210800</v>
      </c>
      <c r="E2156" s="1808" t="s">
        <v>42</v>
      </c>
      <c r="F2156" s="1768">
        <v>1900000</v>
      </c>
      <c r="H2156" s="1803"/>
      <c r="I2156" s="1803"/>
      <c r="J2156" s="1543">
        <v>2210800</v>
      </c>
      <c r="K2156" s="1808" t="s">
        <v>42</v>
      </c>
      <c r="L2156" s="1768">
        <v>1900000</v>
      </c>
      <c r="N2156" s="1768">
        <f t="shared" si="33"/>
        <v>0</v>
      </c>
    </row>
    <row r="2157" spans="2:14">
      <c r="B2157" s="1803"/>
      <c r="C2157" s="1803"/>
      <c r="D2157" s="39">
        <v>2210802</v>
      </c>
      <c r="E2157" s="1810" t="s">
        <v>97</v>
      </c>
      <c r="F2157" s="153">
        <v>500000</v>
      </c>
      <c r="H2157" s="1803"/>
      <c r="I2157" s="1803"/>
      <c r="J2157" s="39">
        <v>2210802</v>
      </c>
      <c r="K2157" s="1810" t="s">
        <v>97</v>
      </c>
      <c r="L2157" s="153">
        <v>500000</v>
      </c>
      <c r="N2157" s="153">
        <f t="shared" si="33"/>
        <v>0</v>
      </c>
    </row>
    <row r="2158" spans="2:14">
      <c r="B2158" s="1803"/>
      <c r="C2158" s="1803"/>
      <c r="D2158" s="39">
        <v>2210803</v>
      </c>
      <c r="E2158" s="1810" t="s">
        <v>43</v>
      </c>
      <c r="F2158" s="153">
        <v>600000</v>
      </c>
      <c r="H2158" s="1803"/>
      <c r="I2158" s="1803"/>
      <c r="J2158" s="39">
        <v>2210803</v>
      </c>
      <c r="K2158" s="1810" t="s">
        <v>43</v>
      </c>
      <c r="L2158" s="153">
        <v>600000</v>
      </c>
      <c r="N2158" s="153">
        <f t="shared" si="33"/>
        <v>0</v>
      </c>
    </row>
    <row r="2159" spans="2:14">
      <c r="B2159" s="1803"/>
      <c r="C2159" s="1803"/>
      <c r="D2159" s="39">
        <v>2210803</v>
      </c>
      <c r="E2159" s="1810" t="s">
        <v>1640</v>
      </c>
      <c r="F2159" s="153">
        <v>800000</v>
      </c>
      <c r="H2159" s="1803"/>
      <c r="I2159" s="1803"/>
      <c r="J2159" s="39">
        <v>2210803</v>
      </c>
      <c r="K2159" s="1810" t="s">
        <v>1640</v>
      </c>
      <c r="L2159" s="153">
        <v>800000</v>
      </c>
      <c r="N2159" s="153">
        <f t="shared" si="33"/>
        <v>0</v>
      </c>
    </row>
    <row r="2160" spans="2:14">
      <c r="B2160" s="1803"/>
      <c r="C2160" s="1803"/>
      <c r="D2160" s="1543">
        <v>2211000</v>
      </c>
      <c r="E2160" s="1808" t="s">
        <v>118</v>
      </c>
      <c r="F2160" s="1763">
        <v>330000000</v>
      </c>
      <c r="H2160" s="1803"/>
      <c r="I2160" s="1803"/>
      <c r="J2160" s="1543">
        <v>2211000</v>
      </c>
      <c r="K2160" s="1808" t="s">
        <v>118</v>
      </c>
      <c r="L2160" s="1763">
        <v>330000000</v>
      </c>
      <c r="N2160" s="1763">
        <f t="shared" si="33"/>
        <v>0</v>
      </c>
    </row>
    <row r="2161" spans="2:14">
      <c r="B2161" s="1803"/>
      <c r="C2161" s="1803"/>
      <c r="D2161" s="39">
        <v>2211001</v>
      </c>
      <c r="E2161" s="1810" t="s">
        <v>471</v>
      </c>
      <c r="F2161" s="153">
        <v>218000000</v>
      </c>
      <c r="H2161" s="1803"/>
      <c r="I2161" s="1803"/>
      <c r="J2161" s="39">
        <v>2211001</v>
      </c>
      <c r="K2161" s="1810" t="s">
        <v>471</v>
      </c>
      <c r="L2161" s="153">
        <v>218000000</v>
      </c>
      <c r="N2161" s="153">
        <f t="shared" si="33"/>
        <v>0</v>
      </c>
    </row>
    <row r="2162" spans="2:14">
      <c r="B2162" s="1803"/>
      <c r="C2162" s="1803"/>
      <c r="D2162" s="39">
        <v>2211002</v>
      </c>
      <c r="E2162" s="1810" t="s">
        <v>472</v>
      </c>
      <c r="F2162" s="153">
        <v>112000000</v>
      </c>
      <c r="H2162" s="1803"/>
      <c r="I2162" s="1803"/>
      <c r="J2162" s="39">
        <v>2211002</v>
      </c>
      <c r="K2162" s="1810" t="s">
        <v>472</v>
      </c>
      <c r="L2162" s="153">
        <v>112000000</v>
      </c>
      <c r="N2162" s="153">
        <f t="shared" si="33"/>
        <v>0</v>
      </c>
    </row>
    <row r="2163" spans="2:14">
      <c r="B2163" s="1803"/>
      <c r="C2163" s="1803"/>
      <c r="D2163" s="1543">
        <v>2211100</v>
      </c>
      <c r="E2163" s="1808" t="s">
        <v>51</v>
      </c>
      <c r="F2163" s="1763">
        <v>499999.77399999998</v>
      </c>
      <c r="H2163" s="1803"/>
      <c r="I2163" s="1803"/>
      <c r="J2163" s="1543">
        <v>2211100</v>
      </c>
      <c r="K2163" s="1808" t="s">
        <v>51</v>
      </c>
      <c r="L2163" s="1763">
        <v>499999.77399999998</v>
      </c>
      <c r="N2163" s="1763">
        <f t="shared" si="33"/>
        <v>0</v>
      </c>
    </row>
    <row r="2164" spans="2:14">
      <c r="B2164" s="1803"/>
      <c r="C2164" s="1803"/>
      <c r="D2164" s="39">
        <v>2211101</v>
      </c>
      <c r="E2164" s="1810" t="s">
        <v>289</v>
      </c>
      <c r="F2164" s="153">
        <v>278357.53999999998</v>
      </c>
      <c r="H2164" s="1803"/>
      <c r="I2164" s="1803"/>
      <c r="J2164" s="39">
        <v>2211101</v>
      </c>
      <c r="K2164" s="1810" t="s">
        <v>289</v>
      </c>
      <c r="L2164" s="153">
        <v>278357.53999999998</v>
      </c>
      <c r="N2164" s="153">
        <f t="shared" si="33"/>
        <v>0</v>
      </c>
    </row>
    <row r="2165" spans="2:14">
      <c r="B2165" s="1803"/>
      <c r="C2165" s="1803"/>
      <c r="D2165" s="39">
        <v>2211102</v>
      </c>
      <c r="E2165" s="1810" t="s">
        <v>53</v>
      </c>
      <c r="F2165" s="153">
        <v>161136.234</v>
      </c>
      <c r="H2165" s="1803"/>
      <c r="I2165" s="1803"/>
      <c r="J2165" s="39">
        <v>2211102</v>
      </c>
      <c r="K2165" s="1810" t="s">
        <v>53</v>
      </c>
      <c r="L2165" s="153">
        <v>161136.234</v>
      </c>
      <c r="N2165" s="153">
        <f t="shared" si="33"/>
        <v>0</v>
      </c>
    </row>
    <row r="2166" spans="2:14">
      <c r="B2166" s="1809"/>
      <c r="C2166" s="1809"/>
      <c r="D2166" s="39">
        <v>2211103</v>
      </c>
      <c r="E2166" s="1810" t="s">
        <v>402</v>
      </c>
      <c r="F2166" s="153">
        <v>60506</v>
      </c>
      <c r="H2166" s="1809"/>
      <c r="I2166" s="1809"/>
      <c r="J2166" s="39">
        <v>2211103</v>
      </c>
      <c r="K2166" s="1810" t="s">
        <v>402</v>
      </c>
      <c r="L2166" s="153">
        <v>60506</v>
      </c>
      <c r="N2166" s="153">
        <f t="shared" si="33"/>
        <v>0</v>
      </c>
    </row>
    <row r="2167" spans="2:14">
      <c r="B2167" s="1809"/>
      <c r="C2167" s="1809"/>
      <c r="D2167" s="1543">
        <v>2211200</v>
      </c>
      <c r="E2167" s="1808" t="s">
        <v>55</v>
      </c>
      <c r="F2167" s="1763">
        <v>3000000</v>
      </c>
      <c r="H2167" s="1809"/>
      <c r="I2167" s="1809"/>
      <c r="J2167" s="1543">
        <v>2211200</v>
      </c>
      <c r="K2167" s="1808" t="s">
        <v>55</v>
      </c>
      <c r="L2167" s="1763">
        <v>3000000</v>
      </c>
      <c r="N2167" s="1763">
        <f t="shared" si="33"/>
        <v>0</v>
      </c>
    </row>
    <row r="2168" spans="2:14">
      <c r="B2168" s="1809"/>
      <c r="C2168" s="1809"/>
      <c r="D2168" s="39">
        <v>2211201</v>
      </c>
      <c r="E2168" s="1810" t="s">
        <v>56</v>
      </c>
      <c r="F2168" s="153">
        <v>3000000</v>
      </c>
      <c r="H2168" s="1809"/>
      <c r="I2168" s="1809"/>
      <c r="J2168" s="39">
        <v>2211201</v>
      </c>
      <c r="K2168" s="1810" t="s">
        <v>56</v>
      </c>
      <c r="L2168" s="153">
        <v>3000000</v>
      </c>
      <c r="N2168" s="153">
        <f t="shared" si="33"/>
        <v>0</v>
      </c>
    </row>
    <row r="2169" spans="2:14">
      <c r="B2169" s="1803"/>
      <c r="C2169" s="1803"/>
      <c r="D2169" s="1543">
        <v>2220100</v>
      </c>
      <c r="E2169" s="1808" t="s">
        <v>62</v>
      </c>
      <c r="F2169" s="1763">
        <v>999999.6</v>
      </c>
      <c r="H2169" s="1803"/>
      <c r="I2169" s="1803"/>
      <c r="J2169" s="1543">
        <v>2220100</v>
      </c>
      <c r="K2169" s="1808" t="s">
        <v>62</v>
      </c>
      <c r="L2169" s="1763">
        <v>999999.6</v>
      </c>
      <c r="N2169" s="1763">
        <f t="shared" si="33"/>
        <v>0</v>
      </c>
    </row>
    <row r="2170" spans="2:14">
      <c r="B2170" s="1803"/>
      <c r="C2170" s="1803"/>
      <c r="D2170" s="39">
        <v>2220101</v>
      </c>
      <c r="E2170" s="1810" t="s">
        <v>403</v>
      </c>
      <c r="F2170" s="153">
        <v>737749</v>
      </c>
      <c r="H2170" s="1803"/>
      <c r="I2170" s="1803"/>
      <c r="J2170" s="39">
        <v>2220101</v>
      </c>
      <c r="K2170" s="1810" t="s">
        <v>403</v>
      </c>
      <c r="L2170" s="153">
        <v>737749</v>
      </c>
      <c r="N2170" s="153">
        <f t="shared" si="33"/>
        <v>0</v>
      </c>
    </row>
    <row r="2171" spans="2:14">
      <c r="B2171" s="1803"/>
      <c r="C2171" s="1803"/>
      <c r="D2171" s="39">
        <v>2220105</v>
      </c>
      <c r="E2171" s="1810" t="s">
        <v>404</v>
      </c>
      <c r="F2171" s="153">
        <v>262250.59999999998</v>
      </c>
      <c r="H2171" s="1803"/>
      <c r="I2171" s="1803"/>
      <c r="J2171" s="39">
        <v>2220105</v>
      </c>
      <c r="K2171" s="1810" t="s">
        <v>404</v>
      </c>
      <c r="L2171" s="153">
        <v>262250.59999999998</v>
      </c>
      <c r="N2171" s="153">
        <f t="shared" si="33"/>
        <v>0</v>
      </c>
    </row>
    <row r="2172" spans="2:14">
      <c r="B2172" s="1803"/>
      <c r="C2172" s="1803"/>
      <c r="D2172" s="1543">
        <v>2220200</v>
      </c>
      <c r="E2172" s="1808" t="s">
        <v>405</v>
      </c>
      <c r="F2172" s="1763">
        <v>7529307.0539999995</v>
      </c>
      <c r="H2172" s="1803"/>
      <c r="I2172" s="1803"/>
      <c r="J2172" s="1543">
        <v>2220200</v>
      </c>
      <c r="K2172" s="1808" t="s">
        <v>405</v>
      </c>
      <c r="L2172" s="1763">
        <v>7529307.0539999995</v>
      </c>
      <c r="N2172" s="1763">
        <f t="shared" si="33"/>
        <v>0</v>
      </c>
    </row>
    <row r="2173" spans="2:14" ht="60">
      <c r="B2173" s="1803"/>
      <c r="C2173" s="1803"/>
      <c r="D2173" s="39" t="s">
        <v>473</v>
      </c>
      <c r="E2173" s="1813" t="s">
        <v>1641</v>
      </c>
      <c r="F2173" s="153">
        <v>7500000</v>
      </c>
      <c r="H2173" s="1803"/>
      <c r="I2173" s="1803"/>
      <c r="J2173" s="39" t="s">
        <v>473</v>
      </c>
      <c r="K2173" s="1813" t="s">
        <v>1641</v>
      </c>
      <c r="L2173" s="153">
        <v>7500000</v>
      </c>
      <c r="N2173" s="153">
        <f t="shared" si="33"/>
        <v>0</v>
      </c>
    </row>
    <row r="2174" spans="2:14">
      <c r="B2174" s="1803"/>
      <c r="C2174" s="1803"/>
      <c r="D2174" s="39">
        <v>2220205</v>
      </c>
      <c r="E2174" s="1810" t="s">
        <v>125</v>
      </c>
      <c r="F2174" s="153">
        <v>29307.054</v>
      </c>
      <c r="H2174" s="1803"/>
      <c r="I2174" s="1803"/>
      <c r="J2174" s="39">
        <v>2220205</v>
      </c>
      <c r="K2174" s="1810" t="s">
        <v>125</v>
      </c>
      <c r="L2174" s="153">
        <v>29307.054</v>
      </c>
      <c r="N2174" s="153">
        <f t="shared" si="33"/>
        <v>0</v>
      </c>
    </row>
    <row r="2175" spans="2:14">
      <c r="B2175" s="1803"/>
      <c r="C2175" s="1803"/>
      <c r="D2175" s="1543">
        <v>3111000</v>
      </c>
      <c r="E2175" s="1808" t="s">
        <v>69</v>
      </c>
      <c r="F2175" s="1763">
        <v>1800000</v>
      </c>
      <c r="H2175" s="1803"/>
      <c r="I2175" s="1803"/>
      <c r="J2175" s="1543">
        <v>3111000</v>
      </c>
      <c r="K2175" s="1808" t="s">
        <v>69</v>
      </c>
      <c r="L2175" s="1763">
        <v>1800000</v>
      </c>
      <c r="N2175" s="1763">
        <f t="shared" si="33"/>
        <v>0</v>
      </c>
    </row>
    <row r="2176" spans="2:14">
      <c r="B2176" s="1803"/>
      <c r="C2176" s="1803"/>
      <c r="D2176" s="80">
        <v>3111001</v>
      </c>
      <c r="E2176" s="1821" t="s">
        <v>70</v>
      </c>
      <c r="F2176" s="153">
        <v>950000</v>
      </c>
      <c r="H2176" s="1803"/>
      <c r="I2176" s="1803"/>
      <c r="J2176" s="80">
        <v>3111001</v>
      </c>
      <c r="K2176" s="1821" t="s">
        <v>70</v>
      </c>
      <c r="L2176" s="153">
        <v>950000</v>
      </c>
      <c r="N2176" s="153">
        <f t="shared" si="33"/>
        <v>0</v>
      </c>
    </row>
    <row r="2177" spans="2:14">
      <c r="B2177" s="1803"/>
      <c r="C2177" s="1803"/>
      <c r="D2177" s="39">
        <v>3111002</v>
      </c>
      <c r="E2177" s="1853" t="s">
        <v>1642</v>
      </c>
      <c r="F2177" s="153">
        <v>850000</v>
      </c>
      <c r="H2177" s="1803"/>
      <c r="I2177" s="1803"/>
      <c r="J2177" s="39">
        <v>3111002</v>
      </c>
      <c r="K2177" s="1853" t="s">
        <v>1642</v>
      </c>
      <c r="L2177" s="153">
        <v>850000</v>
      </c>
      <c r="N2177" s="153">
        <f t="shared" si="33"/>
        <v>0</v>
      </c>
    </row>
    <row r="2178" spans="2:14">
      <c r="B2178" s="1811"/>
      <c r="C2178" s="1811"/>
      <c r="D2178" s="1800" t="s">
        <v>99</v>
      </c>
      <c r="E2178" s="1812"/>
      <c r="F2178" s="1710">
        <v>1126945814</v>
      </c>
      <c r="H2178" s="1811"/>
      <c r="I2178" s="1811"/>
      <c r="J2178" s="1800" t="s">
        <v>99</v>
      </c>
      <c r="K2178" s="1812"/>
      <c r="L2178" s="1710">
        <v>1126945814</v>
      </c>
      <c r="N2178" s="1710">
        <f t="shared" si="33"/>
        <v>0</v>
      </c>
    </row>
    <row r="2179" spans="2:14">
      <c r="B2179" s="1803"/>
      <c r="C2179" s="1803"/>
      <c r="D2179" s="1543"/>
      <c r="E2179" s="1808"/>
      <c r="F2179" s="169">
        <v>0</v>
      </c>
      <c r="H2179" s="1803"/>
      <c r="I2179" s="1803"/>
      <c r="J2179" s="1543"/>
      <c r="K2179" s="1808"/>
      <c r="L2179" s="169">
        <v>0</v>
      </c>
      <c r="N2179" s="169">
        <f t="shared" si="33"/>
        <v>0</v>
      </c>
    </row>
    <row r="2180" spans="2:14">
      <c r="B2180" s="1809"/>
      <c r="C2180" s="1809"/>
      <c r="D2180" s="1543" t="s">
        <v>474</v>
      </c>
      <c r="E2180" s="1810"/>
      <c r="F2180" s="169">
        <v>0</v>
      </c>
      <c r="H2180" s="1809"/>
      <c r="I2180" s="1809"/>
      <c r="J2180" s="1543" t="s">
        <v>474</v>
      </c>
      <c r="K2180" s="1810"/>
      <c r="L2180" s="169">
        <v>0</v>
      </c>
      <c r="N2180" s="169">
        <f t="shared" si="33"/>
        <v>0</v>
      </c>
    </row>
    <row r="2181" spans="2:14">
      <c r="B2181" s="1809"/>
      <c r="C2181" s="1809"/>
      <c r="D2181" s="1543">
        <v>3111100</v>
      </c>
      <c r="E2181" s="1808" t="s">
        <v>475</v>
      </c>
      <c r="F2181" s="1763">
        <v>38387168</v>
      </c>
      <c r="H2181" s="1809"/>
      <c r="I2181" s="1809"/>
      <c r="J2181" s="1543">
        <v>3111100</v>
      </c>
      <c r="K2181" s="1808" t="s">
        <v>475</v>
      </c>
      <c r="L2181" s="1763">
        <v>38387168</v>
      </c>
      <c r="N2181" s="1763">
        <f t="shared" si="33"/>
        <v>0</v>
      </c>
    </row>
    <row r="2182" spans="2:14" ht="45">
      <c r="B2182" s="1809"/>
      <c r="C2182" s="1809"/>
      <c r="D2182" s="39">
        <v>3111101</v>
      </c>
      <c r="E2182" s="1824" t="s">
        <v>1643</v>
      </c>
      <c r="F2182" s="153">
        <v>5200000</v>
      </c>
      <c r="H2182" s="1809"/>
      <c r="I2182" s="1809"/>
      <c r="J2182" s="39">
        <v>3111101</v>
      </c>
      <c r="K2182" s="1824" t="s">
        <v>1643</v>
      </c>
      <c r="L2182" s="153">
        <v>5200000</v>
      </c>
      <c r="N2182" s="153">
        <f t="shared" si="33"/>
        <v>0</v>
      </c>
    </row>
    <row r="2183" spans="2:14" ht="45">
      <c r="B2183" s="1819" t="s">
        <v>468</v>
      </c>
      <c r="C2183" s="1803" t="s">
        <v>146</v>
      </c>
      <c r="D2183" s="39">
        <v>3111101</v>
      </c>
      <c r="E2183" s="1824" t="s">
        <v>1644</v>
      </c>
      <c r="F2183" s="153">
        <v>3000000</v>
      </c>
      <c r="H2183" s="1819" t="s">
        <v>468</v>
      </c>
      <c r="I2183" s="1803" t="s">
        <v>146</v>
      </c>
      <c r="J2183" s="39">
        <v>3111101</v>
      </c>
      <c r="K2183" s="1824" t="s">
        <v>1644</v>
      </c>
      <c r="L2183" s="153">
        <v>3000000</v>
      </c>
      <c r="N2183" s="153">
        <f t="shared" si="33"/>
        <v>0</v>
      </c>
    </row>
    <row r="2184" spans="2:14">
      <c r="B2184" s="1819"/>
      <c r="C2184" s="1803"/>
      <c r="D2184" s="39">
        <v>3111101</v>
      </c>
      <c r="E2184" s="1854" t="s">
        <v>1645</v>
      </c>
      <c r="F2184" s="152">
        <v>452400</v>
      </c>
      <c r="H2184" s="1819"/>
      <c r="I2184" s="1803"/>
      <c r="J2184" s="39">
        <v>3111101</v>
      </c>
      <c r="K2184" s="1854" t="s">
        <v>1645</v>
      </c>
      <c r="L2184" s="152">
        <v>452400</v>
      </c>
      <c r="N2184" s="152">
        <f t="shared" ref="N2184:N2247" si="34">F2184-L2184</f>
        <v>0</v>
      </c>
    </row>
    <row r="2185" spans="2:14" ht="30">
      <c r="B2185" s="1819"/>
      <c r="C2185" s="1803"/>
      <c r="D2185" s="39">
        <v>3111101</v>
      </c>
      <c r="E2185" s="1854" t="s">
        <v>1646</v>
      </c>
      <c r="F2185" s="152">
        <v>4200000</v>
      </c>
      <c r="H2185" s="1819"/>
      <c r="I2185" s="1803"/>
      <c r="J2185" s="39">
        <v>3111101</v>
      </c>
      <c r="K2185" s="1854" t="s">
        <v>1646</v>
      </c>
      <c r="L2185" s="152">
        <v>4200000</v>
      </c>
      <c r="N2185" s="152">
        <f t="shared" si="34"/>
        <v>0</v>
      </c>
    </row>
    <row r="2186" spans="2:14">
      <c r="B2186" s="1819"/>
      <c r="C2186" s="1803"/>
      <c r="D2186" s="39">
        <v>3111101</v>
      </c>
      <c r="E2186" s="1821" t="s">
        <v>1647</v>
      </c>
      <c r="F2186" s="153">
        <v>2000000</v>
      </c>
      <c r="H2186" s="1819"/>
      <c r="I2186" s="1803"/>
      <c r="J2186" s="39">
        <v>3111101</v>
      </c>
      <c r="K2186" s="1821" t="s">
        <v>1647</v>
      </c>
      <c r="L2186" s="153">
        <v>2000000</v>
      </c>
      <c r="N2186" s="153">
        <f t="shared" si="34"/>
        <v>0</v>
      </c>
    </row>
    <row r="2187" spans="2:14" ht="30">
      <c r="B2187" s="1819"/>
      <c r="C2187" s="1803"/>
      <c r="D2187" s="39">
        <v>3111101</v>
      </c>
      <c r="E2187" s="1854" t="s">
        <v>1648</v>
      </c>
      <c r="F2187" s="153">
        <v>2000000</v>
      </c>
      <c r="H2187" s="1819"/>
      <c r="I2187" s="1803"/>
      <c r="J2187" s="39">
        <v>3111101</v>
      </c>
      <c r="K2187" s="1854" t="s">
        <v>1648</v>
      </c>
      <c r="L2187" s="153">
        <v>2000000</v>
      </c>
      <c r="N2187" s="153">
        <f t="shared" si="34"/>
        <v>0</v>
      </c>
    </row>
    <row r="2188" spans="2:14" ht="30">
      <c r="B2188" s="1819"/>
      <c r="C2188" s="1803"/>
      <c r="D2188" s="1842">
        <v>3111101</v>
      </c>
      <c r="E2188" s="1854" t="s">
        <v>1649</v>
      </c>
      <c r="F2188" s="152">
        <v>2053820</v>
      </c>
      <c r="H2188" s="1819"/>
      <c r="I2188" s="1803"/>
      <c r="J2188" s="1842">
        <v>3111101</v>
      </c>
      <c r="K2188" s="1854" t="s">
        <v>1649</v>
      </c>
      <c r="L2188" s="152">
        <v>2053820</v>
      </c>
      <c r="N2188" s="152">
        <f t="shared" si="34"/>
        <v>0</v>
      </c>
    </row>
    <row r="2189" spans="2:14" ht="30">
      <c r="B2189" s="1819"/>
      <c r="C2189" s="1803"/>
      <c r="D2189" s="1842">
        <v>3111101</v>
      </c>
      <c r="E2189" s="1854" t="s">
        <v>1650</v>
      </c>
      <c r="F2189" s="152">
        <v>2500000</v>
      </c>
      <c r="H2189" s="1819"/>
      <c r="I2189" s="1803"/>
      <c r="J2189" s="1842">
        <v>3111101</v>
      </c>
      <c r="K2189" s="1854" t="s">
        <v>1650</v>
      </c>
      <c r="L2189" s="152">
        <v>2500000</v>
      </c>
      <c r="N2189" s="152">
        <f t="shared" si="34"/>
        <v>0</v>
      </c>
    </row>
    <row r="2190" spans="2:14">
      <c r="B2190" s="1819"/>
      <c r="C2190" s="1803"/>
      <c r="D2190" s="1842">
        <v>3111101</v>
      </c>
      <c r="E2190" s="1854" t="s">
        <v>1651</v>
      </c>
      <c r="F2190" s="152">
        <v>3250000</v>
      </c>
      <c r="H2190" s="1819"/>
      <c r="I2190" s="1803"/>
      <c r="J2190" s="1842">
        <v>3111101</v>
      </c>
      <c r="K2190" s="1854" t="s">
        <v>1651</v>
      </c>
      <c r="L2190" s="152">
        <v>3250000</v>
      </c>
      <c r="N2190" s="152">
        <f t="shared" si="34"/>
        <v>0</v>
      </c>
    </row>
    <row r="2191" spans="2:14" ht="30">
      <c r="B2191" s="1819"/>
      <c r="C2191" s="1803"/>
      <c r="D2191" s="1842">
        <v>3111101</v>
      </c>
      <c r="E2191" s="1854" t="s">
        <v>1652</v>
      </c>
      <c r="F2191" s="152">
        <v>2750000</v>
      </c>
      <c r="H2191" s="1819"/>
      <c r="I2191" s="1803"/>
      <c r="J2191" s="1842">
        <v>3111101</v>
      </c>
      <c r="K2191" s="1854" t="s">
        <v>1652</v>
      </c>
      <c r="L2191" s="152">
        <v>2750000</v>
      </c>
      <c r="N2191" s="152">
        <f t="shared" si="34"/>
        <v>0</v>
      </c>
    </row>
    <row r="2192" spans="2:14" ht="90">
      <c r="B2192" s="1819"/>
      <c r="C2192" s="1803"/>
      <c r="D2192" s="1842">
        <v>3111101</v>
      </c>
      <c r="E2192" s="1854" t="s">
        <v>1653</v>
      </c>
      <c r="F2192" s="152">
        <v>2500948</v>
      </c>
      <c r="H2192" s="1819"/>
      <c r="I2192" s="1803"/>
      <c r="J2192" s="1842">
        <v>3111101</v>
      </c>
      <c r="K2192" s="1854" t="s">
        <v>1653</v>
      </c>
      <c r="L2192" s="152">
        <v>2500948</v>
      </c>
      <c r="N2192" s="152">
        <f t="shared" si="34"/>
        <v>0</v>
      </c>
    </row>
    <row r="2193" spans="2:14">
      <c r="B2193" s="1803"/>
      <c r="C2193" s="1803"/>
      <c r="D2193" s="1842">
        <v>3111101</v>
      </c>
      <c r="E2193" s="1854" t="s">
        <v>1654</v>
      </c>
      <c r="F2193" s="152">
        <v>600000</v>
      </c>
      <c r="H2193" s="1803"/>
      <c r="I2193" s="1803"/>
      <c r="J2193" s="1842">
        <v>3111101</v>
      </c>
      <c r="K2193" s="1854" t="s">
        <v>1654</v>
      </c>
      <c r="L2193" s="152">
        <v>600000</v>
      </c>
      <c r="N2193" s="152">
        <f t="shared" si="34"/>
        <v>0</v>
      </c>
    </row>
    <row r="2194" spans="2:14" ht="60">
      <c r="B2194" s="1803"/>
      <c r="C2194" s="1803"/>
      <c r="D2194" s="1842">
        <v>3111101</v>
      </c>
      <c r="E2194" s="1854" t="s">
        <v>1834</v>
      </c>
      <c r="F2194" s="152">
        <v>7880000</v>
      </c>
      <c r="H2194" s="1803"/>
      <c r="I2194" s="1803"/>
      <c r="J2194" s="1842">
        <v>3111101</v>
      </c>
      <c r="K2194" s="1854" t="s">
        <v>1834</v>
      </c>
      <c r="L2194" s="152">
        <v>7880000</v>
      </c>
      <c r="N2194" s="152">
        <f t="shared" si="34"/>
        <v>0</v>
      </c>
    </row>
    <row r="2195" spans="2:14">
      <c r="B2195" s="1803"/>
      <c r="C2195" s="1803"/>
      <c r="D2195" s="1543">
        <v>3110202</v>
      </c>
      <c r="E2195" s="1808" t="s">
        <v>413</v>
      </c>
      <c r="F2195" s="1855">
        <v>8000000</v>
      </c>
      <c r="H2195" s="1803"/>
      <c r="I2195" s="1803"/>
      <c r="J2195" s="1543">
        <v>3110202</v>
      </c>
      <c r="K2195" s="1808" t="s">
        <v>413</v>
      </c>
      <c r="L2195" s="1855">
        <v>8000000</v>
      </c>
      <c r="N2195" s="1855">
        <f t="shared" si="34"/>
        <v>0</v>
      </c>
    </row>
    <row r="2196" spans="2:14" ht="75">
      <c r="B2196" s="1803"/>
      <c r="C2196" s="1803"/>
      <c r="D2196" s="39">
        <v>3110202</v>
      </c>
      <c r="E2196" s="1856" t="s">
        <v>1655</v>
      </c>
      <c r="F2196" s="152">
        <v>4000000</v>
      </c>
      <c r="H2196" s="1803"/>
      <c r="I2196" s="1803"/>
      <c r="J2196" s="39">
        <v>3110202</v>
      </c>
      <c r="K2196" s="1856" t="s">
        <v>1655</v>
      </c>
      <c r="L2196" s="152">
        <v>4000000</v>
      </c>
      <c r="N2196" s="152">
        <f t="shared" si="34"/>
        <v>0</v>
      </c>
    </row>
    <row r="2197" spans="2:14">
      <c r="B2197" s="1803"/>
      <c r="C2197" s="1803"/>
      <c r="D2197" s="39">
        <v>3110202</v>
      </c>
      <c r="E2197" s="1854" t="s">
        <v>1656</v>
      </c>
      <c r="F2197" s="152">
        <v>1300000</v>
      </c>
      <c r="H2197" s="1803"/>
      <c r="I2197" s="1803"/>
      <c r="J2197" s="39">
        <v>3110202</v>
      </c>
      <c r="K2197" s="1854" t="s">
        <v>1656</v>
      </c>
      <c r="L2197" s="152">
        <v>1300000</v>
      </c>
      <c r="N2197" s="152">
        <f t="shared" si="34"/>
        <v>0</v>
      </c>
    </row>
    <row r="2198" spans="2:14">
      <c r="B2198" s="1803"/>
      <c r="C2198" s="1803"/>
      <c r="D2198" s="39">
        <v>3110202</v>
      </c>
      <c r="E2198" s="1854" t="s">
        <v>1657</v>
      </c>
      <c r="F2198" s="152">
        <v>2700000</v>
      </c>
      <c r="H2198" s="1803"/>
      <c r="I2198" s="1803"/>
      <c r="J2198" s="39">
        <v>3110202</v>
      </c>
      <c r="K2198" s="1854" t="s">
        <v>1657</v>
      </c>
      <c r="L2198" s="152">
        <v>2700000</v>
      </c>
      <c r="N2198" s="152">
        <f t="shared" si="34"/>
        <v>0</v>
      </c>
    </row>
    <row r="2199" spans="2:14">
      <c r="B2199" s="1822"/>
      <c r="C2199" s="1822"/>
      <c r="D2199" s="1815"/>
      <c r="E2199" s="1816"/>
      <c r="F2199" s="1857"/>
      <c r="H2199" s="1809"/>
      <c r="I2199" s="1809"/>
      <c r="J2199" s="39"/>
      <c r="K2199" s="1810"/>
      <c r="L2199" s="164"/>
      <c r="N2199" s="164">
        <f t="shared" si="34"/>
        <v>0</v>
      </c>
    </row>
    <row r="2200" spans="2:14">
      <c r="B2200" s="1803"/>
      <c r="C2200" s="1803"/>
      <c r="D2200" s="1543" t="s">
        <v>175</v>
      </c>
      <c r="E2200" s="1808"/>
      <c r="F2200" s="1660">
        <v>46387168</v>
      </c>
      <c r="H2200" s="1803"/>
      <c r="I2200" s="1803"/>
      <c r="J2200" s="1543" t="s">
        <v>175</v>
      </c>
      <c r="K2200" s="1808"/>
      <c r="L2200" s="1660">
        <v>46387168</v>
      </c>
      <c r="N2200" s="1660">
        <f t="shared" si="34"/>
        <v>0</v>
      </c>
    </row>
    <row r="2201" spans="2:14">
      <c r="B2201" s="1811"/>
      <c r="C2201" s="1811"/>
      <c r="D2201" s="1800" t="s">
        <v>476</v>
      </c>
      <c r="E2201" s="1812"/>
      <c r="F2201" s="1710">
        <v>1173332982</v>
      </c>
      <c r="H2201" s="1811"/>
      <c r="I2201" s="1811"/>
      <c r="J2201" s="1800" t="s">
        <v>476</v>
      </c>
      <c r="K2201" s="1812"/>
      <c r="L2201" s="1710">
        <v>1173332982</v>
      </c>
      <c r="N2201" s="1710">
        <f t="shared" si="34"/>
        <v>0</v>
      </c>
    </row>
    <row r="2202" spans="2:14">
      <c r="B2202" s="1811"/>
      <c r="C2202" s="1811"/>
      <c r="D2202" s="1800"/>
      <c r="E2202" s="1812" t="s">
        <v>99</v>
      </c>
      <c r="F2202" s="1710">
        <v>3638790122.6692944</v>
      </c>
      <c r="H2202" s="1811"/>
      <c r="I2202" s="1811"/>
      <c r="J2202" s="1800"/>
      <c r="K2202" s="1812" t="s">
        <v>99</v>
      </c>
      <c r="L2202" s="1710">
        <v>3638790122.6692944</v>
      </c>
      <c r="N2202" s="1710">
        <f t="shared" si="34"/>
        <v>0</v>
      </c>
    </row>
    <row r="2203" spans="2:14">
      <c r="B2203" s="1811"/>
      <c r="C2203" s="1811"/>
      <c r="D2203" s="1800"/>
      <c r="E2203" s="1812" t="s">
        <v>175</v>
      </c>
      <c r="F2203" s="1710">
        <v>182774729</v>
      </c>
      <c r="H2203" s="1811"/>
      <c r="I2203" s="1811"/>
      <c r="J2203" s="1800"/>
      <c r="K2203" s="1812" t="s">
        <v>175</v>
      </c>
      <c r="L2203" s="1710">
        <v>177774729</v>
      </c>
      <c r="N2203" s="1710">
        <f t="shared" si="34"/>
        <v>5000000</v>
      </c>
    </row>
    <row r="2204" spans="2:14">
      <c r="B2204" s="1811"/>
      <c r="C2204" s="1811"/>
      <c r="D2204" s="1838" t="s">
        <v>477</v>
      </c>
      <c r="E2204" s="1839"/>
      <c r="F2204" s="1710">
        <v>3821564851.6692944</v>
      </c>
      <c r="H2204" s="1811"/>
      <c r="I2204" s="1811"/>
      <c r="J2204" s="1838" t="s">
        <v>477</v>
      </c>
      <c r="K2204" s="1839"/>
      <c r="L2204" s="1710">
        <v>3816564851.6692944</v>
      </c>
      <c r="N2204" s="1710">
        <f t="shared" si="34"/>
        <v>5000000</v>
      </c>
    </row>
    <row r="2205" spans="2:14">
      <c r="B2205" s="1708"/>
      <c r="C2205" s="1708"/>
      <c r="D2205" s="61"/>
      <c r="E2205" s="1858"/>
      <c r="F2205" s="177"/>
      <c r="H2205" s="1708"/>
      <c r="I2205" s="1708"/>
      <c r="J2205" s="61"/>
      <c r="K2205" s="1858"/>
      <c r="L2205" s="177"/>
      <c r="N2205" s="177">
        <f t="shared" si="34"/>
        <v>0</v>
      </c>
    </row>
    <row r="2206" spans="2:14">
      <c r="B2206" s="1708"/>
      <c r="C2206" s="1708"/>
      <c r="D2206" s="61"/>
      <c r="E2206" s="1858"/>
      <c r="F2206" s="177"/>
      <c r="H2206" s="1708"/>
      <c r="I2206" s="1708"/>
      <c r="J2206" s="61"/>
      <c r="K2206" s="1858"/>
      <c r="L2206" s="177"/>
      <c r="N2206" s="177">
        <f t="shared" si="34"/>
        <v>0</v>
      </c>
    </row>
    <row r="2207" spans="2:14">
      <c r="B2207" s="46"/>
      <c r="C2207" s="46"/>
      <c r="D2207" s="1507" t="s">
        <v>1254</v>
      </c>
      <c r="E2207" s="1546"/>
      <c r="F2207" s="1859"/>
      <c r="H2207" s="46"/>
      <c r="I2207" s="46"/>
      <c r="J2207" s="1507" t="s">
        <v>1254</v>
      </c>
      <c r="K2207" s="1546"/>
      <c r="L2207" s="1859"/>
      <c r="N2207" s="1859">
        <f t="shared" si="34"/>
        <v>0</v>
      </c>
    </row>
    <row r="2208" spans="2:14">
      <c r="B2208" s="46"/>
      <c r="C2208" s="46"/>
      <c r="D2208" s="1507" t="s">
        <v>478</v>
      </c>
      <c r="E2208" s="1546"/>
      <c r="F2208" s="1860"/>
      <c r="H2208" s="46"/>
      <c r="I2208" s="46"/>
      <c r="J2208" s="1507" t="s">
        <v>478</v>
      </c>
      <c r="K2208" s="1546"/>
      <c r="L2208" s="1860"/>
      <c r="N2208" s="1860">
        <f t="shared" si="34"/>
        <v>0</v>
      </c>
    </row>
    <row r="2209" spans="2:14">
      <c r="B2209" s="46"/>
      <c r="C2209" s="46"/>
      <c r="D2209" s="1545">
        <v>2110100</v>
      </c>
      <c r="E2209" s="1546" t="s">
        <v>13</v>
      </c>
      <c r="F2209" s="1861">
        <v>85147508</v>
      </c>
      <c r="H2209" s="46"/>
      <c r="I2209" s="46"/>
      <c r="J2209" s="1545">
        <v>2110100</v>
      </c>
      <c r="K2209" s="1546" t="s">
        <v>13</v>
      </c>
      <c r="L2209" s="1861">
        <v>85147508</v>
      </c>
      <c r="N2209" s="1861">
        <f t="shared" si="34"/>
        <v>0</v>
      </c>
    </row>
    <row r="2210" spans="2:14">
      <c r="B2210" s="46"/>
      <c r="C2210" s="46"/>
      <c r="D2210" s="80">
        <v>2110101</v>
      </c>
      <c r="E2210" s="158" t="s">
        <v>479</v>
      </c>
      <c r="F2210" s="157">
        <v>85147508</v>
      </c>
      <c r="H2210" s="46"/>
      <c r="I2210" s="46"/>
      <c r="J2210" s="80">
        <v>2110101</v>
      </c>
      <c r="K2210" s="158" t="s">
        <v>479</v>
      </c>
      <c r="L2210" s="157">
        <v>85147508</v>
      </c>
      <c r="N2210" s="157">
        <f t="shared" si="34"/>
        <v>0</v>
      </c>
    </row>
    <row r="2211" spans="2:14">
      <c r="B2211" s="46"/>
      <c r="C2211" s="46"/>
      <c r="D2211" s="1545">
        <v>2210100</v>
      </c>
      <c r="E2211" s="1546" t="s">
        <v>16</v>
      </c>
      <c r="F2211" s="1861">
        <v>1029300</v>
      </c>
      <c r="H2211" s="46"/>
      <c r="I2211" s="46"/>
      <c r="J2211" s="1545">
        <v>2210100</v>
      </c>
      <c r="K2211" s="1546" t="s">
        <v>16</v>
      </c>
      <c r="L2211" s="1861">
        <v>1029300</v>
      </c>
      <c r="N2211" s="1861">
        <f t="shared" si="34"/>
        <v>0</v>
      </c>
    </row>
    <row r="2212" spans="2:14">
      <c r="B2212" s="46"/>
      <c r="C2212" s="46"/>
      <c r="D2212" s="80">
        <v>2210101</v>
      </c>
      <c r="E2212" s="158" t="s">
        <v>481</v>
      </c>
      <c r="F2212" s="157">
        <v>941300</v>
      </c>
      <c r="H2212" s="46"/>
      <c r="I2212" s="46"/>
      <c r="J2212" s="80">
        <v>2210101</v>
      </c>
      <c r="K2212" s="158" t="s">
        <v>481</v>
      </c>
      <c r="L2212" s="157">
        <v>941300</v>
      </c>
      <c r="N2212" s="157">
        <f t="shared" si="34"/>
        <v>0</v>
      </c>
    </row>
    <row r="2213" spans="2:14">
      <c r="B2213" s="46"/>
      <c r="C2213" s="46"/>
      <c r="D2213" s="80">
        <v>2210103</v>
      </c>
      <c r="E2213" s="158" t="s">
        <v>482</v>
      </c>
      <c r="F2213" s="157">
        <v>88000</v>
      </c>
      <c r="H2213" s="46"/>
      <c r="I2213" s="46"/>
      <c r="J2213" s="80">
        <v>2210103</v>
      </c>
      <c r="K2213" s="158" t="s">
        <v>482</v>
      </c>
      <c r="L2213" s="157">
        <v>88000</v>
      </c>
      <c r="N2213" s="157">
        <f t="shared" si="34"/>
        <v>0</v>
      </c>
    </row>
    <row r="2214" spans="2:14">
      <c r="B2214" s="46"/>
      <c r="C2214" s="46"/>
      <c r="D2214" s="1545">
        <v>2210200</v>
      </c>
      <c r="E2214" s="1546" t="s">
        <v>20</v>
      </c>
      <c r="F2214" s="1861">
        <v>1538420</v>
      </c>
      <c r="H2214" s="46"/>
      <c r="I2214" s="46"/>
      <c r="J2214" s="1545">
        <v>2210200</v>
      </c>
      <c r="K2214" s="1546" t="s">
        <v>20</v>
      </c>
      <c r="L2214" s="1861">
        <v>1538420</v>
      </c>
      <c r="N2214" s="1861">
        <f t="shared" si="34"/>
        <v>0</v>
      </c>
    </row>
    <row r="2215" spans="2:14">
      <c r="B2215" s="46"/>
      <c r="C2215" s="46"/>
      <c r="D2215" s="80">
        <v>2210201</v>
      </c>
      <c r="E2215" s="158" t="s">
        <v>21</v>
      </c>
      <c r="F2215" s="157">
        <v>541420</v>
      </c>
      <c r="H2215" s="46"/>
      <c r="I2215" s="46"/>
      <c r="J2215" s="80">
        <v>2210201</v>
      </c>
      <c r="K2215" s="158" t="s">
        <v>21</v>
      </c>
      <c r="L2215" s="157">
        <v>541420</v>
      </c>
      <c r="N2215" s="157">
        <f t="shared" si="34"/>
        <v>0</v>
      </c>
    </row>
    <row r="2216" spans="2:14">
      <c r="B2216" s="46"/>
      <c r="C2216" s="46"/>
      <c r="D2216" s="57">
        <v>2210202</v>
      </c>
      <c r="E2216" s="58" t="s">
        <v>1413</v>
      </c>
      <c r="F2216" s="157">
        <v>432200</v>
      </c>
      <c r="H2216" s="46"/>
      <c r="I2216" s="46"/>
      <c r="J2216" s="1729">
        <v>2210202</v>
      </c>
      <c r="K2216" s="58" t="s">
        <v>1413</v>
      </c>
      <c r="L2216" s="157">
        <v>432200</v>
      </c>
      <c r="N2216" s="157">
        <f t="shared" si="34"/>
        <v>0</v>
      </c>
    </row>
    <row r="2217" spans="2:14">
      <c r="B2217" s="46"/>
      <c r="C2217" s="46"/>
      <c r="D2217" s="80">
        <v>2210203</v>
      </c>
      <c r="E2217" s="158" t="s">
        <v>23</v>
      </c>
      <c r="F2217" s="157">
        <v>14800</v>
      </c>
      <c r="H2217" s="46"/>
      <c r="I2217" s="46"/>
      <c r="J2217" s="80">
        <v>2210203</v>
      </c>
      <c r="K2217" s="158" t="s">
        <v>23</v>
      </c>
      <c r="L2217" s="157">
        <v>14800</v>
      </c>
      <c r="N2217" s="157">
        <f t="shared" si="34"/>
        <v>0</v>
      </c>
    </row>
    <row r="2218" spans="2:14">
      <c r="B2218" s="46"/>
      <c r="C2218" s="46"/>
      <c r="D2218" s="80">
        <v>2210299</v>
      </c>
      <c r="E2218" s="158" t="s">
        <v>1414</v>
      </c>
      <c r="F2218" s="157">
        <v>550000</v>
      </c>
      <c r="H2218" s="46"/>
      <c r="I2218" s="46"/>
      <c r="J2218" s="80">
        <v>2210299</v>
      </c>
      <c r="K2218" s="158" t="s">
        <v>1414</v>
      </c>
      <c r="L2218" s="157">
        <v>550000</v>
      </c>
      <c r="N2218" s="157">
        <f t="shared" si="34"/>
        <v>0</v>
      </c>
    </row>
    <row r="2219" spans="2:14">
      <c r="B2219" s="46"/>
      <c r="C2219" s="46"/>
      <c r="D2219" s="1545">
        <v>2210300</v>
      </c>
      <c r="E2219" s="1546" t="s">
        <v>24</v>
      </c>
      <c r="F2219" s="1861">
        <v>1744410</v>
      </c>
      <c r="H2219" s="46"/>
      <c r="I2219" s="46"/>
      <c r="J2219" s="1545">
        <v>2210300</v>
      </c>
      <c r="K2219" s="1546" t="s">
        <v>24</v>
      </c>
      <c r="L2219" s="1861">
        <v>1744410</v>
      </c>
      <c r="N2219" s="1861">
        <f t="shared" si="34"/>
        <v>0</v>
      </c>
    </row>
    <row r="2220" spans="2:14">
      <c r="B2220" s="46"/>
      <c r="C2220" s="46"/>
      <c r="D2220" s="80">
        <v>2210301</v>
      </c>
      <c r="E2220" s="158" t="s">
        <v>25</v>
      </c>
      <c r="F2220" s="157">
        <v>467350</v>
      </c>
      <c r="H2220" s="46"/>
      <c r="I2220" s="46"/>
      <c r="J2220" s="80">
        <v>2210301</v>
      </c>
      <c r="K2220" s="158" t="s">
        <v>25</v>
      </c>
      <c r="L2220" s="157">
        <v>467350</v>
      </c>
      <c r="N2220" s="157">
        <f t="shared" si="34"/>
        <v>0</v>
      </c>
    </row>
    <row r="2221" spans="2:14">
      <c r="B2221" s="46"/>
      <c r="C2221" s="46"/>
      <c r="D2221" s="80">
        <v>2210302</v>
      </c>
      <c r="E2221" s="158" t="s">
        <v>26</v>
      </c>
      <c r="F2221" s="157">
        <v>570900</v>
      </c>
      <c r="H2221" s="46"/>
      <c r="I2221" s="46"/>
      <c r="J2221" s="80">
        <v>2210302</v>
      </c>
      <c r="K2221" s="158" t="s">
        <v>26</v>
      </c>
      <c r="L2221" s="157">
        <v>570900</v>
      </c>
      <c r="N2221" s="157">
        <f t="shared" si="34"/>
        <v>0</v>
      </c>
    </row>
    <row r="2222" spans="2:14">
      <c r="B2222" s="46"/>
      <c r="C2222" s="46"/>
      <c r="D2222" s="80">
        <v>2210303</v>
      </c>
      <c r="E2222" s="158" t="s">
        <v>27</v>
      </c>
      <c r="F2222" s="157">
        <v>668720</v>
      </c>
      <c r="H2222" s="46"/>
      <c r="I2222" s="46"/>
      <c r="J2222" s="80">
        <v>2210303</v>
      </c>
      <c r="K2222" s="158" t="s">
        <v>27</v>
      </c>
      <c r="L2222" s="157">
        <v>668720</v>
      </c>
      <c r="N2222" s="157">
        <f t="shared" si="34"/>
        <v>0</v>
      </c>
    </row>
    <row r="2223" spans="2:14">
      <c r="B2223" s="46"/>
      <c r="C2223" s="46"/>
      <c r="D2223" s="80">
        <v>2210304</v>
      </c>
      <c r="E2223" s="158" t="s">
        <v>28</v>
      </c>
      <c r="F2223" s="157">
        <v>10640</v>
      </c>
      <c r="H2223" s="46"/>
      <c r="I2223" s="46"/>
      <c r="J2223" s="80">
        <v>2210304</v>
      </c>
      <c r="K2223" s="158" t="s">
        <v>28</v>
      </c>
      <c r="L2223" s="157">
        <v>10640</v>
      </c>
      <c r="N2223" s="157">
        <f t="shared" si="34"/>
        <v>0</v>
      </c>
    </row>
    <row r="2224" spans="2:14">
      <c r="B2224" s="46"/>
      <c r="C2224" s="46"/>
      <c r="D2224" s="80">
        <v>2210307</v>
      </c>
      <c r="E2224" s="158" t="s">
        <v>483</v>
      </c>
      <c r="F2224" s="157">
        <v>26800</v>
      </c>
      <c r="H2224" s="46"/>
      <c r="I2224" s="46"/>
      <c r="J2224" s="80">
        <v>2210307</v>
      </c>
      <c r="K2224" s="158" t="s">
        <v>483</v>
      </c>
      <c r="L2224" s="157">
        <v>26800</v>
      </c>
      <c r="N2224" s="157">
        <f t="shared" si="34"/>
        <v>0</v>
      </c>
    </row>
    <row r="2225" spans="2:14">
      <c r="B2225" s="46"/>
      <c r="C2225" s="46"/>
      <c r="D2225" s="1545">
        <v>2210400</v>
      </c>
      <c r="E2225" s="1546" t="s">
        <v>484</v>
      </c>
      <c r="F2225" s="1861">
        <v>1252516</v>
      </c>
      <c r="H2225" s="46"/>
      <c r="I2225" s="46"/>
      <c r="J2225" s="1545">
        <v>2210400</v>
      </c>
      <c r="K2225" s="1546" t="s">
        <v>484</v>
      </c>
      <c r="L2225" s="1861">
        <v>1252516</v>
      </c>
      <c r="N2225" s="1861">
        <f t="shared" si="34"/>
        <v>0</v>
      </c>
    </row>
    <row r="2226" spans="2:14">
      <c r="B2226" s="46"/>
      <c r="C2226" s="46"/>
      <c r="D2226" s="80">
        <v>2210401</v>
      </c>
      <c r="E2226" s="158" t="s">
        <v>25</v>
      </c>
      <c r="F2226" s="157">
        <v>360400</v>
      </c>
      <c r="H2226" s="46"/>
      <c r="I2226" s="46"/>
      <c r="J2226" s="80">
        <v>2210401</v>
      </c>
      <c r="K2226" s="158" t="s">
        <v>25</v>
      </c>
      <c r="L2226" s="157">
        <v>360400</v>
      </c>
      <c r="N2226" s="157">
        <f t="shared" si="34"/>
        <v>0</v>
      </c>
    </row>
    <row r="2227" spans="2:14">
      <c r="B2227" s="46"/>
      <c r="C2227" s="46"/>
      <c r="D2227" s="80">
        <v>2210402</v>
      </c>
      <c r="E2227" s="158" t="s">
        <v>485</v>
      </c>
      <c r="F2227" s="157">
        <v>240700</v>
      </c>
      <c r="H2227" s="46"/>
      <c r="I2227" s="46"/>
      <c r="J2227" s="80">
        <v>2210402</v>
      </c>
      <c r="K2227" s="158" t="s">
        <v>485</v>
      </c>
      <c r="L2227" s="157">
        <v>240700</v>
      </c>
      <c r="N2227" s="157">
        <f t="shared" si="34"/>
        <v>0</v>
      </c>
    </row>
    <row r="2228" spans="2:14">
      <c r="B2228" s="46"/>
      <c r="C2228" s="46"/>
      <c r="D2228" s="80">
        <v>2210403</v>
      </c>
      <c r="E2228" s="158" t="s">
        <v>27</v>
      </c>
      <c r="F2228" s="157">
        <v>640616</v>
      </c>
      <c r="H2228" s="46"/>
      <c r="I2228" s="46"/>
      <c r="J2228" s="80">
        <v>2210403</v>
      </c>
      <c r="K2228" s="158" t="s">
        <v>27</v>
      </c>
      <c r="L2228" s="157">
        <v>640616</v>
      </c>
      <c r="N2228" s="157">
        <f t="shared" si="34"/>
        <v>0</v>
      </c>
    </row>
    <row r="2229" spans="2:14">
      <c r="B2229" s="46"/>
      <c r="C2229" s="46"/>
      <c r="D2229" s="80">
        <v>2210404</v>
      </c>
      <c r="E2229" s="158" t="s">
        <v>486</v>
      </c>
      <c r="F2229" s="157">
        <v>10800</v>
      </c>
      <c r="H2229" s="46"/>
      <c r="I2229" s="46"/>
      <c r="J2229" s="80">
        <v>2210404</v>
      </c>
      <c r="K2229" s="158" t="s">
        <v>486</v>
      </c>
      <c r="L2229" s="157">
        <v>10800</v>
      </c>
      <c r="N2229" s="157">
        <f t="shared" si="34"/>
        <v>0</v>
      </c>
    </row>
    <row r="2230" spans="2:14">
      <c r="B2230" s="46"/>
      <c r="C2230" s="46"/>
      <c r="D2230" s="1545">
        <v>2210500</v>
      </c>
      <c r="E2230" s="1546" t="s">
        <v>31</v>
      </c>
      <c r="F2230" s="1861">
        <v>982723</v>
      </c>
      <c r="H2230" s="46"/>
      <c r="I2230" s="46"/>
      <c r="J2230" s="1545">
        <v>2210500</v>
      </c>
      <c r="K2230" s="1546" t="s">
        <v>31</v>
      </c>
      <c r="L2230" s="1861">
        <v>982723</v>
      </c>
      <c r="N2230" s="1861">
        <f t="shared" si="34"/>
        <v>0</v>
      </c>
    </row>
    <row r="2231" spans="2:14">
      <c r="B2231" s="46"/>
      <c r="C2231" s="46"/>
      <c r="D2231" s="80">
        <v>2210502</v>
      </c>
      <c r="E2231" s="158" t="s">
        <v>487</v>
      </c>
      <c r="F2231" s="141">
        <v>227281</v>
      </c>
      <c r="H2231" s="46"/>
      <c r="I2231" s="46"/>
      <c r="J2231" s="80">
        <v>2210502</v>
      </c>
      <c r="K2231" s="158" t="s">
        <v>487</v>
      </c>
      <c r="L2231" s="141">
        <v>227281</v>
      </c>
      <c r="N2231" s="141">
        <f t="shared" si="34"/>
        <v>0</v>
      </c>
    </row>
    <row r="2232" spans="2:14">
      <c r="B2232" s="46"/>
      <c r="C2232" s="46"/>
      <c r="D2232" s="80">
        <v>2210503</v>
      </c>
      <c r="E2232" s="158" t="s">
        <v>32</v>
      </c>
      <c r="F2232" s="141">
        <v>58058</v>
      </c>
      <c r="H2232" s="46"/>
      <c r="I2232" s="46"/>
      <c r="J2232" s="80">
        <v>2210503</v>
      </c>
      <c r="K2232" s="158" t="s">
        <v>32</v>
      </c>
      <c r="L2232" s="141">
        <v>58058</v>
      </c>
      <c r="N2232" s="141">
        <f t="shared" si="34"/>
        <v>0</v>
      </c>
    </row>
    <row r="2233" spans="2:14">
      <c r="B2233" s="46"/>
      <c r="C2233" s="46"/>
      <c r="D2233" s="80">
        <v>2210504</v>
      </c>
      <c r="E2233" s="158" t="s">
        <v>33</v>
      </c>
      <c r="F2233" s="141">
        <v>271105</v>
      </c>
      <c r="H2233" s="46"/>
      <c r="I2233" s="46"/>
      <c r="J2233" s="80">
        <v>2210504</v>
      </c>
      <c r="K2233" s="158" t="s">
        <v>33</v>
      </c>
      <c r="L2233" s="141">
        <v>271105</v>
      </c>
      <c r="N2233" s="141">
        <f t="shared" si="34"/>
        <v>0</v>
      </c>
    </row>
    <row r="2234" spans="2:14">
      <c r="B2234" s="46"/>
      <c r="C2234" s="46"/>
      <c r="D2234" s="80">
        <v>2210505</v>
      </c>
      <c r="E2234" s="158" t="s">
        <v>488</v>
      </c>
      <c r="F2234" s="141">
        <v>426279</v>
      </c>
      <c r="H2234" s="46"/>
      <c r="I2234" s="46"/>
      <c r="J2234" s="80">
        <v>2210505</v>
      </c>
      <c r="K2234" s="158" t="s">
        <v>488</v>
      </c>
      <c r="L2234" s="141">
        <v>426279</v>
      </c>
      <c r="N2234" s="141">
        <f t="shared" si="34"/>
        <v>0</v>
      </c>
    </row>
    <row r="2235" spans="2:14">
      <c r="B2235" s="46"/>
      <c r="C2235" s="46"/>
      <c r="D2235" s="1545">
        <v>2210600</v>
      </c>
      <c r="E2235" s="1546" t="s">
        <v>154</v>
      </c>
      <c r="F2235" s="1861">
        <v>176214</v>
      </c>
      <c r="H2235" s="46"/>
      <c r="I2235" s="46"/>
      <c r="J2235" s="1545">
        <v>2210600</v>
      </c>
      <c r="K2235" s="1546" t="s">
        <v>154</v>
      </c>
      <c r="L2235" s="1861">
        <v>176214</v>
      </c>
      <c r="N2235" s="1861">
        <f t="shared" si="34"/>
        <v>0</v>
      </c>
    </row>
    <row r="2236" spans="2:14">
      <c r="B2236" s="46"/>
      <c r="C2236" s="46"/>
      <c r="D2236" s="80">
        <v>2210603</v>
      </c>
      <c r="E2236" s="158" t="s">
        <v>489</v>
      </c>
      <c r="F2236" s="157">
        <v>176214</v>
      </c>
      <c r="H2236" s="46"/>
      <c r="I2236" s="46"/>
      <c r="J2236" s="80">
        <v>2210603</v>
      </c>
      <c r="K2236" s="158" t="s">
        <v>489</v>
      </c>
      <c r="L2236" s="157">
        <v>176214</v>
      </c>
      <c r="N2236" s="157">
        <f t="shared" si="34"/>
        <v>0</v>
      </c>
    </row>
    <row r="2237" spans="2:14">
      <c r="B2237" s="46"/>
      <c r="C2237" s="46"/>
      <c r="D2237" s="1545">
        <v>2210700</v>
      </c>
      <c r="E2237" s="1546" t="s">
        <v>35</v>
      </c>
      <c r="F2237" s="1861">
        <v>1286807</v>
      </c>
      <c r="H2237" s="46"/>
      <c r="I2237" s="46"/>
      <c r="J2237" s="1545">
        <v>2210700</v>
      </c>
      <c r="K2237" s="1546" t="s">
        <v>35</v>
      </c>
      <c r="L2237" s="1861">
        <v>1286807</v>
      </c>
      <c r="N2237" s="1861">
        <f t="shared" si="34"/>
        <v>0</v>
      </c>
    </row>
    <row r="2238" spans="2:14">
      <c r="B2238" s="46"/>
      <c r="C2238" s="46"/>
      <c r="D2238" s="80">
        <v>2210701</v>
      </c>
      <c r="E2238" s="158" t="s">
        <v>36</v>
      </c>
      <c r="F2238" s="141">
        <v>226227</v>
      </c>
      <c r="H2238" s="46"/>
      <c r="I2238" s="46"/>
      <c r="J2238" s="80">
        <v>2210701</v>
      </c>
      <c r="K2238" s="158" t="s">
        <v>36</v>
      </c>
      <c r="L2238" s="141">
        <v>226227</v>
      </c>
      <c r="N2238" s="141">
        <f t="shared" si="34"/>
        <v>0</v>
      </c>
    </row>
    <row r="2239" spans="2:14">
      <c r="B2239" s="46"/>
      <c r="C2239" s="46"/>
      <c r="D2239" s="80">
        <v>2210710</v>
      </c>
      <c r="E2239" s="158" t="s">
        <v>39</v>
      </c>
      <c r="F2239" s="141">
        <v>243550</v>
      </c>
      <c r="H2239" s="46"/>
      <c r="I2239" s="46"/>
      <c r="J2239" s="80">
        <v>2210710</v>
      </c>
      <c r="K2239" s="158" t="s">
        <v>39</v>
      </c>
      <c r="L2239" s="141">
        <v>243550</v>
      </c>
      <c r="N2239" s="141">
        <f t="shared" si="34"/>
        <v>0</v>
      </c>
    </row>
    <row r="2240" spans="2:14">
      <c r="B2240" s="46"/>
      <c r="C2240" s="46"/>
      <c r="D2240" s="80">
        <v>2210711</v>
      </c>
      <c r="E2240" s="158" t="s">
        <v>490</v>
      </c>
      <c r="F2240" s="141">
        <v>175450</v>
      </c>
      <c r="H2240" s="46"/>
      <c r="I2240" s="46"/>
      <c r="J2240" s="80">
        <v>2210711</v>
      </c>
      <c r="K2240" s="158" t="s">
        <v>490</v>
      </c>
      <c r="L2240" s="141">
        <v>175450</v>
      </c>
      <c r="N2240" s="141">
        <f t="shared" si="34"/>
        <v>0</v>
      </c>
    </row>
    <row r="2241" spans="2:14">
      <c r="B2241" s="46"/>
      <c r="C2241" s="46"/>
      <c r="D2241" s="80">
        <v>2210715</v>
      </c>
      <c r="E2241" s="158" t="s">
        <v>40</v>
      </c>
      <c r="F2241" s="141">
        <v>510930</v>
      </c>
      <c r="H2241" s="46"/>
      <c r="I2241" s="46"/>
      <c r="J2241" s="80">
        <v>2210715</v>
      </c>
      <c r="K2241" s="158" t="s">
        <v>40</v>
      </c>
      <c r="L2241" s="141">
        <v>510930</v>
      </c>
      <c r="N2241" s="141">
        <f t="shared" si="34"/>
        <v>0</v>
      </c>
    </row>
    <row r="2242" spans="2:14">
      <c r="B2242" s="46"/>
      <c r="C2242" s="46"/>
      <c r="D2242" s="80">
        <v>2210799</v>
      </c>
      <c r="E2242" s="158" t="s">
        <v>1415</v>
      </c>
      <c r="F2242" s="141">
        <v>130650</v>
      </c>
      <c r="H2242" s="46"/>
      <c r="I2242" s="46"/>
      <c r="J2242" s="80">
        <v>2210799</v>
      </c>
      <c r="K2242" s="158" t="s">
        <v>1415</v>
      </c>
      <c r="L2242" s="141">
        <v>130650</v>
      </c>
      <c r="N2242" s="141">
        <f t="shared" si="34"/>
        <v>0</v>
      </c>
    </row>
    <row r="2243" spans="2:14">
      <c r="B2243" s="46"/>
      <c r="C2243" s="46"/>
      <c r="D2243" s="1545">
        <v>2210800</v>
      </c>
      <c r="E2243" s="1546" t="s">
        <v>42</v>
      </c>
      <c r="F2243" s="1861">
        <v>1036277</v>
      </c>
      <c r="H2243" s="46"/>
      <c r="I2243" s="46"/>
      <c r="J2243" s="1545">
        <v>2210800</v>
      </c>
      <c r="K2243" s="1546" t="s">
        <v>42</v>
      </c>
      <c r="L2243" s="1861">
        <v>1036277</v>
      </c>
      <c r="N2243" s="1861">
        <f t="shared" si="34"/>
        <v>0</v>
      </c>
    </row>
    <row r="2244" spans="2:14">
      <c r="B2244" s="46"/>
      <c r="C2244" s="46"/>
      <c r="D2244" s="80">
        <v>2210801</v>
      </c>
      <c r="E2244" s="158" t="s">
        <v>43</v>
      </c>
      <c r="F2244" s="157">
        <v>524172</v>
      </c>
      <c r="H2244" s="46"/>
      <c r="I2244" s="46"/>
      <c r="J2244" s="80">
        <v>2210801</v>
      </c>
      <c r="K2244" s="158" t="s">
        <v>43</v>
      </c>
      <c r="L2244" s="157">
        <v>524172</v>
      </c>
      <c r="N2244" s="157">
        <f t="shared" si="34"/>
        <v>0</v>
      </c>
    </row>
    <row r="2245" spans="2:14">
      <c r="B2245" s="46"/>
      <c r="C2245" s="46"/>
      <c r="D2245" s="80">
        <v>2210802</v>
      </c>
      <c r="E2245" s="158" t="s">
        <v>45</v>
      </c>
      <c r="F2245" s="157">
        <v>512105</v>
      </c>
      <c r="H2245" s="46"/>
      <c r="I2245" s="46"/>
      <c r="J2245" s="80">
        <v>2210802</v>
      </c>
      <c r="K2245" s="158" t="s">
        <v>45</v>
      </c>
      <c r="L2245" s="157">
        <v>512105</v>
      </c>
      <c r="N2245" s="157">
        <f t="shared" si="34"/>
        <v>0</v>
      </c>
    </row>
    <row r="2246" spans="2:14">
      <c r="B2246" s="46"/>
      <c r="C2246" s="46"/>
      <c r="D2246" s="1545">
        <v>2210900</v>
      </c>
      <c r="E2246" s="1546" t="s">
        <v>46</v>
      </c>
      <c r="F2246" s="1861">
        <v>999000</v>
      </c>
      <c r="H2246" s="46"/>
      <c r="I2246" s="46"/>
      <c r="J2246" s="1545">
        <v>2210900</v>
      </c>
      <c r="K2246" s="1546" t="s">
        <v>46</v>
      </c>
      <c r="L2246" s="1861">
        <v>999000</v>
      </c>
      <c r="N2246" s="1861">
        <f t="shared" si="34"/>
        <v>0</v>
      </c>
    </row>
    <row r="2247" spans="2:14">
      <c r="B2247" s="46"/>
      <c r="C2247" s="46"/>
      <c r="D2247" s="80">
        <v>2210903</v>
      </c>
      <c r="E2247" s="158" t="s">
        <v>491</v>
      </c>
      <c r="F2247" s="157">
        <v>999000</v>
      </c>
      <c r="H2247" s="46"/>
      <c r="I2247" s="46"/>
      <c r="J2247" s="80">
        <v>2210903</v>
      </c>
      <c r="K2247" s="158" t="s">
        <v>491</v>
      </c>
      <c r="L2247" s="157">
        <v>999000</v>
      </c>
      <c r="N2247" s="157">
        <f t="shared" si="34"/>
        <v>0</v>
      </c>
    </row>
    <row r="2248" spans="2:14">
      <c r="B2248" s="27"/>
      <c r="C2248" s="27"/>
      <c r="D2248" s="1545">
        <v>2211000</v>
      </c>
      <c r="E2248" s="1546" t="s">
        <v>118</v>
      </c>
      <c r="F2248" s="1861">
        <v>256800</v>
      </c>
      <c r="H2248" s="27"/>
      <c r="I2248" s="27"/>
      <c r="J2248" s="1545">
        <v>2211000</v>
      </c>
      <c r="K2248" s="1546" t="s">
        <v>118</v>
      </c>
      <c r="L2248" s="1861">
        <v>256800</v>
      </c>
      <c r="N2248" s="1861">
        <f t="shared" ref="N2248:N2311" si="35">F2248-L2248</f>
        <v>0</v>
      </c>
    </row>
    <row r="2249" spans="2:14">
      <c r="B2249" s="27"/>
      <c r="C2249" s="27"/>
      <c r="D2249" s="80">
        <v>2211016</v>
      </c>
      <c r="E2249" s="1862" t="s">
        <v>196</v>
      </c>
      <c r="F2249" s="157">
        <v>256800</v>
      </c>
      <c r="H2249" s="27"/>
      <c r="I2249" s="27"/>
      <c r="J2249" s="80">
        <v>2211016</v>
      </c>
      <c r="K2249" s="1862" t="s">
        <v>196</v>
      </c>
      <c r="L2249" s="157">
        <v>256800</v>
      </c>
      <c r="N2249" s="157">
        <f t="shared" si="35"/>
        <v>0</v>
      </c>
    </row>
    <row r="2250" spans="2:14">
      <c r="B2250" s="46"/>
      <c r="C2250" s="46"/>
      <c r="D2250" s="1545">
        <v>2211100</v>
      </c>
      <c r="E2250" s="1546" t="s">
        <v>51</v>
      </c>
      <c r="F2250" s="1861">
        <v>989812</v>
      </c>
      <c r="H2250" s="46"/>
      <c r="I2250" s="46"/>
      <c r="J2250" s="1545">
        <v>2211100</v>
      </c>
      <c r="K2250" s="1546" t="s">
        <v>51</v>
      </c>
      <c r="L2250" s="1861">
        <v>989812</v>
      </c>
      <c r="N2250" s="1861">
        <f t="shared" si="35"/>
        <v>0</v>
      </c>
    </row>
    <row r="2251" spans="2:14">
      <c r="B2251" s="46"/>
      <c r="C2251" s="46"/>
      <c r="D2251" s="80">
        <v>2211101</v>
      </c>
      <c r="E2251" s="158" t="s">
        <v>52</v>
      </c>
      <c r="F2251" s="141">
        <v>331862</v>
      </c>
      <c r="H2251" s="46"/>
      <c r="I2251" s="46"/>
      <c r="J2251" s="80">
        <v>2211101</v>
      </c>
      <c r="K2251" s="158" t="s">
        <v>52</v>
      </c>
      <c r="L2251" s="141">
        <v>331862</v>
      </c>
      <c r="N2251" s="141">
        <f t="shared" si="35"/>
        <v>0</v>
      </c>
    </row>
    <row r="2252" spans="2:14">
      <c r="B2252" s="46"/>
      <c r="C2252" s="46"/>
      <c r="D2252" s="80">
        <v>2211102</v>
      </c>
      <c r="E2252" s="58" t="s">
        <v>53</v>
      </c>
      <c r="F2252" s="141">
        <v>474970</v>
      </c>
      <c r="H2252" s="46"/>
      <c r="I2252" s="46"/>
      <c r="J2252" s="80">
        <v>2211102</v>
      </c>
      <c r="K2252" s="58" t="s">
        <v>53</v>
      </c>
      <c r="L2252" s="141">
        <v>474970</v>
      </c>
      <c r="N2252" s="141">
        <f t="shared" si="35"/>
        <v>0</v>
      </c>
    </row>
    <row r="2253" spans="2:14">
      <c r="B2253" s="46"/>
      <c r="C2253" s="46"/>
      <c r="D2253" s="80">
        <v>2211103</v>
      </c>
      <c r="E2253" s="158" t="s">
        <v>54</v>
      </c>
      <c r="F2253" s="157">
        <v>182980</v>
      </c>
      <c r="H2253" s="46"/>
      <c r="I2253" s="46"/>
      <c r="J2253" s="80">
        <v>2211103</v>
      </c>
      <c r="K2253" s="158" t="s">
        <v>54</v>
      </c>
      <c r="L2253" s="157">
        <v>182980</v>
      </c>
      <c r="N2253" s="157">
        <f t="shared" si="35"/>
        <v>0</v>
      </c>
    </row>
    <row r="2254" spans="2:14">
      <c r="B2254" s="46"/>
      <c r="C2254" s="46"/>
      <c r="D2254" s="1545">
        <v>2211200</v>
      </c>
      <c r="E2254" s="1546" t="s">
        <v>492</v>
      </c>
      <c r="F2254" s="1861">
        <v>1040000</v>
      </c>
      <c r="H2254" s="46"/>
      <c r="I2254" s="46"/>
      <c r="J2254" s="1545">
        <v>2211200</v>
      </c>
      <c r="K2254" s="1546" t="s">
        <v>492</v>
      </c>
      <c r="L2254" s="1861">
        <v>1040000</v>
      </c>
      <c r="N2254" s="1861">
        <f t="shared" si="35"/>
        <v>0</v>
      </c>
    </row>
    <row r="2255" spans="2:14">
      <c r="B2255" s="46"/>
      <c r="C2255" s="46"/>
      <c r="D2255" s="80">
        <v>2211201</v>
      </c>
      <c r="E2255" s="158" t="s">
        <v>493</v>
      </c>
      <c r="F2255" s="157">
        <v>1040000</v>
      </c>
      <c r="H2255" s="46"/>
      <c r="I2255" s="46"/>
      <c r="J2255" s="80">
        <v>2211201</v>
      </c>
      <c r="K2255" s="158" t="s">
        <v>493</v>
      </c>
      <c r="L2255" s="157">
        <v>1040000</v>
      </c>
      <c r="N2255" s="157">
        <f t="shared" si="35"/>
        <v>0</v>
      </c>
    </row>
    <row r="2256" spans="2:14">
      <c r="B2256" s="46"/>
      <c r="C2256" s="46"/>
      <c r="D2256" s="1545">
        <v>2211300</v>
      </c>
      <c r="E2256" s="1546" t="s">
        <v>57</v>
      </c>
      <c r="F2256" s="1861">
        <v>1155331</v>
      </c>
      <c r="H2256" s="46"/>
      <c r="I2256" s="46"/>
      <c r="J2256" s="1545">
        <v>2211300</v>
      </c>
      <c r="K2256" s="1546" t="s">
        <v>57</v>
      </c>
      <c r="L2256" s="1861">
        <v>1155331</v>
      </c>
      <c r="N2256" s="1861">
        <f t="shared" si="35"/>
        <v>0</v>
      </c>
    </row>
    <row r="2257" spans="2:14">
      <c r="B2257" s="46"/>
      <c r="C2257" s="46"/>
      <c r="D2257" s="1863">
        <v>2211305</v>
      </c>
      <c r="E2257" s="1864" t="s">
        <v>1416</v>
      </c>
      <c r="F2257" s="157">
        <v>778875</v>
      </c>
      <c r="H2257" s="46"/>
      <c r="I2257" s="46"/>
      <c r="J2257" s="1863">
        <v>2211305</v>
      </c>
      <c r="K2257" s="1864" t="s">
        <v>1416</v>
      </c>
      <c r="L2257" s="157">
        <v>778875</v>
      </c>
      <c r="N2257" s="157">
        <f t="shared" si="35"/>
        <v>0</v>
      </c>
    </row>
    <row r="2258" spans="2:14">
      <c r="B2258" s="46"/>
      <c r="C2258" s="46"/>
      <c r="D2258" s="80">
        <v>2211306</v>
      </c>
      <c r="E2258" s="158" t="s">
        <v>494</v>
      </c>
      <c r="F2258" s="157">
        <v>376456</v>
      </c>
      <c r="H2258" s="46"/>
      <c r="I2258" s="46"/>
      <c r="J2258" s="80">
        <v>2211306</v>
      </c>
      <c r="K2258" s="158" t="s">
        <v>494</v>
      </c>
      <c r="L2258" s="157">
        <v>376456</v>
      </c>
      <c r="N2258" s="157">
        <f t="shared" si="35"/>
        <v>0</v>
      </c>
    </row>
    <row r="2259" spans="2:14">
      <c r="B2259" s="46"/>
      <c r="C2259" s="46"/>
      <c r="D2259" s="1545">
        <v>2220100</v>
      </c>
      <c r="E2259" s="1546" t="s">
        <v>62</v>
      </c>
      <c r="F2259" s="1861">
        <v>447690</v>
      </c>
      <c r="H2259" s="46"/>
      <c r="I2259" s="46"/>
      <c r="J2259" s="1545">
        <v>2220100</v>
      </c>
      <c r="K2259" s="1546" t="s">
        <v>62</v>
      </c>
      <c r="L2259" s="1861">
        <v>447690</v>
      </c>
      <c r="N2259" s="1861">
        <f t="shared" si="35"/>
        <v>0</v>
      </c>
    </row>
    <row r="2260" spans="2:14">
      <c r="B2260" s="46"/>
      <c r="C2260" s="46"/>
      <c r="D2260" s="80">
        <v>2220101</v>
      </c>
      <c r="E2260" s="158" t="s">
        <v>250</v>
      </c>
      <c r="F2260" s="141">
        <v>447690</v>
      </c>
      <c r="H2260" s="46"/>
      <c r="I2260" s="46"/>
      <c r="J2260" s="80">
        <v>2220101</v>
      </c>
      <c r="K2260" s="158" t="s">
        <v>250</v>
      </c>
      <c r="L2260" s="141">
        <v>447690</v>
      </c>
      <c r="N2260" s="141">
        <f t="shared" si="35"/>
        <v>0</v>
      </c>
    </row>
    <row r="2261" spans="2:14">
      <c r="B2261" s="46"/>
      <c r="C2261" s="46"/>
      <c r="D2261" s="1545">
        <v>2220200</v>
      </c>
      <c r="E2261" s="1546" t="s">
        <v>86</v>
      </c>
      <c r="F2261" s="1861">
        <v>892035</v>
      </c>
      <c r="H2261" s="46"/>
      <c r="I2261" s="46"/>
      <c r="J2261" s="1545">
        <v>2220200</v>
      </c>
      <c r="K2261" s="1546" t="s">
        <v>86</v>
      </c>
      <c r="L2261" s="1861">
        <v>892035</v>
      </c>
      <c r="N2261" s="1861">
        <f t="shared" si="35"/>
        <v>0</v>
      </c>
    </row>
    <row r="2262" spans="2:14">
      <c r="B2262" s="46"/>
      <c r="C2262" s="46"/>
      <c r="D2262" s="80">
        <v>2220202</v>
      </c>
      <c r="E2262" s="158" t="s">
        <v>495</v>
      </c>
      <c r="F2262" s="157">
        <v>316415</v>
      </c>
      <c r="H2262" s="46"/>
      <c r="I2262" s="46"/>
      <c r="J2262" s="80">
        <v>2220202</v>
      </c>
      <c r="K2262" s="158" t="s">
        <v>495</v>
      </c>
      <c r="L2262" s="157">
        <v>316415</v>
      </c>
      <c r="N2262" s="157">
        <f t="shared" si="35"/>
        <v>0</v>
      </c>
    </row>
    <row r="2263" spans="2:14" ht="30">
      <c r="B2263" s="46"/>
      <c r="C2263" s="46"/>
      <c r="D2263" s="80">
        <v>2220205</v>
      </c>
      <c r="E2263" s="158" t="s">
        <v>1568</v>
      </c>
      <c r="F2263" s="157">
        <v>575620</v>
      </c>
      <c r="H2263" s="46"/>
      <c r="I2263" s="46"/>
      <c r="J2263" s="80">
        <v>2220205</v>
      </c>
      <c r="K2263" s="158" t="s">
        <v>1568</v>
      </c>
      <c r="L2263" s="157">
        <v>575620</v>
      </c>
      <c r="N2263" s="157">
        <f t="shared" si="35"/>
        <v>0</v>
      </c>
    </row>
    <row r="2264" spans="2:14">
      <c r="B2264" s="46"/>
      <c r="C2264" s="46"/>
      <c r="D2264" s="1545">
        <v>3110700</v>
      </c>
      <c r="E2264" s="1546" t="s">
        <v>65</v>
      </c>
      <c r="F2264" s="1861">
        <v>8500000</v>
      </c>
      <c r="H2264" s="46"/>
      <c r="I2264" s="46"/>
      <c r="J2264" s="1545">
        <v>3110700</v>
      </c>
      <c r="K2264" s="1546" t="s">
        <v>65</v>
      </c>
      <c r="L2264" s="1861">
        <v>8500000</v>
      </c>
      <c r="N2264" s="1861">
        <f t="shared" si="35"/>
        <v>0</v>
      </c>
    </row>
    <row r="2265" spans="2:14">
      <c r="B2265" s="46"/>
      <c r="C2265" s="46"/>
      <c r="D2265" s="80">
        <v>3110701</v>
      </c>
      <c r="E2265" s="158" t="s">
        <v>140</v>
      </c>
      <c r="F2265" s="157">
        <v>8500000</v>
      </c>
      <c r="H2265" s="46"/>
      <c r="I2265" s="46"/>
      <c r="J2265" s="80">
        <v>3110701</v>
      </c>
      <c r="K2265" s="158" t="s">
        <v>140</v>
      </c>
      <c r="L2265" s="157">
        <v>8500000</v>
      </c>
      <c r="N2265" s="157">
        <f t="shared" si="35"/>
        <v>0</v>
      </c>
    </row>
    <row r="2266" spans="2:14">
      <c r="B2266" s="46"/>
      <c r="C2266" s="46"/>
      <c r="D2266" s="1545">
        <v>3111000</v>
      </c>
      <c r="E2266" s="1546" t="s">
        <v>69</v>
      </c>
      <c r="F2266" s="1861">
        <v>2165215</v>
      </c>
      <c r="H2266" s="46"/>
      <c r="I2266" s="46"/>
      <c r="J2266" s="1545">
        <v>3111000</v>
      </c>
      <c r="K2266" s="1546" t="s">
        <v>69</v>
      </c>
      <c r="L2266" s="1861">
        <v>2165215</v>
      </c>
      <c r="N2266" s="1861">
        <f t="shared" si="35"/>
        <v>0</v>
      </c>
    </row>
    <row r="2267" spans="2:14">
      <c r="B2267" s="46"/>
      <c r="C2267" s="46"/>
      <c r="D2267" s="80">
        <v>3111001</v>
      </c>
      <c r="E2267" s="158" t="s">
        <v>70</v>
      </c>
      <c r="F2267" s="157">
        <v>640000</v>
      </c>
      <c r="H2267" s="46"/>
      <c r="I2267" s="46"/>
      <c r="J2267" s="80">
        <v>3111001</v>
      </c>
      <c r="K2267" s="158" t="s">
        <v>70</v>
      </c>
      <c r="L2267" s="157">
        <v>640000</v>
      </c>
      <c r="N2267" s="157">
        <f t="shared" si="35"/>
        <v>0</v>
      </c>
    </row>
    <row r="2268" spans="2:14">
      <c r="B2268" s="46"/>
      <c r="C2268" s="46"/>
      <c r="D2268" s="80">
        <v>3111002</v>
      </c>
      <c r="E2268" s="158" t="s">
        <v>71</v>
      </c>
      <c r="F2268" s="157">
        <v>1050000</v>
      </c>
      <c r="H2268" s="46"/>
      <c r="I2268" s="46"/>
      <c r="J2268" s="80">
        <v>3111002</v>
      </c>
      <c r="K2268" s="158" t="s">
        <v>71</v>
      </c>
      <c r="L2268" s="157">
        <v>1050000</v>
      </c>
      <c r="N2268" s="157">
        <f t="shared" si="35"/>
        <v>0</v>
      </c>
    </row>
    <row r="2269" spans="2:14">
      <c r="B2269" s="46"/>
      <c r="C2269" s="46"/>
      <c r="D2269" s="80">
        <v>3111005</v>
      </c>
      <c r="E2269" s="158" t="s">
        <v>1417</v>
      </c>
      <c r="F2269" s="157">
        <v>475215</v>
      </c>
      <c r="H2269" s="46"/>
      <c r="I2269" s="46"/>
      <c r="J2269" s="80">
        <v>3111005</v>
      </c>
      <c r="K2269" s="158" t="s">
        <v>1417</v>
      </c>
      <c r="L2269" s="157">
        <v>475215</v>
      </c>
      <c r="N2269" s="157">
        <f t="shared" si="35"/>
        <v>0</v>
      </c>
    </row>
    <row r="2270" spans="2:14">
      <c r="B2270" s="27"/>
      <c r="C2270" s="27"/>
      <c r="D2270" s="1545"/>
      <c r="E2270" s="1546" t="s">
        <v>310</v>
      </c>
      <c r="F2270" s="1861">
        <v>110640058</v>
      </c>
      <c r="H2270" s="27"/>
      <c r="I2270" s="27"/>
      <c r="J2270" s="1545"/>
      <c r="K2270" s="1546" t="s">
        <v>310</v>
      </c>
      <c r="L2270" s="1861">
        <v>110640058</v>
      </c>
      <c r="N2270" s="1861">
        <f t="shared" si="35"/>
        <v>0</v>
      </c>
    </row>
    <row r="2271" spans="2:14">
      <c r="B2271" s="46"/>
      <c r="C2271" s="46"/>
      <c r="D2271" s="80"/>
      <c r="E2271" s="158"/>
      <c r="F2271" s="157"/>
      <c r="H2271" s="46"/>
      <c r="I2271" s="46"/>
      <c r="J2271" s="80"/>
      <c r="K2271" s="158"/>
      <c r="L2271" s="157"/>
      <c r="N2271" s="157">
        <f t="shared" si="35"/>
        <v>0</v>
      </c>
    </row>
    <row r="2272" spans="2:14">
      <c r="B2272" s="46"/>
      <c r="C2272" s="46"/>
      <c r="D2272" s="1865" t="s">
        <v>1780</v>
      </c>
      <c r="E2272" s="1866"/>
      <c r="F2272" s="1865"/>
      <c r="H2272" s="46"/>
      <c r="I2272" s="46"/>
      <c r="J2272" s="1865" t="s">
        <v>1780</v>
      </c>
      <c r="K2272" s="1866"/>
      <c r="L2272" s="1865"/>
      <c r="N2272" s="1865">
        <f t="shared" si="35"/>
        <v>0</v>
      </c>
    </row>
    <row r="2273" spans="2:14">
      <c r="B2273" s="46"/>
      <c r="C2273" s="46"/>
      <c r="D2273" s="1545" t="s">
        <v>497</v>
      </c>
      <c r="E2273" s="1546"/>
      <c r="F2273" s="157"/>
      <c r="H2273" s="46"/>
      <c r="I2273" s="46"/>
      <c r="J2273" s="1545" t="s">
        <v>497</v>
      </c>
      <c r="K2273" s="1546"/>
      <c r="L2273" s="157"/>
      <c r="N2273" s="157">
        <f t="shared" si="35"/>
        <v>0</v>
      </c>
    </row>
    <row r="2274" spans="2:14">
      <c r="B2274" s="46"/>
      <c r="C2274" s="46"/>
      <c r="D2274" s="1545" t="s">
        <v>498</v>
      </c>
      <c r="E2274" s="1546"/>
      <c r="F2274" s="157"/>
      <c r="H2274" s="46"/>
      <c r="I2274" s="46"/>
      <c r="J2274" s="1545" t="s">
        <v>498</v>
      </c>
      <c r="K2274" s="1546"/>
      <c r="L2274" s="157"/>
      <c r="N2274" s="157">
        <f t="shared" si="35"/>
        <v>0</v>
      </c>
    </row>
    <row r="2275" spans="2:14">
      <c r="B2275" s="46"/>
      <c r="C2275" s="46"/>
      <c r="D2275" s="1545">
        <v>2210100</v>
      </c>
      <c r="E2275" s="1546" t="s">
        <v>16</v>
      </c>
      <c r="F2275" s="1861">
        <v>435751</v>
      </c>
      <c r="H2275" s="46"/>
      <c r="I2275" s="46"/>
      <c r="J2275" s="1545">
        <v>2210100</v>
      </c>
      <c r="K2275" s="1546" t="s">
        <v>16</v>
      </c>
      <c r="L2275" s="1861">
        <v>435751</v>
      </c>
      <c r="N2275" s="1861">
        <f t="shared" si="35"/>
        <v>0</v>
      </c>
    </row>
    <row r="2276" spans="2:14">
      <c r="B2276" s="46"/>
      <c r="C2276" s="46"/>
      <c r="D2276" s="80">
        <v>2210101</v>
      </c>
      <c r="E2276" s="158" t="s">
        <v>499</v>
      </c>
      <c r="F2276" s="157">
        <v>261235</v>
      </c>
      <c r="H2276" s="46"/>
      <c r="I2276" s="46"/>
      <c r="J2276" s="80">
        <v>2210101</v>
      </c>
      <c r="K2276" s="158" t="s">
        <v>499</v>
      </c>
      <c r="L2276" s="157">
        <v>261235</v>
      </c>
      <c r="N2276" s="157">
        <f t="shared" si="35"/>
        <v>0</v>
      </c>
    </row>
    <row r="2277" spans="2:14">
      <c r="B2277" s="46"/>
      <c r="C2277" s="46"/>
      <c r="D2277" s="80">
        <v>2210102</v>
      </c>
      <c r="E2277" s="158" t="s">
        <v>500</v>
      </c>
      <c r="F2277" s="157">
        <v>174516</v>
      </c>
      <c r="H2277" s="46"/>
      <c r="I2277" s="46"/>
      <c r="J2277" s="80">
        <v>2210102</v>
      </c>
      <c r="K2277" s="158" t="s">
        <v>500</v>
      </c>
      <c r="L2277" s="157">
        <v>174516</v>
      </c>
      <c r="N2277" s="157">
        <f t="shared" si="35"/>
        <v>0</v>
      </c>
    </row>
    <row r="2278" spans="2:14">
      <c r="B2278" s="46"/>
      <c r="C2278" s="46"/>
      <c r="D2278" s="1545">
        <v>2210200</v>
      </c>
      <c r="E2278" s="1546" t="s">
        <v>20</v>
      </c>
      <c r="F2278" s="1861">
        <v>274815</v>
      </c>
      <c r="H2278" s="46"/>
      <c r="I2278" s="46"/>
      <c r="J2278" s="1545">
        <v>2210200</v>
      </c>
      <c r="K2278" s="1546" t="s">
        <v>20</v>
      </c>
      <c r="L2278" s="1861">
        <v>274815</v>
      </c>
      <c r="N2278" s="1861">
        <f t="shared" si="35"/>
        <v>0</v>
      </c>
    </row>
    <row r="2279" spans="2:14">
      <c r="B2279" s="46"/>
      <c r="C2279" s="46"/>
      <c r="D2279" s="80">
        <v>2210201</v>
      </c>
      <c r="E2279" s="158" t="s">
        <v>21</v>
      </c>
      <c r="F2279" s="157">
        <v>274815</v>
      </c>
      <c r="H2279" s="46"/>
      <c r="I2279" s="46"/>
      <c r="J2279" s="80">
        <v>2210201</v>
      </c>
      <c r="K2279" s="158" t="s">
        <v>21</v>
      </c>
      <c r="L2279" s="157">
        <v>274815</v>
      </c>
      <c r="N2279" s="157">
        <f t="shared" si="35"/>
        <v>0</v>
      </c>
    </row>
    <row r="2280" spans="2:14">
      <c r="B2280" s="46"/>
      <c r="C2280" s="46"/>
      <c r="D2280" s="1545">
        <v>2210300</v>
      </c>
      <c r="E2280" s="1546" t="s">
        <v>24</v>
      </c>
      <c r="F2280" s="1861">
        <v>1531325</v>
      </c>
      <c r="H2280" s="46"/>
      <c r="I2280" s="46"/>
      <c r="J2280" s="1545">
        <v>2210300</v>
      </c>
      <c r="K2280" s="1546" t="s">
        <v>24</v>
      </c>
      <c r="L2280" s="1861">
        <v>1531325</v>
      </c>
      <c r="N2280" s="1861">
        <f t="shared" si="35"/>
        <v>0</v>
      </c>
    </row>
    <row r="2281" spans="2:14">
      <c r="B2281" s="46"/>
      <c r="C2281" s="46"/>
      <c r="D2281" s="80">
        <v>2210301</v>
      </c>
      <c r="E2281" s="158" t="s">
        <v>25</v>
      </c>
      <c r="F2281" s="157">
        <v>274675</v>
      </c>
      <c r="H2281" s="46"/>
      <c r="I2281" s="46"/>
      <c r="J2281" s="80">
        <v>2210301</v>
      </c>
      <c r="K2281" s="158" t="s">
        <v>25</v>
      </c>
      <c r="L2281" s="157">
        <v>274675</v>
      </c>
      <c r="N2281" s="157">
        <f t="shared" si="35"/>
        <v>0</v>
      </c>
    </row>
    <row r="2282" spans="2:14">
      <c r="B2282" s="46"/>
      <c r="C2282" s="46"/>
      <c r="D2282" s="80">
        <v>2210302</v>
      </c>
      <c r="E2282" s="158" t="s">
        <v>26</v>
      </c>
      <c r="F2282" s="157">
        <v>454850</v>
      </c>
      <c r="H2282" s="46"/>
      <c r="I2282" s="46"/>
      <c r="J2282" s="80">
        <v>2210302</v>
      </c>
      <c r="K2282" s="158" t="s">
        <v>26</v>
      </c>
      <c r="L2282" s="157">
        <v>454850</v>
      </c>
      <c r="N2282" s="157">
        <f t="shared" si="35"/>
        <v>0</v>
      </c>
    </row>
    <row r="2283" spans="2:14">
      <c r="B2283" s="46"/>
      <c r="C2283" s="46"/>
      <c r="D2283" s="80">
        <v>2210303</v>
      </c>
      <c r="E2283" s="158" t="s">
        <v>27</v>
      </c>
      <c r="F2283" s="157">
        <v>796000</v>
      </c>
      <c r="H2283" s="46"/>
      <c r="I2283" s="46"/>
      <c r="J2283" s="80">
        <v>2210303</v>
      </c>
      <c r="K2283" s="158" t="s">
        <v>27</v>
      </c>
      <c r="L2283" s="157">
        <v>796000</v>
      </c>
      <c r="N2283" s="157">
        <f t="shared" si="35"/>
        <v>0</v>
      </c>
    </row>
    <row r="2284" spans="2:14">
      <c r="B2284" s="46"/>
      <c r="C2284" s="46"/>
      <c r="D2284" s="80">
        <v>2210307</v>
      </c>
      <c r="E2284" s="158" t="s">
        <v>483</v>
      </c>
      <c r="F2284" s="157">
        <v>5800</v>
      </c>
      <c r="H2284" s="46"/>
      <c r="I2284" s="46"/>
      <c r="J2284" s="80">
        <v>2210307</v>
      </c>
      <c r="K2284" s="158" t="s">
        <v>483</v>
      </c>
      <c r="L2284" s="157">
        <v>5800</v>
      </c>
      <c r="N2284" s="157">
        <f t="shared" si="35"/>
        <v>0</v>
      </c>
    </row>
    <row r="2285" spans="2:14">
      <c r="B2285" s="46"/>
      <c r="C2285" s="46"/>
      <c r="D2285" s="1545">
        <v>2210500</v>
      </c>
      <c r="E2285" s="1546" t="s">
        <v>31</v>
      </c>
      <c r="F2285" s="1861">
        <v>3815710</v>
      </c>
      <c r="H2285" s="46"/>
      <c r="I2285" s="46"/>
      <c r="J2285" s="1545">
        <v>2210500</v>
      </c>
      <c r="K2285" s="1546" t="s">
        <v>31</v>
      </c>
      <c r="L2285" s="1861">
        <v>3815710</v>
      </c>
      <c r="N2285" s="1861">
        <f t="shared" si="35"/>
        <v>0</v>
      </c>
    </row>
    <row r="2286" spans="2:14" ht="45">
      <c r="B2286" s="46"/>
      <c r="C2286" s="46"/>
      <c r="D2286" s="80">
        <v>2210504</v>
      </c>
      <c r="E2286" s="158" t="s">
        <v>1418</v>
      </c>
      <c r="F2286" s="157">
        <v>1815710</v>
      </c>
      <c r="H2286" s="46"/>
      <c r="I2286" s="46"/>
      <c r="J2286" s="80">
        <v>2210504</v>
      </c>
      <c r="K2286" s="158" t="s">
        <v>1418</v>
      </c>
      <c r="L2286" s="157">
        <v>1815710</v>
      </c>
      <c r="N2286" s="157">
        <f t="shared" si="35"/>
        <v>0</v>
      </c>
    </row>
    <row r="2287" spans="2:14">
      <c r="B2287" s="46"/>
      <c r="C2287" s="46"/>
      <c r="D2287" s="80">
        <v>2210505</v>
      </c>
      <c r="E2287" s="158" t="s">
        <v>501</v>
      </c>
      <c r="F2287" s="157">
        <v>2000000</v>
      </c>
      <c r="H2287" s="46"/>
      <c r="I2287" s="46"/>
      <c r="J2287" s="80">
        <v>2210505</v>
      </c>
      <c r="K2287" s="158" t="s">
        <v>501</v>
      </c>
      <c r="L2287" s="157">
        <v>2000000</v>
      </c>
      <c r="N2287" s="157">
        <f t="shared" si="35"/>
        <v>0</v>
      </c>
    </row>
    <row r="2288" spans="2:14">
      <c r="B2288" s="46"/>
      <c r="C2288" s="46"/>
      <c r="D2288" s="1545">
        <v>2210700</v>
      </c>
      <c r="E2288" s="1546" t="s">
        <v>35</v>
      </c>
      <c r="F2288" s="1861">
        <v>3383295</v>
      </c>
      <c r="H2288" s="46"/>
      <c r="I2288" s="46"/>
      <c r="J2288" s="1545">
        <v>2210700</v>
      </c>
      <c r="K2288" s="1546" t="s">
        <v>35</v>
      </c>
      <c r="L2288" s="1861">
        <v>3383295</v>
      </c>
      <c r="N2288" s="1861">
        <f t="shared" si="35"/>
        <v>0</v>
      </c>
    </row>
    <row r="2289" spans="2:14">
      <c r="B2289" s="46"/>
      <c r="C2289" s="46"/>
      <c r="D2289" s="80">
        <v>2210702</v>
      </c>
      <c r="E2289" s="158" t="s">
        <v>37</v>
      </c>
      <c r="F2289" s="141">
        <v>219050</v>
      </c>
      <c r="H2289" s="46"/>
      <c r="I2289" s="46"/>
      <c r="J2289" s="80">
        <v>2210702</v>
      </c>
      <c r="K2289" s="158" t="s">
        <v>37</v>
      </c>
      <c r="L2289" s="141">
        <v>219050</v>
      </c>
      <c r="N2289" s="141">
        <f t="shared" si="35"/>
        <v>0</v>
      </c>
    </row>
    <row r="2290" spans="2:14">
      <c r="B2290" s="46"/>
      <c r="C2290" s="46"/>
      <c r="D2290" s="80">
        <v>2210704</v>
      </c>
      <c r="E2290" s="158" t="s">
        <v>38</v>
      </c>
      <c r="F2290" s="141">
        <v>323350</v>
      </c>
      <c r="H2290" s="46"/>
      <c r="I2290" s="46"/>
      <c r="J2290" s="80">
        <v>2210704</v>
      </c>
      <c r="K2290" s="158" t="s">
        <v>38</v>
      </c>
      <c r="L2290" s="141">
        <v>323350</v>
      </c>
      <c r="N2290" s="141">
        <f t="shared" si="35"/>
        <v>0</v>
      </c>
    </row>
    <row r="2291" spans="2:14" ht="30">
      <c r="B2291" s="46"/>
      <c r="C2291" s="46"/>
      <c r="D2291" s="80">
        <v>2210707</v>
      </c>
      <c r="E2291" s="158" t="s">
        <v>502</v>
      </c>
      <c r="F2291" s="141">
        <v>1800000</v>
      </c>
      <c r="H2291" s="46"/>
      <c r="I2291" s="46"/>
      <c r="J2291" s="80">
        <v>2210707</v>
      </c>
      <c r="K2291" s="158" t="s">
        <v>502</v>
      </c>
      <c r="L2291" s="141">
        <v>1800000</v>
      </c>
      <c r="N2291" s="141">
        <f t="shared" si="35"/>
        <v>0</v>
      </c>
    </row>
    <row r="2292" spans="2:14">
      <c r="B2292" s="46"/>
      <c r="C2292" s="46"/>
      <c r="D2292" s="80">
        <v>2210710</v>
      </c>
      <c r="E2292" s="158" t="s">
        <v>1419</v>
      </c>
      <c r="F2292" s="141">
        <v>440895</v>
      </c>
      <c r="H2292" s="46"/>
      <c r="I2292" s="46"/>
      <c r="J2292" s="80">
        <v>2210710</v>
      </c>
      <c r="K2292" s="158" t="s">
        <v>1419</v>
      </c>
      <c r="L2292" s="141">
        <v>440895</v>
      </c>
      <c r="N2292" s="141">
        <f t="shared" si="35"/>
        <v>0</v>
      </c>
    </row>
    <row r="2293" spans="2:14">
      <c r="B2293" s="46"/>
      <c r="C2293" s="46"/>
      <c r="D2293" s="80">
        <v>2210715</v>
      </c>
      <c r="E2293" s="158" t="s">
        <v>40</v>
      </c>
      <c r="F2293" s="141">
        <v>600000</v>
      </c>
      <c r="H2293" s="46"/>
      <c r="I2293" s="46"/>
      <c r="J2293" s="80">
        <v>2210715</v>
      </c>
      <c r="K2293" s="158" t="s">
        <v>40</v>
      </c>
      <c r="L2293" s="141">
        <v>600000</v>
      </c>
      <c r="N2293" s="141">
        <f t="shared" si="35"/>
        <v>0</v>
      </c>
    </row>
    <row r="2294" spans="2:14">
      <c r="B2294" s="46"/>
      <c r="C2294" s="46"/>
      <c r="D2294" s="1545">
        <v>2210800</v>
      </c>
      <c r="E2294" s="1546" t="s">
        <v>42</v>
      </c>
      <c r="F2294" s="1861">
        <v>979970</v>
      </c>
      <c r="H2294" s="46"/>
      <c r="I2294" s="46"/>
      <c r="J2294" s="1545">
        <v>2210800</v>
      </c>
      <c r="K2294" s="1546" t="s">
        <v>42</v>
      </c>
      <c r="L2294" s="1861">
        <v>979970</v>
      </c>
      <c r="N2294" s="1861">
        <f t="shared" si="35"/>
        <v>0</v>
      </c>
    </row>
    <row r="2295" spans="2:14">
      <c r="B2295" s="46"/>
      <c r="C2295" s="46"/>
      <c r="D2295" s="80">
        <v>2210801</v>
      </c>
      <c r="E2295" s="158" t="s">
        <v>43</v>
      </c>
      <c r="F2295" s="157">
        <v>423700</v>
      </c>
      <c r="H2295" s="46"/>
      <c r="I2295" s="46"/>
      <c r="J2295" s="80">
        <v>2210801</v>
      </c>
      <c r="K2295" s="158" t="s">
        <v>43</v>
      </c>
      <c r="L2295" s="157">
        <v>423700</v>
      </c>
      <c r="N2295" s="157">
        <f t="shared" si="35"/>
        <v>0</v>
      </c>
    </row>
    <row r="2296" spans="2:14">
      <c r="B2296" s="46"/>
      <c r="C2296" s="46"/>
      <c r="D2296" s="80">
        <v>2210802</v>
      </c>
      <c r="E2296" s="158" t="s">
        <v>45</v>
      </c>
      <c r="F2296" s="157">
        <v>556270</v>
      </c>
      <c r="H2296" s="46"/>
      <c r="I2296" s="46"/>
      <c r="J2296" s="80">
        <v>2210802</v>
      </c>
      <c r="K2296" s="158" t="s">
        <v>45</v>
      </c>
      <c r="L2296" s="157">
        <v>556270</v>
      </c>
      <c r="N2296" s="157">
        <f t="shared" si="35"/>
        <v>0</v>
      </c>
    </row>
    <row r="2297" spans="2:14">
      <c r="B2297" s="46"/>
      <c r="C2297" s="46"/>
      <c r="D2297" s="1545">
        <v>2211100</v>
      </c>
      <c r="E2297" s="1546" t="s">
        <v>51</v>
      </c>
      <c r="F2297" s="1861">
        <v>495668</v>
      </c>
      <c r="H2297" s="46"/>
      <c r="I2297" s="46"/>
      <c r="J2297" s="1545">
        <v>2211100</v>
      </c>
      <c r="K2297" s="1546" t="s">
        <v>51</v>
      </c>
      <c r="L2297" s="1861">
        <v>495668</v>
      </c>
      <c r="N2297" s="1861">
        <f t="shared" si="35"/>
        <v>0</v>
      </c>
    </row>
    <row r="2298" spans="2:14">
      <c r="B2298" s="46"/>
      <c r="C2298" s="46"/>
      <c r="D2298" s="80">
        <v>2211101</v>
      </c>
      <c r="E2298" s="158" t="s">
        <v>52</v>
      </c>
      <c r="F2298" s="141">
        <v>339416</v>
      </c>
      <c r="H2298" s="46"/>
      <c r="I2298" s="46"/>
      <c r="J2298" s="80">
        <v>2211101</v>
      </c>
      <c r="K2298" s="158" t="s">
        <v>52</v>
      </c>
      <c r="L2298" s="141">
        <v>339416</v>
      </c>
      <c r="N2298" s="141">
        <f t="shared" si="35"/>
        <v>0</v>
      </c>
    </row>
    <row r="2299" spans="2:14">
      <c r="B2299" s="46"/>
      <c r="C2299" s="46"/>
      <c r="D2299" s="80">
        <v>2211103</v>
      </c>
      <c r="E2299" s="158" t="s">
        <v>54</v>
      </c>
      <c r="F2299" s="157">
        <v>156252</v>
      </c>
      <c r="H2299" s="46"/>
      <c r="I2299" s="46"/>
      <c r="J2299" s="80">
        <v>2211103</v>
      </c>
      <c r="K2299" s="158" t="s">
        <v>54</v>
      </c>
      <c r="L2299" s="157">
        <v>156252</v>
      </c>
      <c r="N2299" s="157">
        <f t="shared" si="35"/>
        <v>0</v>
      </c>
    </row>
    <row r="2300" spans="2:14">
      <c r="B2300" s="46"/>
      <c r="C2300" s="46"/>
      <c r="D2300" s="1545">
        <v>2211200</v>
      </c>
      <c r="E2300" s="1546" t="s">
        <v>55</v>
      </c>
      <c r="F2300" s="1861">
        <v>729880</v>
      </c>
      <c r="H2300" s="46"/>
      <c r="I2300" s="46"/>
      <c r="J2300" s="1545">
        <v>2211200</v>
      </c>
      <c r="K2300" s="1546" t="s">
        <v>55</v>
      </c>
      <c r="L2300" s="1861">
        <v>729880</v>
      </c>
      <c r="N2300" s="1861">
        <f t="shared" si="35"/>
        <v>0</v>
      </c>
    </row>
    <row r="2301" spans="2:14">
      <c r="B2301" s="46"/>
      <c r="C2301" s="46"/>
      <c r="D2301" s="80">
        <v>2211201</v>
      </c>
      <c r="E2301" s="158" t="s">
        <v>1420</v>
      </c>
      <c r="F2301" s="141">
        <v>729880</v>
      </c>
      <c r="H2301" s="46"/>
      <c r="I2301" s="46"/>
      <c r="J2301" s="80">
        <v>2211201</v>
      </c>
      <c r="K2301" s="158" t="s">
        <v>1420</v>
      </c>
      <c r="L2301" s="141">
        <v>729880</v>
      </c>
      <c r="N2301" s="141">
        <f t="shared" si="35"/>
        <v>0</v>
      </c>
    </row>
    <row r="2302" spans="2:14">
      <c r="B2302" s="27"/>
      <c r="C2302" s="27"/>
      <c r="D2302" s="1545">
        <v>2211300</v>
      </c>
      <c r="E2302" s="1546" t="s">
        <v>57</v>
      </c>
      <c r="F2302" s="1731">
        <v>8469562</v>
      </c>
      <c r="H2302" s="27"/>
      <c r="I2302" s="27"/>
      <c r="J2302" s="1545">
        <v>2211300</v>
      </c>
      <c r="K2302" s="1546" t="s">
        <v>57</v>
      </c>
      <c r="L2302" s="1731">
        <v>8469562</v>
      </c>
      <c r="N2302" s="1731">
        <f t="shared" si="35"/>
        <v>0</v>
      </c>
    </row>
    <row r="2303" spans="2:14" ht="30">
      <c r="B2303" s="46"/>
      <c r="C2303" s="46"/>
      <c r="D2303" s="1863">
        <v>2211320</v>
      </c>
      <c r="E2303" s="1864" t="s">
        <v>1569</v>
      </c>
      <c r="F2303" s="141">
        <v>8469562</v>
      </c>
      <c r="H2303" s="46"/>
      <c r="I2303" s="46"/>
      <c r="J2303" s="1863">
        <v>2211320</v>
      </c>
      <c r="K2303" s="1864" t="s">
        <v>1569</v>
      </c>
      <c r="L2303" s="141">
        <v>8469562</v>
      </c>
      <c r="N2303" s="141">
        <f t="shared" si="35"/>
        <v>0</v>
      </c>
    </row>
    <row r="2304" spans="2:14">
      <c r="B2304" s="46"/>
      <c r="C2304" s="46"/>
      <c r="D2304" s="1545">
        <v>2220100</v>
      </c>
      <c r="E2304" s="1546" t="s">
        <v>503</v>
      </c>
      <c r="F2304" s="1861">
        <v>468200</v>
      </c>
      <c r="H2304" s="46"/>
      <c r="I2304" s="46"/>
      <c r="J2304" s="1545">
        <v>2220100</v>
      </c>
      <c r="K2304" s="1546" t="s">
        <v>503</v>
      </c>
      <c r="L2304" s="1861">
        <v>468200</v>
      </c>
      <c r="N2304" s="1861">
        <f t="shared" si="35"/>
        <v>0</v>
      </c>
    </row>
    <row r="2305" spans="2:14">
      <c r="B2305" s="46"/>
      <c r="C2305" s="46"/>
      <c r="D2305" s="80">
        <v>2220101</v>
      </c>
      <c r="E2305" s="158" t="s">
        <v>1421</v>
      </c>
      <c r="F2305" s="157">
        <v>468200</v>
      </c>
      <c r="H2305" s="46"/>
      <c r="I2305" s="46"/>
      <c r="J2305" s="80">
        <v>2220101</v>
      </c>
      <c r="K2305" s="158" t="s">
        <v>1421</v>
      </c>
      <c r="L2305" s="157">
        <v>468200</v>
      </c>
      <c r="N2305" s="157">
        <f t="shared" si="35"/>
        <v>0</v>
      </c>
    </row>
    <row r="2306" spans="2:14">
      <c r="B2306" s="46"/>
      <c r="C2306" s="46"/>
      <c r="D2306" s="1545">
        <v>2220200</v>
      </c>
      <c r="E2306" s="1546" t="s">
        <v>504</v>
      </c>
      <c r="F2306" s="1861">
        <v>58000</v>
      </c>
      <c r="H2306" s="46"/>
      <c r="I2306" s="46"/>
      <c r="J2306" s="1545">
        <v>2220200</v>
      </c>
      <c r="K2306" s="1546" t="s">
        <v>504</v>
      </c>
      <c r="L2306" s="1861">
        <v>58000</v>
      </c>
      <c r="N2306" s="1861">
        <f t="shared" si="35"/>
        <v>0</v>
      </c>
    </row>
    <row r="2307" spans="2:14">
      <c r="B2307" s="46"/>
      <c r="C2307" s="46"/>
      <c r="D2307" s="80">
        <v>2220205</v>
      </c>
      <c r="E2307" s="1862" t="s">
        <v>125</v>
      </c>
      <c r="F2307" s="157">
        <v>58000</v>
      </c>
      <c r="H2307" s="46"/>
      <c r="I2307" s="46"/>
      <c r="J2307" s="80">
        <v>2220205</v>
      </c>
      <c r="K2307" s="1862" t="s">
        <v>125</v>
      </c>
      <c r="L2307" s="157">
        <v>58000</v>
      </c>
      <c r="N2307" s="157">
        <f t="shared" si="35"/>
        <v>0</v>
      </c>
    </row>
    <row r="2308" spans="2:14">
      <c r="B2308" s="27"/>
      <c r="C2308" s="27"/>
      <c r="D2308" s="1545">
        <v>3111000</v>
      </c>
      <c r="E2308" s="1546" t="s">
        <v>69</v>
      </c>
      <c r="F2308" s="1861">
        <v>746267</v>
      </c>
      <c r="H2308" s="27"/>
      <c r="I2308" s="27"/>
      <c r="J2308" s="1545">
        <v>3111000</v>
      </c>
      <c r="K2308" s="1546" t="s">
        <v>69</v>
      </c>
      <c r="L2308" s="1861">
        <v>746267</v>
      </c>
      <c r="N2308" s="1861">
        <f t="shared" si="35"/>
        <v>0</v>
      </c>
    </row>
    <row r="2309" spans="2:14">
      <c r="B2309" s="46"/>
      <c r="C2309" s="46"/>
      <c r="D2309" s="80">
        <v>3111001</v>
      </c>
      <c r="E2309" s="158" t="s">
        <v>70</v>
      </c>
      <c r="F2309" s="157">
        <v>225450</v>
      </c>
      <c r="H2309" s="46"/>
      <c r="I2309" s="46"/>
      <c r="J2309" s="80">
        <v>3111001</v>
      </c>
      <c r="K2309" s="158" t="s">
        <v>70</v>
      </c>
      <c r="L2309" s="157">
        <v>225450</v>
      </c>
      <c r="N2309" s="157">
        <f t="shared" si="35"/>
        <v>0</v>
      </c>
    </row>
    <row r="2310" spans="2:14">
      <c r="B2310" s="46"/>
      <c r="C2310" s="46"/>
      <c r="D2310" s="80">
        <v>3111002</v>
      </c>
      <c r="E2310" s="158" t="s">
        <v>71</v>
      </c>
      <c r="F2310" s="157">
        <v>520817</v>
      </c>
      <c r="H2310" s="46"/>
      <c r="I2310" s="46"/>
      <c r="J2310" s="80">
        <v>3111002</v>
      </c>
      <c r="K2310" s="158" t="s">
        <v>71</v>
      </c>
      <c r="L2310" s="157">
        <v>520817</v>
      </c>
      <c r="N2310" s="157">
        <f t="shared" si="35"/>
        <v>0</v>
      </c>
    </row>
    <row r="2311" spans="2:14">
      <c r="B2311" s="27"/>
      <c r="C2311" s="27"/>
      <c r="D2311" s="1545">
        <v>3111400</v>
      </c>
      <c r="E2311" s="1546" t="s">
        <v>1316</v>
      </c>
      <c r="F2311" s="1861">
        <v>800000</v>
      </c>
      <c r="H2311" s="27"/>
      <c r="I2311" s="27"/>
      <c r="J2311" s="1545">
        <v>3111400</v>
      </c>
      <c r="K2311" s="1546" t="s">
        <v>1316</v>
      </c>
      <c r="L2311" s="1861">
        <v>800000</v>
      </c>
      <c r="N2311" s="1861">
        <f t="shared" si="35"/>
        <v>0</v>
      </c>
    </row>
    <row r="2312" spans="2:14" ht="30">
      <c r="B2312" s="46"/>
      <c r="C2312" s="46"/>
      <c r="D2312" s="80">
        <v>3111401</v>
      </c>
      <c r="E2312" s="158" t="s">
        <v>1422</v>
      </c>
      <c r="F2312" s="157">
        <v>800000</v>
      </c>
      <c r="H2312" s="46"/>
      <c r="I2312" s="46"/>
      <c r="J2312" s="80">
        <v>3111401</v>
      </c>
      <c r="K2312" s="158" t="s">
        <v>1422</v>
      </c>
      <c r="L2312" s="157">
        <v>800000</v>
      </c>
      <c r="N2312" s="157">
        <f t="shared" ref="N2312:N2375" si="36">F2312-L2312</f>
        <v>0</v>
      </c>
    </row>
    <row r="2313" spans="2:14">
      <c r="B2313" s="46"/>
      <c r="C2313" s="46"/>
      <c r="D2313" s="80"/>
      <c r="E2313" s="1546" t="s">
        <v>310</v>
      </c>
      <c r="F2313" s="1861">
        <v>22188443</v>
      </c>
      <c r="H2313" s="46"/>
      <c r="I2313" s="46"/>
      <c r="J2313" s="80"/>
      <c r="K2313" s="1546" t="s">
        <v>310</v>
      </c>
      <c r="L2313" s="1861">
        <v>22188443</v>
      </c>
      <c r="N2313" s="1861">
        <f t="shared" si="36"/>
        <v>0</v>
      </c>
    </row>
    <row r="2314" spans="2:14">
      <c r="B2314" s="46"/>
      <c r="C2314" s="46"/>
      <c r="D2314" s="80"/>
      <c r="E2314" s="158"/>
      <c r="F2314" s="157"/>
      <c r="H2314" s="46"/>
      <c r="I2314" s="46"/>
      <c r="J2314" s="80"/>
      <c r="K2314" s="158"/>
      <c r="L2314" s="157"/>
      <c r="N2314" s="157">
        <f t="shared" si="36"/>
        <v>0</v>
      </c>
    </row>
    <row r="2315" spans="2:14">
      <c r="B2315" s="46"/>
      <c r="C2315" s="46"/>
      <c r="D2315" s="1545" t="s">
        <v>92</v>
      </c>
      <c r="E2315" s="158"/>
      <c r="F2315" s="157"/>
      <c r="H2315" s="46"/>
      <c r="I2315" s="46"/>
      <c r="J2315" s="1545" t="s">
        <v>92</v>
      </c>
      <c r="K2315" s="158"/>
      <c r="L2315" s="157"/>
      <c r="N2315" s="157">
        <f t="shared" si="36"/>
        <v>0</v>
      </c>
    </row>
    <row r="2316" spans="2:14">
      <c r="B2316" s="27"/>
      <c r="C2316" s="27"/>
      <c r="D2316" s="1545">
        <v>3110200</v>
      </c>
      <c r="E2316" s="1546" t="s">
        <v>505</v>
      </c>
      <c r="F2316" s="1861">
        <v>38049631</v>
      </c>
      <c r="H2316" s="27"/>
      <c r="I2316" s="27"/>
      <c r="J2316" s="1545">
        <v>3110200</v>
      </c>
      <c r="K2316" s="1546" t="s">
        <v>505</v>
      </c>
      <c r="L2316" s="1861">
        <v>38049631</v>
      </c>
      <c r="N2316" s="1861">
        <f t="shared" si="36"/>
        <v>0</v>
      </c>
    </row>
    <row r="2317" spans="2:14">
      <c r="B2317" s="46"/>
      <c r="C2317" s="46"/>
      <c r="D2317" s="80">
        <v>3110202</v>
      </c>
      <c r="E2317" s="158" t="s">
        <v>1423</v>
      </c>
      <c r="F2317" s="157">
        <v>19000000</v>
      </c>
      <c r="H2317" s="46"/>
      <c r="I2317" s="46"/>
      <c r="J2317" s="80">
        <v>3110202</v>
      </c>
      <c r="K2317" s="158" t="s">
        <v>1423</v>
      </c>
      <c r="L2317" s="157">
        <v>19000000</v>
      </c>
      <c r="N2317" s="157">
        <f t="shared" si="36"/>
        <v>0</v>
      </c>
    </row>
    <row r="2318" spans="2:14">
      <c r="B2318" s="46"/>
      <c r="C2318" s="46"/>
      <c r="D2318" s="80">
        <v>3110202</v>
      </c>
      <c r="E2318" s="158" t="s">
        <v>1424</v>
      </c>
      <c r="F2318" s="157">
        <v>19049631</v>
      </c>
      <c r="H2318" s="46"/>
      <c r="I2318" s="46"/>
      <c r="J2318" s="80">
        <v>3110202</v>
      </c>
      <c r="K2318" s="158" t="s">
        <v>1424</v>
      </c>
      <c r="L2318" s="157">
        <v>19049631</v>
      </c>
      <c r="N2318" s="157">
        <f t="shared" si="36"/>
        <v>0</v>
      </c>
    </row>
    <row r="2319" spans="2:14">
      <c r="B2319" s="27"/>
      <c r="C2319" s="27"/>
      <c r="D2319" s="1545">
        <v>3110500</v>
      </c>
      <c r="E2319" s="1546" t="s">
        <v>506</v>
      </c>
      <c r="F2319" s="1861">
        <v>22000000</v>
      </c>
      <c r="H2319" s="27"/>
      <c r="I2319" s="27"/>
      <c r="J2319" s="1545">
        <v>3110500</v>
      </c>
      <c r="K2319" s="1546" t="s">
        <v>506</v>
      </c>
      <c r="L2319" s="1861">
        <v>22000000</v>
      </c>
      <c r="N2319" s="1861">
        <f t="shared" si="36"/>
        <v>0</v>
      </c>
    </row>
    <row r="2320" spans="2:14">
      <c r="B2320" s="46"/>
      <c r="C2320" s="46"/>
      <c r="D2320" s="80">
        <v>3110504</v>
      </c>
      <c r="E2320" s="158" t="s">
        <v>1425</v>
      </c>
      <c r="F2320" s="157">
        <v>22000000</v>
      </c>
      <c r="H2320" s="46"/>
      <c r="I2320" s="46"/>
      <c r="J2320" s="80">
        <v>3110504</v>
      </c>
      <c r="K2320" s="158" t="s">
        <v>1425</v>
      </c>
      <c r="L2320" s="157">
        <v>22000000</v>
      </c>
      <c r="N2320" s="157">
        <f t="shared" si="36"/>
        <v>0</v>
      </c>
    </row>
    <row r="2321" spans="2:14">
      <c r="B2321" s="27"/>
      <c r="C2321" s="27"/>
      <c r="D2321" s="1545">
        <v>3110500</v>
      </c>
      <c r="E2321" s="1546" t="s">
        <v>506</v>
      </c>
      <c r="F2321" s="1861">
        <v>1000000</v>
      </c>
      <c r="H2321" s="27"/>
      <c r="I2321" s="27"/>
      <c r="J2321" s="1545">
        <v>3110500</v>
      </c>
      <c r="K2321" s="1546" t="s">
        <v>506</v>
      </c>
      <c r="L2321" s="1861">
        <v>1000000</v>
      </c>
      <c r="N2321" s="1861">
        <f t="shared" si="36"/>
        <v>0</v>
      </c>
    </row>
    <row r="2322" spans="2:14">
      <c r="B2322" s="46"/>
      <c r="C2322" s="46"/>
      <c r="D2322" s="80">
        <v>3110504</v>
      </c>
      <c r="E2322" s="158" t="s">
        <v>1426</v>
      </c>
      <c r="F2322" s="157">
        <v>1000000</v>
      </c>
      <c r="H2322" s="46"/>
      <c r="I2322" s="46"/>
      <c r="J2322" s="80">
        <v>3110504</v>
      </c>
      <c r="K2322" s="158" t="s">
        <v>1426</v>
      </c>
      <c r="L2322" s="157">
        <v>1000000</v>
      </c>
      <c r="N2322" s="157">
        <f t="shared" si="36"/>
        <v>0</v>
      </c>
    </row>
    <row r="2323" spans="2:14">
      <c r="B2323" s="27"/>
      <c r="C2323" s="27"/>
      <c r="D2323" s="1867">
        <v>3111100</v>
      </c>
      <c r="E2323" s="1866" t="s">
        <v>73</v>
      </c>
      <c r="F2323" s="1861">
        <v>4000000</v>
      </c>
      <c r="H2323" s="27"/>
      <c r="I2323" s="27"/>
      <c r="J2323" s="1867">
        <v>3111100</v>
      </c>
      <c r="K2323" s="1866" t="s">
        <v>73</v>
      </c>
      <c r="L2323" s="1861">
        <v>4000000</v>
      </c>
      <c r="N2323" s="1861">
        <f t="shared" si="36"/>
        <v>0</v>
      </c>
    </row>
    <row r="2324" spans="2:14">
      <c r="B2324" s="46"/>
      <c r="C2324" s="46"/>
      <c r="D2324" s="1868">
        <v>3130101</v>
      </c>
      <c r="E2324" s="1869" t="s">
        <v>1781</v>
      </c>
      <c r="F2324" s="157">
        <v>4000000</v>
      </c>
      <c r="H2324" s="46"/>
      <c r="I2324" s="46"/>
      <c r="J2324" s="1868">
        <v>3130101</v>
      </c>
      <c r="K2324" s="1869" t="s">
        <v>1781</v>
      </c>
      <c r="L2324" s="157">
        <v>4000000</v>
      </c>
      <c r="N2324" s="157">
        <f t="shared" si="36"/>
        <v>0</v>
      </c>
    </row>
    <row r="2325" spans="2:14">
      <c r="B2325" s="46"/>
      <c r="C2325" s="46"/>
      <c r="D2325" s="80"/>
      <c r="E2325" s="1546" t="s">
        <v>261</v>
      </c>
      <c r="F2325" s="1861">
        <v>65049631</v>
      </c>
      <c r="H2325" s="46"/>
      <c r="I2325" s="46"/>
      <c r="J2325" s="80"/>
      <c r="K2325" s="1546" t="s">
        <v>261</v>
      </c>
      <c r="L2325" s="1861">
        <v>65049631</v>
      </c>
      <c r="N2325" s="1861">
        <f t="shared" si="36"/>
        <v>0</v>
      </c>
    </row>
    <row r="2326" spans="2:14">
      <c r="B2326" s="46"/>
      <c r="C2326" s="46"/>
      <c r="D2326" s="80"/>
      <c r="E2326" s="1546" t="s">
        <v>84</v>
      </c>
      <c r="F2326" s="1861">
        <v>87238074</v>
      </c>
      <c r="H2326" s="46"/>
      <c r="I2326" s="46"/>
      <c r="J2326" s="80"/>
      <c r="K2326" s="1546" t="s">
        <v>84</v>
      </c>
      <c r="L2326" s="1861">
        <v>87238074</v>
      </c>
      <c r="N2326" s="1861">
        <f t="shared" si="36"/>
        <v>0</v>
      </c>
    </row>
    <row r="2327" spans="2:14">
      <c r="B2327" s="46"/>
      <c r="C2327" s="46"/>
      <c r="D2327" s="80"/>
      <c r="E2327" s="158"/>
      <c r="F2327" s="157"/>
      <c r="H2327" s="46"/>
      <c r="I2327" s="46"/>
      <c r="J2327" s="80"/>
      <c r="K2327" s="158"/>
      <c r="L2327" s="157"/>
      <c r="N2327" s="157">
        <f t="shared" si="36"/>
        <v>0</v>
      </c>
    </row>
    <row r="2328" spans="2:14">
      <c r="B2328" s="27"/>
      <c r="C2328" s="27"/>
      <c r="D2328" s="1545" t="s">
        <v>1782</v>
      </c>
      <c r="E2328" s="1546"/>
      <c r="F2328" s="1861"/>
      <c r="H2328" s="27"/>
      <c r="I2328" s="27"/>
      <c r="J2328" s="1545" t="s">
        <v>1782</v>
      </c>
      <c r="K2328" s="1546"/>
      <c r="L2328" s="1861"/>
      <c r="N2328" s="1861">
        <f t="shared" si="36"/>
        <v>0</v>
      </c>
    </row>
    <row r="2329" spans="2:14">
      <c r="B2329" s="46"/>
      <c r="C2329" s="46"/>
      <c r="D2329" s="1545">
        <v>2210100</v>
      </c>
      <c r="E2329" s="1546" t="s">
        <v>16</v>
      </c>
      <c r="F2329" s="1861">
        <v>200300</v>
      </c>
      <c r="H2329" s="46"/>
      <c r="I2329" s="46"/>
      <c r="J2329" s="1545">
        <v>2210100</v>
      </c>
      <c r="K2329" s="1546" t="s">
        <v>16</v>
      </c>
      <c r="L2329" s="1861">
        <v>200300</v>
      </c>
      <c r="N2329" s="1861">
        <f t="shared" si="36"/>
        <v>0</v>
      </c>
    </row>
    <row r="2330" spans="2:14">
      <c r="B2330" s="46"/>
      <c r="C2330" s="46"/>
      <c r="D2330" s="80">
        <v>2210101</v>
      </c>
      <c r="E2330" s="158" t="s">
        <v>17</v>
      </c>
      <c r="F2330" s="157">
        <v>168700</v>
      </c>
      <c r="H2330" s="46"/>
      <c r="I2330" s="46"/>
      <c r="J2330" s="80">
        <v>2210101</v>
      </c>
      <c r="K2330" s="158" t="s">
        <v>17</v>
      </c>
      <c r="L2330" s="157">
        <v>168700</v>
      </c>
      <c r="N2330" s="157">
        <f t="shared" si="36"/>
        <v>0</v>
      </c>
    </row>
    <row r="2331" spans="2:14">
      <c r="B2331" s="46"/>
      <c r="C2331" s="46"/>
      <c r="D2331" s="80">
        <v>2210102</v>
      </c>
      <c r="E2331" s="158" t="s">
        <v>18</v>
      </c>
      <c r="F2331" s="157">
        <v>31600</v>
      </c>
      <c r="H2331" s="46"/>
      <c r="I2331" s="46"/>
      <c r="J2331" s="80">
        <v>2210102</v>
      </c>
      <c r="K2331" s="158" t="s">
        <v>18</v>
      </c>
      <c r="L2331" s="157">
        <v>31600</v>
      </c>
      <c r="N2331" s="157">
        <f t="shared" si="36"/>
        <v>0</v>
      </c>
    </row>
    <row r="2332" spans="2:14">
      <c r="B2332" s="46"/>
      <c r="C2332" s="46"/>
      <c r="D2332" s="1545">
        <v>2210200</v>
      </c>
      <c r="E2332" s="1546" t="s">
        <v>20</v>
      </c>
      <c r="F2332" s="1861">
        <v>14000</v>
      </c>
      <c r="H2332" s="46"/>
      <c r="I2332" s="46"/>
      <c r="J2332" s="1545">
        <v>2210200</v>
      </c>
      <c r="K2332" s="1546" t="s">
        <v>20</v>
      </c>
      <c r="L2332" s="1861">
        <v>14000</v>
      </c>
      <c r="N2332" s="1861">
        <f t="shared" si="36"/>
        <v>0</v>
      </c>
    </row>
    <row r="2333" spans="2:14">
      <c r="B2333" s="46"/>
      <c r="C2333" s="46"/>
      <c r="D2333" s="80">
        <v>2210203</v>
      </c>
      <c r="E2333" s="158" t="s">
        <v>23</v>
      </c>
      <c r="F2333" s="157">
        <v>14000</v>
      </c>
      <c r="H2333" s="46"/>
      <c r="I2333" s="46"/>
      <c r="J2333" s="80">
        <v>2210203</v>
      </c>
      <c r="K2333" s="158" t="s">
        <v>23</v>
      </c>
      <c r="L2333" s="157">
        <v>14000</v>
      </c>
      <c r="N2333" s="157">
        <f t="shared" si="36"/>
        <v>0</v>
      </c>
    </row>
    <row r="2334" spans="2:14">
      <c r="B2334" s="46"/>
      <c r="C2334" s="46"/>
      <c r="D2334" s="1545">
        <v>2210300</v>
      </c>
      <c r="E2334" s="1546" t="s">
        <v>24</v>
      </c>
      <c r="F2334" s="1861">
        <v>1699718</v>
      </c>
      <c r="H2334" s="46"/>
      <c r="I2334" s="46"/>
      <c r="J2334" s="1545">
        <v>2210300</v>
      </c>
      <c r="K2334" s="1546" t="s">
        <v>24</v>
      </c>
      <c r="L2334" s="1861">
        <v>1699718</v>
      </c>
      <c r="N2334" s="1861">
        <f t="shared" si="36"/>
        <v>0</v>
      </c>
    </row>
    <row r="2335" spans="2:14">
      <c r="B2335" s="46"/>
      <c r="C2335" s="46"/>
      <c r="D2335" s="80">
        <v>2210301</v>
      </c>
      <c r="E2335" s="158" t="s">
        <v>25</v>
      </c>
      <c r="F2335" s="157">
        <v>338718</v>
      </c>
      <c r="H2335" s="46"/>
      <c r="I2335" s="46"/>
      <c r="J2335" s="80">
        <v>2210301</v>
      </c>
      <c r="K2335" s="158" t="s">
        <v>25</v>
      </c>
      <c r="L2335" s="157">
        <v>338718</v>
      </c>
      <c r="N2335" s="157">
        <f t="shared" si="36"/>
        <v>0</v>
      </c>
    </row>
    <row r="2336" spans="2:14">
      <c r="B2336" s="46"/>
      <c r="C2336" s="46"/>
      <c r="D2336" s="80">
        <v>2210302</v>
      </c>
      <c r="E2336" s="158" t="s">
        <v>26</v>
      </c>
      <c r="F2336" s="157">
        <v>578600</v>
      </c>
      <c r="H2336" s="46"/>
      <c r="I2336" s="46"/>
      <c r="J2336" s="80">
        <v>2210302</v>
      </c>
      <c r="K2336" s="158" t="s">
        <v>26</v>
      </c>
      <c r="L2336" s="157">
        <v>578600</v>
      </c>
      <c r="N2336" s="157">
        <f t="shared" si="36"/>
        <v>0</v>
      </c>
    </row>
    <row r="2337" spans="2:14">
      <c r="B2337" s="46"/>
      <c r="C2337" s="46"/>
      <c r="D2337" s="80">
        <v>2210303</v>
      </c>
      <c r="E2337" s="158" t="s">
        <v>27</v>
      </c>
      <c r="F2337" s="157">
        <v>782400</v>
      </c>
      <c r="H2337" s="46"/>
      <c r="I2337" s="46"/>
      <c r="J2337" s="80">
        <v>2210303</v>
      </c>
      <c r="K2337" s="158" t="s">
        <v>27</v>
      </c>
      <c r="L2337" s="157">
        <v>782400</v>
      </c>
      <c r="N2337" s="157">
        <f t="shared" si="36"/>
        <v>0</v>
      </c>
    </row>
    <row r="2338" spans="2:14">
      <c r="B2338" s="46"/>
      <c r="C2338" s="46"/>
      <c r="D2338" s="1545">
        <v>2210400</v>
      </c>
      <c r="E2338" s="1546" t="s">
        <v>484</v>
      </c>
      <c r="F2338" s="1861">
        <v>1204150</v>
      </c>
      <c r="H2338" s="46"/>
      <c r="I2338" s="46"/>
      <c r="J2338" s="1545">
        <v>2210400</v>
      </c>
      <c r="K2338" s="1546" t="s">
        <v>484</v>
      </c>
      <c r="L2338" s="1861">
        <v>1204150</v>
      </c>
      <c r="N2338" s="1861">
        <f t="shared" si="36"/>
        <v>0</v>
      </c>
    </row>
    <row r="2339" spans="2:14">
      <c r="B2339" s="46"/>
      <c r="C2339" s="46"/>
      <c r="D2339" s="80">
        <v>2210401</v>
      </c>
      <c r="E2339" s="158" t="s">
        <v>25</v>
      </c>
      <c r="F2339" s="141">
        <v>791500</v>
      </c>
      <c r="H2339" s="46"/>
      <c r="I2339" s="46"/>
      <c r="J2339" s="80">
        <v>2210401</v>
      </c>
      <c r="K2339" s="158" t="s">
        <v>25</v>
      </c>
      <c r="L2339" s="141">
        <v>791500</v>
      </c>
      <c r="N2339" s="141">
        <f t="shared" si="36"/>
        <v>0</v>
      </c>
    </row>
    <row r="2340" spans="2:14">
      <c r="B2340" s="46"/>
      <c r="C2340" s="46"/>
      <c r="D2340" s="80">
        <v>2210402</v>
      </c>
      <c r="E2340" s="158" t="s">
        <v>485</v>
      </c>
      <c r="F2340" s="141">
        <v>412650</v>
      </c>
      <c r="H2340" s="46"/>
      <c r="I2340" s="46"/>
      <c r="J2340" s="80">
        <v>2210402</v>
      </c>
      <c r="K2340" s="158" t="s">
        <v>485</v>
      </c>
      <c r="L2340" s="141">
        <v>412650</v>
      </c>
      <c r="N2340" s="141">
        <f t="shared" si="36"/>
        <v>0</v>
      </c>
    </row>
    <row r="2341" spans="2:14">
      <c r="B2341" s="46"/>
      <c r="C2341" s="46"/>
      <c r="D2341" s="1726">
        <v>2210700</v>
      </c>
      <c r="E2341" s="1727" t="s">
        <v>35</v>
      </c>
      <c r="F2341" s="1731">
        <v>2079013</v>
      </c>
      <c r="H2341" s="46"/>
      <c r="I2341" s="46"/>
      <c r="J2341" s="1728">
        <v>2210700</v>
      </c>
      <c r="K2341" s="1727" t="s">
        <v>35</v>
      </c>
      <c r="L2341" s="1731">
        <v>2079013</v>
      </c>
      <c r="N2341" s="1731">
        <f t="shared" si="36"/>
        <v>0</v>
      </c>
    </row>
    <row r="2342" spans="2:14">
      <c r="B2342" s="46"/>
      <c r="C2342" s="46"/>
      <c r="D2342" s="57">
        <v>2210701</v>
      </c>
      <c r="E2342" s="58" t="s">
        <v>36</v>
      </c>
      <c r="F2342" s="141">
        <v>219050</v>
      </c>
      <c r="H2342" s="46"/>
      <c r="I2342" s="46"/>
      <c r="J2342" s="1729">
        <v>2210701</v>
      </c>
      <c r="K2342" s="58" t="s">
        <v>36</v>
      </c>
      <c r="L2342" s="141">
        <v>219050</v>
      </c>
      <c r="N2342" s="141">
        <f t="shared" si="36"/>
        <v>0</v>
      </c>
    </row>
    <row r="2343" spans="2:14">
      <c r="B2343" s="46"/>
      <c r="C2343" s="46"/>
      <c r="D2343" s="57">
        <v>2210703</v>
      </c>
      <c r="E2343" s="58" t="s">
        <v>38</v>
      </c>
      <c r="F2343" s="141">
        <v>223350</v>
      </c>
      <c r="H2343" s="46"/>
      <c r="I2343" s="46"/>
      <c r="J2343" s="1729">
        <v>2210703</v>
      </c>
      <c r="K2343" s="58" t="s">
        <v>38</v>
      </c>
      <c r="L2343" s="141">
        <v>223350</v>
      </c>
      <c r="N2343" s="141">
        <f t="shared" si="36"/>
        <v>0</v>
      </c>
    </row>
    <row r="2344" spans="2:14">
      <c r="B2344" s="46"/>
      <c r="C2344" s="46"/>
      <c r="D2344" s="57">
        <v>2210710</v>
      </c>
      <c r="E2344" s="158" t="s">
        <v>1419</v>
      </c>
      <c r="F2344" s="141">
        <v>340895</v>
      </c>
      <c r="H2344" s="46"/>
      <c r="I2344" s="46"/>
      <c r="J2344" s="1729">
        <v>2210710</v>
      </c>
      <c r="K2344" s="158" t="s">
        <v>1419</v>
      </c>
      <c r="L2344" s="141">
        <v>340895</v>
      </c>
      <c r="N2344" s="141">
        <f t="shared" si="36"/>
        <v>0</v>
      </c>
    </row>
    <row r="2345" spans="2:14">
      <c r="B2345" s="46"/>
      <c r="C2345" s="46"/>
      <c r="D2345" s="57">
        <v>2210799</v>
      </c>
      <c r="E2345" s="58" t="s">
        <v>1427</v>
      </c>
      <c r="F2345" s="141">
        <v>1295718</v>
      </c>
      <c r="H2345" s="46"/>
      <c r="I2345" s="46"/>
      <c r="J2345" s="1729">
        <v>2210799</v>
      </c>
      <c r="K2345" s="58" t="s">
        <v>1427</v>
      </c>
      <c r="L2345" s="141">
        <v>1295718</v>
      </c>
      <c r="N2345" s="141">
        <f t="shared" si="36"/>
        <v>0</v>
      </c>
    </row>
    <row r="2346" spans="2:14">
      <c r="B2346" s="27"/>
      <c r="C2346" s="27"/>
      <c r="D2346" s="1545">
        <v>2210800</v>
      </c>
      <c r="E2346" s="1546" t="s">
        <v>42</v>
      </c>
      <c r="F2346" s="1731">
        <v>979970</v>
      </c>
      <c r="H2346" s="27"/>
      <c r="I2346" s="27"/>
      <c r="J2346" s="1545">
        <v>2210800</v>
      </c>
      <c r="K2346" s="1546" t="s">
        <v>42</v>
      </c>
      <c r="L2346" s="1731">
        <v>979970</v>
      </c>
      <c r="N2346" s="1731">
        <f t="shared" si="36"/>
        <v>0</v>
      </c>
    </row>
    <row r="2347" spans="2:14">
      <c r="B2347" s="46"/>
      <c r="C2347" s="46"/>
      <c r="D2347" s="80">
        <v>2210801</v>
      </c>
      <c r="E2347" s="158" t="s">
        <v>43</v>
      </c>
      <c r="F2347" s="157">
        <v>423700</v>
      </c>
      <c r="H2347" s="46"/>
      <c r="I2347" s="46"/>
      <c r="J2347" s="80">
        <v>2210801</v>
      </c>
      <c r="K2347" s="158" t="s">
        <v>43</v>
      </c>
      <c r="L2347" s="157">
        <v>423700</v>
      </c>
      <c r="N2347" s="157">
        <f t="shared" si="36"/>
        <v>0</v>
      </c>
    </row>
    <row r="2348" spans="2:14">
      <c r="B2348" s="46"/>
      <c r="C2348" s="46"/>
      <c r="D2348" s="80">
        <v>2210802</v>
      </c>
      <c r="E2348" s="158" t="s">
        <v>45</v>
      </c>
      <c r="F2348" s="157">
        <v>556270</v>
      </c>
      <c r="H2348" s="46"/>
      <c r="I2348" s="46"/>
      <c r="J2348" s="80">
        <v>2210802</v>
      </c>
      <c r="K2348" s="158" t="s">
        <v>45</v>
      </c>
      <c r="L2348" s="157">
        <v>556270</v>
      </c>
      <c r="N2348" s="157">
        <f t="shared" si="36"/>
        <v>0</v>
      </c>
    </row>
    <row r="2349" spans="2:14">
      <c r="B2349" s="27"/>
      <c r="C2349" s="27"/>
      <c r="D2349" s="1545">
        <v>2211000</v>
      </c>
      <c r="E2349" s="1546" t="s">
        <v>118</v>
      </c>
      <c r="F2349" s="1861">
        <v>1423000</v>
      </c>
      <c r="H2349" s="27"/>
      <c r="I2349" s="27"/>
      <c r="J2349" s="1545">
        <v>2211000</v>
      </c>
      <c r="K2349" s="1546" t="s">
        <v>118</v>
      </c>
      <c r="L2349" s="1861">
        <v>1423000</v>
      </c>
      <c r="N2349" s="1861">
        <f t="shared" si="36"/>
        <v>0</v>
      </c>
    </row>
    <row r="2350" spans="2:14">
      <c r="B2350" s="46"/>
      <c r="C2350" s="46"/>
      <c r="D2350" s="80">
        <v>2211016</v>
      </c>
      <c r="E2350" s="158" t="s">
        <v>196</v>
      </c>
      <c r="F2350" s="157">
        <v>576500</v>
      </c>
      <c r="H2350" s="46"/>
      <c r="I2350" s="46"/>
      <c r="J2350" s="80">
        <v>2211016</v>
      </c>
      <c r="K2350" s="158" t="s">
        <v>196</v>
      </c>
      <c r="L2350" s="157">
        <v>576500</v>
      </c>
      <c r="N2350" s="157">
        <f t="shared" si="36"/>
        <v>0</v>
      </c>
    </row>
    <row r="2351" spans="2:14">
      <c r="B2351" s="46"/>
      <c r="C2351" s="46"/>
      <c r="D2351" s="80">
        <v>2211006</v>
      </c>
      <c r="E2351" s="158" t="s">
        <v>507</v>
      </c>
      <c r="F2351" s="157">
        <v>846500</v>
      </c>
      <c r="H2351" s="46"/>
      <c r="I2351" s="46"/>
      <c r="J2351" s="80">
        <v>2211006</v>
      </c>
      <c r="K2351" s="158" t="s">
        <v>507</v>
      </c>
      <c r="L2351" s="157">
        <v>846500</v>
      </c>
      <c r="N2351" s="157">
        <f t="shared" si="36"/>
        <v>0</v>
      </c>
    </row>
    <row r="2352" spans="2:14">
      <c r="B2352" s="27"/>
      <c r="C2352" s="27"/>
      <c r="D2352" s="1545">
        <v>2211100</v>
      </c>
      <c r="E2352" s="1546" t="s">
        <v>51</v>
      </c>
      <c r="F2352" s="1861">
        <v>338960</v>
      </c>
      <c r="H2352" s="27"/>
      <c r="I2352" s="27"/>
      <c r="J2352" s="1545">
        <v>2211100</v>
      </c>
      <c r="K2352" s="1546" t="s">
        <v>51</v>
      </c>
      <c r="L2352" s="1861">
        <v>338960</v>
      </c>
      <c r="N2352" s="1861">
        <f t="shared" si="36"/>
        <v>0</v>
      </c>
    </row>
    <row r="2353" spans="2:14">
      <c r="B2353" s="46"/>
      <c r="C2353" s="46"/>
      <c r="D2353" s="80">
        <v>2211101</v>
      </c>
      <c r="E2353" s="158" t="s">
        <v>52</v>
      </c>
      <c r="F2353" s="157">
        <v>253700</v>
      </c>
      <c r="H2353" s="46"/>
      <c r="I2353" s="46"/>
      <c r="J2353" s="80">
        <v>2211101</v>
      </c>
      <c r="K2353" s="158" t="s">
        <v>52</v>
      </c>
      <c r="L2353" s="157">
        <v>253700</v>
      </c>
      <c r="N2353" s="157">
        <f t="shared" si="36"/>
        <v>0</v>
      </c>
    </row>
    <row r="2354" spans="2:14">
      <c r="B2354" s="46"/>
      <c r="C2354" s="46"/>
      <c r="D2354" s="80">
        <v>2211103</v>
      </c>
      <c r="E2354" s="158" t="s">
        <v>54</v>
      </c>
      <c r="F2354" s="157">
        <v>85260</v>
      </c>
      <c r="H2354" s="46"/>
      <c r="I2354" s="46"/>
      <c r="J2354" s="80">
        <v>2211103</v>
      </c>
      <c r="K2354" s="158" t="s">
        <v>54</v>
      </c>
      <c r="L2354" s="157">
        <v>85260</v>
      </c>
      <c r="N2354" s="157">
        <f t="shared" si="36"/>
        <v>0</v>
      </c>
    </row>
    <row r="2355" spans="2:14">
      <c r="B2355" s="27"/>
      <c r="C2355" s="27"/>
      <c r="D2355" s="1545">
        <v>2211200</v>
      </c>
      <c r="E2355" s="1546" t="s">
        <v>55</v>
      </c>
      <c r="F2355" s="1861">
        <v>1128619</v>
      </c>
      <c r="H2355" s="27"/>
      <c r="I2355" s="27"/>
      <c r="J2355" s="1545">
        <v>2211200</v>
      </c>
      <c r="K2355" s="1546" t="s">
        <v>55</v>
      </c>
      <c r="L2355" s="1861">
        <v>1128619</v>
      </c>
      <c r="N2355" s="1861">
        <f t="shared" si="36"/>
        <v>0</v>
      </c>
    </row>
    <row r="2356" spans="2:14">
      <c r="B2356" s="46"/>
      <c r="C2356" s="46"/>
      <c r="D2356" s="80">
        <v>2211201</v>
      </c>
      <c r="E2356" s="158" t="s">
        <v>56</v>
      </c>
      <c r="F2356" s="157">
        <v>1128619</v>
      </c>
      <c r="H2356" s="46"/>
      <c r="I2356" s="46"/>
      <c r="J2356" s="80">
        <v>2211201</v>
      </c>
      <c r="K2356" s="158" t="s">
        <v>56</v>
      </c>
      <c r="L2356" s="157">
        <v>1128619</v>
      </c>
      <c r="N2356" s="157">
        <f t="shared" si="36"/>
        <v>0</v>
      </c>
    </row>
    <row r="2357" spans="2:14">
      <c r="B2357" s="27"/>
      <c r="C2357" s="27"/>
      <c r="D2357" s="1545">
        <v>2220100</v>
      </c>
      <c r="E2357" s="1546" t="s">
        <v>62</v>
      </c>
      <c r="F2357" s="1861">
        <v>1178745</v>
      </c>
      <c r="H2357" s="27"/>
      <c r="I2357" s="27"/>
      <c r="J2357" s="1545">
        <v>2220100</v>
      </c>
      <c r="K2357" s="1546" t="s">
        <v>62</v>
      </c>
      <c r="L2357" s="1861">
        <v>1178745</v>
      </c>
      <c r="N2357" s="1861">
        <f t="shared" si="36"/>
        <v>0</v>
      </c>
    </row>
    <row r="2358" spans="2:14">
      <c r="B2358" s="46"/>
      <c r="C2358" s="46"/>
      <c r="D2358" s="80">
        <v>2220101</v>
      </c>
      <c r="E2358" s="158" t="s">
        <v>250</v>
      </c>
      <c r="F2358" s="157">
        <v>178745</v>
      </c>
      <c r="H2358" s="46"/>
      <c r="I2358" s="46"/>
      <c r="J2358" s="80">
        <v>2220101</v>
      </c>
      <c r="K2358" s="158" t="s">
        <v>250</v>
      </c>
      <c r="L2358" s="157">
        <v>178745</v>
      </c>
      <c r="N2358" s="157">
        <f t="shared" si="36"/>
        <v>0</v>
      </c>
    </row>
    <row r="2359" spans="2:14">
      <c r="B2359" s="46"/>
      <c r="C2359" s="46"/>
      <c r="D2359" s="80">
        <v>2220202</v>
      </c>
      <c r="E2359" s="158" t="s">
        <v>1428</v>
      </c>
      <c r="F2359" s="157">
        <v>1000000</v>
      </c>
      <c r="H2359" s="46"/>
      <c r="I2359" s="46"/>
      <c r="J2359" s="80">
        <v>2220202</v>
      </c>
      <c r="K2359" s="158" t="s">
        <v>1428</v>
      </c>
      <c r="L2359" s="157">
        <v>1000000</v>
      </c>
      <c r="N2359" s="157">
        <f t="shared" si="36"/>
        <v>0</v>
      </c>
    </row>
    <row r="2360" spans="2:14">
      <c r="B2360" s="27"/>
      <c r="C2360" s="27"/>
      <c r="D2360" s="1545">
        <v>2220200</v>
      </c>
      <c r="E2360" s="1546" t="s">
        <v>508</v>
      </c>
      <c r="F2360" s="1861">
        <v>2000000</v>
      </c>
      <c r="H2360" s="27"/>
      <c r="I2360" s="27"/>
      <c r="J2360" s="1545">
        <v>2220200</v>
      </c>
      <c r="K2360" s="1546" t="s">
        <v>508</v>
      </c>
      <c r="L2360" s="1861">
        <v>2000000</v>
      </c>
      <c r="N2360" s="1861">
        <f t="shared" si="36"/>
        <v>0</v>
      </c>
    </row>
    <row r="2361" spans="2:14">
      <c r="B2361" s="46"/>
      <c r="C2361" s="46"/>
      <c r="D2361" s="80">
        <v>2220213</v>
      </c>
      <c r="E2361" s="158" t="s">
        <v>509</v>
      </c>
      <c r="F2361" s="157">
        <v>2000000</v>
      </c>
      <c r="H2361" s="46"/>
      <c r="I2361" s="46"/>
      <c r="J2361" s="80">
        <v>2220213</v>
      </c>
      <c r="K2361" s="158" t="s">
        <v>509</v>
      </c>
      <c r="L2361" s="157">
        <v>2000000</v>
      </c>
      <c r="N2361" s="157">
        <f t="shared" si="36"/>
        <v>0</v>
      </c>
    </row>
    <row r="2362" spans="2:14">
      <c r="B2362" s="27"/>
      <c r="C2362" s="27"/>
      <c r="D2362" s="1545">
        <v>3110700</v>
      </c>
      <c r="E2362" s="1546" t="s">
        <v>65</v>
      </c>
      <c r="F2362" s="1861">
        <v>1000000</v>
      </c>
      <c r="H2362" s="27"/>
      <c r="I2362" s="27"/>
      <c r="J2362" s="1545">
        <v>3110700</v>
      </c>
      <c r="K2362" s="1546" t="s">
        <v>65</v>
      </c>
      <c r="L2362" s="1861">
        <v>1000000</v>
      </c>
      <c r="N2362" s="1861">
        <f t="shared" si="36"/>
        <v>0</v>
      </c>
    </row>
    <row r="2363" spans="2:14">
      <c r="B2363" s="46"/>
      <c r="C2363" s="46"/>
      <c r="D2363" s="80">
        <v>3110704</v>
      </c>
      <c r="E2363" s="158" t="s">
        <v>1429</v>
      </c>
      <c r="F2363" s="157">
        <v>1000000</v>
      </c>
      <c r="H2363" s="46"/>
      <c r="I2363" s="46"/>
      <c r="J2363" s="80">
        <v>3110704</v>
      </c>
      <c r="K2363" s="158" t="s">
        <v>1429</v>
      </c>
      <c r="L2363" s="157">
        <v>1000000</v>
      </c>
      <c r="N2363" s="157">
        <f t="shared" si="36"/>
        <v>0</v>
      </c>
    </row>
    <row r="2364" spans="2:14">
      <c r="B2364" s="27"/>
      <c r="C2364" s="27"/>
      <c r="D2364" s="1545">
        <v>3111000</v>
      </c>
      <c r="E2364" s="1546" t="s">
        <v>69</v>
      </c>
      <c r="F2364" s="1861">
        <v>1470000</v>
      </c>
      <c r="H2364" s="27"/>
      <c r="I2364" s="27"/>
      <c r="J2364" s="1545">
        <v>3111000</v>
      </c>
      <c r="K2364" s="1546" t="s">
        <v>69</v>
      </c>
      <c r="L2364" s="1861">
        <v>1470000</v>
      </c>
      <c r="N2364" s="1861">
        <f t="shared" si="36"/>
        <v>0</v>
      </c>
    </row>
    <row r="2365" spans="2:14">
      <c r="B2365" s="46"/>
      <c r="C2365" s="46"/>
      <c r="D2365" s="80">
        <v>3111001</v>
      </c>
      <c r="E2365" s="158" t="s">
        <v>70</v>
      </c>
      <c r="F2365" s="157">
        <v>660000</v>
      </c>
      <c r="H2365" s="46"/>
      <c r="I2365" s="46"/>
      <c r="J2365" s="80">
        <v>3111001</v>
      </c>
      <c r="K2365" s="158" t="s">
        <v>70</v>
      </c>
      <c r="L2365" s="157">
        <v>660000</v>
      </c>
      <c r="N2365" s="157">
        <f t="shared" si="36"/>
        <v>0</v>
      </c>
    </row>
    <row r="2366" spans="2:14">
      <c r="B2366" s="46"/>
      <c r="C2366" s="46"/>
      <c r="D2366" s="80">
        <v>3111002</v>
      </c>
      <c r="E2366" s="158" t="s">
        <v>71</v>
      </c>
      <c r="F2366" s="157">
        <v>810000</v>
      </c>
      <c r="H2366" s="46"/>
      <c r="I2366" s="46"/>
      <c r="J2366" s="80">
        <v>3111002</v>
      </c>
      <c r="K2366" s="158" t="s">
        <v>71</v>
      </c>
      <c r="L2366" s="157">
        <v>810000</v>
      </c>
      <c r="N2366" s="157">
        <f t="shared" si="36"/>
        <v>0</v>
      </c>
    </row>
    <row r="2367" spans="2:14">
      <c r="B2367" s="46"/>
      <c r="C2367" s="46"/>
      <c r="D2367" s="80"/>
      <c r="E2367" s="158"/>
      <c r="F2367" s="157"/>
      <c r="H2367" s="46"/>
      <c r="I2367" s="46"/>
      <c r="J2367" s="80"/>
      <c r="K2367" s="158"/>
      <c r="L2367" s="157"/>
      <c r="N2367" s="157">
        <f t="shared" si="36"/>
        <v>0</v>
      </c>
    </row>
    <row r="2368" spans="2:14">
      <c r="B2368" s="46"/>
      <c r="C2368" s="46"/>
      <c r="D2368" s="1545"/>
      <c r="E2368" s="1546" t="s">
        <v>310</v>
      </c>
      <c r="F2368" s="1861">
        <v>14716475</v>
      </c>
      <c r="H2368" s="46"/>
      <c r="I2368" s="46"/>
      <c r="J2368" s="1545"/>
      <c r="K2368" s="1546" t="s">
        <v>310</v>
      </c>
      <c r="L2368" s="1861">
        <v>14716475</v>
      </c>
      <c r="N2368" s="1861">
        <f t="shared" si="36"/>
        <v>0</v>
      </c>
    </row>
    <row r="2369" spans="2:14">
      <c r="B2369" s="46"/>
      <c r="C2369" s="46"/>
      <c r="D2369" s="1545"/>
      <c r="E2369" s="1546"/>
      <c r="F2369" s="1861"/>
      <c r="H2369" s="46"/>
      <c r="I2369" s="46"/>
      <c r="J2369" s="1545"/>
      <c r="K2369" s="1546"/>
      <c r="L2369" s="1861"/>
      <c r="N2369" s="1861">
        <f t="shared" si="36"/>
        <v>0</v>
      </c>
    </row>
    <row r="2370" spans="2:14">
      <c r="B2370" s="46"/>
      <c r="C2370" s="46"/>
      <c r="D2370" s="80"/>
      <c r="E2370" s="158"/>
      <c r="F2370" s="1861"/>
      <c r="H2370" s="46"/>
      <c r="I2370" s="46"/>
      <c r="J2370" s="80"/>
      <c r="K2370" s="158"/>
      <c r="L2370" s="1861"/>
      <c r="N2370" s="1861">
        <f t="shared" si="36"/>
        <v>0</v>
      </c>
    </row>
    <row r="2371" spans="2:14">
      <c r="B2371" s="46"/>
      <c r="C2371" s="46"/>
      <c r="D2371" s="1545" t="s">
        <v>92</v>
      </c>
      <c r="E2371" s="158"/>
      <c r="F2371" s="1861"/>
      <c r="H2371" s="46"/>
      <c r="I2371" s="46"/>
      <c r="J2371" s="1545" t="s">
        <v>92</v>
      </c>
      <c r="K2371" s="158"/>
      <c r="L2371" s="1861"/>
      <c r="N2371" s="1861">
        <f t="shared" si="36"/>
        <v>0</v>
      </c>
    </row>
    <row r="2372" spans="2:14">
      <c r="B2372" s="46"/>
      <c r="C2372" s="46"/>
      <c r="D2372" s="1545">
        <v>3110500</v>
      </c>
      <c r="E2372" s="1546" t="s">
        <v>506</v>
      </c>
      <c r="F2372" s="1861">
        <v>402000000</v>
      </c>
      <c r="H2372" s="46"/>
      <c r="I2372" s="46"/>
      <c r="J2372" s="1545">
        <v>3110500</v>
      </c>
      <c r="K2372" s="1546" t="s">
        <v>506</v>
      </c>
      <c r="L2372" s="1861">
        <v>402000000</v>
      </c>
      <c r="N2372" s="1861">
        <f t="shared" si="36"/>
        <v>0</v>
      </c>
    </row>
    <row r="2373" spans="2:14" ht="30">
      <c r="B2373" s="46"/>
      <c r="C2373" s="46"/>
      <c r="D2373" s="80">
        <v>3110504</v>
      </c>
      <c r="E2373" s="158" t="s">
        <v>1430</v>
      </c>
      <c r="F2373" s="157">
        <v>150000000</v>
      </c>
      <c r="H2373" s="46"/>
      <c r="I2373" s="46"/>
      <c r="J2373" s="80">
        <v>3110504</v>
      </c>
      <c r="K2373" s="158" t="s">
        <v>1430</v>
      </c>
      <c r="L2373" s="157">
        <v>150000000</v>
      </c>
      <c r="N2373" s="157">
        <f t="shared" si="36"/>
        <v>0</v>
      </c>
    </row>
    <row r="2374" spans="2:14">
      <c r="B2374" s="46"/>
      <c r="C2374" s="46"/>
      <c r="D2374" s="80">
        <v>3110504</v>
      </c>
      <c r="E2374" s="158" t="s">
        <v>1431</v>
      </c>
      <c r="F2374" s="157">
        <v>250000000</v>
      </c>
      <c r="H2374" s="46"/>
      <c r="I2374" s="46"/>
      <c r="J2374" s="80">
        <v>3110504</v>
      </c>
      <c r="K2374" s="158" t="s">
        <v>1431</v>
      </c>
      <c r="L2374" s="157">
        <v>250000000</v>
      </c>
      <c r="N2374" s="157">
        <f t="shared" si="36"/>
        <v>0</v>
      </c>
    </row>
    <row r="2375" spans="2:14">
      <c r="B2375" s="46"/>
      <c r="C2375" s="46"/>
      <c r="D2375" s="80">
        <v>3110504</v>
      </c>
      <c r="E2375" s="1870" t="s">
        <v>1432</v>
      </c>
      <c r="F2375" s="157">
        <v>2000000</v>
      </c>
      <c r="H2375" s="46"/>
      <c r="I2375" s="46"/>
      <c r="J2375" s="80">
        <v>3110504</v>
      </c>
      <c r="K2375" s="1870" t="s">
        <v>1432</v>
      </c>
      <c r="L2375" s="157">
        <v>2000000</v>
      </c>
      <c r="N2375" s="157">
        <f t="shared" si="36"/>
        <v>0</v>
      </c>
    </row>
    <row r="2376" spans="2:14">
      <c r="B2376" s="46"/>
      <c r="C2376" s="46"/>
      <c r="D2376" s="1545">
        <v>3111400</v>
      </c>
      <c r="E2376" s="1546" t="s">
        <v>1316</v>
      </c>
      <c r="F2376" s="1861">
        <v>42000000</v>
      </c>
      <c r="H2376" s="46"/>
      <c r="I2376" s="46"/>
      <c r="J2376" s="1545">
        <v>3111400</v>
      </c>
      <c r="K2376" s="1546" t="s">
        <v>1316</v>
      </c>
      <c r="L2376" s="1861">
        <v>42000000</v>
      </c>
      <c r="N2376" s="1861">
        <f t="shared" ref="N2376:N2439" si="37">F2376-L2376</f>
        <v>0</v>
      </c>
    </row>
    <row r="2377" spans="2:14">
      <c r="B2377" s="46"/>
      <c r="C2377" s="46"/>
      <c r="D2377" s="80">
        <v>3111401</v>
      </c>
      <c r="E2377" s="158" t="s">
        <v>1248</v>
      </c>
      <c r="F2377" s="157">
        <v>20000000</v>
      </c>
      <c r="H2377" s="46"/>
      <c r="I2377" s="46"/>
      <c r="J2377" s="80">
        <v>3111401</v>
      </c>
      <c r="K2377" s="158" t="s">
        <v>1248</v>
      </c>
      <c r="L2377" s="157">
        <v>20000000</v>
      </c>
      <c r="N2377" s="157">
        <f t="shared" si="37"/>
        <v>0</v>
      </c>
    </row>
    <row r="2378" spans="2:14" ht="30">
      <c r="B2378" s="46"/>
      <c r="C2378" s="46"/>
      <c r="D2378" s="80">
        <v>3111499</v>
      </c>
      <c r="E2378" s="158" t="s">
        <v>1433</v>
      </c>
      <c r="F2378" s="157">
        <v>20000000</v>
      </c>
      <c r="H2378" s="46"/>
      <c r="I2378" s="46"/>
      <c r="J2378" s="80">
        <v>3111499</v>
      </c>
      <c r="K2378" s="158" t="s">
        <v>1433</v>
      </c>
      <c r="L2378" s="157">
        <v>20000000</v>
      </c>
      <c r="N2378" s="157">
        <f t="shared" si="37"/>
        <v>0</v>
      </c>
    </row>
    <row r="2379" spans="2:14" ht="60">
      <c r="B2379" s="46"/>
      <c r="C2379" s="46"/>
      <c r="D2379" s="80">
        <v>3111499</v>
      </c>
      <c r="E2379" s="158" t="s">
        <v>1434</v>
      </c>
      <c r="F2379" s="157">
        <v>2000000</v>
      </c>
      <c r="H2379" s="46"/>
      <c r="I2379" s="46"/>
      <c r="J2379" s="80">
        <v>3111499</v>
      </c>
      <c r="K2379" s="158" t="s">
        <v>1434</v>
      </c>
      <c r="L2379" s="157">
        <v>2000000</v>
      </c>
      <c r="N2379" s="157">
        <f t="shared" si="37"/>
        <v>0</v>
      </c>
    </row>
    <row r="2380" spans="2:14">
      <c r="B2380" s="46"/>
      <c r="C2380" s="46"/>
      <c r="D2380" s="1545"/>
      <c r="E2380" s="1546" t="s">
        <v>261</v>
      </c>
      <c r="F2380" s="1861">
        <v>444000000</v>
      </c>
      <c r="H2380" s="46"/>
      <c r="I2380" s="46"/>
      <c r="J2380" s="1545"/>
      <c r="K2380" s="1546" t="s">
        <v>261</v>
      </c>
      <c r="L2380" s="1861">
        <v>444000000</v>
      </c>
      <c r="N2380" s="1861">
        <f t="shared" si="37"/>
        <v>0</v>
      </c>
    </row>
    <row r="2381" spans="2:14">
      <c r="B2381" s="27"/>
      <c r="C2381" s="27"/>
      <c r="D2381" s="1545"/>
      <c r="E2381" s="1546" t="s">
        <v>84</v>
      </c>
      <c r="F2381" s="1861">
        <v>458716475</v>
      </c>
      <c r="H2381" s="27"/>
      <c r="I2381" s="27"/>
      <c r="J2381" s="1545"/>
      <c r="K2381" s="1546" t="s">
        <v>84</v>
      </c>
      <c r="L2381" s="1861">
        <v>458716475</v>
      </c>
      <c r="N2381" s="1861">
        <f t="shared" si="37"/>
        <v>0</v>
      </c>
    </row>
    <row r="2382" spans="2:14">
      <c r="B2382" s="46"/>
      <c r="C2382" s="46"/>
      <c r="D2382" s="80"/>
      <c r="E2382" s="158"/>
      <c r="F2382" s="157"/>
      <c r="H2382" s="46"/>
      <c r="I2382" s="46"/>
      <c r="J2382" s="80"/>
      <c r="K2382" s="158"/>
      <c r="L2382" s="157"/>
      <c r="N2382" s="157">
        <f t="shared" si="37"/>
        <v>0</v>
      </c>
    </row>
    <row r="2383" spans="2:14">
      <c r="B2383" s="46"/>
      <c r="C2383" s="46"/>
      <c r="D2383" s="1545" t="s">
        <v>511</v>
      </c>
      <c r="E2383" s="1546"/>
      <c r="F2383" s="157"/>
      <c r="H2383" s="46"/>
      <c r="I2383" s="46"/>
      <c r="J2383" s="1545" t="s">
        <v>511</v>
      </c>
      <c r="K2383" s="1546"/>
      <c r="L2383" s="157"/>
      <c r="N2383" s="157">
        <f t="shared" si="37"/>
        <v>0</v>
      </c>
    </row>
    <row r="2384" spans="2:14">
      <c r="B2384" s="46"/>
      <c r="C2384" s="46"/>
      <c r="D2384" s="1545" t="s">
        <v>512</v>
      </c>
      <c r="E2384" s="1546"/>
      <c r="F2384" s="157"/>
      <c r="H2384" s="46"/>
      <c r="I2384" s="46"/>
      <c r="J2384" s="1545" t="s">
        <v>512</v>
      </c>
      <c r="K2384" s="1546"/>
      <c r="L2384" s="157"/>
      <c r="N2384" s="157">
        <f t="shared" si="37"/>
        <v>0</v>
      </c>
    </row>
    <row r="2385" spans="2:14">
      <c r="B2385" s="46"/>
      <c r="C2385" s="46"/>
      <c r="D2385" s="1545" t="s">
        <v>513</v>
      </c>
      <c r="E2385" s="1546"/>
      <c r="F2385" s="157"/>
      <c r="H2385" s="46"/>
      <c r="I2385" s="46"/>
      <c r="J2385" s="1545" t="s">
        <v>513</v>
      </c>
      <c r="K2385" s="1546"/>
      <c r="L2385" s="157"/>
      <c r="N2385" s="157">
        <f t="shared" si="37"/>
        <v>0</v>
      </c>
    </row>
    <row r="2386" spans="2:14">
      <c r="B2386" s="27"/>
      <c r="C2386" s="27"/>
      <c r="D2386" s="1545">
        <v>2210100</v>
      </c>
      <c r="E2386" s="1546" t="s">
        <v>16</v>
      </c>
      <c r="F2386" s="1861">
        <v>435751</v>
      </c>
      <c r="H2386" s="27"/>
      <c r="I2386" s="27"/>
      <c r="J2386" s="1545">
        <v>2210100</v>
      </c>
      <c r="K2386" s="1546" t="s">
        <v>16</v>
      </c>
      <c r="L2386" s="1861">
        <v>435751</v>
      </c>
      <c r="N2386" s="1861">
        <f t="shared" si="37"/>
        <v>0</v>
      </c>
    </row>
    <row r="2387" spans="2:14">
      <c r="B2387" s="46"/>
      <c r="C2387" s="46"/>
      <c r="D2387" s="80">
        <v>2210101</v>
      </c>
      <c r="E2387" s="158" t="s">
        <v>17</v>
      </c>
      <c r="F2387" s="157">
        <v>261235</v>
      </c>
      <c r="H2387" s="46"/>
      <c r="I2387" s="46"/>
      <c r="J2387" s="80">
        <v>2210101</v>
      </c>
      <c r="K2387" s="158" t="s">
        <v>17</v>
      </c>
      <c r="L2387" s="157">
        <v>261235</v>
      </c>
      <c r="N2387" s="157">
        <f t="shared" si="37"/>
        <v>0</v>
      </c>
    </row>
    <row r="2388" spans="2:14">
      <c r="B2388" s="46"/>
      <c r="C2388" s="46"/>
      <c r="D2388" s="80">
        <v>2210102</v>
      </c>
      <c r="E2388" s="158" t="s">
        <v>18</v>
      </c>
      <c r="F2388" s="157">
        <v>174516</v>
      </c>
      <c r="H2388" s="46"/>
      <c r="I2388" s="46"/>
      <c r="J2388" s="80">
        <v>2210102</v>
      </c>
      <c r="K2388" s="158" t="s">
        <v>18</v>
      </c>
      <c r="L2388" s="157">
        <v>174516</v>
      </c>
      <c r="N2388" s="157">
        <f t="shared" si="37"/>
        <v>0</v>
      </c>
    </row>
    <row r="2389" spans="2:14">
      <c r="B2389" s="46"/>
      <c r="C2389" s="46"/>
      <c r="D2389" s="1545">
        <v>2210200</v>
      </c>
      <c r="E2389" s="1546" t="s">
        <v>20</v>
      </c>
      <c r="F2389" s="1861">
        <v>345800</v>
      </c>
      <c r="H2389" s="46"/>
      <c r="I2389" s="46"/>
      <c r="J2389" s="1545">
        <v>2210200</v>
      </c>
      <c r="K2389" s="1546" t="s">
        <v>20</v>
      </c>
      <c r="L2389" s="1861">
        <v>345800</v>
      </c>
      <c r="N2389" s="1861">
        <f t="shared" si="37"/>
        <v>0</v>
      </c>
    </row>
    <row r="2390" spans="2:14">
      <c r="B2390" s="46"/>
      <c r="C2390" s="46"/>
      <c r="D2390" s="80">
        <v>2210201</v>
      </c>
      <c r="E2390" s="158" t="s">
        <v>21</v>
      </c>
      <c r="F2390" s="157">
        <v>316800</v>
      </c>
      <c r="H2390" s="46"/>
      <c r="I2390" s="46"/>
      <c r="J2390" s="80">
        <v>2210201</v>
      </c>
      <c r="K2390" s="158" t="s">
        <v>21</v>
      </c>
      <c r="L2390" s="157">
        <v>316800</v>
      </c>
      <c r="N2390" s="157">
        <f t="shared" si="37"/>
        <v>0</v>
      </c>
    </row>
    <row r="2391" spans="2:14">
      <c r="B2391" s="46"/>
      <c r="C2391" s="46"/>
      <c r="D2391" s="80">
        <v>2210203</v>
      </c>
      <c r="E2391" s="158" t="s">
        <v>23</v>
      </c>
      <c r="F2391" s="157">
        <v>29000</v>
      </c>
      <c r="H2391" s="46"/>
      <c r="I2391" s="46"/>
      <c r="J2391" s="80">
        <v>2210203</v>
      </c>
      <c r="K2391" s="158" t="s">
        <v>23</v>
      </c>
      <c r="L2391" s="157">
        <v>29000</v>
      </c>
      <c r="N2391" s="157">
        <f t="shared" si="37"/>
        <v>0</v>
      </c>
    </row>
    <row r="2392" spans="2:14">
      <c r="B2392" s="27"/>
      <c r="C2392" s="27"/>
      <c r="D2392" s="1545">
        <v>2210300</v>
      </c>
      <c r="E2392" s="1546" t="s">
        <v>24</v>
      </c>
      <c r="F2392" s="1861">
        <v>2068341</v>
      </c>
      <c r="H2392" s="27"/>
      <c r="I2392" s="27"/>
      <c r="J2392" s="1545">
        <v>2210300</v>
      </c>
      <c r="K2392" s="1546" t="s">
        <v>24</v>
      </c>
      <c r="L2392" s="1861">
        <v>2068341</v>
      </c>
      <c r="N2392" s="1861">
        <f t="shared" si="37"/>
        <v>0</v>
      </c>
    </row>
    <row r="2393" spans="2:14">
      <c r="B2393" s="46"/>
      <c r="C2393" s="46"/>
      <c r="D2393" s="80">
        <v>2210301</v>
      </c>
      <c r="E2393" s="158" t="s">
        <v>25</v>
      </c>
      <c r="F2393" s="141">
        <v>391500</v>
      </c>
      <c r="H2393" s="46"/>
      <c r="I2393" s="46"/>
      <c r="J2393" s="80">
        <v>2210301</v>
      </c>
      <c r="K2393" s="158" t="s">
        <v>25</v>
      </c>
      <c r="L2393" s="141">
        <v>391500</v>
      </c>
      <c r="N2393" s="141">
        <f t="shared" si="37"/>
        <v>0</v>
      </c>
    </row>
    <row r="2394" spans="2:14">
      <c r="B2394" s="46"/>
      <c r="C2394" s="46"/>
      <c r="D2394" s="80">
        <v>2210302</v>
      </c>
      <c r="E2394" s="158" t="s">
        <v>26</v>
      </c>
      <c r="F2394" s="141">
        <v>712841</v>
      </c>
      <c r="H2394" s="46"/>
      <c r="I2394" s="46"/>
      <c r="J2394" s="80">
        <v>2210302</v>
      </c>
      <c r="K2394" s="158" t="s">
        <v>26</v>
      </c>
      <c r="L2394" s="141">
        <v>712841</v>
      </c>
      <c r="N2394" s="141">
        <f t="shared" si="37"/>
        <v>0</v>
      </c>
    </row>
    <row r="2395" spans="2:14">
      <c r="B2395" s="46"/>
      <c r="C2395" s="46"/>
      <c r="D2395" s="80">
        <v>2210303</v>
      </c>
      <c r="E2395" s="158" t="s">
        <v>27</v>
      </c>
      <c r="F2395" s="141">
        <v>964000</v>
      </c>
      <c r="H2395" s="46"/>
      <c r="I2395" s="46"/>
      <c r="J2395" s="80">
        <v>2210303</v>
      </c>
      <c r="K2395" s="158" t="s">
        <v>27</v>
      </c>
      <c r="L2395" s="141">
        <v>964000</v>
      </c>
      <c r="N2395" s="141">
        <f t="shared" si="37"/>
        <v>0</v>
      </c>
    </row>
    <row r="2396" spans="2:14">
      <c r="B2396" s="27"/>
      <c r="C2396" s="27"/>
      <c r="D2396" s="1545">
        <v>2210400</v>
      </c>
      <c r="E2396" s="1546" t="s">
        <v>484</v>
      </c>
      <c r="F2396" s="1731">
        <v>1274365</v>
      </c>
      <c r="H2396" s="27"/>
      <c r="I2396" s="27"/>
      <c r="J2396" s="1545">
        <v>2210400</v>
      </c>
      <c r="K2396" s="1546" t="s">
        <v>484</v>
      </c>
      <c r="L2396" s="1731">
        <v>1274365</v>
      </c>
      <c r="N2396" s="1731">
        <f t="shared" si="37"/>
        <v>0</v>
      </c>
    </row>
    <row r="2397" spans="2:14">
      <c r="B2397" s="46"/>
      <c r="C2397" s="46"/>
      <c r="D2397" s="80">
        <v>2210401</v>
      </c>
      <c r="E2397" s="158" t="s">
        <v>25</v>
      </c>
      <c r="F2397" s="141">
        <v>891500</v>
      </c>
      <c r="H2397" s="46"/>
      <c r="I2397" s="46"/>
      <c r="J2397" s="80">
        <v>2210401</v>
      </c>
      <c r="K2397" s="158" t="s">
        <v>25</v>
      </c>
      <c r="L2397" s="141">
        <v>891500</v>
      </c>
      <c r="N2397" s="141">
        <f t="shared" si="37"/>
        <v>0</v>
      </c>
    </row>
    <row r="2398" spans="2:14">
      <c r="B2398" s="46"/>
      <c r="C2398" s="46"/>
      <c r="D2398" s="80">
        <v>2210402</v>
      </c>
      <c r="E2398" s="158" t="s">
        <v>485</v>
      </c>
      <c r="F2398" s="141">
        <v>382865</v>
      </c>
      <c r="H2398" s="46"/>
      <c r="I2398" s="46"/>
      <c r="J2398" s="80">
        <v>2210402</v>
      </c>
      <c r="K2398" s="158" t="s">
        <v>485</v>
      </c>
      <c r="L2398" s="141">
        <v>382865</v>
      </c>
      <c r="N2398" s="141">
        <f t="shared" si="37"/>
        <v>0</v>
      </c>
    </row>
    <row r="2399" spans="2:14">
      <c r="B2399" s="46"/>
      <c r="C2399" s="46"/>
      <c r="D2399" s="1545">
        <v>2210500</v>
      </c>
      <c r="E2399" s="1546" t="s">
        <v>31</v>
      </c>
      <c r="F2399" s="1861">
        <v>1256444</v>
      </c>
      <c r="H2399" s="46"/>
      <c r="I2399" s="46"/>
      <c r="J2399" s="1545">
        <v>2210500</v>
      </c>
      <c r="K2399" s="1546" t="s">
        <v>31</v>
      </c>
      <c r="L2399" s="1861">
        <v>1256444</v>
      </c>
      <c r="N2399" s="1861">
        <f t="shared" si="37"/>
        <v>0</v>
      </c>
    </row>
    <row r="2400" spans="2:14">
      <c r="B2400" s="46"/>
      <c r="C2400" s="46"/>
      <c r="D2400" s="80">
        <v>2210502</v>
      </c>
      <c r="E2400" s="158" t="s">
        <v>487</v>
      </c>
      <c r="F2400" s="141">
        <v>327281</v>
      </c>
      <c r="H2400" s="46"/>
      <c r="I2400" s="46"/>
      <c r="J2400" s="80">
        <v>2210502</v>
      </c>
      <c r="K2400" s="158" t="s">
        <v>487</v>
      </c>
      <c r="L2400" s="141">
        <v>327281</v>
      </c>
      <c r="N2400" s="141">
        <f t="shared" si="37"/>
        <v>0</v>
      </c>
    </row>
    <row r="2401" spans="2:14">
      <c r="B2401" s="46"/>
      <c r="C2401" s="46"/>
      <c r="D2401" s="80">
        <v>2210503</v>
      </c>
      <c r="E2401" s="158" t="s">
        <v>32</v>
      </c>
      <c r="F2401" s="141">
        <v>58058</v>
      </c>
      <c r="H2401" s="46"/>
      <c r="I2401" s="46"/>
      <c r="J2401" s="80">
        <v>2210503</v>
      </c>
      <c r="K2401" s="158" t="s">
        <v>32</v>
      </c>
      <c r="L2401" s="141">
        <v>58058</v>
      </c>
      <c r="N2401" s="141">
        <f t="shared" si="37"/>
        <v>0</v>
      </c>
    </row>
    <row r="2402" spans="2:14">
      <c r="B2402" s="46"/>
      <c r="C2402" s="46"/>
      <c r="D2402" s="80">
        <v>2210504</v>
      </c>
      <c r="E2402" s="158" t="s">
        <v>1570</v>
      </c>
      <c r="F2402" s="141">
        <v>871105</v>
      </c>
      <c r="H2402" s="46"/>
      <c r="I2402" s="46"/>
      <c r="J2402" s="80">
        <v>2210504</v>
      </c>
      <c r="K2402" s="158" t="s">
        <v>1570</v>
      </c>
      <c r="L2402" s="141">
        <v>871105</v>
      </c>
      <c r="N2402" s="141">
        <f t="shared" si="37"/>
        <v>0</v>
      </c>
    </row>
    <row r="2403" spans="2:14">
      <c r="B2403" s="46"/>
      <c r="C2403" s="46"/>
      <c r="D2403" s="1545">
        <v>2210700</v>
      </c>
      <c r="E2403" s="1546" t="s">
        <v>114</v>
      </c>
      <c r="F2403" s="1861">
        <v>8000000</v>
      </c>
      <c r="H2403" s="46"/>
      <c r="I2403" s="46"/>
      <c r="J2403" s="1545">
        <v>2210700</v>
      </c>
      <c r="K2403" s="1546" t="s">
        <v>114</v>
      </c>
      <c r="L2403" s="1861">
        <v>8000000</v>
      </c>
      <c r="N2403" s="1861">
        <f t="shared" si="37"/>
        <v>0</v>
      </c>
    </row>
    <row r="2404" spans="2:14">
      <c r="B2404" s="46"/>
      <c r="C2404" s="46"/>
      <c r="D2404" s="80">
        <v>2210704</v>
      </c>
      <c r="E2404" s="158" t="s">
        <v>1435</v>
      </c>
      <c r="F2404" s="157">
        <v>3000000</v>
      </c>
      <c r="H2404" s="46"/>
      <c r="I2404" s="46"/>
      <c r="J2404" s="80">
        <v>2210704</v>
      </c>
      <c r="K2404" s="158" t="s">
        <v>1435</v>
      </c>
      <c r="L2404" s="157">
        <v>3000000</v>
      </c>
      <c r="N2404" s="157">
        <f t="shared" si="37"/>
        <v>0</v>
      </c>
    </row>
    <row r="2405" spans="2:14">
      <c r="B2405" s="46"/>
      <c r="C2405" s="46"/>
      <c r="D2405" s="80">
        <v>2210707</v>
      </c>
      <c r="E2405" s="158" t="s">
        <v>1436</v>
      </c>
      <c r="F2405" s="157">
        <v>1000000</v>
      </c>
      <c r="H2405" s="46"/>
      <c r="I2405" s="46"/>
      <c r="J2405" s="80">
        <v>2210707</v>
      </c>
      <c r="K2405" s="158" t="s">
        <v>1436</v>
      </c>
      <c r="L2405" s="157">
        <v>1000000</v>
      </c>
      <c r="N2405" s="157">
        <f t="shared" si="37"/>
        <v>0</v>
      </c>
    </row>
    <row r="2406" spans="2:14">
      <c r="B2406" s="46"/>
      <c r="C2406" s="46"/>
      <c r="D2406" s="57">
        <v>2210799</v>
      </c>
      <c r="E2406" s="58" t="s">
        <v>1437</v>
      </c>
      <c r="F2406" s="157">
        <v>1500000</v>
      </c>
      <c r="H2406" s="46"/>
      <c r="I2406" s="46"/>
      <c r="J2406" s="1729">
        <v>2210799</v>
      </c>
      <c r="K2406" s="58" t="s">
        <v>1437</v>
      </c>
      <c r="L2406" s="157">
        <v>1500000</v>
      </c>
      <c r="N2406" s="157">
        <f t="shared" si="37"/>
        <v>0</v>
      </c>
    </row>
    <row r="2407" spans="2:14">
      <c r="B2407" s="46"/>
      <c r="C2407" s="46"/>
      <c r="D2407" s="80">
        <v>2210712</v>
      </c>
      <c r="E2407" s="158" t="s">
        <v>1438</v>
      </c>
      <c r="F2407" s="157">
        <v>2500000</v>
      </c>
      <c r="H2407" s="46"/>
      <c r="I2407" s="46"/>
      <c r="J2407" s="80">
        <v>2210712</v>
      </c>
      <c r="K2407" s="158" t="s">
        <v>1438</v>
      </c>
      <c r="L2407" s="157">
        <v>2500000</v>
      </c>
      <c r="N2407" s="157">
        <f t="shared" si="37"/>
        <v>0</v>
      </c>
    </row>
    <row r="2408" spans="2:14">
      <c r="B2408" s="46"/>
      <c r="C2408" s="46"/>
      <c r="D2408" s="1545">
        <v>2210800</v>
      </c>
      <c r="E2408" s="1546" t="s">
        <v>42</v>
      </c>
      <c r="F2408" s="1861">
        <v>3668630</v>
      </c>
      <c r="H2408" s="46"/>
      <c r="I2408" s="46"/>
      <c r="J2408" s="1545">
        <v>2210800</v>
      </c>
      <c r="K2408" s="1546" t="s">
        <v>42</v>
      </c>
      <c r="L2408" s="1861">
        <v>3668630</v>
      </c>
      <c r="N2408" s="1861">
        <f t="shared" si="37"/>
        <v>0</v>
      </c>
    </row>
    <row r="2409" spans="2:14">
      <c r="B2409" s="46"/>
      <c r="C2409" s="46"/>
      <c r="D2409" s="80">
        <v>2210801</v>
      </c>
      <c r="E2409" s="158" t="s">
        <v>43</v>
      </c>
      <c r="F2409" s="157">
        <v>668630</v>
      </c>
      <c r="H2409" s="46"/>
      <c r="I2409" s="46"/>
      <c r="J2409" s="80">
        <v>2210801</v>
      </c>
      <c r="K2409" s="158" t="s">
        <v>43</v>
      </c>
      <c r="L2409" s="157">
        <v>668630</v>
      </c>
      <c r="N2409" s="157">
        <f t="shared" si="37"/>
        <v>0</v>
      </c>
    </row>
    <row r="2410" spans="2:14" ht="45">
      <c r="B2410" s="46"/>
      <c r="C2410" s="46"/>
      <c r="D2410" s="80">
        <v>2210802</v>
      </c>
      <c r="E2410" s="158" t="s">
        <v>1439</v>
      </c>
      <c r="F2410" s="157">
        <v>1000000</v>
      </c>
      <c r="H2410" s="46"/>
      <c r="I2410" s="46"/>
      <c r="J2410" s="80">
        <v>2210802</v>
      </c>
      <c r="K2410" s="158" t="s">
        <v>1439</v>
      </c>
      <c r="L2410" s="157">
        <v>1000000</v>
      </c>
      <c r="N2410" s="157">
        <f t="shared" si="37"/>
        <v>0</v>
      </c>
    </row>
    <row r="2411" spans="2:14">
      <c r="B2411" s="46"/>
      <c r="C2411" s="46"/>
      <c r="D2411" s="80">
        <v>2210809</v>
      </c>
      <c r="E2411" s="158" t="s">
        <v>514</v>
      </c>
      <c r="F2411" s="157">
        <v>2000000</v>
      </c>
      <c r="H2411" s="46"/>
      <c r="I2411" s="46"/>
      <c r="J2411" s="80">
        <v>2210809</v>
      </c>
      <c r="K2411" s="158" t="s">
        <v>514</v>
      </c>
      <c r="L2411" s="157">
        <v>2000000</v>
      </c>
      <c r="N2411" s="157">
        <f t="shared" si="37"/>
        <v>0</v>
      </c>
    </row>
    <row r="2412" spans="2:14">
      <c r="B2412" s="46"/>
      <c r="C2412" s="46"/>
      <c r="D2412" s="1545">
        <v>2211100</v>
      </c>
      <c r="E2412" s="1546" t="s">
        <v>51</v>
      </c>
      <c r="F2412" s="1861">
        <v>361875</v>
      </c>
      <c r="H2412" s="46"/>
      <c r="I2412" s="46"/>
      <c r="J2412" s="1545">
        <v>2211100</v>
      </c>
      <c r="K2412" s="1546" t="s">
        <v>51</v>
      </c>
      <c r="L2412" s="1861">
        <v>361875</v>
      </c>
      <c r="N2412" s="1861">
        <f t="shared" si="37"/>
        <v>0</v>
      </c>
    </row>
    <row r="2413" spans="2:14">
      <c r="B2413" s="46"/>
      <c r="C2413" s="46"/>
      <c r="D2413" s="80">
        <v>2211101</v>
      </c>
      <c r="E2413" s="158" t="s">
        <v>52</v>
      </c>
      <c r="F2413" s="157">
        <v>361875</v>
      </c>
      <c r="H2413" s="46"/>
      <c r="I2413" s="46"/>
      <c r="J2413" s="80">
        <v>2211101</v>
      </c>
      <c r="K2413" s="158" t="s">
        <v>52</v>
      </c>
      <c r="L2413" s="157">
        <v>361875</v>
      </c>
      <c r="N2413" s="157">
        <f t="shared" si="37"/>
        <v>0</v>
      </c>
    </row>
    <row r="2414" spans="2:14">
      <c r="B2414" s="46"/>
      <c r="C2414" s="46"/>
      <c r="D2414" s="1545">
        <v>2211200</v>
      </c>
      <c r="E2414" s="1546" t="s">
        <v>55</v>
      </c>
      <c r="F2414" s="1861">
        <v>986950</v>
      </c>
      <c r="H2414" s="46"/>
      <c r="I2414" s="46"/>
      <c r="J2414" s="1545">
        <v>2211200</v>
      </c>
      <c r="K2414" s="1546" t="s">
        <v>55</v>
      </c>
      <c r="L2414" s="1861">
        <v>986950</v>
      </c>
      <c r="N2414" s="1861">
        <f t="shared" si="37"/>
        <v>0</v>
      </c>
    </row>
    <row r="2415" spans="2:14">
      <c r="B2415" s="46"/>
      <c r="C2415" s="46"/>
      <c r="D2415" s="80">
        <v>2211201</v>
      </c>
      <c r="E2415" s="158" t="s">
        <v>56</v>
      </c>
      <c r="F2415" s="157">
        <v>986950</v>
      </c>
      <c r="H2415" s="46"/>
      <c r="I2415" s="46"/>
      <c r="J2415" s="80">
        <v>2211201</v>
      </c>
      <c r="K2415" s="158" t="s">
        <v>56</v>
      </c>
      <c r="L2415" s="157">
        <v>986950</v>
      </c>
      <c r="N2415" s="157">
        <f t="shared" si="37"/>
        <v>0</v>
      </c>
    </row>
    <row r="2416" spans="2:14">
      <c r="B2416" s="46"/>
      <c r="C2416" s="46"/>
      <c r="D2416" s="1545">
        <v>2211300</v>
      </c>
      <c r="E2416" s="1546" t="s">
        <v>515</v>
      </c>
      <c r="F2416" s="1861">
        <v>3040000</v>
      </c>
      <c r="H2416" s="46"/>
      <c r="I2416" s="46"/>
      <c r="J2416" s="1545">
        <v>2211300</v>
      </c>
      <c r="K2416" s="1546" t="s">
        <v>515</v>
      </c>
      <c r="L2416" s="1861">
        <v>3040000</v>
      </c>
      <c r="N2416" s="1861">
        <f t="shared" si="37"/>
        <v>0</v>
      </c>
    </row>
    <row r="2417" spans="2:14">
      <c r="B2417" s="46"/>
      <c r="C2417" s="46"/>
      <c r="D2417" s="80">
        <v>2211309</v>
      </c>
      <c r="E2417" s="158" t="s">
        <v>516</v>
      </c>
      <c r="F2417" s="157">
        <v>1500000</v>
      </c>
      <c r="H2417" s="46"/>
      <c r="I2417" s="46"/>
      <c r="J2417" s="80">
        <v>2211309</v>
      </c>
      <c r="K2417" s="158" t="s">
        <v>516</v>
      </c>
      <c r="L2417" s="157">
        <v>1500000</v>
      </c>
      <c r="N2417" s="157">
        <f t="shared" si="37"/>
        <v>0</v>
      </c>
    </row>
    <row r="2418" spans="2:14">
      <c r="B2418" s="46"/>
      <c r="C2418" s="46"/>
      <c r="D2418" s="80">
        <v>2211320</v>
      </c>
      <c r="E2418" s="158" t="s">
        <v>1440</v>
      </c>
      <c r="F2418" s="157">
        <v>1540000</v>
      </c>
      <c r="H2418" s="46"/>
      <c r="I2418" s="46"/>
      <c r="J2418" s="80">
        <v>2211320</v>
      </c>
      <c r="K2418" s="158" t="s">
        <v>1440</v>
      </c>
      <c r="L2418" s="157">
        <v>1540000</v>
      </c>
      <c r="N2418" s="157">
        <f t="shared" si="37"/>
        <v>0</v>
      </c>
    </row>
    <row r="2419" spans="2:14">
      <c r="B2419" s="46"/>
      <c r="C2419" s="46"/>
      <c r="D2419" s="1545">
        <v>2220100</v>
      </c>
      <c r="E2419" s="1546" t="s">
        <v>62</v>
      </c>
      <c r="F2419" s="1861">
        <v>3047473</v>
      </c>
      <c r="H2419" s="46"/>
      <c r="I2419" s="46"/>
      <c r="J2419" s="1545">
        <v>2220100</v>
      </c>
      <c r="K2419" s="1546" t="s">
        <v>62</v>
      </c>
      <c r="L2419" s="1861">
        <v>3047473</v>
      </c>
      <c r="N2419" s="1861">
        <f t="shared" si="37"/>
        <v>0</v>
      </c>
    </row>
    <row r="2420" spans="2:14">
      <c r="B2420" s="46"/>
      <c r="C2420" s="46"/>
      <c r="D2420" s="80">
        <v>2220101</v>
      </c>
      <c r="E2420" s="158" t="s">
        <v>250</v>
      </c>
      <c r="F2420" s="141">
        <v>547473</v>
      </c>
      <c r="H2420" s="46"/>
      <c r="I2420" s="46"/>
      <c r="J2420" s="80">
        <v>2220101</v>
      </c>
      <c r="K2420" s="158" t="s">
        <v>250</v>
      </c>
      <c r="L2420" s="141">
        <v>547473</v>
      </c>
      <c r="N2420" s="141">
        <f t="shared" si="37"/>
        <v>0</v>
      </c>
    </row>
    <row r="2421" spans="2:14">
      <c r="B2421" s="46"/>
      <c r="C2421" s="46"/>
      <c r="D2421" s="80">
        <v>2220105</v>
      </c>
      <c r="E2421" s="1871" t="s">
        <v>1441</v>
      </c>
      <c r="F2421" s="157">
        <v>2500000</v>
      </c>
      <c r="H2421" s="46"/>
      <c r="I2421" s="46"/>
      <c r="J2421" s="80">
        <v>2220105</v>
      </c>
      <c r="K2421" s="1871" t="s">
        <v>1441</v>
      </c>
      <c r="L2421" s="157">
        <v>2500000</v>
      </c>
      <c r="N2421" s="157">
        <f t="shared" si="37"/>
        <v>0</v>
      </c>
    </row>
    <row r="2422" spans="2:14">
      <c r="B2422" s="46"/>
      <c r="C2422" s="46"/>
      <c r="D2422" s="1545">
        <v>3111000</v>
      </c>
      <c r="E2422" s="1546" t="s">
        <v>69</v>
      </c>
      <c r="F2422" s="1861">
        <v>1746000</v>
      </c>
      <c r="H2422" s="46"/>
      <c r="I2422" s="46"/>
      <c r="J2422" s="1545">
        <v>3111000</v>
      </c>
      <c r="K2422" s="1546" t="s">
        <v>69</v>
      </c>
      <c r="L2422" s="1861">
        <v>1746000</v>
      </c>
      <c r="N2422" s="1861">
        <f t="shared" si="37"/>
        <v>0</v>
      </c>
    </row>
    <row r="2423" spans="2:14">
      <c r="B2423" s="46"/>
      <c r="C2423" s="46"/>
      <c r="D2423" s="80">
        <v>3111001</v>
      </c>
      <c r="E2423" s="158" t="s">
        <v>70</v>
      </c>
      <c r="F2423" s="141">
        <v>696000</v>
      </c>
      <c r="H2423" s="46"/>
      <c r="I2423" s="46"/>
      <c r="J2423" s="80">
        <v>3111001</v>
      </c>
      <c r="K2423" s="158" t="s">
        <v>70</v>
      </c>
      <c r="L2423" s="141">
        <v>696000</v>
      </c>
      <c r="N2423" s="141">
        <f t="shared" si="37"/>
        <v>0</v>
      </c>
    </row>
    <row r="2424" spans="2:14">
      <c r="B2424" s="46"/>
      <c r="C2424" s="46"/>
      <c r="D2424" s="80">
        <v>3111002</v>
      </c>
      <c r="E2424" s="158" t="s">
        <v>71</v>
      </c>
      <c r="F2424" s="141">
        <v>1050000</v>
      </c>
      <c r="H2424" s="46"/>
      <c r="I2424" s="46"/>
      <c r="J2424" s="80">
        <v>3111002</v>
      </c>
      <c r="K2424" s="158" t="s">
        <v>71</v>
      </c>
      <c r="L2424" s="141">
        <v>1050000</v>
      </c>
      <c r="N2424" s="141">
        <f t="shared" si="37"/>
        <v>0</v>
      </c>
    </row>
    <row r="2425" spans="2:14">
      <c r="B2425" s="27"/>
      <c r="C2425" s="27"/>
      <c r="D2425" s="1726">
        <v>3111400</v>
      </c>
      <c r="E2425" s="1584" t="s">
        <v>126</v>
      </c>
      <c r="F2425" s="1731">
        <v>2600000</v>
      </c>
      <c r="H2425" s="27"/>
      <c r="I2425" s="27"/>
      <c r="J2425" s="1728">
        <v>3111400</v>
      </c>
      <c r="K2425" s="1584" t="s">
        <v>126</v>
      </c>
      <c r="L2425" s="1731">
        <v>2600000</v>
      </c>
      <c r="N2425" s="1731">
        <f t="shared" si="37"/>
        <v>0</v>
      </c>
    </row>
    <row r="2426" spans="2:14" ht="30">
      <c r="B2426" s="46"/>
      <c r="C2426" s="46"/>
      <c r="D2426" s="57">
        <v>3111401</v>
      </c>
      <c r="E2426" s="58" t="s">
        <v>1442</v>
      </c>
      <c r="F2426" s="141">
        <v>2600000</v>
      </c>
      <c r="H2426" s="46"/>
      <c r="I2426" s="46"/>
      <c r="J2426" s="1729">
        <v>3111401</v>
      </c>
      <c r="K2426" s="58" t="s">
        <v>1442</v>
      </c>
      <c r="L2426" s="141">
        <v>2600000</v>
      </c>
      <c r="N2426" s="141">
        <f t="shared" si="37"/>
        <v>0</v>
      </c>
    </row>
    <row r="2427" spans="2:14">
      <c r="B2427" s="27"/>
      <c r="C2427" s="27"/>
      <c r="D2427" s="1545"/>
      <c r="E2427" s="1546" t="s">
        <v>77</v>
      </c>
      <c r="F2427" s="1861">
        <v>28831629</v>
      </c>
      <c r="H2427" s="27"/>
      <c r="I2427" s="27"/>
      <c r="J2427" s="1545"/>
      <c r="K2427" s="1546" t="s">
        <v>77</v>
      </c>
      <c r="L2427" s="1861">
        <v>28831629</v>
      </c>
      <c r="N2427" s="1861">
        <f t="shared" si="37"/>
        <v>0</v>
      </c>
    </row>
    <row r="2428" spans="2:14">
      <c r="B2428" s="46"/>
      <c r="C2428" s="46"/>
      <c r="D2428" s="80"/>
      <c r="E2428" s="158"/>
      <c r="F2428" s="157"/>
      <c r="H2428" s="46"/>
      <c r="I2428" s="46"/>
      <c r="J2428" s="80"/>
      <c r="K2428" s="158"/>
      <c r="L2428" s="157"/>
      <c r="N2428" s="157">
        <f t="shared" si="37"/>
        <v>0</v>
      </c>
    </row>
    <row r="2429" spans="2:14">
      <c r="B2429" s="46"/>
      <c r="C2429" s="46"/>
      <c r="D2429" s="1545" t="s">
        <v>517</v>
      </c>
      <c r="E2429" s="1546"/>
      <c r="F2429" s="157"/>
      <c r="H2429" s="46"/>
      <c r="I2429" s="46"/>
      <c r="J2429" s="1545" t="s">
        <v>517</v>
      </c>
      <c r="K2429" s="1546"/>
      <c r="L2429" s="157"/>
      <c r="N2429" s="157">
        <f t="shared" si="37"/>
        <v>0</v>
      </c>
    </row>
    <row r="2430" spans="2:14">
      <c r="B2430" s="27"/>
      <c r="C2430" s="27"/>
      <c r="D2430" s="1545">
        <v>2210200</v>
      </c>
      <c r="E2430" s="1546" t="s">
        <v>20</v>
      </c>
      <c r="F2430" s="1861">
        <v>289031</v>
      </c>
      <c r="H2430" s="27"/>
      <c r="I2430" s="27"/>
      <c r="J2430" s="1545">
        <v>2210200</v>
      </c>
      <c r="K2430" s="1546" t="s">
        <v>20</v>
      </c>
      <c r="L2430" s="1861">
        <v>289031</v>
      </c>
      <c r="N2430" s="1861">
        <f t="shared" si="37"/>
        <v>0</v>
      </c>
    </row>
    <row r="2431" spans="2:14">
      <c r="B2431" s="46"/>
      <c r="C2431" s="46"/>
      <c r="D2431" s="80">
        <v>2210201</v>
      </c>
      <c r="E2431" s="158" t="s">
        <v>21</v>
      </c>
      <c r="F2431" s="157">
        <v>289031</v>
      </c>
      <c r="H2431" s="46"/>
      <c r="I2431" s="46"/>
      <c r="J2431" s="80">
        <v>2210201</v>
      </c>
      <c r="K2431" s="158" t="s">
        <v>21</v>
      </c>
      <c r="L2431" s="157">
        <v>289031</v>
      </c>
      <c r="N2431" s="157">
        <f t="shared" si="37"/>
        <v>0</v>
      </c>
    </row>
    <row r="2432" spans="2:14">
      <c r="B2432" s="46"/>
      <c r="C2432" s="46"/>
      <c r="D2432" s="1545">
        <v>2210300</v>
      </c>
      <c r="E2432" s="1546" t="s">
        <v>24</v>
      </c>
      <c r="F2432" s="1861">
        <v>1471097</v>
      </c>
      <c r="H2432" s="46"/>
      <c r="I2432" s="46"/>
      <c r="J2432" s="1545">
        <v>2210300</v>
      </c>
      <c r="K2432" s="1546" t="s">
        <v>24</v>
      </c>
      <c r="L2432" s="1861">
        <v>1471097</v>
      </c>
      <c r="N2432" s="1861">
        <f t="shared" si="37"/>
        <v>0</v>
      </c>
    </row>
    <row r="2433" spans="2:14">
      <c r="B2433" s="46"/>
      <c r="C2433" s="46"/>
      <c r="D2433" s="80">
        <v>2210301</v>
      </c>
      <c r="E2433" s="158" t="s">
        <v>25</v>
      </c>
      <c r="F2433" s="141">
        <v>293505</v>
      </c>
      <c r="H2433" s="46"/>
      <c r="I2433" s="46"/>
      <c r="J2433" s="80">
        <v>2210301</v>
      </c>
      <c r="K2433" s="158" t="s">
        <v>25</v>
      </c>
      <c r="L2433" s="141">
        <v>293505</v>
      </c>
      <c r="N2433" s="141">
        <f t="shared" si="37"/>
        <v>0</v>
      </c>
    </row>
    <row r="2434" spans="2:14">
      <c r="B2434" s="46"/>
      <c r="C2434" s="46"/>
      <c r="D2434" s="80">
        <v>2210302</v>
      </c>
      <c r="E2434" s="158" t="s">
        <v>26</v>
      </c>
      <c r="F2434" s="141">
        <v>512642</v>
      </c>
      <c r="H2434" s="46"/>
      <c r="I2434" s="46"/>
      <c r="J2434" s="80">
        <v>2210302</v>
      </c>
      <c r="K2434" s="158" t="s">
        <v>26</v>
      </c>
      <c r="L2434" s="141">
        <v>512642</v>
      </c>
      <c r="N2434" s="141">
        <f t="shared" si="37"/>
        <v>0</v>
      </c>
    </row>
    <row r="2435" spans="2:14">
      <c r="B2435" s="46"/>
      <c r="C2435" s="46"/>
      <c r="D2435" s="80">
        <v>2210303</v>
      </c>
      <c r="E2435" s="158" t="s">
        <v>27</v>
      </c>
      <c r="F2435" s="141">
        <v>664950</v>
      </c>
      <c r="H2435" s="46"/>
      <c r="I2435" s="46"/>
      <c r="J2435" s="80">
        <v>2210303</v>
      </c>
      <c r="K2435" s="158" t="s">
        <v>27</v>
      </c>
      <c r="L2435" s="141">
        <v>664950</v>
      </c>
      <c r="N2435" s="141">
        <f t="shared" si="37"/>
        <v>0</v>
      </c>
    </row>
    <row r="2436" spans="2:14">
      <c r="B2436" s="27"/>
      <c r="C2436" s="27"/>
      <c r="D2436" s="1545">
        <v>2210400</v>
      </c>
      <c r="E2436" s="1546" t="s">
        <v>484</v>
      </c>
      <c r="F2436" s="1731">
        <v>1275187</v>
      </c>
      <c r="H2436" s="27"/>
      <c r="I2436" s="27"/>
      <c r="J2436" s="1545">
        <v>2210400</v>
      </c>
      <c r="K2436" s="1546" t="s">
        <v>484</v>
      </c>
      <c r="L2436" s="1731">
        <v>1275187</v>
      </c>
      <c r="N2436" s="1731">
        <f t="shared" si="37"/>
        <v>0</v>
      </c>
    </row>
    <row r="2437" spans="2:14">
      <c r="B2437" s="46"/>
      <c r="C2437" s="46"/>
      <c r="D2437" s="80">
        <v>2210401</v>
      </c>
      <c r="E2437" s="158" t="s">
        <v>25</v>
      </c>
      <c r="F2437" s="141">
        <v>863507</v>
      </c>
      <c r="H2437" s="46"/>
      <c r="I2437" s="46"/>
      <c r="J2437" s="80">
        <v>2210401</v>
      </c>
      <c r="K2437" s="158" t="s">
        <v>25</v>
      </c>
      <c r="L2437" s="141">
        <v>863507</v>
      </c>
      <c r="N2437" s="141">
        <f t="shared" si="37"/>
        <v>0</v>
      </c>
    </row>
    <row r="2438" spans="2:14">
      <c r="B2438" s="46"/>
      <c r="C2438" s="46"/>
      <c r="D2438" s="80">
        <v>2210402</v>
      </c>
      <c r="E2438" s="158" t="s">
        <v>485</v>
      </c>
      <c r="F2438" s="141">
        <v>411680</v>
      </c>
      <c r="H2438" s="46"/>
      <c r="I2438" s="46"/>
      <c r="J2438" s="80">
        <v>2210402</v>
      </c>
      <c r="K2438" s="158" t="s">
        <v>485</v>
      </c>
      <c r="L2438" s="141">
        <v>411680</v>
      </c>
      <c r="N2438" s="141">
        <f t="shared" si="37"/>
        <v>0</v>
      </c>
    </row>
    <row r="2439" spans="2:14">
      <c r="B2439" s="46"/>
      <c r="C2439" s="46"/>
      <c r="D2439" s="1545">
        <v>2210500</v>
      </c>
      <c r="E2439" s="1546" t="s">
        <v>31</v>
      </c>
      <c r="F2439" s="1861">
        <v>5895679</v>
      </c>
      <c r="H2439" s="46"/>
      <c r="I2439" s="46"/>
      <c r="J2439" s="1545">
        <v>2210500</v>
      </c>
      <c r="K2439" s="1546" t="s">
        <v>31</v>
      </c>
      <c r="L2439" s="1861">
        <v>5895679</v>
      </c>
      <c r="N2439" s="1861">
        <f t="shared" si="37"/>
        <v>0</v>
      </c>
    </row>
    <row r="2440" spans="2:14" ht="45">
      <c r="B2440" s="46"/>
      <c r="C2440" s="46"/>
      <c r="D2440" s="80">
        <v>2210502</v>
      </c>
      <c r="E2440" s="158" t="s">
        <v>1783</v>
      </c>
      <c r="F2440" s="157">
        <v>1500000</v>
      </c>
      <c r="H2440" s="46"/>
      <c r="I2440" s="46"/>
      <c r="J2440" s="80">
        <v>2210502</v>
      </c>
      <c r="K2440" s="158" t="s">
        <v>1783</v>
      </c>
      <c r="L2440" s="157">
        <v>1500000</v>
      </c>
      <c r="N2440" s="157">
        <f t="shared" ref="N2440:N2503" si="38">F2440-L2440</f>
        <v>0</v>
      </c>
    </row>
    <row r="2441" spans="2:14" ht="105">
      <c r="B2441" s="46"/>
      <c r="C2441" s="46"/>
      <c r="D2441" s="80">
        <v>2210504</v>
      </c>
      <c r="E2441" s="158" t="s">
        <v>1443</v>
      </c>
      <c r="F2441" s="157">
        <v>3500000</v>
      </c>
      <c r="H2441" s="46"/>
      <c r="I2441" s="46"/>
      <c r="J2441" s="80">
        <v>2210504</v>
      </c>
      <c r="K2441" s="158" t="s">
        <v>1443</v>
      </c>
      <c r="L2441" s="157">
        <v>3500000</v>
      </c>
      <c r="N2441" s="157">
        <f t="shared" si="38"/>
        <v>0</v>
      </c>
    </row>
    <row r="2442" spans="2:14">
      <c r="B2442" s="46"/>
      <c r="C2442" s="46"/>
      <c r="D2442" s="80">
        <v>2210505</v>
      </c>
      <c r="E2442" s="158" t="s">
        <v>192</v>
      </c>
      <c r="F2442" s="157">
        <v>895679</v>
      </c>
      <c r="H2442" s="46"/>
      <c r="I2442" s="46"/>
      <c r="J2442" s="80">
        <v>2210505</v>
      </c>
      <c r="K2442" s="158" t="s">
        <v>192</v>
      </c>
      <c r="L2442" s="157">
        <v>895679</v>
      </c>
      <c r="N2442" s="157">
        <f t="shared" si="38"/>
        <v>0</v>
      </c>
    </row>
    <row r="2443" spans="2:14">
      <c r="B2443" s="27"/>
      <c r="C2443" s="27"/>
      <c r="D2443" s="1545">
        <v>2210700</v>
      </c>
      <c r="E2443" s="1546" t="s">
        <v>35</v>
      </c>
      <c r="F2443" s="1861">
        <v>1200505</v>
      </c>
      <c r="H2443" s="27"/>
      <c r="I2443" s="27"/>
      <c r="J2443" s="1545">
        <v>2210700</v>
      </c>
      <c r="K2443" s="1546" t="s">
        <v>35</v>
      </c>
      <c r="L2443" s="1861">
        <v>1200505</v>
      </c>
      <c r="N2443" s="1861">
        <f t="shared" si="38"/>
        <v>0</v>
      </c>
    </row>
    <row r="2444" spans="2:14">
      <c r="B2444" s="46"/>
      <c r="C2444" s="46"/>
      <c r="D2444" s="80">
        <v>2210701</v>
      </c>
      <c r="E2444" s="158" t="s">
        <v>36</v>
      </c>
      <c r="F2444" s="141">
        <v>290000</v>
      </c>
      <c r="H2444" s="46"/>
      <c r="I2444" s="46"/>
      <c r="J2444" s="80">
        <v>2210701</v>
      </c>
      <c r="K2444" s="158" t="s">
        <v>36</v>
      </c>
      <c r="L2444" s="141">
        <v>290000</v>
      </c>
      <c r="N2444" s="141">
        <f t="shared" si="38"/>
        <v>0</v>
      </c>
    </row>
    <row r="2445" spans="2:14">
      <c r="B2445" s="46"/>
      <c r="C2445" s="46"/>
      <c r="D2445" s="80">
        <v>2210710</v>
      </c>
      <c r="E2445" s="158" t="s">
        <v>39</v>
      </c>
      <c r="F2445" s="141">
        <v>332290</v>
      </c>
      <c r="H2445" s="46"/>
      <c r="I2445" s="46"/>
      <c r="J2445" s="80">
        <v>2210710</v>
      </c>
      <c r="K2445" s="158" t="s">
        <v>39</v>
      </c>
      <c r="L2445" s="141">
        <v>332290</v>
      </c>
      <c r="N2445" s="141">
        <f t="shared" si="38"/>
        <v>0</v>
      </c>
    </row>
    <row r="2446" spans="2:14">
      <c r="B2446" s="46"/>
      <c r="C2446" s="46"/>
      <c r="D2446" s="80">
        <v>2210799</v>
      </c>
      <c r="E2446" s="158" t="s">
        <v>40</v>
      </c>
      <c r="F2446" s="141">
        <v>578215</v>
      </c>
      <c r="H2446" s="46"/>
      <c r="I2446" s="46"/>
      <c r="J2446" s="80">
        <v>2210799</v>
      </c>
      <c r="K2446" s="158" t="s">
        <v>40</v>
      </c>
      <c r="L2446" s="141">
        <v>578215</v>
      </c>
      <c r="N2446" s="141">
        <f t="shared" si="38"/>
        <v>0</v>
      </c>
    </row>
    <row r="2447" spans="2:14">
      <c r="B2447" s="27"/>
      <c r="C2447" s="27"/>
      <c r="D2447" s="1545">
        <v>2210800</v>
      </c>
      <c r="E2447" s="1546" t="s">
        <v>42</v>
      </c>
      <c r="F2447" s="1861">
        <v>1125910</v>
      </c>
      <c r="H2447" s="27"/>
      <c r="I2447" s="27"/>
      <c r="J2447" s="1545">
        <v>2210800</v>
      </c>
      <c r="K2447" s="1546" t="s">
        <v>42</v>
      </c>
      <c r="L2447" s="1861">
        <v>1125910</v>
      </c>
      <c r="N2447" s="1861">
        <f t="shared" si="38"/>
        <v>0</v>
      </c>
    </row>
    <row r="2448" spans="2:14">
      <c r="B2448" s="46"/>
      <c r="C2448" s="46"/>
      <c r="D2448" s="80">
        <v>2210801</v>
      </c>
      <c r="E2448" s="158" t="s">
        <v>43</v>
      </c>
      <c r="F2448" s="157">
        <v>648290</v>
      </c>
      <c r="H2448" s="46"/>
      <c r="I2448" s="46"/>
      <c r="J2448" s="80">
        <v>2210801</v>
      </c>
      <c r="K2448" s="158" t="s">
        <v>43</v>
      </c>
      <c r="L2448" s="157">
        <v>648290</v>
      </c>
      <c r="N2448" s="157">
        <f t="shared" si="38"/>
        <v>0</v>
      </c>
    </row>
    <row r="2449" spans="2:14">
      <c r="B2449" s="46"/>
      <c r="C2449" s="46"/>
      <c r="D2449" s="80">
        <v>2210802</v>
      </c>
      <c r="E2449" s="158" t="s">
        <v>97</v>
      </c>
      <c r="F2449" s="157">
        <v>477620</v>
      </c>
      <c r="H2449" s="46"/>
      <c r="I2449" s="46"/>
      <c r="J2449" s="80">
        <v>2210802</v>
      </c>
      <c r="K2449" s="158" t="s">
        <v>97</v>
      </c>
      <c r="L2449" s="157">
        <v>477620</v>
      </c>
      <c r="N2449" s="157">
        <f t="shared" si="38"/>
        <v>0</v>
      </c>
    </row>
    <row r="2450" spans="2:14">
      <c r="B2450" s="27"/>
      <c r="C2450" s="27"/>
      <c r="D2450" s="1545">
        <v>2211100</v>
      </c>
      <c r="E2450" s="1546" t="s">
        <v>51</v>
      </c>
      <c r="F2450" s="1861">
        <v>431873</v>
      </c>
      <c r="H2450" s="27"/>
      <c r="I2450" s="27"/>
      <c r="J2450" s="1545">
        <v>2211100</v>
      </c>
      <c r="K2450" s="1546" t="s">
        <v>51</v>
      </c>
      <c r="L2450" s="1861">
        <v>431873</v>
      </c>
      <c r="N2450" s="1861">
        <f t="shared" si="38"/>
        <v>0</v>
      </c>
    </row>
    <row r="2451" spans="2:14">
      <c r="B2451" s="46"/>
      <c r="C2451" s="46"/>
      <c r="D2451" s="80">
        <v>2211101</v>
      </c>
      <c r="E2451" s="158" t="s">
        <v>120</v>
      </c>
      <c r="F2451" s="157">
        <v>431873</v>
      </c>
      <c r="H2451" s="46"/>
      <c r="I2451" s="46"/>
      <c r="J2451" s="80">
        <v>2211101</v>
      </c>
      <c r="K2451" s="158" t="s">
        <v>120</v>
      </c>
      <c r="L2451" s="157">
        <v>431873</v>
      </c>
      <c r="N2451" s="157">
        <f t="shared" si="38"/>
        <v>0</v>
      </c>
    </row>
    <row r="2452" spans="2:14">
      <c r="B2452" s="46"/>
      <c r="C2452" s="46"/>
      <c r="D2452" s="1545">
        <v>2211200</v>
      </c>
      <c r="E2452" s="1546" t="s">
        <v>55</v>
      </c>
      <c r="F2452" s="1861">
        <v>995215</v>
      </c>
      <c r="H2452" s="46"/>
      <c r="I2452" s="46"/>
      <c r="J2452" s="1545">
        <v>2211200</v>
      </c>
      <c r="K2452" s="1546" t="s">
        <v>55</v>
      </c>
      <c r="L2452" s="1861">
        <v>995215</v>
      </c>
      <c r="N2452" s="1861">
        <f t="shared" si="38"/>
        <v>0</v>
      </c>
    </row>
    <row r="2453" spans="2:14">
      <c r="B2453" s="46"/>
      <c r="C2453" s="46"/>
      <c r="D2453" s="80">
        <v>2211201</v>
      </c>
      <c r="E2453" s="158" t="s">
        <v>56</v>
      </c>
      <c r="F2453" s="157">
        <v>995215</v>
      </c>
      <c r="H2453" s="46"/>
      <c r="I2453" s="46"/>
      <c r="J2453" s="80">
        <v>2211201</v>
      </c>
      <c r="K2453" s="158" t="s">
        <v>56</v>
      </c>
      <c r="L2453" s="157">
        <v>995215</v>
      </c>
      <c r="N2453" s="157">
        <f t="shared" si="38"/>
        <v>0</v>
      </c>
    </row>
    <row r="2454" spans="2:14">
      <c r="B2454" s="27"/>
      <c r="C2454" s="27"/>
      <c r="D2454" s="1545">
        <v>2211300</v>
      </c>
      <c r="E2454" s="1546" t="s">
        <v>57</v>
      </c>
      <c r="F2454" s="1861">
        <v>1726456</v>
      </c>
      <c r="H2454" s="27"/>
      <c r="I2454" s="27"/>
      <c r="J2454" s="1545">
        <v>2211300</v>
      </c>
      <c r="K2454" s="1546" t="s">
        <v>57</v>
      </c>
      <c r="L2454" s="1861">
        <v>1726456</v>
      </c>
      <c r="N2454" s="1861">
        <f t="shared" si="38"/>
        <v>0</v>
      </c>
    </row>
    <row r="2455" spans="2:14">
      <c r="B2455" s="27"/>
      <c r="C2455" s="27"/>
      <c r="D2455" s="80">
        <v>2211310</v>
      </c>
      <c r="E2455" s="158" t="s">
        <v>60</v>
      </c>
      <c r="F2455" s="157">
        <v>1450000</v>
      </c>
      <c r="H2455" s="27"/>
      <c r="I2455" s="27"/>
      <c r="J2455" s="80">
        <v>2211310</v>
      </c>
      <c r="K2455" s="158" t="s">
        <v>60</v>
      </c>
      <c r="L2455" s="157">
        <v>1450000</v>
      </c>
      <c r="N2455" s="157">
        <f t="shared" si="38"/>
        <v>0</v>
      </c>
    </row>
    <row r="2456" spans="2:14">
      <c r="B2456" s="27"/>
      <c r="C2456" s="27"/>
      <c r="D2456" s="80">
        <v>2211306</v>
      </c>
      <c r="E2456" s="158" t="s">
        <v>494</v>
      </c>
      <c r="F2456" s="157">
        <v>276456</v>
      </c>
      <c r="H2456" s="27"/>
      <c r="I2456" s="27"/>
      <c r="J2456" s="80">
        <v>2211306</v>
      </c>
      <c r="K2456" s="158" t="s">
        <v>494</v>
      </c>
      <c r="L2456" s="157">
        <v>276456</v>
      </c>
      <c r="N2456" s="157">
        <f t="shared" si="38"/>
        <v>0</v>
      </c>
    </row>
    <row r="2457" spans="2:14">
      <c r="B2457" s="27"/>
      <c r="C2457" s="27"/>
      <c r="D2457" s="1545">
        <v>2220100</v>
      </c>
      <c r="E2457" s="1546" t="s">
        <v>518</v>
      </c>
      <c r="F2457" s="1861">
        <v>814386</v>
      </c>
      <c r="H2457" s="27"/>
      <c r="I2457" s="27"/>
      <c r="J2457" s="1545">
        <v>2220100</v>
      </c>
      <c r="K2457" s="1546" t="s">
        <v>518</v>
      </c>
      <c r="L2457" s="1861">
        <v>814386</v>
      </c>
      <c r="N2457" s="1861">
        <f t="shared" si="38"/>
        <v>0</v>
      </c>
    </row>
    <row r="2458" spans="2:14">
      <c r="B2458" s="46"/>
      <c r="C2458" s="46"/>
      <c r="D2458" s="80">
        <v>2220101</v>
      </c>
      <c r="E2458" s="158" t="s">
        <v>250</v>
      </c>
      <c r="F2458" s="141">
        <v>439416</v>
      </c>
      <c r="H2458" s="46"/>
      <c r="I2458" s="46"/>
      <c r="J2458" s="80">
        <v>2220101</v>
      </c>
      <c r="K2458" s="158" t="s">
        <v>250</v>
      </c>
      <c r="L2458" s="141">
        <v>439416</v>
      </c>
      <c r="N2458" s="141">
        <f t="shared" si="38"/>
        <v>0</v>
      </c>
    </row>
    <row r="2459" spans="2:14">
      <c r="B2459" s="46"/>
      <c r="C2459" s="46"/>
      <c r="D2459" s="80">
        <v>2220202</v>
      </c>
      <c r="E2459" s="158" t="s">
        <v>519</v>
      </c>
      <c r="F2459" s="141">
        <v>374970</v>
      </c>
      <c r="H2459" s="46"/>
      <c r="I2459" s="46"/>
      <c r="J2459" s="80">
        <v>2220202</v>
      </c>
      <c r="K2459" s="158" t="s">
        <v>519</v>
      </c>
      <c r="L2459" s="141">
        <v>374970</v>
      </c>
      <c r="N2459" s="141">
        <f t="shared" si="38"/>
        <v>0</v>
      </c>
    </row>
    <row r="2460" spans="2:14">
      <c r="B2460" s="46"/>
      <c r="C2460" s="46"/>
      <c r="D2460" s="1545">
        <v>3111000</v>
      </c>
      <c r="E2460" s="1546" t="s">
        <v>69</v>
      </c>
      <c r="F2460" s="1861">
        <v>740000</v>
      </c>
      <c r="H2460" s="46"/>
      <c r="I2460" s="46"/>
      <c r="J2460" s="1545">
        <v>3111000</v>
      </c>
      <c r="K2460" s="1546" t="s">
        <v>69</v>
      </c>
      <c r="L2460" s="1861">
        <v>740000</v>
      </c>
      <c r="N2460" s="1861">
        <f t="shared" si="38"/>
        <v>0</v>
      </c>
    </row>
    <row r="2461" spans="2:14">
      <c r="B2461" s="46"/>
      <c r="C2461" s="46"/>
      <c r="D2461" s="80">
        <v>3111002</v>
      </c>
      <c r="E2461" s="158" t="s">
        <v>71</v>
      </c>
      <c r="F2461" s="157">
        <v>740000</v>
      </c>
      <c r="H2461" s="46"/>
      <c r="I2461" s="46"/>
      <c r="J2461" s="80">
        <v>3111002</v>
      </c>
      <c r="K2461" s="158" t="s">
        <v>71</v>
      </c>
      <c r="L2461" s="157">
        <v>740000</v>
      </c>
      <c r="N2461" s="157">
        <f t="shared" si="38"/>
        <v>0</v>
      </c>
    </row>
    <row r="2462" spans="2:14">
      <c r="B2462" s="46"/>
      <c r="C2462" s="46"/>
      <c r="D2462" s="1545">
        <v>3111400</v>
      </c>
      <c r="E2462" s="1546" t="s">
        <v>173</v>
      </c>
      <c r="F2462" s="1861">
        <v>2000000</v>
      </c>
      <c r="H2462" s="46"/>
      <c r="I2462" s="46"/>
      <c r="J2462" s="1545">
        <v>3111400</v>
      </c>
      <c r="K2462" s="1546" t="s">
        <v>173</v>
      </c>
      <c r="L2462" s="1861">
        <v>2000000</v>
      </c>
      <c r="N2462" s="1861">
        <f t="shared" si="38"/>
        <v>0</v>
      </c>
    </row>
    <row r="2463" spans="2:14" ht="45">
      <c r="B2463" s="46"/>
      <c r="C2463" s="46"/>
      <c r="D2463" s="80">
        <v>3111401</v>
      </c>
      <c r="E2463" s="158" t="s">
        <v>1444</v>
      </c>
      <c r="F2463" s="157">
        <v>2000000</v>
      </c>
      <c r="H2463" s="46"/>
      <c r="I2463" s="46"/>
      <c r="J2463" s="80">
        <v>3111401</v>
      </c>
      <c r="K2463" s="158" t="s">
        <v>1444</v>
      </c>
      <c r="L2463" s="157">
        <v>2000000</v>
      </c>
      <c r="N2463" s="157">
        <f t="shared" si="38"/>
        <v>0</v>
      </c>
    </row>
    <row r="2464" spans="2:14">
      <c r="B2464" s="27"/>
      <c r="C2464" s="27"/>
      <c r="D2464" s="1545"/>
      <c r="E2464" s="1546" t="s">
        <v>520</v>
      </c>
      <c r="F2464" s="1861">
        <v>17965339</v>
      </c>
      <c r="H2464" s="27"/>
      <c r="I2464" s="27"/>
      <c r="J2464" s="1545"/>
      <c r="K2464" s="1546" t="s">
        <v>520</v>
      </c>
      <c r="L2464" s="1861">
        <v>17965339</v>
      </c>
      <c r="N2464" s="1861">
        <f t="shared" si="38"/>
        <v>0</v>
      </c>
    </row>
    <row r="2465" spans="2:14">
      <c r="B2465" s="27"/>
      <c r="C2465" s="27"/>
      <c r="D2465" s="1545"/>
      <c r="E2465" s="1546"/>
      <c r="F2465" s="1861"/>
      <c r="H2465" s="27"/>
      <c r="I2465" s="27"/>
      <c r="J2465" s="1545"/>
      <c r="K2465" s="1546"/>
      <c r="L2465" s="1861"/>
      <c r="N2465" s="1861">
        <f t="shared" si="38"/>
        <v>0</v>
      </c>
    </row>
    <row r="2466" spans="2:14">
      <c r="B2466" s="27"/>
      <c r="C2466" s="27"/>
      <c r="D2466" s="1545" t="s">
        <v>78</v>
      </c>
      <c r="E2466" s="1546"/>
      <c r="F2466" s="1861"/>
      <c r="H2466" s="27"/>
      <c r="I2466" s="27"/>
      <c r="J2466" s="1545" t="s">
        <v>78</v>
      </c>
      <c r="K2466" s="1546"/>
      <c r="L2466" s="1861"/>
      <c r="N2466" s="1861">
        <f t="shared" si="38"/>
        <v>0</v>
      </c>
    </row>
    <row r="2467" spans="2:14">
      <c r="B2467" s="27"/>
      <c r="C2467" s="27"/>
      <c r="D2467" s="1545">
        <v>3110500</v>
      </c>
      <c r="E2467" s="1546" t="s">
        <v>506</v>
      </c>
      <c r="F2467" s="1861">
        <v>2500000</v>
      </c>
      <c r="H2467" s="27"/>
      <c r="I2467" s="27"/>
      <c r="J2467" s="1545">
        <v>3110500</v>
      </c>
      <c r="K2467" s="1546" t="s">
        <v>506</v>
      </c>
      <c r="L2467" s="1861">
        <v>2500000</v>
      </c>
      <c r="N2467" s="1861">
        <f t="shared" si="38"/>
        <v>0</v>
      </c>
    </row>
    <row r="2468" spans="2:14" ht="30">
      <c r="B2468" s="27"/>
      <c r="C2468" s="27"/>
      <c r="D2468" s="80">
        <v>3110504</v>
      </c>
      <c r="E2468" s="158" t="s">
        <v>1445</v>
      </c>
      <c r="F2468" s="157">
        <v>2500000</v>
      </c>
      <c r="H2468" s="27"/>
      <c r="I2468" s="27"/>
      <c r="J2468" s="80">
        <v>3110504</v>
      </c>
      <c r="K2468" s="158" t="s">
        <v>1445</v>
      </c>
      <c r="L2468" s="157">
        <v>2500000</v>
      </c>
      <c r="N2468" s="157">
        <f t="shared" si="38"/>
        <v>0</v>
      </c>
    </row>
    <row r="2469" spans="2:14">
      <c r="B2469" s="27"/>
      <c r="C2469" s="27"/>
      <c r="D2469" s="1545"/>
      <c r="E2469" s="1546" t="s">
        <v>261</v>
      </c>
      <c r="F2469" s="1861">
        <v>2500000</v>
      </c>
      <c r="H2469" s="27"/>
      <c r="I2469" s="27"/>
      <c r="J2469" s="1545"/>
      <c r="K2469" s="1546" t="s">
        <v>261</v>
      </c>
      <c r="L2469" s="1861">
        <v>2500000</v>
      </c>
      <c r="N2469" s="1861">
        <f t="shared" si="38"/>
        <v>0</v>
      </c>
    </row>
    <row r="2470" spans="2:14">
      <c r="B2470" s="27"/>
      <c r="C2470" s="27"/>
      <c r="D2470" s="1545"/>
      <c r="E2470" s="1546" t="s">
        <v>84</v>
      </c>
      <c r="F2470" s="1861">
        <v>20465339</v>
      </c>
      <c r="H2470" s="27"/>
      <c r="I2470" s="27"/>
      <c r="J2470" s="1545"/>
      <c r="K2470" s="1546" t="s">
        <v>84</v>
      </c>
      <c r="L2470" s="1861">
        <v>20465339</v>
      </c>
      <c r="N2470" s="1861">
        <f t="shared" si="38"/>
        <v>0</v>
      </c>
    </row>
    <row r="2471" spans="2:14">
      <c r="B2471" s="46"/>
      <c r="C2471" s="46"/>
      <c r="D2471" s="1507"/>
      <c r="E2471" s="1620" t="s">
        <v>99</v>
      </c>
      <c r="F2471" s="1770">
        <v>194341944</v>
      </c>
      <c r="H2471" s="46"/>
      <c r="I2471" s="46"/>
      <c r="J2471" s="1507"/>
      <c r="K2471" s="1620" t="s">
        <v>99</v>
      </c>
      <c r="L2471" s="1770">
        <v>194341944</v>
      </c>
      <c r="N2471" s="1770">
        <f t="shared" si="38"/>
        <v>0</v>
      </c>
    </row>
    <row r="2472" spans="2:14">
      <c r="B2472" s="46"/>
      <c r="C2472" s="46"/>
      <c r="D2472" s="1507"/>
      <c r="E2472" s="1620" t="s">
        <v>175</v>
      </c>
      <c r="F2472" s="1770">
        <v>511549631</v>
      </c>
      <c r="H2472" s="46"/>
      <c r="I2472" s="46"/>
      <c r="J2472" s="1507"/>
      <c r="K2472" s="1620" t="s">
        <v>175</v>
      </c>
      <c r="L2472" s="1770">
        <v>511549631</v>
      </c>
      <c r="N2472" s="1770">
        <f t="shared" si="38"/>
        <v>0</v>
      </c>
    </row>
    <row r="2473" spans="2:14">
      <c r="B2473" s="46"/>
      <c r="C2473" s="46"/>
      <c r="D2473" s="1583" t="s">
        <v>1271</v>
      </c>
      <c r="E2473" s="1620"/>
      <c r="F2473" s="1770">
        <v>705891575</v>
      </c>
      <c r="H2473" s="46"/>
      <c r="I2473" s="46"/>
      <c r="J2473" s="1583" t="s">
        <v>1271</v>
      </c>
      <c r="K2473" s="1620"/>
      <c r="L2473" s="1770">
        <v>705891575</v>
      </c>
      <c r="N2473" s="1770">
        <f t="shared" si="38"/>
        <v>0</v>
      </c>
    </row>
    <row r="2474" spans="2:14">
      <c r="B2474" s="1708"/>
      <c r="C2474" s="1708"/>
      <c r="D2474" s="1671"/>
      <c r="E2474" s="74"/>
      <c r="F2474" s="177"/>
      <c r="H2474" s="1708"/>
      <c r="I2474" s="1708"/>
      <c r="J2474" s="1671"/>
      <c r="K2474" s="74"/>
      <c r="L2474" s="177"/>
      <c r="N2474" s="177">
        <f t="shared" si="38"/>
        <v>0</v>
      </c>
    </row>
    <row r="2475" spans="2:14">
      <c r="B2475" s="1708"/>
      <c r="C2475" s="1708"/>
      <c r="D2475" s="1671"/>
      <c r="E2475" s="74"/>
      <c r="F2475" s="177"/>
      <c r="H2475" s="1708"/>
      <c r="I2475" s="1708"/>
      <c r="J2475" s="1671"/>
      <c r="K2475" s="74"/>
      <c r="L2475" s="177"/>
      <c r="N2475" s="177">
        <f t="shared" si="38"/>
        <v>0</v>
      </c>
    </row>
    <row r="2476" spans="2:14">
      <c r="B2476" s="1583"/>
      <c r="C2476" s="1583"/>
      <c r="D2476" s="1507" t="s">
        <v>1255</v>
      </c>
      <c r="E2476" s="1620"/>
      <c r="F2476" s="1660"/>
      <c r="H2476" s="1583"/>
      <c r="I2476" s="1583"/>
      <c r="J2476" s="1507" t="s">
        <v>1255</v>
      </c>
      <c r="K2476" s="1620"/>
      <c r="L2476" s="1660"/>
      <c r="N2476" s="1660">
        <f t="shared" si="38"/>
        <v>0</v>
      </c>
    </row>
    <row r="2477" spans="2:14">
      <c r="B2477" s="1872"/>
      <c r="C2477" s="1872" t="s">
        <v>9</v>
      </c>
      <c r="D2477" s="1507" t="s">
        <v>521</v>
      </c>
      <c r="E2477" s="1618"/>
      <c r="F2477" s="161"/>
      <c r="H2477" s="1872"/>
      <c r="I2477" s="1872" t="s">
        <v>9</v>
      </c>
      <c r="J2477" s="1507" t="s">
        <v>521</v>
      </c>
      <c r="K2477" s="1618"/>
      <c r="L2477" s="161"/>
      <c r="N2477" s="161">
        <f t="shared" si="38"/>
        <v>0</v>
      </c>
    </row>
    <row r="2478" spans="2:14">
      <c r="B2478" s="1662" t="s">
        <v>178</v>
      </c>
      <c r="C2478" s="25"/>
      <c r="D2478" s="1671" t="s">
        <v>179</v>
      </c>
      <c r="E2478" s="1680"/>
      <c r="F2478" s="161"/>
      <c r="H2478" s="1662" t="s">
        <v>178</v>
      </c>
      <c r="I2478" s="25"/>
      <c r="J2478" s="1671" t="s">
        <v>179</v>
      </c>
      <c r="K2478" s="1680"/>
      <c r="L2478" s="161"/>
      <c r="N2478" s="161">
        <f t="shared" si="38"/>
        <v>0</v>
      </c>
    </row>
    <row r="2479" spans="2:14">
      <c r="B2479" s="1662"/>
      <c r="C2479" s="1662" t="s">
        <v>146</v>
      </c>
      <c r="D2479" s="1671" t="s">
        <v>180</v>
      </c>
      <c r="E2479" s="1680"/>
      <c r="F2479" s="161"/>
      <c r="H2479" s="1662"/>
      <c r="I2479" s="1662" t="s">
        <v>146</v>
      </c>
      <c r="J2479" s="1671" t="s">
        <v>180</v>
      </c>
      <c r="K2479" s="1680"/>
      <c r="L2479" s="161"/>
      <c r="N2479" s="161">
        <f t="shared" si="38"/>
        <v>0</v>
      </c>
    </row>
    <row r="2480" spans="2:14">
      <c r="B2480" s="1662"/>
      <c r="C2480" s="1662"/>
      <c r="D2480" s="1663">
        <v>2110100</v>
      </c>
      <c r="E2480" s="1664" t="s">
        <v>13</v>
      </c>
      <c r="F2480" s="1674">
        <v>24887955</v>
      </c>
      <c r="H2480" s="1662"/>
      <c r="I2480" s="1662"/>
      <c r="J2480" s="1663">
        <v>2110100</v>
      </c>
      <c r="K2480" s="1664" t="s">
        <v>13</v>
      </c>
      <c r="L2480" s="1674">
        <v>24887955</v>
      </c>
      <c r="N2480" s="1674">
        <f t="shared" si="38"/>
        <v>0</v>
      </c>
    </row>
    <row r="2481" spans="2:14">
      <c r="B2481" s="1662"/>
      <c r="C2481" s="90"/>
      <c r="D2481" s="1667">
        <v>2110101</v>
      </c>
      <c r="E2481" s="1668" t="s">
        <v>14</v>
      </c>
      <c r="F2481" s="161">
        <v>24783955</v>
      </c>
      <c r="H2481" s="1662"/>
      <c r="I2481" s="90"/>
      <c r="J2481" s="1667">
        <v>2110101</v>
      </c>
      <c r="K2481" s="1668" t="s">
        <v>14</v>
      </c>
      <c r="L2481" s="161">
        <v>24783955</v>
      </c>
      <c r="N2481" s="161">
        <f t="shared" si="38"/>
        <v>0</v>
      </c>
    </row>
    <row r="2482" spans="2:14">
      <c r="B2482" s="1662"/>
      <c r="C2482" s="90"/>
      <c r="D2482" s="1667">
        <v>2110120</v>
      </c>
      <c r="E2482" s="1668" t="s">
        <v>356</v>
      </c>
      <c r="F2482" s="161">
        <v>104000</v>
      </c>
      <c r="H2482" s="1662"/>
      <c r="I2482" s="90"/>
      <c r="J2482" s="1667">
        <v>2110120</v>
      </c>
      <c r="K2482" s="1668" t="s">
        <v>356</v>
      </c>
      <c r="L2482" s="161">
        <v>104000</v>
      </c>
      <c r="N2482" s="161">
        <f t="shared" si="38"/>
        <v>0</v>
      </c>
    </row>
    <row r="2483" spans="2:14">
      <c r="B2483" s="1662"/>
      <c r="C2483" s="1662"/>
      <c r="D2483" s="1663">
        <v>2210100</v>
      </c>
      <c r="E2483" s="1664" t="s">
        <v>16</v>
      </c>
      <c r="F2483" s="1674">
        <v>224389</v>
      </c>
      <c r="H2483" s="1662"/>
      <c r="I2483" s="1662"/>
      <c r="J2483" s="1663">
        <v>2210100</v>
      </c>
      <c r="K2483" s="1664" t="s">
        <v>16</v>
      </c>
      <c r="L2483" s="1674">
        <v>224389</v>
      </c>
      <c r="N2483" s="1674">
        <f t="shared" si="38"/>
        <v>0</v>
      </c>
    </row>
    <row r="2484" spans="2:14">
      <c r="B2484" s="90"/>
      <c r="C2484" s="90"/>
      <c r="D2484" s="1667">
        <v>2210101</v>
      </c>
      <c r="E2484" s="1668" t="s">
        <v>17</v>
      </c>
      <c r="F2484" s="161">
        <v>82691</v>
      </c>
      <c r="H2484" s="90"/>
      <c r="I2484" s="90"/>
      <c r="J2484" s="1667">
        <v>2210101</v>
      </c>
      <c r="K2484" s="1668" t="s">
        <v>17</v>
      </c>
      <c r="L2484" s="161">
        <v>82691</v>
      </c>
      <c r="N2484" s="161">
        <f t="shared" si="38"/>
        <v>0</v>
      </c>
    </row>
    <row r="2485" spans="2:14">
      <c r="B2485" s="90"/>
      <c r="C2485" s="90"/>
      <c r="D2485" s="1667">
        <v>2210102</v>
      </c>
      <c r="E2485" s="1668" t="s">
        <v>18</v>
      </c>
      <c r="F2485" s="161">
        <v>141698</v>
      </c>
      <c r="H2485" s="90"/>
      <c r="I2485" s="90"/>
      <c r="J2485" s="1667">
        <v>2210102</v>
      </c>
      <c r="K2485" s="1668" t="s">
        <v>18</v>
      </c>
      <c r="L2485" s="161">
        <v>141698</v>
      </c>
      <c r="N2485" s="161">
        <f t="shared" si="38"/>
        <v>0</v>
      </c>
    </row>
    <row r="2486" spans="2:14">
      <c r="B2486" s="1662"/>
      <c r="C2486" s="1662"/>
      <c r="D2486" s="1663">
        <v>2210200</v>
      </c>
      <c r="E2486" s="1664" t="s">
        <v>20</v>
      </c>
      <c r="F2486" s="1674">
        <v>420000</v>
      </c>
      <c r="H2486" s="1662"/>
      <c r="I2486" s="1662"/>
      <c r="J2486" s="1663">
        <v>2210200</v>
      </c>
      <c r="K2486" s="1664" t="s">
        <v>20</v>
      </c>
      <c r="L2486" s="1674">
        <v>420000</v>
      </c>
      <c r="N2486" s="1674">
        <f t="shared" si="38"/>
        <v>0</v>
      </c>
    </row>
    <row r="2487" spans="2:14">
      <c r="B2487" s="90"/>
      <c r="C2487" s="90"/>
      <c r="D2487" s="1667">
        <v>2210201</v>
      </c>
      <c r="E2487" s="1668" t="s">
        <v>187</v>
      </c>
      <c r="F2487" s="161">
        <v>236000</v>
      </c>
      <c r="H2487" s="90"/>
      <c r="I2487" s="90"/>
      <c r="J2487" s="1667">
        <v>2210201</v>
      </c>
      <c r="K2487" s="1668" t="s">
        <v>187</v>
      </c>
      <c r="L2487" s="161">
        <v>236000</v>
      </c>
      <c r="N2487" s="161">
        <f t="shared" si="38"/>
        <v>0</v>
      </c>
    </row>
    <row r="2488" spans="2:14">
      <c r="B2488" s="90"/>
      <c r="C2488" s="90"/>
      <c r="D2488" s="1667">
        <v>2210202</v>
      </c>
      <c r="E2488" s="1668" t="s">
        <v>522</v>
      </c>
      <c r="F2488" s="161">
        <v>184000</v>
      </c>
      <c r="H2488" s="90"/>
      <c r="I2488" s="90"/>
      <c r="J2488" s="1667">
        <v>2210202</v>
      </c>
      <c r="K2488" s="1668" t="s">
        <v>522</v>
      </c>
      <c r="L2488" s="161">
        <v>184000</v>
      </c>
      <c r="N2488" s="161">
        <f t="shared" si="38"/>
        <v>0</v>
      </c>
    </row>
    <row r="2489" spans="2:14">
      <c r="B2489" s="1662"/>
      <c r="C2489" s="1662"/>
      <c r="D2489" s="1663">
        <v>2210300</v>
      </c>
      <c r="E2489" s="1664" t="s">
        <v>24</v>
      </c>
      <c r="F2489" s="1674">
        <v>1363452</v>
      </c>
      <c r="H2489" s="1662"/>
      <c r="I2489" s="1662"/>
      <c r="J2489" s="1663">
        <v>2210300</v>
      </c>
      <c r="K2489" s="1664" t="s">
        <v>24</v>
      </c>
      <c r="L2489" s="1674">
        <v>1363452</v>
      </c>
      <c r="N2489" s="1674">
        <f t="shared" si="38"/>
        <v>0</v>
      </c>
    </row>
    <row r="2490" spans="2:14">
      <c r="B2490" s="90"/>
      <c r="C2490" s="90"/>
      <c r="D2490" s="1667">
        <v>2210301</v>
      </c>
      <c r="E2490" s="1668" t="s">
        <v>188</v>
      </c>
      <c r="F2490" s="161">
        <v>428252</v>
      </c>
      <c r="H2490" s="90"/>
      <c r="I2490" s="90"/>
      <c r="J2490" s="1667">
        <v>2210301</v>
      </c>
      <c r="K2490" s="1668" t="s">
        <v>188</v>
      </c>
      <c r="L2490" s="161">
        <v>428252</v>
      </c>
      <c r="N2490" s="161">
        <f t="shared" si="38"/>
        <v>0</v>
      </c>
    </row>
    <row r="2491" spans="2:14">
      <c r="B2491" s="90"/>
      <c r="C2491" s="90"/>
      <c r="D2491" s="1667">
        <v>2210302</v>
      </c>
      <c r="E2491" s="1668" t="s">
        <v>26</v>
      </c>
      <c r="F2491" s="161">
        <v>556900</v>
      </c>
      <c r="H2491" s="90"/>
      <c r="I2491" s="90"/>
      <c r="J2491" s="1667">
        <v>2210302</v>
      </c>
      <c r="K2491" s="1668" t="s">
        <v>26</v>
      </c>
      <c r="L2491" s="161">
        <v>556900</v>
      </c>
      <c r="N2491" s="161">
        <f t="shared" si="38"/>
        <v>0</v>
      </c>
    </row>
    <row r="2492" spans="2:14">
      <c r="B2492" s="90"/>
      <c r="C2492" s="90"/>
      <c r="D2492" s="1667">
        <v>2210303</v>
      </c>
      <c r="E2492" s="1668" t="s">
        <v>27</v>
      </c>
      <c r="F2492" s="161">
        <v>378300</v>
      </c>
      <c r="H2492" s="90"/>
      <c r="I2492" s="90"/>
      <c r="J2492" s="1667">
        <v>2210303</v>
      </c>
      <c r="K2492" s="1668" t="s">
        <v>27</v>
      </c>
      <c r="L2492" s="161">
        <v>378300</v>
      </c>
      <c r="N2492" s="161">
        <f t="shared" si="38"/>
        <v>0</v>
      </c>
    </row>
    <row r="2493" spans="2:14">
      <c r="B2493" s="1662"/>
      <c r="C2493" s="1662"/>
      <c r="D2493" s="1663">
        <v>2210400</v>
      </c>
      <c r="E2493" s="1664" t="s">
        <v>189</v>
      </c>
      <c r="F2493" s="1674">
        <v>1596000</v>
      </c>
      <c r="H2493" s="1662"/>
      <c r="I2493" s="1662"/>
      <c r="J2493" s="1663">
        <v>2210400</v>
      </c>
      <c r="K2493" s="1664" t="s">
        <v>189</v>
      </c>
      <c r="L2493" s="1674">
        <v>1596000</v>
      </c>
      <c r="N2493" s="1674">
        <f t="shared" si="38"/>
        <v>0</v>
      </c>
    </row>
    <row r="2494" spans="2:14">
      <c r="B2494" s="90"/>
      <c r="C2494" s="90"/>
      <c r="D2494" s="1667">
        <v>2210401</v>
      </c>
      <c r="E2494" s="1668" t="s">
        <v>190</v>
      </c>
      <c r="F2494" s="161">
        <v>374000</v>
      </c>
      <c r="H2494" s="90"/>
      <c r="I2494" s="90"/>
      <c r="J2494" s="1667">
        <v>2210401</v>
      </c>
      <c r="K2494" s="1668" t="s">
        <v>190</v>
      </c>
      <c r="L2494" s="161">
        <v>374000</v>
      </c>
      <c r="N2494" s="161">
        <f t="shared" si="38"/>
        <v>0</v>
      </c>
    </row>
    <row r="2495" spans="2:14">
      <c r="B2495" s="90"/>
      <c r="C2495" s="90"/>
      <c r="D2495" s="1667">
        <v>2210402</v>
      </c>
      <c r="E2495" s="1668" t="s">
        <v>191</v>
      </c>
      <c r="F2495" s="161">
        <v>964000</v>
      </c>
      <c r="H2495" s="90"/>
      <c r="I2495" s="90"/>
      <c r="J2495" s="1667">
        <v>2210402</v>
      </c>
      <c r="K2495" s="1668" t="s">
        <v>191</v>
      </c>
      <c r="L2495" s="161">
        <v>964000</v>
      </c>
      <c r="N2495" s="161">
        <f t="shared" si="38"/>
        <v>0</v>
      </c>
    </row>
    <row r="2496" spans="2:14">
      <c r="B2496" s="90"/>
      <c r="C2496" s="90"/>
      <c r="D2496" s="1873">
        <v>2210404</v>
      </c>
      <c r="E2496" s="1668" t="s">
        <v>28</v>
      </c>
      <c r="F2496" s="161">
        <v>258000</v>
      </c>
      <c r="H2496" s="90"/>
      <c r="I2496" s="90"/>
      <c r="J2496" s="1873">
        <v>2210404</v>
      </c>
      <c r="K2496" s="1668" t="s">
        <v>28</v>
      </c>
      <c r="L2496" s="161">
        <v>258000</v>
      </c>
      <c r="N2496" s="161">
        <f t="shared" si="38"/>
        <v>0</v>
      </c>
    </row>
    <row r="2497" spans="2:14">
      <c r="B2497" s="1662"/>
      <c r="C2497" s="1662"/>
      <c r="D2497" s="1663">
        <v>2210500</v>
      </c>
      <c r="E2497" s="1664" t="s">
        <v>31</v>
      </c>
      <c r="F2497" s="1674">
        <v>1045331</v>
      </c>
      <c r="H2497" s="1662"/>
      <c r="I2497" s="1662"/>
      <c r="J2497" s="1663">
        <v>2210500</v>
      </c>
      <c r="K2497" s="1664" t="s">
        <v>31</v>
      </c>
      <c r="L2497" s="1674">
        <v>1045331</v>
      </c>
      <c r="N2497" s="1674">
        <f t="shared" si="38"/>
        <v>0</v>
      </c>
    </row>
    <row r="2498" spans="2:14">
      <c r="B2498" s="90"/>
      <c r="C2498" s="90"/>
      <c r="D2498" s="1667">
        <v>2210502</v>
      </c>
      <c r="E2498" s="1668" t="s">
        <v>105</v>
      </c>
      <c r="F2498" s="161">
        <v>259437</v>
      </c>
      <c r="H2498" s="90"/>
      <c r="I2498" s="90"/>
      <c r="J2498" s="1667">
        <v>2210502</v>
      </c>
      <c r="K2498" s="1668" t="s">
        <v>105</v>
      </c>
      <c r="L2498" s="161">
        <v>259437</v>
      </c>
      <c r="N2498" s="161">
        <f t="shared" si="38"/>
        <v>0</v>
      </c>
    </row>
    <row r="2499" spans="2:14">
      <c r="B2499" s="90"/>
      <c r="C2499" s="90"/>
      <c r="D2499" s="1667">
        <v>2210503</v>
      </c>
      <c r="E2499" s="1668" t="s">
        <v>32</v>
      </c>
      <c r="F2499" s="161">
        <v>87000</v>
      </c>
      <c r="H2499" s="90"/>
      <c r="I2499" s="90"/>
      <c r="J2499" s="1667">
        <v>2210503</v>
      </c>
      <c r="K2499" s="1668" t="s">
        <v>32</v>
      </c>
      <c r="L2499" s="161">
        <v>87000</v>
      </c>
      <c r="N2499" s="161">
        <f t="shared" si="38"/>
        <v>0</v>
      </c>
    </row>
    <row r="2500" spans="2:14">
      <c r="B2500" s="90"/>
      <c r="C2500" s="90"/>
      <c r="D2500" s="1667">
        <v>2210504</v>
      </c>
      <c r="E2500" s="1668" t="s">
        <v>106</v>
      </c>
      <c r="F2500" s="161">
        <v>140186</v>
      </c>
      <c r="H2500" s="90"/>
      <c r="I2500" s="90"/>
      <c r="J2500" s="1667">
        <v>2210504</v>
      </c>
      <c r="K2500" s="1668" t="s">
        <v>106</v>
      </c>
      <c r="L2500" s="161">
        <v>140186</v>
      </c>
      <c r="N2500" s="161">
        <f t="shared" si="38"/>
        <v>0</v>
      </c>
    </row>
    <row r="2501" spans="2:14">
      <c r="B2501" s="90"/>
      <c r="C2501" s="90"/>
      <c r="D2501" s="1667">
        <v>2210505</v>
      </c>
      <c r="E2501" s="1668" t="s">
        <v>192</v>
      </c>
      <c r="F2501" s="161">
        <v>558708</v>
      </c>
      <c r="H2501" s="90"/>
      <c r="I2501" s="90"/>
      <c r="J2501" s="1667">
        <v>2210505</v>
      </c>
      <c r="K2501" s="1668" t="s">
        <v>192</v>
      </c>
      <c r="L2501" s="161">
        <v>558708</v>
      </c>
      <c r="N2501" s="161">
        <f t="shared" si="38"/>
        <v>0</v>
      </c>
    </row>
    <row r="2502" spans="2:14">
      <c r="B2502" s="1662"/>
      <c r="C2502" s="1662"/>
      <c r="D2502" s="1663">
        <v>2210600</v>
      </c>
      <c r="E2502" s="1664" t="s">
        <v>154</v>
      </c>
      <c r="F2502" s="1674">
        <v>1431888</v>
      </c>
      <c r="H2502" s="1662"/>
      <c r="I2502" s="1662"/>
      <c r="J2502" s="1663">
        <v>2210600</v>
      </c>
      <c r="K2502" s="1664" t="s">
        <v>154</v>
      </c>
      <c r="L2502" s="1674">
        <v>1431888</v>
      </c>
      <c r="N2502" s="1674">
        <f t="shared" si="38"/>
        <v>0</v>
      </c>
    </row>
    <row r="2503" spans="2:14">
      <c r="B2503" s="90"/>
      <c r="C2503" s="90"/>
      <c r="D2503" s="1667">
        <v>2210603</v>
      </c>
      <c r="E2503" s="1668" t="s">
        <v>489</v>
      </c>
      <c r="F2503" s="161">
        <v>1200000</v>
      </c>
      <c r="H2503" s="90"/>
      <c r="I2503" s="90"/>
      <c r="J2503" s="1667">
        <v>2210603</v>
      </c>
      <c r="K2503" s="1668" t="s">
        <v>489</v>
      </c>
      <c r="L2503" s="161">
        <v>1200000</v>
      </c>
      <c r="N2503" s="161">
        <f t="shared" si="38"/>
        <v>0</v>
      </c>
    </row>
    <row r="2504" spans="2:14">
      <c r="B2504" s="90"/>
      <c r="C2504" s="90"/>
      <c r="D2504" s="1667">
        <v>2210606</v>
      </c>
      <c r="E2504" s="1668" t="s">
        <v>523</v>
      </c>
      <c r="F2504" s="161">
        <v>231888</v>
      </c>
      <c r="H2504" s="90"/>
      <c r="I2504" s="90"/>
      <c r="J2504" s="1667">
        <v>2210606</v>
      </c>
      <c r="K2504" s="1668" t="s">
        <v>523</v>
      </c>
      <c r="L2504" s="161">
        <v>231888</v>
      </c>
      <c r="N2504" s="161">
        <f t="shared" ref="N2504:N2567" si="39">F2504-L2504</f>
        <v>0</v>
      </c>
    </row>
    <row r="2505" spans="2:14">
      <c r="B2505" s="1662"/>
      <c r="C2505" s="1662"/>
      <c r="D2505" s="1663">
        <v>2210700</v>
      </c>
      <c r="E2505" s="1664" t="s">
        <v>194</v>
      </c>
      <c r="F2505" s="1674">
        <v>1068720</v>
      </c>
      <c r="H2505" s="1662"/>
      <c r="I2505" s="1662"/>
      <c r="J2505" s="1663">
        <v>2210700</v>
      </c>
      <c r="K2505" s="1664" t="s">
        <v>194</v>
      </c>
      <c r="L2505" s="1674">
        <v>1068720</v>
      </c>
      <c r="N2505" s="1674">
        <f t="shared" si="39"/>
        <v>0</v>
      </c>
    </row>
    <row r="2506" spans="2:14">
      <c r="B2506" s="90"/>
      <c r="C2506" s="90"/>
      <c r="D2506" s="1667">
        <v>2210701</v>
      </c>
      <c r="E2506" s="1668" t="s">
        <v>36</v>
      </c>
      <c r="F2506" s="161">
        <v>292048</v>
      </c>
      <c r="H2506" s="90"/>
      <c r="I2506" s="90"/>
      <c r="J2506" s="1667">
        <v>2210701</v>
      </c>
      <c r="K2506" s="1668" t="s">
        <v>36</v>
      </c>
      <c r="L2506" s="161">
        <v>292048</v>
      </c>
      <c r="N2506" s="161">
        <f t="shared" si="39"/>
        <v>0</v>
      </c>
    </row>
    <row r="2507" spans="2:14">
      <c r="B2507" s="90"/>
      <c r="C2507" s="90"/>
      <c r="D2507" s="1667">
        <v>2210710</v>
      </c>
      <c r="E2507" s="1668" t="s">
        <v>39</v>
      </c>
      <c r="F2507" s="161">
        <v>416672</v>
      </c>
      <c r="H2507" s="90"/>
      <c r="I2507" s="90"/>
      <c r="J2507" s="1667">
        <v>2210710</v>
      </c>
      <c r="K2507" s="1668" t="s">
        <v>39</v>
      </c>
      <c r="L2507" s="161">
        <v>416672</v>
      </c>
      <c r="N2507" s="161">
        <f t="shared" si="39"/>
        <v>0</v>
      </c>
    </row>
    <row r="2508" spans="2:14">
      <c r="B2508" s="90"/>
      <c r="C2508" s="90"/>
      <c r="D2508" s="61">
        <v>2210715</v>
      </c>
      <c r="E2508" s="74" t="s">
        <v>40</v>
      </c>
      <c r="F2508" s="161">
        <v>360000</v>
      </c>
      <c r="H2508" s="90"/>
      <c r="I2508" s="90"/>
      <c r="J2508" s="61">
        <v>2210715</v>
      </c>
      <c r="K2508" s="74" t="s">
        <v>40</v>
      </c>
      <c r="L2508" s="161">
        <v>360000</v>
      </c>
      <c r="N2508" s="161">
        <f t="shared" si="39"/>
        <v>0</v>
      </c>
    </row>
    <row r="2509" spans="2:14">
      <c r="B2509" s="1662"/>
      <c r="C2509" s="1662"/>
      <c r="D2509" s="1663">
        <v>2210800</v>
      </c>
      <c r="E2509" s="1664" t="s">
        <v>42</v>
      </c>
      <c r="F2509" s="1674">
        <v>1180841</v>
      </c>
      <c r="H2509" s="1662"/>
      <c r="I2509" s="1662"/>
      <c r="J2509" s="1663">
        <v>2210800</v>
      </c>
      <c r="K2509" s="1664" t="s">
        <v>42</v>
      </c>
      <c r="L2509" s="1674">
        <v>1180841</v>
      </c>
      <c r="N2509" s="1674">
        <f t="shared" si="39"/>
        <v>0</v>
      </c>
    </row>
    <row r="2510" spans="2:14">
      <c r="B2510" s="90"/>
      <c r="C2510" s="90"/>
      <c r="D2510" s="1667">
        <v>2210801</v>
      </c>
      <c r="E2510" s="1668" t="s">
        <v>195</v>
      </c>
      <c r="F2510" s="161">
        <v>619841</v>
      </c>
      <c r="H2510" s="90"/>
      <c r="I2510" s="90"/>
      <c r="J2510" s="1667">
        <v>2210801</v>
      </c>
      <c r="K2510" s="1668" t="s">
        <v>195</v>
      </c>
      <c r="L2510" s="161">
        <v>619841</v>
      </c>
      <c r="N2510" s="161">
        <f t="shared" si="39"/>
        <v>0</v>
      </c>
    </row>
    <row r="2511" spans="2:14">
      <c r="B2511" s="90"/>
      <c r="C2511" s="90"/>
      <c r="D2511" s="1667">
        <v>2210802</v>
      </c>
      <c r="E2511" s="1668" t="s">
        <v>97</v>
      </c>
      <c r="F2511" s="1712">
        <v>561000</v>
      </c>
      <c r="H2511" s="90"/>
      <c r="I2511" s="90"/>
      <c r="J2511" s="1667">
        <v>2210802</v>
      </c>
      <c r="K2511" s="1668" t="s">
        <v>97</v>
      </c>
      <c r="L2511" s="1712">
        <v>561000</v>
      </c>
      <c r="N2511" s="1712">
        <f t="shared" si="39"/>
        <v>0</v>
      </c>
    </row>
    <row r="2512" spans="2:14">
      <c r="B2512" s="1662"/>
      <c r="C2512" s="1662"/>
      <c r="D2512" s="1663">
        <v>2211000</v>
      </c>
      <c r="E2512" s="1664" t="s">
        <v>118</v>
      </c>
      <c r="F2512" s="1674">
        <v>420425</v>
      </c>
      <c r="H2512" s="1662"/>
      <c r="I2512" s="1662"/>
      <c r="J2512" s="1663">
        <v>2211000</v>
      </c>
      <c r="K2512" s="1664" t="s">
        <v>118</v>
      </c>
      <c r="L2512" s="1674">
        <v>420425</v>
      </c>
      <c r="N2512" s="1674">
        <f t="shared" si="39"/>
        <v>0</v>
      </c>
    </row>
    <row r="2513" spans="2:14">
      <c r="B2513" s="90"/>
      <c r="C2513" s="90"/>
      <c r="D2513" s="1667">
        <v>2211016</v>
      </c>
      <c r="E2513" s="1668" t="s">
        <v>196</v>
      </c>
      <c r="F2513" s="161">
        <v>420425</v>
      </c>
      <c r="H2513" s="90"/>
      <c r="I2513" s="90"/>
      <c r="J2513" s="1667">
        <v>2211016</v>
      </c>
      <c r="K2513" s="1668" t="s">
        <v>196</v>
      </c>
      <c r="L2513" s="161">
        <v>420425</v>
      </c>
      <c r="N2513" s="161">
        <f t="shared" si="39"/>
        <v>0</v>
      </c>
    </row>
    <row r="2514" spans="2:14">
      <c r="B2514" s="1662"/>
      <c r="C2514" s="1662"/>
      <c r="D2514" s="1663">
        <v>2211100</v>
      </c>
      <c r="E2514" s="1664" t="s">
        <v>51</v>
      </c>
      <c r="F2514" s="1674">
        <v>1584555</v>
      </c>
      <c r="H2514" s="1662"/>
      <c r="I2514" s="1662"/>
      <c r="J2514" s="1663">
        <v>2211100</v>
      </c>
      <c r="K2514" s="1664" t="s">
        <v>51</v>
      </c>
      <c r="L2514" s="1674">
        <v>1584555</v>
      </c>
      <c r="N2514" s="1674">
        <f t="shared" si="39"/>
        <v>0</v>
      </c>
    </row>
    <row r="2515" spans="2:14" ht="30">
      <c r="B2515" s="90"/>
      <c r="C2515" s="90"/>
      <c r="D2515" s="1667">
        <v>2211101</v>
      </c>
      <c r="E2515" s="74" t="s">
        <v>197</v>
      </c>
      <c r="F2515" s="161">
        <v>664555</v>
      </c>
      <c r="H2515" s="90"/>
      <c r="I2515" s="90"/>
      <c r="J2515" s="1667">
        <v>2211101</v>
      </c>
      <c r="K2515" s="74" t="s">
        <v>197</v>
      </c>
      <c r="L2515" s="161">
        <v>664555</v>
      </c>
      <c r="N2515" s="161">
        <f t="shared" si="39"/>
        <v>0</v>
      </c>
    </row>
    <row r="2516" spans="2:14">
      <c r="B2516" s="90"/>
      <c r="C2516" s="90"/>
      <c r="D2516" s="1667">
        <v>2211102</v>
      </c>
      <c r="E2516" s="1668" t="s">
        <v>53</v>
      </c>
      <c r="F2516" s="161">
        <v>720000</v>
      </c>
      <c r="H2516" s="90"/>
      <c r="I2516" s="90"/>
      <c r="J2516" s="1667">
        <v>2211102</v>
      </c>
      <c r="K2516" s="1668" t="s">
        <v>53</v>
      </c>
      <c r="L2516" s="161">
        <v>720000</v>
      </c>
      <c r="N2516" s="161">
        <f t="shared" si="39"/>
        <v>0</v>
      </c>
    </row>
    <row r="2517" spans="2:14">
      <c r="B2517" s="90"/>
      <c r="C2517" s="90"/>
      <c r="D2517" s="1667">
        <v>2211103</v>
      </c>
      <c r="E2517" s="1668" t="s">
        <v>54</v>
      </c>
      <c r="F2517" s="161">
        <v>35000</v>
      </c>
      <c r="H2517" s="90"/>
      <c r="I2517" s="90"/>
      <c r="J2517" s="1667">
        <v>2211103</v>
      </c>
      <c r="K2517" s="1668" t="s">
        <v>54</v>
      </c>
      <c r="L2517" s="161">
        <v>35000</v>
      </c>
      <c r="N2517" s="161">
        <f t="shared" si="39"/>
        <v>0</v>
      </c>
    </row>
    <row r="2518" spans="2:14">
      <c r="B2518" s="90"/>
      <c r="C2518" s="90"/>
      <c r="D2518" s="1667">
        <v>2211199</v>
      </c>
      <c r="E2518" s="1668" t="s">
        <v>524</v>
      </c>
      <c r="F2518" s="161">
        <v>165000</v>
      </c>
      <c r="H2518" s="90"/>
      <c r="I2518" s="90"/>
      <c r="J2518" s="1667">
        <v>2211199</v>
      </c>
      <c r="K2518" s="1668" t="s">
        <v>524</v>
      </c>
      <c r="L2518" s="161">
        <v>165000</v>
      </c>
      <c r="N2518" s="161">
        <f t="shared" si="39"/>
        <v>0</v>
      </c>
    </row>
    <row r="2519" spans="2:14">
      <c r="B2519" s="1662"/>
      <c r="C2519" s="1662"/>
      <c r="D2519" s="1663">
        <v>2211200</v>
      </c>
      <c r="E2519" s="1664" t="s">
        <v>55</v>
      </c>
      <c r="F2519" s="1674">
        <v>1024972</v>
      </c>
      <c r="H2519" s="1662"/>
      <c r="I2519" s="1662"/>
      <c r="J2519" s="1663">
        <v>2211200</v>
      </c>
      <c r="K2519" s="1664" t="s">
        <v>55</v>
      </c>
      <c r="L2519" s="1674">
        <v>1024972</v>
      </c>
      <c r="N2519" s="1674">
        <f t="shared" si="39"/>
        <v>0</v>
      </c>
    </row>
    <row r="2520" spans="2:14">
      <c r="B2520" s="90"/>
      <c r="C2520" s="90"/>
      <c r="D2520" s="1667">
        <v>2211201</v>
      </c>
      <c r="E2520" s="1668" t="s">
        <v>56</v>
      </c>
      <c r="F2520" s="161">
        <v>1024972</v>
      </c>
      <c r="H2520" s="90"/>
      <c r="I2520" s="90"/>
      <c r="J2520" s="1667">
        <v>2211201</v>
      </c>
      <c r="K2520" s="1668" t="s">
        <v>56</v>
      </c>
      <c r="L2520" s="161">
        <v>1024972</v>
      </c>
      <c r="N2520" s="161">
        <f t="shared" si="39"/>
        <v>0</v>
      </c>
    </row>
    <row r="2521" spans="2:14">
      <c r="B2521" s="1662"/>
      <c r="C2521" s="1662"/>
      <c r="D2521" s="1663">
        <v>2211300</v>
      </c>
      <c r="E2521" s="1664" t="s">
        <v>57</v>
      </c>
      <c r="F2521" s="1674">
        <v>41335</v>
      </c>
      <c r="H2521" s="1662"/>
      <c r="I2521" s="1662"/>
      <c r="J2521" s="1663">
        <v>2211300</v>
      </c>
      <c r="K2521" s="1664" t="s">
        <v>57</v>
      </c>
      <c r="L2521" s="1674">
        <v>41335</v>
      </c>
      <c r="N2521" s="1674">
        <f t="shared" si="39"/>
        <v>0</v>
      </c>
    </row>
    <row r="2522" spans="2:14">
      <c r="B2522" s="90"/>
      <c r="C2522" s="90"/>
      <c r="D2522" s="1667">
        <v>2211306</v>
      </c>
      <c r="E2522" s="1668" t="s">
        <v>58</v>
      </c>
      <c r="F2522" s="161">
        <v>41335</v>
      </c>
      <c r="H2522" s="90"/>
      <c r="I2522" s="90"/>
      <c r="J2522" s="1667">
        <v>2211306</v>
      </c>
      <c r="K2522" s="1668" t="s">
        <v>58</v>
      </c>
      <c r="L2522" s="161">
        <v>41335</v>
      </c>
      <c r="N2522" s="161">
        <f t="shared" si="39"/>
        <v>0</v>
      </c>
    </row>
    <row r="2523" spans="2:14" ht="30">
      <c r="B2523" s="1662"/>
      <c r="C2523" s="1662"/>
      <c r="D2523" s="1663">
        <v>2220100</v>
      </c>
      <c r="E2523" s="1664" t="s">
        <v>199</v>
      </c>
      <c r="F2523" s="1674">
        <v>639000</v>
      </c>
      <c r="H2523" s="1662"/>
      <c r="I2523" s="1662"/>
      <c r="J2523" s="1663">
        <v>2220100</v>
      </c>
      <c r="K2523" s="1664" t="s">
        <v>199</v>
      </c>
      <c r="L2523" s="1674">
        <v>639000</v>
      </c>
      <c r="N2523" s="1674">
        <f t="shared" si="39"/>
        <v>0</v>
      </c>
    </row>
    <row r="2524" spans="2:14">
      <c r="B2524" s="90"/>
      <c r="C2524" s="90"/>
      <c r="D2524" s="1667">
        <v>2220101</v>
      </c>
      <c r="E2524" s="1668" t="s">
        <v>200</v>
      </c>
      <c r="F2524" s="161">
        <v>325000</v>
      </c>
      <c r="H2524" s="90"/>
      <c r="I2524" s="90"/>
      <c r="J2524" s="1667">
        <v>2220101</v>
      </c>
      <c r="K2524" s="1668" t="s">
        <v>200</v>
      </c>
      <c r="L2524" s="161">
        <v>325000</v>
      </c>
      <c r="N2524" s="161">
        <f t="shared" si="39"/>
        <v>0</v>
      </c>
    </row>
    <row r="2525" spans="2:14">
      <c r="B2525" s="90"/>
      <c r="C2525" s="90"/>
      <c r="D2525" s="1667">
        <v>2220105</v>
      </c>
      <c r="E2525" s="1668" t="s">
        <v>64</v>
      </c>
      <c r="F2525" s="161">
        <v>314000</v>
      </c>
      <c r="H2525" s="90"/>
      <c r="I2525" s="90"/>
      <c r="J2525" s="1667">
        <v>2220105</v>
      </c>
      <c r="K2525" s="1668" t="s">
        <v>64</v>
      </c>
      <c r="L2525" s="161">
        <v>314000</v>
      </c>
      <c r="N2525" s="161">
        <f t="shared" si="39"/>
        <v>0</v>
      </c>
    </row>
    <row r="2526" spans="2:14">
      <c r="B2526" s="1662"/>
      <c r="C2526" s="1662"/>
      <c r="D2526" s="1663">
        <v>2220200</v>
      </c>
      <c r="E2526" s="1664" t="s">
        <v>124</v>
      </c>
      <c r="F2526" s="1674">
        <v>1184137</v>
      </c>
      <c r="H2526" s="1662"/>
      <c r="I2526" s="1662"/>
      <c r="J2526" s="1663">
        <v>2220200</v>
      </c>
      <c r="K2526" s="1664" t="s">
        <v>124</v>
      </c>
      <c r="L2526" s="1674">
        <v>1184137</v>
      </c>
      <c r="N2526" s="1674">
        <f t="shared" si="39"/>
        <v>0</v>
      </c>
    </row>
    <row r="2527" spans="2:14">
      <c r="B2527" s="90"/>
      <c r="C2527" s="90"/>
      <c r="D2527" s="1667">
        <v>2220205</v>
      </c>
      <c r="E2527" s="1668" t="s">
        <v>125</v>
      </c>
      <c r="F2527" s="161">
        <v>950000</v>
      </c>
      <c r="H2527" s="90"/>
      <c r="I2527" s="90"/>
      <c r="J2527" s="1667">
        <v>2220205</v>
      </c>
      <c r="K2527" s="1668" t="s">
        <v>125</v>
      </c>
      <c r="L2527" s="161">
        <v>950000</v>
      </c>
      <c r="N2527" s="161">
        <f t="shared" si="39"/>
        <v>0</v>
      </c>
    </row>
    <row r="2528" spans="2:14">
      <c r="B2528" s="90"/>
      <c r="C2528" s="90"/>
      <c r="D2528" s="1667">
        <v>2220210</v>
      </c>
      <c r="E2528" s="1668" t="s">
        <v>163</v>
      </c>
      <c r="F2528" s="161">
        <v>176704</v>
      </c>
      <c r="H2528" s="90"/>
      <c r="I2528" s="90"/>
      <c r="J2528" s="1667">
        <v>2220210</v>
      </c>
      <c r="K2528" s="1668" t="s">
        <v>163</v>
      </c>
      <c r="L2528" s="161">
        <v>176704</v>
      </c>
      <c r="N2528" s="161">
        <f t="shared" si="39"/>
        <v>0</v>
      </c>
    </row>
    <row r="2529" spans="2:14">
      <c r="B2529" s="90"/>
      <c r="C2529" s="90"/>
      <c r="D2529" s="1667">
        <v>2220212</v>
      </c>
      <c r="E2529" s="1668" t="s">
        <v>525</v>
      </c>
      <c r="F2529" s="1712">
        <v>57433</v>
      </c>
      <c r="H2529" s="90"/>
      <c r="I2529" s="90"/>
      <c r="J2529" s="1667">
        <v>2220212</v>
      </c>
      <c r="K2529" s="1668" t="s">
        <v>525</v>
      </c>
      <c r="L2529" s="1712">
        <v>57433</v>
      </c>
      <c r="N2529" s="1712">
        <f t="shared" si="39"/>
        <v>0</v>
      </c>
    </row>
    <row r="2530" spans="2:14">
      <c r="B2530" s="1662"/>
      <c r="C2530" s="1662"/>
      <c r="D2530" s="1874">
        <v>3111000</v>
      </c>
      <c r="E2530" s="1664" t="s">
        <v>69</v>
      </c>
      <c r="F2530" s="1674">
        <v>1471360</v>
      </c>
      <c r="H2530" s="1662"/>
      <c r="I2530" s="1662"/>
      <c r="J2530" s="1874">
        <v>3111000</v>
      </c>
      <c r="K2530" s="1664" t="s">
        <v>69</v>
      </c>
      <c r="L2530" s="1674">
        <v>1471360</v>
      </c>
      <c r="N2530" s="1674">
        <f t="shared" si="39"/>
        <v>0</v>
      </c>
    </row>
    <row r="2531" spans="2:14">
      <c r="B2531" s="90"/>
      <c r="C2531" s="90"/>
      <c r="D2531" s="1667">
        <v>3111001</v>
      </c>
      <c r="E2531" s="1668" t="s">
        <v>70</v>
      </c>
      <c r="F2531" s="1712">
        <v>480000</v>
      </c>
      <c r="H2531" s="90"/>
      <c r="I2531" s="90"/>
      <c r="J2531" s="1667">
        <v>3111001</v>
      </c>
      <c r="K2531" s="1668" t="s">
        <v>70</v>
      </c>
      <c r="L2531" s="1712">
        <v>480000</v>
      </c>
      <c r="N2531" s="1712">
        <f t="shared" si="39"/>
        <v>0</v>
      </c>
    </row>
    <row r="2532" spans="2:14">
      <c r="B2532" s="90"/>
      <c r="C2532" s="90"/>
      <c r="D2532" s="1667">
        <v>3111002</v>
      </c>
      <c r="E2532" s="1668" t="s">
        <v>71</v>
      </c>
      <c r="F2532" s="161">
        <v>720000</v>
      </c>
      <c r="H2532" s="90"/>
      <c r="I2532" s="90"/>
      <c r="J2532" s="1667">
        <v>3111002</v>
      </c>
      <c r="K2532" s="1668" t="s">
        <v>71</v>
      </c>
      <c r="L2532" s="161">
        <v>720000</v>
      </c>
      <c r="N2532" s="161">
        <f t="shared" si="39"/>
        <v>0</v>
      </c>
    </row>
    <row r="2533" spans="2:14">
      <c r="B2533" s="90"/>
      <c r="C2533" s="90"/>
      <c r="D2533" s="1667">
        <v>3111009</v>
      </c>
      <c r="E2533" s="1668" t="s">
        <v>253</v>
      </c>
      <c r="F2533" s="161">
        <v>271360</v>
      </c>
      <c r="H2533" s="90"/>
      <c r="I2533" s="90"/>
      <c r="J2533" s="1667">
        <v>3111009</v>
      </c>
      <c r="K2533" s="1668" t="s">
        <v>253</v>
      </c>
      <c r="L2533" s="161">
        <v>271360</v>
      </c>
      <c r="N2533" s="161">
        <f t="shared" si="39"/>
        <v>0</v>
      </c>
    </row>
    <row r="2534" spans="2:14">
      <c r="B2534" s="1662"/>
      <c r="C2534" s="1662"/>
      <c r="D2534" s="1663" t="s">
        <v>526</v>
      </c>
      <c r="E2534" s="1875"/>
      <c r="F2534" s="1674">
        <v>39584360</v>
      </c>
      <c r="H2534" s="1662"/>
      <c r="I2534" s="1662"/>
      <c r="J2534" s="1663" t="s">
        <v>526</v>
      </c>
      <c r="K2534" s="1875"/>
      <c r="L2534" s="1674">
        <v>39584360</v>
      </c>
      <c r="N2534" s="1674">
        <f t="shared" si="39"/>
        <v>0</v>
      </c>
    </row>
    <row r="2535" spans="2:14">
      <c r="B2535" s="1662"/>
      <c r="C2535" s="1662"/>
      <c r="D2535" s="61"/>
      <c r="E2535" s="74"/>
      <c r="F2535" s="161"/>
      <c r="H2535" s="1662"/>
      <c r="I2535" s="1662"/>
      <c r="J2535" s="61"/>
      <c r="K2535" s="74"/>
      <c r="L2535" s="161"/>
      <c r="N2535" s="161">
        <f t="shared" si="39"/>
        <v>0</v>
      </c>
    </row>
    <row r="2536" spans="2:14">
      <c r="B2536" s="1662"/>
      <c r="C2536" s="1662"/>
      <c r="D2536" s="1876"/>
      <c r="E2536" s="1871"/>
      <c r="F2536" s="161"/>
      <c r="H2536" s="1662"/>
      <c r="I2536" s="1662"/>
      <c r="J2536" s="1876"/>
      <c r="K2536" s="1871"/>
      <c r="L2536" s="161"/>
      <c r="N2536" s="161">
        <f t="shared" si="39"/>
        <v>0</v>
      </c>
    </row>
    <row r="2537" spans="2:14">
      <c r="B2537" s="1662" t="s">
        <v>144</v>
      </c>
      <c r="C2537" s="1662"/>
      <c r="D2537" s="1671" t="s">
        <v>1722</v>
      </c>
      <c r="E2537" s="1680"/>
      <c r="F2537" s="161"/>
      <c r="H2537" s="1662" t="s">
        <v>144</v>
      </c>
      <c r="I2537" s="1662"/>
      <c r="J2537" s="1671" t="s">
        <v>1722</v>
      </c>
      <c r="K2537" s="1680"/>
      <c r="L2537" s="161"/>
      <c r="N2537" s="161">
        <f t="shared" si="39"/>
        <v>0</v>
      </c>
    </row>
    <row r="2538" spans="2:14">
      <c r="B2538" s="1662"/>
      <c r="C2538" s="1708" t="s">
        <v>146</v>
      </c>
      <c r="D2538" s="1671" t="s">
        <v>1723</v>
      </c>
      <c r="E2538" s="1680"/>
      <c r="F2538" s="161"/>
      <c r="H2538" s="1662"/>
      <c r="I2538" s="1708" t="s">
        <v>146</v>
      </c>
      <c r="J2538" s="1671" t="s">
        <v>1723</v>
      </c>
      <c r="K2538" s="1680"/>
      <c r="L2538" s="161"/>
      <c r="N2538" s="161">
        <f t="shared" si="39"/>
        <v>0</v>
      </c>
    </row>
    <row r="2539" spans="2:14">
      <c r="B2539" s="1662"/>
      <c r="C2539" s="1662"/>
      <c r="D2539" s="1663">
        <v>2110100</v>
      </c>
      <c r="E2539" s="1664" t="s">
        <v>13</v>
      </c>
      <c r="F2539" s="1674">
        <v>14331548</v>
      </c>
      <c r="H2539" s="1662"/>
      <c r="I2539" s="1662"/>
      <c r="J2539" s="1663">
        <v>2110100</v>
      </c>
      <c r="K2539" s="1664" t="s">
        <v>13</v>
      </c>
      <c r="L2539" s="1674">
        <v>14331548</v>
      </c>
      <c r="N2539" s="1674">
        <f t="shared" si="39"/>
        <v>0</v>
      </c>
    </row>
    <row r="2540" spans="2:14">
      <c r="B2540" s="1662"/>
      <c r="C2540" s="1662"/>
      <c r="D2540" s="1667">
        <v>2110101</v>
      </c>
      <c r="E2540" s="1668" t="s">
        <v>14</v>
      </c>
      <c r="F2540" s="161">
        <v>14263548</v>
      </c>
      <c r="H2540" s="1662"/>
      <c r="I2540" s="1662"/>
      <c r="J2540" s="1667">
        <v>2110101</v>
      </c>
      <c r="K2540" s="1668" t="s">
        <v>14</v>
      </c>
      <c r="L2540" s="161">
        <v>14263548</v>
      </c>
      <c r="N2540" s="161">
        <f t="shared" si="39"/>
        <v>0</v>
      </c>
    </row>
    <row r="2541" spans="2:14">
      <c r="B2541" s="1662"/>
      <c r="C2541" s="90"/>
      <c r="D2541" s="1667">
        <v>2110120</v>
      </c>
      <c r="E2541" s="1668" t="s">
        <v>356</v>
      </c>
      <c r="F2541" s="161">
        <v>68000</v>
      </c>
      <c r="H2541" s="1662"/>
      <c r="I2541" s="90"/>
      <c r="J2541" s="1667">
        <v>2110120</v>
      </c>
      <c r="K2541" s="1668" t="s">
        <v>356</v>
      </c>
      <c r="L2541" s="161">
        <v>68000</v>
      </c>
      <c r="N2541" s="161">
        <f t="shared" si="39"/>
        <v>0</v>
      </c>
    </row>
    <row r="2542" spans="2:14">
      <c r="B2542" s="1662"/>
      <c r="C2542" s="1662"/>
      <c r="D2542" s="1663">
        <v>2110200</v>
      </c>
      <c r="E2542" s="1664" t="s">
        <v>527</v>
      </c>
      <c r="F2542" s="1674">
        <v>360000</v>
      </c>
      <c r="H2542" s="1662"/>
      <c r="I2542" s="1662"/>
      <c r="J2542" s="1663">
        <v>2110200</v>
      </c>
      <c r="K2542" s="1664" t="s">
        <v>527</v>
      </c>
      <c r="L2542" s="1674">
        <v>360000</v>
      </c>
      <c r="N2542" s="1674">
        <f t="shared" si="39"/>
        <v>0</v>
      </c>
    </row>
    <row r="2543" spans="2:14">
      <c r="B2543" s="1662"/>
      <c r="C2543" s="1662"/>
      <c r="D2543" s="1667">
        <v>2110202</v>
      </c>
      <c r="E2543" s="1668" t="s">
        <v>528</v>
      </c>
      <c r="F2543" s="161">
        <v>360000</v>
      </c>
      <c r="H2543" s="1662"/>
      <c r="I2543" s="1662"/>
      <c r="J2543" s="1667">
        <v>2110202</v>
      </c>
      <c r="K2543" s="1668" t="s">
        <v>528</v>
      </c>
      <c r="L2543" s="161">
        <v>360000</v>
      </c>
      <c r="N2543" s="161">
        <f t="shared" si="39"/>
        <v>0</v>
      </c>
    </row>
    <row r="2544" spans="2:14">
      <c r="B2544" s="1662"/>
      <c r="C2544" s="1662"/>
      <c r="D2544" s="1663">
        <v>2210300</v>
      </c>
      <c r="E2544" s="1664" t="s">
        <v>24</v>
      </c>
      <c r="F2544" s="1674">
        <v>344588</v>
      </c>
      <c r="H2544" s="1662"/>
      <c r="I2544" s="1662"/>
      <c r="J2544" s="1663">
        <v>2210300</v>
      </c>
      <c r="K2544" s="1664" t="s">
        <v>24</v>
      </c>
      <c r="L2544" s="1674">
        <v>344588</v>
      </c>
      <c r="N2544" s="1674">
        <f t="shared" si="39"/>
        <v>0</v>
      </c>
    </row>
    <row r="2545" spans="2:14">
      <c r="B2545" s="90"/>
      <c r="C2545" s="90"/>
      <c r="D2545" s="1667">
        <v>2210301</v>
      </c>
      <c r="E2545" s="1668" t="s">
        <v>188</v>
      </c>
      <c r="F2545" s="161">
        <v>101598</v>
      </c>
      <c r="H2545" s="90"/>
      <c r="I2545" s="90"/>
      <c r="J2545" s="1667">
        <v>2210301</v>
      </c>
      <c r="K2545" s="1668" t="s">
        <v>188</v>
      </c>
      <c r="L2545" s="161">
        <v>101598</v>
      </c>
      <c r="N2545" s="161">
        <f t="shared" si="39"/>
        <v>0</v>
      </c>
    </row>
    <row r="2546" spans="2:14">
      <c r="B2546" s="90"/>
      <c r="C2546" s="90"/>
      <c r="D2546" s="1667">
        <v>2210302</v>
      </c>
      <c r="E2546" s="1668" t="s">
        <v>26</v>
      </c>
      <c r="F2546" s="161">
        <v>88133</v>
      </c>
      <c r="H2546" s="90"/>
      <c r="I2546" s="90"/>
      <c r="J2546" s="1667">
        <v>2210302</v>
      </c>
      <c r="K2546" s="1668" t="s">
        <v>26</v>
      </c>
      <c r="L2546" s="161">
        <v>88133</v>
      </c>
      <c r="N2546" s="161">
        <f t="shared" si="39"/>
        <v>0</v>
      </c>
    </row>
    <row r="2547" spans="2:14">
      <c r="B2547" s="90"/>
      <c r="C2547" s="90"/>
      <c r="D2547" s="1667">
        <v>2210303</v>
      </c>
      <c r="E2547" s="1668" t="s">
        <v>27</v>
      </c>
      <c r="F2547" s="161">
        <v>154857</v>
      </c>
      <c r="H2547" s="90"/>
      <c r="I2547" s="90"/>
      <c r="J2547" s="1667">
        <v>2210303</v>
      </c>
      <c r="K2547" s="1668" t="s">
        <v>27</v>
      </c>
      <c r="L2547" s="161">
        <v>154857</v>
      </c>
      <c r="N2547" s="161">
        <f t="shared" si="39"/>
        <v>0</v>
      </c>
    </row>
    <row r="2548" spans="2:14">
      <c r="B2548" s="1662"/>
      <c r="C2548" s="1662"/>
      <c r="D2548" s="1663">
        <v>2210500</v>
      </c>
      <c r="E2548" s="1664" t="s">
        <v>31</v>
      </c>
      <c r="F2548" s="1674">
        <v>154706</v>
      </c>
      <c r="H2548" s="1662"/>
      <c r="I2548" s="1662"/>
      <c r="J2548" s="1663">
        <v>2210500</v>
      </c>
      <c r="K2548" s="1664" t="s">
        <v>31</v>
      </c>
      <c r="L2548" s="1674">
        <v>154706</v>
      </c>
      <c r="N2548" s="1674">
        <f t="shared" si="39"/>
        <v>0</v>
      </c>
    </row>
    <row r="2549" spans="2:14">
      <c r="B2549" s="90"/>
      <c r="C2549" s="90"/>
      <c r="D2549" s="1667">
        <v>2210502</v>
      </c>
      <c r="E2549" s="1668" t="s">
        <v>105</v>
      </c>
      <c r="F2549" s="161">
        <v>154706</v>
      </c>
      <c r="H2549" s="90"/>
      <c r="I2549" s="90"/>
      <c r="J2549" s="1667">
        <v>2210502</v>
      </c>
      <c r="K2549" s="1668" t="s">
        <v>105</v>
      </c>
      <c r="L2549" s="161">
        <v>154706</v>
      </c>
      <c r="N2549" s="161">
        <f t="shared" si="39"/>
        <v>0</v>
      </c>
    </row>
    <row r="2550" spans="2:14">
      <c r="B2550" s="1662"/>
      <c r="C2550" s="1662"/>
      <c r="D2550" s="1663">
        <v>2210600</v>
      </c>
      <c r="E2550" s="1664" t="s">
        <v>154</v>
      </c>
      <c r="F2550" s="1674">
        <v>230583</v>
      </c>
      <c r="H2550" s="1662"/>
      <c r="I2550" s="1662"/>
      <c r="J2550" s="1663">
        <v>2210600</v>
      </c>
      <c r="K2550" s="1664" t="s">
        <v>154</v>
      </c>
      <c r="L2550" s="1674">
        <v>230583</v>
      </c>
      <c r="N2550" s="1674">
        <f t="shared" si="39"/>
        <v>0</v>
      </c>
    </row>
    <row r="2551" spans="2:14">
      <c r="B2551" s="90"/>
      <c r="C2551" s="90"/>
      <c r="D2551" s="1667">
        <v>2210606</v>
      </c>
      <c r="E2551" s="1668" t="s">
        <v>523</v>
      </c>
      <c r="F2551" s="161">
        <v>230583</v>
      </c>
      <c r="H2551" s="90"/>
      <c r="I2551" s="90"/>
      <c r="J2551" s="1667">
        <v>2210606</v>
      </c>
      <c r="K2551" s="1668" t="s">
        <v>523</v>
      </c>
      <c r="L2551" s="161">
        <v>230583</v>
      </c>
      <c r="N2551" s="161">
        <f t="shared" si="39"/>
        <v>0</v>
      </c>
    </row>
    <row r="2552" spans="2:14">
      <c r="B2552" s="1662"/>
      <c r="C2552" s="1662"/>
      <c r="D2552" s="1663">
        <v>2210700</v>
      </c>
      <c r="E2552" s="1664" t="s">
        <v>194</v>
      </c>
      <c r="F2552" s="1674">
        <v>511477</v>
      </c>
      <c r="H2552" s="1662"/>
      <c r="I2552" s="1662"/>
      <c r="J2552" s="1663">
        <v>2210700</v>
      </c>
      <c r="K2552" s="1664" t="s">
        <v>194</v>
      </c>
      <c r="L2552" s="1674">
        <v>511477</v>
      </c>
      <c r="N2552" s="1674">
        <f t="shared" si="39"/>
        <v>0</v>
      </c>
    </row>
    <row r="2553" spans="2:14">
      <c r="B2553" s="90"/>
      <c r="C2553" s="90"/>
      <c r="D2553" s="1667">
        <v>2210701</v>
      </c>
      <c r="E2553" s="1668" t="s">
        <v>36</v>
      </c>
      <c r="F2553" s="161">
        <v>196229</v>
      </c>
      <c r="H2553" s="90"/>
      <c r="I2553" s="90"/>
      <c r="J2553" s="1667">
        <v>2210701</v>
      </c>
      <c r="K2553" s="1668" t="s">
        <v>36</v>
      </c>
      <c r="L2553" s="161">
        <v>196229</v>
      </c>
      <c r="N2553" s="161">
        <f t="shared" si="39"/>
        <v>0</v>
      </c>
    </row>
    <row r="2554" spans="2:14">
      <c r="B2554" s="90"/>
      <c r="C2554" s="90"/>
      <c r="D2554" s="1667">
        <v>2210710</v>
      </c>
      <c r="E2554" s="1668" t="s">
        <v>39</v>
      </c>
      <c r="F2554" s="161">
        <v>110004</v>
      </c>
      <c r="H2554" s="90"/>
      <c r="I2554" s="90"/>
      <c r="J2554" s="1667">
        <v>2210710</v>
      </c>
      <c r="K2554" s="1668" t="s">
        <v>39</v>
      </c>
      <c r="L2554" s="161">
        <v>110004</v>
      </c>
      <c r="N2554" s="161">
        <f t="shared" si="39"/>
        <v>0</v>
      </c>
    </row>
    <row r="2555" spans="2:14">
      <c r="B2555" s="90"/>
      <c r="C2555" s="90"/>
      <c r="D2555" s="61">
        <v>2210715</v>
      </c>
      <c r="E2555" s="74" t="s">
        <v>40</v>
      </c>
      <c r="F2555" s="161">
        <v>205244</v>
      </c>
      <c r="H2555" s="90"/>
      <c r="I2555" s="90"/>
      <c r="J2555" s="61">
        <v>2210715</v>
      </c>
      <c r="K2555" s="74" t="s">
        <v>40</v>
      </c>
      <c r="L2555" s="161">
        <v>205244</v>
      </c>
      <c r="N2555" s="161">
        <f t="shared" si="39"/>
        <v>0</v>
      </c>
    </row>
    <row r="2556" spans="2:14">
      <c r="B2556" s="1662"/>
      <c r="C2556" s="1662"/>
      <c r="D2556" s="1663">
        <v>2210800</v>
      </c>
      <c r="E2556" s="1664" t="s">
        <v>42</v>
      </c>
      <c r="F2556" s="1674">
        <v>414000</v>
      </c>
      <c r="H2556" s="1662"/>
      <c r="I2556" s="1662"/>
      <c r="J2556" s="1663">
        <v>2210800</v>
      </c>
      <c r="K2556" s="1664" t="s">
        <v>42</v>
      </c>
      <c r="L2556" s="1674">
        <v>414000</v>
      </c>
      <c r="N2556" s="1674">
        <f t="shared" si="39"/>
        <v>0</v>
      </c>
    </row>
    <row r="2557" spans="2:14">
      <c r="B2557" s="90"/>
      <c r="C2557" s="90"/>
      <c r="D2557" s="1667">
        <v>2210801</v>
      </c>
      <c r="E2557" s="1668" t="s">
        <v>195</v>
      </c>
      <c r="F2557" s="161">
        <v>211000</v>
      </c>
      <c r="H2557" s="90"/>
      <c r="I2557" s="90"/>
      <c r="J2557" s="1667">
        <v>2210801</v>
      </c>
      <c r="K2557" s="1668" t="s">
        <v>195</v>
      </c>
      <c r="L2557" s="161">
        <v>211000</v>
      </c>
      <c r="N2557" s="161">
        <f t="shared" si="39"/>
        <v>0</v>
      </c>
    </row>
    <row r="2558" spans="2:14">
      <c r="B2558" s="90"/>
      <c r="C2558" s="90"/>
      <c r="D2558" s="1667">
        <v>2210802</v>
      </c>
      <c r="E2558" s="1668" t="s">
        <v>97</v>
      </c>
      <c r="F2558" s="161">
        <v>203000</v>
      </c>
      <c r="H2558" s="90"/>
      <c r="I2558" s="90"/>
      <c r="J2558" s="1667">
        <v>2210802</v>
      </c>
      <c r="K2558" s="1668" t="s">
        <v>97</v>
      </c>
      <c r="L2558" s="161">
        <v>203000</v>
      </c>
      <c r="N2558" s="161">
        <f t="shared" si="39"/>
        <v>0</v>
      </c>
    </row>
    <row r="2559" spans="2:14">
      <c r="B2559" s="1662"/>
      <c r="C2559" s="1662"/>
      <c r="D2559" s="1663">
        <v>2211200</v>
      </c>
      <c r="E2559" s="1664" t="s">
        <v>55</v>
      </c>
      <c r="F2559" s="1674">
        <v>624972</v>
      </c>
      <c r="H2559" s="1662"/>
      <c r="I2559" s="1662"/>
      <c r="J2559" s="1663">
        <v>2211200</v>
      </c>
      <c r="K2559" s="1664" t="s">
        <v>55</v>
      </c>
      <c r="L2559" s="1674">
        <v>624972</v>
      </c>
      <c r="N2559" s="1674">
        <f t="shared" si="39"/>
        <v>0</v>
      </c>
    </row>
    <row r="2560" spans="2:14">
      <c r="B2560" s="90"/>
      <c r="C2560" s="90"/>
      <c r="D2560" s="1667">
        <v>2211201</v>
      </c>
      <c r="E2560" s="1668" t="s">
        <v>56</v>
      </c>
      <c r="F2560" s="161">
        <v>624972</v>
      </c>
      <c r="H2560" s="90"/>
      <c r="I2560" s="90"/>
      <c r="J2560" s="1667">
        <v>2211201</v>
      </c>
      <c r="K2560" s="1668" t="s">
        <v>56</v>
      </c>
      <c r="L2560" s="161">
        <v>624972</v>
      </c>
      <c r="N2560" s="161">
        <f t="shared" si="39"/>
        <v>0</v>
      </c>
    </row>
    <row r="2561" spans="2:14">
      <c r="B2561" s="1662"/>
      <c r="C2561" s="1662"/>
      <c r="D2561" s="1663">
        <v>2211300</v>
      </c>
      <c r="E2561" s="1664" t="s">
        <v>57</v>
      </c>
      <c r="F2561" s="1674">
        <v>40600</v>
      </c>
      <c r="H2561" s="1662"/>
      <c r="I2561" s="1662"/>
      <c r="J2561" s="1663">
        <v>2211300</v>
      </c>
      <c r="K2561" s="1664" t="s">
        <v>57</v>
      </c>
      <c r="L2561" s="1674">
        <v>40600</v>
      </c>
      <c r="N2561" s="1674">
        <f t="shared" si="39"/>
        <v>0</v>
      </c>
    </row>
    <row r="2562" spans="2:14">
      <c r="B2562" s="90"/>
      <c r="C2562" s="90"/>
      <c r="D2562" s="1667">
        <v>2211306</v>
      </c>
      <c r="E2562" s="1668" t="s">
        <v>58</v>
      </c>
      <c r="F2562" s="161">
        <v>40600</v>
      </c>
      <c r="H2562" s="90"/>
      <c r="I2562" s="90"/>
      <c r="J2562" s="1667">
        <v>2211306</v>
      </c>
      <c r="K2562" s="1668" t="s">
        <v>58</v>
      </c>
      <c r="L2562" s="161">
        <v>40600</v>
      </c>
      <c r="N2562" s="161">
        <f t="shared" si="39"/>
        <v>0</v>
      </c>
    </row>
    <row r="2563" spans="2:14" ht="30">
      <c r="B2563" s="1662"/>
      <c r="C2563" s="1662"/>
      <c r="D2563" s="1663">
        <v>2220100</v>
      </c>
      <c r="E2563" s="1664" t="s">
        <v>199</v>
      </c>
      <c r="F2563" s="1674">
        <v>225960</v>
      </c>
      <c r="H2563" s="1662"/>
      <c r="I2563" s="1662"/>
      <c r="J2563" s="1663">
        <v>2220100</v>
      </c>
      <c r="K2563" s="1664" t="s">
        <v>199</v>
      </c>
      <c r="L2563" s="1674">
        <v>225960</v>
      </c>
      <c r="N2563" s="1674">
        <f t="shared" si="39"/>
        <v>0</v>
      </c>
    </row>
    <row r="2564" spans="2:14">
      <c r="B2564" s="90"/>
      <c r="C2564" s="90"/>
      <c r="D2564" s="1667">
        <v>2220101</v>
      </c>
      <c r="E2564" s="1668" t="s">
        <v>200</v>
      </c>
      <c r="F2564" s="161">
        <v>125000</v>
      </c>
      <c r="H2564" s="90"/>
      <c r="I2564" s="90"/>
      <c r="J2564" s="1667">
        <v>2220101</v>
      </c>
      <c r="K2564" s="1668" t="s">
        <v>200</v>
      </c>
      <c r="L2564" s="161">
        <v>125000</v>
      </c>
      <c r="N2564" s="161">
        <f t="shared" si="39"/>
        <v>0</v>
      </c>
    </row>
    <row r="2565" spans="2:14">
      <c r="B2565" s="90"/>
      <c r="C2565" s="90"/>
      <c r="D2565" s="1667">
        <v>2220105</v>
      </c>
      <c r="E2565" s="1668" t="s">
        <v>64</v>
      </c>
      <c r="F2565" s="161">
        <v>100960</v>
      </c>
      <c r="H2565" s="90"/>
      <c r="I2565" s="90"/>
      <c r="J2565" s="1667">
        <v>2220105</v>
      </c>
      <c r="K2565" s="1668" t="s">
        <v>64</v>
      </c>
      <c r="L2565" s="161">
        <v>100960</v>
      </c>
      <c r="N2565" s="161">
        <f t="shared" si="39"/>
        <v>0</v>
      </c>
    </row>
    <row r="2566" spans="2:14">
      <c r="B2566" s="1662"/>
      <c r="C2566" s="1662"/>
      <c r="D2566" s="1663" t="s">
        <v>526</v>
      </c>
      <c r="E2566" s="1875"/>
      <c r="F2566" s="1674">
        <v>17238434</v>
      </c>
      <c r="H2566" s="1662"/>
      <c r="I2566" s="1662"/>
      <c r="J2566" s="1663" t="s">
        <v>526</v>
      </c>
      <c r="K2566" s="1875"/>
      <c r="L2566" s="1674">
        <v>17238434</v>
      </c>
      <c r="N2566" s="1674">
        <f t="shared" si="39"/>
        <v>0</v>
      </c>
    </row>
    <row r="2567" spans="2:14">
      <c r="B2567" s="1662"/>
      <c r="C2567" s="1662"/>
      <c r="D2567" s="1877" t="s">
        <v>78</v>
      </c>
      <c r="E2567" s="1878"/>
      <c r="F2567" s="1674"/>
      <c r="H2567" s="1662"/>
      <c r="I2567" s="1662"/>
      <c r="J2567" s="1877" t="s">
        <v>78</v>
      </c>
      <c r="K2567" s="1878"/>
      <c r="L2567" s="1674"/>
      <c r="N2567" s="1674">
        <f t="shared" si="39"/>
        <v>0</v>
      </c>
    </row>
    <row r="2568" spans="2:14">
      <c r="B2568" s="1662"/>
      <c r="C2568" s="1662"/>
      <c r="D2568" s="1663">
        <v>3111100</v>
      </c>
      <c r="E2568" s="1875" t="s">
        <v>73</v>
      </c>
      <c r="F2568" s="1674">
        <v>500000</v>
      </c>
      <c r="H2568" s="1662"/>
      <c r="I2568" s="1662"/>
      <c r="J2568" s="1663">
        <v>3111100</v>
      </c>
      <c r="K2568" s="1875" t="s">
        <v>73</v>
      </c>
      <c r="L2568" s="1674">
        <v>500000</v>
      </c>
      <c r="N2568" s="1674">
        <f t="shared" ref="N2568:N2631" si="40">F2568-L2568</f>
        <v>0</v>
      </c>
    </row>
    <row r="2569" spans="2:14" ht="30">
      <c r="B2569" s="84"/>
      <c r="C2569" s="85"/>
      <c r="D2569" s="80">
        <v>3111109</v>
      </c>
      <c r="E2569" s="162" t="s">
        <v>1458</v>
      </c>
      <c r="F2569" s="161">
        <v>500000</v>
      </c>
      <c r="H2569" s="84"/>
      <c r="I2569" s="85"/>
      <c r="J2569" s="80">
        <v>3111109</v>
      </c>
      <c r="K2569" s="162" t="s">
        <v>1458</v>
      </c>
      <c r="L2569" s="161">
        <v>500000</v>
      </c>
      <c r="N2569" s="161">
        <f t="shared" si="40"/>
        <v>0</v>
      </c>
    </row>
    <row r="2570" spans="2:14">
      <c r="B2570" s="1662"/>
      <c r="C2570" s="1662"/>
      <c r="D2570" s="1671" t="s">
        <v>175</v>
      </c>
      <c r="E2570" s="1680"/>
      <c r="F2570" s="1674">
        <v>500000</v>
      </c>
      <c r="H2570" s="1662"/>
      <c r="I2570" s="1662"/>
      <c r="J2570" s="1671" t="s">
        <v>175</v>
      </c>
      <c r="K2570" s="1680"/>
      <c r="L2570" s="1674">
        <v>500000</v>
      </c>
      <c r="N2570" s="1674">
        <f t="shared" si="40"/>
        <v>0</v>
      </c>
    </row>
    <row r="2571" spans="2:14">
      <c r="B2571" s="1662"/>
      <c r="C2571" s="1662"/>
      <c r="D2571" s="1671"/>
      <c r="E2571" s="1680"/>
      <c r="F2571" s="1674"/>
      <c r="H2571" s="1662"/>
      <c r="I2571" s="1662"/>
      <c r="J2571" s="1671"/>
      <c r="K2571" s="1680"/>
      <c r="L2571" s="1674"/>
      <c r="N2571" s="1674">
        <f t="shared" si="40"/>
        <v>0</v>
      </c>
    </row>
    <row r="2572" spans="2:14">
      <c r="B2572" s="1662"/>
      <c r="C2572" s="1662"/>
      <c r="D2572" s="1671" t="s">
        <v>84</v>
      </c>
      <c r="E2572" s="1680"/>
      <c r="F2572" s="1674">
        <v>17738434</v>
      </c>
      <c r="H2572" s="1662"/>
      <c r="I2572" s="1662"/>
      <c r="J2572" s="1671" t="s">
        <v>84</v>
      </c>
      <c r="K2572" s="1680"/>
      <c r="L2572" s="1674">
        <v>17738434</v>
      </c>
      <c r="N2572" s="1674">
        <f t="shared" si="40"/>
        <v>0</v>
      </c>
    </row>
    <row r="2573" spans="2:14">
      <c r="B2573" s="1662"/>
      <c r="C2573" s="1662"/>
      <c r="D2573" s="61"/>
      <c r="E2573" s="74"/>
      <c r="F2573" s="161"/>
      <c r="H2573" s="1662"/>
      <c r="I2573" s="1662"/>
      <c r="J2573" s="61"/>
      <c r="K2573" s="74"/>
      <c r="L2573" s="161"/>
      <c r="N2573" s="161">
        <f t="shared" si="40"/>
        <v>0</v>
      </c>
    </row>
    <row r="2574" spans="2:14">
      <c r="B2574" s="1662"/>
      <c r="C2574" s="1662"/>
      <c r="D2574" s="61"/>
      <c r="E2574" s="74"/>
      <c r="F2574" s="1879"/>
      <c r="H2574" s="1662"/>
      <c r="I2574" s="1662"/>
      <c r="J2574" s="61"/>
      <c r="K2574" s="74"/>
      <c r="L2574" s="1879"/>
      <c r="N2574" s="1879">
        <f t="shared" si="40"/>
        <v>0</v>
      </c>
    </row>
    <row r="2575" spans="2:14">
      <c r="B2575" s="1662" t="s">
        <v>144</v>
      </c>
      <c r="C2575" s="1662"/>
      <c r="D2575" s="1671" t="s">
        <v>529</v>
      </c>
      <c r="E2575" s="1680"/>
      <c r="F2575" s="161"/>
      <c r="H2575" s="1662" t="s">
        <v>144</v>
      </c>
      <c r="I2575" s="1662"/>
      <c r="J2575" s="1671" t="s">
        <v>529</v>
      </c>
      <c r="K2575" s="1680"/>
      <c r="L2575" s="161"/>
      <c r="N2575" s="161">
        <f t="shared" si="40"/>
        <v>0</v>
      </c>
    </row>
    <row r="2576" spans="2:14">
      <c r="B2576" s="1662"/>
      <c r="C2576" s="1708" t="s">
        <v>146</v>
      </c>
      <c r="D2576" s="1671" t="s">
        <v>530</v>
      </c>
      <c r="E2576" s="1680"/>
      <c r="F2576" s="161"/>
      <c r="H2576" s="1662"/>
      <c r="I2576" s="1708" t="s">
        <v>146</v>
      </c>
      <c r="J2576" s="1671" t="s">
        <v>530</v>
      </c>
      <c r="K2576" s="1680"/>
      <c r="L2576" s="161"/>
      <c r="N2576" s="161">
        <f t="shared" si="40"/>
        <v>0</v>
      </c>
    </row>
    <row r="2577" spans="2:14">
      <c r="B2577" s="1662"/>
      <c r="C2577" s="1662"/>
      <c r="D2577" s="1663">
        <v>2210200</v>
      </c>
      <c r="E2577" s="1664" t="s">
        <v>20</v>
      </c>
      <c r="F2577" s="1674">
        <v>182100</v>
      </c>
      <c r="H2577" s="1662"/>
      <c r="I2577" s="1662"/>
      <c r="J2577" s="1663">
        <v>2210200</v>
      </c>
      <c r="K2577" s="1664" t="s">
        <v>20</v>
      </c>
      <c r="L2577" s="1674">
        <v>182100</v>
      </c>
      <c r="N2577" s="1674">
        <f t="shared" si="40"/>
        <v>0</v>
      </c>
    </row>
    <row r="2578" spans="2:14">
      <c r="B2578" s="90"/>
      <c r="C2578" s="90"/>
      <c r="D2578" s="1667">
        <v>2210201</v>
      </c>
      <c r="E2578" s="1668" t="s">
        <v>187</v>
      </c>
      <c r="F2578" s="161">
        <v>182100</v>
      </c>
      <c r="H2578" s="90"/>
      <c r="I2578" s="90"/>
      <c r="J2578" s="1667">
        <v>2210201</v>
      </c>
      <c r="K2578" s="1668" t="s">
        <v>187</v>
      </c>
      <c r="L2578" s="161">
        <v>182100</v>
      </c>
      <c r="N2578" s="161">
        <f t="shared" si="40"/>
        <v>0</v>
      </c>
    </row>
    <row r="2579" spans="2:14">
      <c r="B2579" s="1662"/>
      <c r="C2579" s="1662"/>
      <c r="D2579" s="1663">
        <v>2210300</v>
      </c>
      <c r="E2579" s="1664" t="s">
        <v>24</v>
      </c>
      <c r="F2579" s="1674">
        <v>719078</v>
      </c>
      <c r="H2579" s="1662"/>
      <c r="I2579" s="1662"/>
      <c r="J2579" s="1663">
        <v>2210300</v>
      </c>
      <c r="K2579" s="1664" t="s">
        <v>24</v>
      </c>
      <c r="L2579" s="1674">
        <v>719078</v>
      </c>
      <c r="N2579" s="1674">
        <f t="shared" si="40"/>
        <v>0</v>
      </c>
    </row>
    <row r="2580" spans="2:14">
      <c r="B2580" s="90"/>
      <c r="C2580" s="90"/>
      <c r="D2580" s="1667">
        <v>2210301</v>
      </c>
      <c r="E2580" s="1668" t="s">
        <v>188</v>
      </c>
      <c r="F2580" s="161">
        <v>206088</v>
      </c>
      <c r="H2580" s="90"/>
      <c r="I2580" s="90"/>
      <c r="J2580" s="1667">
        <v>2210301</v>
      </c>
      <c r="K2580" s="1668" t="s">
        <v>188</v>
      </c>
      <c r="L2580" s="161">
        <v>206088</v>
      </c>
      <c r="N2580" s="161">
        <f t="shared" si="40"/>
        <v>0</v>
      </c>
    </row>
    <row r="2581" spans="2:14">
      <c r="B2581" s="90"/>
      <c r="C2581" s="90"/>
      <c r="D2581" s="1667">
        <v>2210302</v>
      </c>
      <c r="E2581" s="1668" t="s">
        <v>26</v>
      </c>
      <c r="F2581" s="161">
        <v>208133</v>
      </c>
      <c r="H2581" s="90"/>
      <c r="I2581" s="90"/>
      <c r="J2581" s="1667">
        <v>2210302</v>
      </c>
      <c r="K2581" s="1668" t="s">
        <v>26</v>
      </c>
      <c r="L2581" s="161">
        <v>208133</v>
      </c>
      <c r="N2581" s="161">
        <f t="shared" si="40"/>
        <v>0</v>
      </c>
    </row>
    <row r="2582" spans="2:14">
      <c r="B2582" s="90"/>
      <c r="C2582" s="90"/>
      <c r="D2582" s="1667">
        <v>2210303</v>
      </c>
      <c r="E2582" s="1668" t="s">
        <v>27</v>
      </c>
      <c r="F2582" s="161">
        <v>304857</v>
      </c>
      <c r="H2582" s="90"/>
      <c r="I2582" s="90"/>
      <c r="J2582" s="1667">
        <v>2210303</v>
      </c>
      <c r="K2582" s="1668" t="s">
        <v>27</v>
      </c>
      <c r="L2582" s="161">
        <v>304857</v>
      </c>
      <c r="N2582" s="161">
        <f t="shared" si="40"/>
        <v>0</v>
      </c>
    </row>
    <row r="2583" spans="2:14">
      <c r="B2583" s="1662"/>
      <c r="C2583" s="1662"/>
      <c r="D2583" s="1663">
        <v>2210500</v>
      </c>
      <c r="E2583" s="1664" t="s">
        <v>31</v>
      </c>
      <c r="F2583" s="1674">
        <v>91000</v>
      </c>
      <c r="H2583" s="1662"/>
      <c r="I2583" s="1662"/>
      <c r="J2583" s="1663">
        <v>2210500</v>
      </c>
      <c r="K2583" s="1664" t="s">
        <v>31</v>
      </c>
      <c r="L2583" s="1674">
        <v>91000</v>
      </c>
      <c r="N2583" s="1674">
        <f t="shared" si="40"/>
        <v>0</v>
      </c>
    </row>
    <row r="2584" spans="2:14">
      <c r="B2584" s="90"/>
      <c r="C2584" s="90"/>
      <c r="D2584" s="1667">
        <v>2210503</v>
      </c>
      <c r="E2584" s="1668" t="s">
        <v>32</v>
      </c>
      <c r="F2584" s="161">
        <v>91000</v>
      </c>
      <c r="H2584" s="90"/>
      <c r="I2584" s="90"/>
      <c r="J2584" s="1667">
        <v>2210503</v>
      </c>
      <c r="K2584" s="1668" t="s">
        <v>32</v>
      </c>
      <c r="L2584" s="161">
        <v>91000</v>
      </c>
      <c r="N2584" s="161">
        <f t="shared" si="40"/>
        <v>0</v>
      </c>
    </row>
    <row r="2585" spans="2:14">
      <c r="B2585" s="1662"/>
      <c r="C2585" s="1662"/>
      <c r="D2585" s="1663" t="s">
        <v>526</v>
      </c>
      <c r="E2585" s="1875"/>
      <c r="F2585" s="1674">
        <v>992178</v>
      </c>
      <c r="H2585" s="1662"/>
      <c r="I2585" s="1662"/>
      <c r="J2585" s="1663" t="s">
        <v>526</v>
      </c>
      <c r="K2585" s="1875"/>
      <c r="L2585" s="1674">
        <v>992178</v>
      </c>
      <c r="N2585" s="1674">
        <f t="shared" si="40"/>
        <v>0</v>
      </c>
    </row>
    <row r="2586" spans="2:14">
      <c r="B2586" s="1662"/>
      <c r="C2586" s="1662"/>
      <c r="D2586" s="61"/>
      <c r="E2586" s="74"/>
      <c r="F2586" s="161"/>
      <c r="H2586" s="1662"/>
      <c r="I2586" s="1662"/>
      <c r="J2586" s="61"/>
      <c r="K2586" s="74"/>
      <c r="L2586" s="161"/>
      <c r="N2586" s="161">
        <f t="shared" si="40"/>
        <v>0</v>
      </c>
    </row>
    <row r="2587" spans="2:14">
      <c r="B2587" s="1662"/>
      <c r="C2587" s="1662"/>
      <c r="D2587" s="1671" t="s">
        <v>84</v>
      </c>
      <c r="E2587" s="1680"/>
      <c r="F2587" s="1674">
        <v>992178</v>
      </c>
      <c r="H2587" s="1662"/>
      <c r="I2587" s="1662"/>
      <c r="J2587" s="1671" t="s">
        <v>84</v>
      </c>
      <c r="K2587" s="1680"/>
      <c r="L2587" s="1674">
        <v>992178</v>
      </c>
      <c r="N2587" s="1674">
        <f t="shared" si="40"/>
        <v>0</v>
      </c>
    </row>
    <row r="2588" spans="2:14">
      <c r="B2588" s="1662"/>
      <c r="C2588" s="1662"/>
      <c r="D2588" s="1527"/>
      <c r="E2588" s="1680"/>
      <c r="F2588" s="161"/>
      <c r="H2588" s="1662"/>
      <c r="I2588" s="1662"/>
      <c r="J2588" s="1527"/>
      <c r="K2588" s="1680"/>
      <c r="L2588" s="161"/>
      <c r="N2588" s="161">
        <f t="shared" si="40"/>
        <v>0</v>
      </c>
    </row>
    <row r="2589" spans="2:14">
      <c r="B2589" s="1662" t="s">
        <v>144</v>
      </c>
      <c r="C2589" s="1662"/>
      <c r="D2589" s="1671" t="s">
        <v>1724</v>
      </c>
      <c r="E2589" s="1680"/>
      <c r="F2589" s="161"/>
      <c r="H2589" s="1662" t="s">
        <v>144</v>
      </c>
      <c r="I2589" s="1662"/>
      <c r="J2589" s="1671" t="s">
        <v>1724</v>
      </c>
      <c r="K2589" s="1680"/>
      <c r="L2589" s="161"/>
      <c r="N2589" s="161">
        <f t="shared" si="40"/>
        <v>0</v>
      </c>
    </row>
    <row r="2590" spans="2:14">
      <c r="B2590" s="1662"/>
      <c r="C2590" s="1708" t="s">
        <v>146</v>
      </c>
      <c r="D2590" s="1671" t="s">
        <v>1725</v>
      </c>
      <c r="E2590" s="1680"/>
      <c r="F2590" s="161"/>
      <c r="H2590" s="1662"/>
      <c r="I2590" s="1708" t="s">
        <v>146</v>
      </c>
      <c r="J2590" s="1671" t="s">
        <v>1725</v>
      </c>
      <c r="K2590" s="1680"/>
      <c r="L2590" s="161"/>
      <c r="N2590" s="161">
        <f t="shared" si="40"/>
        <v>0</v>
      </c>
    </row>
    <row r="2591" spans="2:14">
      <c r="B2591" s="1662"/>
      <c r="C2591" s="1662"/>
      <c r="D2591" s="1671">
        <v>2210300</v>
      </c>
      <c r="E2591" s="1664" t="s">
        <v>24</v>
      </c>
      <c r="F2591" s="1674">
        <v>757550</v>
      </c>
      <c r="H2591" s="1662"/>
      <c r="I2591" s="1662"/>
      <c r="J2591" s="1671">
        <v>2210300</v>
      </c>
      <c r="K2591" s="1664" t="s">
        <v>24</v>
      </c>
      <c r="L2591" s="1674">
        <v>757550</v>
      </c>
      <c r="N2591" s="1674">
        <f t="shared" si="40"/>
        <v>0</v>
      </c>
    </row>
    <row r="2592" spans="2:14">
      <c r="B2592" s="90"/>
      <c r="C2592" s="90"/>
      <c r="D2592" s="61">
        <v>2210301</v>
      </c>
      <c r="E2592" s="1668" t="s">
        <v>188</v>
      </c>
      <c r="F2592" s="161">
        <v>244490</v>
      </c>
      <c r="H2592" s="90"/>
      <c r="I2592" s="90"/>
      <c r="J2592" s="61">
        <v>2210301</v>
      </c>
      <c r="K2592" s="1668" t="s">
        <v>188</v>
      </c>
      <c r="L2592" s="161">
        <v>244490</v>
      </c>
      <c r="N2592" s="161">
        <f t="shared" si="40"/>
        <v>0</v>
      </c>
    </row>
    <row r="2593" spans="2:14">
      <c r="B2593" s="90"/>
      <c r="C2593" s="90"/>
      <c r="D2593" s="61">
        <v>2210302</v>
      </c>
      <c r="E2593" s="1668" t="s">
        <v>26</v>
      </c>
      <c r="F2593" s="161">
        <v>308204</v>
      </c>
      <c r="H2593" s="90"/>
      <c r="I2593" s="90"/>
      <c r="J2593" s="61">
        <v>2210302</v>
      </c>
      <c r="K2593" s="1668" t="s">
        <v>26</v>
      </c>
      <c r="L2593" s="161">
        <v>308204</v>
      </c>
      <c r="N2593" s="161">
        <f t="shared" si="40"/>
        <v>0</v>
      </c>
    </row>
    <row r="2594" spans="2:14">
      <c r="B2594" s="90"/>
      <c r="C2594" s="90"/>
      <c r="D2594" s="61">
        <v>2210303</v>
      </c>
      <c r="E2594" s="1668" t="s">
        <v>27</v>
      </c>
      <c r="F2594" s="161">
        <v>204856</v>
      </c>
      <c r="H2594" s="90"/>
      <c r="I2594" s="90"/>
      <c r="J2594" s="61">
        <v>2210303</v>
      </c>
      <c r="K2594" s="1668" t="s">
        <v>27</v>
      </c>
      <c r="L2594" s="161">
        <v>204856</v>
      </c>
      <c r="N2594" s="161">
        <f t="shared" si="40"/>
        <v>0</v>
      </c>
    </row>
    <row r="2595" spans="2:14">
      <c r="B2595" s="1662"/>
      <c r="C2595" s="1662"/>
      <c r="D2595" s="1663">
        <v>2211100</v>
      </c>
      <c r="E2595" s="1664" t="s">
        <v>51</v>
      </c>
      <c r="F2595" s="1674">
        <v>416668</v>
      </c>
      <c r="H2595" s="1662"/>
      <c r="I2595" s="1662"/>
      <c r="J2595" s="1663">
        <v>2211100</v>
      </c>
      <c r="K2595" s="1664" t="s">
        <v>51</v>
      </c>
      <c r="L2595" s="1674">
        <v>416668</v>
      </c>
      <c r="N2595" s="1674">
        <f t="shared" si="40"/>
        <v>0</v>
      </c>
    </row>
    <row r="2596" spans="2:14" ht="30">
      <c r="B2596" s="90"/>
      <c r="C2596" s="90"/>
      <c r="D2596" s="1667">
        <v>2211101</v>
      </c>
      <c r="E2596" s="74" t="s">
        <v>197</v>
      </c>
      <c r="F2596" s="161">
        <v>313277</v>
      </c>
      <c r="H2596" s="90"/>
      <c r="I2596" s="90"/>
      <c r="J2596" s="1667">
        <v>2211101</v>
      </c>
      <c r="K2596" s="74" t="s">
        <v>197</v>
      </c>
      <c r="L2596" s="161">
        <v>313277</v>
      </c>
      <c r="N2596" s="161">
        <f t="shared" si="40"/>
        <v>0</v>
      </c>
    </row>
    <row r="2597" spans="2:14">
      <c r="B2597" s="90"/>
      <c r="C2597" s="90"/>
      <c r="D2597" s="1667">
        <v>2211102</v>
      </c>
      <c r="E2597" s="1668" t="s">
        <v>53</v>
      </c>
      <c r="F2597" s="161">
        <v>103391</v>
      </c>
      <c r="H2597" s="90"/>
      <c r="I2597" s="90"/>
      <c r="J2597" s="1667">
        <v>2211102</v>
      </c>
      <c r="K2597" s="1668" t="s">
        <v>53</v>
      </c>
      <c r="L2597" s="161">
        <v>103391</v>
      </c>
      <c r="N2597" s="161">
        <f t="shared" si="40"/>
        <v>0</v>
      </c>
    </row>
    <row r="2598" spans="2:14">
      <c r="B2598" s="1662"/>
      <c r="C2598" s="1662"/>
      <c r="D2598" s="1874">
        <v>3111000</v>
      </c>
      <c r="E2598" s="1664" t="s">
        <v>69</v>
      </c>
      <c r="F2598" s="1689">
        <v>120000</v>
      </c>
      <c r="H2598" s="1662"/>
      <c r="I2598" s="1662"/>
      <c r="J2598" s="1874">
        <v>3111000</v>
      </c>
      <c r="K2598" s="1664" t="s">
        <v>69</v>
      </c>
      <c r="L2598" s="1689">
        <v>120000</v>
      </c>
      <c r="N2598" s="1689">
        <f t="shared" si="40"/>
        <v>0</v>
      </c>
    </row>
    <row r="2599" spans="2:14">
      <c r="B2599" s="90"/>
      <c r="C2599" s="90"/>
      <c r="D2599" s="1667">
        <v>3111001</v>
      </c>
      <c r="E2599" s="1668" t="s">
        <v>70</v>
      </c>
      <c r="F2599" s="174">
        <v>120000</v>
      </c>
      <c r="H2599" s="90"/>
      <c r="I2599" s="90"/>
      <c r="J2599" s="1667">
        <v>3111001</v>
      </c>
      <c r="K2599" s="1668" t="s">
        <v>70</v>
      </c>
      <c r="L2599" s="174">
        <v>120000</v>
      </c>
      <c r="N2599" s="174">
        <f t="shared" si="40"/>
        <v>0</v>
      </c>
    </row>
    <row r="2600" spans="2:14">
      <c r="B2600" s="1662"/>
      <c r="C2600" s="1662"/>
      <c r="D2600" s="1663" t="s">
        <v>526</v>
      </c>
      <c r="E2600" s="1875"/>
      <c r="F2600" s="1674">
        <v>1294218</v>
      </c>
      <c r="H2600" s="1662"/>
      <c r="I2600" s="1662"/>
      <c r="J2600" s="1663" t="s">
        <v>526</v>
      </c>
      <c r="K2600" s="1875"/>
      <c r="L2600" s="1674">
        <v>1294218</v>
      </c>
      <c r="N2600" s="1674">
        <f t="shared" si="40"/>
        <v>0</v>
      </c>
    </row>
    <row r="2601" spans="2:14">
      <c r="B2601" s="1662"/>
      <c r="C2601" s="1662"/>
      <c r="D2601" s="1663"/>
      <c r="E2601" s="1875"/>
      <c r="F2601" s="161"/>
      <c r="H2601" s="1662"/>
      <c r="I2601" s="1662"/>
      <c r="J2601" s="1663"/>
      <c r="K2601" s="1875"/>
      <c r="L2601" s="161"/>
      <c r="N2601" s="161">
        <f t="shared" si="40"/>
        <v>0</v>
      </c>
    </row>
    <row r="2602" spans="2:14">
      <c r="B2602" s="1662"/>
      <c r="C2602" s="1662"/>
      <c r="D2602" s="1663"/>
      <c r="E2602" s="1875" t="s">
        <v>92</v>
      </c>
      <c r="F2602" s="161"/>
      <c r="H2602" s="1662"/>
      <c r="I2602" s="1662"/>
      <c r="J2602" s="1663"/>
      <c r="K2602" s="1875" t="s">
        <v>92</v>
      </c>
      <c r="L2602" s="161"/>
      <c r="N2602" s="161">
        <f t="shared" si="40"/>
        <v>0</v>
      </c>
    </row>
    <row r="2603" spans="2:14">
      <c r="B2603" s="1662"/>
      <c r="C2603" s="1662"/>
      <c r="D2603" s="1761">
        <v>2630200</v>
      </c>
      <c r="E2603" s="1680" t="s">
        <v>534</v>
      </c>
      <c r="F2603" s="1674">
        <v>52636701</v>
      </c>
      <c r="H2603" s="1662"/>
      <c r="I2603" s="1662"/>
      <c r="J2603" s="1761">
        <v>2630200</v>
      </c>
      <c r="K2603" s="1680" t="s">
        <v>534</v>
      </c>
      <c r="L2603" s="1674">
        <v>52636701</v>
      </c>
      <c r="N2603" s="1674">
        <f t="shared" si="40"/>
        <v>0</v>
      </c>
    </row>
    <row r="2604" spans="2:14" ht="30">
      <c r="B2604" s="90"/>
      <c r="C2604" s="90"/>
      <c r="D2604" s="62">
        <v>2630203</v>
      </c>
      <c r="E2604" s="74" t="s">
        <v>535</v>
      </c>
      <c r="F2604" s="161">
        <v>52636701</v>
      </c>
      <c r="H2604" s="90"/>
      <c r="I2604" s="90"/>
      <c r="J2604" s="62">
        <v>2630203</v>
      </c>
      <c r="K2604" s="74" t="s">
        <v>535</v>
      </c>
      <c r="L2604" s="161">
        <v>52636701</v>
      </c>
      <c r="N2604" s="161">
        <f t="shared" si="40"/>
        <v>0</v>
      </c>
    </row>
    <row r="2605" spans="2:14">
      <c r="B2605" s="1662"/>
      <c r="C2605" s="1662"/>
      <c r="D2605" s="1671" t="s">
        <v>175</v>
      </c>
      <c r="E2605" s="1680"/>
      <c r="F2605" s="1674">
        <v>52636701</v>
      </c>
      <c r="H2605" s="1662"/>
      <c r="I2605" s="1662"/>
      <c r="J2605" s="1671" t="s">
        <v>175</v>
      </c>
      <c r="K2605" s="1680"/>
      <c r="L2605" s="1674">
        <v>52636701</v>
      </c>
      <c r="N2605" s="1674">
        <f t="shared" si="40"/>
        <v>0</v>
      </c>
    </row>
    <row r="2606" spans="2:14">
      <c r="B2606" s="1662"/>
      <c r="C2606" s="1662"/>
      <c r="D2606" s="1671" t="s">
        <v>84</v>
      </c>
      <c r="E2606" s="1680"/>
      <c r="F2606" s="1674">
        <v>53930919</v>
      </c>
      <c r="H2606" s="1662"/>
      <c r="I2606" s="1662"/>
      <c r="J2606" s="1671" t="s">
        <v>84</v>
      </c>
      <c r="K2606" s="1680"/>
      <c r="L2606" s="1674">
        <v>53930919</v>
      </c>
      <c r="N2606" s="1674">
        <f t="shared" si="40"/>
        <v>0</v>
      </c>
    </row>
    <row r="2607" spans="2:14">
      <c r="B2607" s="1662"/>
      <c r="C2607" s="1662"/>
      <c r="D2607" s="1527"/>
      <c r="E2607" s="1680"/>
      <c r="F2607" s="161"/>
      <c r="H2607" s="1662"/>
      <c r="I2607" s="1662"/>
      <c r="J2607" s="1527"/>
      <c r="K2607" s="1680"/>
      <c r="L2607" s="161"/>
      <c r="N2607" s="161">
        <f t="shared" si="40"/>
        <v>0</v>
      </c>
    </row>
    <row r="2608" spans="2:14">
      <c r="B2608" s="1662" t="s">
        <v>144</v>
      </c>
      <c r="C2608" s="1662"/>
      <c r="D2608" s="1671" t="s">
        <v>1726</v>
      </c>
      <c r="E2608" s="1680"/>
      <c r="F2608" s="161"/>
      <c r="H2608" s="1662" t="s">
        <v>144</v>
      </c>
      <c r="I2608" s="1662"/>
      <c r="J2608" s="1671" t="s">
        <v>1726</v>
      </c>
      <c r="K2608" s="1680"/>
      <c r="L2608" s="161"/>
      <c r="N2608" s="161">
        <f t="shared" si="40"/>
        <v>0</v>
      </c>
    </row>
    <row r="2609" spans="2:14">
      <c r="B2609" s="1662"/>
      <c r="C2609" s="1708" t="s">
        <v>146</v>
      </c>
      <c r="D2609" s="1671" t="s">
        <v>1727</v>
      </c>
      <c r="E2609" s="1680"/>
      <c r="F2609" s="161"/>
      <c r="H2609" s="1662"/>
      <c r="I2609" s="1708" t="s">
        <v>146</v>
      </c>
      <c r="J2609" s="1671" t="s">
        <v>1727</v>
      </c>
      <c r="K2609" s="1680"/>
      <c r="L2609" s="161"/>
      <c r="N2609" s="161">
        <f t="shared" si="40"/>
        <v>0</v>
      </c>
    </row>
    <row r="2610" spans="2:14">
      <c r="B2610" s="1662"/>
      <c r="C2610" s="1708"/>
      <c r="D2610" s="1663">
        <v>2210100</v>
      </c>
      <c r="E2610" s="1664" t="s">
        <v>16</v>
      </c>
      <c r="F2610" s="1674">
        <v>120000</v>
      </c>
      <c r="H2610" s="1662"/>
      <c r="I2610" s="1708"/>
      <c r="J2610" s="1663">
        <v>2210100</v>
      </c>
      <c r="K2610" s="1664" t="s">
        <v>16</v>
      </c>
      <c r="L2610" s="1674">
        <v>120000</v>
      </c>
      <c r="N2610" s="1674">
        <f t="shared" si="40"/>
        <v>0</v>
      </c>
    </row>
    <row r="2611" spans="2:14">
      <c r="B2611" s="1662"/>
      <c r="C2611" s="1708"/>
      <c r="D2611" s="1667">
        <v>2210102</v>
      </c>
      <c r="E2611" s="1668" t="s">
        <v>18</v>
      </c>
      <c r="F2611" s="161">
        <v>120000</v>
      </c>
      <c r="H2611" s="1662"/>
      <c r="I2611" s="1708"/>
      <c r="J2611" s="1667">
        <v>2210102</v>
      </c>
      <c r="K2611" s="1668" t="s">
        <v>18</v>
      </c>
      <c r="L2611" s="161">
        <v>120000</v>
      </c>
      <c r="N2611" s="161">
        <f t="shared" si="40"/>
        <v>0</v>
      </c>
    </row>
    <row r="2612" spans="2:14">
      <c r="B2612" s="1662"/>
      <c r="C2612" s="1662"/>
      <c r="D2612" s="1671">
        <v>2210300</v>
      </c>
      <c r="E2612" s="1664" t="s">
        <v>24</v>
      </c>
      <c r="F2612" s="1674">
        <v>724279</v>
      </c>
      <c r="H2612" s="1662"/>
      <c r="I2612" s="1662"/>
      <c r="J2612" s="1671">
        <v>2210300</v>
      </c>
      <c r="K2612" s="1664" t="s">
        <v>24</v>
      </c>
      <c r="L2612" s="1674">
        <v>724279</v>
      </c>
      <c r="N2612" s="1674">
        <f t="shared" si="40"/>
        <v>0</v>
      </c>
    </row>
    <row r="2613" spans="2:14">
      <c r="B2613" s="90"/>
      <c r="C2613" s="90"/>
      <c r="D2613" s="61">
        <v>2210301</v>
      </c>
      <c r="E2613" s="1668" t="s">
        <v>188</v>
      </c>
      <c r="F2613" s="161">
        <v>200280</v>
      </c>
      <c r="H2613" s="90"/>
      <c r="I2613" s="90"/>
      <c r="J2613" s="61">
        <v>2210301</v>
      </c>
      <c r="K2613" s="1668" t="s">
        <v>188</v>
      </c>
      <c r="L2613" s="161">
        <v>200280</v>
      </c>
      <c r="N2613" s="161">
        <f t="shared" si="40"/>
        <v>0</v>
      </c>
    </row>
    <row r="2614" spans="2:14">
      <c r="B2614" s="90"/>
      <c r="C2614" s="90"/>
      <c r="D2614" s="61">
        <v>2210302</v>
      </c>
      <c r="E2614" s="1668" t="s">
        <v>26</v>
      </c>
      <c r="F2614" s="161">
        <v>218143</v>
      </c>
      <c r="H2614" s="90"/>
      <c r="I2614" s="90"/>
      <c r="J2614" s="61">
        <v>2210302</v>
      </c>
      <c r="K2614" s="1668" t="s">
        <v>26</v>
      </c>
      <c r="L2614" s="161">
        <v>218143</v>
      </c>
      <c r="N2614" s="161">
        <f t="shared" si="40"/>
        <v>0</v>
      </c>
    </row>
    <row r="2615" spans="2:14">
      <c r="B2615" s="90"/>
      <c r="C2615" s="90"/>
      <c r="D2615" s="61">
        <v>2210303</v>
      </c>
      <c r="E2615" s="1668" t="s">
        <v>27</v>
      </c>
      <c r="F2615" s="161">
        <v>305856</v>
      </c>
      <c r="H2615" s="90"/>
      <c r="I2615" s="90"/>
      <c r="J2615" s="61">
        <v>2210303</v>
      </c>
      <c r="K2615" s="1668" t="s">
        <v>27</v>
      </c>
      <c r="L2615" s="161">
        <v>305856</v>
      </c>
      <c r="N2615" s="161">
        <f t="shared" si="40"/>
        <v>0</v>
      </c>
    </row>
    <row r="2616" spans="2:14">
      <c r="B2616" s="1662"/>
      <c r="C2616" s="1662"/>
      <c r="D2616" s="1663">
        <v>2210500</v>
      </c>
      <c r="E2616" s="1664" t="s">
        <v>31</v>
      </c>
      <c r="F2616" s="1674">
        <v>256000</v>
      </c>
      <c r="H2616" s="1662"/>
      <c r="I2616" s="1662"/>
      <c r="J2616" s="1663">
        <v>2210500</v>
      </c>
      <c r="K2616" s="1664" t="s">
        <v>31</v>
      </c>
      <c r="L2616" s="1674">
        <v>256000</v>
      </c>
      <c r="N2616" s="1674">
        <f t="shared" si="40"/>
        <v>0</v>
      </c>
    </row>
    <row r="2617" spans="2:14">
      <c r="B2617" s="90"/>
      <c r="C2617" s="90"/>
      <c r="D2617" s="1667">
        <v>2210505</v>
      </c>
      <c r="E2617" s="1668" t="s">
        <v>192</v>
      </c>
      <c r="F2617" s="161">
        <v>256000</v>
      </c>
      <c r="H2617" s="90"/>
      <c r="I2617" s="90"/>
      <c r="J2617" s="1667">
        <v>2210505</v>
      </c>
      <c r="K2617" s="1668" t="s">
        <v>192</v>
      </c>
      <c r="L2617" s="161">
        <v>256000</v>
      </c>
      <c r="N2617" s="161">
        <f t="shared" si="40"/>
        <v>0</v>
      </c>
    </row>
    <row r="2618" spans="2:14">
      <c r="B2618" s="1662"/>
      <c r="C2618" s="1662"/>
      <c r="D2618" s="1663">
        <v>2210600</v>
      </c>
      <c r="E2618" s="1664" t="s">
        <v>154</v>
      </c>
      <c r="F2618" s="1674">
        <v>223900</v>
      </c>
      <c r="H2618" s="1662"/>
      <c r="I2618" s="1662"/>
      <c r="J2618" s="1663">
        <v>2210600</v>
      </c>
      <c r="K2618" s="1664" t="s">
        <v>154</v>
      </c>
      <c r="L2618" s="1674">
        <v>223900</v>
      </c>
      <c r="N2618" s="1674">
        <f t="shared" si="40"/>
        <v>0</v>
      </c>
    </row>
    <row r="2619" spans="2:14">
      <c r="B2619" s="90"/>
      <c r="C2619" s="90"/>
      <c r="D2619" s="1667">
        <v>2210606</v>
      </c>
      <c r="E2619" s="1668" t="s">
        <v>523</v>
      </c>
      <c r="F2619" s="161">
        <v>223900</v>
      </c>
      <c r="H2619" s="90"/>
      <c r="I2619" s="90"/>
      <c r="J2619" s="1667">
        <v>2210606</v>
      </c>
      <c r="K2619" s="1668" t="s">
        <v>523</v>
      </c>
      <c r="L2619" s="161">
        <v>223900</v>
      </c>
      <c r="N2619" s="161">
        <f t="shared" si="40"/>
        <v>0</v>
      </c>
    </row>
    <row r="2620" spans="2:14">
      <c r="B2620" s="1662"/>
      <c r="C2620" s="1662"/>
      <c r="D2620" s="1663">
        <v>2211000</v>
      </c>
      <c r="E2620" s="1664" t="s">
        <v>118</v>
      </c>
      <c r="F2620" s="1674">
        <v>220000</v>
      </c>
      <c r="H2620" s="1662"/>
      <c r="I2620" s="1662"/>
      <c r="J2620" s="1663">
        <v>2211000</v>
      </c>
      <c r="K2620" s="1664" t="s">
        <v>118</v>
      </c>
      <c r="L2620" s="1674">
        <v>220000</v>
      </c>
      <c r="N2620" s="1674">
        <f t="shared" si="40"/>
        <v>0</v>
      </c>
    </row>
    <row r="2621" spans="2:14">
      <c r="B2621" s="90"/>
      <c r="C2621" s="90"/>
      <c r="D2621" s="1667">
        <v>2211016</v>
      </c>
      <c r="E2621" s="1668" t="s">
        <v>196</v>
      </c>
      <c r="F2621" s="161">
        <v>220000</v>
      </c>
      <c r="H2621" s="90"/>
      <c r="I2621" s="90"/>
      <c r="J2621" s="1667">
        <v>2211016</v>
      </c>
      <c r="K2621" s="1668" t="s">
        <v>196</v>
      </c>
      <c r="L2621" s="161">
        <v>220000</v>
      </c>
      <c r="N2621" s="161">
        <f t="shared" si="40"/>
        <v>0</v>
      </c>
    </row>
    <row r="2622" spans="2:14">
      <c r="B2622" s="1662"/>
      <c r="C2622" s="1662"/>
      <c r="D2622" s="1671">
        <v>2211000</v>
      </c>
      <c r="E2622" s="1664" t="s">
        <v>118</v>
      </c>
      <c r="F2622" s="1674">
        <v>204000</v>
      </c>
      <c r="H2622" s="1662"/>
      <c r="I2622" s="1662"/>
      <c r="J2622" s="1671">
        <v>2211000</v>
      </c>
      <c r="K2622" s="1664" t="s">
        <v>118</v>
      </c>
      <c r="L2622" s="1674">
        <v>204000</v>
      </c>
      <c r="N2622" s="1674">
        <f t="shared" si="40"/>
        <v>0</v>
      </c>
    </row>
    <row r="2623" spans="2:14">
      <c r="B2623" s="90"/>
      <c r="C2623" s="90"/>
      <c r="D2623" s="61">
        <v>2211004</v>
      </c>
      <c r="E2623" s="1668" t="s">
        <v>538</v>
      </c>
      <c r="F2623" s="161">
        <v>96000</v>
      </c>
      <c r="H2623" s="90"/>
      <c r="I2623" s="90"/>
      <c r="J2623" s="61">
        <v>2211004</v>
      </c>
      <c r="K2623" s="1668" t="s">
        <v>538</v>
      </c>
      <c r="L2623" s="161">
        <v>96000</v>
      </c>
      <c r="N2623" s="161">
        <f t="shared" si="40"/>
        <v>0</v>
      </c>
    </row>
    <row r="2624" spans="2:14">
      <c r="B2624" s="90"/>
      <c r="C2624" s="90"/>
      <c r="D2624" s="61">
        <v>2211007</v>
      </c>
      <c r="E2624" s="1668" t="s">
        <v>309</v>
      </c>
      <c r="F2624" s="161">
        <v>108000</v>
      </c>
      <c r="H2624" s="90"/>
      <c r="I2624" s="90"/>
      <c r="J2624" s="61">
        <v>2211007</v>
      </c>
      <c r="K2624" s="1668" t="s">
        <v>309</v>
      </c>
      <c r="L2624" s="161">
        <v>108000</v>
      </c>
      <c r="N2624" s="161">
        <f t="shared" si="40"/>
        <v>0</v>
      </c>
    </row>
    <row r="2625" spans="2:14">
      <c r="B2625" s="1662"/>
      <c r="C2625" s="1662"/>
      <c r="D2625" s="1663" t="s">
        <v>526</v>
      </c>
      <c r="E2625" s="1875"/>
      <c r="F2625" s="1674">
        <v>1748179</v>
      </c>
      <c r="H2625" s="1662"/>
      <c r="I2625" s="1662"/>
      <c r="J2625" s="1663" t="s">
        <v>526</v>
      </c>
      <c r="K2625" s="1875"/>
      <c r="L2625" s="1674">
        <v>1748179</v>
      </c>
      <c r="N2625" s="1674">
        <f t="shared" si="40"/>
        <v>0</v>
      </c>
    </row>
    <row r="2626" spans="2:14">
      <c r="B2626" s="1662"/>
      <c r="C2626" s="1662"/>
      <c r="D2626" s="1663"/>
      <c r="E2626" s="1875"/>
      <c r="F2626" s="161"/>
      <c r="H2626" s="1662"/>
      <c r="I2626" s="1662"/>
      <c r="J2626" s="1663"/>
      <c r="K2626" s="1875"/>
      <c r="L2626" s="161"/>
      <c r="N2626" s="161">
        <f t="shared" si="40"/>
        <v>0</v>
      </c>
    </row>
    <row r="2627" spans="2:14">
      <c r="B2627" s="1662"/>
      <c r="C2627" s="1662"/>
      <c r="D2627" s="1663"/>
      <c r="E2627" s="1875" t="s">
        <v>92</v>
      </c>
      <c r="F2627" s="161"/>
      <c r="H2627" s="1662"/>
      <c r="I2627" s="1662"/>
      <c r="J2627" s="1663"/>
      <c r="K2627" s="1875" t="s">
        <v>92</v>
      </c>
      <c r="L2627" s="161"/>
      <c r="N2627" s="161">
        <f t="shared" si="40"/>
        <v>0</v>
      </c>
    </row>
    <row r="2628" spans="2:14">
      <c r="B2628" s="1662"/>
      <c r="C2628" s="1662"/>
      <c r="D2628" s="1671">
        <v>3111300</v>
      </c>
      <c r="E2628" s="1680" t="s">
        <v>539</v>
      </c>
      <c r="F2628" s="1689">
        <v>20445014</v>
      </c>
      <c r="H2628" s="1662"/>
      <c r="I2628" s="1662"/>
      <c r="J2628" s="1671">
        <v>3111300</v>
      </c>
      <c r="K2628" s="1680" t="s">
        <v>539</v>
      </c>
      <c r="L2628" s="1689">
        <v>20445014</v>
      </c>
      <c r="N2628" s="1689">
        <f t="shared" si="40"/>
        <v>0</v>
      </c>
    </row>
    <row r="2629" spans="2:14" ht="30">
      <c r="B2629" s="1670"/>
      <c r="C2629" s="1670"/>
      <c r="D2629" s="1880">
        <v>3111305</v>
      </c>
      <c r="E2629" s="1881" t="s">
        <v>1728</v>
      </c>
      <c r="F2629" s="1882">
        <v>20000000</v>
      </c>
      <c r="H2629" s="1670"/>
      <c r="I2629" s="1670"/>
      <c r="J2629" s="1880">
        <v>3111305</v>
      </c>
      <c r="K2629" s="1881" t="s">
        <v>1728</v>
      </c>
      <c r="L2629" s="1882">
        <v>20000000</v>
      </c>
      <c r="N2629" s="1882">
        <f t="shared" si="40"/>
        <v>0</v>
      </c>
    </row>
    <row r="2630" spans="2:14">
      <c r="B2630" s="1662"/>
      <c r="C2630" s="1662"/>
      <c r="D2630" s="61">
        <v>3111305</v>
      </c>
      <c r="E2630" s="74" t="s">
        <v>1459</v>
      </c>
      <c r="F2630" s="174">
        <v>445014</v>
      </c>
      <c r="H2630" s="1662"/>
      <c r="I2630" s="1662"/>
      <c r="J2630" s="61">
        <v>3111305</v>
      </c>
      <c r="K2630" s="74" t="s">
        <v>1459</v>
      </c>
      <c r="L2630" s="174">
        <v>445014</v>
      </c>
      <c r="N2630" s="174">
        <f t="shared" si="40"/>
        <v>0</v>
      </c>
    </row>
    <row r="2631" spans="2:14">
      <c r="B2631" s="1662"/>
      <c r="C2631" s="1662"/>
      <c r="D2631" s="1671">
        <v>3111400</v>
      </c>
      <c r="E2631" s="1680" t="s">
        <v>1729</v>
      </c>
      <c r="F2631" s="1689">
        <v>20000000</v>
      </c>
      <c r="H2631" s="1662"/>
      <c r="I2631" s="1662"/>
      <c r="J2631" s="1671">
        <v>3111400</v>
      </c>
      <c r="K2631" s="1680" t="s">
        <v>1729</v>
      </c>
      <c r="L2631" s="1689">
        <v>20000000</v>
      </c>
      <c r="N2631" s="1689">
        <f t="shared" si="40"/>
        <v>0</v>
      </c>
    </row>
    <row r="2632" spans="2:14">
      <c r="B2632" s="1670"/>
      <c r="C2632" s="1670"/>
      <c r="D2632" s="1880">
        <v>3111401</v>
      </c>
      <c r="E2632" s="1881" t="s">
        <v>1730</v>
      </c>
      <c r="F2632" s="1882">
        <v>13278720</v>
      </c>
      <c r="H2632" s="1670"/>
      <c r="I2632" s="1670"/>
      <c r="J2632" s="1880">
        <v>3111401</v>
      </c>
      <c r="K2632" s="1881" t="s">
        <v>1730</v>
      </c>
      <c r="L2632" s="1882">
        <v>13278720</v>
      </c>
      <c r="N2632" s="1882">
        <f t="shared" ref="N2632:N2695" si="41">F2632-L2632</f>
        <v>0</v>
      </c>
    </row>
    <row r="2633" spans="2:14">
      <c r="B2633" s="1670"/>
      <c r="C2633" s="1670"/>
      <c r="D2633" s="1880">
        <v>3111404</v>
      </c>
      <c r="E2633" s="1881" t="s">
        <v>1731</v>
      </c>
      <c r="F2633" s="1882">
        <v>6721280</v>
      </c>
      <c r="H2633" s="1670"/>
      <c r="I2633" s="1670"/>
      <c r="J2633" s="1880">
        <v>3111404</v>
      </c>
      <c r="K2633" s="1881" t="s">
        <v>1731</v>
      </c>
      <c r="L2633" s="1882">
        <v>6721280</v>
      </c>
      <c r="N2633" s="1882">
        <f t="shared" si="41"/>
        <v>0</v>
      </c>
    </row>
    <row r="2634" spans="2:14">
      <c r="B2634" s="1662"/>
      <c r="C2634" s="1662"/>
      <c r="D2634" s="1671" t="s">
        <v>175</v>
      </c>
      <c r="E2634" s="1680"/>
      <c r="F2634" s="1674">
        <v>40445014</v>
      </c>
      <c r="H2634" s="1662"/>
      <c r="I2634" s="1662"/>
      <c r="J2634" s="1671" t="s">
        <v>175</v>
      </c>
      <c r="K2634" s="1680"/>
      <c r="L2634" s="1674">
        <v>40445014</v>
      </c>
      <c r="N2634" s="1674">
        <f t="shared" si="41"/>
        <v>0</v>
      </c>
    </row>
    <row r="2635" spans="2:14">
      <c r="B2635" s="1662"/>
      <c r="C2635" s="1662"/>
      <c r="D2635" s="1671"/>
      <c r="E2635" s="1680"/>
      <c r="F2635" s="1674"/>
      <c r="H2635" s="1662"/>
      <c r="I2635" s="1662"/>
      <c r="J2635" s="1671"/>
      <c r="K2635" s="1680"/>
      <c r="L2635" s="1674"/>
      <c r="N2635" s="1674">
        <f t="shared" si="41"/>
        <v>0</v>
      </c>
    </row>
    <row r="2636" spans="2:14">
      <c r="B2636" s="1662"/>
      <c r="C2636" s="1662"/>
      <c r="D2636" s="1671" t="s">
        <v>84</v>
      </c>
      <c r="E2636" s="1680"/>
      <c r="F2636" s="1674">
        <v>42193193</v>
      </c>
      <c r="H2636" s="1662"/>
      <c r="I2636" s="1662"/>
      <c r="J2636" s="1671" t="s">
        <v>84</v>
      </c>
      <c r="K2636" s="1680"/>
      <c r="L2636" s="1674">
        <v>42193193</v>
      </c>
      <c r="N2636" s="1674">
        <f t="shared" si="41"/>
        <v>0</v>
      </c>
    </row>
    <row r="2637" spans="2:14">
      <c r="B2637" s="1662"/>
      <c r="C2637" s="1662"/>
      <c r="D2637" s="1671"/>
      <c r="E2637" s="1680"/>
      <c r="F2637" s="161"/>
      <c r="H2637" s="1662"/>
      <c r="I2637" s="1662"/>
      <c r="J2637" s="1671"/>
      <c r="K2637" s="1680"/>
      <c r="L2637" s="161"/>
      <c r="N2637" s="161">
        <f t="shared" si="41"/>
        <v>0</v>
      </c>
    </row>
    <row r="2638" spans="2:14">
      <c r="B2638" s="1662"/>
      <c r="C2638" s="1662"/>
      <c r="D2638" s="1671"/>
      <c r="E2638" s="1680"/>
      <c r="F2638" s="161"/>
      <c r="H2638" s="1662"/>
      <c r="I2638" s="1662"/>
      <c r="J2638" s="1671"/>
      <c r="K2638" s="1680"/>
      <c r="L2638" s="161"/>
      <c r="N2638" s="161">
        <f t="shared" si="41"/>
        <v>0</v>
      </c>
    </row>
    <row r="2639" spans="2:14">
      <c r="B2639" s="1662" t="s">
        <v>144</v>
      </c>
      <c r="C2639" s="1662"/>
      <c r="D2639" s="1671" t="s">
        <v>1732</v>
      </c>
      <c r="E2639" s="1680"/>
      <c r="F2639" s="161"/>
      <c r="H2639" s="1662" t="s">
        <v>144</v>
      </c>
      <c r="I2639" s="1662"/>
      <c r="J2639" s="1671" t="s">
        <v>1732</v>
      </c>
      <c r="K2639" s="1680"/>
      <c r="L2639" s="161"/>
      <c r="N2639" s="161">
        <f t="shared" si="41"/>
        <v>0</v>
      </c>
    </row>
    <row r="2640" spans="2:14">
      <c r="B2640" s="1662"/>
      <c r="C2640" s="1708" t="s">
        <v>146</v>
      </c>
      <c r="D2640" s="1671" t="s">
        <v>1733</v>
      </c>
      <c r="E2640" s="1680"/>
      <c r="F2640" s="161"/>
      <c r="H2640" s="1662"/>
      <c r="I2640" s="1708" t="s">
        <v>146</v>
      </c>
      <c r="J2640" s="1671" t="s">
        <v>1733</v>
      </c>
      <c r="K2640" s="1680"/>
      <c r="L2640" s="161"/>
      <c r="N2640" s="161">
        <f t="shared" si="41"/>
        <v>0</v>
      </c>
    </row>
    <row r="2641" spans="2:14">
      <c r="B2641" s="1662"/>
      <c r="C2641" s="1662"/>
      <c r="D2641" s="1671">
        <v>2210300</v>
      </c>
      <c r="E2641" s="1664" t="s">
        <v>24</v>
      </c>
      <c r="F2641" s="1674">
        <v>689830</v>
      </c>
      <c r="H2641" s="1662"/>
      <c r="I2641" s="1662"/>
      <c r="J2641" s="1671">
        <v>2210300</v>
      </c>
      <c r="K2641" s="1664" t="s">
        <v>24</v>
      </c>
      <c r="L2641" s="1674">
        <v>689830</v>
      </c>
      <c r="N2641" s="1674">
        <f t="shared" si="41"/>
        <v>0</v>
      </c>
    </row>
    <row r="2642" spans="2:14">
      <c r="B2642" s="90"/>
      <c r="C2642" s="90"/>
      <c r="D2642" s="61">
        <v>2210301</v>
      </c>
      <c r="E2642" s="1668" t="s">
        <v>188</v>
      </c>
      <c r="F2642" s="161">
        <v>200980</v>
      </c>
      <c r="H2642" s="90"/>
      <c r="I2642" s="90"/>
      <c r="J2642" s="61">
        <v>2210301</v>
      </c>
      <c r="K2642" s="1668" t="s">
        <v>188</v>
      </c>
      <c r="L2642" s="161">
        <v>200980</v>
      </c>
      <c r="N2642" s="161">
        <f t="shared" si="41"/>
        <v>0</v>
      </c>
    </row>
    <row r="2643" spans="2:14">
      <c r="B2643" s="90"/>
      <c r="C2643" s="90"/>
      <c r="D2643" s="61">
        <v>2210302</v>
      </c>
      <c r="E2643" s="1668" t="s">
        <v>26</v>
      </c>
      <c r="F2643" s="161">
        <v>278200</v>
      </c>
      <c r="H2643" s="90"/>
      <c r="I2643" s="90"/>
      <c r="J2643" s="61">
        <v>2210302</v>
      </c>
      <c r="K2643" s="1668" t="s">
        <v>26</v>
      </c>
      <c r="L2643" s="161">
        <v>278200</v>
      </c>
      <c r="N2643" s="161">
        <f t="shared" si="41"/>
        <v>0</v>
      </c>
    </row>
    <row r="2644" spans="2:14">
      <c r="B2644" s="90"/>
      <c r="C2644" s="90"/>
      <c r="D2644" s="61">
        <v>2210303</v>
      </c>
      <c r="E2644" s="1668" t="s">
        <v>27</v>
      </c>
      <c r="F2644" s="161">
        <v>210650</v>
      </c>
      <c r="H2644" s="90"/>
      <c r="I2644" s="90"/>
      <c r="J2644" s="61">
        <v>2210303</v>
      </c>
      <c r="K2644" s="1668" t="s">
        <v>27</v>
      </c>
      <c r="L2644" s="161">
        <v>210650</v>
      </c>
      <c r="N2644" s="161">
        <f t="shared" si="41"/>
        <v>0</v>
      </c>
    </row>
    <row r="2645" spans="2:14">
      <c r="B2645" s="1662"/>
      <c r="C2645" s="1662"/>
      <c r="D2645" s="1663">
        <v>2211100</v>
      </c>
      <c r="E2645" s="1664" t="s">
        <v>51</v>
      </c>
      <c r="F2645" s="1674">
        <v>410812</v>
      </c>
      <c r="H2645" s="1662"/>
      <c r="I2645" s="1662"/>
      <c r="J2645" s="1663">
        <v>2211100</v>
      </c>
      <c r="K2645" s="1664" t="s">
        <v>51</v>
      </c>
      <c r="L2645" s="1674">
        <v>410812</v>
      </c>
      <c r="N2645" s="1674">
        <f t="shared" si="41"/>
        <v>0</v>
      </c>
    </row>
    <row r="2646" spans="2:14" ht="30">
      <c r="B2646" s="90"/>
      <c r="C2646" s="90"/>
      <c r="D2646" s="1667">
        <v>2211101</v>
      </c>
      <c r="E2646" s="74" t="s">
        <v>197</v>
      </c>
      <c r="F2646" s="161">
        <v>182272</v>
      </c>
      <c r="H2646" s="90"/>
      <c r="I2646" s="90"/>
      <c r="J2646" s="1667">
        <v>2211101</v>
      </c>
      <c r="K2646" s="74" t="s">
        <v>197</v>
      </c>
      <c r="L2646" s="161">
        <v>182272</v>
      </c>
      <c r="N2646" s="161">
        <f t="shared" si="41"/>
        <v>0</v>
      </c>
    </row>
    <row r="2647" spans="2:14">
      <c r="B2647" s="90"/>
      <c r="C2647" s="90"/>
      <c r="D2647" s="1667">
        <v>2211102</v>
      </c>
      <c r="E2647" s="1668" t="s">
        <v>53</v>
      </c>
      <c r="F2647" s="161">
        <v>202670</v>
      </c>
      <c r="H2647" s="90"/>
      <c r="I2647" s="90"/>
      <c r="J2647" s="1667">
        <v>2211102</v>
      </c>
      <c r="K2647" s="1668" t="s">
        <v>53</v>
      </c>
      <c r="L2647" s="161">
        <v>202670</v>
      </c>
      <c r="N2647" s="161">
        <f t="shared" si="41"/>
        <v>0</v>
      </c>
    </row>
    <row r="2648" spans="2:14">
      <c r="B2648" s="90"/>
      <c r="C2648" s="90"/>
      <c r="D2648" s="1667">
        <v>2211103</v>
      </c>
      <c r="E2648" s="1668" t="s">
        <v>54</v>
      </c>
      <c r="F2648" s="161">
        <v>25870</v>
      </c>
      <c r="H2648" s="90"/>
      <c r="I2648" s="90"/>
      <c r="J2648" s="1667">
        <v>2211103</v>
      </c>
      <c r="K2648" s="1668" t="s">
        <v>54</v>
      </c>
      <c r="L2648" s="161">
        <v>25870</v>
      </c>
      <c r="N2648" s="161">
        <f t="shared" si="41"/>
        <v>0</v>
      </c>
    </row>
    <row r="2649" spans="2:14">
      <c r="B2649" s="1662"/>
      <c r="C2649" s="1662"/>
      <c r="D2649" s="1874">
        <v>3111000</v>
      </c>
      <c r="E2649" s="1664" t="s">
        <v>69</v>
      </c>
      <c r="F2649" s="1674">
        <v>200000</v>
      </c>
      <c r="H2649" s="1662"/>
      <c r="I2649" s="1662"/>
      <c r="J2649" s="1874">
        <v>3111000</v>
      </c>
      <c r="K2649" s="1664" t="s">
        <v>69</v>
      </c>
      <c r="L2649" s="1674">
        <v>200000</v>
      </c>
      <c r="N2649" s="1674">
        <f t="shared" si="41"/>
        <v>0</v>
      </c>
    </row>
    <row r="2650" spans="2:14">
      <c r="B2650" s="90"/>
      <c r="C2650" s="90"/>
      <c r="D2650" s="1667">
        <v>3111002</v>
      </c>
      <c r="E2650" s="1668" t="s">
        <v>71</v>
      </c>
      <c r="F2650" s="161">
        <v>200000</v>
      </c>
      <c r="H2650" s="90"/>
      <c r="I2650" s="90"/>
      <c r="J2650" s="1667">
        <v>3111002</v>
      </c>
      <c r="K2650" s="1668" t="s">
        <v>71</v>
      </c>
      <c r="L2650" s="161">
        <v>200000</v>
      </c>
      <c r="N2650" s="161">
        <f t="shared" si="41"/>
        <v>0</v>
      </c>
    </row>
    <row r="2651" spans="2:14">
      <c r="B2651" s="1662"/>
      <c r="C2651" s="1662"/>
      <c r="D2651" s="1663" t="s">
        <v>526</v>
      </c>
      <c r="E2651" s="1875"/>
      <c r="F2651" s="1674">
        <v>1300642</v>
      </c>
      <c r="H2651" s="1662"/>
      <c r="I2651" s="1662"/>
      <c r="J2651" s="1663" t="s">
        <v>526</v>
      </c>
      <c r="K2651" s="1875"/>
      <c r="L2651" s="1674">
        <v>1300642</v>
      </c>
      <c r="N2651" s="1674">
        <f t="shared" si="41"/>
        <v>0</v>
      </c>
    </row>
    <row r="2652" spans="2:14">
      <c r="B2652" s="1662"/>
      <c r="C2652" s="1662"/>
      <c r="D2652" s="1663"/>
      <c r="E2652" s="1875"/>
      <c r="F2652" s="161"/>
      <c r="H2652" s="1662"/>
      <c r="I2652" s="1662"/>
      <c r="J2652" s="1663"/>
      <c r="K2652" s="1875"/>
      <c r="L2652" s="161"/>
      <c r="N2652" s="161">
        <f t="shared" si="41"/>
        <v>0</v>
      </c>
    </row>
    <row r="2653" spans="2:14">
      <c r="B2653" s="1662"/>
      <c r="C2653" s="1662"/>
      <c r="D2653" s="1671" t="s">
        <v>84</v>
      </c>
      <c r="E2653" s="1680"/>
      <c r="F2653" s="1674">
        <v>1300642</v>
      </c>
      <c r="H2653" s="1662"/>
      <c r="I2653" s="1662"/>
      <c r="J2653" s="1671" t="s">
        <v>84</v>
      </c>
      <c r="K2653" s="1680"/>
      <c r="L2653" s="1674">
        <v>1300642</v>
      </c>
      <c r="N2653" s="1674">
        <f t="shared" si="41"/>
        <v>0</v>
      </c>
    </row>
    <row r="2654" spans="2:14">
      <c r="B2654" s="1662"/>
      <c r="C2654" s="1662"/>
      <c r="D2654" s="1671"/>
      <c r="E2654" s="1680"/>
      <c r="F2654" s="1674"/>
      <c r="H2654" s="1662"/>
      <c r="I2654" s="1662"/>
      <c r="J2654" s="1671"/>
      <c r="K2654" s="1680"/>
      <c r="L2654" s="1674"/>
      <c r="N2654" s="1674">
        <f t="shared" si="41"/>
        <v>0</v>
      </c>
    </row>
    <row r="2655" spans="2:14">
      <c r="B2655" s="1662"/>
      <c r="C2655" s="1662"/>
      <c r="D2655" s="1671"/>
      <c r="E2655" s="1680" t="s">
        <v>1791</v>
      </c>
      <c r="F2655" s="1674">
        <v>155739726</v>
      </c>
      <c r="H2655" s="1662"/>
      <c r="I2655" s="1662"/>
      <c r="J2655" s="1671"/>
      <c r="K2655" s="1680" t="s">
        <v>1791</v>
      </c>
      <c r="L2655" s="1674">
        <v>155739726</v>
      </c>
      <c r="N2655" s="1674">
        <f t="shared" si="41"/>
        <v>0</v>
      </c>
    </row>
    <row r="2656" spans="2:14">
      <c r="B2656" s="1872"/>
      <c r="C2656" s="1872" t="s">
        <v>100</v>
      </c>
      <c r="D2656" s="1507" t="s">
        <v>542</v>
      </c>
      <c r="E2656" s="1618"/>
      <c r="F2656" s="161"/>
      <c r="H2656" s="1872"/>
      <c r="I2656" s="1872" t="s">
        <v>100</v>
      </c>
      <c r="J2656" s="1507" t="s">
        <v>542</v>
      </c>
      <c r="K2656" s="1618"/>
      <c r="L2656" s="161"/>
      <c r="N2656" s="161">
        <f t="shared" si="41"/>
        <v>0</v>
      </c>
    </row>
    <row r="2657" spans="2:14">
      <c r="B2657" s="1872"/>
      <c r="C2657" s="1872"/>
      <c r="D2657" s="1507"/>
      <c r="E2657" s="1618"/>
      <c r="F2657" s="161"/>
      <c r="H2657" s="1872"/>
      <c r="I2657" s="1872"/>
      <c r="J2657" s="1507"/>
      <c r="K2657" s="1618"/>
      <c r="L2657" s="161"/>
      <c r="N2657" s="161">
        <f t="shared" si="41"/>
        <v>0</v>
      </c>
    </row>
    <row r="2658" spans="2:14">
      <c r="B2658" s="1708" t="s">
        <v>168</v>
      </c>
      <c r="C2658" s="1662"/>
      <c r="D2658" s="1671" t="s">
        <v>543</v>
      </c>
      <c r="E2658" s="1680"/>
      <c r="F2658" s="161"/>
      <c r="H2658" s="1708" t="s">
        <v>168</v>
      </c>
      <c r="I2658" s="1662"/>
      <c r="J2658" s="1671" t="s">
        <v>543</v>
      </c>
      <c r="K2658" s="1680"/>
      <c r="L2658" s="161"/>
      <c r="N2658" s="161">
        <f t="shared" si="41"/>
        <v>0</v>
      </c>
    </row>
    <row r="2659" spans="2:14">
      <c r="B2659" s="1708"/>
      <c r="C2659" s="1708" t="s">
        <v>146</v>
      </c>
      <c r="D2659" s="1671" t="s">
        <v>544</v>
      </c>
      <c r="E2659" s="1680"/>
      <c r="F2659" s="161"/>
      <c r="H2659" s="1708"/>
      <c r="I2659" s="1708" t="s">
        <v>146</v>
      </c>
      <c r="J2659" s="1671" t="s">
        <v>544</v>
      </c>
      <c r="K2659" s="1680"/>
      <c r="L2659" s="161"/>
      <c r="N2659" s="161">
        <f t="shared" si="41"/>
        <v>0</v>
      </c>
    </row>
    <row r="2660" spans="2:14">
      <c r="B2660" s="1708"/>
      <c r="C2660" s="1662"/>
      <c r="D2660" s="1663">
        <v>2110100</v>
      </c>
      <c r="E2660" s="1664" t="s">
        <v>13</v>
      </c>
      <c r="F2660" s="1674">
        <v>8237917.9999999888</v>
      </c>
      <c r="H2660" s="1708"/>
      <c r="I2660" s="1662"/>
      <c r="J2660" s="1663">
        <v>2110100</v>
      </c>
      <c r="K2660" s="1664" t="s">
        <v>13</v>
      </c>
      <c r="L2660" s="1674">
        <v>8237917.9999999888</v>
      </c>
      <c r="N2660" s="1674">
        <f t="shared" si="41"/>
        <v>0</v>
      </c>
    </row>
    <row r="2661" spans="2:14">
      <c r="B2661" s="1708"/>
      <c r="C2661" s="90"/>
      <c r="D2661" s="1667">
        <v>2110101</v>
      </c>
      <c r="E2661" s="1668" t="s">
        <v>14</v>
      </c>
      <c r="F2661" s="161">
        <v>8199917.9999999888</v>
      </c>
      <c r="H2661" s="1708"/>
      <c r="I2661" s="90"/>
      <c r="J2661" s="1667">
        <v>2110101</v>
      </c>
      <c r="K2661" s="1668" t="s">
        <v>14</v>
      </c>
      <c r="L2661" s="161">
        <v>8199917.9999999888</v>
      </c>
      <c r="N2661" s="161">
        <f t="shared" si="41"/>
        <v>0</v>
      </c>
    </row>
    <row r="2662" spans="2:14">
      <c r="B2662" s="1708"/>
      <c r="C2662" s="90"/>
      <c r="D2662" s="1667">
        <v>2110120</v>
      </c>
      <c r="E2662" s="1668" t="s">
        <v>356</v>
      </c>
      <c r="F2662" s="161">
        <v>38000</v>
      </c>
      <c r="H2662" s="1708"/>
      <c r="I2662" s="90"/>
      <c r="J2662" s="1667">
        <v>2110120</v>
      </c>
      <c r="K2662" s="1668" t="s">
        <v>356</v>
      </c>
      <c r="L2662" s="161">
        <v>38000</v>
      </c>
      <c r="N2662" s="161">
        <f t="shared" si="41"/>
        <v>0</v>
      </c>
    </row>
    <row r="2663" spans="2:14">
      <c r="B2663" s="1708"/>
      <c r="C2663" s="1662"/>
      <c r="D2663" s="1663">
        <v>2210200</v>
      </c>
      <c r="E2663" s="1664" t="s">
        <v>20</v>
      </c>
      <c r="F2663" s="1674">
        <v>262000</v>
      </c>
      <c r="H2663" s="1708"/>
      <c r="I2663" s="1662"/>
      <c r="J2663" s="1663">
        <v>2210200</v>
      </c>
      <c r="K2663" s="1664" t="s">
        <v>20</v>
      </c>
      <c r="L2663" s="1674">
        <v>262000</v>
      </c>
      <c r="N2663" s="1674">
        <f t="shared" si="41"/>
        <v>0</v>
      </c>
    </row>
    <row r="2664" spans="2:14">
      <c r="B2664" s="89"/>
      <c r="C2664" s="90"/>
      <c r="D2664" s="1667">
        <v>2210201</v>
      </c>
      <c r="E2664" s="1668" t="s">
        <v>187</v>
      </c>
      <c r="F2664" s="161">
        <v>262000</v>
      </c>
      <c r="H2664" s="89"/>
      <c r="I2664" s="90"/>
      <c r="J2664" s="1667">
        <v>2210201</v>
      </c>
      <c r="K2664" s="1668" t="s">
        <v>187</v>
      </c>
      <c r="L2664" s="161">
        <v>262000</v>
      </c>
      <c r="N2664" s="161">
        <f t="shared" si="41"/>
        <v>0</v>
      </c>
    </row>
    <row r="2665" spans="2:14">
      <c r="B2665" s="1708"/>
      <c r="C2665" s="1662"/>
      <c r="D2665" s="1663">
        <v>2210300</v>
      </c>
      <c r="E2665" s="1664" t="s">
        <v>24</v>
      </c>
      <c r="F2665" s="1674">
        <v>1173120</v>
      </c>
      <c r="H2665" s="1708"/>
      <c r="I2665" s="1662"/>
      <c r="J2665" s="1663">
        <v>2210300</v>
      </c>
      <c r="K2665" s="1664" t="s">
        <v>24</v>
      </c>
      <c r="L2665" s="1674">
        <v>1173120</v>
      </c>
      <c r="N2665" s="1674">
        <f t="shared" si="41"/>
        <v>0</v>
      </c>
    </row>
    <row r="2666" spans="2:14">
      <c r="B2666" s="89"/>
      <c r="C2666" s="90"/>
      <c r="D2666" s="1667">
        <v>2210301</v>
      </c>
      <c r="E2666" s="1668" t="s">
        <v>188</v>
      </c>
      <c r="F2666" s="161">
        <v>381200</v>
      </c>
      <c r="H2666" s="89"/>
      <c r="I2666" s="90"/>
      <c r="J2666" s="1667">
        <v>2210301</v>
      </c>
      <c r="K2666" s="1668" t="s">
        <v>188</v>
      </c>
      <c r="L2666" s="161">
        <v>381200</v>
      </c>
      <c r="N2666" s="161">
        <f t="shared" si="41"/>
        <v>0</v>
      </c>
    </row>
    <row r="2667" spans="2:14">
      <c r="B2667" s="89"/>
      <c r="C2667" s="90"/>
      <c r="D2667" s="1667">
        <v>2210302</v>
      </c>
      <c r="E2667" s="1668" t="s">
        <v>26</v>
      </c>
      <c r="F2667" s="161">
        <v>389234</v>
      </c>
      <c r="H2667" s="89"/>
      <c r="I2667" s="90"/>
      <c r="J2667" s="1667">
        <v>2210302</v>
      </c>
      <c r="K2667" s="1668" t="s">
        <v>26</v>
      </c>
      <c r="L2667" s="161">
        <v>389234</v>
      </c>
      <c r="N2667" s="161">
        <f t="shared" si="41"/>
        <v>0</v>
      </c>
    </row>
    <row r="2668" spans="2:14">
      <c r="B2668" s="89"/>
      <c r="C2668" s="90"/>
      <c r="D2668" s="1667">
        <v>2210303</v>
      </c>
      <c r="E2668" s="1668" t="s">
        <v>27</v>
      </c>
      <c r="F2668" s="161">
        <v>402686</v>
      </c>
      <c r="H2668" s="89"/>
      <c r="I2668" s="90"/>
      <c r="J2668" s="1667">
        <v>2210303</v>
      </c>
      <c r="K2668" s="1668" t="s">
        <v>27</v>
      </c>
      <c r="L2668" s="161">
        <v>402686</v>
      </c>
      <c r="N2668" s="161">
        <f t="shared" si="41"/>
        <v>0</v>
      </c>
    </row>
    <row r="2669" spans="2:14">
      <c r="B2669" s="1708"/>
      <c r="C2669" s="1662"/>
      <c r="D2669" s="1663">
        <v>2210500</v>
      </c>
      <c r="E2669" s="1664" t="s">
        <v>31</v>
      </c>
      <c r="F2669" s="1674">
        <v>100000</v>
      </c>
      <c r="H2669" s="1708"/>
      <c r="I2669" s="1662"/>
      <c r="J2669" s="1663">
        <v>2210500</v>
      </c>
      <c r="K2669" s="1664" t="s">
        <v>31</v>
      </c>
      <c r="L2669" s="1674">
        <v>100000</v>
      </c>
      <c r="N2669" s="1674">
        <f t="shared" si="41"/>
        <v>0</v>
      </c>
    </row>
    <row r="2670" spans="2:14">
      <c r="B2670" s="89"/>
      <c r="C2670" s="90"/>
      <c r="D2670" s="1667">
        <v>2210503</v>
      </c>
      <c r="E2670" s="1668" t="s">
        <v>32</v>
      </c>
      <c r="F2670" s="161">
        <v>100000</v>
      </c>
      <c r="H2670" s="89"/>
      <c r="I2670" s="90"/>
      <c r="J2670" s="1667">
        <v>2210503</v>
      </c>
      <c r="K2670" s="1668" t="s">
        <v>32</v>
      </c>
      <c r="L2670" s="161">
        <v>100000</v>
      </c>
      <c r="N2670" s="161">
        <f t="shared" si="41"/>
        <v>0</v>
      </c>
    </row>
    <row r="2671" spans="2:14">
      <c r="B2671" s="1708"/>
      <c r="C2671" s="1662"/>
      <c r="D2671" s="1663">
        <v>2211300</v>
      </c>
      <c r="E2671" s="1664" t="s">
        <v>57</v>
      </c>
      <c r="F2671" s="1674">
        <v>49803</v>
      </c>
      <c r="H2671" s="1708"/>
      <c r="I2671" s="1662"/>
      <c r="J2671" s="1663">
        <v>2211300</v>
      </c>
      <c r="K2671" s="1664" t="s">
        <v>57</v>
      </c>
      <c r="L2671" s="1674">
        <v>49803</v>
      </c>
      <c r="N2671" s="1674">
        <f t="shared" si="41"/>
        <v>0</v>
      </c>
    </row>
    <row r="2672" spans="2:14">
      <c r="B2672" s="89"/>
      <c r="C2672" s="90"/>
      <c r="D2672" s="1667">
        <v>2211306</v>
      </c>
      <c r="E2672" s="1668" t="s">
        <v>58</v>
      </c>
      <c r="F2672" s="161">
        <v>49803</v>
      </c>
      <c r="H2672" s="89"/>
      <c r="I2672" s="90"/>
      <c r="J2672" s="1667">
        <v>2211306</v>
      </c>
      <c r="K2672" s="1668" t="s">
        <v>58</v>
      </c>
      <c r="L2672" s="161">
        <v>49803</v>
      </c>
      <c r="N2672" s="161">
        <f t="shared" si="41"/>
        <v>0</v>
      </c>
    </row>
    <row r="2673" spans="2:14">
      <c r="B2673" s="1708"/>
      <c r="C2673" s="1872"/>
      <c r="D2673" s="1663" t="s">
        <v>526</v>
      </c>
      <c r="E2673" s="1875"/>
      <c r="F2673" s="1674">
        <v>9822840.9999999888</v>
      </c>
      <c r="H2673" s="1708"/>
      <c r="I2673" s="1872"/>
      <c r="J2673" s="1663" t="s">
        <v>526</v>
      </c>
      <c r="K2673" s="1875"/>
      <c r="L2673" s="1674">
        <v>9822840.9999999888</v>
      </c>
      <c r="N2673" s="1674">
        <f t="shared" si="41"/>
        <v>0</v>
      </c>
    </row>
    <row r="2674" spans="2:14">
      <c r="B2674" s="1708"/>
      <c r="C2674" s="1662"/>
      <c r="D2674" s="1663"/>
      <c r="E2674" s="1875"/>
      <c r="F2674" s="161"/>
      <c r="H2674" s="1708"/>
      <c r="I2674" s="1662"/>
      <c r="J2674" s="1663"/>
      <c r="K2674" s="1875"/>
      <c r="L2674" s="161"/>
      <c r="N2674" s="161">
        <f t="shared" si="41"/>
        <v>0</v>
      </c>
    </row>
    <row r="2675" spans="2:14">
      <c r="B2675" s="1708"/>
      <c r="C2675" s="1662"/>
      <c r="D2675" s="1663"/>
      <c r="E2675" s="1875" t="s">
        <v>92</v>
      </c>
      <c r="F2675" s="161"/>
      <c r="H2675" s="1708"/>
      <c r="I2675" s="1662"/>
      <c r="J2675" s="1663"/>
      <c r="K2675" s="1875" t="s">
        <v>92</v>
      </c>
      <c r="L2675" s="161"/>
      <c r="N2675" s="161">
        <f t="shared" si="41"/>
        <v>0</v>
      </c>
    </row>
    <row r="2676" spans="2:14">
      <c r="B2676" s="1883"/>
      <c r="C2676" s="1666"/>
      <c r="D2676" s="1663">
        <v>31110500</v>
      </c>
      <c r="E2676" s="1664" t="s">
        <v>260</v>
      </c>
      <c r="F2676" s="1674">
        <v>40000000</v>
      </c>
      <c r="H2676" s="1883"/>
      <c r="I2676" s="1666"/>
      <c r="J2676" s="1663">
        <v>31110500</v>
      </c>
      <c r="K2676" s="1664" t="s">
        <v>260</v>
      </c>
      <c r="L2676" s="1674">
        <v>40000000</v>
      </c>
      <c r="N2676" s="1674">
        <f t="shared" si="41"/>
        <v>0</v>
      </c>
    </row>
    <row r="2677" spans="2:14" ht="30">
      <c r="B2677" s="84"/>
      <c r="C2677" s="85"/>
      <c r="D2677" s="80">
        <v>31110504</v>
      </c>
      <c r="E2677" s="158" t="s">
        <v>545</v>
      </c>
      <c r="F2677" s="161">
        <v>40000000</v>
      </c>
      <c r="H2677" s="84"/>
      <c r="I2677" s="85"/>
      <c r="J2677" s="80">
        <v>31110504</v>
      </c>
      <c r="K2677" s="158" t="s">
        <v>545</v>
      </c>
      <c r="L2677" s="161">
        <v>40000000</v>
      </c>
      <c r="N2677" s="161">
        <f t="shared" si="41"/>
        <v>0</v>
      </c>
    </row>
    <row r="2678" spans="2:14">
      <c r="B2678" s="1708"/>
      <c r="C2678" s="1872"/>
      <c r="D2678" s="1671" t="s">
        <v>175</v>
      </c>
      <c r="E2678" s="1680"/>
      <c r="F2678" s="1674">
        <v>40000000</v>
      </c>
      <c r="H2678" s="1708"/>
      <c r="I2678" s="1872"/>
      <c r="J2678" s="1671" t="s">
        <v>175</v>
      </c>
      <c r="K2678" s="1680"/>
      <c r="L2678" s="1674">
        <v>40000000</v>
      </c>
      <c r="N2678" s="1674">
        <f t="shared" si="41"/>
        <v>0</v>
      </c>
    </row>
    <row r="2679" spans="2:14">
      <c r="B2679" s="1708"/>
      <c r="C2679" s="1872"/>
      <c r="D2679" s="1671"/>
      <c r="E2679" s="1680"/>
      <c r="F2679" s="1674"/>
      <c r="H2679" s="1708"/>
      <c r="I2679" s="1872"/>
      <c r="J2679" s="1671"/>
      <c r="K2679" s="1680"/>
      <c r="L2679" s="1674"/>
      <c r="N2679" s="1674">
        <f t="shared" si="41"/>
        <v>0</v>
      </c>
    </row>
    <row r="2680" spans="2:14">
      <c r="B2680" s="1708"/>
      <c r="C2680" s="1872"/>
      <c r="D2680" s="1671" t="s">
        <v>84</v>
      </c>
      <c r="E2680" s="1680"/>
      <c r="F2680" s="1674">
        <v>49822840.999999985</v>
      </c>
      <c r="H2680" s="1708"/>
      <c r="I2680" s="1872"/>
      <c r="J2680" s="1671" t="s">
        <v>84</v>
      </c>
      <c r="K2680" s="1680"/>
      <c r="L2680" s="1674">
        <v>49822840.999999985</v>
      </c>
      <c r="N2680" s="1674">
        <f t="shared" si="41"/>
        <v>0</v>
      </c>
    </row>
    <row r="2681" spans="2:14">
      <c r="B2681" s="1662"/>
      <c r="C2681" s="1662"/>
      <c r="D2681" s="61"/>
      <c r="E2681" s="74"/>
      <c r="F2681" s="161"/>
      <c r="H2681" s="1662"/>
      <c r="I2681" s="1662"/>
      <c r="J2681" s="61"/>
      <c r="K2681" s="74"/>
      <c r="L2681" s="161"/>
      <c r="N2681" s="161">
        <f t="shared" si="41"/>
        <v>0</v>
      </c>
    </row>
    <row r="2682" spans="2:14">
      <c r="B2682" s="1662" t="s">
        <v>168</v>
      </c>
      <c r="C2682" s="1662"/>
      <c r="D2682" s="1663" t="s">
        <v>546</v>
      </c>
      <c r="E2682" s="1875"/>
      <c r="F2682" s="161"/>
      <c r="H2682" s="1662" t="s">
        <v>168</v>
      </c>
      <c r="I2682" s="1662"/>
      <c r="J2682" s="1663" t="s">
        <v>546</v>
      </c>
      <c r="K2682" s="1875"/>
      <c r="L2682" s="161"/>
      <c r="N2682" s="161">
        <f t="shared" si="41"/>
        <v>0</v>
      </c>
    </row>
    <row r="2683" spans="2:14">
      <c r="B2683" s="1708"/>
      <c r="C2683" s="1708" t="s">
        <v>146</v>
      </c>
      <c r="D2683" s="1663" t="s">
        <v>547</v>
      </c>
      <c r="E2683" s="1875"/>
      <c r="F2683" s="161"/>
      <c r="H2683" s="1708"/>
      <c r="I2683" s="1708" t="s">
        <v>146</v>
      </c>
      <c r="J2683" s="1663" t="s">
        <v>547</v>
      </c>
      <c r="K2683" s="1875"/>
      <c r="L2683" s="161"/>
      <c r="N2683" s="161">
        <f t="shared" si="41"/>
        <v>0</v>
      </c>
    </row>
    <row r="2684" spans="2:14">
      <c r="B2684" s="1708"/>
      <c r="C2684" s="1662"/>
      <c r="D2684" s="1663">
        <v>2210300</v>
      </c>
      <c r="E2684" s="1664" t="s">
        <v>24</v>
      </c>
      <c r="F2684" s="1674">
        <v>1088488</v>
      </c>
      <c r="H2684" s="1708"/>
      <c r="I2684" s="1662"/>
      <c r="J2684" s="1663">
        <v>2210300</v>
      </c>
      <c r="K2684" s="1664" t="s">
        <v>24</v>
      </c>
      <c r="L2684" s="1674">
        <v>1088488</v>
      </c>
      <c r="N2684" s="1674">
        <f t="shared" si="41"/>
        <v>0</v>
      </c>
    </row>
    <row r="2685" spans="2:14">
      <c r="B2685" s="89"/>
      <c r="C2685" s="90"/>
      <c r="D2685" s="1667">
        <v>2210301</v>
      </c>
      <c r="E2685" s="1668" t="s">
        <v>188</v>
      </c>
      <c r="F2685" s="161">
        <v>340725</v>
      </c>
      <c r="H2685" s="89"/>
      <c r="I2685" s="90"/>
      <c r="J2685" s="1667">
        <v>2210301</v>
      </c>
      <c r="K2685" s="1668" t="s">
        <v>188</v>
      </c>
      <c r="L2685" s="161">
        <v>340725</v>
      </c>
      <c r="N2685" s="161">
        <f t="shared" si="41"/>
        <v>0</v>
      </c>
    </row>
    <row r="2686" spans="2:14">
      <c r="B2686" s="89"/>
      <c r="C2686" s="90"/>
      <c r="D2686" s="1667">
        <v>2210302</v>
      </c>
      <c r="E2686" s="1668" t="s">
        <v>26</v>
      </c>
      <c r="F2686" s="161">
        <v>329486</v>
      </c>
      <c r="H2686" s="89"/>
      <c r="I2686" s="90"/>
      <c r="J2686" s="1667">
        <v>2210302</v>
      </c>
      <c r="K2686" s="1668" t="s">
        <v>26</v>
      </c>
      <c r="L2686" s="161">
        <v>329486</v>
      </c>
      <c r="N2686" s="161">
        <f t="shared" si="41"/>
        <v>0</v>
      </c>
    </row>
    <row r="2687" spans="2:14">
      <c r="B2687" s="89"/>
      <c r="C2687" s="90"/>
      <c r="D2687" s="1667">
        <v>2210303</v>
      </c>
      <c r="E2687" s="1668" t="s">
        <v>27</v>
      </c>
      <c r="F2687" s="161">
        <v>418277</v>
      </c>
      <c r="H2687" s="89"/>
      <c r="I2687" s="90"/>
      <c r="J2687" s="1667">
        <v>2210303</v>
      </c>
      <c r="K2687" s="1668" t="s">
        <v>27</v>
      </c>
      <c r="L2687" s="161">
        <v>418277</v>
      </c>
      <c r="N2687" s="161">
        <f t="shared" si="41"/>
        <v>0</v>
      </c>
    </row>
    <row r="2688" spans="2:14">
      <c r="B2688" s="1708"/>
      <c r="C2688" s="1662"/>
      <c r="D2688" s="1663">
        <v>2210700</v>
      </c>
      <c r="E2688" s="1664" t="s">
        <v>194</v>
      </c>
      <c r="F2688" s="1674">
        <v>893479</v>
      </c>
      <c r="H2688" s="1708"/>
      <c r="I2688" s="1662"/>
      <c r="J2688" s="1663">
        <v>2210700</v>
      </c>
      <c r="K2688" s="1664" t="s">
        <v>194</v>
      </c>
      <c r="L2688" s="1674">
        <v>893479</v>
      </c>
      <c r="N2688" s="1674">
        <f t="shared" si="41"/>
        <v>0</v>
      </c>
    </row>
    <row r="2689" spans="2:14">
      <c r="B2689" s="89"/>
      <c r="C2689" s="90"/>
      <c r="D2689" s="1667">
        <v>2210701</v>
      </c>
      <c r="E2689" s="1668" t="s">
        <v>36</v>
      </c>
      <c r="F2689" s="161">
        <v>336819</v>
      </c>
      <c r="H2689" s="89"/>
      <c r="I2689" s="90"/>
      <c r="J2689" s="1667">
        <v>2210701</v>
      </c>
      <c r="K2689" s="1668" t="s">
        <v>36</v>
      </c>
      <c r="L2689" s="161">
        <v>336819</v>
      </c>
      <c r="N2689" s="161">
        <f t="shared" si="41"/>
        <v>0</v>
      </c>
    </row>
    <row r="2690" spans="2:14">
      <c r="B2690" s="89"/>
      <c r="C2690" s="90"/>
      <c r="D2690" s="1667">
        <v>2210710</v>
      </c>
      <c r="E2690" s="1668" t="s">
        <v>39</v>
      </c>
      <c r="F2690" s="161">
        <v>316660</v>
      </c>
      <c r="H2690" s="89"/>
      <c r="I2690" s="90"/>
      <c r="J2690" s="1667">
        <v>2210710</v>
      </c>
      <c r="K2690" s="1668" t="s">
        <v>39</v>
      </c>
      <c r="L2690" s="161">
        <v>316660</v>
      </c>
      <c r="N2690" s="161">
        <f t="shared" si="41"/>
        <v>0</v>
      </c>
    </row>
    <row r="2691" spans="2:14">
      <c r="B2691" s="89"/>
      <c r="C2691" s="90"/>
      <c r="D2691" s="61">
        <v>2210715</v>
      </c>
      <c r="E2691" s="74" t="s">
        <v>40</v>
      </c>
      <c r="F2691" s="161">
        <v>240000</v>
      </c>
      <c r="H2691" s="89"/>
      <c r="I2691" s="90"/>
      <c r="J2691" s="61">
        <v>2210715</v>
      </c>
      <c r="K2691" s="74" t="s">
        <v>40</v>
      </c>
      <c r="L2691" s="161">
        <v>240000</v>
      </c>
      <c r="N2691" s="161">
        <f t="shared" si="41"/>
        <v>0</v>
      </c>
    </row>
    <row r="2692" spans="2:14">
      <c r="B2692" s="1708"/>
      <c r="C2692" s="1662"/>
      <c r="D2692" s="1663">
        <v>2210800</v>
      </c>
      <c r="E2692" s="1664" t="s">
        <v>42</v>
      </c>
      <c r="F2692" s="1674">
        <v>433218</v>
      </c>
      <c r="H2692" s="1708"/>
      <c r="I2692" s="1662"/>
      <c r="J2692" s="1663">
        <v>2210800</v>
      </c>
      <c r="K2692" s="1664" t="s">
        <v>42</v>
      </c>
      <c r="L2692" s="1674">
        <v>433218</v>
      </c>
      <c r="N2692" s="1674">
        <f t="shared" si="41"/>
        <v>0</v>
      </c>
    </row>
    <row r="2693" spans="2:14">
      <c r="B2693" s="89"/>
      <c r="C2693" s="90"/>
      <c r="D2693" s="1667">
        <v>2210801</v>
      </c>
      <c r="E2693" s="1668" t="s">
        <v>195</v>
      </c>
      <c r="F2693" s="161">
        <v>433218</v>
      </c>
      <c r="H2693" s="89"/>
      <c r="I2693" s="90"/>
      <c r="J2693" s="1667">
        <v>2210801</v>
      </c>
      <c r="K2693" s="1668" t="s">
        <v>195</v>
      </c>
      <c r="L2693" s="161">
        <v>433218</v>
      </c>
      <c r="N2693" s="161">
        <f t="shared" si="41"/>
        <v>0</v>
      </c>
    </row>
    <row r="2694" spans="2:14">
      <c r="B2694" s="1708"/>
      <c r="C2694" s="1662"/>
      <c r="D2694" s="1663">
        <v>2211100</v>
      </c>
      <c r="E2694" s="1664" t="s">
        <v>51</v>
      </c>
      <c r="F2694" s="1674">
        <v>382277</v>
      </c>
      <c r="H2694" s="1708"/>
      <c r="I2694" s="1662"/>
      <c r="J2694" s="1663">
        <v>2211100</v>
      </c>
      <c r="K2694" s="1664" t="s">
        <v>51</v>
      </c>
      <c r="L2694" s="1674">
        <v>382277</v>
      </c>
      <c r="N2694" s="1674">
        <f t="shared" si="41"/>
        <v>0</v>
      </c>
    </row>
    <row r="2695" spans="2:14" ht="30">
      <c r="B2695" s="89"/>
      <c r="C2695" s="90"/>
      <c r="D2695" s="1667">
        <v>2211101</v>
      </c>
      <c r="E2695" s="74" t="s">
        <v>197</v>
      </c>
      <c r="F2695" s="161">
        <v>382277</v>
      </c>
      <c r="H2695" s="89"/>
      <c r="I2695" s="90"/>
      <c r="J2695" s="1667">
        <v>2211101</v>
      </c>
      <c r="K2695" s="74" t="s">
        <v>197</v>
      </c>
      <c r="L2695" s="161">
        <v>382277</v>
      </c>
      <c r="N2695" s="161">
        <f t="shared" si="41"/>
        <v>0</v>
      </c>
    </row>
    <row r="2696" spans="2:14" ht="30">
      <c r="B2696" s="1708"/>
      <c r="C2696" s="1662"/>
      <c r="D2696" s="1663">
        <v>2220100</v>
      </c>
      <c r="E2696" s="1664" t="s">
        <v>199</v>
      </c>
      <c r="F2696" s="1674">
        <v>649000</v>
      </c>
      <c r="H2696" s="1708"/>
      <c r="I2696" s="1662"/>
      <c r="J2696" s="1663">
        <v>2220100</v>
      </c>
      <c r="K2696" s="1664" t="s">
        <v>199</v>
      </c>
      <c r="L2696" s="1674">
        <v>649000</v>
      </c>
      <c r="N2696" s="1674">
        <f t="shared" ref="N2696:N2759" si="42">F2696-L2696</f>
        <v>0</v>
      </c>
    </row>
    <row r="2697" spans="2:14">
      <c r="B2697" s="89"/>
      <c r="C2697" s="90"/>
      <c r="D2697" s="1667">
        <v>2220101</v>
      </c>
      <c r="E2697" s="1668" t="s">
        <v>200</v>
      </c>
      <c r="F2697" s="161">
        <v>325000</v>
      </c>
      <c r="H2697" s="89"/>
      <c r="I2697" s="90"/>
      <c r="J2697" s="1667">
        <v>2220101</v>
      </c>
      <c r="K2697" s="1668" t="s">
        <v>200</v>
      </c>
      <c r="L2697" s="161">
        <v>325000</v>
      </c>
      <c r="N2697" s="161">
        <f t="shared" si="42"/>
        <v>0</v>
      </c>
    </row>
    <row r="2698" spans="2:14">
      <c r="B2698" s="89"/>
      <c r="C2698" s="90"/>
      <c r="D2698" s="1667">
        <v>2220105</v>
      </c>
      <c r="E2698" s="1668" t="s">
        <v>64</v>
      </c>
      <c r="F2698" s="161">
        <v>324000</v>
      </c>
      <c r="H2698" s="89"/>
      <c r="I2698" s="90"/>
      <c r="J2698" s="1667">
        <v>2220105</v>
      </c>
      <c r="K2698" s="1668" t="s">
        <v>64</v>
      </c>
      <c r="L2698" s="161">
        <v>324000</v>
      </c>
      <c r="N2698" s="161">
        <f t="shared" si="42"/>
        <v>0</v>
      </c>
    </row>
    <row r="2699" spans="2:14">
      <c r="B2699" s="1708"/>
      <c r="C2699" s="1662"/>
      <c r="D2699" s="1874">
        <v>3111000</v>
      </c>
      <c r="E2699" s="1664" t="s">
        <v>69</v>
      </c>
      <c r="F2699" s="1674">
        <v>480000</v>
      </c>
      <c r="H2699" s="1708"/>
      <c r="I2699" s="1662"/>
      <c r="J2699" s="1874">
        <v>3111000</v>
      </c>
      <c r="K2699" s="1664" t="s">
        <v>69</v>
      </c>
      <c r="L2699" s="1674">
        <v>480000</v>
      </c>
      <c r="N2699" s="1674">
        <f t="shared" si="42"/>
        <v>0</v>
      </c>
    </row>
    <row r="2700" spans="2:14">
      <c r="B2700" s="89"/>
      <c r="C2700" s="90"/>
      <c r="D2700" s="1667">
        <v>3111002</v>
      </c>
      <c r="E2700" s="1668" t="s">
        <v>71</v>
      </c>
      <c r="F2700" s="161">
        <v>480000</v>
      </c>
      <c r="H2700" s="89"/>
      <c r="I2700" s="90"/>
      <c r="J2700" s="1667">
        <v>3111002</v>
      </c>
      <c r="K2700" s="1668" t="s">
        <v>71</v>
      </c>
      <c r="L2700" s="161">
        <v>480000</v>
      </c>
      <c r="N2700" s="161">
        <f t="shared" si="42"/>
        <v>0</v>
      </c>
    </row>
    <row r="2701" spans="2:14">
      <c r="B2701" s="1708"/>
      <c r="C2701" s="1662"/>
      <c r="D2701" s="1663" t="s">
        <v>526</v>
      </c>
      <c r="E2701" s="1875"/>
      <c r="F2701" s="1674">
        <v>3926462</v>
      </c>
      <c r="H2701" s="1708"/>
      <c r="I2701" s="1662"/>
      <c r="J2701" s="1663" t="s">
        <v>526</v>
      </c>
      <c r="K2701" s="1875"/>
      <c r="L2701" s="1674">
        <v>3926462</v>
      </c>
      <c r="N2701" s="1674">
        <f t="shared" si="42"/>
        <v>0</v>
      </c>
    </row>
    <row r="2702" spans="2:14">
      <c r="B2702" s="1708"/>
      <c r="C2702" s="1662"/>
      <c r="D2702" s="1663"/>
      <c r="E2702" s="1875"/>
      <c r="F2702" s="161"/>
      <c r="H2702" s="1708"/>
      <c r="I2702" s="1662"/>
      <c r="J2702" s="1663"/>
      <c r="K2702" s="1875"/>
      <c r="L2702" s="161"/>
      <c r="N2702" s="161">
        <f t="shared" si="42"/>
        <v>0</v>
      </c>
    </row>
    <row r="2703" spans="2:14">
      <c r="B2703" s="1708"/>
      <c r="C2703" s="1662"/>
      <c r="D2703" s="1663"/>
      <c r="E2703" s="1875" t="s">
        <v>92</v>
      </c>
      <c r="F2703" s="161"/>
      <c r="H2703" s="1708"/>
      <c r="I2703" s="1662"/>
      <c r="J2703" s="1663"/>
      <c r="K2703" s="1875" t="s">
        <v>92</v>
      </c>
      <c r="L2703" s="161"/>
      <c r="N2703" s="161">
        <f t="shared" si="42"/>
        <v>0</v>
      </c>
    </row>
    <row r="2704" spans="2:14">
      <c r="B2704" s="1708"/>
      <c r="C2704" s="1662"/>
      <c r="D2704" s="1663" t="s">
        <v>548</v>
      </c>
      <c r="E2704" s="1664" t="s">
        <v>260</v>
      </c>
      <c r="F2704" s="1674">
        <v>37000000</v>
      </c>
      <c r="H2704" s="1708"/>
      <c r="I2704" s="1662"/>
      <c r="J2704" s="1663" t="s">
        <v>548</v>
      </c>
      <c r="K2704" s="1664" t="s">
        <v>260</v>
      </c>
      <c r="L2704" s="1674">
        <v>37000000</v>
      </c>
      <c r="N2704" s="1674">
        <f t="shared" si="42"/>
        <v>0</v>
      </c>
    </row>
    <row r="2705" spans="2:14" ht="30">
      <c r="B2705" s="84"/>
      <c r="C2705" s="85"/>
      <c r="D2705" s="80">
        <v>3110504</v>
      </c>
      <c r="E2705" s="162" t="s">
        <v>1460</v>
      </c>
      <c r="F2705" s="161">
        <v>25000000</v>
      </c>
      <c r="H2705" s="84"/>
      <c r="I2705" s="85"/>
      <c r="J2705" s="80">
        <v>3110504</v>
      </c>
      <c r="K2705" s="162" t="s">
        <v>1460</v>
      </c>
      <c r="L2705" s="161">
        <v>25000000</v>
      </c>
      <c r="N2705" s="161">
        <f t="shared" si="42"/>
        <v>0</v>
      </c>
    </row>
    <row r="2706" spans="2:14" ht="30">
      <c r="B2706" s="84"/>
      <c r="C2706" s="85"/>
      <c r="D2706" s="1884" t="s">
        <v>1461</v>
      </c>
      <c r="E2706" s="162" t="s">
        <v>1462</v>
      </c>
      <c r="F2706" s="161">
        <v>12000000</v>
      </c>
      <c r="H2706" s="84"/>
      <c r="I2706" s="85"/>
      <c r="J2706" s="1884" t="s">
        <v>1461</v>
      </c>
      <c r="K2706" s="162" t="s">
        <v>1462</v>
      </c>
      <c r="L2706" s="161">
        <v>12000000</v>
      </c>
      <c r="N2706" s="161">
        <f t="shared" si="42"/>
        <v>0</v>
      </c>
    </row>
    <row r="2707" spans="2:14">
      <c r="B2707" s="84"/>
      <c r="C2707" s="1661"/>
      <c r="D2707" s="1545">
        <v>3111500</v>
      </c>
      <c r="E2707" s="1510" t="s">
        <v>549</v>
      </c>
      <c r="F2707" s="1674">
        <v>6447732</v>
      </c>
      <c r="H2707" s="84"/>
      <c r="I2707" s="1661"/>
      <c r="J2707" s="1545">
        <v>3111500</v>
      </c>
      <c r="K2707" s="1510" t="s">
        <v>549</v>
      </c>
      <c r="L2707" s="1674">
        <v>6447732</v>
      </c>
      <c r="N2707" s="1674">
        <f t="shared" si="42"/>
        <v>0</v>
      </c>
    </row>
    <row r="2708" spans="2:14" ht="30">
      <c r="B2708" s="84"/>
      <c r="C2708" s="85"/>
      <c r="D2708" s="80">
        <v>3111504</v>
      </c>
      <c r="E2708" s="162" t="s">
        <v>1463</v>
      </c>
      <c r="F2708" s="161">
        <v>4735228</v>
      </c>
      <c r="H2708" s="84"/>
      <c r="I2708" s="85"/>
      <c r="J2708" s="80">
        <v>3111504</v>
      </c>
      <c r="K2708" s="162" t="s">
        <v>1463</v>
      </c>
      <c r="L2708" s="161">
        <v>4735228</v>
      </c>
      <c r="N2708" s="161">
        <f t="shared" si="42"/>
        <v>0</v>
      </c>
    </row>
    <row r="2709" spans="2:14">
      <c r="B2709" s="84"/>
      <c r="C2709" s="85"/>
      <c r="D2709" s="80">
        <v>3111504</v>
      </c>
      <c r="E2709" s="162" t="s">
        <v>1464</v>
      </c>
      <c r="F2709" s="161">
        <v>1712504</v>
      </c>
      <c r="H2709" s="84"/>
      <c r="I2709" s="85"/>
      <c r="J2709" s="80">
        <v>3111504</v>
      </c>
      <c r="K2709" s="162" t="s">
        <v>1464</v>
      </c>
      <c r="L2709" s="161">
        <v>1712504</v>
      </c>
      <c r="N2709" s="161">
        <f t="shared" si="42"/>
        <v>0</v>
      </c>
    </row>
    <row r="2710" spans="2:14">
      <c r="B2710" s="1872"/>
      <c r="C2710" s="1872"/>
      <c r="D2710" s="1545" t="s">
        <v>175</v>
      </c>
      <c r="E2710" s="1546"/>
      <c r="F2710" s="1674">
        <v>43447732</v>
      </c>
      <c r="H2710" s="1872"/>
      <c r="I2710" s="1872"/>
      <c r="J2710" s="1545" t="s">
        <v>175</v>
      </c>
      <c r="K2710" s="1546"/>
      <c r="L2710" s="1674">
        <v>43447732</v>
      </c>
      <c r="N2710" s="1674">
        <f t="shared" si="42"/>
        <v>0</v>
      </c>
    </row>
    <row r="2711" spans="2:14">
      <c r="B2711" s="1872"/>
      <c r="C2711" s="1872"/>
      <c r="D2711" s="1545" t="s">
        <v>84</v>
      </c>
      <c r="E2711" s="1546"/>
      <c r="F2711" s="1674">
        <v>47374194</v>
      </c>
      <c r="H2711" s="1872"/>
      <c r="I2711" s="1872"/>
      <c r="J2711" s="1545" t="s">
        <v>84</v>
      </c>
      <c r="K2711" s="1546"/>
      <c r="L2711" s="1674">
        <v>47374194</v>
      </c>
      <c r="N2711" s="1674">
        <f t="shared" si="42"/>
        <v>0</v>
      </c>
    </row>
    <row r="2712" spans="2:14">
      <c r="B2712" s="25"/>
      <c r="C2712" s="25"/>
      <c r="D2712" s="1671"/>
      <c r="E2712" s="1680"/>
      <c r="F2712" s="161"/>
      <c r="H2712" s="25"/>
      <c r="I2712" s="25"/>
      <c r="J2712" s="1671"/>
      <c r="K2712" s="1680"/>
      <c r="L2712" s="161"/>
      <c r="N2712" s="161">
        <f t="shared" si="42"/>
        <v>0</v>
      </c>
    </row>
    <row r="2713" spans="2:14">
      <c r="B2713" s="1662"/>
      <c r="C2713" s="1662"/>
      <c r="D2713" s="1671" t="s">
        <v>550</v>
      </c>
      <c r="E2713" s="1680"/>
      <c r="F2713" s="161"/>
      <c r="H2713" s="1662"/>
      <c r="I2713" s="1662"/>
      <c r="J2713" s="1671" t="s">
        <v>550</v>
      </c>
      <c r="K2713" s="1680"/>
      <c r="L2713" s="161"/>
      <c r="N2713" s="161">
        <f t="shared" si="42"/>
        <v>0</v>
      </c>
    </row>
    <row r="2714" spans="2:14">
      <c r="B2714" s="1708" t="s">
        <v>447</v>
      </c>
      <c r="C2714" s="1708"/>
      <c r="D2714" s="1671" t="s">
        <v>551</v>
      </c>
      <c r="E2714" s="1680"/>
      <c r="F2714" s="161"/>
      <c r="H2714" s="1708" t="s">
        <v>447</v>
      </c>
      <c r="I2714" s="1708"/>
      <c r="J2714" s="1671" t="s">
        <v>551</v>
      </c>
      <c r="K2714" s="1680"/>
      <c r="L2714" s="161"/>
      <c r="N2714" s="161">
        <f t="shared" si="42"/>
        <v>0</v>
      </c>
    </row>
    <row r="2715" spans="2:14">
      <c r="B2715" s="1708"/>
      <c r="C2715" s="1708" t="s">
        <v>146</v>
      </c>
      <c r="D2715" s="1663">
        <v>2110100</v>
      </c>
      <c r="E2715" s="1664" t="s">
        <v>13</v>
      </c>
      <c r="F2715" s="1674">
        <v>4169792</v>
      </c>
      <c r="H2715" s="1708"/>
      <c r="I2715" s="1708" t="s">
        <v>146</v>
      </c>
      <c r="J2715" s="1663">
        <v>2110100</v>
      </c>
      <c r="K2715" s="1664" t="s">
        <v>13</v>
      </c>
      <c r="L2715" s="1674">
        <v>4169792</v>
      </c>
      <c r="N2715" s="1674">
        <f t="shared" si="42"/>
        <v>0</v>
      </c>
    </row>
    <row r="2716" spans="2:14">
      <c r="B2716" s="1708"/>
      <c r="C2716" s="1662"/>
      <c r="D2716" s="1667">
        <v>2110101</v>
      </c>
      <c r="E2716" s="1668" t="s">
        <v>14</v>
      </c>
      <c r="F2716" s="161">
        <v>4143792</v>
      </c>
      <c r="H2716" s="1708"/>
      <c r="I2716" s="1662"/>
      <c r="J2716" s="1667">
        <v>2110101</v>
      </c>
      <c r="K2716" s="1668" t="s">
        <v>14</v>
      </c>
      <c r="L2716" s="161">
        <v>4143792</v>
      </c>
      <c r="N2716" s="161">
        <f t="shared" si="42"/>
        <v>0</v>
      </c>
    </row>
    <row r="2717" spans="2:14">
      <c r="B2717" s="1708"/>
      <c r="C2717" s="90"/>
      <c r="D2717" s="1667">
        <v>2110120</v>
      </c>
      <c r="E2717" s="1668" t="s">
        <v>356</v>
      </c>
      <c r="F2717" s="161">
        <v>26000</v>
      </c>
      <c r="H2717" s="1708"/>
      <c r="I2717" s="90"/>
      <c r="J2717" s="1667">
        <v>2110120</v>
      </c>
      <c r="K2717" s="1668" t="s">
        <v>356</v>
      </c>
      <c r="L2717" s="161">
        <v>26000</v>
      </c>
      <c r="N2717" s="161">
        <f t="shared" si="42"/>
        <v>0</v>
      </c>
    </row>
    <row r="2718" spans="2:14">
      <c r="B2718" s="1708"/>
      <c r="C2718" s="1662"/>
      <c r="D2718" s="1663">
        <v>2210300</v>
      </c>
      <c r="E2718" s="1664" t="s">
        <v>24</v>
      </c>
      <c r="F2718" s="1674">
        <v>1531282</v>
      </c>
      <c r="H2718" s="1708"/>
      <c r="I2718" s="1662"/>
      <c r="J2718" s="1663">
        <v>2210300</v>
      </c>
      <c r="K2718" s="1664" t="s">
        <v>24</v>
      </c>
      <c r="L2718" s="1674">
        <v>1531282</v>
      </c>
      <c r="N2718" s="1674">
        <f t="shared" si="42"/>
        <v>0</v>
      </c>
    </row>
    <row r="2719" spans="2:14">
      <c r="B2719" s="89"/>
      <c r="C2719" s="90"/>
      <c r="D2719" s="1667">
        <v>2210301</v>
      </c>
      <c r="E2719" s="1668" t="s">
        <v>188</v>
      </c>
      <c r="F2719" s="161">
        <v>490725</v>
      </c>
      <c r="H2719" s="89"/>
      <c r="I2719" s="90"/>
      <c r="J2719" s="1667">
        <v>2210301</v>
      </c>
      <c r="K2719" s="1668" t="s">
        <v>188</v>
      </c>
      <c r="L2719" s="161">
        <v>490725</v>
      </c>
      <c r="N2719" s="161">
        <f t="shared" si="42"/>
        <v>0</v>
      </c>
    </row>
    <row r="2720" spans="2:14">
      <c r="B2720" s="89"/>
      <c r="C2720" s="90"/>
      <c r="D2720" s="1667">
        <v>2210302</v>
      </c>
      <c r="E2720" s="1668" t="s">
        <v>26</v>
      </c>
      <c r="F2720" s="161">
        <v>550680</v>
      </c>
      <c r="H2720" s="89"/>
      <c r="I2720" s="90"/>
      <c r="J2720" s="1667">
        <v>2210302</v>
      </c>
      <c r="K2720" s="1668" t="s">
        <v>26</v>
      </c>
      <c r="L2720" s="161">
        <v>550680</v>
      </c>
      <c r="N2720" s="161">
        <f t="shared" si="42"/>
        <v>0</v>
      </c>
    </row>
    <row r="2721" spans="2:14">
      <c r="B2721" s="89"/>
      <c r="C2721" s="90"/>
      <c r="D2721" s="1667">
        <v>2210303</v>
      </c>
      <c r="E2721" s="74" t="s">
        <v>223</v>
      </c>
      <c r="F2721" s="161">
        <v>489877</v>
      </c>
      <c r="H2721" s="89"/>
      <c r="I2721" s="90"/>
      <c r="J2721" s="1667">
        <v>2210303</v>
      </c>
      <c r="K2721" s="74" t="s">
        <v>223</v>
      </c>
      <c r="L2721" s="161">
        <v>489877</v>
      </c>
      <c r="N2721" s="161">
        <f t="shared" si="42"/>
        <v>0</v>
      </c>
    </row>
    <row r="2722" spans="2:14">
      <c r="B2722" s="1708"/>
      <c r="C2722" s="1662"/>
      <c r="D2722" s="1663">
        <v>2211300</v>
      </c>
      <c r="E2722" s="1664" t="s">
        <v>57</v>
      </c>
      <c r="F2722" s="1674">
        <v>59803</v>
      </c>
      <c r="H2722" s="1708"/>
      <c r="I2722" s="1662"/>
      <c r="J2722" s="1663">
        <v>2211300</v>
      </c>
      <c r="K2722" s="1664" t="s">
        <v>57</v>
      </c>
      <c r="L2722" s="1674">
        <v>59803</v>
      </c>
      <c r="N2722" s="1674">
        <f t="shared" si="42"/>
        <v>0</v>
      </c>
    </row>
    <row r="2723" spans="2:14">
      <c r="B2723" s="89"/>
      <c r="C2723" s="90"/>
      <c r="D2723" s="1667">
        <v>2211306</v>
      </c>
      <c r="E2723" s="1668" t="s">
        <v>58</v>
      </c>
      <c r="F2723" s="161">
        <v>59803</v>
      </c>
      <c r="H2723" s="89"/>
      <c r="I2723" s="90"/>
      <c r="J2723" s="1667">
        <v>2211306</v>
      </c>
      <c r="K2723" s="1668" t="s">
        <v>58</v>
      </c>
      <c r="L2723" s="161">
        <v>59803</v>
      </c>
      <c r="N2723" s="161">
        <f t="shared" si="42"/>
        <v>0</v>
      </c>
    </row>
    <row r="2724" spans="2:14">
      <c r="B2724" s="1708"/>
      <c r="C2724" s="1662"/>
      <c r="D2724" s="1663"/>
      <c r="E2724" s="1875" t="s">
        <v>526</v>
      </c>
      <c r="F2724" s="1674">
        <v>5760877</v>
      </c>
      <c r="H2724" s="1708"/>
      <c r="I2724" s="1662"/>
      <c r="J2724" s="1663"/>
      <c r="K2724" s="1875" t="s">
        <v>526</v>
      </c>
      <c r="L2724" s="1674">
        <v>5760877</v>
      </c>
      <c r="N2724" s="1674">
        <f t="shared" si="42"/>
        <v>0</v>
      </c>
    </row>
    <row r="2725" spans="2:14">
      <c r="B2725" s="1708"/>
      <c r="C2725" s="1662"/>
      <c r="D2725" s="1663"/>
      <c r="E2725" s="1875"/>
      <c r="F2725" s="1674"/>
      <c r="H2725" s="1708"/>
      <c r="I2725" s="1662"/>
      <c r="J2725" s="1663"/>
      <c r="K2725" s="1875"/>
      <c r="L2725" s="1674"/>
      <c r="N2725" s="1674">
        <f t="shared" si="42"/>
        <v>0</v>
      </c>
    </row>
    <row r="2726" spans="2:14">
      <c r="B2726" s="1708"/>
      <c r="C2726" s="1662"/>
      <c r="D2726" s="1671"/>
      <c r="E2726" s="1680" t="s">
        <v>92</v>
      </c>
      <c r="F2726" s="1674"/>
      <c r="H2726" s="1708"/>
      <c r="I2726" s="1662"/>
      <c r="J2726" s="1671"/>
      <c r="K2726" s="1680" t="s">
        <v>92</v>
      </c>
      <c r="L2726" s="1674"/>
      <c r="N2726" s="1674">
        <f t="shared" si="42"/>
        <v>0</v>
      </c>
    </row>
    <row r="2727" spans="2:14">
      <c r="B2727" s="1708"/>
      <c r="C2727" s="1662"/>
      <c r="D2727" s="1671">
        <v>3111400</v>
      </c>
      <c r="E2727" s="1680" t="s">
        <v>531</v>
      </c>
      <c r="F2727" s="1674">
        <v>2690000</v>
      </c>
      <c r="H2727" s="1708"/>
      <c r="I2727" s="1662"/>
      <c r="J2727" s="1671">
        <v>3111400</v>
      </c>
      <c r="K2727" s="1680" t="s">
        <v>531</v>
      </c>
      <c r="L2727" s="1674">
        <v>2690000</v>
      </c>
      <c r="N2727" s="1674">
        <f t="shared" si="42"/>
        <v>0</v>
      </c>
    </row>
    <row r="2728" spans="2:14">
      <c r="B2728" s="1708"/>
      <c r="C2728" s="1662"/>
      <c r="D2728" s="80">
        <v>3111403</v>
      </c>
      <c r="E2728" s="158" t="s">
        <v>1734</v>
      </c>
      <c r="F2728" s="161">
        <v>2690000</v>
      </c>
      <c r="H2728" s="1708"/>
      <c r="I2728" s="1662"/>
      <c r="J2728" s="80">
        <v>3111403</v>
      </c>
      <c r="K2728" s="158" t="s">
        <v>1734</v>
      </c>
      <c r="L2728" s="161">
        <v>2690000</v>
      </c>
      <c r="N2728" s="161">
        <f t="shared" si="42"/>
        <v>0</v>
      </c>
    </row>
    <row r="2729" spans="2:14">
      <c r="B2729" s="1708"/>
      <c r="C2729" s="1662"/>
      <c r="D2729" s="1545" t="s">
        <v>606</v>
      </c>
      <c r="E2729" s="1546"/>
      <c r="F2729" s="1674">
        <v>2690000</v>
      </c>
      <c r="H2729" s="1708"/>
      <c r="I2729" s="1662"/>
      <c r="J2729" s="1545" t="s">
        <v>606</v>
      </c>
      <c r="K2729" s="1546"/>
      <c r="L2729" s="1674">
        <v>2690000</v>
      </c>
      <c r="N2729" s="1674">
        <f t="shared" si="42"/>
        <v>0</v>
      </c>
    </row>
    <row r="2730" spans="2:14">
      <c r="B2730" s="1708"/>
      <c r="C2730" s="1662"/>
      <c r="D2730" s="1545"/>
      <c r="E2730" s="1546"/>
      <c r="F2730" s="1674"/>
      <c r="H2730" s="1708"/>
      <c r="I2730" s="1662"/>
      <c r="J2730" s="1545"/>
      <c r="K2730" s="1546"/>
      <c r="L2730" s="1674"/>
      <c r="N2730" s="1674">
        <f t="shared" si="42"/>
        <v>0</v>
      </c>
    </row>
    <row r="2731" spans="2:14">
      <c r="B2731" s="1708"/>
      <c r="C2731" s="1662"/>
      <c r="D2731" s="1671" t="s">
        <v>84</v>
      </c>
      <c r="E2731" s="1680"/>
      <c r="F2731" s="1674">
        <v>8450877</v>
      </c>
      <c r="H2731" s="1708"/>
      <c r="I2731" s="1662"/>
      <c r="J2731" s="1671" t="s">
        <v>84</v>
      </c>
      <c r="K2731" s="1680"/>
      <c r="L2731" s="1674">
        <v>8450877</v>
      </c>
      <c r="N2731" s="1674">
        <f t="shared" si="42"/>
        <v>0</v>
      </c>
    </row>
    <row r="2732" spans="2:14">
      <c r="B2732" s="1708"/>
      <c r="C2732" s="1662"/>
      <c r="D2732" s="1671"/>
      <c r="E2732" s="1680"/>
      <c r="F2732" s="161"/>
      <c r="H2732" s="1708"/>
      <c r="I2732" s="1662"/>
      <c r="J2732" s="1671"/>
      <c r="K2732" s="1680"/>
      <c r="L2732" s="161"/>
      <c r="N2732" s="161">
        <f t="shared" si="42"/>
        <v>0</v>
      </c>
    </row>
    <row r="2733" spans="2:14">
      <c r="B2733" s="1708" t="s">
        <v>447</v>
      </c>
      <c r="C2733" s="1708"/>
      <c r="D2733" s="1671" t="s">
        <v>552</v>
      </c>
      <c r="E2733" s="1680"/>
      <c r="F2733" s="161"/>
      <c r="H2733" s="1708" t="s">
        <v>447</v>
      </c>
      <c r="I2733" s="1708"/>
      <c r="J2733" s="1671" t="s">
        <v>552</v>
      </c>
      <c r="K2733" s="1680"/>
      <c r="L2733" s="161"/>
      <c r="N2733" s="161">
        <f t="shared" si="42"/>
        <v>0</v>
      </c>
    </row>
    <row r="2734" spans="2:14">
      <c r="B2734" s="1708"/>
      <c r="C2734" s="1708" t="s">
        <v>146</v>
      </c>
      <c r="D2734" s="1663">
        <v>2210300</v>
      </c>
      <c r="E2734" s="1664" t="s">
        <v>24</v>
      </c>
      <c r="F2734" s="1674">
        <v>1428445</v>
      </c>
      <c r="H2734" s="1708"/>
      <c r="I2734" s="1708" t="s">
        <v>146</v>
      </c>
      <c r="J2734" s="1663">
        <v>2210300</v>
      </c>
      <c r="K2734" s="1664" t="s">
        <v>24</v>
      </c>
      <c r="L2734" s="1674">
        <v>1428445</v>
      </c>
      <c r="N2734" s="1674">
        <f t="shared" si="42"/>
        <v>0</v>
      </c>
    </row>
    <row r="2735" spans="2:14">
      <c r="B2735" s="89"/>
      <c r="C2735" s="90"/>
      <c r="D2735" s="1667">
        <v>2210301</v>
      </c>
      <c r="E2735" s="1668" t="s">
        <v>188</v>
      </c>
      <c r="F2735" s="161">
        <v>445962</v>
      </c>
      <c r="H2735" s="89"/>
      <c r="I2735" s="90"/>
      <c r="J2735" s="1667">
        <v>2210301</v>
      </c>
      <c r="K2735" s="1668" t="s">
        <v>188</v>
      </c>
      <c r="L2735" s="161">
        <v>445962</v>
      </c>
      <c r="N2735" s="161">
        <f t="shared" si="42"/>
        <v>0</v>
      </c>
    </row>
    <row r="2736" spans="2:14">
      <c r="B2736" s="89"/>
      <c r="C2736" s="90"/>
      <c r="D2736" s="1667">
        <v>2210302</v>
      </c>
      <c r="E2736" s="1668" t="s">
        <v>26</v>
      </c>
      <c r="F2736" s="161">
        <v>502683</v>
      </c>
      <c r="H2736" s="89"/>
      <c r="I2736" s="90"/>
      <c r="J2736" s="1667">
        <v>2210302</v>
      </c>
      <c r="K2736" s="1668" t="s">
        <v>26</v>
      </c>
      <c r="L2736" s="161">
        <v>502683</v>
      </c>
      <c r="N2736" s="161">
        <f t="shared" si="42"/>
        <v>0</v>
      </c>
    </row>
    <row r="2737" spans="2:14">
      <c r="B2737" s="89"/>
      <c r="C2737" s="90"/>
      <c r="D2737" s="1667">
        <v>2210303</v>
      </c>
      <c r="E2737" s="74" t="s">
        <v>223</v>
      </c>
      <c r="F2737" s="161">
        <v>479800</v>
      </c>
      <c r="H2737" s="89"/>
      <c r="I2737" s="90"/>
      <c r="J2737" s="1667">
        <v>2210303</v>
      </c>
      <c r="K2737" s="74" t="s">
        <v>223</v>
      </c>
      <c r="L2737" s="161">
        <v>479800</v>
      </c>
      <c r="N2737" s="161">
        <f t="shared" si="42"/>
        <v>0</v>
      </c>
    </row>
    <row r="2738" spans="2:14">
      <c r="B2738" s="1708"/>
      <c r="C2738" s="1662"/>
      <c r="D2738" s="1663">
        <v>2210200</v>
      </c>
      <c r="E2738" s="1664" t="s">
        <v>20</v>
      </c>
      <c r="F2738" s="1674">
        <v>54000</v>
      </c>
      <c r="H2738" s="1708"/>
      <c r="I2738" s="1662"/>
      <c r="J2738" s="1663">
        <v>2210200</v>
      </c>
      <c r="K2738" s="1664" t="s">
        <v>20</v>
      </c>
      <c r="L2738" s="1674">
        <v>54000</v>
      </c>
      <c r="N2738" s="1674">
        <f t="shared" si="42"/>
        <v>0</v>
      </c>
    </row>
    <row r="2739" spans="2:14">
      <c r="B2739" s="89"/>
      <c r="C2739" s="90"/>
      <c r="D2739" s="1667">
        <v>2210201</v>
      </c>
      <c r="E2739" s="1668" t="s">
        <v>187</v>
      </c>
      <c r="F2739" s="161">
        <v>54000</v>
      </c>
      <c r="H2739" s="89"/>
      <c r="I2739" s="90"/>
      <c r="J2739" s="1667">
        <v>2210201</v>
      </c>
      <c r="K2739" s="1668" t="s">
        <v>187</v>
      </c>
      <c r="L2739" s="161">
        <v>54000</v>
      </c>
      <c r="N2739" s="161">
        <f t="shared" si="42"/>
        <v>0</v>
      </c>
    </row>
    <row r="2740" spans="2:14">
      <c r="B2740" s="1708"/>
      <c r="C2740" s="1662"/>
      <c r="D2740" s="1663">
        <v>2210500</v>
      </c>
      <c r="E2740" s="1664" t="s">
        <v>31</v>
      </c>
      <c r="F2740" s="1674">
        <v>162000</v>
      </c>
      <c r="H2740" s="1708"/>
      <c r="I2740" s="1662"/>
      <c r="J2740" s="1663">
        <v>2210500</v>
      </c>
      <c r="K2740" s="1664" t="s">
        <v>31</v>
      </c>
      <c r="L2740" s="1674">
        <v>162000</v>
      </c>
      <c r="N2740" s="1674">
        <f t="shared" si="42"/>
        <v>0</v>
      </c>
    </row>
    <row r="2741" spans="2:14">
      <c r="B2741" s="89"/>
      <c r="C2741" s="90"/>
      <c r="D2741" s="1667">
        <v>2210503</v>
      </c>
      <c r="E2741" s="1668" t="s">
        <v>32</v>
      </c>
      <c r="F2741" s="161">
        <v>162000</v>
      </c>
      <c r="H2741" s="89"/>
      <c r="I2741" s="90"/>
      <c r="J2741" s="1667">
        <v>2210503</v>
      </c>
      <c r="K2741" s="1668" t="s">
        <v>32</v>
      </c>
      <c r="L2741" s="161">
        <v>162000</v>
      </c>
      <c r="N2741" s="161">
        <f t="shared" si="42"/>
        <v>0</v>
      </c>
    </row>
    <row r="2742" spans="2:14">
      <c r="B2742" s="1708"/>
      <c r="C2742" s="1662"/>
      <c r="D2742" s="1663"/>
      <c r="E2742" s="1875" t="s">
        <v>526</v>
      </c>
      <c r="F2742" s="1674">
        <v>1644445</v>
      </c>
      <c r="H2742" s="1708"/>
      <c r="I2742" s="1662"/>
      <c r="J2742" s="1663"/>
      <c r="K2742" s="1875" t="s">
        <v>526</v>
      </c>
      <c r="L2742" s="1674">
        <v>1644445</v>
      </c>
      <c r="N2742" s="1674">
        <f t="shared" si="42"/>
        <v>0</v>
      </c>
    </row>
    <row r="2743" spans="2:14">
      <c r="B2743" s="1708"/>
      <c r="C2743" s="1662"/>
      <c r="D2743" s="1663"/>
      <c r="E2743" s="1875"/>
      <c r="F2743" s="1674"/>
      <c r="H2743" s="1708"/>
      <c r="I2743" s="1662"/>
      <c r="J2743" s="1663"/>
      <c r="K2743" s="1875"/>
      <c r="L2743" s="1674"/>
      <c r="N2743" s="1674">
        <f t="shared" si="42"/>
        <v>0</v>
      </c>
    </row>
    <row r="2744" spans="2:14">
      <c r="B2744" s="1708"/>
      <c r="C2744" s="1662"/>
      <c r="D2744" s="1663"/>
      <c r="E2744" s="1875" t="s">
        <v>92</v>
      </c>
      <c r="F2744" s="1674"/>
      <c r="H2744" s="1708"/>
      <c r="I2744" s="1662"/>
      <c r="J2744" s="1663"/>
      <c r="K2744" s="1875" t="s">
        <v>92</v>
      </c>
      <c r="L2744" s="1674"/>
      <c r="N2744" s="1674">
        <f t="shared" si="42"/>
        <v>0</v>
      </c>
    </row>
    <row r="2745" spans="2:14">
      <c r="B2745" s="1708"/>
      <c r="C2745" s="1662"/>
      <c r="D2745" s="1663">
        <v>3111100</v>
      </c>
      <c r="E2745" s="1875" t="s">
        <v>73</v>
      </c>
      <c r="F2745" s="1674">
        <v>800000</v>
      </c>
      <c r="H2745" s="1708"/>
      <c r="I2745" s="1662"/>
      <c r="J2745" s="1663">
        <v>3111100</v>
      </c>
      <c r="K2745" s="1875" t="s">
        <v>73</v>
      </c>
      <c r="L2745" s="1674">
        <v>800000</v>
      </c>
      <c r="N2745" s="1674">
        <f t="shared" si="42"/>
        <v>0</v>
      </c>
    </row>
    <row r="2746" spans="2:14" ht="30">
      <c r="B2746" s="1708"/>
      <c r="C2746" s="1662"/>
      <c r="D2746" s="80">
        <v>3111109</v>
      </c>
      <c r="E2746" s="162" t="s">
        <v>1735</v>
      </c>
      <c r="F2746" s="161">
        <v>800000</v>
      </c>
      <c r="H2746" s="1708"/>
      <c r="I2746" s="1662"/>
      <c r="J2746" s="80">
        <v>3111109</v>
      </c>
      <c r="K2746" s="162" t="s">
        <v>1735</v>
      </c>
      <c r="L2746" s="161">
        <v>800000</v>
      </c>
      <c r="N2746" s="161">
        <f t="shared" si="42"/>
        <v>0</v>
      </c>
    </row>
    <row r="2747" spans="2:14">
      <c r="B2747" s="1708"/>
      <c r="C2747" s="1662"/>
      <c r="D2747" s="1671" t="s">
        <v>175</v>
      </c>
      <c r="E2747" s="1680"/>
      <c r="F2747" s="1674">
        <v>800000</v>
      </c>
      <c r="H2747" s="1708"/>
      <c r="I2747" s="1662"/>
      <c r="J2747" s="1671" t="s">
        <v>175</v>
      </c>
      <c r="K2747" s="1680"/>
      <c r="L2747" s="1674">
        <v>800000</v>
      </c>
      <c r="N2747" s="1674">
        <f t="shared" si="42"/>
        <v>0</v>
      </c>
    </row>
    <row r="2748" spans="2:14">
      <c r="B2748" s="1708"/>
      <c r="C2748" s="1662"/>
      <c r="D2748" s="1671"/>
      <c r="E2748" s="1680"/>
      <c r="F2748" s="1674"/>
      <c r="H2748" s="1708"/>
      <c r="I2748" s="1662"/>
      <c r="J2748" s="1671"/>
      <c r="K2748" s="1680"/>
      <c r="L2748" s="1674"/>
      <c r="N2748" s="1674">
        <f t="shared" si="42"/>
        <v>0</v>
      </c>
    </row>
    <row r="2749" spans="2:14">
      <c r="B2749" s="1708"/>
      <c r="C2749" s="1872"/>
      <c r="D2749" s="1671" t="s">
        <v>84</v>
      </c>
      <c r="E2749" s="1680"/>
      <c r="F2749" s="1674">
        <v>2444445</v>
      </c>
      <c r="H2749" s="1708"/>
      <c r="I2749" s="1872"/>
      <c r="J2749" s="1671" t="s">
        <v>84</v>
      </c>
      <c r="K2749" s="1680"/>
      <c r="L2749" s="1674">
        <v>2444445</v>
      </c>
      <c r="N2749" s="1674">
        <f t="shared" si="42"/>
        <v>0</v>
      </c>
    </row>
    <row r="2750" spans="2:14">
      <c r="B2750" s="1708" t="s">
        <v>447</v>
      </c>
      <c r="C2750" s="1662"/>
      <c r="D2750" s="1671"/>
      <c r="E2750" s="1680"/>
      <c r="F2750" s="161"/>
      <c r="H2750" s="1708" t="s">
        <v>447</v>
      </c>
      <c r="I2750" s="1662"/>
      <c r="J2750" s="1671"/>
      <c r="K2750" s="1680"/>
      <c r="L2750" s="161"/>
      <c r="N2750" s="161">
        <f t="shared" si="42"/>
        <v>0</v>
      </c>
    </row>
    <row r="2751" spans="2:14" ht="30">
      <c r="B2751" s="1708"/>
      <c r="C2751" s="1708" t="s">
        <v>146</v>
      </c>
      <c r="D2751" s="1671" t="s">
        <v>1736</v>
      </c>
      <c r="E2751" s="1680" t="s">
        <v>1737</v>
      </c>
      <c r="F2751" s="161"/>
      <c r="H2751" s="1708"/>
      <c r="I2751" s="1708" t="s">
        <v>146</v>
      </c>
      <c r="J2751" s="1671" t="s">
        <v>1736</v>
      </c>
      <c r="K2751" s="1680" t="s">
        <v>1737</v>
      </c>
      <c r="L2751" s="161"/>
      <c r="N2751" s="161">
        <f t="shared" si="42"/>
        <v>0</v>
      </c>
    </row>
    <row r="2752" spans="2:14">
      <c r="B2752" s="1708"/>
      <c r="C2752" s="1708"/>
      <c r="D2752" s="1663">
        <v>2210200</v>
      </c>
      <c r="E2752" s="1664" t="s">
        <v>20</v>
      </c>
      <c r="F2752" s="1674">
        <v>730000</v>
      </c>
      <c r="H2752" s="1708"/>
      <c r="I2752" s="1708"/>
      <c r="J2752" s="1663">
        <v>2210200</v>
      </c>
      <c r="K2752" s="1664" t="s">
        <v>20</v>
      </c>
      <c r="L2752" s="1674">
        <v>730000</v>
      </c>
      <c r="N2752" s="1674">
        <f t="shared" si="42"/>
        <v>0</v>
      </c>
    </row>
    <row r="2753" spans="2:14">
      <c r="B2753" s="1708"/>
      <c r="C2753" s="1708"/>
      <c r="D2753" s="1667">
        <v>2210201</v>
      </c>
      <c r="E2753" s="1668" t="s">
        <v>187</v>
      </c>
      <c r="F2753" s="161">
        <v>730000</v>
      </c>
      <c r="H2753" s="1708"/>
      <c r="I2753" s="1708"/>
      <c r="J2753" s="1667">
        <v>2210201</v>
      </c>
      <c r="K2753" s="1668" t="s">
        <v>187</v>
      </c>
      <c r="L2753" s="161">
        <v>730000</v>
      </c>
      <c r="N2753" s="161">
        <f t="shared" si="42"/>
        <v>0</v>
      </c>
    </row>
    <row r="2754" spans="2:14">
      <c r="B2754" s="1708"/>
      <c r="C2754" s="1662"/>
      <c r="D2754" s="1671">
        <v>2210300</v>
      </c>
      <c r="E2754" s="1664" t="s">
        <v>24</v>
      </c>
      <c r="F2754" s="1674">
        <v>2850000</v>
      </c>
      <c r="H2754" s="1708"/>
      <c r="I2754" s="1662"/>
      <c r="J2754" s="1671">
        <v>2210300</v>
      </c>
      <c r="K2754" s="1664" t="s">
        <v>24</v>
      </c>
      <c r="L2754" s="1674">
        <v>2850000</v>
      </c>
      <c r="N2754" s="1674">
        <f t="shared" si="42"/>
        <v>0</v>
      </c>
    </row>
    <row r="2755" spans="2:14">
      <c r="B2755" s="89"/>
      <c r="C2755" s="90"/>
      <c r="D2755" s="1667">
        <v>2210301</v>
      </c>
      <c r="E2755" s="1668" t="s">
        <v>188</v>
      </c>
      <c r="F2755" s="161">
        <v>390000</v>
      </c>
      <c r="H2755" s="89"/>
      <c r="I2755" s="90"/>
      <c r="J2755" s="1667">
        <v>2210301</v>
      </c>
      <c r="K2755" s="1668" t="s">
        <v>188</v>
      </c>
      <c r="L2755" s="161">
        <v>390000</v>
      </c>
      <c r="N2755" s="161">
        <f t="shared" si="42"/>
        <v>0</v>
      </c>
    </row>
    <row r="2756" spans="2:14">
      <c r="B2756" s="89"/>
      <c r="C2756" s="90"/>
      <c r="D2756" s="1667">
        <v>2210302</v>
      </c>
      <c r="E2756" s="1668" t="s">
        <v>26</v>
      </c>
      <c r="F2756" s="161">
        <v>795000</v>
      </c>
      <c r="H2756" s="89"/>
      <c r="I2756" s="90"/>
      <c r="J2756" s="1667">
        <v>2210302</v>
      </c>
      <c r="K2756" s="1668" t="s">
        <v>26</v>
      </c>
      <c r="L2756" s="161">
        <v>795000</v>
      </c>
      <c r="N2756" s="161">
        <f t="shared" si="42"/>
        <v>0</v>
      </c>
    </row>
    <row r="2757" spans="2:14">
      <c r="B2757" s="89"/>
      <c r="C2757" s="90"/>
      <c r="D2757" s="1667">
        <v>2210303</v>
      </c>
      <c r="E2757" s="74" t="s">
        <v>223</v>
      </c>
      <c r="F2757" s="161">
        <v>915000</v>
      </c>
      <c r="H2757" s="89"/>
      <c r="I2757" s="90"/>
      <c r="J2757" s="1667">
        <v>2210303</v>
      </c>
      <c r="K2757" s="74" t="s">
        <v>223</v>
      </c>
      <c r="L2757" s="161">
        <v>915000</v>
      </c>
      <c r="N2757" s="161">
        <f t="shared" si="42"/>
        <v>0</v>
      </c>
    </row>
    <row r="2758" spans="2:14">
      <c r="B2758" s="89"/>
      <c r="C2758" s="90"/>
      <c r="D2758" s="1667">
        <v>2210310</v>
      </c>
      <c r="E2758" s="74" t="s">
        <v>208</v>
      </c>
      <c r="F2758" s="161">
        <v>750000</v>
      </c>
      <c r="H2758" s="89"/>
      <c r="I2758" s="90"/>
      <c r="J2758" s="1667">
        <v>2210310</v>
      </c>
      <c r="K2758" s="74" t="s">
        <v>208</v>
      </c>
      <c r="L2758" s="161">
        <v>750000</v>
      </c>
      <c r="N2758" s="161">
        <f t="shared" si="42"/>
        <v>0</v>
      </c>
    </row>
    <row r="2759" spans="2:14">
      <c r="B2759" s="1708"/>
      <c r="C2759" s="1662"/>
      <c r="D2759" s="1663">
        <v>2210600</v>
      </c>
      <c r="E2759" s="1664" t="s">
        <v>154</v>
      </c>
      <c r="F2759" s="1674">
        <v>1760000</v>
      </c>
      <c r="H2759" s="1708"/>
      <c r="I2759" s="1662"/>
      <c r="J2759" s="1663">
        <v>2210600</v>
      </c>
      <c r="K2759" s="1664" t="s">
        <v>154</v>
      </c>
      <c r="L2759" s="1674">
        <v>1760000</v>
      </c>
      <c r="N2759" s="1674">
        <f t="shared" si="42"/>
        <v>0</v>
      </c>
    </row>
    <row r="2760" spans="2:14">
      <c r="B2760" s="89"/>
      <c r="C2760" s="90"/>
      <c r="D2760" s="1667">
        <v>2210603</v>
      </c>
      <c r="E2760" s="1668" t="s">
        <v>489</v>
      </c>
      <c r="F2760" s="161">
        <v>1760000</v>
      </c>
      <c r="H2760" s="89"/>
      <c r="I2760" s="90"/>
      <c r="J2760" s="1667">
        <v>2210603</v>
      </c>
      <c r="K2760" s="1668" t="s">
        <v>489</v>
      </c>
      <c r="L2760" s="161">
        <v>1760000</v>
      </c>
      <c r="N2760" s="161">
        <f t="shared" ref="N2760:N2823" si="43">F2760-L2760</f>
        <v>0</v>
      </c>
    </row>
    <row r="2761" spans="2:14">
      <c r="B2761" s="1708"/>
      <c r="C2761" s="1662"/>
      <c r="D2761" s="1663">
        <v>2210700</v>
      </c>
      <c r="E2761" s="1664" t="s">
        <v>194</v>
      </c>
      <c r="F2761" s="1674">
        <v>2500000</v>
      </c>
      <c r="H2761" s="1708"/>
      <c r="I2761" s="1662"/>
      <c r="J2761" s="1663">
        <v>2210700</v>
      </c>
      <c r="K2761" s="1664" t="s">
        <v>194</v>
      </c>
      <c r="L2761" s="1674">
        <v>2500000</v>
      </c>
      <c r="N2761" s="1674">
        <f t="shared" si="43"/>
        <v>0</v>
      </c>
    </row>
    <row r="2762" spans="2:14">
      <c r="B2762" s="89"/>
      <c r="C2762" s="90"/>
      <c r="D2762" s="1667">
        <v>2210701</v>
      </c>
      <c r="E2762" s="1668" t="s">
        <v>36</v>
      </c>
      <c r="F2762" s="161">
        <v>587000</v>
      </c>
      <c r="H2762" s="89"/>
      <c r="I2762" s="90"/>
      <c r="J2762" s="1667">
        <v>2210701</v>
      </c>
      <c r="K2762" s="1668" t="s">
        <v>36</v>
      </c>
      <c r="L2762" s="161">
        <v>587000</v>
      </c>
      <c r="N2762" s="161">
        <f t="shared" si="43"/>
        <v>0</v>
      </c>
    </row>
    <row r="2763" spans="2:14">
      <c r="B2763" s="89"/>
      <c r="C2763" s="90"/>
      <c r="D2763" s="1667">
        <v>2210703</v>
      </c>
      <c r="E2763" s="1668" t="s">
        <v>107</v>
      </c>
      <c r="F2763" s="161">
        <v>378000</v>
      </c>
      <c r="H2763" s="89"/>
      <c r="I2763" s="90"/>
      <c r="J2763" s="1667">
        <v>2210703</v>
      </c>
      <c r="K2763" s="1668" t="s">
        <v>107</v>
      </c>
      <c r="L2763" s="161">
        <v>378000</v>
      </c>
      <c r="N2763" s="161">
        <f t="shared" si="43"/>
        <v>0</v>
      </c>
    </row>
    <row r="2764" spans="2:14">
      <c r="B2764" s="89"/>
      <c r="C2764" s="90"/>
      <c r="D2764" s="1667">
        <v>2210704</v>
      </c>
      <c r="E2764" s="1668" t="s">
        <v>38</v>
      </c>
      <c r="F2764" s="161">
        <v>211000</v>
      </c>
      <c r="H2764" s="89"/>
      <c r="I2764" s="90"/>
      <c r="J2764" s="1667">
        <v>2210704</v>
      </c>
      <c r="K2764" s="1668" t="s">
        <v>38</v>
      </c>
      <c r="L2764" s="161">
        <v>211000</v>
      </c>
      <c r="N2764" s="161">
        <f t="shared" si="43"/>
        <v>0</v>
      </c>
    </row>
    <row r="2765" spans="2:14">
      <c r="B2765" s="89"/>
      <c r="C2765" s="90"/>
      <c r="D2765" s="1667">
        <v>2210710</v>
      </c>
      <c r="E2765" s="1668" t="s">
        <v>39</v>
      </c>
      <c r="F2765" s="161">
        <v>764000</v>
      </c>
      <c r="H2765" s="89"/>
      <c r="I2765" s="90"/>
      <c r="J2765" s="1667">
        <v>2210710</v>
      </c>
      <c r="K2765" s="1668" t="s">
        <v>39</v>
      </c>
      <c r="L2765" s="161">
        <v>764000</v>
      </c>
      <c r="N2765" s="161">
        <f t="shared" si="43"/>
        <v>0</v>
      </c>
    </row>
    <row r="2766" spans="2:14">
      <c r="B2766" s="89"/>
      <c r="C2766" s="90"/>
      <c r="D2766" s="61">
        <v>2210715</v>
      </c>
      <c r="E2766" s="74" t="s">
        <v>40</v>
      </c>
      <c r="F2766" s="161">
        <v>560000</v>
      </c>
      <c r="H2766" s="89"/>
      <c r="I2766" s="90"/>
      <c r="J2766" s="61">
        <v>2210715</v>
      </c>
      <c r="K2766" s="74" t="s">
        <v>40</v>
      </c>
      <c r="L2766" s="161">
        <v>560000</v>
      </c>
      <c r="N2766" s="161">
        <f t="shared" si="43"/>
        <v>0</v>
      </c>
    </row>
    <row r="2767" spans="2:14">
      <c r="B2767" s="1708"/>
      <c r="C2767" s="1662"/>
      <c r="D2767" s="1663">
        <v>2210800</v>
      </c>
      <c r="E2767" s="1664" t="s">
        <v>42</v>
      </c>
      <c r="F2767" s="1674">
        <v>870000</v>
      </c>
      <c r="H2767" s="1708"/>
      <c r="I2767" s="1662"/>
      <c r="J2767" s="1663">
        <v>2210800</v>
      </c>
      <c r="K2767" s="1664" t="s">
        <v>42</v>
      </c>
      <c r="L2767" s="1674">
        <v>870000</v>
      </c>
      <c r="N2767" s="1674">
        <f t="shared" si="43"/>
        <v>0</v>
      </c>
    </row>
    <row r="2768" spans="2:14">
      <c r="B2768" s="89"/>
      <c r="C2768" s="90"/>
      <c r="D2768" s="1667">
        <v>2210801</v>
      </c>
      <c r="E2768" s="1668" t="s">
        <v>195</v>
      </c>
      <c r="F2768" s="161">
        <v>320000</v>
      </c>
      <c r="H2768" s="89"/>
      <c r="I2768" s="90"/>
      <c r="J2768" s="1667">
        <v>2210801</v>
      </c>
      <c r="K2768" s="1668" t="s">
        <v>195</v>
      </c>
      <c r="L2768" s="161">
        <v>320000</v>
      </c>
      <c r="N2768" s="161">
        <f t="shared" si="43"/>
        <v>0</v>
      </c>
    </row>
    <row r="2769" spans="2:14">
      <c r="B2769" s="89"/>
      <c r="C2769" s="90"/>
      <c r="D2769" s="1667">
        <v>2210802</v>
      </c>
      <c r="E2769" s="1668" t="s">
        <v>97</v>
      </c>
      <c r="F2769" s="161">
        <v>550000</v>
      </c>
      <c r="H2769" s="89"/>
      <c r="I2769" s="90"/>
      <c r="J2769" s="1667">
        <v>2210802</v>
      </c>
      <c r="K2769" s="1668" t="s">
        <v>97</v>
      </c>
      <c r="L2769" s="161">
        <v>550000</v>
      </c>
      <c r="N2769" s="161">
        <f t="shared" si="43"/>
        <v>0</v>
      </c>
    </row>
    <row r="2770" spans="2:14">
      <c r="B2770" s="1708"/>
      <c r="C2770" s="1662"/>
      <c r="D2770" s="1663">
        <v>2211000</v>
      </c>
      <c r="E2770" s="1664" t="s">
        <v>118</v>
      </c>
      <c r="F2770" s="1674">
        <v>1520000</v>
      </c>
      <c r="H2770" s="1708"/>
      <c r="I2770" s="1662"/>
      <c r="J2770" s="1663">
        <v>2211000</v>
      </c>
      <c r="K2770" s="1664" t="s">
        <v>118</v>
      </c>
      <c r="L2770" s="1674">
        <v>1520000</v>
      </c>
      <c r="N2770" s="1674">
        <f t="shared" si="43"/>
        <v>0</v>
      </c>
    </row>
    <row r="2771" spans="2:14">
      <c r="B2771" s="89"/>
      <c r="C2771" s="90"/>
      <c r="D2771" s="1667">
        <v>2211016</v>
      </c>
      <c r="E2771" s="1668" t="s">
        <v>196</v>
      </c>
      <c r="F2771" s="161">
        <v>850000</v>
      </c>
      <c r="H2771" s="89"/>
      <c r="I2771" s="90"/>
      <c r="J2771" s="1667">
        <v>2211016</v>
      </c>
      <c r="K2771" s="1668" t="s">
        <v>196</v>
      </c>
      <c r="L2771" s="161">
        <v>850000</v>
      </c>
      <c r="N2771" s="161">
        <f t="shared" si="43"/>
        <v>0</v>
      </c>
    </row>
    <row r="2772" spans="2:14">
      <c r="B2772" s="89"/>
      <c r="C2772" s="90"/>
      <c r="D2772" s="1667">
        <v>2211031</v>
      </c>
      <c r="E2772" s="1668" t="s">
        <v>1465</v>
      </c>
      <c r="F2772" s="161">
        <v>670000</v>
      </c>
      <c r="H2772" s="89"/>
      <c r="I2772" s="90"/>
      <c r="J2772" s="1667">
        <v>2211031</v>
      </c>
      <c r="K2772" s="1668" t="s">
        <v>1465</v>
      </c>
      <c r="L2772" s="161">
        <v>670000</v>
      </c>
      <c r="N2772" s="161">
        <f t="shared" si="43"/>
        <v>0</v>
      </c>
    </row>
    <row r="2773" spans="2:14">
      <c r="B2773" s="1708"/>
      <c r="C2773" s="1662"/>
      <c r="D2773" s="1663">
        <v>2211100</v>
      </c>
      <c r="E2773" s="1664" t="s">
        <v>51</v>
      </c>
      <c r="F2773" s="1674">
        <v>300000</v>
      </c>
      <c r="H2773" s="1708"/>
      <c r="I2773" s="1662"/>
      <c r="J2773" s="1663">
        <v>2211100</v>
      </c>
      <c r="K2773" s="1664" t="s">
        <v>51</v>
      </c>
      <c r="L2773" s="1674">
        <v>300000</v>
      </c>
      <c r="N2773" s="1674">
        <f t="shared" si="43"/>
        <v>0</v>
      </c>
    </row>
    <row r="2774" spans="2:14" ht="30">
      <c r="B2774" s="89"/>
      <c r="C2774" s="90"/>
      <c r="D2774" s="1667">
        <v>2211101</v>
      </c>
      <c r="E2774" s="74" t="s">
        <v>197</v>
      </c>
      <c r="F2774" s="161">
        <v>300000</v>
      </c>
      <c r="H2774" s="89"/>
      <c r="I2774" s="90"/>
      <c r="J2774" s="1667">
        <v>2211101</v>
      </c>
      <c r="K2774" s="74" t="s">
        <v>197</v>
      </c>
      <c r="L2774" s="161">
        <v>300000</v>
      </c>
      <c r="N2774" s="161">
        <f t="shared" si="43"/>
        <v>0</v>
      </c>
    </row>
    <row r="2775" spans="2:14">
      <c r="B2775" s="1708"/>
      <c r="C2775" s="1662"/>
      <c r="D2775" s="1663">
        <v>2211200</v>
      </c>
      <c r="E2775" s="1664" t="s">
        <v>55</v>
      </c>
      <c r="F2775" s="1674">
        <v>1300000</v>
      </c>
      <c r="H2775" s="1708"/>
      <c r="I2775" s="1662"/>
      <c r="J2775" s="1663">
        <v>2211200</v>
      </c>
      <c r="K2775" s="1664" t="s">
        <v>55</v>
      </c>
      <c r="L2775" s="1674">
        <v>1300000</v>
      </c>
      <c r="N2775" s="1674">
        <f t="shared" si="43"/>
        <v>0</v>
      </c>
    </row>
    <row r="2776" spans="2:14">
      <c r="B2776" s="89"/>
      <c r="C2776" s="90"/>
      <c r="D2776" s="1667">
        <v>2211201</v>
      </c>
      <c r="E2776" s="1668" t="s">
        <v>56</v>
      </c>
      <c r="F2776" s="161">
        <v>1300000</v>
      </c>
      <c r="H2776" s="89"/>
      <c r="I2776" s="90"/>
      <c r="J2776" s="1667">
        <v>2211201</v>
      </c>
      <c r="K2776" s="1668" t="s">
        <v>56</v>
      </c>
      <c r="L2776" s="161">
        <v>1300000</v>
      </c>
      <c r="N2776" s="161">
        <f t="shared" si="43"/>
        <v>0</v>
      </c>
    </row>
    <row r="2777" spans="2:14">
      <c r="B2777" s="1708"/>
      <c r="C2777" s="1662"/>
      <c r="D2777" s="1663">
        <v>3110700</v>
      </c>
      <c r="E2777" s="1680" t="s">
        <v>65</v>
      </c>
      <c r="F2777" s="1674">
        <v>18500000</v>
      </c>
      <c r="H2777" s="1708"/>
      <c r="I2777" s="1662"/>
      <c r="J2777" s="1663">
        <v>3110700</v>
      </c>
      <c r="K2777" s="1680" t="s">
        <v>65</v>
      </c>
      <c r="L2777" s="1674">
        <v>18500000</v>
      </c>
      <c r="N2777" s="1674">
        <f t="shared" si="43"/>
        <v>0</v>
      </c>
    </row>
    <row r="2778" spans="2:14">
      <c r="B2778" s="89"/>
      <c r="C2778" s="90"/>
      <c r="D2778" s="1667">
        <v>3110701</v>
      </c>
      <c r="E2778" s="74" t="s">
        <v>1466</v>
      </c>
      <c r="F2778" s="161">
        <v>17000000</v>
      </c>
      <c r="H2778" s="89"/>
      <c r="I2778" s="90"/>
      <c r="J2778" s="1667">
        <v>3110701</v>
      </c>
      <c r="K2778" s="74" t="s">
        <v>1466</v>
      </c>
      <c r="L2778" s="161">
        <v>17000000</v>
      </c>
      <c r="N2778" s="161">
        <f t="shared" si="43"/>
        <v>0</v>
      </c>
    </row>
    <row r="2779" spans="2:14">
      <c r="B2779" s="89"/>
      <c r="C2779" s="90"/>
      <c r="D2779" s="1667">
        <v>3110704</v>
      </c>
      <c r="E2779" s="74" t="s">
        <v>1467</v>
      </c>
      <c r="F2779" s="161">
        <v>1500000</v>
      </c>
      <c r="H2779" s="89"/>
      <c r="I2779" s="90"/>
      <c r="J2779" s="1667">
        <v>3110704</v>
      </c>
      <c r="K2779" s="74" t="s">
        <v>1467</v>
      </c>
      <c r="L2779" s="161">
        <v>1500000</v>
      </c>
      <c r="N2779" s="161">
        <f t="shared" si="43"/>
        <v>0</v>
      </c>
    </row>
    <row r="2780" spans="2:14">
      <c r="B2780" s="1708"/>
      <c r="C2780" s="1662"/>
      <c r="D2780" s="1874">
        <v>3111000</v>
      </c>
      <c r="E2780" s="1664" t="s">
        <v>69</v>
      </c>
      <c r="F2780" s="1674">
        <v>1170000</v>
      </c>
      <c r="H2780" s="1708"/>
      <c r="I2780" s="1662"/>
      <c r="J2780" s="1874">
        <v>3111000</v>
      </c>
      <c r="K2780" s="1664" t="s">
        <v>69</v>
      </c>
      <c r="L2780" s="1674">
        <v>1170000</v>
      </c>
      <c r="N2780" s="1674">
        <f t="shared" si="43"/>
        <v>0</v>
      </c>
    </row>
    <row r="2781" spans="2:14">
      <c r="B2781" s="89"/>
      <c r="C2781" s="90"/>
      <c r="D2781" s="1667">
        <v>3111001</v>
      </c>
      <c r="E2781" s="1668" t="s">
        <v>70</v>
      </c>
      <c r="F2781" s="161">
        <v>450000</v>
      </c>
      <c r="H2781" s="89"/>
      <c r="I2781" s="90"/>
      <c r="J2781" s="1667">
        <v>3111001</v>
      </c>
      <c r="K2781" s="1668" t="s">
        <v>70</v>
      </c>
      <c r="L2781" s="161">
        <v>450000</v>
      </c>
      <c r="N2781" s="161">
        <f t="shared" si="43"/>
        <v>0</v>
      </c>
    </row>
    <row r="2782" spans="2:14">
      <c r="B2782" s="89"/>
      <c r="C2782" s="90"/>
      <c r="D2782" s="1667">
        <v>3111002</v>
      </c>
      <c r="E2782" s="1668" t="s">
        <v>71</v>
      </c>
      <c r="F2782" s="161">
        <v>720000</v>
      </c>
      <c r="H2782" s="89"/>
      <c r="I2782" s="90"/>
      <c r="J2782" s="1667">
        <v>3111002</v>
      </c>
      <c r="K2782" s="1668" t="s">
        <v>71</v>
      </c>
      <c r="L2782" s="161">
        <v>720000</v>
      </c>
      <c r="N2782" s="161">
        <f t="shared" si="43"/>
        <v>0</v>
      </c>
    </row>
    <row r="2783" spans="2:14">
      <c r="B2783" s="1708"/>
      <c r="C2783" s="1662"/>
      <c r="D2783" s="1663">
        <v>3111400</v>
      </c>
      <c r="E2783" s="1664" t="s">
        <v>1468</v>
      </c>
      <c r="F2783" s="1674">
        <v>4000000</v>
      </c>
      <c r="H2783" s="1708"/>
      <c r="I2783" s="1662"/>
      <c r="J2783" s="1663">
        <v>3111400</v>
      </c>
      <c r="K2783" s="1664" t="s">
        <v>1468</v>
      </c>
      <c r="L2783" s="1674">
        <v>4000000</v>
      </c>
      <c r="N2783" s="1674">
        <f t="shared" si="43"/>
        <v>0</v>
      </c>
    </row>
    <row r="2784" spans="2:14">
      <c r="B2784" s="89"/>
      <c r="C2784" s="90"/>
      <c r="D2784" s="1667">
        <v>3111401</v>
      </c>
      <c r="E2784" s="1668" t="s">
        <v>1469</v>
      </c>
      <c r="F2784" s="161">
        <v>2000000</v>
      </c>
      <c r="H2784" s="89"/>
      <c r="I2784" s="90"/>
      <c r="J2784" s="1667">
        <v>3111401</v>
      </c>
      <c r="K2784" s="1668" t="s">
        <v>1469</v>
      </c>
      <c r="L2784" s="161">
        <v>2000000</v>
      </c>
      <c r="N2784" s="161">
        <f t="shared" si="43"/>
        <v>0</v>
      </c>
    </row>
    <row r="2785" spans="2:14">
      <c r="B2785" s="89"/>
      <c r="C2785" s="90"/>
      <c r="D2785" s="1667">
        <v>3111402</v>
      </c>
      <c r="E2785" s="1668" t="s">
        <v>1470</v>
      </c>
      <c r="F2785" s="161">
        <v>2000000</v>
      </c>
      <c r="H2785" s="89"/>
      <c r="I2785" s="90"/>
      <c r="J2785" s="1667">
        <v>3111402</v>
      </c>
      <c r="K2785" s="1668" t="s">
        <v>1470</v>
      </c>
      <c r="L2785" s="161">
        <v>2000000</v>
      </c>
      <c r="N2785" s="161">
        <f t="shared" si="43"/>
        <v>0</v>
      </c>
    </row>
    <row r="2786" spans="2:14">
      <c r="B2786" s="1708"/>
      <c r="C2786" s="1662"/>
      <c r="D2786" s="1663" t="s">
        <v>99</v>
      </c>
      <c r="E2786" s="1875"/>
      <c r="F2786" s="1674">
        <v>35500000</v>
      </c>
      <c r="H2786" s="1708"/>
      <c r="I2786" s="1662"/>
      <c r="J2786" s="1663" t="s">
        <v>99</v>
      </c>
      <c r="K2786" s="1875"/>
      <c r="L2786" s="1674">
        <v>35500000</v>
      </c>
      <c r="N2786" s="1674">
        <f t="shared" si="43"/>
        <v>0</v>
      </c>
    </row>
    <row r="2787" spans="2:14">
      <c r="B2787" s="1708"/>
      <c r="C2787" s="1662"/>
      <c r="D2787" s="61"/>
      <c r="E2787" s="74"/>
      <c r="F2787" s="161"/>
      <c r="H2787" s="1708"/>
      <c r="I2787" s="1662"/>
      <c r="J2787" s="61"/>
      <c r="K2787" s="74"/>
      <c r="L2787" s="161"/>
      <c r="N2787" s="161">
        <f t="shared" si="43"/>
        <v>0</v>
      </c>
    </row>
    <row r="2788" spans="2:14">
      <c r="B2788" s="1708"/>
      <c r="C2788" s="1662"/>
      <c r="D2788" s="1671" t="s">
        <v>84</v>
      </c>
      <c r="E2788" s="1680"/>
      <c r="F2788" s="1674">
        <v>35500000</v>
      </c>
      <c r="H2788" s="1708"/>
      <c r="I2788" s="1662"/>
      <c r="J2788" s="1671" t="s">
        <v>84</v>
      </c>
      <c r="K2788" s="1680"/>
      <c r="L2788" s="1674">
        <v>35500000</v>
      </c>
      <c r="N2788" s="1674">
        <f t="shared" si="43"/>
        <v>0</v>
      </c>
    </row>
    <row r="2789" spans="2:14">
      <c r="B2789" s="1708" t="s">
        <v>447</v>
      </c>
      <c r="C2789" s="1662"/>
      <c r="D2789" s="1671"/>
      <c r="E2789" s="1680"/>
      <c r="F2789" s="161"/>
      <c r="H2789" s="1708" t="s">
        <v>447</v>
      </c>
      <c r="I2789" s="1662"/>
      <c r="J2789" s="1671"/>
      <c r="K2789" s="1680"/>
      <c r="L2789" s="161"/>
      <c r="N2789" s="161">
        <f t="shared" si="43"/>
        <v>0</v>
      </c>
    </row>
    <row r="2790" spans="2:14">
      <c r="B2790" s="1708"/>
      <c r="C2790" s="1708" t="s">
        <v>146</v>
      </c>
      <c r="D2790" s="1671" t="s">
        <v>553</v>
      </c>
      <c r="E2790" s="1680"/>
      <c r="F2790" s="161"/>
      <c r="H2790" s="1708"/>
      <c r="I2790" s="1708" t="s">
        <v>146</v>
      </c>
      <c r="J2790" s="1671" t="s">
        <v>553</v>
      </c>
      <c r="K2790" s="1680"/>
      <c r="L2790" s="161"/>
      <c r="N2790" s="161">
        <f t="shared" si="43"/>
        <v>0</v>
      </c>
    </row>
    <row r="2791" spans="2:14">
      <c r="B2791" s="1708"/>
      <c r="C2791" s="1662"/>
      <c r="D2791" s="1663">
        <v>2210300</v>
      </c>
      <c r="E2791" s="1664" t="s">
        <v>24</v>
      </c>
      <c r="F2791" s="1674">
        <v>1453910</v>
      </c>
      <c r="H2791" s="1708"/>
      <c r="I2791" s="1662"/>
      <c r="J2791" s="1663">
        <v>2210300</v>
      </c>
      <c r="K2791" s="1664" t="s">
        <v>24</v>
      </c>
      <c r="L2791" s="1674">
        <v>1453910</v>
      </c>
      <c r="N2791" s="1674">
        <f t="shared" si="43"/>
        <v>0</v>
      </c>
    </row>
    <row r="2792" spans="2:14">
      <c r="B2792" s="89"/>
      <c r="C2792" s="90"/>
      <c r="D2792" s="1667">
        <v>2210301</v>
      </c>
      <c r="E2792" s="1668" t="s">
        <v>188</v>
      </c>
      <c r="F2792" s="161">
        <v>434053</v>
      </c>
      <c r="H2792" s="89"/>
      <c r="I2792" s="90"/>
      <c r="J2792" s="1667">
        <v>2210301</v>
      </c>
      <c r="K2792" s="1668" t="s">
        <v>188</v>
      </c>
      <c r="L2792" s="161">
        <v>434053</v>
      </c>
      <c r="N2792" s="161">
        <f t="shared" si="43"/>
        <v>0</v>
      </c>
    </row>
    <row r="2793" spans="2:14">
      <c r="B2793" s="89"/>
      <c r="C2793" s="90"/>
      <c r="D2793" s="1667">
        <v>2210302</v>
      </c>
      <c r="E2793" s="1668" t="s">
        <v>26</v>
      </c>
      <c r="F2793" s="161">
        <v>544457</v>
      </c>
      <c r="H2793" s="89"/>
      <c r="I2793" s="90"/>
      <c r="J2793" s="1667">
        <v>2210302</v>
      </c>
      <c r="K2793" s="1668" t="s">
        <v>26</v>
      </c>
      <c r="L2793" s="161">
        <v>544457</v>
      </c>
      <c r="N2793" s="161">
        <f t="shared" si="43"/>
        <v>0</v>
      </c>
    </row>
    <row r="2794" spans="2:14">
      <c r="B2794" s="89"/>
      <c r="C2794" s="90"/>
      <c r="D2794" s="1667">
        <v>2210303</v>
      </c>
      <c r="E2794" s="74" t="s">
        <v>223</v>
      </c>
      <c r="F2794" s="161">
        <v>475400</v>
      </c>
      <c r="H2794" s="89"/>
      <c r="I2794" s="90"/>
      <c r="J2794" s="1667">
        <v>2210303</v>
      </c>
      <c r="K2794" s="74" t="s">
        <v>223</v>
      </c>
      <c r="L2794" s="161">
        <v>475400</v>
      </c>
      <c r="N2794" s="161">
        <f t="shared" si="43"/>
        <v>0</v>
      </c>
    </row>
    <row r="2795" spans="2:14">
      <c r="B2795" s="1708"/>
      <c r="C2795" s="1662"/>
      <c r="D2795" s="1663">
        <v>2210500</v>
      </c>
      <c r="E2795" s="1664" t="s">
        <v>31</v>
      </c>
      <c r="F2795" s="1674">
        <v>420000</v>
      </c>
      <c r="H2795" s="1708"/>
      <c r="I2795" s="1662"/>
      <c r="J2795" s="1663">
        <v>2210500</v>
      </c>
      <c r="K2795" s="1664" t="s">
        <v>31</v>
      </c>
      <c r="L2795" s="1674">
        <v>420000</v>
      </c>
      <c r="N2795" s="1674">
        <f t="shared" si="43"/>
        <v>0</v>
      </c>
    </row>
    <row r="2796" spans="2:14">
      <c r="B2796" s="89"/>
      <c r="C2796" s="90"/>
      <c r="D2796" s="1667">
        <v>2210505</v>
      </c>
      <c r="E2796" s="1668" t="s">
        <v>192</v>
      </c>
      <c r="F2796" s="161">
        <v>420000</v>
      </c>
      <c r="H2796" s="89"/>
      <c r="I2796" s="90"/>
      <c r="J2796" s="1667">
        <v>2210505</v>
      </c>
      <c r="K2796" s="1668" t="s">
        <v>192</v>
      </c>
      <c r="L2796" s="161">
        <v>420000</v>
      </c>
      <c r="N2796" s="161">
        <f t="shared" si="43"/>
        <v>0</v>
      </c>
    </row>
    <row r="2797" spans="2:14">
      <c r="B2797" s="1708"/>
      <c r="C2797" s="1662"/>
      <c r="D2797" s="1663">
        <v>2210600</v>
      </c>
      <c r="E2797" s="1664" t="s">
        <v>154</v>
      </c>
      <c r="F2797" s="1674">
        <v>329826</v>
      </c>
      <c r="H2797" s="1708"/>
      <c r="I2797" s="1662"/>
      <c r="J2797" s="1663">
        <v>2210600</v>
      </c>
      <c r="K2797" s="1664" t="s">
        <v>154</v>
      </c>
      <c r="L2797" s="1674">
        <v>329826</v>
      </c>
      <c r="N2797" s="1674">
        <f t="shared" si="43"/>
        <v>0</v>
      </c>
    </row>
    <row r="2798" spans="2:14">
      <c r="B2798" s="89"/>
      <c r="C2798" s="90"/>
      <c r="D2798" s="61">
        <v>2210606</v>
      </c>
      <c r="E2798" s="74" t="s">
        <v>554</v>
      </c>
      <c r="F2798" s="161">
        <v>329826</v>
      </c>
      <c r="H2798" s="89"/>
      <c r="I2798" s="90"/>
      <c r="J2798" s="61">
        <v>2210606</v>
      </c>
      <c r="K2798" s="74" t="s">
        <v>554</v>
      </c>
      <c r="L2798" s="161">
        <v>329826</v>
      </c>
      <c r="N2798" s="161">
        <f t="shared" si="43"/>
        <v>0</v>
      </c>
    </row>
    <row r="2799" spans="2:14">
      <c r="B2799" s="1708"/>
      <c r="C2799" s="1662"/>
      <c r="D2799" s="1671">
        <v>2211200</v>
      </c>
      <c r="E2799" s="1680" t="s">
        <v>55</v>
      </c>
      <c r="F2799" s="1674">
        <v>1024972</v>
      </c>
      <c r="H2799" s="1708"/>
      <c r="I2799" s="1662"/>
      <c r="J2799" s="1671">
        <v>2211200</v>
      </c>
      <c r="K2799" s="1680" t="s">
        <v>55</v>
      </c>
      <c r="L2799" s="1674">
        <v>1024972</v>
      </c>
      <c r="N2799" s="1674">
        <f t="shared" si="43"/>
        <v>0</v>
      </c>
    </row>
    <row r="2800" spans="2:14">
      <c r="B2800" s="89"/>
      <c r="C2800" s="90"/>
      <c r="D2800" s="61">
        <v>2211201</v>
      </c>
      <c r="E2800" s="74" t="s">
        <v>56</v>
      </c>
      <c r="F2800" s="161">
        <v>1024972</v>
      </c>
      <c r="H2800" s="89"/>
      <c r="I2800" s="90"/>
      <c r="J2800" s="61">
        <v>2211201</v>
      </c>
      <c r="K2800" s="74" t="s">
        <v>56</v>
      </c>
      <c r="L2800" s="161">
        <v>1024972</v>
      </c>
      <c r="N2800" s="161">
        <f t="shared" si="43"/>
        <v>0</v>
      </c>
    </row>
    <row r="2801" spans="2:14">
      <c r="B2801" s="1708"/>
      <c r="C2801" s="1662"/>
      <c r="D2801" s="1663" t="s">
        <v>99</v>
      </c>
      <c r="E2801" s="1875"/>
      <c r="F2801" s="1674">
        <v>3228708</v>
      </c>
      <c r="H2801" s="1708"/>
      <c r="I2801" s="1662"/>
      <c r="J2801" s="1663" t="s">
        <v>99</v>
      </c>
      <c r="K2801" s="1875"/>
      <c r="L2801" s="1674">
        <v>3228708</v>
      </c>
      <c r="N2801" s="1674">
        <f t="shared" si="43"/>
        <v>0</v>
      </c>
    </row>
    <row r="2802" spans="2:14">
      <c r="B2802" s="1708"/>
      <c r="C2802" s="1662"/>
      <c r="D2802" s="1663"/>
      <c r="E2802" s="1875"/>
      <c r="F2802" s="161"/>
      <c r="H2802" s="1708"/>
      <c r="I2802" s="1662"/>
      <c r="J2802" s="1663"/>
      <c r="K2802" s="1875"/>
      <c r="L2802" s="161"/>
      <c r="N2802" s="161">
        <f t="shared" si="43"/>
        <v>0</v>
      </c>
    </row>
    <row r="2803" spans="2:14">
      <c r="B2803" s="1708"/>
      <c r="C2803" s="1662"/>
      <c r="D2803" s="1663"/>
      <c r="E2803" s="1875"/>
      <c r="F2803" s="161"/>
      <c r="H2803" s="1708"/>
      <c r="I2803" s="1662"/>
      <c r="J2803" s="1663"/>
      <c r="K2803" s="1875"/>
      <c r="L2803" s="161"/>
      <c r="N2803" s="161">
        <f t="shared" si="43"/>
        <v>0</v>
      </c>
    </row>
    <row r="2804" spans="2:14">
      <c r="B2804" s="1708"/>
      <c r="C2804" s="1662"/>
      <c r="D2804" s="1663"/>
      <c r="E2804" s="1875" t="s">
        <v>92</v>
      </c>
      <c r="F2804" s="161"/>
      <c r="H2804" s="1708"/>
      <c r="I2804" s="1662"/>
      <c r="J2804" s="1663"/>
      <c r="K2804" s="1875" t="s">
        <v>92</v>
      </c>
      <c r="L2804" s="161"/>
      <c r="N2804" s="161">
        <f t="shared" si="43"/>
        <v>0</v>
      </c>
    </row>
    <row r="2805" spans="2:14">
      <c r="B2805" s="1708"/>
      <c r="C2805" s="1662"/>
      <c r="D2805" s="1761">
        <v>2630200</v>
      </c>
      <c r="E2805" s="1680" t="s">
        <v>534</v>
      </c>
      <c r="F2805" s="1674">
        <v>114279</v>
      </c>
      <c r="H2805" s="1708"/>
      <c r="I2805" s="1662"/>
      <c r="J2805" s="1761">
        <v>2630200</v>
      </c>
      <c r="K2805" s="1680" t="s">
        <v>534</v>
      </c>
      <c r="L2805" s="1674">
        <v>114279</v>
      </c>
      <c r="N2805" s="1674">
        <f t="shared" si="43"/>
        <v>0</v>
      </c>
    </row>
    <row r="2806" spans="2:14">
      <c r="B2806" s="89"/>
      <c r="C2806" s="90"/>
      <c r="D2806" s="62">
        <v>2630203</v>
      </c>
      <c r="E2806" s="74" t="s">
        <v>1854</v>
      </c>
      <c r="F2806" s="161">
        <v>114279</v>
      </c>
      <c r="H2806" s="89"/>
      <c r="I2806" s="90"/>
      <c r="J2806" s="62">
        <v>2630203</v>
      </c>
      <c r="K2806" s="74" t="s">
        <v>1854</v>
      </c>
      <c r="L2806" s="161">
        <v>114279</v>
      </c>
      <c r="N2806" s="161">
        <f t="shared" si="43"/>
        <v>0</v>
      </c>
    </row>
    <row r="2807" spans="2:14">
      <c r="B2807" s="1708"/>
      <c r="C2807" s="1662"/>
      <c r="D2807" s="1671">
        <v>3110200</v>
      </c>
      <c r="E2807" s="1680" t="s">
        <v>1738</v>
      </c>
      <c r="F2807" s="1674">
        <v>6000000</v>
      </c>
      <c r="H2807" s="1708"/>
      <c r="I2807" s="1662"/>
      <c r="J2807" s="1671">
        <v>3110200</v>
      </c>
      <c r="K2807" s="1680" t="s">
        <v>1738</v>
      </c>
      <c r="L2807" s="1674">
        <v>6000000</v>
      </c>
      <c r="N2807" s="1674">
        <f t="shared" si="43"/>
        <v>0</v>
      </c>
    </row>
    <row r="2808" spans="2:14" ht="30">
      <c r="B2808" s="89"/>
      <c r="C2808" s="90"/>
      <c r="D2808" s="91">
        <v>3110299</v>
      </c>
      <c r="E2808" s="158" t="s">
        <v>1846</v>
      </c>
      <c r="F2808" s="161">
        <v>6000000</v>
      </c>
      <c r="H2808" s="89"/>
      <c r="I2808" s="90"/>
      <c r="J2808" s="91">
        <v>3110299</v>
      </c>
      <c r="K2808" s="158" t="s">
        <v>1861</v>
      </c>
      <c r="L2808" s="161">
        <v>6000000</v>
      </c>
      <c r="N2808" s="161">
        <f t="shared" si="43"/>
        <v>0</v>
      </c>
    </row>
    <row r="2809" spans="2:14">
      <c r="B2809" s="1708"/>
      <c r="C2809" s="1662"/>
      <c r="D2809" s="1671">
        <v>3111400</v>
      </c>
      <c r="E2809" s="1680" t="s">
        <v>254</v>
      </c>
      <c r="F2809" s="1674">
        <v>1000000</v>
      </c>
      <c r="H2809" s="1708"/>
      <c r="I2809" s="1662"/>
      <c r="J2809" s="1671">
        <v>3111400</v>
      </c>
      <c r="K2809" s="1680" t="s">
        <v>254</v>
      </c>
      <c r="L2809" s="1674">
        <v>1000000</v>
      </c>
      <c r="N2809" s="1674">
        <f t="shared" si="43"/>
        <v>0</v>
      </c>
    </row>
    <row r="2810" spans="2:14" ht="30">
      <c r="B2810" s="89"/>
      <c r="C2810" s="90"/>
      <c r="D2810" s="61">
        <v>3111401</v>
      </c>
      <c r="E2810" s="74" t="s">
        <v>1471</v>
      </c>
      <c r="F2810" s="161">
        <v>500000</v>
      </c>
      <c r="H2810" s="89"/>
      <c r="I2810" s="90"/>
      <c r="J2810" s="61">
        <v>3111401</v>
      </c>
      <c r="K2810" s="74" t="s">
        <v>1471</v>
      </c>
      <c r="L2810" s="161">
        <v>500000</v>
      </c>
      <c r="N2810" s="161">
        <f t="shared" si="43"/>
        <v>0</v>
      </c>
    </row>
    <row r="2811" spans="2:14">
      <c r="B2811" s="84"/>
      <c r="C2811" s="85"/>
      <c r="D2811" s="91">
        <v>3111403</v>
      </c>
      <c r="E2811" s="158" t="s">
        <v>1472</v>
      </c>
      <c r="F2811" s="161">
        <v>500000</v>
      </c>
      <c r="H2811" s="84"/>
      <c r="I2811" s="85"/>
      <c r="J2811" s="91">
        <v>3111403</v>
      </c>
      <c r="K2811" s="158" t="s">
        <v>1472</v>
      </c>
      <c r="L2811" s="161">
        <v>500000</v>
      </c>
      <c r="N2811" s="161">
        <f t="shared" si="43"/>
        <v>0</v>
      </c>
    </row>
    <row r="2812" spans="2:14">
      <c r="B2812" s="1872"/>
      <c r="C2812" s="1872"/>
      <c r="D2812" s="1671" t="s">
        <v>175</v>
      </c>
      <c r="E2812" s="1680"/>
      <c r="F2812" s="1674">
        <v>7114279</v>
      </c>
      <c r="H2812" s="1872"/>
      <c r="I2812" s="1872"/>
      <c r="J2812" s="1671" t="s">
        <v>175</v>
      </c>
      <c r="K2812" s="1680"/>
      <c r="L2812" s="1674">
        <v>7114279</v>
      </c>
      <c r="N2812" s="1674">
        <f t="shared" si="43"/>
        <v>0</v>
      </c>
    </row>
    <row r="2813" spans="2:14">
      <c r="B2813" s="1872"/>
      <c r="C2813" s="1872"/>
      <c r="D2813" s="1671" t="s">
        <v>84</v>
      </c>
      <c r="E2813" s="1680"/>
      <c r="F2813" s="1674">
        <v>10342987</v>
      </c>
      <c r="H2813" s="1872"/>
      <c r="I2813" s="1872"/>
      <c r="J2813" s="1671" t="s">
        <v>84</v>
      </c>
      <c r="K2813" s="1680"/>
      <c r="L2813" s="1674">
        <v>10342987</v>
      </c>
      <c r="N2813" s="1674">
        <f t="shared" si="43"/>
        <v>0</v>
      </c>
    </row>
    <row r="2814" spans="2:14">
      <c r="B2814" s="1872"/>
      <c r="C2814" s="1872"/>
      <c r="D2814" s="1671"/>
      <c r="E2814" s="1680"/>
      <c r="F2814" s="1674"/>
      <c r="H2814" s="1872"/>
      <c r="I2814" s="1872"/>
      <c r="J2814" s="1671"/>
      <c r="K2814" s="1680"/>
      <c r="L2814" s="1674"/>
      <c r="N2814" s="1674">
        <f t="shared" si="43"/>
        <v>0</v>
      </c>
    </row>
    <row r="2815" spans="2:14">
      <c r="B2815" s="1661"/>
      <c r="C2815" s="1661"/>
      <c r="D2815" s="1545"/>
      <c r="E2815" s="1878" t="s">
        <v>1792</v>
      </c>
      <c r="F2815" s="1674">
        <v>153935344</v>
      </c>
      <c r="H2815" s="1661"/>
      <c r="I2815" s="1661"/>
      <c r="J2815" s="1545"/>
      <c r="K2815" s="1878" t="s">
        <v>1792</v>
      </c>
      <c r="L2815" s="1674">
        <v>153935344</v>
      </c>
      <c r="N2815" s="1674">
        <f t="shared" si="43"/>
        <v>0</v>
      </c>
    </row>
    <row r="2816" spans="2:14">
      <c r="B2816" s="1872"/>
      <c r="C2816" s="1872"/>
      <c r="D2816" s="1575"/>
      <c r="E2816" s="1508" t="s">
        <v>99</v>
      </c>
      <c r="F2816" s="1686">
        <v>122041343.99999999</v>
      </c>
      <c r="H2816" s="1872"/>
      <c r="I2816" s="1872"/>
      <c r="J2816" s="1575"/>
      <c r="K2816" s="1508" t="s">
        <v>99</v>
      </c>
      <c r="L2816" s="1686">
        <v>122041343.99999999</v>
      </c>
      <c r="N2816" s="1686">
        <f t="shared" si="43"/>
        <v>0</v>
      </c>
    </row>
    <row r="2817" spans="2:14">
      <c r="B2817" s="1872"/>
      <c r="C2817" s="1872"/>
      <c r="D2817" s="1575"/>
      <c r="E2817" s="1508" t="s">
        <v>175</v>
      </c>
      <c r="F2817" s="1686">
        <v>187633726</v>
      </c>
      <c r="H2817" s="1872"/>
      <c r="I2817" s="1872"/>
      <c r="J2817" s="1575"/>
      <c r="K2817" s="1508" t="s">
        <v>175</v>
      </c>
      <c r="L2817" s="1686">
        <v>187633726</v>
      </c>
      <c r="N2817" s="1686">
        <f t="shared" si="43"/>
        <v>0</v>
      </c>
    </row>
    <row r="2818" spans="2:14">
      <c r="B2818" s="1872"/>
      <c r="C2818" s="1872"/>
      <c r="D2818" s="1656" t="s">
        <v>1272</v>
      </c>
      <c r="E2818" s="1657"/>
      <c r="F2818" s="1686">
        <v>309675070</v>
      </c>
      <c r="H2818" s="1872"/>
      <c r="I2818" s="1872"/>
      <c r="J2818" s="1656" t="s">
        <v>1272</v>
      </c>
      <c r="K2818" s="1657"/>
      <c r="L2818" s="1686">
        <v>309675070</v>
      </c>
      <c r="N2818" s="1686">
        <f t="shared" si="43"/>
        <v>0</v>
      </c>
    </row>
    <row r="2819" spans="2:14">
      <c r="B2819" s="1872"/>
      <c r="C2819" s="1872"/>
      <c r="D2819" s="1507"/>
      <c r="E2819" s="1658"/>
      <c r="F2819" s="1686"/>
      <c r="H2819" s="1872"/>
      <c r="I2819" s="1872"/>
      <c r="J2819" s="1507"/>
      <c r="K2819" s="1658"/>
      <c r="L2819" s="1686"/>
      <c r="N2819" s="1686">
        <f t="shared" si="43"/>
        <v>0</v>
      </c>
    </row>
    <row r="2820" spans="2:14">
      <c r="B2820" s="1872"/>
      <c r="C2820" s="1872"/>
      <c r="D2820" s="1507"/>
      <c r="E2820" s="1658"/>
      <c r="F2820" s="1686"/>
      <c r="H2820" s="1872"/>
      <c r="I2820" s="1872"/>
      <c r="J2820" s="1507"/>
      <c r="K2820" s="1658"/>
      <c r="L2820" s="1686"/>
      <c r="N2820" s="1686">
        <f t="shared" si="43"/>
        <v>0</v>
      </c>
    </row>
    <row r="2821" spans="2:14">
      <c r="B2821" s="36"/>
      <c r="C2821" s="36"/>
      <c r="D2821" s="1507" t="s">
        <v>1256</v>
      </c>
      <c r="E2821" s="1620"/>
      <c r="F2821" s="1660"/>
      <c r="H2821" s="36"/>
      <c r="I2821" s="36"/>
      <c r="J2821" s="1507" t="s">
        <v>1256</v>
      </c>
      <c r="K2821" s="1620"/>
      <c r="L2821" s="1660"/>
      <c r="N2821" s="1660">
        <f t="shared" si="43"/>
        <v>0</v>
      </c>
    </row>
    <row r="2822" spans="2:14">
      <c r="B2822" s="19" t="s">
        <v>178</v>
      </c>
      <c r="C2822" s="92"/>
      <c r="D2822" s="1671" t="s">
        <v>555</v>
      </c>
      <c r="E2822" s="1680"/>
      <c r="F2822" s="164"/>
      <c r="H2822" s="19" t="s">
        <v>178</v>
      </c>
      <c r="I2822" s="92"/>
      <c r="J2822" s="1671" t="s">
        <v>555</v>
      </c>
      <c r="K2822" s="1680"/>
      <c r="L2822" s="164"/>
      <c r="N2822" s="164">
        <f t="shared" si="43"/>
        <v>0</v>
      </c>
    </row>
    <row r="2823" spans="2:14">
      <c r="B2823" s="92"/>
      <c r="C2823" s="92" t="s">
        <v>146</v>
      </c>
      <c r="D2823" s="1671" t="s">
        <v>556</v>
      </c>
      <c r="E2823" s="1680"/>
      <c r="F2823" s="164"/>
      <c r="H2823" s="92"/>
      <c r="I2823" s="92" t="s">
        <v>146</v>
      </c>
      <c r="J2823" s="1671" t="s">
        <v>556</v>
      </c>
      <c r="K2823" s="1680"/>
      <c r="L2823" s="164"/>
      <c r="N2823" s="164">
        <f t="shared" si="43"/>
        <v>0</v>
      </c>
    </row>
    <row r="2824" spans="2:14">
      <c r="B2824" s="26"/>
      <c r="C2824" s="1681"/>
      <c r="D2824" s="1671">
        <v>2110100</v>
      </c>
      <c r="E2824" s="1680" t="s">
        <v>205</v>
      </c>
      <c r="F2824" s="1636">
        <v>69159768</v>
      </c>
      <c r="H2824" s="26"/>
      <c r="I2824" s="1681"/>
      <c r="J2824" s="1671">
        <v>2110100</v>
      </c>
      <c r="K2824" s="1680" t="s">
        <v>205</v>
      </c>
      <c r="L2824" s="1636">
        <v>69159768</v>
      </c>
      <c r="N2824" s="1636">
        <f t="shared" ref="N2824:N2887" si="44">F2824-L2824</f>
        <v>0</v>
      </c>
    </row>
    <row r="2825" spans="2:14">
      <c r="B2825" s="92"/>
      <c r="C2825" s="92"/>
      <c r="D2825" s="61">
        <v>2110101</v>
      </c>
      <c r="E2825" s="74" t="s">
        <v>206</v>
      </c>
      <c r="F2825" s="164">
        <v>69159768</v>
      </c>
      <c r="H2825" s="92"/>
      <c r="I2825" s="92"/>
      <c r="J2825" s="61">
        <v>2110101</v>
      </c>
      <c r="K2825" s="74" t="s">
        <v>206</v>
      </c>
      <c r="L2825" s="164">
        <v>69159768</v>
      </c>
      <c r="N2825" s="164">
        <f t="shared" si="44"/>
        <v>0</v>
      </c>
    </row>
    <row r="2826" spans="2:14">
      <c r="B2826" s="1681"/>
      <c r="C2826" s="1681"/>
      <c r="D2826" s="1671">
        <v>2210100</v>
      </c>
      <c r="E2826" s="1680" t="s">
        <v>207</v>
      </c>
      <c r="F2826" s="1636">
        <v>116000</v>
      </c>
      <c r="H2826" s="1681"/>
      <c r="I2826" s="1681"/>
      <c r="J2826" s="1671">
        <v>2210100</v>
      </c>
      <c r="K2826" s="1680" t="s">
        <v>207</v>
      </c>
      <c r="L2826" s="1636">
        <v>116000</v>
      </c>
      <c r="N2826" s="1636">
        <f t="shared" si="44"/>
        <v>0</v>
      </c>
    </row>
    <row r="2827" spans="2:14">
      <c r="B2827" s="92"/>
      <c r="C2827" s="92"/>
      <c r="D2827" s="61">
        <v>2210101</v>
      </c>
      <c r="E2827" s="74" t="s">
        <v>17</v>
      </c>
      <c r="F2827" s="164">
        <v>87000</v>
      </c>
      <c r="H2827" s="92"/>
      <c r="I2827" s="92"/>
      <c r="J2827" s="61">
        <v>2210101</v>
      </c>
      <c r="K2827" s="74" t="s">
        <v>17</v>
      </c>
      <c r="L2827" s="164">
        <v>87000</v>
      </c>
      <c r="N2827" s="164">
        <f t="shared" si="44"/>
        <v>0</v>
      </c>
    </row>
    <row r="2828" spans="2:14">
      <c r="B2828" s="92"/>
      <c r="C2828" s="92"/>
      <c r="D2828" s="61">
        <v>2210102</v>
      </c>
      <c r="E2828" s="74" t="s">
        <v>18</v>
      </c>
      <c r="F2828" s="164">
        <v>29000</v>
      </c>
      <c r="H2828" s="92"/>
      <c r="I2828" s="92"/>
      <c r="J2828" s="61">
        <v>2210102</v>
      </c>
      <c r="K2828" s="74" t="s">
        <v>18</v>
      </c>
      <c r="L2828" s="164">
        <v>29000</v>
      </c>
      <c r="N2828" s="164">
        <f t="shared" si="44"/>
        <v>0</v>
      </c>
    </row>
    <row r="2829" spans="2:14">
      <c r="B2829" s="1681"/>
      <c r="C2829" s="1681"/>
      <c r="D2829" s="1671">
        <v>2210200</v>
      </c>
      <c r="E2829" s="1680" t="s">
        <v>20</v>
      </c>
      <c r="F2829" s="1636">
        <v>75400</v>
      </c>
      <c r="H2829" s="1681"/>
      <c r="I2829" s="1681"/>
      <c r="J2829" s="1671">
        <v>2210200</v>
      </c>
      <c r="K2829" s="1680" t="s">
        <v>20</v>
      </c>
      <c r="L2829" s="1636">
        <v>75400</v>
      </c>
      <c r="N2829" s="1636">
        <f t="shared" si="44"/>
        <v>0</v>
      </c>
    </row>
    <row r="2830" spans="2:14">
      <c r="B2830" s="92"/>
      <c r="C2830" s="92"/>
      <c r="D2830" s="61">
        <v>2210201</v>
      </c>
      <c r="E2830" s="74" t="s">
        <v>187</v>
      </c>
      <c r="F2830" s="164">
        <v>58000</v>
      </c>
      <c r="H2830" s="92"/>
      <c r="I2830" s="92"/>
      <c r="J2830" s="61">
        <v>2210201</v>
      </c>
      <c r="K2830" s="74" t="s">
        <v>187</v>
      </c>
      <c r="L2830" s="164">
        <v>58000</v>
      </c>
      <c r="N2830" s="164">
        <f t="shared" si="44"/>
        <v>0</v>
      </c>
    </row>
    <row r="2831" spans="2:14">
      <c r="B2831" s="92"/>
      <c r="C2831" s="92"/>
      <c r="D2831" s="61">
        <v>2210203</v>
      </c>
      <c r="E2831" s="74" t="s">
        <v>557</v>
      </c>
      <c r="F2831" s="164">
        <v>17400</v>
      </c>
      <c r="H2831" s="92"/>
      <c r="I2831" s="92"/>
      <c r="J2831" s="61">
        <v>2210203</v>
      </c>
      <c r="K2831" s="74" t="s">
        <v>557</v>
      </c>
      <c r="L2831" s="164">
        <v>17400</v>
      </c>
      <c r="N2831" s="164">
        <f t="shared" si="44"/>
        <v>0</v>
      </c>
    </row>
    <row r="2832" spans="2:14">
      <c r="B2832" s="1681"/>
      <c r="C2832" s="1681"/>
      <c r="D2832" s="1671">
        <v>2210300</v>
      </c>
      <c r="E2832" s="1680" t="s">
        <v>24</v>
      </c>
      <c r="F2832" s="1636">
        <v>704352.14</v>
      </c>
      <c r="H2832" s="1681"/>
      <c r="I2832" s="1681"/>
      <c r="J2832" s="1671">
        <v>2210300</v>
      </c>
      <c r="K2832" s="1680" t="s">
        <v>24</v>
      </c>
      <c r="L2832" s="1636">
        <v>704352.14</v>
      </c>
      <c r="N2832" s="1636">
        <f t="shared" si="44"/>
        <v>0</v>
      </c>
    </row>
    <row r="2833" spans="2:14">
      <c r="B2833" s="92"/>
      <c r="C2833" s="92"/>
      <c r="D2833" s="61">
        <v>2210301</v>
      </c>
      <c r="E2833" s="74" t="s">
        <v>188</v>
      </c>
      <c r="F2833" s="164">
        <v>263352.14</v>
      </c>
      <c r="H2833" s="92"/>
      <c r="I2833" s="92"/>
      <c r="J2833" s="61">
        <v>2210301</v>
      </c>
      <c r="K2833" s="74" t="s">
        <v>188</v>
      </c>
      <c r="L2833" s="164">
        <v>263352.14</v>
      </c>
      <c r="N2833" s="164">
        <f t="shared" si="44"/>
        <v>0</v>
      </c>
    </row>
    <row r="2834" spans="2:14">
      <c r="B2834" s="92"/>
      <c r="C2834" s="92"/>
      <c r="D2834" s="61">
        <v>2210302</v>
      </c>
      <c r="E2834" s="74" t="s">
        <v>26</v>
      </c>
      <c r="F2834" s="164">
        <v>235000</v>
      </c>
      <c r="H2834" s="92"/>
      <c r="I2834" s="92"/>
      <c r="J2834" s="61">
        <v>2210302</v>
      </c>
      <c r="K2834" s="74" t="s">
        <v>26</v>
      </c>
      <c r="L2834" s="164">
        <v>235000</v>
      </c>
      <c r="N2834" s="164">
        <f t="shared" si="44"/>
        <v>0</v>
      </c>
    </row>
    <row r="2835" spans="2:14">
      <c r="B2835" s="92"/>
      <c r="C2835" s="92"/>
      <c r="D2835" s="61">
        <v>2210303</v>
      </c>
      <c r="E2835" s="74" t="s">
        <v>558</v>
      </c>
      <c r="F2835" s="164">
        <v>206000</v>
      </c>
      <c r="H2835" s="92"/>
      <c r="I2835" s="92"/>
      <c r="J2835" s="61">
        <v>2210303</v>
      </c>
      <c r="K2835" s="74" t="s">
        <v>558</v>
      </c>
      <c r="L2835" s="164">
        <v>206000</v>
      </c>
      <c r="N2835" s="164">
        <f t="shared" si="44"/>
        <v>0</v>
      </c>
    </row>
    <row r="2836" spans="2:14">
      <c r="B2836" s="1681"/>
      <c r="C2836" s="1681"/>
      <c r="D2836" s="1671">
        <v>2210400</v>
      </c>
      <c r="E2836" s="1680" t="s">
        <v>189</v>
      </c>
      <c r="F2836" s="1636">
        <v>361100</v>
      </c>
      <c r="H2836" s="1681"/>
      <c r="I2836" s="1681"/>
      <c r="J2836" s="1671">
        <v>2210400</v>
      </c>
      <c r="K2836" s="1680" t="s">
        <v>189</v>
      </c>
      <c r="L2836" s="1636">
        <v>361100</v>
      </c>
      <c r="N2836" s="1636">
        <f t="shared" si="44"/>
        <v>0</v>
      </c>
    </row>
    <row r="2837" spans="2:14">
      <c r="B2837" s="92"/>
      <c r="C2837" s="92"/>
      <c r="D2837" s="61">
        <v>2210401</v>
      </c>
      <c r="E2837" s="74" t="s">
        <v>190</v>
      </c>
      <c r="F2837" s="164">
        <v>132000</v>
      </c>
      <c r="H2837" s="92"/>
      <c r="I2837" s="92"/>
      <c r="J2837" s="61">
        <v>2210401</v>
      </c>
      <c r="K2837" s="74" t="s">
        <v>190</v>
      </c>
      <c r="L2837" s="164">
        <v>132000</v>
      </c>
      <c r="N2837" s="164">
        <f t="shared" si="44"/>
        <v>0</v>
      </c>
    </row>
    <row r="2838" spans="2:14">
      <c r="B2838" s="92"/>
      <c r="C2838" s="92"/>
      <c r="D2838" s="61">
        <v>2210402</v>
      </c>
      <c r="E2838" s="74" t="s">
        <v>191</v>
      </c>
      <c r="F2838" s="164">
        <v>174000</v>
      </c>
      <c r="H2838" s="92"/>
      <c r="I2838" s="92"/>
      <c r="J2838" s="61">
        <v>2210402</v>
      </c>
      <c r="K2838" s="74" t="s">
        <v>191</v>
      </c>
      <c r="L2838" s="164">
        <v>174000</v>
      </c>
      <c r="N2838" s="164">
        <f t="shared" si="44"/>
        <v>0</v>
      </c>
    </row>
    <row r="2839" spans="2:14">
      <c r="B2839" s="92"/>
      <c r="C2839" s="92"/>
      <c r="D2839" s="61">
        <v>2210404</v>
      </c>
      <c r="E2839" s="74" t="s">
        <v>559</v>
      </c>
      <c r="F2839" s="164">
        <v>55100</v>
      </c>
      <c r="H2839" s="92"/>
      <c r="I2839" s="92"/>
      <c r="J2839" s="61">
        <v>2210404</v>
      </c>
      <c r="K2839" s="74" t="s">
        <v>559</v>
      </c>
      <c r="L2839" s="164">
        <v>55100</v>
      </c>
      <c r="N2839" s="164">
        <f t="shared" si="44"/>
        <v>0</v>
      </c>
    </row>
    <row r="2840" spans="2:14">
      <c r="B2840" s="1681"/>
      <c r="C2840" s="1681"/>
      <c r="D2840" s="1671">
        <v>2210500</v>
      </c>
      <c r="E2840" s="1885" t="s">
        <v>560</v>
      </c>
      <c r="F2840" s="1636">
        <v>1595000</v>
      </c>
      <c r="H2840" s="1681"/>
      <c r="I2840" s="1681"/>
      <c r="J2840" s="1671">
        <v>2210500</v>
      </c>
      <c r="K2840" s="1885" t="s">
        <v>560</v>
      </c>
      <c r="L2840" s="1636">
        <v>1595000</v>
      </c>
      <c r="N2840" s="1636">
        <f t="shared" si="44"/>
        <v>0</v>
      </c>
    </row>
    <row r="2841" spans="2:14">
      <c r="B2841" s="92"/>
      <c r="C2841" s="92"/>
      <c r="D2841" s="61">
        <v>2210503</v>
      </c>
      <c r="E2841" s="1858" t="s">
        <v>561</v>
      </c>
      <c r="F2841" s="164">
        <v>145000</v>
      </c>
      <c r="H2841" s="92"/>
      <c r="I2841" s="92"/>
      <c r="J2841" s="61">
        <v>2210503</v>
      </c>
      <c r="K2841" s="1858" t="s">
        <v>561</v>
      </c>
      <c r="L2841" s="164">
        <v>145000</v>
      </c>
      <c r="N2841" s="164">
        <f t="shared" si="44"/>
        <v>0</v>
      </c>
    </row>
    <row r="2842" spans="2:14">
      <c r="B2842" s="92"/>
      <c r="C2842" s="92"/>
      <c r="D2842" s="61">
        <v>2210505</v>
      </c>
      <c r="E2842" s="1858" t="s">
        <v>562</v>
      </c>
      <c r="F2842" s="164">
        <v>1300000</v>
      </c>
      <c r="H2842" s="92"/>
      <c r="I2842" s="92"/>
      <c r="J2842" s="61">
        <v>2210505</v>
      </c>
      <c r="K2842" s="1858" t="s">
        <v>562</v>
      </c>
      <c r="L2842" s="164">
        <v>1300000</v>
      </c>
      <c r="N2842" s="164">
        <f t="shared" si="44"/>
        <v>0</v>
      </c>
    </row>
    <row r="2843" spans="2:14">
      <c r="B2843" s="92"/>
      <c r="C2843" s="92"/>
      <c r="D2843" s="61">
        <v>2210599</v>
      </c>
      <c r="E2843" s="1858" t="s">
        <v>563</v>
      </c>
      <c r="F2843" s="164">
        <v>150000</v>
      </c>
      <c r="H2843" s="92"/>
      <c r="I2843" s="92"/>
      <c r="J2843" s="61">
        <v>2210599</v>
      </c>
      <c r="K2843" s="1858" t="s">
        <v>563</v>
      </c>
      <c r="L2843" s="164">
        <v>150000</v>
      </c>
      <c r="N2843" s="164">
        <f t="shared" si="44"/>
        <v>0</v>
      </c>
    </row>
    <row r="2844" spans="2:14">
      <c r="B2844" s="1681"/>
      <c r="C2844" s="1681"/>
      <c r="D2844" s="1671">
        <v>2210700</v>
      </c>
      <c r="E2844" s="1886" t="s">
        <v>35</v>
      </c>
      <c r="F2844" s="1636">
        <v>514000</v>
      </c>
      <c r="H2844" s="1681"/>
      <c r="I2844" s="1681"/>
      <c r="J2844" s="1671">
        <v>2210700</v>
      </c>
      <c r="K2844" s="1886" t="s">
        <v>35</v>
      </c>
      <c r="L2844" s="1636">
        <v>514000</v>
      </c>
      <c r="N2844" s="1636">
        <f t="shared" si="44"/>
        <v>0</v>
      </c>
    </row>
    <row r="2845" spans="2:14">
      <c r="B2845" s="92"/>
      <c r="C2845" s="92"/>
      <c r="D2845" s="61">
        <v>2210701</v>
      </c>
      <c r="E2845" s="29" t="s">
        <v>36</v>
      </c>
      <c r="F2845" s="164">
        <v>153000</v>
      </c>
      <c r="H2845" s="92"/>
      <c r="I2845" s="92"/>
      <c r="J2845" s="61">
        <v>2210701</v>
      </c>
      <c r="K2845" s="29" t="s">
        <v>36</v>
      </c>
      <c r="L2845" s="164">
        <v>153000</v>
      </c>
      <c r="N2845" s="164">
        <f t="shared" si="44"/>
        <v>0</v>
      </c>
    </row>
    <row r="2846" spans="2:14">
      <c r="B2846" s="92"/>
      <c r="C2846" s="92"/>
      <c r="D2846" s="61">
        <v>2210710</v>
      </c>
      <c r="E2846" s="29" t="s">
        <v>39</v>
      </c>
      <c r="F2846" s="164">
        <v>104000</v>
      </c>
      <c r="H2846" s="92"/>
      <c r="I2846" s="92"/>
      <c r="J2846" s="61">
        <v>2210710</v>
      </c>
      <c r="K2846" s="29" t="s">
        <v>39</v>
      </c>
      <c r="L2846" s="164">
        <v>104000</v>
      </c>
      <c r="N2846" s="164">
        <f t="shared" si="44"/>
        <v>0</v>
      </c>
    </row>
    <row r="2847" spans="2:14">
      <c r="B2847" s="92"/>
      <c r="C2847" s="92"/>
      <c r="D2847" s="61">
        <v>2210715</v>
      </c>
      <c r="E2847" s="29" t="s">
        <v>40</v>
      </c>
      <c r="F2847" s="164">
        <v>153000</v>
      </c>
      <c r="H2847" s="92"/>
      <c r="I2847" s="92"/>
      <c r="J2847" s="61">
        <v>2210715</v>
      </c>
      <c r="K2847" s="29" t="s">
        <v>40</v>
      </c>
      <c r="L2847" s="164">
        <v>153000</v>
      </c>
      <c r="N2847" s="164">
        <f t="shared" si="44"/>
        <v>0</v>
      </c>
    </row>
    <row r="2848" spans="2:14">
      <c r="B2848" s="92"/>
      <c r="C2848" s="92"/>
      <c r="D2848" s="61">
        <v>2210799</v>
      </c>
      <c r="E2848" s="29" t="s">
        <v>564</v>
      </c>
      <c r="F2848" s="164">
        <v>104000</v>
      </c>
      <c r="H2848" s="92"/>
      <c r="I2848" s="92"/>
      <c r="J2848" s="61">
        <v>2210799</v>
      </c>
      <c r="K2848" s="29" t="s">
        <v>564</v>
      </c>
      <c r="L2848" s="164">
        <v>104000</v>
      </c>
      <c r="N2848" s="164">
        <f t="shared" si="44"/>
        <v>0</v>
      </c>
    </row>
    <row r="2849" spans="2:14">
      <c r="B2849" s="1681"/>
      <c r="C2849" s="1681"/>
      <c r="D2849" s="1671">
        <v>2210800</v>
      </c>
      <c r="E2849" s="1680" t="s">
        <v>42</v>
      </c>
      <c r="F2849" s="1636">
        <v>472000</v>
      </c>
      <c r="H2849" s="1681"/>
      <c r="I2849" s="1681"/>
      <c r="J2849" s="1671">
        <v>2210800</v>
      </c>
      <c r="K2849" s="1680" t="s">
        <v>42</v>
      </c>
      <c r="L2849" s="1636">
        <v>472000</v>
      </c>
      <c r="N2849" s="1636">
        <f t="shared" si="44"/>
        <v>0</v>
      </c>
    </row>
    <row r="2850" spans="2:14">
      <c r="B2850" s="92"/>
      <c r="C2850" s="92"/>
      <c r="D2850" s="61">
        <v>2210801</v>
      </c>
      <c r="E2850" s="74" t="s">
        <v>43</v>
      </c>
      <c r="F2850" s="164">
        <v>290000</v>
      </c>
      <c r="H2850" s="92"/>
      <c r="I2850" s="92"/>
      <c r="J2850" s="61">
        <v>2210801</v>
      </c>
      <c r="K2850" s="74" t="s">
        <v>43</v>
      </c>
      <c r="L2850" s="164">
        <v>290000</v>
      </c>
      <c r="N2850" s="164">
        <f t="shared" si="44"/>
        <v>0</v>
      </c>
    </row>
    <row r="2851" spans="2:14">
      <c r="B2851" s="92"/>
      <c r="C2851" s="92"/>
      <c r="D2851" s="61">
        <v>2210802</v>
      </c>
      <c r="E2851" s="74" t="s">
        <v>565</v>
      </c>
      <c r="F2851" s="164">
        <v>182000</v>
      </c>
      <c r="H2851" s="92"/>
      <c r="I2851" s="92"/>
      <c r="J2851" s="61">
        <v>2210802</v>
      </c>
      <c r="K2851" s="74" t="s">
        <v>565</v>
      </c>
      <c r="L2851" s="164">
        <v>182000</v>
      </c>
      <c r="N2851" s="164">
        <f t="shared" si="44"/>
        <v>0</v>
      </c>
    </row>
    <row r="2852" spans="2:14">
      <c r="B2852" s="1681"/>
      <c r="C2852" s="1681"/>
      <c r="D2852" s="1671">
        <v>2211100</v>
      </c>
      <c r="E2852" s="1680" t="s">
        <v>51</v>
      </c>
      <c r="F2852" s="1636">
        <v>228400</v>
      </c>
      <c r="H2852" s="1681"/>
      <c r="I2852" s="1681"/>
      <c r="J2852" s="1671">
        <v>2211100</v>
      </c>
      <c r="K2852" s="1680" t="s">
        <v>51</v>
      </c>
      <c r="L2852" s="1636">
        <v>228400</v>
      </c>
      <c r="N2852" s="1636">
        <f t="shared" si="44"/>
        <v>0</v>
      </c>
    </row>
    <row r="2853" spans="2:14" ht="30">
      <c r="B2853" s="92"/>
      <c r="C2853" s="92"/>
      <c r="D2853" s="61">
        <v>2211101</v>
      </c>
      <c r="E2853" s="74" t="s">
        <v>197</v>
      </c>
      <c r="F2853" s="164">
        <v>145000</v>
      </c>
      <c r="H2853" s="92"/>
      <c r="I2853" s="92"/>
      <c r="J2853" s="61">
        <v>2211101</v>
      </c>
      <c r="K2853" s="74" t="s">
        <v>197</v>
      </c>
      <c r="L2853" s="164">
        <v>145000</v>
      </c>
      <c r="N2853" s="164">
        <f t="shared" si="44"/>
        <v>0</v>
      </c>
    </row>
    <row r="2854" spans="2:14">
      <c r="B2854" s="92"/>
      <c r="C2854" s="92"/>
      <c r="D2854" s="61">
        <v>2211102</v>
      </c>
      <c r="E2854" s="74" t="s">
        <v>213</v>
      </c>
      <c r="F2854" s="164">
        <v>83400</v>
      </c>
      <c r="H2854" s="92"/>
      <c r="I2854" s="92"/>
      <c r="J2854" s="61">
        <v>2211102</v>
      </c>
      <c r="K2854" s="74" t="s">
        <v>213</v>
      </c>
      <c r="L2854" s="164">
        <v>83400</v>
      </c>
      <c r="N2854" s="164">
        <f t="shared" si="44"/>
        <v>0</v>
      </c>
    </row>
    <row r="2855" spans="2:14">
      <c r="B2855" s="1681"/>
      <c r="C2855" s="1681"/>
      <c r="D2855" s="1671">
        <v>2211200</v>
      </c>
      <c r="E2855" s="1680" t="s">
        <v>55</v>
      </c>
      <c r="F2855" s="1636">
        <v>618565</v>
      </c>
      <c r="H2855" s="1681"/>
      <c r="I2855" s="1681"/>
      <c r="J2855" s="1671">
        <v>2211200</v>
      </c>
      <c r="K2855" s="1680" t="s">
        <v>55</v>
      </c>
      <c r="L2855" s="1636">
        <v>618565</v>
      </c>
      <c r="N2855" s="1636">
        <f t="shared" si="44"/>
        <v>0</v>
      </c>
    </row>
    <row r="2856" spans="2:14">
      <c r="B2856" s="92"/>
      <c r="C2856" s="92"/>
      <c r="D2856" s="61">
        <v>2211201</v>
      </c>
      <c r="E2856" s="74" t="s">
        <v>56</v>
      </c>
      <c r="F2856" s="164">
        <v>618565</v>
      </c>
      <c r="H2856" s="92"/>
      <c r="I2856" s="92"/>
      <c r="J2856" s="61">
        <v>2211201</v>
      </c>
      <c r="K2856" s="74" t="s">
        <v>56</v>
      </c>
      <c r="L2856" s="164">
        <v>618565</v>
      </c>
      <c r="N2856" s="164">
        <f t="shared" si="44"/>
        <v>0</v>
      </c>
    </row>
    <row r="2857" spans="2:14">
      <c r="B2857" s="1681"/>
      <c r="C2857" s="1681"/>
      <c r="D2857" s="1671">
        <v>2220100</v>
      </c>
      <c r="E2857" s="1680" t="s">
        <v>566</v>
      </c>
      <c r="F2857" s="1636">
        <v>145000</v>
      </c>
      <c r="H2857" s="1681"/>
      <c r="I2857" s="1681"/>
      <c r="J2857" s="1671">
        <v>2220100</v>
      </c>
      <c r="K2857" s="1680" t="s">
        <v>566</v>
      </c>
      <c r="L2857" s="1636">
        <v>145000</v>
      </c>
      <c r="N2857" s="1636">
        <f t="shared" si="44"/>
        <v>0</v>
      </c>
    </row>
    <row r="2858" spans="2:14">
      <c r="B2858" s="92"/>
      <c r="C2858" s="92"/>
      <c r="D2858" s="61">
        <v>2220105</v>
      </c>
      <c r="E2858" s="74" t="s">
        <v>567</v>
      </c>
      <c r="F2858" s="164">
        <v>145000</v>
      </c>
      <c r="H2858" s="92"/>
      <c r="I2858" s="92"/>
      <c r="J2858" s="61">
        <v>2220105</v>
      </c>
      <c r="K2858" s="74" t="s">
        <v>567</v>
      </c>
      <c r="L2858" s="164">
        <v>145000</v>
      </c>
      <c r="N2858" s="164">
        <f t="shared" si="44"/>
        <v>0</v>
      </c>
    </row>
    <row r="2859" spans="2:14">
      <c r="B2859" s="1681"/>
      <c r="C2859" s="1681"/>
      <c r="D2859" s="1671">
        <v>3111000</v>
      </c>
      <c r="E2859" s="1680" t="s">
        <v>216</v>
      </c>
      <c r="F2859" s="1636">
        <v>145000</v>
      </c>
      <c r="H2859" s="1681"/>
      <c r="I2859" s="1681"/>
      <c r="J2859" s="1671">
        <v>3111000</v>
      </c>
      <c r="K2859" s="1680" t="s">
        <v>216</v>
      </c>
      <c r="L2859" s="1636">
        <v>145000</v>
      </c>
      <c r="N2859" s="1636">
        <f t="shared" si="44"/>
        <v>0</v>
      </c>
    </row>
    <row r="2860" spans="2:14">
      <c r="B2860" s="1697"/>
      <c r="C2860" s="1697"/>
      <c r="D2860" s="61">
        <v>3111001</v>
      </c>
      <c r="E2860" s="74" t="s">
        <v>568</v>
      </c>
      <c r="F2860" s="164">
        <v>145000</v>
      </c>
      <c r="H2860" s="1697"/>
      <c r="I2860" s="1697"/>
      <c r="J2860" s="61">
        <v>3111001</v>
      </c>
      <c r="K2860" s="74" t="s">
        <v>568</v>
      </c>
      <c r="L2860" s="164">
        <v>145000</v>
      </c>
      <c r="N2860" s="164">
        <f t="shared" si="44"/>
        <v>0</v>
      </c>
    </row>
    <row r="2861" spans="2:14">
      <c r="B2861" s="1684"/>
      <c r="C2861" s="1684"/>
      <c r="D2861" s="1507"/>
      <c r="E2861" s="1620" t="s">
        <v>569</v>
      </c>
      <c r="F2861" s="1660">
        <v>74134585.140000001</v>
      </c>
      <c r="H2861" s="1684"/>
      <c r="I2861" s="1684"/>
      <c r="J2861" s="1507"/>
      <c r="K2861" s="1620" t="s">
        <v>569</v>
      </c>
      <c r="L2861" s="1660">
        <v>74134585.140000001</v>
      </c>
      <c r="N2861" s="1660">
        <f t="shared" si="44"/>
        <v>0</v>
      </c>
    </row>
    <row r="2862" spans="2:14">
      <c r="B2862" s="25"/>
      <c r="C2862" s="25"/>
      <c r="D2862" s="61"/>
      <c r="E2862" s="74"/>
      <c r="F2862" s="164"/>
      <c r="H2862" s="25"/>
      <c r="I2862" s="25"/>
      <c r="J2862" s="61"/>
      <c r="K2862" s="74"/>
      <c r="L2862" s="164"/>
      <c r="N2862" s="164">
        <f t="shared" si="44"/>
        <v>0</v>
      </c>
    </row>
    <row r="2863" spans="2:14">
      <c r="B2863" s="1684"/>
      <c r="C2863" s="1684" t="s">
        <v>9</v>
      </c>
      <c r="D2863" s="1507" t="s">
        <v>570</v>
      </c>
      <c r="E2863" s="1620"/>
      <c r="F2863" s="1660"/>
      <c r="H2863" s="1684"/>
      <c r="I2863" s="1684" t="s">
        <v>9</v>
      </c>
      <c r="J2863" s="1507" t="s">
        <v>570</v>
      </c>
      <c r="K2863" s="1620"/>
      <c r="L2863" s="1660"/>
      <c r="N2863" s="1660">
        <f t="shared" si="44"/>
        <v>0</v>
      </c>
    </row>
    <row r="2864" spans="2:14">
      <c r="B2864" s="1708" t="s">
        <v>168</v>
      </c>
      <c r="C2864" s="1708" t="s">
        <v>146</v>
      </c>
      <c r="D2864" s="1887" t="s">
        <v>571</v>
      </c>
      <c r="E2864" s="1738"/>
      <c r="F2864" s="150"/>
      <c r="H2864" s="1708" t="s">
        <v>168</v>
      </c>
      <c r="I2864" s="1708" t="s">
        <v>146</v>
      </c>
      <c r="J2864" s="1887" t="s">
        <v>571</v>
      </c>
      <c r="K2864" s="1738"/>
      <c r="L2864" s="150"/>
      <c r="N2864" s="150">
        <f t="shared" si="44"/>
        <v>0</v>
      </c>
    </row>
    <row r="2865" spans="2:14">
      <c r="B2865" s="1708"/>
      <c r="C2865" s="1708"/>
      <c r="D2865" s="1726">
        <v>2210100</v>
      </c>
      <c r="E2865" s="1738" t="s">
        <v>16</v>
      </c>
      <c r="F2865" s="1600">
        <v>137344</v>
      </c>
      <c r="H2865" s="1708"/>
      <c r="I2865" s="1708"/>
      <c r="J2865" s="1728">
        <v>2210100</v>
      </c>
      <c r="K2865" s="1738" t="s">
        <v>16</v>
      </c>
      <c r="L2865" s="1600">
        <v>137344</v>
      </c>
      <c r="N2865" s="1600">
        <f t="shared" si="44"/>
        <v>0</v>
      </c>
    </row>
    <row r="2866" spans="2:14">
      <c r="B2866" s="1708"/>
      <c r="C2866" s="1708"/>
      <c r="D2866" s="57">
        <v>2210101</v>
      </c>
      <c r="E2866" s="1737" t="s">
        <v>17</v>
      </c>
      <c r="F2866" s="1888">
        <v>50344</v>
      </c>
      <c r="H2866" s="1708"/>
      <c r="I2866" s="1708"/>
      <c r="J2866" s="1729">
        <v>2210101</v>
      </c>
      <c r="K2866" s="1737" t="s">
        <v>17</v>
      </c>
      <c r="L2866" s="1888">
        <v>50344</v>
      </c>
      <c r="N2866" s="1888">
        <f t="shared" si="44"/>
        <v>0</v>
      </c>
    </row>
    <row r="2867" spans="2:14">
      <c r="B2867" s="1708"/>
      <c r="C2867" s="1708"/>
      <c r="D2867" s="57">
        <v>2210102</v>
      </c>
      <c r="E2867" s="1737" t="s">
        <v>18</v>
      </c>
      <c r="F2867" s="1888">
        <v>87000</v>
      </c>
      <c r="H2867" s="1708"/>
      <c r="I2867" s="1708"/>
      <c r="J2867" s="1729">
        <v>2210102</v>
      </c>
      <c r="K2867" s="1737" t="s">
        <v>18</v>
      </c>
      <c r="L2867" s="1888">
        <v>87000</v>
      </c>
      <c r="N2867" s="1888">
        <f t="shared" si="44"/>
        <v>0</v>
      </c>
    </row>
    <row r="2868" spans="2:14">
      <c r="B2868" s="1708"/>
      <c r="C2868" s="1708"/>
      <c r="D2868" s="1726">
        <v>2210200</v>
      </c>
      <c r="E2868" s="1738" t="s">
        <v>20</v>
      </c>
      <c r="F2868" s="1600">
        <v>77140</v>
      </c>
      <c r="H2868" s="1708"/>
      <c r="I2868" s="1708"/>
      <c r="J2868" s="1728">
        <v>2210200</v>
      </c>
      <c r="K2868" s="1738" t="s">
        <v>20</v>
      </c>
      <c r="L2868" s="1600">
        <v>77140</v>
      </c>
      <c r="N2868" s="1600">
        <f t="shared" si="44"/>
        <v>0</v>
      </c>
    </row>
    <row r="2869" spans="2:14">
      <c r="B2869" s="1708"/>
      <c r="C2869" s="1708"/>
      <c r="D2869" s="57">
        <v>2210201</v>
      </c>
      <c r="E2869" s="1737" t="s">
        <v>187</v>
      </c>
      <c r="F2869" s="1888">
        <v>36540</v>
      </c>
      <c r="H2869" s="1708"/>
      <c r="I2869" s="1708"/>
      <c r="J2869" s="1729">
        <v>2210201</v>
      </c>
      <c r="K2869" s="1737" t="s">
        <v>187</v>
      </c>
      <c r="L2869" s="1888">
        <v>36540</v>
      </c>
      <c r="N2869" s="1888">
        <f t="shared" si="44"/>
        <v>0</v>
      </c>
    </row>
    <row r="2870" spans="2:14">
      <c r="B2870" s="1708"/>
      <c r="C2870" s="1708"/>
      <c r="D2870" s="57">
        <v>2210202</v>
      </c>
      <c r="E2870" s="1737" t="s">
        <v>22</v>
      </c>
      <c r="F2870" s="1888">
        <v>36540</v>
      </c>
      <c r="H2870" s="1708"/>
      <c r="I2870" s="1708"/>
      <c r="J2870" s="1729">
        <v>2210202</v>
      </c>
      <c r="K2870" s="1737" t="s">
        <v>22</v>
      </c>
      <c r="L2870" s="1888">
        <v>36540</v>
      </c>
      <c r="N2870" s="1888">
        <f t="shared" si="44"/>
        <v>0</v>
      </c>
    </row>
    <row r="2871" spans="2:14">
      <c r="B2871" s="1708"/>
      <c r="C2871" s="1708"/>
      <c r="D2871" s="57">
        <v>2210203</v>
      </c>
      <c r="E2871" s="1737" t="s">
        <v>23</v>
      </c>
      <c r="F2871" s="1888">
        <v>4060</v>
      </c>
      <c r="H2871" s="1708"/>
      <c r="I2871" s="1708"/>
      <c r="J2871" s="1729">
        <v>2210203</v>
      </c>
      <c r="K2871" s="1737" t="s">
        <v>23</v>
      </c>
      <c r="L2871" s="1888">
        <v>4060</v>
      </c>
      <c r="N2871" s="1888">
        <f t="shared" si="44"/>
        <v>0</v>
      </c>
    </row>
    <row r="2872" spans="2:14">
      <c r="B2872" s="1708"/>
      <c r="C2872" s="1708"/>
      <c r="D2872" s="1726">
        <v>2210300</v>
      </c>
      <c r="E2872" s="1738" t="s">
        <v>24</v>
      </c>
      <c r="F2872" s="1600">
        <v>397000</v>
      </c>
      <c r="H2872" s="1708"/>
      <c r="I2872" s="1708"/>
      <c r="J2872" s="1728">
        <v>2210300</v>
      </c>
      <c r="K2872" s="1738" t="s">
        <v>24</v>
      </c>
      <c r="L2872" s="1600">
        <v>397000</v>
      </c>
      <c r="N2872" s="1600">
        <f t="shared" si="44"/>
        <v>0</v>
      </c>
    </row>
    <row r="2873" spans="2:14">
      <c r="B2873" s="1708"/>
      <c r="C2873" s="1708"/>
      <c r="D2873" s="57">
        <v>2210301</v>
      </c>
      <c r="E2873" s="1737" t="s">
        <v>188</v>
      </c>
      <c r="F2873" s="1888">
        <v>150500</v>
      </c>
      <c r="H2873" s="1708"/>
      <c r="I2873" s="1708"/>
      <c r="J2873" s="1729">
        <v>2210301</v>
      </c>
      <c r="K2873" s="1737" t="s">
        <v>188</v>
      </c>
      <c r="L2873" s="1888">
        <v>150500</v>
      </c>
      <c r="N2873" s="1888">
        <f t="shared" si="44"/>
        <v>0</v>
      </c>
    </row>
    <row r="2874" spans="2:14">
      <c r="B2874" s="1708"/>
      <c r="C2874" s="1708"/>
      <c r="D2874" s="57">
        <v>2210302</v>
      </c>
      <c r="E2874" s="1737" t="s">
        <v>26</v>
      </c>
      <c r="F2874" s="1888">
        <v>130500</v>
      </c>
      <c r="H2874" s="1708"/>
      <c r="I2874" s="1708"/>
      <c r="J2874" s="1729">
        <v>2210302</v>
      </c>
      <c r="K2874" s="1737" t="s">
        <v>26</v>
      </c>
      <c r="L2874" s="1888">
        <v>130500</v>
      </c>
      <c r="N2874" s="1888">
        <f t="shared" si="44"/>
        <v>0</v>
      </c>
    </row>
    <row r="2875" spans="2:14">
      <c r="B2875" s="1708"/>
      <c r="C2875" s="1708"/>
      <c r="D2875" s="57">
        <v>2210303</v>
      </c>
      <c r="E2875" s="1737" t="s">
        <v>223</v>
      </c>
      <c r="F2875" s="1888">
        <v>116000</v>
      </c>
      <c r="H2875" s="1708"/>
      <c r="I2875" s="1708"/>
      <c r="J2875" s="1729">
        <v>2210303</v>
      </c>
      <c r="K2875" s="1737" t="s">
        <v>223</v>
      </c>
      <c r="L2875" s="1888">
        <v>116000</v>
      </c>
      <c r="N2875" s="1888">
        <f t="shared" si="44"/>
        <v>0</v>
      </c>
    </row>
    <row r="2876" spans="2:14">
      <c r="B2876" s="1708"/>
      <c r="C2876" s="1708"/>
      <c r="D2876" s="1726">
        <v>2210500</v>
      </c>
      <c r="E2876" s="1738" t="s">
        <v>31</v>
      </c>
      <c r="F2876" s="1600">
        <v>2387038</v>
      </c>
      <c r="H2876" s="1708"/>
      <c r="I2876" s="1708"/>
      <c r="J2876" s="1728">
        <v>2210500</v>
      </c>
      <c r="K2876" s="1738" t="s">
        <v>31</v>
      </c>
      <c r="L2876" s="1600">
        <v>2387038</v>
      </c>
      <c r="N2876" s="1600">
        <f t="shared" si="44"/>
        <v>0</v>
      </c>
    </row>
    <row r="2877" spans="2:14">
      <c r="B2877" s="1708"/>
      <c r="C2877" s="1708"/>
      <c r="D2877" s="57">
        <v>2210502</v>
      </c>
      <c r="E2877" s="1737" t="s">
        <v>572</v>
      </c>
      <c r="F2877" s="1888">
        <v>73080</v>
      </c>
      <c r="H2877" s="1708"/>
      <c r="I2877" s="1708"/>
      <c r="J2877" s="1729">
        <v>2210502</v>
      </c>
      <c r="K2877" s="1737" t="s">
        <v>572</v>
      </c>
      <c r="L2877" s="1888">
        <v>73080</v>
      </c>
      <c r="N2877" s="1888">
        <f t="shared" si="44"/>
        <v>0</v>
      </c>
    </row>
    <row r="2878" spans="2:14">
      <c r="B2878" s="1708"/>
      <c r="C2878" s="1708"/>
      <c r="D2878" s="57">
        <v>2210503</v>
      </c>
      <c r="E2878" s="1737" t="s">
        <v>32</v>
      </c>
      <c r="F2878" s="1888">
        <v>20300</v>
      </c>
      <c r="H2878" s="1708"/>
      <c r="I2878" s="1708"/>
      <c r="J2878" s="1729">
        <v>2210503</v>
      </c>
      <c r="K2878" s="1737" t="s">
        <v>32</v>
      </c>
      <c r="L2878" s="1888">
        <v>20300</v>
      </c>
      <c r="N2878" s="1888">
        <f t="shared" si="44"/>
        <v>0</v>
      </c>
    </row>
    <row r="2879" spans="2:14" ht="30">
      <c r="B2879" s="89"/>
      <c r="C2879" s="89"/>
      <c r="D2879" s="61">
        <v>2210504</v>
      </c>
      <c r="E2879" s="1737" t="s">
        <v>1473</v>
      </c>
      <c r="F2879" s="1888">
        <v>2293658</v>
      </c>
      <c r="H2879" s="89"/>
      <c r="I2879" s="89"/>
      <c r="J2879" s="61">
        <v>2210504</v>
      </c>
      <c r="K2879" s="1737" t="s">
        <v>1473</v>
      </c>
      <c r="L2879" s="1888">
        <v>2293658</v>
      </c>
      <c r="N2879" s="1888">
        <f t="shared" si="44"/>
        <v>0</v>
      </c>
    </row>
    <row r="2880" spans="2:14">
      <c r="B2880" s="1708"/>
      <c r="C2880" s="1708"/>
      <c r="D2880" s="1726">
        <v>2210700</v>
      </c>
      <c r="E2880" s="1738" t="s">
        <v>573</v>
      </c>
      <c r="F2880" s="1600">
        <v>1802264</v>
      </c>
      <c r="H2880" s="1708"/>
      <c r="I2880" s="1708"/>
      <c r="J2880" s="1728">
        <v>2210700</v>
      </c>
      <c r="K2880" s="1738" t="s">
        <v>573</v>
      </c>
      <c r="L2880" s="1600">
        <v>1802264</v>
      </c>
      <c r="N2880" s="1600">
        <f t="shared" si="44"/>
        <v>0</v>
      </c>
    </row>
    <row r="2881" spans="2:14">
      <c r="B2881" s="1708"/>
      <c r="C2881" s="1708"/>
      <c r="D2881" s="57">
        <v>2210701</v>
      </c>
      <c r="E2881" s="1737" t="s">
        <v>574</v>
      </c>
      <c r="F2881" s="1888">
        <v>159500</v>
      </c>
      <c r="H2881" s="1708"/>
      <c r="I2881" s="1708"/>
      <c r="J2881" s="1729">
        <v>2210701</v>
      </c>
      <c r="K2881" s="1737" t="s">
        <v>574</v>
      </c>
      <c r="L2881" s="1888">
        <v>159500</v>
      </c>
      <c r="N2881" s="1888">
        <f t="shared" si="44"/>
        <v>0</v>
      </c>
    </row>
    <row r="2882" spans="2:14">
      <c r="B2882" s="1708"/>
      <c r="C2882" s="1708"/>
      <c r="D2882" s="57">
        <v>2210702</v>
      </c>
      <c r="E2882" s="1889" t="s">
        <v>37</v>
      </c>
      <c r="F2882" s="1888">
        <v>127500</v>
      </c>
      <c r="H2882" s="1708"/>
      <c r="I2882" s="1708"/>
      <c r="J2882" s="1729">
        <v>2210702</v>
      </c>
      <c r="K2882" s="1889" t="s">
        <v>37</v>
      </c>
      <c r="L2882" s="1888">
        <v>127500</v>
      </c>
      <c r="N2882" s="1888">
        <f t="shared" si="44"/>
        <v>0</v>
      </c>
    </row>
    <row r="2883" spans="2:14">
      <c r="B2883" s="1708"/>
      <c r="C2883" s="1708"/>
      <c r="D2883" s="57">
        <v>2210703</v>
      </c>
      <c r="E2883" s="1889" t="s">
        <v>107</v>
      </c>
      <c r="F2883" s="1888">
        <v>108750</v>
      </c>
      <c r="H2883" s="1708"/>
      <c r="I2883" s="1708"/>
      <c r="J2883" s="1729">
        <v>2210703</v>
      </c>
      <c r="K2883" s="1889" t="s">
        <v>107</v>
      </c>
      <c r="L2883" s="1888">
        <v>108750</v>
      </c>
      <c r="N2883" s="1888">
        <f t="shared" si="44"/>
        <v>0</v>
      </c>
    </row>
    <row r="2884" spans="2:14">
      <c r="B2884" s="1708"/>
      <c r="C2884" s="1708"/>
      <c r="D2884" s="57">
        <v>2210704</v>
      </c>
      <c r="E2884" s="1889" t="s">
        <v>38</v>
      </c>
      <c r="F2884" s="1888">
        <v>87000</v>
      </c>
      <c r="H2884" s="1708"/>
      <c r="I2884" s="1708"/>
      <c r="J2884" s="1729">
        <v>2210704</v>
      </c>
      <c r="K2884" s="1889" t="s">
        <v>38</v>
      </c>
      <c r="L2884" s="1888">
        <v>87000</v>
      </c>
      <c r="N2884" s="1888">
        <f t="shared" si="44"/>
        <v>0</v>
      </c>
    </row>
    <row r="2885" spans="2:14">
      <c r="B2885" s="1708"/>
      <c r="C2885" s="1708"/>
      <c r="D2885" s="57">
        <v>2210710</v>
      </c>
      <c r="E2885" s="1737" t="s">
        <v>39</v>
      </c>
      <c r="F2885" s="1888">
        <v>201000</v>
      </c>
      <c r="H2885" s="1708"/>
      <c r="I2885" s="1708"/>
      <c r="J2885" s="1729">
        <v>2210710</v>
      </c>
      <c r="K2885" s="1737" t="s">
        <v>39</v>
      </c>
      <c r="L2885" s="1888">
        <v>201000</v>
      </c>
      <c r="N2885" s="1888">
        <f t="shared" si="44"/>
        <v>0</v>
      </c>
    </row>
    <row r="2886" spans="2:14">
      <c r="B2886" s="25"/>
      <c r="C2886" s="25"/>
      <c r="D2886" s="57">
        <v>2210799</v>
      </c>
      <c r="E2886" s="1890" t="s">
        <v>1474</v>
      </c>
      <c r="F2886" s="1888">
        <v>1118514</v>
      </c>
      <c r="H2886" s="25"/>
      <c r="I2886" s="25"/>
      <c r="J2886" s="1729">
        <v>2210799</v>
      </c>
      <c r="K2886" s="1891" t="s">
        <v>1474</v>
      </c>
      <c r="L2886" s="1888">
        <v>1118514</v>
      </c>
      <c r="N2886" s="1888">
        <f t="shared" si="44"/>
        <v>0</v>
      </c>
    </row>
    <row r="2887" spans="2:14">
      <c r="B2887" s="1708"/>
      <c r="C2887" s="1708"/>
      <c r="D2887" s="1726">
        <v>2210800</v>
      </c>
      <c r="E2887" s="1738" t="s">
        <v>42</v>
      </c>
      <c r="F2887" s="1600">
        <v>1615000</v>
      </c>
      <c r="H2887" s="1708"/>
      <c r="I2887" s="1708"/>
      <c r="J2887" s="1728">
        <v>2210800</v>
      </c>
      <c r="K2887" s="1738" t="s">
        <v>42</v>
      </c>
      <c r="L2887" s="1600">
        <v>1615000</v>
      </c>
      <c r="N2887" s="1600">
        <f t="shared" si="44"/>
        <v>0</v>
      </c>
    </row>
    <row r="2888" spans="2:14">
      <c r="B2888" s="1708"/>
      <c r="C2888" s="1708"/>
      <c r="D2888" s="57">
        <v>2210801</v>
      </c>
      <c r="E2888" s="1737" t="s">
        <v>195</v>
      </c>
      <c r="F2888" s="1888">
        <v>145000</v>
      </c>
      <c r="H2888" s="1708"/>
      <c r="I2888" s="1708"/>
      <c r="J2888" s="1729">
        <v>2210801</v>
      </c>
      <c r="K2888" s="1737" t="s">
        <v>195</v>
      </c>
      <c r="L2888" s="1888">
        <v>145000</v>
      </c>
      <c r="N2888" s="1888">
        <f t="shared" ref="N2888:N2951" si="45">F2888-L2888</f>
        <v>0</v>
      </c>
    </row>
    <row r="2889" spans="2:14">
      <c r="B2889" s="1708"/>
      <c r="C2889" s="1708"/>
      <c r="D2889" s="57">
        <v>2210802</v>
      </c>
      <c r="E2889" s="1737" t="s">
        <v>97</v>
      </c>
      <c r="F2889" s="1888">
        <v>145000</v>
      </c>
      <c r="H2889" s="1708"/>
      <c r="I2889" s="1708"/>
      <c r="J2889" s="1729">
        <v>2210802</v>
      </c>
      <c r="K2889" s="1737" t="s">
        <v>97</v>
      </c>
      <c r="L2889" s="1888">
        <v>145000</v>
      </c>
      <c r="N2889" s="1888">
        <f t="shared" si="45"/>
        <v>0</v>
      </c>
    </row>
    <row r="2890" spans="2:14">
      <c r="B2890" s="92"/>
      <c r="C2890" s="92"/>
      <c r="D2890" s="61">
        <v>2210805</v>
      </c>
      <c r="E2890" s="74" t="s">
        <v>575</v>
      </c>
      <c r="F2890" s="1888">
        <v>1145000</v>
      </c>
      <c r="H2890" s="92"/>
      <c r="I2890" s="92"/>
      <c r="J2890" s="61">
        <v>2210805</v>
      </c>
      <c r="K2890" s="74" t="s">
        <v>575</v>
      </c>
      <c r="L2890" s="1888">
        <v>1145000</v>
      </c>
      <c r="N2890" s="1888">
        <f t="shared" si="45"/>
        <v>0</v>
      </c>
    </row>
    <row r="2891" spans="2:14">
      <c r="B2891" s="1708"/>
      <c r="C2891" s="1708"/>
      <c r="D2891" s="57">
        <v>2210810</v>
      </c>
      <c r="E2891" s="1737" t="s">
        <v>576</v>
      </c>
      <c r="F2891" s="183">
        <v>180000</v>
      </c>
      <c r="H2891" s="1708"/>
      <c r="I2891" s="1708"/>
      <c r="J2891" s="1729">
        <v>2210810</v>
      </c>
      <c r="K2891" s="1737" t="s">
        <v>576</v>
      </c>
      <c r="L2891" s="183">
        <v>180000</v>
      </c>
      <c r="N2891" s="183">
        <f t="shared" si="45"/>
        <v>0</v>
      </c>
    </row>
    <row r="2892" spans="2:14">
      <c r="B2892" s="1708"/>
      <c r="C2892" s="1708"/>
      <c r="D2892" s="1726">
        <v>2211100</v>
      </c>
      <c r="E2892" s="1738" t="s">
        <v>51</v>
      </c>
      <c r="F2892" s="1600">
        <v>105560</v>
      </c>
      <c r="H2892" s="1708"/>
      <c r="I2892" s="1708"/>
      <c r="J2892" s="1728">
        <v>2211100</v>
      </c>
      <c r="K2892" s="1738" t="s">
        <v>51</v>
      </c>
      <c r="L2892" s="1600">
        <v>105560</v>
      </c>
      <c r="N2892" s="1600">
        <f t="shared" si="45"/>
        <v>0</v>
      </c>
    </row>
    <row r="2893" spans="2:14">
      <c r="B2893" s="1708"/>
      <c r="C2893" s="1708"/>
      <c r="D2893" s="57">
        <v>2211101</v>
      </c>
      <c r="E2893" s="1737" t="s">
        <v>577</v>
      </c>
      <c r="F2893" s="1888">
        <v>40600</v>
      </c>
      <c r="H2893" s="1708"/>
      <c r="I2893" s="1708"/>
      <c r="J2893" s="1729">
        <v>2211101</v>
      </c>
      <c r="K2893" s="1737" t="s">
        <v>577</v>
      </c>
      <c r="L2893" s="1888">
        <v>40600</v>
      </c>
      <c r="N2893" s="1888">
        <f t="shared" si="45"/>
        <v>0</v>
      </c>
    </row>
    <row r="2894" spans="2:14">
      <c r="B2894" s="1708"/>
      <c r="C2894" s="1708"/>
      <c r="D2894" s="57">
        <v>2211102</v>
      </c>
      <c r="E2894" s="1737" t="s">
        <v>53</v>
      </c>
      <c r="F2894" s="1888">
        <v>40600</v>
      </c>
      <c r="H2894" s="1708"/>
      <c r="I2894" s="1708"/>
      <c r="J2894" s="1729">
        <v>2211102</v>
      </c>
      <c r="K2894" s="1737" t="s">
        <v>53</v>
      </c>
      <c r="L2894" s="1888">
        <v>40600</v>
      </c>
      <c r="N2894" s="1888">
        <f t="shared" si="45"/>
        <v>0</v>
      </c>
    </row>
    <row r="2895" spans="2:14">
      <c r="B2895" s="1708"/>
      <c r="C2895" s="1708"/>
      <c r="D2895" s="57">
        <v>2211103</v>
      </c>
      <c r="E2895" s="1737" t="s">
        <v>54</v>
      </c>
      <c r="F2895" s="1888">
        <v>24360</v>
      </c>
      <c r="H2895" s="1708"/>
      <c r="I2895" s="1708"/>
      <c r="J2895" s="1729">
        <v>2211103</v>
      </c>
      <c r="K2895" s="1737" t="s">
        <v>54</v>
      </c>
      <c r="L2895" s="1888">
        <v>24360</v>
      </c>
      <c r="N2895" s="1888">
        <f t="shared" si="45"/>
        <v>0</v>
      </c>
    </row>
    <row r="2896" spans="2:14">
      <c r="B2896" s="1708"/>
      <c r="C2896" s="1708"/>
      <c r="D2896" s="1726">
        <v>2211200</v>
      </c>
      <c r="E2896" s="1738" t="s">
        <v>55</v>
      </c>
      <c r="F2896" s="1600">
        <v>116000</v>
      </c>
      <c r="H2896" s="1708"/>
      <c r="I2896" s="1708"/>
      <c r="J2896" s="1728">
        <v>2211200</v>
      </c>
      <c r="K2896" s="1738" t="s">
        <v>55</v>
      </c>
      <c r="L2896" s="1600">
        <v>116000</v>
      </c>
      <c r="N2896" s="1600">
        <f t="shared" si="45"/>
        <v>0</v>
      </c>
    </row>
    <row r="2897" spans="2:14">
      <c r="B2897" s="1708"/>
      <c r="C2897" s="1708"/>
      <c r="D2897" s="57">
        <v>2211201</v>
      </c>
      <c r="E2897" s="1737" t="s">
        <v>56</v>
      </c>
      <c r="F2897" s="1888">
        <v>116000</v>
      </c>
      <c r="H2897" s="1708"/>
      <c r="I2897" s="1708"/>
      <c r="J2897" s="1729">
        <v>2211201</v>
      </c>
      <c r="K2897" s="1737" t="s">
        <v>56</v>
      </c>
      <c r="L2897" s="1888">
        <v>116000</v>
      </c>
      <c r="N2897" s="1888">
        <f t="shared" si="45"/>
        <v>0</v>
      </c>
    </row>
    <row r="2898" spans="2:14">
      <c r="B2898" s="1708"/>
      <c r="C2898" s="1708"/>
      <c r="D2898" s="1726">
        <v>2211300</v>
      </c>
      <c r="E2898" s="1738" t="s">
        <v>57</v>
      </c>
      <c r="F2898" s="1600">
        <v>29000</v>
      </c>
      <c r="H2898" s="1708"/>
      <c r="I2898" s="1708"/>
      <c r="J2898" s="1728">
        <v>2211300</v>
      </c>
      <c r="K2898" s="1738" t="s">
        <v>57</v>
      </c>
      <c r="L2898" s="1600">
        <v>29000</v>
      </c>
      <c r="N2898" s="1600">
        <f t="shared" si="45"/>
        <v>0</v>
      </c>
    </row>
    <row r="2899" spans="2:14">
      <c r="B2899" s="1708"/>
      <c r="C2899" s="1708"/>
      <c r="D2899" s="57">
        <v>2211301</v>
      </c>
      <c r="E2899" s="1737" t="s">
        <v>198</v>
      </c>
      <c r="F2899" s="1888">
        <v>29000</v>
      </c>
      <c r="H2899" s="1708"/>
      <c r="I2899" s="1708"/>
      <c r="J2899" s="1729">
        <v>2211301</v>
      </c>
      <c r="K2899" s="1737" t="s">
        <v>198</v>
      </c>
      <c r="L2899" s="1888">
        <v>29000</v>
      </c>
      <c r="N2899" s="1888">
        <f t="shared" si="45"/>
        <v>0</v>
      </c>
    </row>
    <row r="2900" spans="2:14">
      <c r="B2900" s="1708"/>
      <c r="C2900" s="1708"/>
      <c r="D2900" s="1726">
        <v>2220100</v>
      </c>
      <c r="E2900" s="1738" t="s">
        <v>62</v>
      </c>
      <c r="F2900" s="1600">
        <v>110200</v>
      </c>
      <c r="H2900" s="1708"/>
      <c r="I2900" s="1708"/>
      <c r="J2900" s="1728">
        <v>2220100</v>
      </c>
      <c r="K2900" s="1738" t="s">
        <v>62</v>
      </c>
      <c r="L2900" s="1600">
        <v>110200</v>
      </c>
      <c r="N2900" s="1600">
        <f t="shared" si="45"/>
        <v>0</v>
      </c>
    </row>
    <row r="2901" spans="2:14">
      <c r="B2901" s="1708"/>
      <c r="C2901" s="1708"/>
      <c r="D2901" s="57">
        <v>2220101</v>
      </c>
      <c r="E2901" s="1737" t="s">
        <v>578</v>
      </c>
      <c r="F2901" s="1888">
        <v>110200</v>
      </c>
      <c r="H2901" s="1708"/>
      <c r="I2901" s="1708"/>
      <c r="J2901" s="1729">
        <v>2220101</v>
      </c>
      <c r="K2901" s="1737" t="s">
        <v>578</v>
      </c>
      <c r="L2901" s="1888">
        <v>110200</v>
      </c>
      <c r="N2901" s="1888">
        <f t="shared" si="45"/>
        <v>0</v>
      </c>
    </row>
    <row r="2902" spans="2:14">
      <c r="B2902" s="1708"/>
      <c r="C2902" s="1708"/>
      <c r="D2902" s="1726">
        <v>2220200</v>
      </c>
      <c r="E2902" s="1738" t="s">
        <v>124</v>
      </c>
      <c r="F2902" s="1600">
        <v>60900</v>
      </c>
      <c r="H2902" s="1708"/>
      <c r="I2902" s="1708"/>
      <c r="J2902" s="1728">
        <v>2220200</v>
      </c>
      <c r="K2902" s="1738" t="s">
        <v>124</v>
      </c>
      <c r="L2902" s="1600">
        <v>60900</v>
      </c>
      <c r="N2902" s="1600">
        <f t="shared" si="45"/>
        <v>0</v>
      </c>
    </row>
    <row r="2903" spans="2:14">
      <c r="B2903" s="1708"/>
      <c r="C2903" s="1708"/>
      <c r="D2903" s="57">
        <v>2220205</v>
      </c>
      <c r="E2903" s="1737" t="s">
        <v>125</v>
      </c>
      <c r="F2903" s="1888">
        <v>60900</v>
      </c>
      <c r="H2903" s="1708"/>
      <c r="I2903" s="1708"/>
      <c r="J2903" s="1729">
        <v>2220205</v>
      </c>
      <c r="K2903" s="1737" t="s">
        <v>125</v>
      </c>
      <c r="L2903" s="1888">
        <v>60900</v>
      </c>
      <c r="N2903" s="1888">
        <f t="shared" si="45"/>
        <v>0</v>
      </c>
    </row>
    <row r="2904" spans="2:14">
      <c r="B2904" s="1708"/>
      <c r="C2904" s="1708"/>
      <c r="D2904" s="1726">
        <v>3111000</v>
      </c>
      <c r="E2904" s="1738" t="s">
        <v>69</v>
      </c>
      <c r="F2904" s="1600">
        <v>121800</v>
      </c>
      <c r="H2904" s="1708"/>
      <c r="I2904" s="1708"/>
      <c r="J2904" s="1728">
        <v>3111000</v>
      </c>
      <c r="K2904" s="1738" t="s">
        <v>69</v>
      </c>
      <c r="L2904" s="1600">
        <v>121800</v>
      </c>
      <c r="N2904" s="1600">
        <f t="shared" si="45"/>
        <v>0</v>
      </c>
    </row>
    <row r="2905" spans="2:14">
      <c r="B2905" s="1708"/>
      <c r="C2905" s="1708"/>
      <c r="D2905" s="57">
        <v>3111001</v>
      </c>
      <c r="E2905" s="1737" t="s">
        <v>69</v>
      </c>
      <c r="F2905" s="1888">
        <v>40600</v>
      </c>
      <c r="H2905" s="1708"/>
      <c r="I2905" s="1708"/>
      <c r="J2905" s="1729">
        <v>3111001</v>
      </c>
      <c r="K2905" s="1737" t="s">
        <v>69</v>
      </c>
      <c r="L2905" s="1888">
        <v>40600</v>
      </c>
      <c r="N2905" s="1888">
        <f t="shared" si="45"/>
        <v>0</v>
      </c>
    </row>
    <row r="2906" spans="2:14">
      <c r="B2906" s="1708"/>
      <c r="C2906" s="1708"/>
      <c r="D2906" s="57">
        <v>3111005</v>
      </c>
      <c r="E2906" s="1737" t="s">
        <v>579</v>
      </c>
      <c r="F2906" s="1888">
        <v>40600</v>
      </c>
      <c r="H2906" s="1708"/>
      <c r="I2906" s="1708"/>
      <c r="J2906" s="1729">
        <v>3111005</v>
      </c>
      <c r="K2906" s="1737" t="s">
        <v>579</v>
      </c>
      <c r="L2906" s="1888">
        <v>40600</v>
      </c>
      <c r="N2906" s="1888">
        <f t="shared" si="45"/>
        <v>0</v>
      </c>
    </row>
    <row r="2907" spans="2:14">
      <c r="B2907" s="1708"/>
      <c r="C2907" s="1708"/>
      <c r="D2907" s="57">
        <v>3111009</v>
      </c>
      <c r="E2907" s="1737" t="s">
        <v>253</v>
      </c>
      <c r="F2907" s="1888">
        <v>40600</v>
      </c>
      <c r="H2907" s="1708"/>
      <c r="I2907" s="1708"/>
      <c r="J2907" s="1729">
        <v>3111009</v>
      </c>
      <c r="K2907" s="1737" t="s">
        <v>253</v>
      </c>
      <c r="L2907" s="1888">
        <v>40600</v>
      </c>
      <c r="N2907" s="1888">
        <f t="shared" si="45"/>
        <v>0</v>
      </c>
    </row>
    <row r="2908" spans="2:14">
      <c r="B2908" s="1708"/>
      <c r="C2908" s="1708"/>
      <c r="D2908" s="1671">
        <v>3111400</v>
      </c>
      <c r="E2908" s="1680" t="s">
        <v>602</v>
      </c>
      <c r="F2908" s="1625">
        <v>1376000</v>
      </c>
      <c r="H2908" s="1708"/>
      <c r="I2908" s="1708"/>
      <c r="J2908" s="1671">
        <v>3111400</v>
      </c>
      <c r="K2908" s="1680" t="s">
        <v>602</v>
      </c>
      <c r="L2908" s="1625">
        <v>1376000</v>
      </c>
      <c r="N2908" s="1625">
        <f t="shared" si="45"/>
        <v>0</v>
      </c>
    </row>
    <row r="2909" spans="2:14">
      <c r="B2909" s="1708"/>
      <c r="C2909" s="1708"/>
      <c r="D2909" s="57">
        <v>3111401</v>
      </c>
      <c r="E2909" s="1737" t="s">
        <v>1475</v>
      </c>
      <c r="F2909" s="183">
        <v>1376000</v>
      </c>
      <c r="H2909" s="1708"/>
      <c r="I2909" s="1708"/>
      <c r="J2909" s="1729">
        <v>3111401</v>
      </c>
      <c r="K2909" s="1737" t="s">
        <v>1475</v>
      </c>
      <c r="L2909" s="183">
        <v>1376000</v>
      </c>
      <c r="N2909" s="183">
        <f t="shared" si="45"/>
        <v>0</v>
      </c>
    </row>
    <row r="2910" spans="2:14">
      <c r="B2910" s="1892"/>
      <c r="C2910" s="1892"/>
      <c r="D2910" s="61"/>
      <c r="E2910" s="1893" t="s">
        <v>99</v>
      </c>
      <c r="F2910" s="1621">
        <v>8335246</v>
      </c>
      <c r="H2910" s="1892"/>
      <c r="I2910" s="1892"/>
      <c r="J2910" s="61"/>
      <c r="K2910" s="1894" t="s">
        <v>99</v>
      </c>
      <c r="L2910" s="1621">
        <v>8335246</v>
      </c>
      <c r="N2910" s="1621">
        <f t="shared" si="45"/>
        <v>0</v>
      </c>
    </row>
    <row r="2911" spans="2:14">
      <c r="B2911" s="1708"/>
      <c r="C2911" s="1708"/>
      <c r="D2911" s="1726"/>
      <c r="E2911" s="1738"/>
      <c r="F2911" s="1888">
        <v>0</v>
      </c>
      <c r="H2911" s="1708"/>
      <c r="I2911" s="1708"/>
      <c r="J2911" s="1728"/>
      <c r="K2911" s="1738"/>
      <c r="L2911" s="1888">
        <v>0</v>
      </c>
      <c r="N2911" s="1888">
        <f t="shared" si="45"/>
        <v>0</v>
      </c>
    </row>
    <row r="2912" spans="2:14">
      <c r="B2912" s="1708" t="s">
        <v>168</v>
      </c>
      <c r="C2912" s="1708" t="s">
        <v>146</v>
      </c>
      <c r="D2912" s="1726" t="s">
        <v>92</v>
      </c>
      <c r="E2912" s="1738"/>
      <c r="F2912" s="1888"/>
      <c r="H2912" s="1708" t="s">
        <v>168</v>
      </c>
      <c r="I2912" s="1708" t="s">
        <v>146</v>
      </c>
      <c r="J2912" s="1728" t="s">
        <v>92</v>
      </c>
      <c r="K2912" s="1738"/>
      <c r="L2912" s="1888"/>
      <c r="N2912" s="1888">
        <f t="shared" si="45"/>
        <v>0</v>
      </c>
    </row>
    <row r="2913" spans="2:14">
      <c r="B2913" s="89"/>
      <c r="C2913" s="89"/>
      <c r="D2913" s="61">
        <v>3110504</v>
      </c>
      <c r="E2913" s="74" t="s">
        <v>1476</v>
      </c>
      <c r="F2913" s="183">
        <v>2626501</v>
      </c>
      <c r="H2913" s="89"/>
      <c r="I2913" s="89"/>
      <c r="J2913" s="61">
        <v>3110504</v>
      </c>
      <c r="K2913" s="74" t="s">
        <v>1476</v>
      </c>
      <c r="L2913" s="183">
        <v>2626501</v>
      </c>
      <c r="N2913" s="183">
        <f t="shared" si="45"/>
        <v>0</v>
      </c>
    </row>
    <row r="2914" spans="2:14">
      <c r="B2914" s="1892"/>
      <c r="C2914" s="1892"/>
      <c r="D2914" s="1732" t="s">
        <v>175</v>
      </c>
      <c r="E2914" s="74"/>
      <c r="F2914" s="1621">
        <v>2626501</v>
      </c>
      <c r="H2914" s="1892"/>
      <c r="I2914" s="1892"/>
      <c r="J2914" s="1733" t="s">
        <v>175</v>
      </c>
      <c r="K2914" s="74"/>
      <c r="L2914" s="1621">
        <v>2626501</v>
      </c>
      <c r="N2914" s="1621">
        <f t="shared" si="45"/>
        <v>0</v>
      </c>
    </row>
    <row r="2915" spans="2:14">
      <c r="B2915" s="1892"/>
      <c r="C2915" s="1892"/>
      <c r="D2915" s="1732" t="s">
        <v>580</v>
      </c>
      <c r="E2915" s="1895"/>
      <c r="F2915" s="1621">
        <v>10961747</v>
      </c>
      <c r="H2915" s="1892"/>
      <c r="I2915" s="1892"/>
      <c r="J2915" s="1733" t="s">
        <v>580</v>
      </c>
      <c r="K2915" s="1895"/>
      <c r="L2915" s="1621">
        <v>10961747</v>
      </c>
      <c r="N2915" s="1621">
        <f t="shared" si="45"/>
        <v>0</v>
      </c>
    </row>
    <row r="2916" spans="2:14">
      <c r="B2916" s="92"/>
      <c r="C2916" s="92"/>
      <c r="D2916" s="61"/>
      <c r="E2916" s="74"/>
      <c r="F2916" s="1888">
        <v>0</v>
      </c>
      <c r="H2916" s="92"/>
      <c r="I2916" s="92"/>
      <c r="J2916" s="61"/>
      <c r="K2916" s="74"/>
      <c r="L2916" s="1888">
        <v>0</v>
      </c>
      <c r="N2916" s="1888">
        <f t="shared" si="45"/>
        <v>0</v>
      </c>
    </row>
    <row r="2917" spans="2:14">
      <c r="B2917" s="1892" t="s">
        <v>168</v>
      </c>
      <c r="C2917" s="1892"/>
      <c r="D2917" s="1724" t="s">
        <v>581</v>
      </c>
      <c r="E2917" s="1725"/>
      <c r="F2917" s="1888">
        <v>0</v>
      </c>
      <c r="H2917" s="1892" t="s">
        <v>168</v>
      </c>
      <c r="I2917" s="1892"/>
      <c r="J2917" s="1724" t="s">
        <v>581</v>
      </c>
      <c r="K2917" s="1725"/>
      <c r="L2917" s="1888">
        <v>0</v>
      </c>
      <c r="N2917" s="1888">
        <f t="shared" si="45"/>
        <v>0</v>
      </c>
    </row>
    <row r="2918" spans="2:14">
      <c r="B2918" s="1708"/>
      <c r="C2918" s="1708" t="s">
        <v>146</v>
      </c>
      <c r="D2918" s="1698" t="s">
        <v>582</v>
      </c>
      <c r="E2918" s="1727"/>
      <c r="F2918" s="1888">
        <v>0</v>
      </c>
      <c r="H2918" s="1708"/>
      <c r="I2918" s="1708" t="s">
        <v>146</v>
      </c>
      <c r="J2918" s="1698" t="s">
        <v>582</v>
      </c>
      <c r="K2918" s="1727"/>
      <c r="L2918" s="1888">
        <v>0</v>
      </c>
      <c r="N2918" s="1888">
        <f t="shared" si="45"/>
        <v>0</v>
      </c>
    </row>
    <row r="2919" spans="2:14">
      <c r="B2919" s="1708"/>
      <c r="C2919" s="1708"/>
      <c r="D2919" s="1726">
        <v>2210200</v>
      </c>
      <c r="E2919" s="1727" t="s">
        <v>20</v>
      </c>
      <c r="F2919" s="1600">
        <v>182800</v>
      </c>
      <c r="H2919" s="1708"/>
      <c r="I2919" s="1708"/>
      <c r="J2919" s="1728">
        <v>2210200</v>
      </c>
      <c r="K2919" s="1727" t="s">
        <v>20</v>
      </c>
      <c r="L2919" s="1600">
        <v>182800</v>
      </c>
      <c r="N2919" s="1600">
        <f t="shared" si="45"/>
        <v>0</v>
      </c>
    </row>
    <row r="2920" spans="2:14">
      <c r="B2920" s="1708"/>
      <c r="C2920" s="1708"/>
      <c r="D2920" s="57">
        <v>2210202</v>
      </c>
      <c r="E2920" s="58" t="s">
        <v>22</v>
      </c>
      <c r="F2920" s="1888">
        <v>119000</v>
      </c>
      <c r="H2920" s="1708"/>
      <c r="I2920" s="1708"/>
      <c r="J2920" s="1729">
        <v>2210202</v>
      </c>
      <c r="K2920" s="58" t="s">
        <v>22</v>
      </c>
      <c r="L2920" s="1888">
        <v>119000</v>
      </c>
      <c r="N2920" s="1888">
        <f t="shared" si="45"/>
        <v>0</v>
      </c>
    </row>
    <row r="2921" spans="2:14">
      <c r="B2921" s="1708"/>
      <c r="C2921" s="1708"/>
      <c r="D2921" s="57">
        <v>2210299</v>
      </c>
      <c r="E2921" s="58" t="s">
        <v>583</v>
      </c>
      <c r="F2921" s="1888">
        <v>63800</v>
      </c>
      <c r="H2921" s="1708"/>
      <c r="I2921" s="1708"/>
      <c r="J2921" s="1729">
        <v>2210299</v>
      </c>
      <c r="K2921" s="58" t="s">
        <v>583</v>
      </c>
      <c r="L2921" s="1888">
        <v>63800</v>
      </c>
      <c r="N2921" s="1888">
        <f t="shared" si="45"/>
        <v>0</v>
      </c>
    </row>
    <row r="2922" spans="2:14">
      <c r="B2922" s="1708"/>
      <c r="C2922" s="1708"/>
      <c r="D2922" s="1726">
        <v>2210300</v>
      </c>
      <c r="E2922" s="1727" t="s">
        <v>24</v>
      </c>
      <c r="F2922" s="1600">
        <v>380500</v>
      </c>
      <c r="H2922" s="1708"/>
      <c r="I2922" s="1708"/>
      <c r="J2922" s="1728">
        <v>2210300</v>
      </c>
      <c r="K2922" s="1727" t="s">
        <v>24</v>
      </c>
      <c r="L2922" s="1600">
        <v>380500</v>
      </c>
      <c r="N2922" s="1600">
        <f t="shared" si="45"/>
        <v>0</v>
      </c>
    </row>
    <row r="2923" spans="2:14">
      <c r="B2923" s="1708"/>
      <c r="C2923" s="1708"/>
      <c r="D2923" s="57">
        <v>2210301</v>
      </c>
      <c r="E2923" s="58" t="s">
        <v>25</v>
      </c>
      <c r="F2923" s="1888">
        <v>124000</v>
      </c>
      <c r="H2923" s="1708"/>
      <c r="I2923" s="1708"/>
      <c r="J2923" s="1729">
        <v>2210301</v>
      </c>
      <c r="K2923" s="58" t="s">
        <v>25</v>
      </c>
      <c r="L2923" s="1888">
        <v>124000</v>
      </c>
      <c r="N2923" s="1888">
        <f t="shared" si="45"/>
        <v>0</v>
      </c>
    </row>
    <row r="2924" spans="2:14">
      <c r="B2924" s="1708"/>
      <c r="C2924" s="1708"/>
      <c r="D2924" s="57">
        <v>2210302</v>
      </c>
      <c r="E2924" s="58" t="s">
        <v>26</v>
      </c>
      <c r="F2924" s="1888">
        <v>158500</v>
      </c>
      <c r="H2924" s="1708"/>
      <c r="I2924" s="1708"/>
      <c r="J2924" s="1729">
        <v>2210302</v>
      </c>
      <c r="K2924" s="58" t="s">
        <v>26</v>
      </c>
      <c r="L2924" s="1888">
        <v>158500</v>
      </c>
      <c r="N2924" s="1888">
        <f t="shared" si="45"/>
        <v>0</v>
      </c>
    </row>
    <row r="2925" spans="2:14">
      <c r="B2925" s="1708"/>
      <c r="C2925" s="1708"/>
      <c r="D2925" s="57">
        <v>2210303</v>
      </c>
      <c r="E2925" s="58" t="s">
        <v>27</v>
      </c>
      <c r="F2925" s="1888">
        <v>98000</v>
      </c>
      <c r="H2925" s="1708"/>
      <c r="I2925" s="1708"/>
      <c r="J2925" s="1729">
        <v>2210303</v>
      </c>
      <c r="K2925" s="58" t="s">
        <v>27</v>
      </c>
      <c r="L2925" s="1888">
        <v>98000</v>
      </c>
      <c r="N2925" s="1888">
        <f t="shared" si="45"/>
        <v>0</v>
      </c>
    </row>
    <row r="2926" spans="2:14">
      <c r="B2926" s="1708"/>
      <c r="C2926" s="1708"/>
      <c r="D2926" s="1726">
        <v>2210700</v>
      </c>
      <c r="E2926" s="1727" t="s">
        <v>35</v>
      </c>
      <c r="F2926" s="1600">
        <v>378500</v>
      </c>
      <c r="H2926" s="1708"/>
      <c r="I2926" s="1708"/>
      <c r="J2926" s="1728">
        <v>2210700</v>
      </c>
      <c r="K2926" s="1727" t="s">
        <v>35</v>
      </c>
      <c r="L2926" s="1600">
        <v>378500</v>
      </c>
      <c r="N2926" s="1600">
        <f t="shared" si="45"/>
        <v>0</v>
      </c>
    </row>
    <row r="2927" spans="2:14">
      <c r="B2927" s="1708"/>
      <c r="C2927" s="1708"/>
      <c r="D2927" s="57">
        <v>2210701</v>
      </c>
      <c r="E2927" s="58" t="s">
        <v>36</v>
      </c>
      <c r="F2927" s="1888">
        <v>159500</v>
      </c>
      <c r="H2927" s="1708"/>
      <c r="I2927" s="1708"/>
      <c r="J2927" s="1729">
        <v>2210701</v>
      </c>
      <c r="K2927" s="58" t="s">
        <v>36</v>
      </c>
      <c r="L2927" s="1888">
        <v>159500</v>
      </c>
      <c r="N2927" s="1888">
        <f t="shared" si="45"/>
        <v>0</v>
      </c>
    </row>
    <row r="2928" spans="2:14">
      <c r="B2928" s="1708"/>
      <c r="C2928" s="1708"/>
      <c r="D2928" s="57">
        <v>2210704</v>
      </c>
      <c r="E2928" s="58" t="s">
        <v>38</v>
      </c>
      <c r="F2928" s="1888">
        <v>130500</v>
      </c>
      <c r="H2928" s="1708"/>
      <c r="I2928" s="1708"/>
      <c r="J2928" s="1729">
        <v>2210704</v>
      </c>
      <c r="K2928" s="58" t="s">
        <v>38</v>
      </c>
      <c r="L2928" s="1888">
        <v>130500</v>
      </c>
      <c r="N2928" s="1888">
        <f t="shared" si="45"/>
        <v>0</v>
      </c>
    </row>
    <row r="2929" spans="2:14">
      <c r="B2929" s="1708"/>
      <c r="C2929" s="1708"/>
      <c r="D2929" s="57">
        <v>2210711</v>
      </c>
      <c r="E2929" s="58" t="s">
        <v>156</v>
      </c>
      <c r="F2929" s="1888">
        <v>88500</v>
      </c>
      <c r="H2929" s="1708"/>
      <c r="I2929" s="1708"/>
      <c r="J2929" s="1729">
        <v>2210711</v>
      </c>
      <c r="K2929" s="58" t="s">
        <v>156</v>
      </c>
      <c r="L2929" s="1888">
        <v>88500</v>
      </c>
      <c r="N2929" s="1888">
        <f t="shared" si="45"/>
        <v>0</v>
      </c>
    </row>
    <row r="2930" spans="2:14">
      <c r="B2930" s="1708"/>
      <c r="C2930" s="1708"/>
      <c r="D2930" s="1726">
        <v>2210800</v>
      </c>
      <c r="E2930" s="1727" t="s">
        <v>42</v>
      </c>
      <c r="F2930" s="1600">
        <v>290000</v>
      </c>
      <c r="H2930" s="1708"/>
      <c r="I2930" s="1708"/>
      <c r="J2930" s="1728">
        <v>2210800</v>
      </c>
      <c r="K2930" s="1727" t="s">
        <v>42</v>
      </c>
      <c r="L2930" s="1600">
        <v>290000</v>
      </c>
      <c r="N2930" s="1600">
        <f t="shared" si="45"/>
        <v>0</v>
      </c>
    </row>
    <row r="2931" spans="2:14">
      <c r="B2931" s="1708"/>
      <c r="C2931" s="1708"/>
      <c r="D2931" s="57">
        <v>2210801</v>
      </c>
      <c r="E2931" s="58" t="s">
        <v>195</v>
      </c>
      <c r="F2931" s="1888">
        <v>203000</v>
      </c>
      <c r="H2931" s="1708"/>
      <c r="I2931" s="1708"/>
      <c r="J2931" s="1729">
        <v>2210801</v>
      </c>
      <c r="K2931" s="58" t="s">
        <v>195</v>
      </c>
      <c r="L2931" s="1888">
        <v>203000</v>
      </c>
      <c r="N2931" s="1888">
        <f t="shared" si="45"/>
        <v>0</v>
      </c>
    </row>
    <row r="2932" spans="2:14">
      <c r="B2932" s="1708"/>
      <c r="C2932" s="1708"/>
      <c r="D2932" s="57">
        <v>2210802</v>
      </c>
      <c r="E2932" s="58" t="s">
        <v>45</v>
      </c>
      <c r="F2932" s="1888">
        <v>87000</v>
      </c>
      <c r="H2932" s="1708"/>
      <c r="I2932" s="1708"/>
      <c r="J2932" s="1729">
        <v>2210802</v>
      </c>
      <c r="K2932" s="58" t="s">
        <v>45</v>
      </c>
      <c r="L2932" s="1888">
        <v>87000</v>
      </c>
      <c r="N2932" s="1888">
        <f t="shared" si="45"/>
        <v>0</v>
      </c>
    </row>
    <row r="2933" spans="2:14">
      <c r="B2933" s="1708"/>
      <c r="C2933" s="1708"/>
      <c r="D2933" s="1726">
        <v>2211200</v>
      </c>
      <c r="E2933" s="1727" t="s">
        <v>55</v>
      </c>
      <c r="F2933" s="1600">
        <v>168200</v>
      </c>
      <c r="H2933" s="1708"/>
      <c r="I2933" s="1708"/>
      <c r="J2933" s="1728">
        <v>2211200</v>
      </c>
      <c r="K2933" s="1727" t="s">
        <v>55</v>
      </c>
      <c r="L2933" s="1600">
        <v>168200</v>
      </c>
      <c r="N2933" s="1600">
        <f t="shared" si="45"/>
        <v>0</v>
      </c>
    </row>
    <row r="2934" spans="2:14">
      <c r="B2934" s="1708"/>
      <c r="C2934" s="1708"/>
      <c r="D2934" s="57">
        <v>2211201</v>
      </c>
      <c r="E2934" s="58" t="s">
        <v>56</v>
      </c>
      <c r="F2934" s="1888">
        <v>168200</v>
      </c>
      <c r="H2934" s="1708"/>
      <c r="I2934" s="1708"/>
      <c r="J2934" s="1729">
        <v>2211201</v>
      </c>
      <c r="K2934" s="58" t="s">
        <v>56</v>
      </c>
      <c r="L2934" s="1888">
        <v>168200</v>
      </c>
      <c r="N2934" s="1888">
        <f t="shared" si="45"/>
        <v>0</v>
      </c>
    </row>
    <row r="2935" spans="2:14">
      <c r="B2935" s="1708"/>
      <c r="C2935" s="1708"/>
      <c r="D2935" s="1726">
        <v>2211300</v>
      </c>
      <c r="E2935" s="1727" t="s">
        <v>57</v>
      </c>
      <c r="F2935" s="1600">
        <v>180000</v>
      </c>
      <c r="H2935" s="1708"/>
      <c r="I2935" s="1708"/>
      <c r="J2935" s="1728">
        <v>2211300</v>
      </c>
      <c r="K2935" s="1727" t="s">
        <v>57</v>
      </c>
      <c r="L2935" s="1600">
        <v>180000</v>
      </c>
      <c r="N2935" s="1600">
        <f t="shared" si="45"/>
        <v>0</v>
      </c>
    </row>
    <row r="2936" spans="2:14">
      <c r="B2936" s="1708"/>
      <c r="C2936" s="1708"/>
      <c r="D2936" s="57">
        <v>2211306</v>
      </c>
      <c r="E2936" s="58" t="s">
        <v>1477</v>
      </c>
      <c r="F2936" s="1888">
        <v>180000</v>
      </c>
      <c r="H2936" s="1708"/>
      <c r="I2936" s="1708"/>
      <c r="J2936" s="1729">
        <v>2211306</v>
      </c>
      <c r="K2936" s="58" t="s">
        <v>1477</v>
      </c>
      <c r="L2936" s="1888">
        <v>180000</v>
      </c>
      <c r="N2936" s="1888">
        <f t="shared" si="45"/>
        <v>0</v>
      </c>
    </row>
    <row r="2937" spans="2:14">
      <c r="B2937" s="92"/>
      <c r="C2937" s="92"/>
      <c r="D2937" s="1726">
        <v>2220200</v>
      </c>
      <c r="E2937" s="1727" t="s">
        <v>86</v>
      </c>
      <c r="F2937" s="1600">
        <v>127600</v>
      </c>
      <c r="H2937" s="92"/>
      <c r="I2937" s="92"/>
      <c r="J2937" s="1728">
        <v>2220200</v>
      </c>
      <c r="K2937" s="1727" t="s">
        <v>86</v>
      </c>
      <c r="L2937" s="1600">
        <v>127600</v>
      </c>
      <c r="N2937" s="1600">
        <f t="shared" si="45"/>
        <v>0</v>
      </c>
    </row>
    <row r="2938" spans="2:14">
      <c r="B2938" s="1708"/>
      <c r="C2938" s="1708"/>
      <c r="D2938" s="57">
        <v>2220202</v>
      </c>
      <c r="E2938" s="58" t="s">
        <v>495</v>
      </c>
      <c r="F2938" s="1888">
        <v>40600</v>
      </c>
      <c r="H2938" s="1708"/>
      <c r="I2938" s="1708"/>
      <c r="J2938" s="1729">
        <v>2220202</v>
      </c>
      <c r="K2938" s="58" t="s">
        <v>495</v>
      </c>
      <c r="L2938" s="1888">
        <v>40600</v>
      </c>
      <c r="N2938" s="1888">
        <f t="shared" si="45"/>
        <v>0</v>
      </c>
    </row>
    <row r="2939" spans="2:14">
      <c r="B2939" s="1708"/>
      <c r="C2939" s="1708"/>
      <c r="D2939" s="57">
        <v>2220210</v>
      </c>
      <c r="E2939" s="58" t="s">
        <v>163</v>
      </c>
      <c r="F2939" s="1888">
        <v>87000</v>
      </c>
      <c r="H2939" s="1708"/>
      <c r="I2939" s="1708"/>
      <c r="J2939" s="1729">
        <v>2220210</v>
      </c>
      <c r="K2939" s="58" t="s">
        <v>163</v>
      </c>
      <c r="L2939" s="1888">
        <v>87000</v>
      </c>
      <c r="N2939" s="1888">
        <f t="shared" si="45"/>
        <v>0</v>
      </c>
    </row>
    <row r="2940" spans="2:14">
      <c r="B2940" s="1708"/>
      <c r="C2940" s="1708"/>
      <c r="D2940" s="1726">
        <v>3111000</v>
      </c>
      <c r="E2940" s="1727" t="s">
        <v>69</v>
      </c>
      <c r="F2940" s="1600">
        <v>81200</v>
      </c>
      <c r="H2940" s="1708"/>
      <c r="I2940" s="1708"/>
      <c r="J2940" s="1728">
        <v>3111000</v>
      </c>
      <c r="K2940" s="1727" t="s">
        <v>69</v>
      </c>
      <c r="L2940" s="1600">
        <v>81200</v>
      </c>
      <c r="N2940" s="1600">
        <f t="shared" si="45"/>
        <v>0</v>
      </c>
    </row>
    <row r="2941" spans="2:14">
      <c r="B2941" s="1708"/>
      <c r="C2941" s="1708"/>
      <c r="D2941" s="57">
        <v>3111002</v>
      </c>
      <c r="E2941" s="58" t="s">
        <v>71</v>
      </c>
      <c r="F2941" s="1888">
        <v>81200</v>
      </c>
      <c r="H2941" s="1708"/>
      <c r="I2941" s="1708"/>
      <c r="J2941" s="1729">
        <v>3111002</v>
      </c>
      <c r="K2941" s="58" t="s">
        <v>71</v>
      </c>
      <c r="L2941" s="1888">
        <v>81200</v>
      </c>
      <c r="N2941" s="1888">
        <f t="shared" si="45"/>
        <v>0</v>
      </c>
    </row>
    <row r="2942" spans="2:14">
      <c r="B2942" s="1708"/>
      <c r="C2942" s="1708"/>
      <c r="D2942" s="1726">
        <v>3111100</v>
      </c>
      <c r="E2942" s="1727" t="s">
        <v>584</v>
      </c>
      <c r="F2942" s="1600">
        <v>4334000</v>
      </c>
      <c r="H2942" s="1708"/>
      <c r="I2942" s="1708"/>
      <c r="J2942" s="1728">
        <v>3111100</v>
      </c>
      <c r="K2942" s="1727" t="s">
        <v>584</v>
      </c>
      <c r="L2942" s="1600">
        <v>4334000</v>
      </c>
      <c r="N2942" s="1600">
        <f t="shared" si="45"/>
        <v>0</v>
      </c>
    </row>
    <row r="2943" spans="2:14" ht="30">
      <c r="B2943" s="1708"/>
      <c r="C2943" s="1708"/>
      <c r="D2943" s="19" t="s">
        <v>74</v>
      </c>
      <c r="E2943" s="58" t="s">
        <v>1478</v>
      </c>
      <c r="F2943" s="1888">
        <v>3200000</v>
      </c>
      <c r="H2943" s="1708"/>
      <c r="I2943" s="1708"/>
      <c r="J2943" s="19" t="s">
        <v>74</v>
      </c>
      <c r="K2943" s="58" t="s">
        <v>1478</v>
      </c>
      <c r="L2943" s="1888">
        <v>3200000</v>
      </c>
      <c r="N2943" s="1888">
        <f t="shared" si="45"/>
        <v>0</v>
      </c>
    </row>
    <row r="2944" spans="2:14" ht="30">
      <c r="B2944" s="1708"/>
      <c r="C2944" s="1708"/>
      <c r="D2944" s="19" t="s">
        <v>74</v>
      </c>
      <c r="E2944" s="58" t="s">
        <v>1479</v>
      </c>
      <c r="F2944" s="164">
        <v>1134000</v>
      </c>
      <c r="H2944" s="1708"/>
      <c r="I2944" s="1708"/>
      <c r="J2944" s="19" t="s">
        <v>74</v>
      </c>
      <c r="K2944" s="58" t="s">
        <v>1479</v>
      </c>
      <c r="L2944" s="164">
        <v>1134000</v>
      </c>
      <c r="N2944" s="164">
        <f t="shared" si="45"/>
        <v>0</v>
      </c>
    </row>
    <row r="2945" spans="2:14">
      <c r="B2945" s="1892"/>
      <c r="C2945" s="1892"/>
      <c r="D2945" s="1732"/>
      <c r="E2945" s="1725" t="s">
        <v>585</v>
      </c>
      <c r="F2945" s="1621">
        <v>6122800</v>
      </c>
      <c r="H2945" s="1892"/>
      <c r="I2945" s="1892"/>
      <c r="J2945" s="1733"/>
      <c r="K2945" s="1725" t="s">
        <v>585</v>
      </c>
      <c r="L2945" s="1621">
        <v>6122800</v>
      </c>
      <c r="N2945" s="1621">
        <f t="shared" si="45"/>
        <v>0</v>
      </c>
    </row>
    <row r="2946" spans="2:14">
      <c r="B2946" s="92"/>
      <c r="C2946" s="92"/>
      <c r="D2946" s="61"/>
      <c r="E2946" s="74"/>
      <c r="F2946" s="164"/>
      <c r="H2946" s="92"/>
      <c r="I2946" s="92"/>
      <c r="J2946" s="61"/>
      <c r="K2946" s="74"/>
      <c r="L2946" s="164"/>
      <c r="N2946" s="164">
        <f t="shared" si="45"/>
        <v>0</v>
      </c>
    </row>
    <row r="2947" spans="2:14">
      <c r="B2947" s="92"/>
      <c r="C2947" s="92"/>
      <c r="D2947" s="61"/>
      <c r="E2947" s="74"/>
      <c r="F2947" s="164"/>
      <c r="H2947" s="92"/>
      <c r="I2947" s="92"/>
      <c r="J2947" s="61"/>
      <c r="K2947" s="74"/>
      <c r="L2947" s="164"/>
      <c r="N2947" s="164">
        <f t="shared" si="45"/>
        <v>0</v>
      </c>
    </row>
    <row r="2948" spans="2:14">
      <c r="B2948" s="92"/>
      <c r="C2948" s="92"/>
      <c r="D2948" s="61"/>
      <c r="E2948" s="1680" t="s">
        <v>92</v>
      </c>
      <c r="F2948" s="164"/>
      <c r="H2948" s="92"/>
      <c r="I2948" s="92"/>
      <c r="J2948" s="61"/>
      <c r="K2948" s="1680" t="s">
        <v>92</v>
      </c>
      <c r="L2948" s="164"/>
      <c r="N2948" s="164">
        <f t="shared" si="45"/>
        <v>0</v>
      </c>
    </row>
    <row r="2949" spans="2:14" ht="30">
      <c r="B2949" s="92"/>
      <c r="C2949" s="92"/>
      <c r="D2949" s="61">
        <v>3110504</v>
      </c>
      <c r="E2949" s="74" t="s">
        <v>1480</v>
      </c>
      <c r="F2949" s="164">
        <v>2216000</v>
      </c>
      <c r="H2949" s="92"/>
      <c r="I2949" s="92"/>
      <c r="J2949" s="61">
        <v>3110504</v>
      </c>
      <c r="K2949" s="74" t="s">
        <v>1480</v>
      </c>
      <c r="L2949" s="164">
        <v>2216000</v>
      </c>
      <c r="N2949" s="164">
        <f t="shared" si="45"/>
        <v>0</v>
      </c>
    </row>
    <row r="2950" spans="2:14">
      <c r="B2950" s="1681"/>
      <c r="C2950" s="1681"/>
      <c r="D2950" s="1671"/>
      <c r="E2950" s="1725" t="s">
        <v>175</v>
      </c>
      <c r="F2950" s="1660">
        <v>2216000</v>
      </c>
      <c r="H2950" s="1681"/>
      <c r="I2950" s="1681"/>
      <c r="J2950" s="1671"/>
      <c r="K2950" s="1725" t="s">
        <v>175</v>
      </c>
      <c r="L2950" s="1660">
        <v>2216000</v>
      </c>
      <c r="N2950" s="1660">
        <f t="shared" si="45"/>
        <v>0</v>
      </c>
    </row>
    <row r="2951" spans="2:14">
      <c r="B2951" s="1681"/>
      <c r="C2951" s="1681"/>
      <c r="D2951" s="1671"/>
      <c r="E2951" s="1725" t="s">
        <v>84</v>
      </c>
      <c r="F2951" s="1660">
        <v>8338800</v>
      </c>
      <c r="H2951" s="1681"/>
      <c r="I2951" s="1681"/>
      <c r="J2951" s="1671"/>
      <c r="K2951" s="1725" t="s">
        <v>84</v>
      </c>
      <c r="L2951" s="1660">
        <v>8338800</v>
      </c>
      <c r="N2951" s="1660">
        <f t="shared" si="45"/>
        <v>0</v>
      </c>
    </row>
    <row r="2952" spans="2:14">
      <c r="B2952" s="25"/>
      <c r="C2952" s="25"/>
      <c r="D2952" s="61"/>
      <c r="E2952" s="74"/>
      <c r="F2952" s="164"/>
      <c r="H2952" s="25"/>
      <c r="I2952" s="25"/>
      <c r="J2952" s="61"/>
      <c r="K2952" s="74"/>
      <c r="L2952" s="164"/>
      <c r="N2952" s="164">
        <f t="shared" ref="N2952:N3015" si="46">F2952-L2952</f>
        <v>0</v>
      </c>
    </row>
    <row r="2953" spans="2:14">
      <c r="B2953" s="92" t="s">
        <v>144</v>
      </c>
      <c r="C2953" s="92"/>
      <c r="D2953" s="1671" t="s">
        <v>586</v>
      </c>
      <c r="E2953" s="1680"/>
      <c r="F2953" s="164"/>
      <c r="H2953" s="92" t="s">
        <v>144</v>
      </c>
      <c r="I2953" s="92"/>
      <c r="J2953" s="1671" t="s">
        <v>586</v>
      </c>
      <c r="K2953" s="1680"/>
      <c r="L2953" s="164"/>
      <c r="N2953" s="164">
        <f t="shared" si="46"/>
        <v>0</v>
      </c>
    </row>
    <row r="2954" spans="2:14">
      <c r="B2954" s="92"/>
      <c r="C2954" s="92" t="s">
        <v>146</v>
      </c>
      <c r="D2954" s="1671" t="s">
        <v>587</v>
      </c>
      <c r="E2954" s="1680"/>
      <c r="F2954" s="164"/>
      <c r="H2954" s="92"/>
      <c r="I2954" s="92" t="s">
        <v>146</v>
      </c>
      <c r="J2954" s="1671" t="s">
        <v>587</v>
      </c>
      <c r="K2954" s="1680"/>
      <c r="L2954" s="164"/>
      <c r="N2954" s="164">
        <f t="shared" si="46"/>
        <v>0</v>
      </c>
    </row>
    <row r="2955" spans="2:14">
      <c r="B2955" s="1681"/>
      <c r="C2955" s="1681"/>
      <c r="D2955" s="1671">
        <v>2210100</v>
      </c>
      <c r="E2955" s="1680" t="s">
        <v>16</v>
      </c>
      <c r="F2955" s="1636">
        <v>29000</v>
      </c>
      <c r="H2955" s="1681"/>
      <c r="I2955" s="1681"/>
      <c r="J2955" s="1671">
        <v>2210100</v>
      </c>
      <c r="K2955" s="1680" t="s">
        <v>16</v>
      </c>
      <c r="L2955" s="1636">
        <v>29000</v>
      </c>
      <c r="N2955" s="1636">
        <f t="shared" si="46"/>
        <v>0</v>
      </c>
    </row>
    <row r="2956" spans="2:14">
      <c r="B2956" s="92"/>
      <c r="C2956" s="92"/>
      <c r="D2956" s="61">
        <v>2210101</v>
      </c>
      <c r="E2956" s="74" t="s">
        <v>17</v>
      </c>
      <c r="F2956" s="164">
        <v>29000</v>
      </c>
      <c r="H2956" s="92"/>
      <c r="I2956" s="92"/>
      <c r="J2956" s="61">
        <v>2210101</v>
      </c>
      <c r="K2956" s="74" t="s">
        <v>17</v>
      </c>
      <c r="L2956" s="164">
        <v>29000</v>
      </c>
      <c r="N2956" s="164">
        <f t="shared" si="46"/>
        <v>0</v>
      </c>
    </row>
    <row r="2957" spans="2:14">
      <c r="B2957" s="1681"/>
      <c r="C2957" s="1681"/>
      <c r="D2957" s="1671">
        <v>2210200</v>
      </c>
      <c r="E2957" s="1680" t="s">
        <v>20</v>
      </c>
      <c r="F2957" s="1636">
        <v>57000</v>
      </c>
      <c r="H2957" s="1681"/>
      <c r="I2957" s="1681"/>
      <c r="J2957" s="1671">
        <v>2210200</v>
      </c>
      <c r="K2957" s="1680" t="s">
        <v>20</v>
      </c>
      <c r="L2957" s="1636">
        <v>57000</v>
      </c>
      <c r="N2957" s="1636">
        <f t="shared" si="46"/>
        <v>0</v>
      </c>
    </row>
    <row r="2958" spans="2:14">
      <c r="B2958" s="92"/>
      <c r="C2958" s="92"/>
      <c r="D2958" s="61">
        <v>2210201</v>
      </c>
      <c r="E2958" s="74" t="s">
        <v>187</v>
      </c>
      <c r="F2958" s="164">
        <v>57000</v>
      </c>
      <c r="H2958" s="92"/>
      <c r="I2958" s="92"/>
      <c r="J2958" s="61">
        <v>2210201</v>
      </c>
      <c r="K2958" s="74" t="s">
        <v>187</v>
      </c>
      <c r="L2958" s="164">
        <v>57000</v>
      </c>
      <c r="N2958" s="164">
        <f t="shared" si="46"/>
        <v>0</v>
      </c>
    </row>
    <row r="2959" spans="2:14">
      <c r="B2959" s="1681"/>
      <c r="C2959" s="1681"/>
      <c r="D2959" s="1671">
        <v>2210300</v>
      </c>
      <c r="E2959" s="1680" t="s">
        <v>24</v>
      </c>
      <c r="F2959" s="1636">
        <v>573000</v>
      </c>
      <c r="H2959" s="1681"/>
      <c r="I2959" s="1681"/>
      <c r="J2959" s="1671">
        <v>2210300</v>
      </c>
      <c r="K2959" s="1680" t="s">
        <v>24</v>
      </c>
      <c r="L2959" s="1636">
        <v>573000</v>
      </c>
      <c r="N2959" s="1636">
        <f t="shared" si="46"/>
        <v>0</v>
      </c>
    </row>
    <row r="2960" spans="2:14">
      <c r="B2960" s="92"/>
      <c r="C2960" s="92"/>
      <c r="D2960" s="61">
        <v>2210301</v>
      </c>
      <c r="E2960" s="74" t="s">
        <v>188</v>
      </c>
      <c r="F2960" s="164">
        <v>174000</v>
      </c>
      <c r="H2960" s="92"/>
      <c r="I2960" s="92"/>
      <c r="J2960" s="61">
        <v>2210301</v>
      </c>
      <c r="K2960" s="74" t="s">
        <v>188</v>
      </c>
      <c r="L2960" s="164">
        <v>174000</v>
      </c>
      <c r="N2960" s="164">
        <f t="shared" si="46"/>
        <v>0</v>
      </c>
    </row>
    <row r="2961" spans="2:14">
      <c r="B2961" s="92"/>
      <c r="C2961" s="92"/>
      <c r="D2961" s="61">
        <v>2210302</v>
      </c>
      <c r="E2961" s="74" t="s">
        <v>26</v>
      </c>
      <c r="F2961" s="164">
        <v>174000</v>
      </c>
      <c r="H2961" s="92"/>
      <c r="I2961" s="92"/>
      <c r="J2961" s="61">
        <v>2210302</v>
      </c>
      <c r="K2961" s="74" t="s">
        <v>26</v>
      </c>
      <c r="L2961" s="164">
        <v>174000</v>
      </c>
      <c r="N2961" s="164">
        <f t="shared" si="46"/>
        <v>0</v>
      </c>
    </row>
    <row r="2962" spans="2:14">
      <c r="B2962" s="92"/>
      <c r="C2962" s="92"/>
      <c r="D2962" s="61">
        <v>2210303</v>
      </c>
      <c r="E2962" s="74" t="s">
        <v>223</v>
      </c>
      <c r="F2962" s="164">
        <v>145000</v>
      </c>
      <c r="H2962" s="92"/>
      <c r="I2962" s="92"/>
      <c r="J2962" s="61">
        <v>2210303</v>
      </c>
      <c r="K2962" s="74" t="s">
        <v>223</v>
      </c>
      <c r="L2962" s="164">
        <v>145000</v>
      </c>
      <c r="N2962" s="164">
        <f t="shared" si="46"/>
        <v>0</v>
      </c>
    </row>
    <row r="2963" spans="2:14">
      <c r="B2963" s="92"/>
      <c r="C2963" s="92"/>
      <c r="D2963" s="61">
        <v>2210310</v>
      </c>
      <c r="E2963" s="74" t="s">
        <v>208</v>
      </c>
      <c r="F2963" s="164">
        <v>80000</v>
      </c>
      <c r="H2963" s="92"/>
      <c r="I2963" s="92"/>
      <c r="J2963" s="61">
        <v>2210310</v>
      </c>
      <c r="K2963" s="74" t="s">
        <v>208</v>
      </c>
      <c r="L2963" s="164">
        <v>80000</v>
      </c>
      <c r="N2963" s="164">
        <f t="shared" si="46"/>
        <v>0</v>
      </c>
    </row>
    <row r="2964" spans="2:14">
      <c r="B2964" s="1681"/>
      <c r="C2964" s="1681"/>
      <c r="D2964" s="1671">
        <v>2210500</v>
      </c>
      <c r="E2964" s="1680" t="s">
        <v>31</v>
      </c>
      <c r="F2964" s="1636">
        <v>0</v>
      </c>
      <c r="H2964" s="1681"/>
      <c r="I2964" s="1681"/>
      <c r="J2964" s="1671">
        <v>2210500</v>
      </c>
      <c r="K2964" s="1680" t="s">
        <v>31</v>
      </c>
      <c r="L2964" s="1636">
        <v>0</v>
      </c>
      <c r="N2964" s="1636">
        <f t="shared" si="46"/>
        <v>0</v>
      </c>
    </row>
    <row r="2965" spans="2:14" ht="45">
      <c r="B2965" s="92"/>
      <c r="C2965" s="92"/>
      <c r="D2965" s="19" t="s">
        <v>588</v>
      </c>
      <c r="E2965" s="74" t="s">
        <v>589</v>
      </c>
      <c r="F2965" s="164">
        <v>0</v>
      </c>
      <c r="H2965" s="92"/>
      <c r="I2965" s="92"/>
      <c r="J2965" s="19" t="s">
        <v>588</v>
      </c>
      <c r="K2965" s="74" t="s">
        <v>589</v>
      </c>
      <c r="L2965" s="164">
        <v>0</v>
      </c>
      <c r="N2965" s="164">
        <f t="shared" si="46"/>
        <v>0</v>
      </c>
    </row>
    <row r="2966" spans="2:14">
      <c r="B2966" s="1681"/>
      <c r="C2966" s="1681"/>
      <c r="D2966" s="1671">
        <v>2210700</v>
      </c>
      <c r="E2966" s="1680" t="s">
        <v>35</v>
      </c>
      <c r="F2966" s="1636">
        <v>2585000</v>
      </c>
      <c r="H2966" s="1681"/>
      <c r="I2966" s="1681"/>
      <c r="J2966" s="1671">
        <v>2210700</v>
      </c>
      <c r="K2966" s="1680" t="s">
        <v>35</v>
      </c>
      <c r="L2966" s="1636">
        <v>2585000</v>
      </c>
      <c r="N2966" s="1636">
        <f t="shared" si="46"/>
        <v>0</v>
      </c>
    </row>
    <row r="2967" spans="2:14">
      <c r="B2967" s="92"/>
      <c r="C2967" s="92"/>
      <c r="D2967" s="61">
        <v>2210701</v>
      </c>
      <c r="E2967" s="74" t="s">
        <v>36</v>
      </c>
      <c r="F2967" s="164">
        <v>145000</v>
      </c>
      <c r="H2967" s="92"/>
      <c r="I2967" s="92"/>
      <c r="J2967" s="61">
        <v>2210701</v>
      </c>
      <c r="K2967" s="74" t="s">
        <v>36</v>
      </c>
      <c r="L2967" s="164">
        <v>145000</v>
      </c>
      <c r="N2967" s="164">
        <f t="shared" si="46"/>
        <v>0</v>
      </c>
    </row>
    <row r="2968" spans="2:14" ht="60">
      <c r="B2968" s="92"/>
      <c r="C2968" s="92"/>
      <c r="D2968" s="61">
        <v>2210707</v>
      </c>
      <c r="E2968" s="74" t="s">
        <v>590</v>
      </c>
      <c r="F2968" s="164">
        <v>2440000</v>
      </c>
      <c r="H2968" s="92"/>
      <c r="I2968" s="92"/>
      <c r="J2968" s="61">
        <v>2210707</v>
      </c>
      <c r="K2968" s="74" t="s">
        <v>590</v>
      </c>
      <c r="L2968" s="164">
        <v>2440000</v>
      </c>
      <c r="N2968" s="164">
        <f t="shared" si="46"/>
        <v>0</v>
      </c>
    </row>
    <row r="2969" spans="2:14">
      <c r="B2969" s="1681"/>
      <c r="C2969" s="1681"/>
      <c r="D2969" s="1671">
        <v>2210800</v>
      </c>
      <c r="E2969" s="1680" t="s">
        <v>42</v>
      </c>
      <c r="F2969" s="1636">
        <v>255200</v>
      </c>
      <c r="H2969" s="1681"/>
      <c r="I2969" s="1681"/>
      <c r="J2969" s="1671">
        <v>2210800</v>
      </c>
      <c r="K2969" s="1680" t="s">
        <v>42</v>
      </c>
      <c r="L2969" s="1636">
        <v>255200</v>
      </c>
      <c r="N2969" s="1636">
        <f t="shared" si="46"/>
        <v>0</v>
      </c>
    </row>
    <row r="2970" spans="2:14">
      <c r="B2970" s="92"/>
      <c r="C2970" s="92"/>
      <c r="D2970" s="61">
        <v>2210801</v>
      </c>
      <c r="E2970" s="74" t="s">
        <v>195</v>
      </c>
      <c r="F2970" s="164">
        <v>139200</v>
      </c>
      <c r="H2970" s="92"/>
      <c r="I2970" s="92"/>
      <c r="J2970" s="61">
        <v>2210801</v>
      </c>
      <c r="K2970" s="74" t="s">
        <v>195</v>
      </c>
      <c r="L2970" s="164">
        <v>139200</v>
      </c>
      <c r="N2970" s="164">
        <f t="shared" si="46"/>
        <v>0</v>
      </c>
    </row>
    <row r="2971" spans="2:14">
      <c r="B2971" s="92"/>
      <c r="C2971" s="92"/>
      <c r="D2971" s="61">
        <v>2210802</v>
      </c>
      <c r="E2971" s="74" t="s">
        <v>97</v>
      </c>
      <c r="F2971" s="164">
        <v>116000</v>
      </c>
      <c r="H2971" s="92"/>
      <c r="I2971" s="92"/>
      <c r="J2971" s="61">
        <v>2210802</v>
      </c>
      <c r="K2971" s="74" t="s">
        <v>97</v>
      </c>
      <c r="L2971" s="164">
        <v>116000</v>
      </c>
      <c r="N2971" s="164">
        <f t="shared" si="46"/>
        <v>0</v>
      </c>
    </row>
    <row r="2972" spans="2:14">
      <c r="B2972" s="1681"/>
      <c r="C2972" s="1681"/>
      <c r="D2972" s="1671">
        <v>2211000</v>
      </c>
      <c r="E2972" s="1680" t="s">
        <v>118</v>
      </c>
      <c r="F2972" s="1636">
        <v>1758000</v>
      </c>
      <c r="H2972" s="1681"/>
      <c r="I2972" s="1681"/>
      <c r="J2972" s="1671">
        <v>2211000</v>
      </c>
      <c r="K2972" s="1680" t="s">
        <v>118</v>
      </c>
      <c r="L2972" s="1636">
        <v>1758000</v>
      </c>
      <c r="N2972" s="1636">
        <f t="shared" si="46"/>
        <v>0</v>
      </c>
    </row>
    <row r="2973" spans="2:14">
      <c r="B2973" s="92"/>
      <c r="C2973" s="92"/>
      <c r="D2973" s="61">
        <v>2211016</v>
      </c>
      <c r="E2973" s="74" t="s">
        <v>196</v>
      </c>
      <c r="F2973" s="164">
        <v>29000</v>
      </c>
      <c r="H2973" s="92"/>
      <c r="I2973" s="92"/>
      <c r="J2973" s="61">
        <v>2211016</v>
      </c>
      <c r="K2973" s="74" t="s">
        <v>196</v>
      </c>
      <c r="L2973" s="164">
        <v>29000</v>
      </c>
      <c r="N2973" s="164">
        <f t="shared" si="46"/>
        <v>0</v>
      </c>
    </row>
    <row r="2974" spans="2:14" ht="30">
      <c r="B2974" s="92"/>
      <c r="C2974" s="92"/>
      <c r="D2974" s="61">
        <v>2211031</v>
      </c>
      <c r="E2974" s="74" t="s">
        <v>591</v>
      </c>
      <c r="F2974" s="164">
        <v>1729000</v>
      </c>
      <c r="H2974" s="92"/>
      <c r="I2974" s="92"/>
      <c r="J2974" s="61">
        <v>2211031</v>
      </c>
      <c r="K2974" s="74" t="s">
        <v>591</v>
      </c>
      <c r="L2974" s="164">
        <v>1729000</v>
      </c>
      <c r="N2974" s="164">
        <f t="shared" si="46"/>
        <v>0</v>
      </c>
    </row>
    <row r="2975" spans="2:14">
      <c r="B2975" s="1681"/>
      <c r="C2975" s="1681"/>
      <c r="D2975" s="1671">
        <v>2211100</v>
      </c>
      <c r="E2975" s="1680" t="s">
        <v>51</v>
      </c>
      <c r="F2975" s="1636">
        <v>153000</v>
      </c>
      <c r="H2975" s="1681"/>
      <c r="I2975" s="1681"/>
      <c r="J2975" s="1671">
        <v>2211100</v>
      </c>
      <c r="K2975" s="1680" t="s">
        <v>51</v>
      </c>
      <c r="L2975" s="1636">
        <v>153000</v>
      </c>
      <c r="N2975" s="1636">
        <f t="shared" si="46"/>
        <v>0</v>
      </c>
    </row>
    <row r="2976" spans="2:14">
      <c r="B2976" s="92"/>
      <c r="C2976" s="92"/>
      <c r="D2976" s="61">
        <v>2211101</v>
      </c>
      <c r="E2976" s="74" t="s">
        <v>289</v>
      </c>
      <c r="F2976" s="164">
        <v>95000</v>
      </c>
      <c r="H2976" s="92"/>
      <c r="I2976" s="92"/>
      <c r="J2976" s="61">
        <v>2211101</v>
      </c>
      <c r="K2976" s="74" t="s">
        <v>289</v>
      </c>
      <c r="L2976" s="164">
        <v>95000</v>
      </c>
      <c r="N2976" s="164">
        <f t="shared" si="46"/>
        <v>0</v>
      </c>
    </row>
    <row r="2977" spans="2:14">
      <c r="B2977" s="92"/>
      <c r="C2977" s="92"/>
      <c r="D2977" s="61">
        <v>2211102</v>
      </c>
      <c r="E2977" s="74" t="s">
        <v>53</v>
      </c>
      <c r="F2977" s="164">
        <v>58000</v>
      </c>
      <c r="H2977" s="92"/>
      <c r="I2977" s="92"/>
      <c r="J2977" s="61">
        <v>2211102</v>
      </c>
      <c r="K2977" s="74" t="s">
        <v>53</v>
      </c>
      <c r="L2977" s="164">
        <v>58000</v>
      </c>
      <c r="N2977" s="164">
        <f t="shared" si="46"/>
        <v>0</v>
      </c>
    </row>
    <row r="2978" spans="2:14">
      <c r="B2978" s="1681"/>
      <c r="C2978" s="1681"/>
      <c r="D2978" s="1671">
        <v>2211200</v>
      </c>
      <c r="E2978" s="1680" t="s">
        <v>55</v>
      </c>
      <c r="F2978" s="1636">
        <v>287000</v>
      </c>
      <c r="H2978" s="1681"/>
      <c r="I2978" s="1681"/>
      <c r="J2978" s="1671">
        <v>2211200</v>
      </c>
      <c r="K2978" s="1680" t="s">
        <v>55</v>
      </c>
      <c r="L2978" s="1636">
        <v>287000</v>
      </c>
      <c r="N2978" s="1636">
        <f t="shared" si="46"/>
        <v>0</v>
      </c>
    </row>
    <row r="2979" spans="2:14">
      <c r="B2979" s="92"/>
      <c r="C2979" s="92"/>
      <c r="D2979" s="61">
        <v>2211201</v>
      </c>
      <c r="E2979" s="74" t="s">
        <v>56</v>
      </c>
      <c r="F2979" s="164">
        <v>287000</v>
      </c>
      <c r="H2979" s="92"/>
      <c r="I2979" s="92"/>
      <c r="J2979" s="61">
        <v>2211201</v>
      </c>
      <c r="K2979" s="74" t="s">
        <v>56</v>
      </c>
      <c r="L2979" s="164">
        <v>287000</v>
      </c>
      <c r="N2979" s="164">
        <f t="shared" si="46"/>
        <v>0</v>
      </c>
    </row>
    <row r="2980" spans="2:14">
      <c r="B2980" s="92"/>
      <c r="C2980" s="92"/>
      <c r="D2980" s="1726">
        <v>2211300</v>
      </c>
      <c r="E2980" s="1727" t="s">
        <v>57</v>
      </c>
      <c r="F2980" s="1600">
        <v>16639800</v>
      </c>
      <c r="H2980" s="92"/>
      <c r="I2980" s="92"/>
      <c r="J2980" s="1728">
        <v>2211300</v>
      </c>
      <c r="K2980" s="1727" t="s">
        <v>57</v>
      </c>
      <c r="L2980" s="1600">
        <v>16639800</v>
      </c>
      <c r="N2980" s="1600">
        <f t="shared" si="46"/>
        <v>0</v>
      </c>
    </row>
    <row r="2981" spans="2:14" ht="45">
      <c r="B2981" s="92"/>
      <c r="C2981" s="92"/>
      <c r="D2981" s="61">
        <v>2211306</v>
      </c>
      <c r="E2981" s="74" t="s">
        <v>592</v>
      </c>
      <c r="F2981" s="164">
        <v>1639800</v>
      </c>
      <c r="H2981" s="92"/>
      <c r="I2981" s="92"/>
      <c r="J2981" s="61">
        <v>2211306</v>
      </c>
      <c r="K2981" s="74" t="s">
        <v>592</v>
      </c>
      <c r="L2981" s="164">
        <v>1639800</v>
      </c>
      <c r="N2981" s="164">
        <f t="shared" si="46"/>
        <v>0</v>
      </c>
    </row>
    <row r="2982" spans="2:14" ht="30">
      <c r="B2982" s="92"/>
      <c r="C2982" s="92"/>
      <c r="D2982" s="61">
        <v>2211399</v>
      </c>
      <c r="E2982" s="74" t="s">
        <v>1815</v>
      </c>
      <c r="F2982" s="164">
        <v>15000000</v>
      </c>
      <c r="H2982" s="92"/>
      <c r="I2982" s="92"/>
      <c r="J2982" s="61">
        <v>2211399</v>
      </c>
      <c r="K2982" s="74" t="s">
        <v>1815</v>
      </c>
      <c r="L2982" s="164">
        <v>15000000</v>
      </c>
      <c r="N2982" s="164">
        <f t="shared" si="46"/>
        <v>0</v>
      </c>
    </row>
    <row r="2983" spans="2:14">
      <c r="B2983" s="1681"/>
      <c r="C2983" s="1681"/>
      <c r="D2983" s="1671">
        <v>2220100</v>
      </c>
      <c r="E2983" s="1680" t="s">
        <v>62</v>
      </c>
      <c r="F2983" s="1636">
        <v>69600</v>
      </c>
      <c r="H2983" s="1681"/>
      <c r="I2983" s="1681"/>
      <c r="J2983" s="1671">
        <v>2220100</v>
      </c>
      <c r="K2983" s="1680" t="s">
        <v>62</v>
      </c>
      <c r="L2983" s="1636">
        <v>69600</v>
      </c>
      <c r="N2983" s="1636">
        <f t="shared" si="46"/>
        <v>0</v>
      </c>
    </row>
    <row r="2984" spans="2:14">
      <c r="B2984" s="92"/>
      <c r="C2984" s="92"/>
      <c r="D2984" s="61">
        <v>2220101</v>
      </c>
      <c r="E2984" s="74" t="s">
        <v>200</v>
      </c>
      <c r="F2984" s="164">
        <v>69600</v>
      </c>
      <c r="H2984" s="92"/>
      <c r="I2984" s="92"/>
      <c r="J2984" s="61">
        <v>2220101</v>
      </c>
      <c r="K2984" s="74" t="s">
        <v>200</v>
      </c>
      <c r="L2984" s="164">
        <v>69600</v>
      </c>
      <c r="N2984" s="164">
        <f t="shared" si="46"/>
        <v>0</v>
      </c>
    </row>
    <row r="2985" spans="2:14">
      <c r="B2985" s="1681"/>
      <c r="C2985" s="1681"/>
      <c r="D2985" s="1671">
        <v>2220200</v>
      </c>
      <c r="E2985" s="1680" t="s">
        <v>124</v>
      </c>
      <c r="F2985" s="1636">
        <v>58000</v>
      </c>
      <c r="H2985" s="1681"/>
      <c r="I2985" s="1681"/>
      <c r="J2985" s="1671">
        <v>2220200</v>
      </c>
      <c r="K2985" s="1680" t="s">
        <v>124</v>
      </c>
      <c r="L2985" s="1636">
        <v>58000</v>
      </c>
      <c r="N2985" s="1636">
        <f t="shared" si="46"/>
        <v>0</v>
      </c>
    </row>
    <row r="2986" spans="2:14">
      <c r="B2986" s="92"/>
      <c r="C2986" s="92"/>
      <c r="D2986" s="61">
        <v>2220202</v>
      </c>
      <c r="E2986" s="74" t="s">
        <v>87</v>
      </c>
      <c r="F2986" s="164">
        <v>40600</v>
      </c>
      <c r="H2986" s="92"/>
      <c r="I2986" s="92"/>
      <c r="J2986" s="61">
        <v>2220202</v>
      </c>
      <c r="K2986" s="74" t="s">
        <v>87</v>
      </c>
      <c r="L2986" s="164">
        <v>40600</v>
      </c>
      <c r="N2986" s="164">
        <f t="shared" si="46"/>
        <v>0</v>
      </c>
    </row>
    <row r="2987" spans="2:14">
      <c r="B2987" s="92"/>
      <c r="C2987" s="92"/>
      <c r="D2987" s="61">
        <v>2220210</v>
      </c>
      <c r="E2987" s="74" t="s">
        <v>163</v>
      </c>
      <c r="F2987" s="164">
        <v>17400</v>
      </c>
      <c r="H2987" s="92"/>
      <c r="I2987" s="92"/>
      <c r="J2987" s="61">
        <v>2220210</v>
      </c>
      <c r="K2987" s="74" t="s">
        <v>163</v>
      </c>
      <c r="L2987" s="164">
        <v>17400</v>
      </c>
      <c r="N2987" s="164">
        <f t="shared" si="46"/>
        <v>0</v>
      </c>
    </row>
    <row r="2988" spans="2:14">
      <c r="B2988" s="1684"/>
      <c r="C2988" s="1684"/>
      <c r="D2988" s="1507"/>
      <c r="E2988" s="1620" t="s">
        <v>593</v>
      </c>
      <c r="F2988" s="1660">
        <v>22464600</v>
      </c>
      <c r="H2988" s="1684"/>
      <c r="I2988" s="1684"/>
      <c r="J2988" s="1507"/>
      <c r="K2988" s="1620" t="s">
        <v>593</v>
      </c>
      <c r="L2988" s="1660">
        <v>22464600</v>
      </c>
      <c r="N2988" s="1660">
        <f t="shared" si="46"/>
        <v>0</v>
      </c>
    </row>
    <row r="2989" spans="2:14">
      <c r="B2989" s="1681"/>
      <c r="C2989" s="1681"/>
      <c r="D2989" s="1671"/>
      <c r="E2989" s="1680"/>
      <c r="F2989" s="1636"/>
      <c r="H2989" s="1681"/>
      <c r="I2989" s="1681"/>
      <c r="J2989" s="1671"/>
      <c r="K2989" s="1680"/>
      <c r="L2989" s="1636"/>
      <c r="N2989" s="1636">
        <f t="shared" si="46"/>
        <v>0</v>
      </c>
    </row>
    <row r="2990" spans="2:14">
      <c r="B2990" s="1684"/>
      <c r="C2990" s="1684"/>
      <c r="D2990" s="1507"/>
      <c r="E2990" s="1620" t="s">
        <v>594</v>
      </c>
      <c r="F2990" s="1660">
        <v>22464600</v>
      </c>
      <c r="H2990" s="1684"/>
      <c r="I2990" s="1684"/>
      <c r="J2990" s="1507"/>
      <c r="K2990" s="1620" t="s">
        <v>594</v>
      </c>
      <c r="L2990" s="1660">
        <v>22464600</v>
      </c>
      <c r="N2990" s="1660">
        <f t="shared" si="46"/>
        <v>0</v>
      </c>
    </row>
    <row r="2991" spans="2:14">
      <c r="B2991" s="92"/>
      <c r="C2991" s="92"/>
      <c r="D2991" s="61"/>
      <c r="E2991" s="74"/>
      <c r="F2991" s="164"/>
      <c r="H2991" s="92"/>
      <c r="I2991" s="92"/>
      <c r="J2991" s="61"/>
      <c r="K2991" s="74"/>
      <c r="L2991" s="164"/>
      <c r="N2991" s="164">
        <f t="shared" si="46"/>
        <v>0</v>
      </c>
    </row>
    <row r="2992" spans="2:14">
      <c r="B2992" s="1681" t="s">
        <v>144</v>
      </c>
      <c r="C2992" s="92" t="s">
        <v>146</v>
      </c>
      <c r="D2992" s="1671" t="s">
        <v>595</v>
      </c>
      <c r="E2992" s="1680"/>
      <c r="F2992" s="164"/>
      <c r="H2992" s="1681" t="s">
        <v>144</v>
      </c>
      <c r="I2992" s="92" t="s">
        <v>146</v>
      </c>
      <c r="J2992" s="1671" t="s">
        <v>595</v>
      </c>
      <c r="K2992" s="1680"/>
      <c r="L2992" s="164"/>
      <c r="N2992" s="164">
        <f t="shared" si="46"/>
        <v>0</v>
      </c>
    </row>
    <row r="2993" spans="2:14">
      <c r="B2993" s="1681"/>
      <c r="C2993" s="1681"/>
      <c r="D2993" s="1671">
        <v>2210100</v>
      </c>
      <c r="E2993" s="1680" t="s">
        <v>16</v>
      </c>
      <c r="F2993" s="1636">
        <v>49600</v>
      </c>
      <c r="H2993" s="1681"/>
      <c r="I2993" s="1681"/>
      <c r="J2993" s="1671">
        <v>2210100</v>
      </c>
      <c r="K2993" s="1680" t="s">
        <v>16</v>
      </c>
      <c r="L2993" s="1636">
        <v>49600</v>
      </c>
      <c r="N2993" s="1636">
        <f t="shared" si="46"/>
        <v>0</v>
      </c>
    </row>
    <row r="2994" spans="2:14">
      <c r="B2994" s="92"/>
      <c r="C2994" s="92"/>
      <c r="D2994" s="61">
        <v>2210101</v>
      </c>
      <c r="E2994" s="74" t="s">
        <v>17</v>
      </c>
      <c r="F2994" s="164">
        <v>32200</v>
      </c>
      <c r="H2994" s="92"/>
      <c r="I2994" s="92"/>
      <c r="J2994" s="61">
        <v>2210101</v>
      </c>
      <c r="K2994" s="74" t="s">
        <v>17</v>
      </c>
      <c r="L2994" s="164">
        <v>32200</v>
      </c>
      <c r="N2994" s="164">
        <f t="shared" si="46"/>
        <v>0</v>
      </c>
    </row>
    <row r="2995" spans="2:14">
      <c r="B2995" s="92"/>
      <c r="C2995" s="92"/>
      <c r="D2995" s="61">
        <v>2210102</v>
      </c>
      <c r="E2995" s="74" t="s">
        <v>18</v>
      </c>
      <c r="F2995" s="164">
        <v>17400</v>
      </c>
      <c r="H2995" s="92"/>
      <c r="I2995" s="92"/>
      <c r="J2995" s="61">
        <v>2210102</v>
      </c>
      <c r="K2995" s="74" t="s">
        <v>18</v>
      </c>
      <c r="L2995" s="164">
        <v>17400</v>
      </c>
      <c r="N2995" s="164">
        <f t="shared" si="46"/>
        <v>0</v>
      </c>
    </row>
    <row r="2996" spans="2:14">
      <c r="B2996" s="1681"/>
      <c r="C2996" s="1681"/>
      <c r="D2996" s="1671">
        <v>2210200</v>
      </c>
      <c r="E2996" s="1680" t="s">
        <v>20</v>
      </c>
      <c r="F2996" s="1636">
        <v>58000</v>
      </c>
      <c r="H2996" s="1681"/>
      <c r="I2996" s="1681"/>
      <c r="J2996" s="1671">
        <v>2210200</v>
      </c>
      <c r="K2996" s="1680" t="s">
        <v>20</v>
      </c>
      <c r="L2996" s="1636">
        <v>58000</v>
      </c>
      <c r="N2996" s="1636">
        <f t="shared" si="46"/>
        <v>0</v>
      </c>
    </row>
    <row r="2997" spans="2:14">
      <c r="B2997" s="92"/>
      <c r="C2997" s="92"/>
      <c r="D2997" s="61">
        <v>2210201</v>
      </c>
      <c r="E2997" s="74" t="s">
        <v>187</v>
      </c>
      <c r="F2997" s="164">
        <v>58000</v>
      </c>
      <c r="H2997" s="92"/>
      <c r="I2997" s="92"/>
      <c r="J2997" s="61">
        <v>2210201</v>
      </c>
      <c r="K2997" s="74" t="s">
        <v>187</v>
      </c>
      <c r="L2997" s="164">
        <v>58000</v>
      </c>
      <c r="N2997" s="164">
        <f t="shared" si="46"/>
        <v>0</v>
      </c>
    </row>
    <row r="2998" spans="2:14">
      <c r="B2998" s="1681"/>
      <c r="C2998" s="1681"/>
      <c r="D2998" s="1671">
        <v>2210300</v>
      </c>
      <c r="E2998" s="1680" t="s">
        <v>24</v>
      </c>
      <c r="F2998" s="1636">
        <v>371600</v>
      </c>
      <c r="H2998" s="1681"/>
      <c r="I2998" s="1681"/>
      <c r="J2998" s="1671">
        <v>2210300</v>
      </c>
      <c r="K2998" s="1680" t="s">
        <v>24</v>
      </c>
      <c r="L2998" s="1636">
        <v>371600</v>
      </c>
      <c r="N2998" s="1636">
        <f t="shared" si="46"/>
        <v>0</v>
      </c>
    </row>
    <row r="2999" spans="2:14">
      <c r="B2999" s="92"/>
      <c r="C2999" s="92"/>
      <c r="D2999" s="61">
        <v>2210301</v>
      </c>
      <c r="E2999" s="74" t="s">
        <v>188</v>
      </c>
      <c r="F2999" s="164">
        <v>116000</v>
      </c>
      <c r="H2999" s="92"/>
      <c r="I2999" s="92"/>
      <c r="J2999" s="61">
        <v>2210301</v>
      </c>
      <c r="K2999" s="74" t="s">
        <v>188</v>
      </c>
      <c r="L2999" s="164">
        <v>116000</v>
      </c>
      <c r="N2999" s="164">
        <f t="shared" si="46"/>
        <v>0</v>
      </c>
    </row>
    <row r="3000" spans="2:14">
      <c r="B3000" s="92"/>
      <c r="C3000" s="92"/>
      <c r="D3000" s="61">
        <v>2210302</v>
      </c>
      <c r="E3000" s="74" t="s">
        <v>26</v>
      </c>
      <c r="F3000" s="164">
        <v>157000</v>
      </c>
      <c r="H3000" s="92"/>
      <c r="I3000" s="92"/>
      <c r="J3000" s="61">
        <v>2210302</v>
      </c>
      <c r="K3000" s="74" t="s">
        <v>26</v>
      </c>
      <c r="L3000" s="164">
        <v>157000</v>
      </c>
      <c r="N3000" s="164">
        <f t="shared" si="46"/>
        <v>0</v>
      </c>
    </row>
    <row r="3001" spans="2:14">
      <c r="B3001" s="92"/>
      <c r="C3001" s="92"/>
      <c r="D3001" s="61">
        <v>2210303</v>
      </c>
      <c r="E3001" s="74" t="s">
        <v>223</v>
      </c>
      <c r="F3001" s="164">
        <v>98600</v>
      </c>
      <c r="H3001" s="92"/>
      <c r="I3001" s="92"/>
      <c r="J3001" s="61">
        <v>2210303</v>
      </c>
      <c r="K3001" s="74" t="s">
        <v>223</v>
      </c>
      <c r="L3001" s="164">
        <v>98600</v>
      </c>
      <c r="N3001" s="164">
        <f t="shared" si="46"/>
        <v>0</v>
      </c>
    </row>
    <row r="3002" spans="2:14">
      <c r="B3002" s="1681"/>
      <c r="C3002" s="1681"/>
      <c r="D3002" s="1671">
        <v>2210500</v>
      </c>
      <c r="E3002" s="1680" t="s">
        <v>31</v>
      </c>
      <c r="F3002" s="1636">
        <v>87000</v>
      </c>
      <c r="H3002" s="1681"/>
      <c r="I3002" s="1681"/>
      <c r="J3002" s="1671">
        <v>2210500</v>
      </c>
      <c r="K3002" s="1680" t="s">
        <v>31</v>
      </c>
      <c r="L3002" s="1636">
        <v>87000</v>
      </c>
      <c r="N3002" s="1636">
        <f t="shared" si="46"/>
        <v>0</v>
      </c>
    </row>
    <row r="3003" spans="2:14">
      <c r="B3003" s="92"/>
      <c r="C3003" s="92"/>
      <c r="D3003" s="61">
        <v>2210504</v>
      </c>
      <c r="E3003" s="74" t="s">
        <v>33</v>
      </c>
      <c r="F3003" s="164">
        <v>87000</v>
      </c>
      <c r="H3003" s="92"/>
      <c r="I3003" s="92"/>
      <c r="J3003" s="61">
        <v>2210504</v>
      </c>
      <c r="K3003" s="74" t="s">
        <v>33</v>
      </c>
      <c r="L3003" s="164">
        <v>87000</v>
      </c>
      <c r="N3003" s="164">
        <f t="shared" si="46"/>
        <v>0</v>
      </c>
    </row>
    <row r="3004" spans="2:14">
      <c r="B3004" s="1681"/>
      <c r="C3004" s="1681"/>
      <c r="D3004" s="1671">
        <v>2210800</v>
      </c>
      <c r="E3004" s="1680" t="s">
        <v>42</v>
      </c>
      <c r="F3004" s="1636">
        <v>58000</v>
      </c>
      <c r="H3004" s="1681"/>
      <c r="I3004" s="1681"/>
      <c r="J3004" s="1671">
        <v>2210800</v>
      </c>
      <c r="K3004" s="1680" t="s">
        <v>42</v>
      </c>
      <c r="L3004" s="1636">
        <v>58000</v>
      </c>
      <c r="N3004" s="1636">
        <f t="shared" si="46"/>
        <v>0</v>
      </c>
    </row>
    <row r="3005" spans="2:14">
      <c r="B3005" s="92"/>
      <c r="C3005" s="92"/>
      <c r="D3005" s="61">
        <v>2210802</v>
      </c>
      <c r="E3005" s="74" t="s">
        <v>97</v>
      </c>
      <c r="F3005" s="164">
        <v>58000</v>
      </c>
      <c r="H3005" s="92"/>
      <c r="I3005" s="92"/>
      <c r="J3005" s="61">
        <v>2210802</v>
      </c>
      <c r="K3005" s="74" t="s">
        <v>97</v>
      </c>
      <c r="L3005" s="164">
        <v>58000</v>
      </c>
      <c r="N3005" s="164">
        <f t="shared" si="46"/>
        <v>0</v>
      </c>
    </row>
    <row r="3006" spans="2:14">
      <c r="B3006" s="1681"/>
      <c r="C3006" s="1681"/>
      <c r="D3006" s="1671">
        <v>2211100</v>
      </c>
      <c r="E3006" s="1680" t="s">
        <v>51</v>
      </c>
      <c r="F3006" s="1636">
        <v>69600</v>
      </c>
      <c r="H3006" s="1681"/>
      <c r="I3006" s="1681"/>
      <c r="J3006" s="1671">
        <v>2211100</v>
      </c>
      <c r="K3006" s="1680" t="s">
        <v>51</v>
      </c>
      <c r="L3006" s="1636">
        <v>69600</v>
      </c>
      <c r="N3006" s="1636">
        <f t="shared" si="46"/>
        <v>0</v>
      </c>
    </row>
    <row r="3007" spans="2:14">
      <c r="B3007" s="92"/>
      <c r="C3007" s="92"/>
      <c r="D3007" s="61">
        <v>2211101</v>
      </c>
      <c r="E3007" s="74" t="s">
        <v>289</v>
      </c>
      <c r="F3007" s="164">
        <v>69600</v>
      </c>
      <c r="H3007" s="92"/>
      <c r="I3007" s="92"/>
      <c r="J3007" s="61">
        <v>2211101</v>
      </c>
      <c r="K3007" s="74" t="s">
        <v>289</v>
      </c>
      <c r="L3007" s="164">
        <v>69600</v>
      </c>
      <c r="N3007" s="164">
        <f t="shared" si="46"/>
        <v>0</v>
      </c>
    </row>
    <row r="3008" spans="2:14">
      <c r="B3008" s="1681"/>
      <c r="C3008" s="1681"/>
      <c r="D3008" s="1671">
        <v>2211200</v>
      </c>
      <c r="E3008" s="1680" t="s">
        <v>55</v>
      </c>
      <c r="F3008" s="1636">
        <v>145000</v>
      </c>
      <c r="H3008" s="1681"/>
      <c r="I3008" s="1681"/>
      <c r="J3008" s="1671">
        <v>2211200</v>
      </c>
      <c r="K3008" s="1680" t="s">
        <v>55</v>
      </c>
      <c r="L3008" s="1636">
        <v>145000</v>
      </c>
      <c r="N3008" s="1636">
        <f t="shared" si="46"/>
        <v>0</v>
      </c>
    </row>
    <row r="3009" spans="2:14">
      <c r="B3009" s="92"/>
      <c r="C3009" s="92"/>
      <c r="D3009" s="61">
        <v>2211201</v>
      </c>
      <c r="E3009" s="74" t="s">
        <v>56</v>
      </c>
      <c r="F3009" s="164">
        <v>145000</v>
      </c>
      <c r="H3009" s="92"/>
      <c r="I3009" s="92"/>
      <c r="J3009" s="61">
        <v>2211201</v>
      </c>
      <c r="K3009" s="74" t="s">
        <v>56</v>
      </c>
      <c r="L3009" s="164">
        <v>145000</v>
      </c>
      <c r="N3009" s="164">
        <f t="shared" si="46"/>
        <v>0</v>
      </c>
    </row>
    <row r="3010" spans="2:14">
      <c r="B3010" s="1681"/>
      <c r="C3010" s="1681"/>
      <c r="D3010" s="1671">
        <v>2220100</v>
      </c>
      <c r="E3010" s="1680" t="s">
        <v>62</v>
      </c>
      <c r="F3010" s="1636">
        <v>69600</v>
      </c>
      <c r="H3010" s="1681"/>
      <c r="I3010" s="1681"/>
      <c r="J3010" s="1671">
        <v>2220100</v>
      </c>
      <c r="K3010" s="1680" t="s">
        <v>62</v>
      </c>
      <c r="L3010" s="1636">
        <v>69600</v>
      </c>
      <c r="N3010" s="1636">
        <f t="shared" si="46"/>
        <v>0</v>
      </c>
    </row>
    <row r="3011" spans="2:14">
      <c r="B3011" s="92"/>
      <c r="C3011" s="92"/>
      <c r="D3011" s="61">
        <v>2220101</v>
      </c>
      <c r="E3011" s="74" t="s">
        <v>200</v>
      </c>
      <c r="F3011" s="164">
        <v>69600</v>
      </c>
      <c r="H3011" s="92"/>
      <c r="I3011" s="92"/>
      <c r="J3011" s="61">
        <v>2220101</v>
      </c>
      <c r="K3011" s="74" t="s">
        <v>200</v>
      </c>
      <c r="L3011" s="164">
        <v>69600</v>
      </c>
      <c r="N3011" s="164">
        <f t="shared" si="46"/>
        <v>0</v>
      </c>
    </row>
    <row r="3012" spans="2:14">
      <c r="B3012" s="1681"/>
      <c r="C3012" s="1681"/>
      <c r="D3012" s="1671">
        <v>2220200</v>
      </c>
      <c r="E3012" s="1680" t="s">
        <v>124</v>
      </c>
      <c r="F3012" s="1636">
        <v>29000</v>
      </c>
      <c r="H3012" s="1681"/>
      <c r="I3012" s="1681"/>
      <c r="J3012" s="1671">
        <v>2220200</v>
      </c>
      <c r="K3012" s="1680" t="s">
        <v>124</v>
      </c>
      <c r="L3012" s="1636">
        <v>29000</v>
      </c>
      <c r="N3012" s="1636">
        <f t="shared" si="46"/>
        <v>0</v>
      </c>
    </row>
    <row r="3013" spans="2:14">
      <c r="B3013" s="92"/>
      <c r="C3013" s="92"/>
      <c r="D3013" s="61">
        <v>2220210</v>
      </c>
      <c r="E3013" s="74" t="s">
        <v>163</v>
      </c>
      <c r="F3013" s="164">
        <v>29000</v>
      </c>
      <c r="H3013" s="92"/>
      <c r="I3013" s="92"/>
      <c r="J3013" s="61">
        <v>2220210</v>
      </c>
      <c r="K3013" s="74" t="s">
        <v>163</v>
      </c>
      <c r="L3013" s="164">
        <v>29000</v>
      </c>
      <c r="N3013" s="164">
        <f t="shared" si="46"/>
        <v>0</v>
      </c>
    </row>
    <row r="3014" spans="2:14">
      <c r="B3014" s="1684"/>
      <c r="C3014" s="1684"/>
      <c r="D3014" s="1507"/>
      <c r="E3014" s="1620" t="s">
        <v>406</v>
      </c>
      <c r="F3014" s="1660">
        <v>937400</v>
      </c>
      <c r="H3014" s="1684"/>
      <c r="I3014" s="1684"/>
      <c r="J3014" s="1507"/>
      <c r="K3014" s="1620" t="s">
        <v>406</v>
      </c>
      <c r="L3014" s="1660">
        <v>937400</v>
      </c>
      <c r="N3014" s="1660">
        <f t="shared" si="46"/>
        <v>0</v>
      </c>
    </row>
    <row r="3015" spans="2:14">
      <c r="B3015" s="92"/>
      <c r="C3015" s="92"/>
      <c r="D3015" s="61"/>
      <c r="E3015" s="74"/>
      <c r="F3015" s="164"/>
      <c r="H3015" s="92"/>
      <c r="I3015" s="92"/>
      <c r="J3015" s="61"/>
      <c r="K3015" s="74"/>
      <c r="L3015" s="164"/>
      <c r="N3015" s="164">
        <f t="shared" si="46"/>
        <v>0</v>
      </c>
    </row>
    <row r="3016" spans="2:14">
      <c r="B3016" s="92"/>
      <c r="C3016" s="92"/>
      <c r="D3016" s="61"/>
      <c r="E3016" s="1680" t="s">
        <v>92</v>
      </c>
      <c r="F3016" s="164"/>
      <c r="H3016" s="92"/>
      <c r="I3016" s="92"/>
      <c r="J3016" s="61"/>
      <c r="K3016" s="1680" t="s">
        <v>92</v>
      </c>
      <c r="L3016" s="164"/>
      <c r="N3016" s="164">
        <f t="shared" ref="N3016:N3079" si="47">F3016-L3016</f>
        <v>0</v>
      </c>
    </row>
    <row r="3017" spans="2:14">
      <c r="B3017" s="92"/>
      <c r="C3017" s="92"/>
      <c r="D3017" s="61">
        <v>3130101</v>
      </c>
      <c r="E3017" s="74" t="s">
        <v>1481</v>
      </c>
      <c r="F3017" s="164">
        <v>2000000</v>
      </c>
      <c r="H3017" s="92"/>
      <c r="I3017" s="92"/>
      <c r="J3017" s="61">
        <v>3130101</v>
      </c>
      <c r="K3017" s="74" t="s">
        <v>1481</v>
      </c>
      <c r="L3017" s="164">
        <v>2000000</v>
      </c>
      <c r="N3017" s="164">
        <f t="shared" si="47"/>
        <v>0</v>
      </c>
    </row>
    <row r="3018" spans="2:14" ht="45">
      <c r="B3018" s="92"/>
      <c r="C3018" s="92"/>
      <c r="D3018" s="61">
        <v>3110504</v>
      </c>
      <c r="E3018" s="74" t="s">
        <v>1482</v>
      </c>
      <c r="F3018" s="164">
        <v>21000000</v>
      </c>
      <c r="H3018" s="92"/>
      <c r="I3018" s="92"/>
      <c r="J3018" s="61">
        <v>3110504</v>
      </c>
      <c r="K3018" s="74" t="s">
        <v>1482</v>
      </c>
      <c r="L3018" s="164">
        <v>21000000</v>
      </c>
      <c r="N3018" s="164">
        <f t="shared" si="47"/>
        <v>0</v>
      </c>
    </row>
    <row r="3019" spans="2:14">
      <c r="B3019" s="92"/>
      <c r="C3019" s="92"/>
      <c r="D3019" s="61">
        <v>3110504</v>
      </c>
      <c r="E3019" s="74" t="s">
        <v>1825</v>
      </c>
      <c r="F3019" s="164">
        <v>10000000</v>
      </c>
      <c r="H3019" s="92"/>
      <c r="I3019" s="92"/>
      <c r="J3019" s="61">
        <v>3110504</v>
      </c>
      <c r="K3019" s="74" t="s">
        <v>1825</v>
      </c>
      <c r="L3019" s="164">
        <v>10000000</v>
      </c>
      <c r="N3019" s="164">
        <f t="shared" si="47"/>
        <v>0</v>
      </c>
    </row>
    <row r="3020" spans="2:14">
      <c r="B3020" s="1684"/>
      <c r="C3020" s="1684"/>
      <c r="D3020" s="1507"/>
      <c r="E3020" s="1620" t="s">
        <v>175</v>
      </c>
      <c r="F3020" s="1660">
        <v>33000000</v>
      </c>
      <c r="H3020" s="1684"/>
      <c r="I3020" s="1684"/>
      <c r="J3020" s="1507"/>
      <c r="K3020" s="1620" t="s">
        <v>175</v>
      </c>
      <c r="L3020" s="1660">
        <v>33000000</v>
      </c>
      <c r="N3020" s="1660">
        <f t="shared" si="47"/>
        <v>0</v>
      </c>
    </row>
    <row r="3021" spans="2:14">
      <c r="B3021" s="1684"/>
      <c r="C3021" s="1684"/>
      <c r="D3021" s="1507"/>
      <c r="E3021" s="1620" t="s">
        <v>596</v>
      </c>
      <c r="F3021" s="1660">
        <v>33937400</v>
      </c>
      <c r="H3021" s="1684"/>
      <c r="I3021" s="1684"/>
      <c r="J3021" s="1507"/>
      <c r="K3021" s="1620" t="s">
        <v>596</v>
      </c>
      <c r="L3021" s="1660">
        <v>33937400</v>
      </c>
      <c r="N3021" s="1660">
        <f t="shared" si="47"/>
        <v>0</v>
      </c>
    </row>
    <row r="3022" spans="2:14">
      <c r="B3022" s="1602"/>
      <c r="C3022" s="1602"/>
      <c r="D3022" s="1545"/>
      <c r="E3022" s="1508" t="s">
        <v>597</v>
      </c>
      <c r="F3022" s="1660">
        <v>75702547</v>
      </c>
      <c r="H3022" s="1602"/>
      <c r="I3022" s="1602"/>
      <c r="J3022" s="1545"/>
      <c r="K3022" s="1508" t="s">
        <v>597</v>
      </c>
      <c r="L3022" s="1660">
        <v>75702547</v>
      </c>
      <c r="N3022" s="1660">
        <f t="shared" si="47"/>
        <v>0</v>
      </c>
    </row>
    <row r="3023" spans="2:14">
      <c r="B3023" s="25"/>
      <c r="C3023" s="25"/>
      <c r="D3023" s="61"/>
      <c r="E3023" s="74"/>
      <c r="F3023" s="164"/>
      <c r="H3023" s="25"/>
      <c r="I3023" s="25"/>
      <c r="J3023" s="61"/>
      <c r="K3023" s="74"/>
      <c r="L3023" s="164"/>
      <c r="N3023" s="164">
        <f t="shared" si="47"/>
        <v>0</v>
      </c>
    </row>
    <row r="3024" spans="2:14">
      <c r="B3024" s="25"/>
      <c r="C3024" s="25"/>
      <c r="D3024" s="61"/>
      <c r="E3024" s="74"/>
      <c r="F3024" s="164"/>
      <c r="H3024" s="25"/>
      <c r="I3024" s="25"/>
      <c r="J3024" s="61"/>
      <c r="K3024" s="74"/>
      <c r="L3024" s="164"/>
      <c r="N3024" s="164">
        <f t="shared" si="47"/>
        <v>0</v>
      </c>
    </row>
    <row r="3025" spans="2:14">
      <c r="B3025" s="1684"/>
      <c r="C3025" s="1684" t="s">
        <v>100</v>
      </c>
      <c r="D3025" s="1507" t="s">
        <v>598</v>
      </c>
      <c r="E3025" s="1620"/>
      <c r="F3025" s="1660"/>
      <c r="H3025" s="1684"/>
      <c r="I3025" s="1684" t="s">
        <v>100</v>
      </c>
      <c r="J3025" s="1507" t="s">
        <v>598</v>
      </c>
      <c r="K3025" s="1620"/>
      <c r="L3025" s="1660"/>
      <c r="N3025" s="1660">
        <f t="shared" si="47"/>
        <v>0</v>
      </c>
    </row>
    <row r="3026" spans="2:14">
      <c r="B3026" s="92" t="s">
        <v>144</v>
      </c>
      <c r="C3026" s="92"/>
      <c r="D3026" s="1671" t="s">
        <v>599</v>
      </c>
      <c r="E3026" s="1680"/>
      <c r="F3026" s="164"/>
      <c r="H3026" s="92" t="s">
        <v>144</v>
      </c>
      <c r="I3026" s="92"/>
      <c r="J3026" s="1671" t="s">
        <v>599</v>
      </c>
      <c r="K3026" s="1680"/>
      <c r="L3026" s="164"/>
      <c r="N3026" s="164">
        <f t="shared" si="47"/>
        <v>0</v>
      </c>
    </row>
    <row r="3027" spans="2:14">
      <c r="B3027" s="92"/>
      <c r="C3027" s="92" t="s">
        <v>146</v>
      </c>
      <c r="D3027" s="1671" t="s">
        <v>600</v>
      </c>
      <c r="E3027" s="1680"/>
      <c r="F3027" s="164"/>
      <c r="H3027" s="92"/>
      <c r="I3027" s="92" t="s">
        <v>146</v>
      </c>
      <c r="J3027" s="1671" t="s">
        <v>600</v>
      </c>
      <c r="K3027" s="1680"/>
      <c r="L3027" s="164"/>
      <c r="N3027" s="164">
        <f t="shared" si="47"/>
        <v>0</v>
      </c>
    </row>
    <row r="3028" spans="2:14">
      <c r="B3028" s="1681"/>
      <c r="C3028" s="1681"/>
      <c r="D3028" s="1671">
        <v>2210200</v>
      </c>
      <c r="E3028" s="1680" t="s">
        <v>20</v>
      </c>
      <c r="F3028" s="1636">
        <v>29000</v>
      </c>
      <c r="H3028" s="1681"/>
      <c r="I3028" s="1681"/>
      <c r="J3028" s="1671">
        <v>2210200</v>
      </c>
      <c r="K3028" s="1680" t="s">
        <v>20</v>
      </c>
      <c r="L3028" s="1636">
        <v>29000</v>
      </c>
      <c r="N3028" s="1636">
        <f t="shared" si="47"/>
        <v>0</v>
      </c>
    </row>
    <row r="3029" spans="2:14">
      <c r="B3029" s="92"/>
      <c r="C3029" s="92"/>
      <c r="D3029" s="61">
        <v>2210201</v>
      </c>
      <c r="E3029" s="74" t="s">
        <v>187</v>
      </c>
      <c r="F3029" s="164">
        <v>29000</v>
      </c>
      <c r="H3029" s="92"/>
      <c r="I3029" s="92"/>
      <c r="J3029" s="61">
        <v>2210201</v>
      </c>
      <c r="K3029" s="74" t="s">
        <v>187</v>
      </c>
      <c r="L3029" s="164">
        <v>29000</v>
      </c>
      <c r="N3029" s="164">
        <f t="shared" si="47"/>
        <v>0</v>
      </c>
    </row>
    <row r="3030" spans="2:14">
      <c r="B3030" s="1681"/>
      <c r="C3030" s="1681"/>
      <c r="D3030" s="1671">
        <v>2210300</v>
      </c>
      <c r="E3030" s="1680" t="s">
        <v>24</v>
      </c>
      <c r="F3030" s="1636">
        <v>546392.6</v>
      </c>
      <c r="H3030" s="1681"/>
      <c r="I3030" s="1681"/>
      <c r="J3030" s="1671">
        <v>2210300</v>
      </c>
      <c r="K3030" s="1680" t="s">
        <v>24</v>
      </c>
      <c r="L3030" s="1636">
        <v>546392.6</v>
      </c>
      <c r="N3030" s="1636">
        <f t="shared" si="47"/>
        <v>0</v>
      </c>
    </row>
    <row r="3031" spans="2:14">
      <c r="B3031" s="92"/>
      <c r="C3031" s="92"/>
      <c r="D3031" s="61">
        <v>2210301</v>
      </c>
      <c r="E3031" s="74" t="s">
        <v>188</v>
      </c>
      <c r="F3031" s="164">
        <v>203000</v>
      </c>
      <c r="H3031" s="92"/>
      <c r="I3031" s="92"/>
      <c r="J3031" s="61">
        <v>2210301</v>
      </c>
      <c r="K3031" s="74" t="s">
        <v>188</v>
      </c>
      <c r="L3031" s="164">
        <v>203000</v>
      </c>
      <c r="N3031" s="164">
        <f t="shared" si="47"/>
        <v>0</v>
      </c>
    </row>
    <row r="3032" spans="2:14">
      <c r="B3032" s="92"/>
      <c r="C3032" s="92"/>
      <c r="D3032" s="61">
        <v>2210302</v>
      </c>
      <c r="E3032" s="74" t="s">
        <v>26</v>
      </c>
      <c r="F3032" s="164">
        <v>230840</v>
      </c>
      <c r="H3032" s="92"/>
      <c r="I3032" s="92"/>
      <c r="J3032" s="61">
        <v>2210302</v>
      </c>
      <c r="K3032" s="74" t="s">
        <v>26</v>
      </c>
      <c r="L3032" s="164">
        <v>230840</v>
      </c>
      <c r="N3032" s="164">
        <f t="shared" si="47"/>
        <v>0</v>
      </c>
    </row>
    <row r="3033" spans="2:14">
      <c r="B3033" s="92"/>
      <c r="C3033" s="92"/>
      <c r="D3033" s="61">
        <v>2210303</v>
      </c>
      <c r="E3033" s="74" t="s">
        <v>223</v>
      </c>
      <c r="F3033" s="164">
        <v>112552.6</v>
      </c>
      <c r="H3033" s="92"/>
      <c r="I3033" s="92"/>
      <c r="J3033" s="61">
        <v>2210303</v>
      </c>
      <c r="K3033" s="74" t="s">
        <v>223</v>
      </c>
      <c r="L3033" s="164">
        <v>112552.6</v>
      </c>
      <c r="N3033" s="164">
        <f t="shared" si="47"/>
        <v>0</v>
      </c>
    </row>
    <row r="3034" spans="2:14">
      <c r="B3034" s="1681"/>
      <c r="C3034" s="1681"/>
      <c r="D3034" s="1671">
        <v>2210500</v>
      </c>
      <c r="E3034" s="1680" t="s">
        <v>31</v>
      </c>
      <c r="F3034" s="1636">
        <v>894200</v>
      </c>
      <c r="H3034" s="1681"/>
      <c r="I3034" s="1681"/>
      <c r="J3034" s="1671">
        <v>2210500</v>
      </c>
      <c r="K3034" s="1680" t="s">
        <v>31</v>
      </c>
      <c r="L3034" s="1636">
        <v>894200</v>
      </c>
      <c r="N3034" s="1636">
        <f t="shared" si="47"/>
        <v>0</v>
      </c>
    </row>
    <row r="3035" spans="2:14">
      <c r="B3035" s="92"/>
      <c r="C3035" s="92"/>
      <c r="D3035" s="61">
        <v>2210502</v>
      </c>
      <c r="E3035" s="74" t="s">
        <v>105</v>
      </c>
      <c r="F3035" s="164">
        <v>58000</v>
      </c>
      <c r="H3035" s="92"/>
      <c r="I3035" s="92"/>
      <c r="J3035" s="61">
        <v>2210502</v>
      </c>
      <c r="K3035" s="74" t="s">
        <v>105</v>
      </c>
      <c r="L3035" s="164">
        <v>58000</v>
      </c>
      <c r="N3035" s="164">
        <f t="shared" si="47"/>
        <v>0</v>
      </c>
    </row>
    <row r="3036" spans="2:14">
      <c r="B3036" s="92"/>
      <c r="C3036" s="92"/>
      <c r="D3036" s="61">
        <v>2210503</v>
      </c>
      <c r="E3036" s="74" t="s">
        <v>32</v>
      </c>
      <c r="F3036" s="164">
        <v>29000</v>
      </c>
      <c r="H3036" s="92"/>
      <c r="I3036" s="92"/>
      <c r="J3036" s="61">
        <v>2210503</v>
      </c>
      <c r="K3036" s="74" t="s">
        <v>32</v>
      </c>
      <c r="L3036" s="164">
        <v>29000</v>
      </c>
      <c r="N3036" s="164">
        <f t="shared" si="47"/>
        <v>0</v>
      </c>
    </row>
    <row r="3037" spans="2:14" ht="30">
      <c r="B3037" s="92"/>
      <c r="C3037" s="92"/>
      <c r="D3037" s="61">
        <v>2210504</v>
      </c>
      <c r="E3037" s="74" t="s">
        <v>1483</v>
      </c>
      <c r="F3037" s="164">
        <v>807200</v>
      </c>
      <c r="H3037" s="92"/>
      <c r="I3037" s="92"/>
      <c r="J3037" s="61">
        <v>2210504</v>
      </c>
      <c r="K3037" s="74" t="s">
        <v>1483</v>
      </c>
      <c r="L3037" s="164">
        <v>807200</v>
      </c>
      <c r="N3037" s="164">
        <f t="shared" si="47"/>
        <v>0</v>
      </c>
    </row>
    <row r="3038" spans="2:14">
      <c r="B3038" s="1681"/>
      <c r="C3038" s="1681"/>
      <c r="D3038" s="1671">
        <v>2210700</v>
      </c>
      <c r="E3038" s="1680" t="s">
        <v>35</v>
      </c>
      <c r="F3038" s="1636">
        <v>931200</v>
      </c>
      <c r="H3038" s="1681"/>
      <c r="I3038" s="1681"/>
      <c r="J3038" s="1671">
        <v>2210700</v>
      </c>
      <c r="K3038" s="1680" t="s">
        <v>35</v>
      </c>
      <c r="L3038" s="1636">
        <v>931200</v>
      </c>
      <c r="N3038" s="1636">
        <f t="shared" si="47"/>
        <v>0</v>
      </c>
    </row>
    <row r="3039" spans="2:14">
      <c r="B3039" s="92"/>
      <c r="C3039" s="92"/>
      <c r="D3039" s="61">
        <v>2210701</v>
      </c>
      <c r="E3039" s="74" t="s">
        <v>36</v>
      </c>
      <c r="F3039" s="164">
        <v>103000</v>
      </c>
      <c r="H3039" s="92"/>
      <c r="I3039" s="92"/>
      <c r="J3039" s="61">
        <v>2210701</v>
      </c>
      <c r="K3039" s="74" t="s">
        <v>36</v>
      </c>
      <c r="L3039" s="164">
        <v>103000</v>
      </c>
      <c r="N3039" s="164">
        <f t="shared" si="47"/>
        <v>0</v>
      </c>
    </row>
    <row r="3040" spans="2:14">
      <c r="B3040" s="92"/>
      <c r="C3040" s="92"/>
      <c r="D3040" s="61">
        <v>2210707</v>
      </c>
      <c r="E3040" s="74" t="s">
        <v>1484</v>
      </c>
      <c r="F3040" s="164">
        <v>648400</v>
      </c>
      <c r="H3040" s="92"/>
      <c r="I3040" s="92"/>
      <c r="J3040" s="61">
        <v>2210707</v>
      </c>
      <c r="K3040" s="74" t="s">
        <v>1484</v>
      </c>
      <c r="L3040" s="164">
        <v>648400</v>
      </c>
      <c r="N3040" s="164">
        <f t="shared" si="47"/>
        <v>0</v>
      </c>
    </row>
    <row r="3041" spans="2:14">
      <c r="B3041" s="92"/>
      <c r="C3041" s="92"/>
      <c r="D3041" s="61">
        <v>2210710</v>
      </c>
      <c r="E3041" s="74" t="s">
        <v>39</v>
      </c>
      <c r="F3041" s="164">
        <v>179800</v>
      </c>
      <c r="H3041" s="92"/>
      <c r="I3041" s="92"/>
      <c r="J3041" s="61">
        <v>2210710</v>
      </c>
      <c r="K3041" s="74" t="s">
        <v>39</v>
      </c>
      <c r="L3041" s="164">
        <v>179800</v>
      </c>
      <c r="N3041" s="164">
        <f t="shared" si="47"/>
        <v>0</v>
      </c>
    </row>
    <row r="3042" spans="2:14">
      <c r="B3042" s="1681"/>
      <c r="C3042" s="1681"/>
      <c r="D3042" s="1671">
        <v>2210800</v>
      </c>
      <c r="E3042" s="1680" t="s">
        <v>42</v>
      </c>
      <c r="F3042" s="1636">
        <v>1616420</v>
      </c>
      <c r="H3042" s="1681"/>
      <c r="I3042" s="1681"/>
      <c r="J3042" s="1671">
        <v>2210800</v>
      </c>
      <c r="K3042" s="1680" t="s">
        <v>42</v>
      </c>
      <c r="L3042" s="1636">
        <v>1616420</v>
      </c>
      <c r="N3042" s="1636">
        <f t="shared" si="47"/>
        <v>0</v>
      </c>
    </row>
    <row r="3043" spans="2:14">
      <c r="B3043" s="92"/>
      <c r="C3043" s="92"/>
      <c r="D3043" s="61">
        <v>2210801</v>
      </c>
      <c r="E3043" s="74" t="s">
        <v>195</v>
      </c>
      <c r="F3043" s="164">
        <v>145000</v>
      </c>
      <c r="H3043" s="92"/>
      <c r="I3043" s="92"/>
      <c r="J3043" s="61">
        <v>2210801</v>
      </c>
      <c r="K3043" s="74" t="s">
        <v>195</v>
      </c>
      <c r="L3043" s="164">
        <v>145000</v>
      </c>
      <c r="N3043" s="164">
        <f t="shared" si="47"/>
        <v>0</v>
      </c>
    </row>
    <row r="3044" spans="2:14" ht="30">
      <c r="B3044" s="1697"/>
      <c r="C3044" s="1697"/>
      <c r="D3044" s="61">
        <v>2210805</v>
      </c>
      <c r="E3044" s="74" t="s">
        <v>1485</v>
      </c>
      <c r="F3044" s="164">
        <v>1471420</v>
      </c>
      <c r="H3044" s="1697"/>
      <c r="I3044" s="1697"/>
      <c r="J3044" s="61">
        <v>2210805</v>
      </c>
      <c r="K3044" s="74" t="s">
        <v>1485</v>
      </c>
      <c r="L3044" s="164">
        <v>1471420</v>
      </c>
      <c r="N3044" s="164">
        <f t="shared" si="47"/>
        <v>0</v>
      </c>
    </row>
    <row r="3045" spans="2:14">
      <c r="B3045" s="1896"/>
      <c r="C3045" s="1896"/>
      <c r="D3045" s="1671">
        <v>2211100</v>
      </c>
      <c r="E3045" s="1680" t="s">
        <v>51</v>
      </c>
      <c r="F3045" s="1636">
        <v>133400</v>
      </c>
      <c r="H3045" s="1896"/>
      <c r="I3045" s="1896"/>
      <c r="J3045" s="1671">
        <v>2211100</v>
      </c>
      <c r="K3045" s="1680" t="s">
        <v>51</v>
      </c>
      <c r="L3045" s="1636">
        <v>133400</v>
      </c>
      <c r="N3045" s="1636">
        <f t="shared" si="47"/>
        <v>0</v>
      </c>
    </row>
    <row r="3046" spans="2:14">
      <c r="B3046" s="1697"/>
      <c r="C3046" s="1697"/>
      <c r="D3046" s="61">
        <v>2211101</v>
      </c>
      <c r="E3046" s="74" t="s">
        <v>289</v>
      </c>
      <c r="F3046" s="164">
        <v>87000</v>
      </c>
      <c r="H3046" s="1697"/>
      <c r="I3046" s="1697"/>
      <c r="J3046" s="61">
        <v>2211101</v>
      </c>
      <c r="K3046" s="74" t="s">
        <v>289</v>
      </c>
      <c r="L3046" s="164">
        <v>87000</v>
      </c>
      <c r="N3046" s="164">
        <f t="shared" si="47"/>
        <v>0</v>
      </c>
    </row>
    <row r="3047" spans="2:14">
      <c r="B3047" s="1697"/>
      <c r="C3047" s="1697"/>
      <c r="D3047" s="61">
        <v>2211102</v>
      </c>
      <c r="E3047" s="74" t="s">
        <v>53</v>
      </c>
      <c r="F3047" s="164">
        <v>46400</v>
      </c>
      <c r="H3047" s="1697"/>
      <c r="I3047" s="1697"/>
      <c r="J3047" s="61">
        <v>2211102</v>
      </c>
      <c r="K3047" s="74" t="s">
        <v>53</v>
      </c>
      <c r="L3047" s="164">
        <v>46400</v>
      </c>
      <c r="N3047" s="164">
        <f t="shared" si="47"/>
        <v>0</v>
      </c>
    </row>
    <row r="3048" spans="2:14">
      <c r="B3048" s="1681"/>
      <c r="C3048" s="1681"/>
      <c r="D3048" s="1671">
        <v>2211200</v>
      </c>
      <c r="E3048" s="1680" t="s">
        <v>55</v>
      </c>
      <c r="F3048" s="1636">
        <v>298600</v>
      </c>
      <c r="H3048" s="1681"/>
      <c r="I3048" s="1681"/>
      <c r="J3048" s="1671">
        <v>2211200</v>
      </c>
      <c r="K3048" s="1680" t="s">
        <v>55</v>
      </c>
      <c r="L3048" s="1636">
        <v>298600</v>
      </c>
      <c r="N3048" s="1636">
        <f t="shared" si="47"/>
        <v>0</v>
      </c>
    </row>
    <row r="3049" spans="2:14">
      <c r="B3049" s="92"/>
      <c r="C3049" s="92"/>
      <c r="D3049" s="61">
        <v>2211201</v>
      </c>
      <c r="E3049" s="74" t="s">
        <v>56</v>
      </c>
      <c r="F3049" s="164">
        <v>298600</v>
      </c>
      <c r="H3049" s="92"/>
      <c r="I3049" s="92"/>
      <c r="J3049" s="61">
        <v>2211201</v>
      </c>
      <c r="K3049" s="74" t="s">
        <v>56</v>
      </c>
      <c r="L3049" s="164">
        <v>298600</v>
      </c>
      <c r="N3049" s="164">
        <f t="shared" si="47"/>
        <v>0</v>
      </c>
    </row>
    <row r="3050" spans="2:14">
      <c r="B3050" s="92"/>
      <c r="C3050" s="92"/>
      <c r="D3050" s="1671">
        <v>2211300</v>
      </c>
      <c r="E3050" s="1680" t="s">
        <v>57</v>
      </c>
      <c r="F3050" s="1636">
        <v>1786000</v>
      </c>
      <c r="H3050" s="92"/>
      <c r="I3050" s="92"/>
      <c r="J3050" s="1671">
        <v>2211300</v>
      </c>
      <c r="K3050" s="1680" t="s">
        <v>57</v>
      </c>
      <c r="L3050" s="1636">
        <v>1786000</v>
      </c>
      <c r="N3050" s="1636">
        <f t="shared" si="47"/>
        <v>0</v>
      </c>
    </row>
    <row r="3051" spans="2:14" ht="30">
      <c r="B3051" s="1681"/>
      <c r="C3051" s="1681"/>
      <c r="D3051" s="61">
        <v>2211320</v>
      </c>
      <c r="E3051" s="74" t="s">
        <v>1486</v>
      </c>
      <c r="F3051" s="164">
        <v>1786000</v>
      </c>
      <c r="H3051" s="1681"/>
      <c r="I3051" s="1681"/>
      <c r="J3051" s="61">
        <v>2211320</v>
      </c>
      <c r="K3051" s="74" t="s">
        <v>1486</v>
      </c>
      <c r="L3051" s="164">
        <v>1786000</v>
      </c>
      <c r="N3051" s="164">
        <f t="shared" si="47"/>
        <v>0</v>
      </c>
    </row>
    <row r="3052" spans="2:14">
      <c r="B3052" s="92"/>
      <c r="C3052" s="92"/>
      <c r="D3052" s="1671">
        <v>2220100</v>
      </c>
      <c r="E3052" s="1680" t="s">
        <v>62</v>
      </c>
      <c r="F3052" s="1636">
        <v>110200</v>
      </c>
      <c r="H3052" s="92"/>
      <c r="I3052" s="92"/>
      <c r="J3052" s="1671">
        <v>2220100</v>
      </c>
      <c r="K3052" s="1680" t="s">
        <v>62</v>
      </c>
      <c r="L3052" s="1636">
        <v>110200</v>
      </c>
      <c r="N3052" s="1636">
        <f t="shared" si="47"/>
        <v>0</v>
      </c>
    </row>
    <row r="3053" spans="2:14">
      <c r="B3053" s="1681"/>
      <c r="C3053" s="1681"/>
      <c r="D3053" s="61">
        <v>2220101</v>
      </c>
      <c r="E3053" s="74" t="s">
        <v>200</v>
      </c>
      <c r="F3053" s="164">
        <v>110200</v>
      </c>
      <c r="H3053" s="1681"/>
      <c r="I3053" s="1681"/>
      <c r="J3053" s="61">
        <v>2220101</v>
      </c>
      <c r="K3053" s="74" t="s">
        <v>200</v>
      </c>
      <c r="L3053" s="164">
        <v>110200</v>
      </c>
      <c r="N3053" s="164">
        <f t="shared" si="47"/>
        <v>0</v>
      </c>
    </row>
    <row r="3054" spans="2:14">
      <c r="B3054" s="92"/>
      <c r="C3054" s="92"/>
      <c r="D3054" s="1671">
        <v>2220200</v>
      </c>
      <c r="E3054" s="1680" t="s">
        <v>124</v>
      </c>
      <c r="F3054" s="1636">
        <v>104400</v>
      </c>
      <c r="H3054" s="92"/>
      <c r="I3054" s="92"/>
      <c r="J3054" s="1671">
        <v>2220200</v>
      </c>
      <c r="K3054" s="1680" t="s">
        <v>124</v>
      </c>
      <c r="L3054" s="1636">
        <v>104400</v>
      </c>
      <c r="N3054" s="1636">
        <f t="shared" si="47"/>
        <v>0</v>
      </c>
    </row>
    <row r="3055" spans="2:14">
      <c r="B3055" s="1681"/>
      <c r="C3055" s="1681"/>
      <c r="D3055" s="61">
        <v>2220205</v>
      </c>
      <c r="E3055" s="74" t="s">
        <v>125</v>
      </c>
      <c r="F3055" s="164">
        <v>58000</v>
      </c>
      <c r="H3055" s="1681"/>
      <c r="I3055" s="1681"/>
      <c r="J3055" s="61">
        <v>2220205</v>
      </c>
      <c r="K3055" s="74" t="s">
        <v>125</v>
      </c>
      <c r="L3055" s="164">
        <v>58000</v>
      </c>
      <c r="N3055" s="164">
        <f t="shared" si="47"/>
        <v>0</v>
      </c>
    </row>
    <row r="3056" spans="2:14">
      <c r="B3056" s="92"/>
      <c r="C3056" s="92"/>
      <c r="D3056" s="61">
        <v>2220210</v>
      </c>
      <c r="E3056" s="74" t="s">
        <v>163</v>
      </c>
      <c r="F3056" s="164">
        <v>46400</v>
      </c>
      <c r="H3056" s="92"/>
      <c r="I3056" s="92"/>
      <c r="J3056" s="61">
        <v>2220210</v>
      </c>
      <c r="K3056" s="74" t="s">
        <v>163</v>
      </c>
      <c r="L3056" s="164">
        <v>46400</v>
      </c>
      <c r="N3056" s="164">
        <f t="shared" si="47"/>
        <v>0</v>
      </c>
    </row>
    <row r="3057" spans="2:14">
      <c r="B3057" s="1681"/>
      <c r="C3057" s="1681"/>
      <c r="D3057" s="1671">
        <v>3111000</v>
      </c>
      <c r="E3057" s="1680" t="s">
        <v>69</v>
      </c>
      <c r="F3057" s="1636">
        <v>174000</v>
      </c>
      <c r="H3057" s="1681"/>
      <c r="I3057" s="1681"/>
      <c r="J3057" s="1671">
        <v>3111000</v>
      </c>
      <c r="K3057" s="1680" t="s">
        <v>69</v>
      </c>
      <c r="L3057" s="1636">
        <v>174000</v>
      </c>
      <c r="N3057" s="1636">
        <f t="shared" si="47"/>
        <v>0</v>
      </c>
    </row>
    <row r="3058" spans="2:14">
      <c r="B3058" s="92"/>
      <c r="C3058" s="92"/>
      <c r="D3058" s="61">
        <v>3111001</v>
      </c>
      <c r="E3058" s="74" t="s">
        <v>69</v>
      </c>
      <c r="F3058" s="164">
        <v>87000</v>
      </c>
      <c r="H3058" s="92"/>
      <c r="I3058" s="92"/>
      <c r="J3058" s="61">
        <v>3111001</v>
      </c>
      <c r="K3058" s="74" t="s">
        <v>69</v>
      </c>
      <c r="L3058" s="164">
        <v>87000</v>
      </c>
      <c r="N3058" s="164">
        <f t="shared" si="47"/>
        <v>0</v>
      </c>
    </row>
    <row r="3059" spans="2:14">
      <c r="B3059" s="92"/>
      <c r="C3059" s="92"/>
      <c r="D3059" s="61">
        <v>3111002</v>
      </c>
      <c r="E3059" s="74" t="s">
        <v>71</v>
      </c>
      <c r="F3059" s="164">
        <v>87000</v>
      </c>
      <c r="H3059" s="92"/>
      <c r="I3059" s="92"/>
      <c r="J3059" s="61">
        <v>3111002</v>
      </c>
      <c r="K3059" s="74" t="s">
        <v>71</v>
      </c>
      <c r="L3059" s="164">
        <v>87000</v>
      </c>
      <c r="N3059" s="164">
        <f t="shared" si="47"/>
        <v>0</v>
      </c>
    </row>
    <row r="3060" spans="2:14">
      <c r="B3060" s="1684"/>
      <c r="C3060" s="1684"/>
      <c r="D3060" s="1507"/>
      <c r="E3060" s="1620" t="s">
        <v>99</v>
      </c>
      <c r="F3060" s="1660">
        <v>6623812.5999999996</v>
      </c>
      <c r="H3060" s="1684"/>
      <c r="I3060" s="1684"/>
      <c r="J3060" s="1507"/>
      <c r="K3060" s="1620" t="s">
        <v>99</v>
      </c>
      <c r="L3060" s="1660">
        <v>6623812.5999999996</v>
      </c>
      <c r="N3060" s="1660">
        <f t="shared" si="47"/>
        <v>0</v>
      </c>
    </row>
    <row r="3061" spans="2:14">
      <c r="B3061" s="1681"/>
      <c r="C3061" s="1681"/>
      <c r="D3061" s="1671"/>
      <c r="E3061" s="1680"/>
      <c r="F3061" s="1636"/>
      <c r="H3061" s="1681"/>
      <c r="I3061" s="1681"/>
      <c r="J3061" s="1671"/>
      <c r="K3061" s="1680"/>
      <c r="L3061" s="1636"/>
      <c r="N3061" s="1636">
        <f t="shared" si="47"/>
        <v>0</v>
      </c>
    </row>
    <row r="3062" spans="2:14">
      <c r="B3062" s="1681"/>
      <c r="C3062" s="1681"/>
      <c r="D3062" s="1671" t="s">
        <v>92</v>
      </c>
      <c r="E3062" s="1680"/>
      <c r="F3062" s="1636"/>
      <c r="H3062" s="1681"/>
      <c r="I3062" s="1681"/>
      <c r="J3062" s="1671" t="s">
        <v>92</v>
      </c>
      <c r="K3062" s="1680"/>
      <c r="L3062" s="1636"/>
      <c r="N3062" s="1636">
        <f t="shared" si="47"/>
        <v>0</v>
      </c>
    </row>
    <row r="3063" spans="2:14">
      <c r="B3063" s="1681"/>
      <c r="C3063" s="1681"/>
      <c r="D3063" s="61">
        <v>3130101</v>
      </c>
      <c r="E3063" s="74" t="s">
        <v>1487</v>
      </c>
      <c r="F3063" s="164">
        <v>500000</v>
      </c>
      <c r="H3063" s="1681"/>
      <c r="I3063" s="1681"/>
      <c r="J3063" s="61">
        <v>3130101</v>
      </c>
      <c r="K3063" s="74" t="s">
        <v>1487</v>
      </c>
      <c r="L3063" s="164">
        <v>500000</v>
      </c>
      <c r="N3063" s="164">
        <f t="shared" si="47"/>
        <v>0</v>
      </c>
    </row>
    <row r="3064" spans="2:14">
      <c r="B3064" s="1681"/>
      <c r="C3064" s="1681"/>
      <c r="D3064" s="61">
        <v>3110504</v>
      </c>
      <c r="E3064" s="74" t="s">
        <v>1488</v>
      </c>
      <c r="F3064" s="164">
        <v>5000000</v>
      </c>
      <c r="H3064" s="1681"/>
      <c r="I3064" s="1681"/>
      <c r="J3064" s="61">
        <v>3110504</v>
      </c>
      <c r="K3064" s="74" t="s">
        <v>1488</v>
      </c>
      <c r="L3064" s="164">
        <v>5000000</v>
      </c>
      <c r="N3064" s="164">
        <f t="shared" si="47"/>
        <v>0</v>
      </c>
    </row>
    <row r="3065" spans="2:14">
      <c r="B3065" s="1681"/>
      <c r="C3065" s="1681"/>
      <c r="D3065" s="61">
        <v>3110504</v>
      </c>
      <c r="E3065" s="74" t="s">
        <v>1476</v>
      </c>
      <c r="F3065" s="164">
        <v>32905</v>
      </c>
      <c r="H3065" s="1681"/>
      <c r="I3065" s="1681"/>
      <c r="J3065" s="61">
        <v>3110504</v>
      </c>
      <c r="K3065" s="74" t="s">
        <v>1476</v>
      </c>
      <c r="L3065" s="164">
        <v>32905</v>
      </c>
      <c r="N3065" s="164">
        <f t="shared" si="47"/>
        <v>0</v>
      </c>
    </row>
    <row r="3066" spans="2:14">
      <c r="B3066" s="1684"/>
      <c r="C3066" s="1684"/>
      <c r="D3066" s="1507"/>
      <c r="E3066" s="1620" t="s">
        <v>175</v>
      </c>
      <c r="F3066" s="1660">
        <v>5532905</v>
      </c>
      <c r="H3066" s="1684"/>
      <c r="I3066" s="1684"/>
      <c r="J3066" s="1507"/>
      <c r="K3066" s="1620" t="s">
        <v>175</v>
      </c>
      <c r="L3066" s="1660">
        <v>5532905</v>
      </c>
      <c r="N3066" s="1660">
        <f t="shared" si="47"/>
        <v>0</v>
      </c>
    </row>
    <row r="3067" spans="2:14">
      <c r="B3067" s="1684"/>
      <c r="C3067" s="1684"/>
      <c r="D3067" s="1507"/>
      <c r="E3067" s="1620" t="s">
        <v>603</v>
      </c>
      <c r="F3067" s="1660">
        <v>12156717.6</v>
      </c>
      <c r="H3067" s="1684"/>
      <c r="I3067" s="1684"/>
      <c r="J3067" s="1507"/>
      <c r="K3067" s="1620" t="s">
        <v>603</v>
      </c>
      <c r="L3067" s="1660">
        <v>12156717.6</v>
      </c>
      <c r="N3067" s="1660">
        <f t="shared" si="47"/>
        <v>0</v>
      </c>
    </row>
    <row r="3068" spans="2:14">
      <c r="B3068" s="92"/>
      <c r="C3068" s="92"/>
      <c r="D3068" s="61"/>
      <c r="E3068" s="74"/>
      <c r="F3068" s="164"/>
      <c r="H3068" s="92"/>
      <c r="I3068" s="92"/>
      <c r="J3068" s="61"/>
      <c r="K3068" s="74"/>
      <c r="L3068" s="164"/>
      <c r="N3068" s="164">
        <f t="shared" si="47"/>
        <v>0</v>
      </c>
    </row>
    <row r="3069" spans="2:14">
      <c r="B3069" s="92"/>
      <c r="C3069" s="92"/>
      <c r="D3069" s="1671" t="s">
        <v>604</v>
      </c>
      <c r="E3069" s="1680"/>
      <c r="F3069" s="164"/>
      <c r="H3069" s="92"/>
      <c r="I3069" s="92"/>
      <c r="J3069" s="1671" t="s">
        <v>604</v>
      </c>
      <c r="K3069" s="1680"/>
      <c r="L3069" s="164"/>
      <c r="N3069" s="164">
        <f t="shared" si="47"/>
        <v>0</v>
      </c>
    </row>
    <row r="3070" spans="2:14">
      <c r="B3070" s="92" t="s">
        <v>144</v>
      </c>
      <c r="C3070" s="92" t="s">
        <v>146</v>
      </c>
      <c r="D3070" s="1671" t="s">
        <v>605</v>
      </c>
      <c r="E3070" s="1680"/>
      <c r="F3070" s="164"/>
      <c r="H3070" s="92" t="s">
        <v>144</v>
      </c>
      <c r="I3070" s="92" t="s">
        <v>146</v>
      </c>
      <c r="J3070" s="1671" t="s">
        <v>605</v>
      </c>
      <c r="K3070" s="1680"/>
      <c r="L3070" s="164"/>
      <c r="N3070" s="164">
        <f t="shared" si="47"/>
        <v>0</v>
      </c>
    </row>
    <row r="3071" spans="2:14">
      <c r="B3071" s="1681"/>
      <c r="C3071" s="1681"/>
      <c r="D3071" s="1671">
        <v>2210200</v>
      </c>
      <c r="E3071" s="1680" t="s">
        <v>20</v>
      </c>
      <c r="F3071" s="1636">
        <v>40600</v>
      </c>
      <c r="H3071" s="1681"/>
      <c r="I3071" s="1681"/>
      <c r="J3071" s="1671">
        <v>2210200</v>
      </c>
      <c r="K3071" s="1680" t="s">
        <v>20</v>
      </c>
      <c r="L3071" s="1636">
        <v>40600</v>
      </c>
      <c r="N3071" s="1636">
        <f t="shared" si="47"/>
        <v>0</v>
      </c>
    </row>
    <row r="3072" spans="2:14">
      <c r="B3072" s="92"/>
      <c r="C3072" s="92"/>
      <c r="D3072" s="61">
        <v>2210201</v>
      </c>
      <c r="E3072" s="74" t="s">
        <v>187</v>
      </c>
      <c r="F3072" s="164">
        <v>40600</v>
      </c>
      <c r="H3072" s="92"/>
      <c r="I3072" s="92"/>
      <c r="J3072" s="61">
        <v>2210201</v>
      </c>
      <c r="K3072" s="74" t="s">
        <v>187</v>
      </c>
      <c r="L3072" s="164">
        <v>40600</v>
      </c>
      <c r="N3072" s="164">
        <f t="shared" si="47"/>
        <v>0</v>
      </c>
    </row>
    <row r="3073" spans="2:14">
      <c r="B3073" s="1681"/>
      <c r="C3073" s="1681"/>
      <c r="D3073" s="1671">
        <v>2210300</v>
      </c>
      <c r="E3073" s="1680" t="s">
        <v>24</v>
      </c>
      <c r="F3073" s="1636">
        <v>693000</v>
      </c>
      <c r="H3073" s="1681"/>
      <c r="I3073" s="1681"/>
      <c r="J3073" s="1671">
        <v>2210300</v>
      </c>
      <c r="K3073" s="1680" t="s">
        <v>24</v>
      </c>
      <c r="L3073" s="1636">
        <v>693000</v>
      </c>
      <c r="N3073" s="1636">
        <f t="shared" si="47"/>
        <v>0</v>
      </c>
    </row>
    <row r="3074" spans="2:14">
      <c r="B3074" s="92"/>
      <c r="C3074" s="92"/>
      <c r="D3074" s="61">
        <v>2210301</v>
      </c>
      <c r="E3074" s="74" t="s">
        <v>188</v>
      </c>
      <c r="F3074" s="164">
        <v>245000</v>
      </c>
      <c r="H3074" s="92"/>
      <c r="I3074" s="92"/>
      <c r="J3074" s="61">
        <v>2210301</v>
      </c>
      <c r="K3074" s="74" t="s">
        <v>188</v>
      </c>
      <c r="L3074" s="164">
        <v>245000</v>
      </c>
      <c r="N3074" s="164">
        <f t="shared" si="47"/>
        <v>0</v>
      </c>
    </row>
    <row r="3075" spans="2:14">
      <c r="B3075" s="92"/>
      <c r="C3075" s="92"/>
      <c r="D3075" s="61">
        <v>2210302</v>
      </c>
      <c r="E3075" s="74" t="s">
        <v>26</v>
      </c>
      <c r="F3075" s="164">
        <v>203000</v>
      </c>
      <c r="H3075" s="92"/>
      <c r="I3075" s="92"/>
      <c r="J3075" s="61">
        <v>2210302</v>
      </c>
      <c r="K3075" s="74" t="s">
        <v>26</v>
      </c>
      <c r="L3075" s="164">
        <v>203000</v>
      </c>
      <c r="N3075" s="164">
        <f t="shared" si="47"/>
        <v>0</v>
      </c>
    </row>
    <row r="3076" spans="2:14">
      <c r="B3076" s="92"/>
      <c r="C3076" s="92"/>
      <c r="D3076" s="61">
        <v>2210303</v>
      </c>
      <c r="E3076" s="74" t="s">
        <v>223</v>
      </c>
      <c r="F3076" s="164">
        <v>245000</v>
      </c>
      <c r="H3076" s="92"/>
      <c r="I3076" s="92"/>
      <c r="J3076" s="61">
        <v>2210303</v>
      </c>
      <c r="K3076" s="74" t="s">
        <v>223</v>
      </c>
      <c r="L3076" s="164">
        <v>245000</v>
      </c>
      <c r="N3076" s="164">
        <f t="shared" si="47"/>
        <v>0</v>
      </c>
    </row>
    <row r="3077" spans="2:14">
      <c r="B3077" s="1681"/>
      <c r="C3077" s="1681"/>
      <c r="D3077" s="1671">
        <v>2210500</v>
      </c>
      <c r="E3077" s="1680" t="s">
        <v>31</v>
      </c>
      <c r="F3077" s="1636">
        <v>290000</v>
      </c>
      <c r="H3077" s="1681"/>
      <c r="I3077" s="1681"/>
      <c r="J3077" s="1671">
        <v>2210500</v>
      </c>
      <c r="K3077" s="1680" t="s">
        <v>31</v>
      </c>
      <c r="L3077" s="1636">
        <v>290000</v>
      </c>
      <c r="N3077" s="1636">
        <f t="shared" si="47"/>
        <v>0</v>
      </c>
    </row>
    <row r="3078" spans="2:14">
      <c r="B3078" s="1697"/>
      <c r="C3078" s="1697"/>
      <c r="D3078" s="61">
        <v>2210504</v>
      </c>
      <c r="E3078" s="74" t="s">
        <v>106</v>
      </c>
      <c r="F3078" s="164">
        <v>290000</v>
      </c>
      <c r="H3078" s="1697"/>
      <c r="I3078" s="1697"/>
      <c r="J3078" s="61">
        <v>2210504</v>
      </c>
      <c r="K3078" s="74" t="s">
        <v>106</v>
      </c>
      <c r="L3078" s="164">
        <v>290000</v>
      </c>
      <c r="N3078" s="164">
        <f t="shared" si="47"/>
        <v>0</v>
      </c>
    </row>
    <row r="3079" spans="2:14">
      <c r="B3079" s="1681"/>
      <c r="C3079" s="1681"/>
      <c r="D3079" s="1671">
        <v>2210700</v>
      </c>
      <c r="E3079" s="1680" t="s">
        <v>35</v>
      </c>
      <c r="F3079" s="1636">
        <v>250000</v>
      </c>
      <c r="H3079" s="1681"/>
      <c r="I3079" s="1681"/>
      <c r="J3079" s="1671">
        <v>2210700</v>
      </c>
      <c r="K3079" s="1680" t="s">
        <v>35</v>
      </c>
      <c r="L3079" s="1636">
        <v>250000</v>
      </c>
      <c r="N3079" s="1636">
        <f t="shared" si="47"/>
        <v>0</v>
      </c>
    </row>
    <row r="3080" spans="2:14">
      <c r="B3080" s="1697"/>
      <c r="C3080" s="1697"/>
      <c r="D3080" s="61">
        <v>2210705</v>
      </c>
      <c r="E3080" s="74" t="s">
        <v>1489</v>
      </c>
      <c r="F3080" s="164">
        <v>250000</v>
      </c>
      <c r="H3080" s="1697"/>
      <c r="I3080" s="1697"/>
      <c r="J3080" s="61">
        <v>2210705</v>
      </c>
      <c r="K3080" s="74" t="s">
        <v>1489</v>
      </c>
      <c r="L3080" s="164">
        <v>250000</v>
      </c>
      <c r="N3080" s="164">
        <f t="shared" ref="N3080:N3143" si="48">F3080-L3080</f>
        <v>0</v>
      </c>
    </row>
    <row r="3081" spans="2:14">
      <c r="B3081" s="1681"/>
      <c r="C3081" s="1681"/>
      <c r="D3081" s="1671">
        <v>2210800</v>
      </c>
      <c r="E3081" s="1680" t="s">
        <v>42</v>
      </c>
      <c r="F3081" s="1636">
        <v>4639200</v>
      </c>
      <c r="H3081" s="1681"/>
      <c r="I3081" s="1681"/>
      <c r="J3081" s="1671">
        <v>2210800</v>
      </c>
      <c r="K3081" s="1680" t="s">
        <v>42</v>
      </c>
      <c r="L3081" s="1636">
        <v>4639200</v>
      </c>
      <c r="N3081" s="1636">
        <f t="shared" si="48"/>
        <v>0</v>
      </c>
    </row>
    <row r="3082" spans="2:14">
      <c r="B3082" s="92"/>
      <c r="C3082" s="92"/>
      <c r="D3082" s="61">
        <v>2210801</v>
      </c>
      <c r="E3082" s="74" t="s">
        <v>195</v>
      </c>
      <c r="F3082" s="164">
        <v>69600</v>
      </c>
      <c r="H3082" s="92"/>
      <c r="I3082" s="92"/>
      <c r="J3082" s="61">
        <v>2210801</v>
      </c>
      <c r="K3082" s="74" t="s">
        <v>195</v>
      </c>
      <c r="L3082" s="164">
        <v>69600</v>
      </c>
      <c r="N3082" s="164">
        <f t="shared" si="48"/>
        <v>0</v>
      </c>
    </row>
    <row r="3083" spans="2:14">
      <c r="B3083" s="92"/>
      <c r="C3083" s="92"/>
      <c r="D3083" s="61">
        <v>2210802</v>
      </c>
      <c r="E3083" s="74" t="s">
        <v>97</v>
      </c>
      <c r="F3083" s="164">
        <v>69600</v>
      </c>
      <c r="H3083" s="92"/>
      <c r="I3083" s="92"/>
      <c r="J3083" s="61">
        <v>2210802</v>
      </c>
      <c r="K3083" s="74" t="s">
        <v>97</v>
      </c>
      <c r="L3083" s="164">
        <v>69600</v>
      </c>
      <c r="N3083" s="164">
        <f t="shared" si="48"/>
        <v>0</v>
      </c>
    </row>
    <row r="3084" spans="2:14" ht="30">
      <c r="B3084" s="92"/>
      <c r="C3084" s="92"/>
      <c r="D3084" s="61">
        <v>2210805</v>
      </c>
      <c r="E3084" s="74" t="s">
        <v>1490</v>
      </c>
      <c r="F3084" s="164">
        <v>4500000</v>
      </c>
      <c r="H3084" s="92"/>
      <c r="I3084" s="92"/>
      <c r="J3084" s="61">
        <v>2210805</v>
      </c>
      <c r="K3084" s="74" t="s">
        <v>1490</v>
      </c>
      <c r="L3084" s="164">
        <v>4500000</v>
      </c>
      <c r="N3084" s="164">
        <f t="shared" si="48"/>
        <v>0</v>
      </c>
    </row>
    <row r="3085" spans="2:14">
      <c r="B3085" s="1681"/>
      <c r="C3085" s="1681"/>
      <c r="D3085" s="1671">
        <v>2211100</v>
      </c>
      <c r="E3085" s="1680" t="s">
        <v>51</v>
      </c>
      <c r="F3085" s="1636">
        <v>63800</v>
      </c>
      <c r="H3085" s="1681"/>
      <c r="I3085" s="1681"/>
      <c r="J3085" s="1671">
        <v>2211100</v>
      </c>
      <c r="K3085" s="1680" t="s">
        <v>51</v>
      </c>
      <c r="L3085" s="1636">
        <v>63800</v>
      </c>
      <c r="N3085" s="1636">
        <f t="shared" si="48"/>
        <v>0</v>
      </c>
    </row>
    <row r="3086" spans="2:14">
      <c r="B3086" s="92"/>
      <c r="C3086" s="92"/>
      <c r="D3086" s="61">
        <v>2211101</v>
      </c>
      <c r="E3086" s="74" t="s">
        <v>289</v>
      </c>
      <c r="F3086" s="164">
        <v>34800</v>
      </c>
      <c r="H3086" s="92"/>
      <c r="I3086" s="92"/>
      <c r="J3086" s="61">
        <v>2211101</v>
      </c>
      <c r="K3086" s="74" t="s">
        <v>289</v>
      </c>
      <c r="L3086" s="164">
        <v>34800</v>
      </c>
      <c r="N3086" s="164">
        <f t="shared" si="48"/>
        <v>0</v>
      </c>
    </row>
    <row r="3087" spans="2:14">
      <c r="B3087" s="92"/>
      <c r="C3087" s="92"/>
      <c r="D3087" s="61">
        <v>2211102</v>
      </c>
      <c r="E3087" s="74" t="s">
        <v>53</v>
      </c>
      <c r="F3087" s="164">
        <v>29000</v>
      </c>
      <c r="H3087" s="92"/>
      <c r="I3087" s="92"/>
      <c r="J3087" s="61">
        <v>2211102</v>
      </c>
      <c r="K3087" s="74" t="s">
        <v>53</v>
      </c>
      <c r="L3087" s="164">
        <v>29000</v>
      </c>
      <c r="N3087" s="164">
        <f t="shared" si="48"/>
        <v>0</v>
      </c>
    </row>
    <row r="3088" spans="2:14">
      <c r="B3088" s="1681"/>
      <c r="C3088" s="1681"/>
      <c r="D3088" s="1671">
        <v>2211200</v>
      </c>
      <c r="E3088" s="1680" t="s">
        <v>55</v>
      </c>
      <c r="F3088" s="1636">
        <v>285600</v>
      </c>
      <c r="H3088" s="1681"/>
      <c r="I3088" s="1681"/>
      <c r="J3088" s="1671">
        <v>2211200</v>
      </c>
      <c r="K3088" s="1680" t="s">
        <v>55</v>
      </c>
      <c r="L3088" s="1636">
        <v>285600</v>
      </c>
      <c r="N3088" s="1636">
        <f t="shared" si="48"/>
        <v>0</v>
      </c>
    </row>
    <row r="3089" spans="2:14">
      <c r="B3089" s="92"/>
      <c r="C3089" s="92"/>
      <c r="D3089" s="61">
        <v>2211201</v>
      </c>
      <c r="E3089" s="74" t="s">
        <v>56</v>
      </c>
      <c r="F3089" s="164">
        <v>285600</v>
      </c>
      <c r="H3089" s="92"/>
      <c r="I3089" s="92"/>
      <c r="J3089" s="61">
        <v>2211201</v>
      </c>
      <c r="K3089" s="74" t="s">
        <v>56</v>
      </c>
      <c r="L3089" s="164">
        <v>285600</v>
      </c>
      <c r="N3089" s="164">
        <f t="shared" si="48"/>
        <v>0</v>
      </c>
    </row>
    <row r="3090" spans="2:14">
      <c r="B3090" s="1681"/>
      <c r="C3090" s="1681"/>
      <c r="D3090" s="1671">
        <v>2211300</v>
      </c>
      <c r="E3090" s="1680" t="s">
        <v>57</v>
      </c>
      <c r="F3090" s="1636">
        <v>10000000</v>
      </c>
      <c r="H3090" s="1681"/>
      <c r="I3090" s="1681"/>
      <c r="J3090" s="1671">
        <v>2211300</v>
      </c>
      <c r="K3090" s="1680" t="s">
        <v>57</v>
      </c>
      <c r="L3090" s="1636">
        <v>10000000</v>
      </c>
      <c r="N3090" s="1636">
        <f t="shared" si="48"/>
        <v>0</v>
      </c>
    </row>
    <row r="3091" spans="2:14" ht="30">
      <c r="B3091" s="1697"/>
      <c r="C3091" s="1697"/>
      <c r="D3091" s="61">
        <v>2211399</v>
      </c>
      <c r="E3091" s="74" t="s">
        <v>1831</v>
      </c>
      <c r="F3091" s="164">
        <v>10000000</v>
      </c>
      <c r="H3091" s="1697"/>
      <c r="I3091" s="1697"/>
      <c r="J3091" s="61">
        <v>2211399</v>
      </c>
      <c r="K3091" s="74" t="s">
        <v>1831</v>
      </c>
      <c r="L3091" s="164">
        <v>10000000</v>
      </c>
      <c r="N3091" s="164">
        <f t="shared" si="48"/>
        <v>0</v>
      </c>
    </row>
    <row r="3092" spans="2:14">
      <c r="B3092" s="1681"/>
      <c r="C3092" s="1681"/>
      <c r="D3092" s="1671">
        <v>2220100</v>
      </c>
      <c r="E3092" s="1680" t="s">
        <v>62</v>
      </c>
      <c r="F3092" s="1636">
        <v>78300</v>
      </c>
      <c r="H3092" s="1681"/>
      <c r="I3092" s="1681"/>
      <c r="J3092" s="1671">
        <v>2220100</v>
      </c>
      <c r="K3092" s="1680" t="s">
        <v>62</v>
      </c>
      <c r="L3092" s="1636">
        <v>78300</v>
      </c>
      <c r="N3092" s="1636">
        <f t="shared" si="48"/>
        <v>0</v>
      </c>
    </row>
    <row r="3093" spans="2:14">
      <c r="B3093" s="92"/>
      <c r="C3093" s="92"/>
      <c r="D3093" s="61">
        <v>2220101</v>
      </c>
      <c r="E3093" s="74" t="s">
        <v>200</v>
      </c>
      <c r="F3093" s="164">
        <v>78300</v>
      </c>
      <c r="H3093" s="92"/>
      <c r="I3093" s="92"/>
      <c r="J3093" s="61">
        <v>2220101</v>
      </c>
      <c r="K3093" s="74" t="s">
        <v>200</v>
      </c>
      <c r="L3093" s="164">
        <v>78300</v>
      </c>
      <c r="N3093" s="164">
        <f t="shared" si="48"/>
        <v>0</v>
      </c>
    </row>
    <row r="3094" spans="2:14">
      <c r="B3094" s="1681"/>
      <c r="C3094" s="1681"/>
      <c r="D3094" s="1671">
        <v>2220200</v>
      </c>
      <c r="E3094" s="1680" t="s">
        <v>124</v>
      </c>
      <c r="F3094" s="1636">
        <v>40600</v>
      </c>
      <c r="H3094" s="1681"/>
      <c r="I3094" s="1681"/>
      <c r="J3094" s="1671">
        <v>2220200</v>
      </c>
      <c r="K3094" s="1680" t="s">
        <v>124</v>
      </c>
      <c r="L3094" s="1636">
        <v>40600</v>
      </c>
      <c r="N3094" s="1636">
        <f t="shared" si="48"/>
        <v>0</v>
      </c>
    </row>
    <row r="3095" spans="2:14">
      <c r="B3095" s="92"/>
      <c r="C3095" s="92"/>
      <c r="D3095" s="61">
        <v>2220202</v>
      </c>
      <c r="E3095" s="74" t="s">
        <v>87</v>
      </c>
      <c r="F3095" s="164">
        <v>29000</v>
      </c>
      <c r="H3095" s="92"/>
      <c r="I3095" s="92"/>
      <c r="J3095" s="61">
        <v>2220202</v>
      </c>
      <c r="K3095" s="74" t="s">
        <v>87</v>
      </c>
      <c r="L3095" s="164">
        <v>29000</v>
      </c>
      <c r="N3095" s="164">
        <f t="shared" si="48"/>
        <v>0</v>
      </c>
    </row>
    <row r="3096" spans="2:14">
      <c r="B3096" s="92"/>
      <c r="C3096" s="92"/>
      <c r="D3096" s="61">
        <v>2220210</v>
      </c>
      <c r="E3096" s="74" t="s">
        <v>163</v>
      </c>
      <c r="F3096" s="164">
        <v>11600</v>
      </c>
      <c r="H3096" s="92"/>
      <c r="I3096" s="92"/>
      <c r="J3096" s="61">
        <v>2220210</v>
      </c>
      <c r="K3096" s="74" t="s">
        <v>163</v>
      </c>
      <c r="L3096" s="164">
        <v>11600</v>
      </c>
      <c r="N3096" s="164">
        <f t="shared" si="48"/>
        <v>0</v>
      </c>
    </row>
    <row r="3097" spans="2:14">
      <c r="B3097" s="1681"/>
      <c r="C3097" s="1681"/>
      <c r="D3097" s="1671">
        <v>3111400</v>
      </c>
      <c r="E3097" s="1680" t="s">
        <v>602</v>
      </c>
      <c r="F3097" s="1636">
        <v>500000</v>
      </c>
      <c r="H3097" s="1681"/>
      <c r="I3097" s="1681"/>
      <c r="J3097" s="1671">
        <v>3111400</v>
      </c>
      <c r="K3097" s="1680" t="s">
        <v>602</v>
      </c>
      <c r="L3097" s="1636">
        <v>500000</v>
      </c>
      <c r="N3097" s="1636">
        <f t="shared" si="48"/>
        <v>0</v>
      </c>
    </row>
    <row r="3098" spans="2:14" ht="30">
      <c r="B3098" s="1697"/>
      <c r="C3098" s="1697"/>
      <c r="D3098" s="61">
        <v>3111401</v>
      </c>
      <c r="E3098" s="74" t="s">
        <v>1491</v>
      </c>
      <c r="F3098" s="164">
        <v>500000</v>
      </c>
      <c r="H3098" s="1697"/>
      <c r="I3098" s="1697"/>
      <c r="J3098" s="61">
        <v>3111401</v>
      </c>
      <c r="K3098" s="74" t="s">
        <v>1491</v>
      </c>
      <c r="L3098" s="164">
        <v>500000</v>
      </c>
      <c r="N3098" s="164">
        <f t="shared" si="48"/>
        <v>0</v>
      </c>
    </row>
    <row r="3099" spans="2:14">
      <c r="B3099" s="1684"/>
      <c r="C3099" s="1684"/>
      <c r="D3099" s="1507"/>
      <c r="E3099" s="1620" t="s">
        <v>593</v>
      </c>
      <c r="F3099" s="1660">
        <v>16881100</v>
      </c>
      <c r="H3099" s="1684"/>
      <c r="I3099" s="1684"/>
      <c r="J3099" s="1507"/>
      <c r="K3099" s="1620" t="s">
        <v>593</v>
      </c>
      <c r="L3099" s="1660">
        <v>16881100</v>
      </c>
      <c r="N3099" s="1660">
        <f t="shared" si="48"/>
        <v>0</v>
      </c>
    </row>
    <row r="3100" spans="2:14">
      <c r="B3100" s="92"/>
      <c r="C3100" s="92"/>
      <c r="D3100" s="61"/>
      <c r="E3100" s="74"/>
      <c r="F3100" s="164"/>
      <c r="H3100" s="92"/>
      <c r="I3100" s="92"/>
      <c r="J3100" s="61"/>
      <c r="K3100" s="74"/>
      <c r="L3100" s="164"/>
      <c r="N3100" s="164">
        <f t="shared" si="48"/>
        <v>0</v>
      </c>
    </row>
    <row r="3101" spans="2:14">
      <c r="B3101" s="92"/>
      <c r="C3101" s="92"/>
      <c r="D3101" s="61"/>
      <c r="E3101" s="1680" t="s">
        <v>474</v>
      </c>
      <c r="F3101" s="164"/>
      <c r="H3101" s="92"/>
      <c r="I3101" s="92"/>
      <c r="J3101" s="61"/>
      <c r="K3101" s="1680" t="s">
        <v>474</v>
      </c>
      <c r="L3101" s="164"/>
      <c r="N3101" s="164">
        <f t="shared" si="48"/>
        <v>0</v>
      </c>
    </row>
    <row r="3102" spans="2:14" ht="30">
      <c r="B3102" s="1697"/>
      <c r="C3102" s="1697"/>
      <c r="D3102" s="61">
        <v>3110504</v>
      </c>
      <c r="E3102" s="74" t="s">
        <v>1492</v>
      </c>
      <c r="F3102" s="164">
        <v>10185000</v>
      </c>
      <c r="H3102" s="1697"/>
      <c r="I3102" s="1697"/>
      <c r="J3102" s="61">
        <v>3110504</v>
      </c>
      <c r="K3102" s="74" t="s">
        <v>1492</v>
      </c>
      <c r="L3102" s="164">
        <v>10185000</v>
      </c>
      <c r="N3102" s="164">
        <f t="shared" si="48"/>
        <v>0</v>
      </c>
    </row>
    <row r="3103" spans="2:14">
      <c r="B3103" s="1684"/>
      <c r="C3103" s="1684"/>
      <c r="D3103" s="1507"/>
      <c r="E3103" s="1620" t="s">
        <v>606</v>
      </c>
      <c r="F3103" s="1660">
        <v>10185000</v>
      </c>
      <c r="H3103" s="1684"/>
      <c r="I3103" s="1684"/>
      <c r="J3103" s="1507"/>
      <c r="K3103" s="1620" t="s">
        <v>606</v>
      </c>
      <c r="L3103" s="1660">
        <v>10185000</v>
      </c>
      <c r="N3103" s="1660">
        <f t="shared" si="48"/>
        <v>0</v>
      </c>
    </row>
    <row r="3104" spans="2:14">
      <c r="B3104" s="1684"/>
      <c r="C3104" s="1684"/>
      <c r="D3104" s="1507"/>
      <c r="E3104" s="1620" t="s">
        <v>607</v>
      </c>
      <c r="F3104" s="1660">
        <v>27066100</v>
      </c>
      <c r="H3104" s="1684"/>
      <c r="I3104" s="1684"/>
      <c r="J3104" s="1507"/>
      <c r="K3104" s="1620" t="s">
        <v>607</v>
      </c>
      <c r="L3104" s="1660">
        <v>27066100</v>
      </c>
      <c r="N3104" s="1660">
        <f t="shared" si="48"/>
        <v>0</v>
      </c>
    </row>
    <row r="3105" spans="2:14">
      <c r="B3105" s="92"/>
      <c r="C3105" s="92"/>
      <c r="D3105" s="61"/>
      <c r="E3105" s="74"/>
      <c r="F3105" s="164"/>
      <c r="H3105" s="92"/>
      <c r="I3105" s="92"/>
      <c r="J3105" s="61"/>
      <c r="K3105" s="74"/>
      <c r="L3105" s="164"/>
      <c r="N3105" s="164">
        <f t="shared" si="48"/>
        <v>0</v>
      </c>
    </row>
    <row r="3106" spans="2:14">
      <c r="B3106" s="92"/>
      <c r="C3106" s="92"/>
      <c r="D3106" s="61"/>
      <c r="E3106" s="74"/>
      <c r="F3106" s="164"/>
      <c r="H3106" s="92"/>
      <c r="I3106" s="92"/>
      <c r="J3106" s="61"/>
      <c r="K3106" s="74"/>
      <c r="L3106" s="164"/>
      <c r="N3106" s="164">
        <f t="shared" si="48"/>
        <v>0</v>
      </c>
    </row>
    <row r="3107" spans="2:14">
      <c r="B3107" s="1897" t="s">
        <v>144</v>
      </c>
      <c r="C3107" s="1897"/>
      <c r="D3107" s="1507" t="s">
        <v>608</v>
      </c>
      <c r="E3107" s="1620"/>
      <c r="F3107" s="1759"/>
      <c r="H3107" s="1897" t="s">
        <v>144</v>
      </c>
      <c r="I3107" s="1897"/>
      <c r="J3107" s="1507" t="s">
        <v>608</v>
      </c>
      <c r="K3107" s="1620"/>
      <c r="L3107" s="1759"/>
      <c r="N3107" s="1759">
        <f t="shared" si="48"/>
        <v>0</v>
      </c>
    </row>
    <row r="3108" spans="2:14">
      <c r="B3108" s="92"/>
      <c r="C3108" s="92" t="s">
        <v>146</v>
      </c>
      <c r="D3108" s="1671" t="s">
        <v>609</v>
      </c>
      <c r="E3108" s="1680"/>
      <c r="F3108" s="164"/>
      <c r="H3108" s="92"/>
      <c r="I3108" s="92" t="s">
        <v>146</v>
      </c>
      <c r="J3108" s="1671" t="s">
        <v>609</v>
      </c>
      <c r="K3108" s="1680"/>
      <c r="L3108" s="164"/>
      <c r="N3108" s="164">
        <f t="shared" si="48"/>
        <v>0</v>
      </c>
    </row>
    <row r="3109" spans="2:14">
      <c r="B3109" s="1681"/>
      <c r="C3109" s="1681"/>
      <c r="D3109" s="1671">
        <v>2210200</v>
      </c>
      <c r="E3109" s="1680" t="s">
        <v>20</v>
      </c>
      <c r="F3109" s="1636">
        <v>58000</v>
      </c>
      <c r="H3109" s="1681"/>
      <c r="I3109" s="1681"/>
      <c r="J3109" s="1671">
        <v>2210200</v>
      </c>
      <c r="K3109" s="1680" t="s">
        <v>20</v>
      </c>
      <c r="L3109" s="1636">
        <v>58000</v>
      </c>
      <c r="N3109" s="1636">
        <f t="shared" si="48"/>
        <v>0</v>
      </c>
    </row>
    <row r="3110" spans="2:14">
      <c r="B3110" s="92"/>
      <c r="C3110" s="92"/>
      <c r="D3110" s="61">
        <v>2210201</v>
      </c>
      <c r="E3110" s="74" t="s">
        <v>187</v>
      </c>
      <c r="F3110" s="164">
        <v>29000</v>
      </c>
      <c r="H3110" s="92"/>
      <c r="I3110" s="92"/>
      <c r="J3110" s="61">
        <v>2210201</v>
      </c>
      <c r="K3110" s="74" t="s">
        <v>187</v>
      </c>
      <c r="L3110" s="164">
        <v>29000</v>
      </c>
      <c r="N3110" s="164">
        <f t="shared" si="48"/>
        <v>0</v>
      </c>
    </row>
    <row r="3111" spans="2:14">
      <c r="B3111" s="92"/>
      <c r="C3111" s="92"/>
      <c r="D3111" s="61">
        <v>2210202</v>
      </c>
      <c r="E3111" s="74" t="s">
        <v>22</v>
      </c>
      <c r="F3111" s="164">
        <v>29000</v>
      </c>
      <c r="H3111" s="92"/>
      <c r="I3111" s="92"/>
      <c r="J3111" s="61">
        <v>2210202</v>
      </c>
      <c r="K3111" s="74" t="s">
        <v>22</v>
      </c>
      <c r="L3111" s="164">
        <v>29000</v>
      </c>
      <c r="N3111" s="164">
        <f t="shared" si="48"/>
        <v>0</v>
      </c>
    </row>
    <row r="3112" spans="2:14">
      <c r="B3112" s="1681"/>
      <c r="C3112" s="1681"/>
      <c r="D3112" s="1671">
        <v>2210300</v>
      </c>
      <c r="E3112" s="1680" t="s">
        <v>24</v>
      </c>
      <c r="F3112" s="1636">
        <v>364800</v>
      </c>
      <c r="H3112" s="1681"/>
      <c r="I3112" s="1681"/>
      <c r="J3112" s="1671">
        <v>2210300</v>
      </c>
      <c r="K3112" s="1680" t="s">
        <v>24</v>
      </c>
      <c r="L3112" s="1636">
        <v>364800</v>
      </c>
      <c r="N3112" s="1636">
        <f t="shared" si="48"/>
        <v>0</v>
      </c>
    </row>
    <row r="3113" spans="2:14">
      <c r="B3113" s="1681"/>
      <c r="C3113" s="1681"/>
      <c r="D3113" s="61">
        <v>2210301</v>
      </c>
      <c r="E3113" s="74" t="s">
        <v>188</v>
      </c>
      <c r="F3113" s="164">
        <v>187000</v>
      </c>
      <c r="H3113" s="1681"/>
      <c r="I3113" s="1681"/>
      <c r="J3113" s="61">
        <v>2210301</v>
      </c>
      <c r="K3113" s="74" t="s">
        <v>188</v>
      </c>
      <c r="L3113" s="164">
        <v>187000</v>
      </c>
      <c r="N3113" s="164">
        <f t="shared" si="48"/>
        <v>0</v>
      </c>
    </row>
    <row r="3114" spans="2:14">
      <c r="B3114" s="1681"/>
      <c r="C3114" s="1681"/>
      <c r="D3114" s="61">
        <v>2210302</v>
      </c>
      <c r="E3114" s="74" t="s">
        <v>26</v>
      </c>
      <c r="F3114" s="164">
        <v>98600</v>
      </c>
      <c r="H3114" s="1681"/>
      <c r="I3114" s="1681"/>
      <c r="J3114" s="61">
        <v>2210302</v>
      </c>
      <c r="K3114" s="74" t="s">
        <v>26</v>
      </c>
      <c r="L3114" s="164">
        <v>98600</v>
      </c>
      <c r="N3114" s="164">
        <f t="shared" si="48"/>
        <v>0</v>
      </c>
    </row>
    <row r="3115" spans="2:14">
      <c r="B3115" s="1681"/>
      <c r="C3115" s="1681"/>
      <c r="D3115" s="61">
        <v>2210303</v>
      </c>
      <c r="E3115" s="74" t="s">
        <v>223</v>
      </c>
      <c r="F3115" s="164">
        <v>79200</v>
      </c>
      <c r="H3115" s="1681"/>
      <c r="I3115" s="1681"/>
      <c r="J3115" s="61">
        <v>2210303</v>
      </c>
      <c r="K3115" s="74" t="s">
        <v>223</v>
      </c>
      <c r="L3115" s="164">
        <v>79200</v>
      </c>
      <c r="N3115" s="164">
        <f t="shared" si="48"/>
        <v>0</v>
      </c>
    </row>
    <row r="3116" spans="2:14">
      <c r="B3116" s="1681"/>
      <c r="C3116" s="1681"/>
      <c r="D3116" s="1671">
        <v>2210500</v>
      </c>
      <c r="E3116" s="1680" t="s">
        <v>31</v>
      </c>
      <c r="F3116" s="1636">
        <v>65400</v>
      </c>
      <c r="H3116" s="1681"/>
      <c r="I3116" s="1681"/>
      <c r="J3116" s="1671">
        <v>2210500</v>
      </c>
      <c r="K3116" s="1680" t="s">
        <v>31</v>
      </c>
      <c r="L3116" s="1636">
        <v>65400</v>
      </c>
      <c r="N3116" s="1636">
        <f t="shared" si="48"/>
        <v>0</v>
      </c>
    </row>
    <row r="3117" spans="2:14">
      <c r="B3117" s="1681"/>
      <c r="C3117" s="1681"/>
      <c r="D3117" s="61">
        <v>2210502</v>
      </c>
      <c r="E3117" s="74" t="s">
        <v>105</v>
      </c>
      <c r="F3117" s="164">
        <v>36400</v>
      </c>
      <c r="H3117" s="1681"/>
      <c r="I3117" s="1681"/>
      <c r="J3117" s="61">
        <v>2210502</v>
      </c>
      <c r="K3117" s="74" t="s">
        <v>105</v>
      </c>
      <c r="L3117" s="164">
        <v>36400</v>
      </c>
      <c r="N3117" s="164">
        <f t="shared" si="48"/>
        <v>0</v>
      </c>
    </row>
    <row r="3118" spans="2:14">
      <c r="B3118" s="1681"/>
      <c r="C3118" s="1681"/>
      <c r="D3118" s="61">
        <v>2210503</v>
      </c>
      <c r="E3118" s="74" t="s">
        <v>32</v>
      </c>
      <c r="F3118" s="164">
        <v>29000</v>
      </c>
      <c r="H3118" s="1681"/>
      <c r="I3118" s="1681"/>
      <c r="J3118" s="61">
        <v>2210503</v>
      </c>
      <c r="K3118" s="74" t="s">
        <v>32</v>
      </c>
      <c r="L3118" s="164">
        <v>29000</v>
      </c>
      <c r="N3118" s="164">
        <f t="shared" si="48"/>
        <v>0</v>
      </c>
    </row>
    <row r="3119" spans="2:14">
      <c r="B3119" s="1681"/>
      <c r="C3119" s="1681"/>
      <c r="D3119" s="1671">
        <v>2210700</v>
      </c>
      <c r="E3119" s="1680" t="s">
        <v>35</v>
      </c>
      <c r="F3119" s="1636">
        <v>807000</v>
      </c>
      <c r="H3119" s="1681"/>
      <c r="I3119" s="1681"/>
      <c r="J3119" s="1671">
        <v>2210700</v>
      </c>
      <c r="K3119" s="1680" t="s">
        <v>35</v>
      </c>
      <c r="L3119" s="1636">
        <v>807000</v>
      </c>
      <c r="N3119" s="1636">
        <f t="shared" si="48"/>
        <v>0</v>
      </c>
    </row>
    <row r="3120" spans="2:14">
      <c r="B3120" s="1681"/>
      <c r="C3120" s="1681"/>
      <c r="D3120" s="57">
        <v>2210799</v>
      </c>
      <c r="E3120" s="1890" t="s">
        <v>1493</v>
      </c>
      <c r="F3120" s="164">
        <v>807000</v>
      </c>
      <c r="H3120" s="1681"/>
      <c r="I3120" s="1681"/>
      <c r="J3120" s="1729">
        <v>2210799</v>
      </c>
      <c r="K3120" s="1891" t="s">
        <v>1493</v>
      </c>
      <c r="L3120" s="164">
        <v>807000</v>
      </c>
      <c r="N3120" s="164">
        <f t="shared" si="48"/>
        <v>0</v>
      </c>
    </row>
    <row r="3121" spans="2:14">
      <c r="B3121" s="1681"/>
      <c r="C3121" s="1681"/>
      <c r="D3121" s="1671">
        <v>2210800</v>
      </c>
      <c r="E3121" s="1680" t="s">
        <v>42</v>
      </c>
      <c r="F3121" s="1636">
        <v>127600</v>
      </c>
      <c r="H3121" s="1681"/>
      <c r="I3121" s="1681"/>
      <c r="J3121" s="1671">
        <v>2210800</v>
      </c>
      <c r="K3121" s="1680" t="s">
        <v>42</v>
      </c>
      <c r="L3121" s="1636">
        <v>127600</v>
      </c>
      <c r="N3121" s="1636">
        <f t="shared" si="48"/>
        <v>0</v>
      </c>
    </row>
    <row r="3122" spans="2:14">
      <c r="B3122" s="1681"/>
      <c r="C3122" s="1681"/>
      <c r="D3122" s="61">
        <v>2210801</v>
      </c>
      <c r="E3122" s="74" t="s">
        <v>43</v>
      </c>
      <c r="F3122" s="164">
        <v>58000</v>
      </c>
      <c r="H3122" s="1681"/>
      <c r="I3122" s="1681"/>
      <c r="J3122" s="61">
        <v>2210801</v>
      </c>
      <c r="K3122" s="74" t="s">
        <v>43</v>
      </c>
      <c r="L3122" s="164">
        <v>58000</v>
      </c>
      <c r="N3122" s="164">
        <f t="shared" si="48"/>
        <v>0</v>
      </c>
    </row>
    <row r="3123" spans="2:14">
      <c r="B3123" s="1681"/>
      <c r="C3123" s="1681"/>
      <c r="D3123" s="61">
        <v>2210802</v>
      </c>
      <c r="E3123" s="74" t="s">
        <v>97</v>
      </c>
      <c r="F3123" s="164">
        <v>69600</v>
      </c>
      <c r="H3123" s="1681"/>
      <c r="I3123" s="1681"/>
      <c r="J3123" s="61">
        <v>2210802</v>
      </c>
      <c r="K3123" s="74" t="s">
        <v>97</v>
      </c>
      <c r="L3123" s="164">
        <v>69600</v>
      </c>
      <c r="N3123" s="164">
        <f t="shared" si="48"/>
        <v>0</v>
      </c>
    </row>
    <row r="3124" spans="2:14">
      <c r="B3124" s="1681"/>
      <c r="C3124" s="1681"/>
      <c r="D3124" s="1671">
        <v>2211000</v>
      </c>
      <c r="E3124" s="1680" t="s">
        <v>118</v>
      </c>
      <c r="F3124" s="1636">
        <v>3212600</v>
      </c>
      <c r="H3124" s="1681"/>
      <c r="I3124" s="1681"/>
      <c r="J3124" s="1671">
        <v>2211000</v>
      </c>
      <c r="K3124" s="1680" t="s">
        <v>118</v>
      </c>
      <c r="L3124" s="1636">
        <v>3212600</v>
      </c>
      <c r="N3124" s="1636">
        <f t="shared" si="48"/>
        <v>0</v>
      </c>
    </row>
    <row r="3125" spans="2:14">
      <c r="B3125" s="92"/>
      <c r="C3125" s="92"/>
      <c r="D3125" s="61">
        <v>2211029</v>
      </c>
      <c r="E3125" s="74" t="s">
        <v>1494</v>
      </c>
      <c r="F3125" s="164">
        <v>2533000</v>
      </c>
      <c r="H3125" s="92"/>
      <c r="I3125" s="92"/>
      <c r="J3125" s="61">
        <v>2211029</v>
      </c>
      <c r="K3125" s="74" t="s">
        <v>1494</v>
      </c>
      <c r="L3125" s="164">
        <v>2533000</v>
      </c>
      <c r="N3125" s="164">
        <f t="shared" si="48"/>
        <v>0</v>
      </c>
    </row>
    <row r="3126" spans="2:14" ht="45">
      <c r="B3126" s="92"/>
      <c r="C3126" s="92"/>
      <c r="D3126" s="61">
        <v>2211031</v>
      </c>
      <c r="E3126" s="74" t="s">
        <v>601</v>
      </c>
      <c r="F3126" s="164">
        <v>679600</v>
      </c>
      <c r="H3126" s="92"/>
      <c r="I3126" s="92"/>
      <c r="J3126" s="61">
        <v>2211031</v>
      </c>
      <c r="K3126" s="74" t="s">
        <v>601</v>
      </c>
      <c r="L3126" s="164">
        <v>679600</v>
      </c>
      <c r="N3126" s="164">
        <f t="shared" si="48"/>
        <v>0</v>
      </c>
    </row>
    <row r="3127" spans="2:14">
      <c r="B3127" s="92"/>
      <c r="C3127" s="92"/>
      <c r="D3127" s="1671">
        <v>2211100</v>
      </c>
      <c r="E3127" s="1680" t="s">
        <v>51</v>
      </c>
      <c r="F3127" s="1636">
        <v>174000</v>
      </c>
      <c r="H3127" s="92"/>
      <c r="I3127" s="92"/>
      <c r="J3127" s="1671">
        <v>2211100</v>
      </c>
      <c r="K3127" s="1680" t="s">
        <v>51</v>
      </c>
      <c r="L3127" s="1636">
        <v>174000</v>
      </c>
      <c r="N3127" s="1636">
        <f t="shared" si="48"/>
        <v>0</v>
      </c>
    </row>
    <row r="3128" spans="2:14">
      <c r="B3128" s="1681"/>
      <c r="C3128" s="1681"/>
      <c r="D3128" s="61">
        <v>2211101</v>
      </c>
      <c r="E3128" s="74" t="s">
        <v>289</v>
      </c>
      <c r="F3128" s="164">
        <v>87000</v>
      </c>
      <c r="H3128" s="1681"/>
      <c r="I3128" s="1681"/>
      <c r="J3128" s="61">
        <v>2211101</v>
      </c>
      <c r="K3128" s="74" t="s">
        <v>289</v>
      </c>
      <c r="L3128" s="164">
        <v>87000</v>
      </c>
      <c r="N3128" s="164">
        <f t="shared" si="48"/>
        <v>0</v>
      </c>
    </row>
    <row r="3129" spans="2:14">
      <c r="B3129" s="92"/>
      <c r="C3129" s="92"/>
      <c r="D3129" s="61">
        <v>2211103</v>
      </c>
      <c r="E3129" s="74" t="s">
        <v>54</v>
      </c>
      <c r="F3129" s="164">
        <v>87000</v>
      </c>
      <c r="H3129" s="92"/>
      <c r="I3129" s="92"/>
      <c r="J3129" s="61">
        <v>2211103</v>
      </c>
      <c r="K3129" s="74" t="s">
        <v>54</v>
      </c>
      <c r="L3129" s="164">
        <v>87000</v>
      </c>
      <c r="N3129" s="164">
        <f t="shared" si="48"/>
        <v>0</v>
      </c>
    </row>
    <row r="3130" spans="2:14">
      <c r="B3130" s="92"/>
      <c r="C3130" s="92"/>
      <c r="D3130" s="1671">
        <v>2211200</v>
      </c>
      <c r="E3130" s="1680" t="s">
        <v>55</v>
      </c>
      <c r="F3130" s="1636">
        <v>281200</v>
      </c>
      <c r="H3130" s="92"/>
      <c r="I3130" s="92"/>
      <c r="J3130" s="1671">
        <v>2211200</v>
      </c>
      <c r="K3130" s="1680" t="s">
        <v>55</v>
      </c>
      <c r="L3130" s="1636">
        <v>281200</v>
      </c>
      <c r="N3130" s="1636">
        <f t="shared" si="48"/>
        <v>0</v>
      </c>
    </row>
    <row r="3131" spans="2:14">
      <c r="B3131" s="1681"/>
      <c r="C3131" s="1681"/>
      <c r="D3131" s="61">
        <v>2211201</v>
      </c>
      <c r="E3131" s="74" t="s">
        <v>56</v>
      </c>
      <c r="F3131" s="164">
        <v>281200</v>
      </c>
      <c r="H3131" s="1681"/>
      <c r="I3131" s="1681"/>
      <c r="J3131" s="61">
        <v>2211201</v>
      </c>
      <c r="K3131" s="74" t="s">
        <v>56</v>
      </c>
      <c r="L3131" s="164">
        <v>281200</v>
      </c>
      <c r="N3131" s="164">
        <f t="shared" si="48"/>
        <v>0</v>
      </c>
    </row>
    <row r="3132" spans="2:14">
      <c r="B3132" s="1684"/>
      <c r="C3132" s="1684"/>
      <c r="D3132" s="1507" t="s">
        <v>99</v>
      </c>
      <c r="E3132" s="1620"/>
      <c r="F3132" s="1660">
        <v>5090600</v>
      </c>
      <c r="H3132" s="1684"/>
      <c r="I3132" s="1684"/>
      <c r="J3132" s="1507" t="s">
        <v>99</v>
      </c>
      <c r="K3132" s="1620"/>
      <c r="L3132" s="1660">
        <v>5090600</v>
      </c>
      <c r="N3132" s="1660">
        <f t="shared" si="48"/>
        <v>0</v>
      </c>
    </row>
    <row r="3133" spans="2:14">
      <c r="B3133" s="1684"/>
      <c r="C3133" s="1684"/>
      <c r="D3133" s="1507"/>
      <c r="E3133" s="1620" t="s">
        <v>610</v>
      </c>
      <c r="F3133" s="1660">
        <v>5090600</v>
      </c>
      <c r="H3133" s="1684"/>
      <c r="I3133" s="1684"/>
      <c r="J3133" s="1507"/>
      <c r="K3133" s="1620" t="s">
        <v>610</v>
      </c>
      <c r="L3133" s="1660">
        <v>5090600</v>
      </c>
      <c r="N3133" s="1660">
        <f t="shared" si="48"/>
        <v>0</v>
      </c>
    </row>
    <row r="3134" spans="2:14">
      <c r="B3134" s="92"/>
      <c r="C3134" s="92"/>
      <c r="D3134" s="61"/>
      <c r="E3134" s="74"/>
      <c r="F3134" s="164"/>
      <c r="H3134" s="92"/>
      <c r="I3134" s="92"/>
      <c r="J3134" s="61"/>
      <c r="K3134" s="74"/>
      <c r="L3134" s="164"/>
      <c r="N3134" s="164">
        <f t="shared" si="48"/>
        <v>0</v>
      </c>
    </row>
    <row r="3135" spans="2:14">
      <c r="B3135" s="1684" t="s">
        <v>144</v>
      </c>
      <c r="C3135" s="1897" t="s">
        <v>146</v>
      </c>
      <c r="D3135" s="1507" t="s">
        <v>611</v>
      </c>
      <c r="E3135" s="1620"/>
      <c r="F3135" s="1759"/>
      <c r="H3135" s="1684" t="s">
        <v>144</v>
      </c>
      <c r="I3135" s="1897" t="s">
        <v>146</v>
      </c>
      <c r="J3135" s="1507" t="s">
        <v>611</v>
      </c>
      <c r="K3135" s="1620"/>
      <c r="L3135" s="1759"/>
      <c r="N3135" s="1759">
        <f t="shared" si="48"/>
        <v>0</v>
      </c>
    </row>
    <row r="3136" spans="2:14">
      <c r="B3136" s="1681"/>
      <c r="C3136" s="1681"/>
      <c r="D3136" s="1671">
        <v>2210100</v>
      </c>
      <c r="E3136" s="1680" t="s">
        <v>16</v>
      </c>
      <c r="F3136" s="1636">
        <v>29000</v>
      </c>
      <c r="H3136" s="1681"/>
      <c r="I3136" s="1681"/>
      <c r="J3136" s="1671">
        <v>2210100</v>
      </c>
      <c r="K3136" s="1680" t="s">
        <v>16</v>
      </c>
      <c r="L3136" s="1636">
        <v>29000</v>
      </c>
      <c r="N3136" s="1636">
        <f t="shared" si="48"/>
        <v>0</v>
      </c>
    </row>
    <row r="3137" spans="2:14">
      <c r="B3137" s="92"/>
      <c r="C3137" s="92"/>
      <c r="D3137" s="61">
        <v>2210101</v>
      </c>
      <c r="E3137" s="74" t="s">
        <v>17</v>
      </c>
      <c r="F3137" s="164">
        <v>29000</v>
      </c>
      <c r="H3137" s="92"/>
      <c r="I3137" s="92"/>
      <c r="J3137" s="61">
        <v>2210101</v>
      </c>
      <c r="K3137" s="74" t="s">
        <v>17</v>
      </c>
      <c r="L3137" s="164">
        <v>29000</v>
      </c>
      <c r="N3137" s="164">
        <f t="shared" si="48"/>
        <v>0</v>
      </c>
    </row>
    <row r="3138" spans="2:14">
      <c r="B3138" s="26"/>
      <c r="C3138" s="1681"/>
      <c r="D3138" s="1671">
        <v>2210200</v>
      </c>
      <c r="E3138" s="1680" t="s">
        <v>20</v>
      </c>
      <c r="F3138" s="1636">
        <v>17400</v>
      </c>
      <c r="H3138" s="26"/>
      <c r="I3138" s="1681"/>
      <c r="J3138" s="1671">
        <v>2210200</v>
      </c>
      <c r="K3138" s="1680" t="s">
        <v>20</v>
      </c>
      <c r="L3138" s="1636">
        <v>17400</v>
      </c>
      <c r="N3138" s="1636">
        <f t="shared" si="48"/>
        <v>0</v>
      </c>
    </row>
    <row r="3139" spans="2:14">
      <c r="B3139" s="92"/>
      <c r="C3139" s="92"/>
      <c r="D3139" s="61">
        <v>2210201</v>
      </c>
      <c r="E3139" s="74" t="s">
        <v>187</v>
      </c>
      <c r="F3139" s="164">
        <v>17400</v>
      </c>
      <c r="H3139" s="92"/>
      <c r="I3139" s="92"/>
      <c r="J3139" s="61">
        <v>2210201</v>
      </c>
      <c r="K3139" s="74" t="s">
        <v>187</v>
      </c>
      <c r="L3139" s="164">
        <v>17400</v>
      </c>
      <c r="N3139" s="164">
        <f t="shared" si="48"/>
        <v>0</v>
      </c>
    </row>
    <row r="3140" spans="2:14">
      <c r="B3140" s="1681"/>
      <c r="C3140" s="1681"/>
      <c r="D3140" s="1671">
        <v>2210300</v>
      </c>
      <c r="E3140" s="1680" t="s">
        <v>24</v>
      </c>
      <c r="F3140" s="1636">
        <v>174000</v>
      </c>
      <c r="H3140" s="1681"/>
      <c r="I3140" s="1681"/>
      <c r="J3140" s="1671">
        <v>2210300</v>
      </c>
      <c r="K3140" s="1680" t="s">
        <v>24</v>
      </c>
      <c r="L3140" s="1636">
        <v>174000</v>
      </c>
      <c r="N3140" s="1636">
        <f t="shared" si="48"/>
        <v>0</v>
      </c>
    </row>
    <row r="3141" spans="2:14">
      <c r="B3141" s="92"/>
      <c r="C3141" s="92"/>
      <c r="D3141" s="61">
        <v>2210302</v>
      </c>
      <c r="E3141" s="74" t="s">
        <v>26</v>
      </c>
      <c r="F3141" s="164">
        <v>87000</v>
      </c>
      <c r="H3141" s="92"/>
      <c r="I3141" s="92"/>
      <c r="J3141" s="61">
        <v>2210302</v>
      </c>
      <c r="K3141" s="74" t="s">
        <v>26</v>
      </c>
      <c r="L3141" s="164">
        <v>87000</v>
      </c>
      <c r="N3141" s="164">
        <f t="shared" si="48"/>
        <v>0</v>
      </c>
    </row>
    <row r="3142" spans="2:14">
      <c r="B3142" s="92"/>
      <c r="C3142" s="92"/>
      <c r="D3142" s="61">
        <v>2210303</v>
      </c>
      <c r="E3142" s="74" t="s">
        <v>223</v>
      </c>
      <c r="F3142" s="164">
        <v>87000</v>
      </c>
      <c r="H3142" s="92"/>
      <c r="I3142" s="92"/>
      <c r="J3142" s="61">
        <v>2210303</v>
      </c>
      <c r="K3142" s="74" t="s">
        <v>223</v>
      </c>
      <c r="L3142" s="164">
        <v>87000</v>
      </c>
      <c r="N3142" s="164">
        <f t="shared" si="48"/>
        <v>0</v>
      </c>
    </row>
    <row r="3143" spans="2:14">
      <c r="B3143" s="1681"/>
      <c r="C3143" s="1681"/>
      <c r="D3143" s="1671">
        <v>2210500</v>
      </c>
      <c r="E3143" s="1680" t="s">
        <v>31</v>
      </c>
      <c r="F3143" s="1636">
        <v>29000</v>
      </c>
      <c r="H3143" s="1681"/>
      <c r="I3143" s="1681"/>
      <c r="J3143" s="1671">
        <v>2210500</v>
      </c>
      <c r="K3143" s="1680" t="s">
        <v>31</v>
      </c>
      <c r="L3143" s="1636">
        <v>29000</v>
      </c>
      <c r="N3143" s="1636">
        <f t="shared" si="48"/>
        <v>0</v>
      </c>
    </row>
    <row r="3144" spans="2:14">
      <c r="B3144" s="92"/>
      <c r="C3144" s="92"/>
      <c r="D3144" s="61">
        <v>2210503</v>
      </c>
      <c r="E3144" s="74" t="s">
        <v>32</v>
      </c>
      <c r="F3144" s="164">
        <v>29000</v>
      </c>
      <c r="H3144" s="92"/>
      <c r="I3144" s="92"/>
      <c r="J3144" s="61">
        <v>2210503</v>
      </c>
      <c r="K3144" s="74" t="s">
        <v>32</v>
      </c>
      <c r="L3144" s="164">
        <v>29000</v>
      </c>
      <c r="N3144" s="164">
        <f t="shared" ref="N3144:N3207" si="49">F3144-L3144</f>
        <v>0</v>
      </c>
    </row>
    <row r="3145" spans="2:14">
      <c r="B3145" s="1681"/>
      <c r="C3145" s="1681"/>
      <c r="D3145" s="1671">
        <v>2210800</v>
      </c>
      <c r="E3145" s="1680" t="s">
        <v>42</v>
      </c>
      <c r="F3145" s="1636">
        <v>162400</v>
      </c>
      <c r="H3145" s="1681"/>
      <c r="I3145" s="1681"/>
      <c r="J3145" s="1671">
        <v>2210800</v>
      </c>
      <c r="K3145" s="1680" t="s">
        <v>42</v>
      </c>
      <c r="L3145" s="1636">
        <v>162400</v>
      </c>
      <c r="N3145" s="1636">
        <f t="shared" si="49"/>
        <v>0</v>
      </c>
    </row>
    <row r="3146" spans="2:14">
      <c r="B3146" s="92"/>
      <c r="C3146" s="92"/>
      <c r="D3146" s="61">
        <v>2210801</v>
      </c>
      <c r="E3146" s="74" t="s">
        <v>195</v>
      </c>
      <c r="F3146" s="164">
        <v>87000</v>
      </c>
      <c r="H3146" s="92"/>
      <c r="I3146" s="92"/>
      <c r="J3146" s="61">
        <v>2210801</v>
      </c>
      <c r="K3146" s="74" t="s">
        <v>195</v>
      </c>
      <c r="L3146" s="164">
        <v>87000</v>
      </c>
      <c r="N3146" s="164">
        <f t="shared" si="49"/>
        <v>0</v>
      </c>
    </row>
    <row r="3147" spans="2:14">
      <c r="B3147" s="92"/>
      <c r="C3147" s="92"/>
      <c r="D3147" s="61">
        <v>2210802</v>
      </c>
      <c r="E3147" s="74" t="s">
        <v>97</v>
      </c>
      <c r="F3147" s="164">
        <v>75400</v>
      </c>
      <c r="H3147" s="92"/>
      <c r="I3147" s="92"/>
      <c r="J3147" s="61">
        <v>2210802</v>
      </c>
      <c r="K3147" s="74" t="s">
        <v>97</v>
      </c>
      <c r="L3147" s="164">
        <v>75400</v>
      </c>
      <c r="N3147" s="164">
        <f t="shared" si="49"/>
        <v>0</v>
      </c>
    </row>
    <row r="3148" spans="2:14">
      <c r="B3148" s="1681"/>
      <c r="C3148" s="1681"/>
      <c r="D3148" s="1671">
        <v>2640400</v>
      </c>
      <c r="E3148" s="1680" t="s">
        <v>422</v>
      </c>
      <c r="F3148" s="1636">
        <v>1728980</v>
      </c>
      <c r="H3148" s="1681"/>
      <c r="I3148" s="1681"/>
      <c r="J3148" s="1671">
        <v>2640400</v>
      </c>
      <c r="K3148" s="1680" t="s">
        <v>422</v>
      </c>
      <c r="L3148" s="1636">
        <v>1728980</v>
      </c>
      <c r="N3148" s="1636">
        <f t="shared" si="49"/>
        <v>0</v>
      </c>
    </row>
    <row r="3149" spans="2:14" ht="30">
      <c r="B3149" s="92"/>
      <c r="C3149" s="92"/>
      <c r="D3149" s="61">
        <v>2640402</v>
      </c>
      <c r="E3149" s="74" t="s">
        <v>612</v>
      </c>
      <c r="F3149" s="164">
        <v>1728980</v>
      </c>
      <c r="H3149" s="92"/>
      <c r="I3149" s="92"/>
      <c r="J3149" s="61">
        <v>2640402</v>
      </c>
      <c r="K3149" s="74" t="s">
        <v>612</v>
      </c>
      <c r="L3149" s="164">
        <v>1728980</v>
      </c>
      <c r="N3149" s="164">
        <f t="shared" si="49"/>
        <v>0</v>
      </c>
    </row>
    <row r="3150" spans="2:14">
      <c r="B3150" s="1684"/>
      <c r="C3150" s="1684"/>
      <c r="D3150" s="1507"/>
      <c r="E3150" s="1620" t="s">
        <v>99</v>
      </c>
      <c r="F3150" s="1660">
        <v>2140780</v>
      </c>
      <c r="H3150" s="1684"/>
      <c r="I3150" s="1684"/>
      <c r="J3150" s="1507"/>
      <c r="K3150" s="1620" t="s">
        <v>99</v>
      </c>
      <c r="L3150" s="1660">
        <v>2140780</v>
      </c>
      <c r="N3150" s="1660">
        <f t="shared" si="49"/>
        <v>0</v>
      </c>
    </row>
    <row r="3151" spans="2:14">
      <c r="B3151" s="92"/>
      <c r="C3151" s="92"/>
      <c r="D3151" s="61"/>
      <c r="E3151" s="74"/>
      <c r="F3151" s="164"/>
      <c r="H3151" s="92"/>
      <c r="I3151" s="92"/>
      <c r="J3151" s="61"/>
      <c r="K3151" s="74"/>
      <c r="L3151" s="164"/>
      <c r="N3151" s="164">
        <f t="shared" si="49"/>
        <v>0</v>
      </c>
    </row>
    <row r="3152" spans="2:14">
      <c r="B3152" s="1681"/>
      <c r="C3152" s="1681"/>
      <c r="D3152" s="1671"/>
      <c r="E3152" s="1620" t="s">
        <v>613</v>
      </c>
      <c r="F3152" s="1660">
        <v>2140780</v>
      </c>
      <c r="H3152" s="1681"/>
      <c r="I3152" s="1681"/>
      <c r="J3152" s="1671"/>
      <c r="K3152" s="1620" t="s">
        <v>613</v>
      </c>
      <c r="L3152" s="1660">
        <v>2140780</v>
      </c>
      <c r="N3152" s="1660">
        <f t="shared" si="49"/>
        <v>0</v>
      </c>
    </row>
    <row r="3153" spans="2:14">
      <c r="B3153" s="1681"/>
      <c r="C3153" s="1681"/>
      <c r="D3153" s="1671"/>
      <c r="E3153" s="1620" t="s">
        <v>614</v>
      </c>
      <c r="F3153" s="1660">
        <v>46454197.600000001</v>
      </c>
      <c r="H3153" s="1681"/>
      <c r="I3153" s="1681"/>
      <c r="J3153" s="1671"/>
      <c r="K3153" s="1620" t="s">
        <v>614</v>
      </c>
      <c r="L3153" s="1660">
        <v>46454197.600000001</v>
      </c>
      <c r="N3153" s="1660">
        <f t="shared" si="49"/>
        <v>0</v>
      </c>
    </row>
    <row r="3154" spans="2:14">
      <c r="B3154" s="1897"/>
      <c r="C3154" s="1684"/>
      <c r="D3154" s="1507"/>
      <c r="E3154" s="1620" t="s">
        <v>406</v>
      </c>
      <c r="F3154" s="1660">
        <v>142730923.74000001</v>
      </c>
      <c r="H3154" s="1897"/>
      <c r="I3154" s="1684"/>
      <c r="J3154" s="1507"/>
      <c r="K3154" s="1620" t="s">
        <v>406</v>
      </c>
      <c r="L3154" s="1660">
        <v>142730923.74000001</v>
      </c>
      <c r="N3154" s="1660">
        <f t="shared" si="49"/>
        <v>0</v>
      </c>
    </row>
    <row r="3155" spans="2:14">
      <c r="B3155" s="1897"/>
      <c r="C3155" s="1684"/>
      <c r="D3155" s="1507"/>
      <c r="E3155" s="1620" t="s">
        <v>175</v>
      </c>
      <c r="F3155" s="1660">
        <v>53560406</v>
      </c>
      <c r="H3155" s="1897"/>
      <c r="I3155" s="1684"/>
      <c r="J3155" s="1507"/>
      <c r="K3155" s="1620" t="s">
        <v>175</v>
      </c>
      <c r="L3155" s="1660">
        <v>53560406</v>
      </c>
      <c r="N3155" s="1660">
        <f t="shared" si="49"/>
        <v>0</v>
      </c>
    </row>
    <row r="3156" spans="2:14">
      <c r="B3156" s="1897"/>
      <c r="C3156" s="1684"/>
      <c r="D3156" s="1755" t="s">
        <v>1273</v>
      </c>
      <c r="E3156" s="1756"/>
      <c r="F3156" s="1660">
        <v>196291329.74000001</v>
      </c>
      <c r="H3156" s="1897"/>
      <c r="I3156" s="1684"/>
      <c r="J3156" s="1755" t="s">
        <v>1273</v>
      </c>
      <c r="K3156" s="1756"/>
      <c r="L3156" s="1660">
        <v>196291329.74000001</v>
      </c>
      <c r="N3156" s="1660">
        <f t="shared" si="49"/>
        <v>0</v>
      </c>
    </row>
    <row r="3157" spans="2:14">
      <c r="B3157" s="89"/>
      <c r="C3157" s="89"/>
      <c r="D3157" s="61"/>
      <c r="E3157" s="74"/>
      <c r="F3157" s="174"/>
      <c r="H3157" s="89"/>
      <c r="I3157" s="89"/>
      <c r="J3157" s="61"/>
      <c r="K3157" s="74"/>
      <c r="L3157" s="174"/>
      <c r="N3157" s="174">
        <f t="shared" si="49"/>
        <v>0</v>
      </c>
    </row>
    <row r="3158" spans="2:14">
      <c r="B3158" s="89"/>
      <c r="C3158" s="89"/>
      <c r="D3158" s="61"/>
      <c r="E3158" s="74"/>
      <c r="F3158" s="174"/>
      <c r="H3158" s="89"/>
      <c r="I3158" s="89"/>
      <c r="J3158" s="61"/>
      <c r="K3158" s="74"/>
      <c r="L3158" s="174"/>
      <c r="N3158" s="174">
        <f t="shared" si="49"/>
        <v>0</v>
      </c>
    </row>
    <row r="3159" spans="2:14">
      <c r="B3159" s="46"/>
      <c r="C3159" s="46"/>
      <c r="D3159" s="1507" t="s">
        <v>1257</v>
      </c>
      <c r="E3159" s="1620"/>
      <c r="F3159" s="1660"/>
      <c r="H3159" s="46"/>
      <c r="I3159" s="46"/>
      <c r="J3159" s="1507" t="s">
        <v>1257</v>
      </c>
      <c r="K3159" s="1620"/>
      <c r="L3159" s="1660"/>
      <c r="N3159" s="1660">
        <f t="shared" si="49"/>
        <v>0</v>
      </c>
    </row>
    <row r="3160" spans="2:14">
      <c r="B3160" s="46"/>
      <c r="C3160" s="46"/>
      <c r="D3160" s="1671" t="s">
        <v>615</v>
      </c>
      <c r="E3160" s="1680"/>
      <c r="F3160" s="1636"/>
      <c r="H3160" s="46"/>
      <c r="I3160" s="46"/>
      <c r="J3160" s="1671" t="s">
        <v>615</v>
      </c>
      <c r="K3160" s="1680"/>
      <c r="L3160" s="1636"/>
      <c r="N3160" s="1636">
        <f t="shared" si="49"/>
        <v>0</v>
      </c>
    </row>
    <row r="3161" spans="2:14">
      <c r="B3161" s="46"/>
      <c r="C3161" s="46"/>
      <c r="D3161" s="1671" t="s">
        <v>616</v>
      </c>
      <c r="E3161" s="1680"/>
      <c r="F3161" s="1636"/>
      <c r="H3161" s="46"/>
      <c r="I3161" s="46"/>
      <c r="J3161" s="1671" t="s">
        <v>616</v>
      </c>
      <c r="K3161" s="1680"/>
      <c r="L3161" s="1636"/>
      <c r="N3161" s="1636">
        <f t="shared" si="49"/>
        <v>0</v>
      </c>
    </row>
    <row r="3162" spans="2:14">
      <c r="B3162" s="46"/>
      <c r="C3162" s="46"/>
      <c r="D3162" s="1545">
        <v>2110100</v>
      </c>
      <c r="E3162" s="1546" t="s">
        <v>13</v>
      </c>
      <c r="F3162" s="1603">
        <v>221180851</v>
      </c>
      <c r="H3162" s="46"/>
      <c r="I3162" s="46"/>
      <c r="J3162" s="1545">
        <v>2110100</v>
      </c>
      <c r="K3162" s="1546" t="s">
        <v>13</v>
      </c>
      <c r="L3162" s="1603">
        <v>221180851</v>
      </c>
      <c r="N3162" s="1603">
        <f t="shared" si="49"/>
        <v>0</v>
      </c>
    </row>
    <row r="3163" spans="2:14">
      <c r="B3163" s="46"/>
      <c r="C3163" s="46"/>
      <c r="D3163" s="80">
        <v>2110101</v>
      </c>
      <c r="E3163" s="158" t="s">
        <v>14</v>
      </c>
      <c r="F3163" s="169">
        <v>221180851</v>
      </c>
      <c r="H3163" s="46"/>
      <c r="I3163" s="46"/>
      <c r="J3163" s="80">
        <v>2110101</v>
      </c>
      <c r="K3163" s="158" t="s">
        <v>14</v>
      </c>
      <c r="L3163" s="169">
        <v>221180851</v>
      </c>
      <c r="N3163" s="169">
        <f t="shared" si="49"/>
        <v>0</v>
      </c>
    </row>
    <row r="3164" spans="2:14">
      <c r="B3164" s="46"/>
      <c r="C3164" s="46"/>
      <c r="D3164" s="1545">
        <v>2120100</v>
      </c>
      <c r="E3164" s="1546" t="s">
        <v>184</v>
      </c>
      <c r="F3164" s="1603">
        <v>124089.5</v>
      </c>
      <c r="H3164" s="46"/>
      <c r="I3164" s="46"/>
      <c r="J3164" s="1545">
        <v>2120100</v>
      </c>
      <c r="K3164" s="1546" t="s">
        <v>184</v>
      </c>
      <c r="L3164" s="1603">
        <v>124089.5</v>
      </c>
      <c r="N3164" s="1603">
        <f t="shared" si="49"/>
        <v>0</v>
      </c>
    </row>
    <row r="3165" spans="2:14" ht="30">
      <c r="B3165" s="46"/>
      <c r="C3165" s="46"/>
      <c r="D3165" s="80">
        <v>2120103</v>
      </c>
      <c r="E3165" s="158" t="s">
        <v>617</v>
      </c>
      <c r="F3165" s="169">
        <v>124089.5</v>
      </c>
      <c r="H3165" s="46"/>
      <c r="I3165" s="46"/>
      <c r="J3165" s="80">
        <v>2120103</v>
      </c>
      <c r="K3165" s="158" t="s">
        <v>617</v>
      </c>
      <c r="L3165" s="169">
        <v>124089.5</v>
      </c>
      <c r="N3165" s="169">
        <f t="shared" si="49"/>
        <v>0</v>
      </c>
    </row>
    <row r="3166" spans="2:14">
      <c r="B3166" s="46"/>
      <c r="C3166" s="46"/>
      <c r="D3166" s="1545">
        <v>2210100</v>
      </c>
      <c r="E3166" s="1546" t="s">
        <v>16</v>
      </c>
      <c r="F3166" s="1603">
        <v>249400</v>
      </c>
      <c r="H3166" s="46"/>
      <c r="I3166" s="46"/>
      <c r="J3166" s="1545">
        <v>2210100</v>
      </c>
      <c r="K3166" s="1546" t="s">
        <v>16</v>
      </c>
      <c r="L3166" s="1603">
        <v>249400</v>
      </c>
      <c r="N3166" s="1603">
        <f t="shared" si="49"/>
        <v>0</v>
      </c>
    </row>
    <row r="3167" spans="2:14">
      <c r="B3167" s="46"/>
      <c r="C3167" s="46"/>
      <c r="D3167" s="80">
        <v>2210101</v>
      </c>
      <c r="E3167" s="158" t="s">
        <v>17</v>
      </c>
      <c r="F3167" s="169">
        <v>145000</v>
      </c>
      <c r="H3167" s="46"/>
      <c r="I3167" s="46"/>
      <c r="J3167" s="80">
        <v>2210101</v>
      </c>
      <c r="K3167" s="158" t="s">
        <v>17</v>
      </c>
      <c r="L3167" s="169">
        <v>145000</v>
      </c>
      <c r="N3167" s="169">
        <f t="shared" si="49"/>
        <v>0</v>
      </c>
    </row>
    <row r="3168" spans="2:14">
      <c r="B3168" s="46"/>
      <c r="C3168" s="46"/>
      <c r="D3168" s="80">
        <v>2210102</v>
      </c>
      <c r="E3168" s="158" t="s">
        <v>18</v>
      </c>
      <c r="F3168" s="169">
        <v>104400</v>
      </c>
      <c r="H3168" s="46"/>
      <c r="I3168" s="46"/>
      <c r="J3168" s="80">
        <v>2210102</v>
      </c>
      <c r="K3168" s="158" t="s">
        <v>18</v>
      </c>
      <c r="L3168" s="169">
        <v>104400</v>
      </c>
      <c r="N3168" s="169">
        <f t="shared" si="49"/>
        <v>0</v>
      </c>
    </row>
    <row r="3169" spans="2:14">
      <c r="B3169" s="46"/>
      <c r="C3169" s="46"/>
      <c r="D3169" s="1545">
        <v>2210200</v>
      </c>
      <c r="E3169" s="1546" t="s">
        <v>20</v>
      </c>
      <c r="F3169" s="1603">
        <v>1000500</v>
      </c>
      <c r="H3169" s="46"/>
      <c r="I3169" s="46"/>
      <c r="J3169" s="1545">
        <v>2210200</v>
      </c>
      <c r="K3169" s="1546" t="s">
        <v>20</v>
      </c>
      <c r="L3169" s="1603">
        <v>1000500</v>
      </c>
      <c r="N3169" s="1603">
        <f t="shared" si="49"/>
        <v>0</v>
      </c>
    </row>
    <row r="3170" spans="2:14">
      <c r="B3170" s="46"/>
      <c r="C3170" s="46"/>
      <c r="D3170" s="80">
        <v>2210201</v>
      </c>
      <c r="E3170" s="158" t="s">
        <v>21</v>
      </c>
      <c r="F3170" s="169">
        <v>522000</v>
      </c>
      <c r="H3170" s="46"/>
      <c r="I3170" s="46"/>
      <c r="J3170" s="80">
        <v>2210201</v>
      </c>
      <c r="K3170" s="158" t="s">
        <v>21</v>
      </c>
      <c r="L3170" s="169">
        <v>522000</v>
      </c>
      <c r="N3170" s="169">
        <f t="shared" si="49"/>
        <v>0</v>
      </c>
    </row>
    <row r="3171" spans="2:14">
      <c r="B3171" s="46"/>
      <c r="C3171" s="46"/>
      <c r="D3171" s="80">
        <v>2210202</v>
      </c>
      <c r="E3171" s="158" t="s">
        <v>1509</v>
      </c>
      <c r="F3171" s="169">
        <v>464000</v>
      </c>
      <c r="H3171" s="46"/>
      <c r="I3171" s="46"/>
      <c r="J3171" s="80">
        <v>2210202</v>
      </c>
      <c r="K3171" s="158" t="s">
        <v>1509</v>
      </c>
      <c r="L3171" s="169">
        <v>464000</v>
      </c>
      <c r="N3171" s="169">
        <f t="shared" si="49"/>
        <v>0</v>
      </c>
    </row>
    <row r="3172" spans="2:14">
      <c r="B3172" s="46"/>
      <c r="C3172" s="46"/>
      <c r="D3172" s="80">
        <v>2210203</v>
      </c>
      <c r="E3172" s="158" t="s">
        <v>23</v>
      </c>
      <c r="F3172" s="169">
        <v>14500</v>
      </c>
      <c r="H3172" s="46"/>
      <c r="I3172" s="46"/>
      <c r="J3172" s="80">
        <v>2210203</v>
      </c>
      <c r="K3172" s="158" t="s">
        <v>23</v>
      </c>
      <c r="L3172" s="169">
        <v>14500</v>
      </c>
      <c r="N3172" s="169">
        <f t="shared" si="49"/>
        <v>0</v>
      </c>
    </row>
    <row r="3173" spans="2:14">
      <c r="B3173" s="46"/>
      <c r="C3173" s="46"/>
      <c r="D3173" s="1545">
        <v>2210300</v>
      </c>
      <c r="E3173" s="1546" t="s">
        <v>24</v>
      </c>
      <c r="F3173" s="1603">
        <v>1358688.5054000001</v>
      </c>
      <c r="H3173" s="46"/>
      <c r="I3173" s="46"/>
      <c r="J3173" s="1545">
        <v>2210300</v>
      </c>
      <c r="K3173" s="1546" t="s">
        <v>24</v>
      </c>
      <c r="L3173" s="1603">
        <v>5358688.5054000001</v>
      </c>
      <c r="N3173" s="1603">
        <f t="shared" si="49"/>
        <v>-4000000</v>
      </c>
    </row>
    <row r="3174" spans="2:14">
      <c r="B3174" s="46"/>
      <c r="C3174" s="46"/>
      <c r="D3174" s="80">
        <v>2210301</v>
      </c>
      <c r="E3174" s="158" t="s">
        <v>25</v>
      </c>
      <c r="F3174" s="169">
        <v>130500</v>
      </c>
      <c r="H3174" s="46"/>
      <c r="I3174" s="46"/>
      <c r="J3174" s="80">
        <v>2210301</v>
      </c>
      <c r="K3174" s="158" t="s">
        <v>25</v>
      </c>
      <c r="L3174" s="169">
        <v>2130500</v>
      </c>
      <c r="N3174" s="169">
        <f t="shared" si="49"/>
        <v>-2000000</v>
      </c>
    </row>
    <row r="3175" spans="2:14">
      <c r="B3175" s="46"/>
      <c r="C3175" s="46"/>
      <c r="D3175" s="80">
        <v>2210302</v>
      </c>
      <c r="E3175" s="158" t="s">
        <v>1668</v>
      </c>
      <c r="F3175" s="169">
        <v>500000</v>
      </c>
      <c r="H3175" s="46"/>
      <c r="I3175" s="46"/>
      <c r="J3175" s="80">
        <v>2210302</v>
      </c>
      <c r="K3175" s="158" t="s">
        <v>1668</v>
      </c>
      <c r="L3175" s="169">
        <v>1000000</v>
      </c>
      <c r="N3175" s="169">
        <f t="shared" si="49"/>
        <v>-500000</v>
      </c>
    </row>
    <row r="3176" spans="2:14">
      <c r="B3176" s="46"/>
      <c r="C3176" s="46"/>
      <c r="D3176" s="80">
        <v>2210303</v>
      </c>
      <c r="E3176" s="158" t="s">
        <v>27</v>
      </c>
      <c r="F3176" s="169">
        <v>554499.50540000014</v>
      </c>
      <c r="H3176" s="46"/>
      <c r="I3176" s="46"/>
      <c r="J3176" s="80">
        <v>2210303</v>
      </c>
      <c r="K3176" s="158" t="s">
        <v>27</v>
      </c>
      <c r="L3176" s="169">
        <v>2054499.5054000001</v>
      </c>
      <c r="N3176" s="169">
        <f t="shared" si="49"/>
        <v>-1500000</v>
      </c>
    </row>
    <row r="3177" spans="2:14">
      <c r="B3177" s="46"/>
      <c r="C3177" s="46"/>
      <c r="D3177" s="80">
        <v>2210304</v>
      </c>
      <c r="E3177" s="158" t="s">
        <v>28</v>
      </c>
      <c r="F3177" s="169">
        <v>173689</v>
      </c>
      <c r="H3177" s="46"/>
      <c r="I3177" s="46"/>
      <c r="J3177" s="80">
        <v>2210304</v>
      </c>
      <c r="K3177" s="158" t="s">
        <v>28</v>
      </c>
      <c r="L3177" s="169">
        <v>173689</v>
      </c>
      <c r="N3177" s="169">
        <f t="shared" si="49"/>
        <v>0</v>
      </c>
    </row>
    <row r="3178" spans="2:14">
      <c r="B3178" s="46"/>
      <c r="C3178" s="46"/>
      <c r="D3178" s="1545">
        <v>2210400</v>
      </c>
      <c r="E3178" s="1546" t="s">
        <v>484</v>
      </c>
      <c r="F3178" s="1603">
        <v>500000</v>
      </c>
      <c r="H3178" s="46"/>
      <c r="I3178" s="46"/>
      <c r="J3178" s="1545">
        <v>2210400</v>
      </c>
      <c r="K3178" s="1546" t="s">
        <v>484</v>
      </c>
      <c r="L3178" s="1603">
        <v>2247000</v>
      </c>
      <c r="N3178" s="1603">
        <f t="shared" si="49"/>
        <v>-1747000</v>
      </c>
    </row>
    <row r="3179" spans="2:14">
      <c r="B3179" s="46"/>
      <c r="C3179" s="46"/>
      <c r="D3179" s="80">
        <v>2210401</v>
      </c>
      <c r="E3179" s="158" t="s">
        <v>25</v>
      </c>
      <c r="F3179" s="169">
        <v>500000</v>
      </c>
      <c r="H3179" s="46"/>
      <c r="I3179" s="46"/>
      <c r="J3179" s="80">
        <v>2210401</v>
      </c>
      <c r="K3179" s="158" t="s">
        <v>25</v>
      </c>
      <c r="L3179" s="169">
        <v>2247000</v>
      </c>
      <c r="N3179" s="169">
        <f t="shared" si="49"/>
        <v>-1747000</v>
      </c>
    </row>
    <row r="3180" spans="2:14">
      <c r="B3180" s="46"/>
      <c r="C3180" s="46"/>
      <c r="D3180" s="1545">
        <v>2210500</v>
      </c>
      <c r="E3180" s="1546" t="s">
        <v>31</v>
      </c>
      <c r="F3180" s="1603">
        <v>1385800</v>
      </c>
      <c r="H3180" s="46"/>
      <c r="I3180" s="46"/>
      <c r="J3180" s="1545">
        <v>2210500</v>
      </c>
      <c r="K3180" s="1546" t="s">
        <v>31</v>
      </c>
      <c r="L3180" s="1603">
        <v>4085800</v>
      </c>
      <c r="N3180" s="1603">
        <f t="shared" si="49"/>
        <v>-2700000</v>
      </c>
    </row>
    <row r="3181" spans="2:14">
      <c r="B3181" s="46"/>
      <c r="C3181" s="46"/>
      <c r="D3181" s="80">
        <v>2210502</v>
      </c>
      <c r="E3181" s="158" t="s">
        <v>105</v>
      </c>
      <c r="F3181" s="169">
        <v>261000</v>
      </c>
      <c r="H3181" s="46"/>
      <c r="I3181" s="46"/>
      <c r="J3181" s="80">
        <v>2210502</v>
      </c>
      <c r="K3181" s="158" t="s">
        <v>105</v>
      </c>
      <c r="L3181" s="169">
        <v>1261000</v>
      </c>
      <c r="N3181" s="169">
        <f t="shared" si="49"/>
        <v>-1000000</v>
      </c>
    </row>
    <row r="3182" spans="2:14">
      <c r="B3182" s="46"/>
      <c r="C3182" s="46"/>
      <c r="D3182" s="80">
        <v>2210503</v>
      </c>
      <c r="E3182" s="158" t="s">
        <v>32</v>
      </c>
      <c r="F3182" s="169">
        <v>621800</v>
      </c>
      <c r="H3182" s="46"/>
      <c r="I3182" s="46"/>
      <c r="J3182" s="80">
        <v>2210503</v>
      </c>
      <c r="K3182" s="158" t="s">
        <v>32</v>
      </c>
      <c r="L3182" s="169">
        <v>1621800</v>
      </c>
      <c r="N3182" s="169">
        <f t="shared" si="49"/>
        <v>-1000000</v>
      </c>
    </row>
    <row r="3183" spans="2:14">
      <c r="B3183" s="46"/>
      <c r="C3183" s="46"/>
      <c r="D3183" s="80">
        <v>2210504</v>
      </c>
      <c r="E3183" s="1898" t="s">
        <v>33</v>
      </c>
      <c r="F3183" s="169">
        <v>503000</v>
      </c>
      <c r="H3183" s="46"/>
      <c r="I3183" s="46"/>
      <c r="J3183" s="80">
        <v>2210504</v>
      </c>
      <c r="K3183" s="1898" t="s">
        <v>33</v>
      </c>
      <c r="L3183" s="169">
        <v>1203000</v>
      </c>
      <c r="N3183" s="169">
        <f t="shared" si="49"/>
        <v>-700000</v>
      </c>
    </row>
    <row r="3184" spans="2:14">
      <c r="B3184" s="46"/>
      <c r="C3184" s="46"/>
      <c r="D3184" s="1545">
        <v>2210700</v>
      </c>
      <c r="E3184" s="1546" t="s">
        <v>35</v>
      </c>
      <c r="F3184" s="1603">
        <v>1143000</v>
      </c>
      <c r="H3184" s="46"/>
      <c r="I3184" s="46"/>
      <c r="J3184" s="1545">
        <v>2210700</v>
      </c>
      <c r="K3184" s="1546" t="s">
        <v>35</v>
      </c>
      <c r="L3184" s="1603">
        <v>2043000</v>
      </c>
      <c r="N3184" s="1603">
        <f t="shared" si="49"/>
        <v>-900000</v>
      </c>
    </row>
    <row r="3185" spans="2:14">
      <c r="B3185" s="46"/>
      <c r="C3185" s="46"/>
      <c r="D3185" s="80">
        <v>2210701</v>
      </c>
      <c r="E3185" s="158" t="s">
        <v>36</v>
      </c>
      <c r="F3185" s="169">
        <v>616000</v>
      </c>
      <c r="H3185" s="46"/>
      <c r="I3185" s="46"/>
      <c r="J3185" s="80">
        <v>2210701</v>
      </c>
      <c r="K3185" s="158" t="s">
        <v>36</v>
      </c>
      <c r="L3185" s="169">
        <v>1116000</v>
      </c>
      <c r="N3185" s="169">
        <f t="shared" si="49"/>
        <v>-500000</v>
      </c>
    </row>
    <row r="3186" spans="2:14">
      <c r="B3186" s="46"/>
      <c r="C3186" s="46"/>
      <c r="D3186" s="80">
        <v>2210703</v>
      </c>
      <c r="E3186" s="158" t="s">
        <v>107</v>
      </c>
      <c r="F3186" s="169">
        <v>145000</v>
      </c>
      <c r="H3186" s="46"/>
      <c r="I3186" s="46"/>
      <c r="J3186" s="80">
        <v>2210703</v>
      </c>
      <c r="K3186" s="158" t="s">
        <v>107</v>
      </c>
      <c r="L3186" s="169">
        <v>145000</v>
      </c>
      <c r="N3186" s="169">
        <f t="shared" si="49"/>
        <v>0</v>
      </c>
    </row>
    <row r="3187" spans="2:14">
      <c r="B3187" s="46"/>
      <c r="C3187" s="46"/>
      <c r="D3187" s="80">
        <v>2210704</v>
      </c>
      <c r="E3187" s="158" t="s">
        <v>38</v>
      </c>
      <c r="F3187" s="169">
        <v>116000</v>
      </c>
      <c r="H3187" s="46"/>
      <c r="I3187" s="46"/>
      <c r="J3187" s="80">
        <v>2210704</v>
      </c>
      <c r="K3187" s="158" t="s">
        <v>38</v>
      </c>
      <c r="L3187" s="169">
        <v>116000</v>
      </c>
      <c r="N3187" s="169">
        <f t="shared" si="49"/>
        <v>0</v>
      </c>
    </row>
    <row r="3188" spans="2:14">
      <c r="B3188" s="46"/>
      <c r="C3188" s="46"/>
      <c r="D3188" s="80">
        <v>2210710</v>
      </c>
      <c r="E3188" s="158" t="s">
        <v>39</v>
      </c>
      <c r="F3188" s="169">
        <v>116000</v>
      </c>
      <c r="H3188" s="46"/>
      <c r="I3188" s="46"/>
      <c r="J3188" s="80">
        <v>2210710</v>
      </c>
      <c r="K3188" s="158" t="s">
        <v>39</v>
      </c>
      <c r="L3188" s="169">
        <v>116000</v>
      </c>
      <c r="N3188" s="169">
        <f t="shared" si="49"/>
        <v>0</v>
      </c>
    </row>
    <row r="3189" spans="2:14">
      <c r="B3189" s="46"/>
      <c r="C3189" s="46"/>
      <c r="D3189" s="80">
        <v>2210715</v>
      </c>
      <c r="E3189" s="158" t="s">
        <v>40</v>
      </c>
      <c r="F3189" s="169">
        <v>150000</v>
      </c>
      <c r="H3189" s="46"/>
      <c r="I3189" s="46"/>
      <c r="J3189" s="80">
        <v>2210715</v>
      </c>
      <c r="K3189" s="158" t="s">
        <v>40</v>
      </c>
      <c r="L3189" s="169">
        <v>550000</v>
      </c>
      <c r="N3189" s="169">
        <f t="shared" si="49"/>
        <v>-400000</v>
      </c>
    </row>
    <row r="3190" spans="2:14">
      <c r="B3190" s="46"/>
      <c r="C3190" s="46"/>
      <c r="D3190" s="1545">
        <v>2210800</v>
      </c>
      <c r="E3190" s="1546" t="s">
        <v>42</v>
      </c>
      <c r="F3190" s="1603">
        <v>1405000</v>
      </c>
      <c r="H3190" s="46"/>
      <c r="I3190" s="46"/>
      <c r="J3190" s="1545">
        <v>2210800</v>
      </c>
      <c r="K3190" s="1546" t="s">
        <v>42</v>
      </c>
      <c r="L3190" s="1603">
        <v>1405000</v>
      </c>
      <c r="N3190" s="1603">
        <f t="shared" si="49"/>
        <v>0</v>
      </c>
    </row>
    <row r="3191" spans="2:14">
      <c r="B3191" s="46"/>
      <c r="C3191" s="46"/>
      <c r="D3191" s="80">
        <v>2210801</v>
      </c>
      <c r="E3191" s="158" t="s">
        <v>43</v>
      </c>
      <c r="F3191" s="169">
        <v>187000</v>
      </c>
      <c r="H3191" s="46"/>
      <c r="I3191" s="46"/>
      <c r="J3191" s="80">
        <v>2210801</v>
      </c>
      <c r="K3191" s="158" t="s">
        <v>43</v>
      </c>
      <c r="L3191" s="169">
        <v>187000</v>
      </c>
      <c r="N3191" s="169">
        <f t="shared" si="49"/>
        <v>0</v>
      </c>
    </row>
    <row r="3192" spans="2:14" ht="30">
      <c r="B3192" s="46"/>
      <c r="C3192" s="46"/>
      <c r="D3192" s="80">
        <v>2210802</v>
      </c>
      <c r="E3192" s="158" t="s">
        <v>618</v>
      </c>
      <c r="F3192" s="169">
        <v>1218000</v>
      </c>
      <c r="H3192" s="46"/>
      <c r="I3192" s="46"/>
      <c r="J3192" s="80">
        <v>2210802</v>
      </c>
      <c r="K3192" s="158" t="s">
        <v>618</v>
      </c>
      <c r="L3192" s="169">
        <v>1218000</v>
      </c>
      <c r="N3192" s="169">
        <f t="shared" si="49"/>
        <v>0</v>
      </c>
    </row>
    <row r="3193" spans="2:14">
      <c r="B3193" s="46"/>
      <c r="C3193" s="46"/>
      <c r="D3193" s="1545">
        <v>2211100</v>
      </c>
      <c r="E3193" s="1546" t="s">
        <v>51</v>
      </c>
      <c r="F3193" s="1603">
        <v>1436400</v>
      </c>
      <c r="H3193" s="46"/>
      <c r="I3193" s="46"/>
      <c r="J3193" s="1545">
        <v>2211100</v>
      </c>
      <c r="K3193" s="1546" t="s">
        <v>51</v>
      </c>
      <c r="L3193" s="1603">
        <v>1436400</v>
      </c>
      <c r="N3193" s="1603">
        <f t="shared" si="49"/>
        <v>0</v>
      </c>
    </row>
    <row r="3194" spans="2:14">
      <c r="B3194" s="46"/>
      <c r="C3194" s="46"/>
      <c r="D3194" s="80">
        <v>2211101</v>
      </c>
      <c r="E3194" s="158" t="s">
        <v>52</v>
      </c>
      <c r="F3194" s="169">
        <v>1203000</v>
      </c>
      <c r="H3194" s="46"/>
      <c r="I3194" s="46"/>
      <c r="J3194" s="80">
        <v>2211101</v>
      </c>
      <c r="K3194" s="158" t="s">
        <v>52</v>
      </c>
      <c r="L3194" s="169">
        <v>1203000</v>
      </c>
      <c r="N3194" s="169">
        <f t="shared" si="49"/>
        <v>0</v>
      </c>
    </row>
    <row r="3195" spans="2:14">
      <c r="B3195" s="46"/>
      <c r="C3195" s="46"/>
      <c r="D3195" s="80">
        <v>2211102</v>
      </c>
      <c r="E3195" s="158" t="s">
        <v>53</v>
      </c>
      <c r="F3195" s="169">
        <v>187000</v>
      </c>
      <c r="H3195" s="46"/>
      <c r="I3195" s="46"/>
      <c r="J3195" s="80">
        <v>2211102</v>
      </c>
      <c r="K3195" s="158" t="s">
        <v>53</v>
      </c>
      <c r="L3195" s="169">
        <v>187000</v>
      </c>
      <c r="N3195" s="169">
        <f t="shared" si="49"/>
        <v>0</v>
      </c>
    </row>
    <row r="3196" spans="2:14">
      <c r="B3196" s="46"/>
      <c r="C3196" s="46"/>
      <c r="D3196" s="80">
        <v>2211103</v>
      </c>
      <c r="E3196" s="158" t="s">
        <v>54</v>
      </c>
      <c r="F3196" s="169">
        <v>46400</v>
      </c>
      <c r="H3196" s="46"/>
      <c r="I3196" s="46"/>
      <c r="J3196" s="80">
        <v>2211103</v>
      </c>
      <c r="K3196" s="158" t="s">
        <v>54</v>
      </c>
      <c r="L3196" s="169">
        <v>46400</v>
      </c>
      <c r="N3196" s="169">
        <f t="shared" si="49"/>
        <v>0</v>
      </c>
    </row>
    <row r="3197" spans="2:14">
      <c r="B3197" s="46"/>
      <c r="C3197" s="46"/>
      <c r="D3197" s="1545">
        <v>2211200</v>
      </c>
      <c r="E3197" s="1546" t="s">
        <v>55</v>
      </c>
      <c r="F3197" s="1603">
        <v>2160000</v>
      </c>
      <c r="H3197" s="46"/>
      <c r="I3197" s="46"/>
      <c r="J3197" s="1545">
        <v>2211200</v>
      </c>
      <c r="K3197" s="1546" t="s">
        <v>55</v>
      </c>
      <c r="L3197" s="1603">
        <v>3160000</v>
      </c>
      <c r="N3197" s="1603">
        <f t="shared" si="49"/>
        <v>-1000000</v>
      </c>
    </row>
    <row r="3198" spans="2:14">
      <c r="B3198" s="46"/>
      <c r="C3198" s="46"/>
      <c r="D3198" s="80">
        <v>2211201</v>
      </c>
      <c r="E3198" s="158" t="s">
        <v>56</v>
      </c>
      <c r="F3198" s="169">
        <v>2160000</v>
      </c>
      <c r="H3198" s="46"/>
      <c r="I3198" s="46"/>
      <c r="J3198" s="80">
        <v>2211201</v>
      </c>
      <c r="K3198" s="158" t="s">
        <v>56</v>
      </c>
      <c r="L3198" s="169">
        <v>3160000</v>
      </c>
      <c r="N3198" s="169">
        <f t="shared" si="49"/>
        <v>-1000000</v>
      </c>
    </row>
    <row r="3199" spans="2:14">
      <c r="B3199" s="46"/>
      <c r="C3199" s="46"/>
      <c r="D3199" s="1545">
        <v>2211300</v>
      </c>
      <c r="E3199" s="1546" t="s">
        <v>619</v>
      </c>
      <c r="F3199" s="1603">
        <v>63800</v>
      </c>
      <c r="H3199" s="46"/>
      <c r="I3199" s="46"/>
      <c r="J3199" s="1545">
        <v>2211300</v>
      </c>
      <c r="K3199" s="1546" t="s">
        <v>619</v>
      </c>
      <c r="L3199" s="1603">
        <v>63800</v>
      </c>
      <c r="N3199" s="1603">
        <f t="shared" si="49"/>
        <v>0</v>
      </c>
    </row>
    <row r="3200" spans="2:14">
      <c r="B3200" s="46"/>
      <c r="C3200" s="46"/>
      <c r="D3200" s="80">
        <v>2211301</v>
      </c>
      <c r="E3200" s="158" t="s">
        <v>198</v>
      </c>
      <c r="F3200" s="169">
        <v>63800</v>
      </c>
      <c r="H3200" s="46"/>
      <c r="I3200" s="46"/>
      <c r="J3200" s="80">
        <v>2211301</v>
      </c>
      <c r="K3200" s="158" t="s">
        <v>198</v>
      </c>
      <c r="L3200" s="169">
        <v>63800</v>
      </c>
      <c r="N3200" s="169">
        <f t="shared" si="49"/>
        <v>0</v>
      </c>
    </row>
    <row r="3201" spans="2:14">
      <c r="B3201" s="46"/>
      <c r="C3201" s="46"/>
      <c r="D3201" s="1545">
        <v>2220100</v>
      </c>
      <c r="E3201" s="1546" t="s">
        <v>62</v>
      </c>
      <c r="F3201" s="1603">
        <v>1225000</v>
      </c>
      <c r="H3201" s="46"/>
      <c r="I3201" s="46"/>
      <c r="J3201" s="1545">
        <v>2220100</v>
      </c>
      <c r="K3201" s="1546" t="s">
        <v>62</v>
      </c>
      <c r="L3201" s="1603">
        <v>1725000</v>
      </c>
      <c r="N3201" s="1603">
        <f t="shared" si="49"/>
        <v>-500000</v>
      </c>
    </row>
    <row r="3202" spans="2:14">
      <c r="B3202" s="46"/>
      <c r="C3202" s="46"/>
      <c r="D3202" s="80">
        <v>2220101</v>
      </c>
      <c r="E3202" s="158" t="s">
        <v>250</v>
      </c>
      <c r="F3202" s="169">
        <v>935000</v>
      </c>
      <c r="H3202" s="46"/>
      <c r="I3202" s="46"/>
      <c r="J3202" s="80">
        <v>2220101</v>
      </c>
      <c r="K3202" s="158" t="s">
        <v>250</v>
      </c>
      <c r="L3202" s="169">
        <v>1435000</v>
      </c>
      <c r="N3202" s="169">
        <f t="shared" si="49"/>
        <v>-500000</v>
      </c>
    </row>
    <row r="3203" spans="2:14">
      <c r="B3203" s="46"/>
      <c r="C3203" s="46"/>
      <c r="D3203" s="80">
        <v>2220105</v>
      </c>
      <c r="E3203" s="158" t="s">
        <v>64</v>
      </c>
      <c r="F3203" s="169">
        <v>290000</v>
      </c>
      <c r="H3203" s="46"/>
      <c r="I3203" s="46"/>
      <c r="J3203" s="80">
        <v>2220105</v>
      </c>
      <c r="K3203" s="158" t="s">
        <v>64</v>
      </c>
      <c r="L3203" s="169">
        <v>290000</v>
      </c>
      <c r="N3203" s="169">
        <f t="shared" si="49"/>
        <v>0</v>
      </c>
    </row>
    <row r="3204" spans="2:14">
      <c r="B3204" s="46"/>
      <c r="C3204" s="46"/>
      <c r="D3204" s="1545">
        <v>3110300</v>
      </c>
      <c r="E3204" s="1546" t="s">
        <v>251</v>
      </c>
      <c r="F3204" s="1603">
        <v>116000</v>
      </c>
      <c r="H3204" s="46"/>
      <c r="I3204" s="46"/>
      <c r="J3204" s="1545">
        <v>3110300</v>
      </c>
      <c r="K3204" s="1546" t="s">
        <v>251</v>
      </c>
      <c r="L3204" s="1603">
        <v>116000</v>
      </c>
      <c r="N3204" s="1603">
        <f t="shared" si="49"/>
        <v>0</v>
      </c>
    </row>
    <row r="3205" spans="2:14">
      <c r="B3205" s="46"/>
      <c r="C3205" s="46"/>
      <c r="D3205" s="80">
        <v>3110302</v>
      </c>
      <c r="E3205" s="158" t="s">
        <v>252</v>
      </c>
      <c r="F3205" s="169">
        <v>116000</v>
      </c>
      <c r="H3205" s="46"/>
      <c r="I3205" s="46"/>
      <c r="J3205" s="80">
        <v>3110302</v>
      </c>
      <c r="K3205" s="158" t="s">
        <v>252</v>
      </c>
      <c r="L3205" s="169">
        <v>116000</v>
      </c>
      <c r="N3205" s="169">
        <f t="shared" si="49"/>
        <v>0</v>
      </c>
    </row>
    <row r="3206" spans="2:14">
      <c r="B3206" s="27"/>
      <c r="C3206" s="27"/>
      <c r="D3206" s="1545">
        <v>3110700</v>
      </c>
      <c r="E3206" s="1546" t="s">
        <v>172</v>
      </c>
      <c r="F3206" s="1603">
        <v>0</v>
      </c>
      <c r="H3206" s="27"/>
      <c r="I3206" s="27"/>
      <c r="J3206" s="1545">
        <v>3110700</v>
      </c>
      <c r="K3206" s="1546" t="s">
        <v>172</v>
      </c>
      <c r="L3206" s="1603">
        <v>0</v>
      </c>
      <c r="N3206" s="1603">
        <f t="shared" si="49"/>
        <v>0</v>
      </c>
    </row>
    <row r="3207" spans="2:14">
      <c r="B3207" s="18"/>
      <c r="C3207" s="18"/>
      <c r="D3207" s="80">
        <v>3110701</v>
      </c>
      <c r="E3207" s="158" t="s">
        <v>140</v>
      </c>
      <c r="F3207" s="169">
        <v>0</v>
      </c>
      <c r="H3207" s="18"/>
      <c r="I3207" s="18"/>
      <c r="J3207" s="80">
        <v>3110701</v>
      </c>
      <c r="K3207" s="158" t="s">
        <v>140</v>
      </c>
      <c r="L3207" s="169">
        <v>0</v>
      </c>
      <c r="N3207" s="169">
        <f t="shared" si="49"/>
        <v>0</v>
      </c>
    </row>
    <row r="3208" spans="2:14">
      <c r="B3208" s="46"/>
      <c r="C3208" s="46"/>
      <c r="D3208" s="1545">
        <v>3111000</v>
      </c>
      <c r="E3208" s="1546" t="s">
        <v>69</v>
      </c>
      <c r="F3208" s="1603">
        <v>1748994.8045999999</v>
      </c>
      <c r="H3208" s="46"/>
      <c r="I3208" s="46"/>
      <c r="J3208" s="1545">
        <v>3111000</v>
      </c>
      <c r="K3208" s="1546" t="s">
        <v>69</v>
      </c>
      <c r="L3208" s="1603">
        <v>3497672.8100000024</v>
      </c>
      <c r="N3208" s="1603">
        <f t="shared" ref="N3208:N3271" si="50">F3208-L3208</f>
        <v>-1748678.0054000025</v>
      </c>
    </row>
    <row r="3209" spans="2:14">
      <c r="B3209" s="46"/>
      <c r="C3209" s="46"/>
      <c r="D3209" s="80">
        <v>3111001</v>
      </c>
      <c r="E3209" s="158" t="s">
        <v>70</v>
      </c>
      <c r="F3209" s="169">
        <v>1132994.8045999999</v>
      </c>
      <c r="H3209" s="46"/>
      <c r="I3209" s="46"/>
      <c r="J3209" s="80">
        <v>3111001</v>
      </c>
      <c r="K3209" s="158" t="s">
        <v>70</v>
      </c>
      <c r="L3209" s="169">
        <v>2132994.8046000004</v>
      </c>
      <c r="N3209" s="169">
        <f t="shared" si="50"/>
        <v>-1000000.0000000005</v>
      </c>
    </row>
    <row r="3210" spans="2:14">
      <c r="B3210" s="46"/>
      <c r="C3210" s="46"/>
      <c r="D3210" s="80">
        <v>3111002</v>
      </c>
      <c r="E3210" s="158" t="s">
        <v>71</v>
      </c>
      <c r="F3210" s="169">
        <v>500000</v>
      </c>
      <c r="H3210" s="46"/>
      <c r="I3210" s="46"/>
      <c r="J3210" s="80">
        <v>3111002</v>
      </c>
      <c r="K3210" s="158" t="s">
        <v>71</v>
      </c>
      <c r="L3210" s="169">
        <v>1248678.005400002</v>
      </c>
      <c r="N3210" s="169">
        <f t="shared" si="50"/>
        <v>-748678.005400002</v>
      </c>
    </row>
    <row r="3211" spans="2:14">
      <c r="B3211" s="46"/>
      <c r="C3211" s="46"/>
      <c r="D3211" s="80">
        <v>3111009</v>
      </c>
      <c r="E3211" s="158" t="s">
        <v>253</v>
      </c>
      <c r="F3211" s="169">
        <v>116000</v>
      </c>
      <c r="H3211" s="46"/>
      <c r="I3211" s="46"/>
      <c r="J3211" s="80">
        <v>3111009</v>
      </c>
      <c r="K3211" s="158" t="s">
        <v>253</v>
      </c>
      <c r="L3211" s="169">
        <v>116000</v>
      </c>
      <c r="N3211" s="169">
        <f t="shared" si="50"/>
        <v>0</v>
      </c>
    </row>
    <row r="3212" spans="2:14">
      <c r="B3212" s="27"/>
      <c r="C3212" s="27"/>
      <c r="D3212" s="1545">
        <v>4110400</v>
      </c>
      <c r="E3212" s="1546" t="s">
        <v>1245</v>
      </c>
      <c r="F3212" s="1603">
        <v>40000000</v>
      </c>
      <c r="H3212" s="27"/>
      <c r="I3212" s="27"/>
      <c r="J3212" s="1545">
        <v>4110400</v>
      </c>
      <c r="K3212" s="1546" t="s">
        <v>1245</v>
      </c>
      <c r="L3212" s="1603">
        <v>40000000</v>
      </c>
      <c r="N3212" s="1603">
        <f t="shared" si="50"/>
        <v>0</v>
      </c>
    </row>
    <row r="3213" spans="2:14" ht="30">
      <c r="B3213" s="46"/>
      <c r="C3213" s="46"/>
      <c r="D3213" s="80">
        <v>4110403</v>
      </c>
      <c r="E3213" s="158" t="s">
        <v>1855</v>
      </c>
      <c r="F3213" s="169">
        <v>40000000</v>
      </c>
      <c r="H3213" s="46"/>
      <c r="I3213" s="46"/>
      <c r="J3213" s="80">
        <v>4110403</v>
      </c>
      <c r="K3213" s="158" t="s">
        <v>1855</v>
      </c>
      <c r="L3213" s="169">
        <v>40000000</v>
      </c>
      <c r="N3213" s="169">
        <f t="shared" si="50"/>
        <v>0</v>
      </c>
    </row>
    <row r="3214" spans="2:14">
      <c r="B3214" s="46"/>
      <c r="C3214" s="46"/>
      <c r="D3214" s="1507"/>
      <c r="E3214" s="1620" t="s">
        <v>128</v>
      </c>
      <c r="F3214" s="1660">
        <v>275097523.81</v>
      </c>
      <c r="H3214" s="46"/>
      <c r="I3214" s="46"/>
      <c r="J3214" s="1507"/>
      <c r="K3214" s="1620" t="s">
        <v>128</v>
      </c>
      <c r="L3214" s="1660">
        <v>287693201.8154</v>
      </c>
      <c r="N3214" s="1660">
        <f t="shared" si="50"/>
        <v>-12595678.005400002</v>
      </c>
    </row>
    <row r="3215" spans="2:14">
      <c r="B3215" s="46"/>
      <c r="C3215" s="46"/>
      <c r="D3215" s="1507"/>
      <c r="E3215" s="1620"/>
      <c r="F3215" s="1660"/>
      <c r="H3215" s="46"/>
      <c r="I3215" s="46"/>
      <c r="J3215" s="1507"/>
      <c r="K3215" s="1620"/>
      <c r="L3215" s="1660"/>
      <c r="N3215" s="1660">
        <f t="shared" si="50"/>
        <v>0</v>
      </c>
    </row>
    <row r="3216" spans="2:14">
      <c r="B3216" s="46"/>
      <c r="C3216" s="46"/>
      <c r="D3216" s="1507"/>
      <c r="E3216" s="1546" t="s">
        <v>92</v>
      </c>
      <c r="F3216" s="1603"/>
      <c r="H3216" s="46"/>
      <c r="I3216" s="46"/>
      <c r="J3216" s="1507"/>
      <c r="K3216" s="1546" t="s">
        <v>92</v>
      </c>
      <c r="L3216" s="1603"/>
      <c r="N3216" s="1603">
        <f t="shared" si="50"/>
        <v>0</v>
      </c>
    </row>
    <row r="3217" spans="2:14">
      <c r="B3217" s="27"/>
      <c r="C3217" s="27"/>
      <c r="D3217" s="1507"/>
      <c r="E3217" s="158" t="s">
        <v>1667</v>
      </c>
      <c r="F3217" s="169">
        <v>20000000</v>
      </c>
      <c r="H3217" s="27"/>
      <c r="I3217" s="27"/>
      <c r="J3217" s="1507"/>
      <c r="K3217" s="158" t="s">
        <v>1667</v>
      </c>
      <c r="L3217" s="169">
        <v>20000000</v>
      </c>
      <c r="N3217" s="169">
        <f t="shared" si="50"/>
        <v>0</v>
      </c>
    </row>
    <row r="3218" spans="2:14">
      <c r="B3218" s="46"/>
      <c r="C3218" s="46"/>
      <c r="D3218" s="1507"/>
      <c r="E3218" s="158" t="s">
        <v>1510</v>
      </c>
      <c r="F3218" s="169">
        <v>37500000</v>
      </c>
      <c r="H3218" s="46"/>
      <c r="I3218" s="46"/>
      <c r="J3218" s="1507"/>
      <c r="K3218" s="158" t="s">
        <v>1510</v>
      </c>
      <c r="L3218" s="169">
        <v>37500000</v>
      </c>
      <c r="N3218" s="169">
        <f t="shared" si="50"/>
        <v>0</v>
      </c>
    </row>
    <row r="3219" spans="2:14">
      <c r="B3219" s="46"/>
      <c r="C3219" s="46"/>
      <c r="D3219" s="1507"/>
      <c r="E3219" s="1546" t="s">
        <v>261</v>
      </c>
      <c r="F3219" s="1660">
        <v>57500000</v>
      </c>
      <c r="H3219" s="46"/>
      <c r="I3219" s="46"/>
      <c r="J3219" s="1507"/>
      <c r="K3219" s="1546" t="s">
        <v>261</v>
      </c>
      <c r="L3219" s="1660">
        <v>57500000</v>
      </c>
      <c r="N3219" s="1660">
        <f t="shared" si="50"/>
        <v>0</v>
      </c>
    </row>
    <row r="3220" spans="2:14">
      <c r="B3220" s="46"/>
      <c r="C3220" s="46"/>
      <c r="D3220" s="1507"/>
      <c r="E3220" s="1620" t="s">
        <v>580</v>
      </c>
      <c r="F3220" s="1660">
        <v>332597523.81</v>
      </c>
      <c r="H3220" s="46"/>
      <c r="I3220" s="46"/>
      <c r="J3220" s="1507"/>
      <c r="K3220" s="1620" t="s">
        <v>580</v>
      </c>
      <c r="L3220" s="1660">
        <v>345193201.8154</v>
      </c>
      <c r="N3220" s="1660">
        <f t="shared" si="50"/>
        <v>-12595678.005400002</v>
      </c>
    </row>
    <row r="3221" spans="2:14">
      <c r="B3221" s="46"/>
      <c r="C3221" s="46"/>
      <c r="D3221" s="61"/>
      <c r="E3221" s="74"/>
      <c r="F3221" s="164"/>
      <c r="H3221" s="46"/>
      <c r="I3221" s="46"/>
      <c r="J3221" s="61"/>
      <c r="K3221" s="74"/>
      <c r="L3221" s="164"/>
      <c r="N3221" s="164">
        <f t="shared" si="50"/>
        <v>0</v>
      </c>
    </row>
    <row r="3222" spans="2:14">
      <c r="B3222" s="46"/>
      <c r="C3222" s="46"/>
      <c r="D3222" s="1507" t="s">
        <v>621</v>
      </c>
      <c r="E3222" s="1620"/>
      <c r="F3222" s="1660"/>
      <c r="H3222" s="46"/>
      <c r="I3222" s="46"/>
      <c r="J3222" s="1507" t="s">
        <v>621</v>
      </c>
      <c r="K3222" s="1620"/>
      <c r="L3222" s="1660"/>
      <c r="N3222" s="1660">
        <f t="shared" si="50"/>
        <v>0</v>
      </c>
    </row>
    <row r="3223" spans="2:14">
      <c r="B3223" s="46"/>
      <c r="C3223" s="46"/>
      <c r="D3223" s="1671" t="s">
        <v>622</v>
      </c>
      <c r="E3223" s="1680"/>
      <c r="F3223" s="1636"/>
      <c r="H3223" s="46"/>
      <c r="I3223" s="46"/>
      <c r="J3223" s="1671" t="s">
        <v>622</v>
      </c>
      <c r="K3223" s="1680"/>
      <c r="L3223" s="1636"/>
      <c r="N3223" s="1636">
        <f t="shared" si="50"/>
        <v>0</v>
      </c>
    </row>
    <row r="3224" spans="2:14">
      <c r="B3224" s="46"/>
      <c r="C3224" s="46"/>
      <c r="D3224" s="1671" t="s">
        <v>623</v>
      </c>
      <c r="E3224" s="1680"/>
      <c r="F3224" s="1636"/>
      <c r="H3224" s="46"/>
      <c r="I3224" s="46"/>
      <c r="J3224" s="1671" t="s">
        <v>623</v>
      </c>
      <c r="K3224" s="1680"/>
      <c r="L3224" s="1636"/>
      <c r="N3224" s="1636">
        <f t="shared" si="50"/>
        <v>0</v>
      </c>
    </row>
    <row r="3225" spans="2:14">
      <c r="B3225" s="46"/>
      <c r="C3225" s="46"/>
      <c r="D3225" s="1545">
        <v>2210100</v>
      </c>
      <c r="E3225" s="1546" t="s">
        <v>16</v>
      </c>
      <c r="F3225" s="1603">
        <v>175000</v>
      </c>
      <c r="H3225" s="46"/>
      <c r="I3225" s="46"/>
      <c r="J3225" s="1545">
        <v>2210100</v>
      </c>
      <c r="K3225" s="1546" t="s">
        <v>16</v>
      </c>
      <c r="L3225" s="1603">
        <v>175000</v>
      </c>
      <c r="N3225" s="1603">
        <f t="shared" si="50"/>
        <v>0</v>
      </c>
    </row>
    <row r="3226" spans="2:14">
      <c r="B3226" s="46"/>
      <c r="C3226" s="46"/>
      <c r="D3226" s="80">
        <v>2210101</v>
      </c>
      <c r="E3226" s="158" t="s">
        <v>17</v>
      </c>
      <c r="F3226" s="169">
        <v>135000</v>
      </c>
      <c r="H3226" s="46"/>
      <c r="I3226" s="46"/>
      <c r="J3226" s="80">
        <v>2210101</v>
      </c>
      <c r="K3226" s="158" t="s">
        <v>17</v>
      </c>
      <c r="L3226" s="169">
        <v>135000</v>
      </c>
      <c r="N3226" s="169">
        <f t="shared" si="50"/>
        <v>0</v>
      </c>
    </row>
    <row r="3227" spans="2:14">
      <c r="B3227" s="46"/>
      <c r="C3227" s="46"/>
      <c r="D3227" s="80">
        <v>2210102</v>
      </c>
      <c r="E3227" s="158" t="s">
        <v>18</v>
      </c>
      <c r="F3227" s="169">
        <v>40000</v>
      </c>
      <c r="H3227" s="46"/>
      <c r="I3227" s="46"/>
      <c r="J3227" s="80">
        <v>2210102</v>
      </c>
      <c r="K3227" s="158" t="s">
        <v>18</v>
      </c>
      <c r="L3227" s="169">
        <v>40000</v>
      </c>
      <c r="N3227" s="169">
        <f t="shared" si="50"/>
        <v>0</v>
      </c>
    </row>
    <row r="3228" spans="2:14">
      <c r="B3228" s="46"/>
      <c r="C3228" s="46"/>
      <c r="D3228" s="1545">
        <v>2210200</v>
      </c>
      <c r="E3228" s="1546" t="s">
        <v>20</v>
      </c>
      <c r="F3228" s="1603">
        <v>90000</v>
      </c>
      <c r="H3228" s="46"/>
      <c r="I3228" s="46"/>
      <c r="J3228" s="1545">
        <v>2210200</v>
      </c>
      <c r="K3228" s="1546" t="s">
        <v>20</v>
      </c>
      <c r="L3228" s="1603">
        <v>90000</v>
      </c>
      <c r="N3228" s="1603">
        <f t="shared" si="50"/>
        <v>0</v>
      </c>
    </row>
    <row r="3229" spans="2:14">
      <c r="B3229" s="46"/>
      <c r="C3229" s="46"/>
      <c r="D3229" s="80">
        <v>2210201</v>
      </c>
      <c r="E3229" s="158" t="s">
        <v>21</v>
      </c>
      <c r="F3229" s="169">
        <v>90000</v>
      </c>
      <c r="H3229" s="46"/>
      <c r="I3229" s="46"/>
      <c r="J3229" s="80">
        <v>2210201</v>
      </c>
      <c r="K3229" s="158" t="s">
        <v>21</v>
      </c>
      <c r="L3229" s="169">
        <v>90000</v>
      </c>
      <c r="N3229" s="169">
        <f t="shared" si="50"/>
        <v>0</v>
      </c>
    </row>
    <row r="3230" spans="2:14">
      <c r="B3230" s="46"/>
      <c r="C3230" s="46"/>
      <c r="D3230" s="1545">
        <v>2210300</v>
      </c>
      <c r="E3230" s="1546" t="s">
        <v>24</v>
      </c>
      <c r="F3230" s="1603">
        <v>5006300</v>
      </c>
      <c r="H3230" s="46"/>
      <c r="I3230" s="46"/>
      <c r="J3230" s="1545">
        <v>2210300</v>
      </c>
      <c r="K3230" s="1546" t="s">
        <v>24</v>
      </c>
      <c r="L3230" s="1603">
        <v>6651300</v>
      </c>
      <c r="N3230" s="1603">
        <f t="shared" si="50"/>
        <v>-1645000</v>
      </c>
    </row>
    <row r="3231" spans="2:14">
      <c r="B3231" s="46"/>
      <c r="C3231" s="46"/>
      <c r="D3231" s="80">
        <v>2210301</v>
      </c>
      <c r="E3231" s="158" t="s">
        <v>25</v>
      </c>
      <c r="F3231" s="169">
        <v>705000</v>
      </c>
      <c r="H3231" s="46"/>
      <c r="I3231" s="46"/>
      <c r="J3231" s="80">
        <v>2210301</v>
      </c>
      <c r="K3231" s="158" t="s">
        <v>25</v>
      </c>
      <c r="L3231" s="169">
        <v>350000</v>
      </c>
      <c r="N3231" s="169">
        <f t="shared" si="50"/>
        <v>355000</v>
      </c>
    </row>
    <row r="3232" spans="2:14">
      <c r="B3232" s="46"/>
      <c r="C3232" s="46"/>
      <c r="D3232" s="80">
        <v>2210302</v>
      </c>
      <c r="E3232" s="158" t="s">
        <v>26</v>
      </c>
      <c r="F3232" s="169">
        <v>1560000</v>
      </c>
      <c r="H3232" s="46"/>
      <c r="I3232" s="46"/>
      <c r="J3232" s="80">
        <v>2210302</v>
      </c>
      <c r="K3232" s="158" t="s">
        <v>26</v>
      </c>
      <c r="L3232" s="169">
        <v>2560000</v>
      </c>
      <c r="N3232" s="169">
        <f t="shared" si="50"/>
        <v>-1000000</v>
      </c>
    </row>
    <row r="3233" spans="2:14">
      <c r="B3233" s="46"/>
      <c r="C3233" s="46"/>
      <c r="D3233" s="80">
        <v>2210303</v>
      </c>
      <c r="E3233" s="158" t="s">
        <v>27</v>
      </c>
      <c r="F3233" s="169">
        <v>2700500</v>
      </c>
      <c r="H3233" s="46"/>
      <c r="I3233" s="46"/>
      <c r="J3233" s="80">
        <v>2210303</v>
      </c>
      <c r="K3233" s="158" t="s">
        <v>27</v>
      </c>
      <c r="L3233" s="169">
        <v>3700500</v>
      </c>
      <c r="N3233" s="169">
        <f t="shared" si="50"/>
        <v>-1000000</v>
      </c>
    </row>
    <row r="3234" spans="2:14">
      <c r="B3234" s="46"/>
      <c r="C3234" s="46"/>
      <c r="D3234" s="80">
        <v>2210304</v>
      </c>
      <c r="E3234" s="158" t="s">
        <v>28</v>
      </c>
      <c r="F3234" s="169">
        <v>40800</v>
      </c>
      <c r="H3234" s="46"/>
      <c r="I3234" s="46"/>
      <c r="J3234" s="80">
        <v>2210304</v>
      </c>
      <c r="K3234" s="158" t="s">
        <v>28</v>
      </c>
      <c r="L3234" s="169">
        <v>40800</v>
      </c>
      <c r="N3234" s="169">
        <f t="shared" si="50"/>
        <v>0</v>
      </c>
    </row>
    <row r="3235" spans="2:14">
      <c r="B3235" s="46"/>
      <c r="C3235" s="46"/>
      <c r="D3235" s="1545">
        <v>2210500</v>
      </c>
      <c r="E3235" s="1546" t="s">
        <v>31</v>
      </c>
      <c r="F3235" s="1603">
        <v>9066800</v>
      </c>
      <c r="H3235" s="46"/>
      <c r="I3235" s="46"/>
      <c r="J3235" s="1545">
        <v>2210500</v>
      </c>
      <c r="K3235" s="1546" t="s">
        <v>31</v>
      </c>
      <c r="L3235" s="1603">
        <v>11066800</v>
      </c>
      <c r="N3235" s="1603">
        <f t="shared" si="50"/>
        <v>-2000000</v>
      </c>
    </row>
    <row r="3236" spans="2:14">
      <c r="B3236" s="46"/>
      <c r="C3236" s="46"/>
      <c r="D3236" s="80">
        <v>2210502</v>
      </c>
      <c r="E3236" s="158" t="s">
        <v>105</v>
      </c>
      <c r="F3236" s="169">
        <v>2450000</v>
      </c>
      <c r="H3236" s="46"/>
      <c r="I3236" s="46"/>
      <c r="J3236" s="80">
        <v>2210502</v>
      </c>
      <c r="K3236" s="158" t="s">
        <v>105</v>
      </c>
      <c r="L3236" s="169">
        <v>3450000</v>
      </c>
      <c r="N3236" s="169">
        <f t="shared" si="50"/>
        <v>-1000000</v>
      </c>
    </row>
    <row r="3237" spans="2:14">
      <c r="B3237" s="46"/>
      <c r="C3237" s="46"/>
      <c r="D3237" s="80">
        <v>2210503</v>
      </c>
      <c r="E3237" s="158" t="s">
        <v>32</v>
      </c>
      <c r="F3237" s="169">
        <v>116000</v>
      </c>
      <c r="H3237" s="46"/>
      <c r="I3237" s="46"/>
      <c r="J3237" s="80">
        <v>2210503</v>
      </c>
      <c r="K3237" s="158" t="s">
        <v>32</v>
      </c>
      <c r="L3237" s="169">
        <v>116000</v>
      </c>
      <c r="N3237" s="169">
        <f t="shared" si="50"/>
        <v>0</v>
      </c>
    </row>
    <row r="3238" spans="2:14">
      <c r="B3238" s="46"/>
      <c r="C3238" s="46"/>
      <c r="D3238" s="80">
        <v>2210504</v>
      </c>
      <c r="E3238" s="158" t="s">
        <v>624</v>
      </c>
      <c r="F3238" s="169">
        <v>6500800</v>
      </c>
      <c r="H3238" s="46"/>
      <c r="I3238" s="46"/>
      <c r="J3238" s="80">
        <v>2210504</v>
      </c>
      <c r="K3238" s="158" t="s">
        <v>624</v>
      </c>
      <c r="L3238" s="169">
        <v>7500800</v>
      </c>
      <c r="N3238" s="169">
        <f t="shared" si="50"/>
        <v>-1000000</v>
      </c>
    </row>
    <row r="3239" spans="2:14">
      <c r="B3239" s="46"/>
      <c r="C3239" s="46"/>
      <c r="D3239" s="1545">
        <v>2210700</v>
      </c>
      <c r="E3239" s="1546" t="s">
        <v>35</v>
      </c>
      <c r="F3239" s="1603">
        <v>2801000</v>
      </c>
      <c r="H3239" s="46"/>
      <c r="I3239" s="46"/>
      <c r="J3239" s="1545">
        <v>2210700</v>
      </c>
      <c r="K3239" s="1546" t="s">
        <v>35</v>
      </c>
      <c r="L3239" s="1603">
        <v>2801000</v>
      </c>
      <c r="N3239" s="1603">
        <f t="shared" si="50"/>
        <v>0</v>
      </c>
    </row>
    <row r="3240" spans="2:14">
      <c r="B3240" s="46"/>
      <c r="C3240" s="46"/>
      <c r="D3240" s="80">
        <v>2210701</v>
      </c>
      <c r="E3240" s="158" t="s">
        <v>36</v>
      </c>
      <c r="F3240" s="169">
        <v>500000</v>
      </c>
      <c r="H3240" s="46"/>
      <c r="I3240" s="46"/>
      <c r="J3240" s="80">
        <v>2210701</v>
      </c>
      <c r="K3240" s="158" t="s">
        <v>36</v>
      </c>
      <c r="L3240" s="169">
        <v>500000</v>
      </c>
      <c r="N3240" s="169">
        <f t="shared" si="50"/>
        <v>0</v>
      </c>
    </row>
    <row r="3241" spans="2:14">
      <c r="B3241" s="46"/>
      <c r="C3241" s="46"/>
      <c r="D3241" s="80">
        <v>2210703</v>
      </c>
      <c r="E3241" s="158" t="s">
        <v>107</v>
      </c>
      <c r="F3241" s="169">
        <v>650000</v>
      </c>
      <c r="H3241" s="46"/>
      <c r="I3241" s="46"/>
      <c r="J3241" s="80">
        <v>2210703</v>
      </c>
      <c r="K3241" s="158" t="s">
        <v>107</v>
      </c>
      <c r="L3241" s="169">
        <v>650000</v>
      </c>
      <c r="N3241" s="169">
        <f t="shared" si="50"/>
        <v>0</v>
      </c>
    </row>
    <row r="3242" spans="2:14">
      <c r="B3242" s="46"/>
      <c r="C3242" s="46"/>
      <c r="D3242" s="80">
        <v>2210704</v>
      </c>
      <c r="E3242" s="158" t="s">
        <v>38</v>
      </c>
      <c r="F3242" s="169">
        <v>554000</v>
      </c>
      <c r="H3242" s="46"/>
      <c r="I3242" s="46"/>
      <c r="J3242" s="80">
        <v>2210704</v>
      </c>
      <c r="K3242" s="158" t="s">
        <v>38</v>
      </c>
      <c r="L3242" s="169">
        <v>554000</v>
      </c>
      <c r="N3242" s="169">
        <f t="shared" si="50"/>
        <v>0</v>
      </c>
    </row>
    <row r="3243" spans="2:14">
      <c r="B3243" s="46"/>
      <c r="C3243" s="46"/>
      <c r="D3243" s="80">
        <v>2210710</v>
      </c>
      <c r="E3243" s="158" t="s">
        <v>39</v>
      </c>
      <c r="F3243" s="169">
        <v>329000</v>
      </c>
      <c r="H3243" s="46"/>
      <c r="I3243" s="46"/>
      <c r="J3243" s="80">
        <v>2210710</v>
      </c>
      <c r="K3243" s="158" t="s">
        <v>39</v>
      </c>
      <c r="L3243" s="169">
        <v>329000</v>
      </c>
      <c r="N3243" s="169">
        <f t="shared" si="50"/>
        <v>0</v>
      </c>
    </row>
    <row r="3244" spans="2:14">
      <c r="B3244" s="46"/>
      <c r="C3244" s="46"/>
      <c r="D3244" s="80">
        <v>2210715</v>
      </c>
      <c r="E3244" s="158" t="s">
        <v>40</v>
      </c>
      <c r="F3244" s="169">
        <v>768000</v>
      </c>
      <c r="H3244" s="46"/>
      <c r="I3244" s="46"/>
      <c r="J3244" s="80">
        <v>2210715</v>
      </c>
      <c r="K3244" s="158" t="s">
        <v>40</v>
      </c>
      <c r="L3244" s="169">
        <v>768000</v>
      </c>
      <c r="N3244" s="169">
        <f t="shared" si="50"/>
        <v>0</v>
      </c>
    </row>
    <row r="3245" spans="2:14">
      <c r="B3245" s="46"/>
      <c r="C3245" s="46"/>
      <c r="D3245" s="1545">
        <v>2211100</v>
      </c>
      <c r="E3245" s="1546" t="s">
        <v>51</v>
      </c>
      <c r="F3245" s="1603">
        <v>1283000</v>
      </c>
      <c r="H3245" s="46"/>
      <c r="I3245" s="46"/>
      <c r="J3245" s="1545">
        <v>2211100</v>
      </c>
      <c r="K3245" s="1546" t="s">
        <v>51</v>
      </c>
      <c r="L3245" s="1603">
        <v>4283000</v>
      </c>
      <c r="N3245" s="1603">
        <f t="shared" si="50"/>
        <v>-3000000</v>
      </c>
    </row>
    <row r="3246" spans="2:14">
      <c r="B3246" s="46"/>
      <c r="C3246" s="46"/>
      <c r="D3246" s="80">
        <v>2211101</v>
      </c>
      <c r="E3246" s="158" t="s">
        <v>52</v>
      </c>
      <c r="F3246" s="169">
        <v>500000</v>
      </c>
      <c r="H3246" s="46"/>
      <c r="I3246" s="46"/>
      <c r="J3246" s="80">
        <v>2211101</v>
      </c>
      <c r="K3246" s="158" t="s">
        <v>52</v>
      </c>
      <c r="L3246" s="169">
        <v>1500000</v>
      </c>
      <c r="N3246" s="169">
        <f t="shared" si="50"/>
        <v>-1000000</v>
      </c>
    </row>
    <row r="3247" spans="2:14">
      <c r="B3247" s="46"/>
      <c r="C3247" s="46"/>
      <c r="D3247" s="80">
        <v>2211102</v>
      </c>
      <c r="E3247" s="158" t="s">
        <v>53</v>
      </c>
      <c r="F3247" s="169">
        <v>500000</v>
      </c>
      <c r="H3247" s="46"/>
      <c r="I3247" s="46"/>
      <c r="J3247" s="80">
        <v>2211102</v>
      </c>
      <c r="K3247" s="158" t="s">
        <v>53</v>
      </c>
      <c r="L3247" s="169">
        <v>2500000</v>
      </c>
      <c r="N3247" s="169">
        <f t="shared" si="50"/>
        <v>-2000000</v>
      </c>
    </row>
    <row r="3248" spans="2:14">
      <c r="B3248" s="46"/>
      <c r="C3248" s="46"/>
      <c r="D3248" s="80">
        <v>2211103</v>
      </c>
      <c r="E3248" s="158" t="s">
        <v>54</v>
      </c>
      <c r="F3248" s="169">
        <v>283000</v>
      </c>
      <c r="H3248" s="46"/>
      <c r="I3248" s="46"/>
      <c r="J3248" s="80">
        <v>2211103</v>
      </c>
      <c r="K3248" s="158" t="s">
        <v>54</v>
      </c>
      <c r="L3248" s="169">
        <v>283000</v>
      </c>
      <c r="N3248" s="169">
        <f t="shared" si="50"/>
        <v>0</v>
      </c>
    </row>
    <row r="3249" spans="2:14">
      <c r="B3249" s="46"/>
      <c r="C3249" s="46"/>
      <c r="D3249" s="1545">
        <v>2211200</v>
      </c>
      <c r="E3249" s="1546" t="s">
        <v>55</v>
      </c>
      <c r="F3249" s="1603">
        <v>535000</v>
      </c>
      <c r="H3249" s="46"/>
      <c r="I3249" s="46"/>
      <c r="J3249" s="1545">
        <v>2211200</v>
      </c>
      <c r="K3249" s="1546" t="s">
        <v>55</v>
      </c>
      <c r="L3249" s="1603">
        <v>535000</v>
      </c>
      <c r="N3249" s="1603">
        <f t="shared" si="50"/>
        <v>0</v>
      </c>
    </row>
    <row r="3250" spans="2:14">
      <c r="B3250" s="46"/>
      <c r="C3250" s="46"/>
      <c r="D3250" s="80">
        <v>2211201</v>
      </c>
      <c r="E3250" s="158" t="s">
        <v>56</v>
      </c>
      <c r="F3250" s="169">
        <v>535000</v>
      </c>
      <c r="H3250" s="46"/>
      <c r="I3250" s="46"/>
      <c r="J3250" s="80">
        <v>2211201</v>
      </c>
      <c r="K3250" s="158" t="s">
        <v>56</v>
      </c>
      <c r="L3250" s="169">
        <v>535000</v>
      </c>
      <c r="N3250" s="169">
        <f t="shared" si="50"/>
        <v>0</v>
      </c>
    </row>
    <row r="3251" spans="2:14">
      <c r="B3251" s="46"/>
      <c r="C3251" s="46"/>
      <c r="D3251" s="1545">
        <v>2211300</v>
      </c>
      <c r="E3251" s="1546" t="s">
        <v>57</v>
      </c>
      <c r="F3251" s="1603">
        <v>1745000</v>
      </c>
      <c r="H3251" s="46"/>
      <c r="I3251" s="46"/>
      <c r="J3251" s="1545">
        <v>2211300</v>
      </c>
      <c r="K3251" s="1546" t="s">
        <v>57</v>
      </c>
      <c r="L3251" s="1603">
        <v>2745000</v>
      </c>
      <c r="N3251" s="1603">
        <f t="shared" si="50"/>
        <v>-1000000</v>
      </c>
    </row>
    <row r="3252" spans="2:14">
      <c r="B3252" s="46"/>
      <c r="C3252" s="46"/>
      <c r="D3252" s="80">
        <v>2211320</v>
      </c>
      <c r="E3252" s="158" t="s">
        <v>1511</v>
      </c>
      <c r="F3252" s="169">
        <v>1745000</v>
      </c>
      <c r="H3252" s="46"/>
      <c r="I3252" s="46"/>
      <c r="J3252" s="80">
        <v>2211320</v>
      </c>
      <c r="K3252" s="158" t="s">
        <v>1511</v>
      </c>
      <c r="L3252" s="169">
        <v>2745000</v>
      </c>
      <c r="N3252" s="169">
        <f t="shared" si="50"/>
        <v>-1000000</v>
      </c>
    </row>
    <row r="3253" spans="2:14">
      <c r="B3253" s="46"/>
      <c r="C3253" s="46"/>
      <c r="D3253" s="1545">
        <v>2220100</v>
      </c>
      <c r="E3253" s="1546" t="s">
        <v>62</v>
      </c>
      <c r="F3253" s="1603">
        <v>875300</v>
      </c>
      <c r="H3253" s="46"/>
      <c r="I3253" s="46"/>
      <c r="J3253" s="1545">
        <v>2220100</v>
      </c>
      <c r="K3253" s="1546" t="s">
        <v>62</v>
      </c>
      <c r="L3253" s="1603">
        <v>875300</v>
      </c>
      <c r="N3253" s="1603">
        <f t="shared" si="50"/>
        <v>0</v>
      </c>
    </row>
    <row r="3254" spans="2:14">
      <c r="B3254" s="46"/>
      <c r="C3254" s="46"/>
      <c r="D3254" s="80">
        <v>2220101</v>
      </c>
      <c r="E3254" s="158" t="s">
        <v>250</v>
      </c>
      <c r="F3254" s="169">
        <v>375000</v>
      </c>
      <c r="H3254" s="46"/>
      <c r="I3254" s="46"/>
      <c r="J3254" s="80">
        <v>2220101</v>
      </c>
      <c r="K3254" s="158" t="s">
        <v>250</v>
      </c>
      <c r="L3254" s="169">
        <v>375000</v>
      </c>
      <c r="N3254" s="169">
        <f t="shared" si="50"/>
        <v>0</v>
      </c>
    </row>
    <row r="3255" spans="2:14">
      <c r="B3255" s="46"/>
      <c r="C3255" s="46"/>
      <c r="D3255" s="80">
        <v>2220105</v>
      </c>
      <c r="E3255" s="158" t="s">
        <v>64</v>
      </c>
      <c r="F3255" s="169">
        <v>500300</v>
      </c>
      <c r="H3255" s="46"/>
      <c r="I3255" s="46"/>
      <c r="J3255" s="80">
        <v>2220105</v>
      </c>
      <c r="K3255" s="158" t="s">
        <v>64</v>
      </c>
      <c r="L3255" s="169">
        <v>500300</v>
      </c>
      <c r="N3255" s="169">
        <f t="shared" si="50"/>
        <v>0</v>
      </c>
    </row>
    <row r="3256" spans="2:14">
      <c r="B3256" s="46"/>
      <c r="C3256" s="46"/>
      <c r="D3256" s="1545">
        <v>3110300</v>
      </c>
      <c r="E3256" s="1546" t="s">
        <v>251</v>
      </c>
      <c r="F3256" s="1603">
        <v>100000</v>
      </c>
      <c r="H3256" s="46"/>
      <c r="I3256" s="46"/>
      <c r="J3256" s="1545">
        <v>3110300</v>
      </c>
      <c r="K3256" s="1546" t="s">
        <v>251</v>
      </c>
      <c r="L3256" s="1603">
        <v>100000</v>
      </c>
      <c r="N3256" s="1603">
        <f t="shared" si="50"/>
        <v>0</v>
      </c>
    </row>
    <row r="3257" spans="2:14">
      <c r="B3257" s="46"/>
      <c r="C3257" s="46"/>
      <c r="D3257" s="80">
        <v>3110302</v>
      </c>
      <c r="E3257" s="158" t="s">
        <v>252</v>
      </c>
      <c r="F3257" s="169">
        <v>100000</v>
      </c>
      <c r="H3257" s="46"/>
      <c r="I3257" s="46"/>
      <c r="J3257" s="80">
        <v>3110302</v>
      </c>
      <c r="K3257" s="158" t="s">
        <v>252</v>
      </c>
      <c r="L3257" s="169">
        <v>100000</v>
      </c>
      <c r="N3257" s="169">
        <f t="shared" si="50"/>
        <v>0</v>
      </c>
    </row>
    <row r="3258" spans="2:14">
      <c r="B3258" s="46"/>
      <c r="C3258" s="46"/>
      <c r="D3258" s="1545">
        <v>3111000</v>
      </c>
      <c r="E3258" s="1546" t="s">
        <v>69</v>
      </c>
      <c r="F3258" s="1603">
        <v>457000</v>
      </c>
      <c r="H3258" s="46"/>
      <c r="I3258" s="46"/>
      <c r="J3258" s="1545">
        <v>3111000</v>
      </c>
      <c r="K3258" s="1546" t="s">
        <v>69</v>
      </c>
      <c r="L3258" s="1603">
        <v>2250500</v>
      </c>
      <c r="N3258" s="1603">
        <f t="shared" si="50"/>
        <v>-1793500</v>
      </c>
    </row>
    <row r="3259" spans="2:14">
      <c r="B3259" s="46"/>
      <c r="C3259" s="46"/>
      <c r="D3259" s="80">
        <v>3111009</v>
      </c>
      <c r="E3259" s="158" t="s">
        <v>625</v>
      </c>
      <c r="F3259" s="169">
        <v>457000</v>
      </c>
      <c r="H3259" s="46"/>
      <c r="I3259" s="46"/>
      <c r="J3259" s="80">
        <v>3111009</v>
      </c>
      <c r="K3259" s="158" t="s">
        <v>625</v>
      </c>
      <c r="L3259" s="169">
        <v>2250500</v>
      </c>
      <c r="N3259" s="169">
        <f t="shared" si="50"/>
        <v>-1793500</v>
      </c>
    </row>
    <row r="3260" spans="2:14">
      <c r="B3260" s="46"/>
      <c r="C3260" s="46"/>
      <c r="D3260" s="1545">
        <v>3111400</v>
      </c>
      <c r="E3260" s="1546" t="s">
        <v>602</v>
      </c>
      <c r="F3260" s="1603">
        <v>2069568.2596517799</v>
      </c>
      <c r="H3260" s="46"/>
      <c r="I3260" s="46"/>
      <c r="J3260" s="1545">
        <v>3111400</v>
      </c>
      <c r="K3260" s="1546" t="s">
        <v>602</v>
      </c>
      <c r="L3260" s="1603">
        <v>12800000</v>
      </c>
      <c r="N3260" s="1603">
        <f t="shared" si="50"/>
        <v>-10730431.74034822</v>
      </c>
    </row>
    <row r="3261" spans="2:14">
      <c r="B3261" s="46"/>
      <c r="C3261" s="46"/>
      <c r="D3261" s="80">
        <v>3111401</v>
      </c>
      <c r="E3261" s="158" t="s">
        <v>1512</v>
      </c>
      <c r="F3261" s="169">
        <v>2069568.2596517799</v>
      </c>
      <c r="H3261" s="46"/>
      <c r="I3261" s="46"/>
      <c r="J3261" s="80">
        <v>3111401</v>
      </c>
      <c r="K3261" s="158" t="s">
        <v>1512</v>
      </c>
      <c r="L3261" s="169">
        <v>4000000</v>
      </c>
      <c r="N3261" s="169">
        <f t="shared" si="50"/>
        <v>-1930431.7403482201</v>
      </c>
    </row>
    <row r="3262" spans="2:14">
      <c r="B3262" s="46"/>
      <c r="C3262" s="46"/>
      <c r="D3262" s="80">
        <v>3111401</v>
      </c>
      <c r="E3262" s="158" t="s">
        <v>1513</v>
      </c>
      <c r="F3262" s="169">
        <v>0</v>
      </c>
      <c r="H3262" s="46"/>
      <c r="I3262" s="46"/>
      <c r="J3262" s="80">
        <v>3111401</v>
      </c>
      <c r="K3262" s="158" t="s">
        <v>1513</v>
      </c>
      <c r="L3262" s="169">
        <v>8800000</v>
      </c>
      <c r="N3262" s="169">
        <f t="shared" si="50"/>
        <v>-8800000</v>
      </c>
    </row>
    <row r="3263" spans="2:14">
      <c r="B3263" s="46"/>
      <c r="C3263" s="46"/>
      <c r="D3263" s="1507"/>
      <c r="E3263" s="1620" t="s">
        <v>128</v>
      </c>
      <c r="F3263" s="1660">
        <v>24203968.25965178</v>
      </c>
      <c r="H3263" s="46"/>
      <c r="I3263" s="46"/>
      <c r="J3263" s="1507"/>
      <c r="K3263" s="1620" t="s">
        <v>128</v>
      </c>
      <c r="L3263" s="1660">
        <v>44372900</v>
      </c>
      <c r="N3263" s="1660">
        <f t="shared" si="50"/>
        <v>-20168931.74034822</v>
      </c>
    </row>
    <row r="3264" spans="2:14">
      <c r="B3264" s="46"/>
      <c r="C3264" s="46"/>
      <c r="D3264" s="61"/>
      <c r="E3264" s="1680"/>
      <c r="F3264" s="1636"/>
      <c r="H3264" s="46"/>
      <c r="I3264" s="46"/>
      <c r="J3264" s="61"/>
      <c r="K3264" s="1680"/>
      <c r="L3264" s="1636"/>
      <c r="N3264" s="1636">
        <f t="shared" si="50"/>
        <v>0</v>
      </c>
    </row>
    <row r="3265" spans="2:14">
      <c r="B3265" s="46"/>
      <c r="C3265" s="46"/>
      <c r="D3265" s="61"/>
      <c r="E3265" s="1680"/>
      <c r="F3265" s="164"/>
      <c r="H3265" s="46"/>
      <c r="I3265" s="46"/>
      <c r="J3265" s="61"/>
      <c r="K3265" s="1680"/>
      <c r="L3265" s="164"/>
      <c r="N3265" s="164">
        <f t="shared" si="50"/>
        <v>0</v>
      </c>
    </row>
    <row r="3266" spans="2:14">
      <c r="B3266" s="46"/>
      <c r="C3266" s="46"/>
      <c r="D3266" s="1507" t="s">
        <v>626</v>
      </c>
      <c r="E3266" s="1620"/>
      <c r="F3266" s="1660"/>
      <c r="H3266" s="46"/>
      <c r="I3266" s="46"/>
      <c r="J3266" s="1507" t="s">
        <v>626</v>
      </c>
      <c r="K3266" s="1620"/>
      <c r="L3266" s="1660"/>
      <c r="N3266" s="1660">
        <f t="shared" si="50"/>
        <v>0</v>
      </c>
    </row>
    <row r="3267" spans="2:14">
      <c r="B3267" s="46"/>
      <c r="C3267" s="46"/>
      <c r="D3267" s="1545">
        <v>2210200</v>
      </c>
      <c r="E3267" s="1546" t="s">
        <v>20</v>
      </c>
      <c r="F3267" s="1603">
        <v>75600</v>
      </c>
      <c r="H3267" s="46"/>
      <c r="I3267" s="46"/>
      <c r="J3267" s="1545">
        <v>2210200</v>
      </c>
      <c r="K3267" s="1546" t="s">
        <v>20</v>
      </c>
      <c r="L3267" s="1603">
        <v>75600</v>
      </c>
      <c r="N3267" s="1603">
        <f t="shared" si="50"/>
        <v>0</v>
      </c>
    </row>
    <row r="3268" spans="2:14">
      <c r="B3268" s="46"/>
      <c r="C3268" s="46"/>
      <c r="D3268" s="80">
        <v>2210201</v>
      </c>
      <c r="E3268" s="158" t="s">
        <v>21</v>
      </c>
      <c r="F3268" s="169">
        <v>75600</v>
      </c>
      <c r="H3268" s="46"/>
      <c r="I3268" s="46"/>
      <c r="J3268" s="80">
        <v>2210201</v>
      </c>
      <c r="K3268" s="158" t="s">
        <v>21</v>
      </c>
      <c r="L3268" s="169">
        <v>75600</v>
      </c>
      <c r="N3268" s="169">
        <f t="shared" si="50"/>
        <v>0</v>
      </c>
    </row>
    <row r="3269" spans="2:14">
      <c r="B3269" s="46"/>
      <c r="C3269" s="46"/>
      <c r="D3269" s="1545">
        <v>2210300</v>
      </c>
      <c r="E3269" s="1546" t="s">
        <v>24</v>
      </c>
      <c r="F3269" s="1603">
        <v>2180161.0477988422</v>
      </c>
      <c r="H3269" s="46"/>
      <c r="I3269" s="46"/>
      <c r="J3269" s="1545">
        <v>2210300</v>
      </c>
      <c r="K3269" s="1546" t="s">
        <v>24</v>
      </c>
      <c r="L3269" s="1603">
        <v>7604000</v>
      </c>
      <c r="N3269" s="1603">
        <f t="shared" si="50"/>
        <v>-5423838.9522011578</v>
      </c>
    </row>
    <row r="3270" spans="2:14">
      <c r="B3270" s="46"/>
      <c r="C3270" s="46"/>
      <c r="D3270" s="80">
        <v>2210301</v>
      </c>
      <c r="E3270" s="158" t="s">
        <v>25</v>
      </c>
      <c r="F3270" s="169">
        <v>493000</v>
      </c>
      <c r="H3270" s="46"/>
      <c r="I3270" s="46"/>
      <c r="J3270" s="80">
        <v>2210301</v>
      </c>
      <c r="K3270" s="158" t="s">
        <v>25</v>
      </c>
      <c r="L3270" s="169">
        <v>493000</v>
      </c>
      <c r="N3270" s="169">
        <f t="shared" si="50"/>
        <v>0</v>
      </c>
    </row>
    <row r="3271" spans="2:14">
      <c r="B3271" s="46"/>
      <c r="C3271" s="46"/>
      <c r="D3271" s="80">
        <v>2210302</v>
      </c>
      <c r="E3271" s="158" t="s">
        <v>26</v>
      </c>
      <c r="F3271" s="169">
        <v>520000</v>
      </c>
      <c r="H3271" s="46"/>
      <c r="I3271" s="46"/>
      <c r="J3271" s="80">
        <v>2210302</v>
      </c>
      <c r="K3271" s="158" t="s">
        <v>26</v>
      </c>
      <c r="L3271" s="169">
        <v>4520000</v>
      </c>
      <c r="N3271" s="169">
        <f t="shared" si="50"/>
        <v>-4000000</v>
      </c>
    </row>
    <row r="3272" spans="2:14">
      <c r="B3272" s="46"/>
      <c r="C3272" s="46"/>
      <c r="D3272" s="80">
        <v>2210303</v>
      </c>
      <c r="E3272" s="158" t="s">
        <v>27</v>
      </c>
      <c r="F3272" s="169">
        <v>1076161.0477988422</v>
      </c>
      <c r="H3272" s="46"/>
      <c r="I3272" s="46"/>
      <c r="J3272" s="80">
        <v>2210303</v>
      </c>
      <c r="K3272" s="158" t="s">
        <v>27</v>
      </c>
      <c r="L3272" s="169">
        <v>2500000</v>
      </c>
      <c r="N3272" s="169">
        <f t="shared" ref="N3272:N3335" si="51">F3272-L3272</f>
        <v>-1423838.9522011578</v>
      </c>
    </row>
    <row r="3273" spans="2:14">
      <c r="B3273" s="46"/>
      <c r="C3273" s="46"/>
      <c r="D3273" s="80">
        <v>2210304</v>
      </c>
      <c r="E3273" s="158" t="s">
        <v>28</v>
      </c>
      <c r="F3273" s="169">
        <v>91000</v>
      </c>
      <c r="H3273" s="46"/>
      <c r="I3273" s="46"/>
      <c r="J3273" s="80">
        <v>2210304</v>
      </c>
      <c r="K3273" s="158" t="s">
        <v>28</v>
      </c>
      <c r="L3273" s="169">
        <v>91000</v>
      </c>
      <c r="N3273" s="169">
        <f t="shared" si="51"/>
        <v>0</v>
      </c>
    </row>
    <row r="3274" spans="2:14">
      <c r="B3274" s="46"/>
      <c r="C3274" s="46"/>
      <c r="D3274" s="1545">
        <v>2210500</v>
      </c>
      <c r="E3274" s="1546" t="s">
        <v>31</v>
      </c>
      <c r="F3274" s="1603">
        <v>3114360</v>
      </c>
      <c r="H3274" s="46"/>
      <c r="I3274" s="46"/>
      <c r="J3274" s="1545">
        <v>2210500</v>
      </c>
      <c r="K3274" s="1546" t="s">
        <v>31</v>
      </c>
      <c r="L3274" s="1603">
        <v>7214360</v>
      </c>
      <c r="N3274" s="1603">
        <f t="shared" si="51"/>
        <v>-4100000</v>
      </c>
    </row>
    <row r="3275" spans="2:14">
      <c r="B3275" s="46"/>
      <c r="C3275" s="46"/>
      <c r="D3275" s="80">
        <v>2210502</v>
      </c>
      <c r="E3275" s="158" t="s">
        <v>105</v>
      </c>
      <c r="F3275" s="169">
        <v>153000</v>
      </c>
      <c r="H3275" s="46"/>
      <c r="I3275" s="46"/>
      <c r="J3275" s="80">
        <v>2210502</v>
      </c>
      <c r="K3275" s="158" t="s">
        <v>105</v>
      </c>
      <c r="L3275" s="169">
        <v>253000</v>
      </c>
      <c r="N3275" s="169">
        <f t="shared" si="51"/>
        <v>-100000</v>
      </c>
    </row>
    <row r="3276" spans="2:14">
      <c r="B3276" s="46"/>
      <c r="C3276" s="46"/>
      <c r="D3276" s="80">
        <v>2210504</v>
      </c>
      <c r="E3276" s="158" t="s">
        <v>1794</v>
      </c>
      <c r="F3276" s="169">
        <v>2961360</v>
      </c>
      <c r="H3276" s="46"/>
      <c r="I3276" s="46"/>
      <c r="J3276" s="80">
        <v>2210504</v>
      </c>
      <c r="K3276" s="158" t="s">
        <v>1794</v>
      </c>
      <c r="L3276" s="169">
        <v>6961360</v>
      </c>
      <c r="N3276" s="169">
        <f t="shared" si="51"/>
        <v>-4000000</v>
      </c>
    </row>
    <row r="3277" spans="2:14">
      <c r="B3277" s="46"/>
      <c r="C3277" s="46"/>
      <c r="D3277" s="1545">
        <v>2210700</v>
      </c>
      <c r="E3277" s="1546" t="s">
        <v>35</v>
      </c>
      <c r="F3277" s="1603">
        <v>1425000</v>
      </c>
      <c r="H3277" s="46"/>
      <c r="I3277" s="46"/>
      <c r="J3277" s="1545">
        <v>2210700</v>
      </c>
      <c r="K3277" s="1546" t="s">
        <v>35</v>
      </c>
      <c r="L3277" s="1603">
        <v>1425000</v>
      </c>
      <c r="N3277" s="1603">
        <f t="shared" si="51"/>
        <v>0</v>
      </c>
    </row>
    <row r="3278" spans="2:14">
      <c r="B3278" s="46"/>
      <c r="C3278" s="46"/>
      <c r="D3278" s="80">
        <v>2210701</v>
      </c>
      <c r="E3278" s="158" t="s">
        <v>36</v>
      </c>
      <c r="F3278" s="169">
        <v>350000</v>
      </c>
      <c r="H3278" s="46"/>
      <c r="I3278" s="46"/>
      <c r="J3278" s="80">
        <v>2210701</v>
      </c>
      <c r="K3278" s="158" t="s">
        <v>36</v>
      </c>
      <c r="L3278" s="169">
        <v>350000</v>
      </c>
      <c r="N3278" s="169">
        <f t="shared" si="51"/>
        <v>0</v>
      </c>
    </row>
    <row r="3279" spans="2:14">
      <c r="B3279" s="46"/>
      <c r="C3279" s="46"/>
      <c r="D3279" s="80">
        <v>2210703</v>
      </c>
      <c r="E3279" s="158" t="s">
        <v>107</v>
      </c>
      <c r="F3279" s="169">
        <v>350000</v>
      </c>
      <c r="H3279" s="46"/>
      <c r="I3279" s="46"/>
      <c r="J3279" s="80">
        <v>2210703</v>
      </c>
      <c r="K3279" s="158" t="s">
        <v>107</v>
      </c>
      <c r="L3279" s="169">
        <v>350000</v>
      </c>
      <c r="N3279" s="169">
        <f t="shared" si="51"/>
        <v>0</v>
      </c>
    </row>
    <row r="3280" spans="2:14">
      <c r="B3280" s="46"/>
      <c r="C3280" s="46"/>
      <c r="D3280" s="80">
        <v>2210704</v>
      </c>
      <c r="E3280" s="158" t="s">
        <v>38</v>
      </c>
      <c r="F3280" s="169">
        <v>232000</v>
      </c>
      <c r="H3280" s="46"/>
      <c r="I3280" s="46"/>
      <c r="J3280" s="80">
        <v>2210704</v>
      </c>
      <c r="K3280" s="158" t="s">
        <v>38</v>
      </c>
      <c r="L3280" s="169">
        <v>232000</v>
      </c>
      <c r="N3280" s="169">
        <f t="shared" si="51"/>
        <v>0</v>
      </c>
    </row>
    <row r="3281" spans="2:14">
      <c r="B3281" s="46"/>
      <c r="C3281" s="46"/>
      <c r="D3281" s="80">
        <v>2210710</v>
      </c>
      <c r="E3281" s="158" t="s">
        <v>39</v>
      </c>
      <c r="F3281" s="169">
        <v>493000</v>
      </c>
      <c r="H3281" s="46"/>
      <c r="I3281" s="46"/>
      <c r="J3281" s="80">
        <v>2210710</v>
      </c>
      <c r="K3281" s="158" t="s">
        <v>39</v>
      </c>
      <c r="L3281" s="169">
        <v>493000</v>
      </c>
      <c r="N3281" s="169">
        <f t="shared" si="51"/>
        <v>0</v>
      </c>
    </row>
    <row r="3282" spans="2:14">
      <c r="B3282" s="46"/>
      <c r="C3282" s="46"/>
      <c r="D3282" s="1545">
        <v>2210800</v>
      </c>
      <c r="E3282" s="1546" t="s">
        <v>42</v>
      </c>
      <c r="F3282" s="1603">
        <v>5167000</v>
      </c>
      <c r="H3282" s="46"/>
      <c r="I3282" s="46"/>
      <c r="J3282" s="1545">
        <v>2210800</v>
      </c>
      <c r="K3282" s="1546" t="s">
        <v>42</v>
      </c>
      <c r="L3282" s="1603">
        <v>7167000</v>
      </c>
      <c r="N3282" s="1603">
        <f t="shared" si="51"/>
        <v>-2000000</v>
      </c>
    </row>
    <row r="3283" spans="2:14">
      <c r="B3283" s="46"/>
      <c r="C3283" s="46"/>
      <c r="D3283" s="80">
        <v>2210801</v>
      </c>
      <c r="E3283" s="158" t="s">
        <v>43</v>
      </c>
      <c r="F3283" s="169">
        <v>1256000</v>
      </c>
      <c r="H3283" s="46"/>
      <c r="I3283" s="46"/>
      <c r="J3283" s="80">
        <v>2210801</v>
      </c>
      <c r="K3283" s="158" t="s">
        <v>43</v>
      </c>
      <c r="L3283" s="169">
        <v>2256000</v>
      </c>
      <c r="N3283" s="169">
        <f t="shared" si="51"/>
        <v>-1000000</v>
      </c>
    </row>
    <row r="3284" spans="2:14">
      <c r="B3284" s="46"/>
      <c r="C3284" s="46"/>
      <c r="D3284" s="80">
        <v>2210802</v>
      </c>
      <c r="E3284" s="158" t="s">
        <v>1821</v>
      </c>
      <c r="F3284" s="169">
        <v>3911000</v>
      </c>
      <c r="H3284" s="46"/>
      <c r="I3284" s="46"/>
      <c r="J3284" s="80">
        <v>2210802</v>
      </c>
      <c r="K3284" s="158" t="s">
        <v>1821</v>
      </c>
      <c r="L3284" s="169">
        <v>4911000</v>
      </c>
      <c r="N3284" s="169">
        <f t="shared" si="51"/>
        <v>-1000000</v>
      </c>
    </row>
    <row r="3285" spans="2:14">
      <c r="B3285" s="46"/>
      <c r="C3285" s="46"/>
      <c r="D3285" s="1545">
        <v>2211100</v>
      </c>
      <c r="E3285" s="1546" t="s">
        <v>51</v>
      </c>
      <c r="F3285" s="1603">
        <v>692000</v>
      </c>
      <c r="H3285" s="46"/>
      <c r="I3285" s="46"/>
      <c r="J3285" s="1545">
        <v>2211100</v>
      </c>
      <c r="K3285" s="1546" t="s">
        <v>51</v>
      </c>
      <c r="L3285" s="1603">
        <v>692000</v>
      </c>
      <c r="N3285" s="1603">
        <f t="shared" si="51"/>
        <v>0</v>
      </c>
    </row>
    <row r="3286" spans="2:14">
      <c r="B3286" s="46"/>
      <c r="C3286" s="46"/>
      <c r="D3286" s="80">
        <v>2211101</v>
      </c>
      <c r="E3286" s="158" t="s">
        <v>52</v>
      </c>
      <c r="F3286" s="169">
        <v>360000</v>
      </c>
      <c r="H3286" s="46"/>
      <c r="I3286" s="46"/>
      <c r="J3286" s="80">
        <v>2211101</v>
      </c>
      <c r="K3286" s="158" t="s">
        <v>52</v>
      </c>
      <c r="L3286" s="169">
        <v>360000</v>
      </c>
      <c r="N3286" s="169">
        <f t="shared" si="51"/>
        <v>0</v>
      </c>
    </row>
    <row r="3287" spans="2:14">
      <c r="B3287" s="46"/>
      <c r="C3287" s="46"/>
      <c r="D3287" s="80">
        <v>2211102</v>
      </c>
      <c r="E3287" s="158" t="s">
        <v>53</v>
      </c>
      <c r="F3287" s="169">
        <v>332000</v>
      </c>
      <c r="H3287" s="46"/>
      <c r="I3287" s="46"/>
      <c r="J3287" s="80">
        <v>2211102</v>
      </c>
      <c r="K3287" s="158" t="s">
        <v>53</v>
      </c>
      <c r="L3287" s="169">
        <v>332000</v>
      </c>
      <c r="N3287" s="169">
        <f t="shared" si="51"/>
        <v>0</v>
      </c>
    </row>
    <row r="3288" spans="2:14">
      <c r="B3288" s="46"/>
      <c r="C3288" s="46"/>
      <c r="D3288" s="1545">
        <v>2211200</v>
      </c>
      <c r="E3288" s="1546" t="s">
        <v>55</v>
      </c>
      <c r="F3288" s="1603">
        <v>435000</v>
      </c>
      <c r="H3288" s="46"/>
      <c r="I3288" s="46"/>
      <c r="J3288" s="1545">
        <v>2211200</v>
      </c>
      <c r="K3288" s="1546" t="s">
        <v>55</v>
      </c>
      <c r="L3288" s="1603">
        <v>435000</v>
      </c>
      <c r="N3288" s="1603">
        <f t="shared" si="51"/>
        <v>0</v>
      </c>
    </row>
    <row r="3289" spans="2:14">
      <c r="B3289" s="46"/>
      <c r="C3289" s="46"/>
      <c r="D3289" s="80">
        <v>2211201</v>
      </c>
      <c r="E3289" s="158" t="s">
        <v>56</v>
      </c>
      <c r="F3289" s="169">
        <v>435000</v>
      </c>
      <c r="H3289" s="46"/>
      <c r="I3289" s="46"/>
      <c r="J3289" s="80">
        <v>2211201</v>
      </c>
      <c r="K3289" s="158" t="s">
        <v>56</v>
      </c>
      <c r="L3289" s="169">
        <v>435000</v>
      </c>
      <c r="N3289" s="169">
        <f t="shared" si="51"/>
        <v>0</v>
      </c>
    </row>
    <row r="3290" spans="2:14">
      <c r="B3290" s="46"/>
      <c r="C3290" s="46"/>
      <c r="D3290" s="1545">
        <v>2220200</v>
      </c>
      <c r="E3290" s="1546" t="s">
        <v>86</v>
      </c>
      <c r="F3290" s="1603">
        <v>240200</v>
      </c>
      <c r="H3290" s="46"/>
      <c r="I3290" s="46"/>
      <c r="J3290" s="1545">
        <v>2220200</v>
      </c>
      <c r="K3290" s="1546" t="s">
        <v>86</v>
      </c>
      <c r="L3290" s="1603">
        <v>240200</v>
      </c>
      <c r="N3290" s="1603">
        <f t="shared" si="51"/>
        <v>0</v>
      </c>
    </row>
    <row r="3291" spans="2:14">
      <c r="B3291" s="46"/>
      <c r="C3291" s="46"/>
      <c r="D3291" s="80">
        <v>2220202</v>
      </c>
      <c r="E3291" s="158" t="s">
        <v>87</v>
      </c>
      <c r="F3291" s="169">
        <v>240200</v>
      </c>
      <c r="H3291" s="46"/>
      <c r="I3291" s="46"/>
      <c r="J3291" s="80">
        <v>2220202</v>
      </c>
      <c r="K3291" s="158" t="s">
        <v>87</v>
      </c>
      <c r="L3291" s="169">
        <v>240200</v>
      </c>
      <c r="N3291" s="169">
        <f t="shared" si="51"/>
        <v>0</v>
      </c>
    </row>
    <row r="3292" spans="2:14">
      <c r="B3292" s="46"/>
      <c r="C3292" s="46"/>
      <c r="D3292" s="1545">
        <v>3111000</v>
      </c>
      <c r="E3292" s="1546" t="s">
        <v>69</v>
      </c>
      <c r="F3292" s="1603">
        <v>500000</v>
      </c>
      <c r="H3292" s="46"/>
      <c r="I3292" s="46"/>
      <c r="J3292" s="1545">
        <v>3111000</v>
      </c>
      <c r="K3292" s="1546" t="s">
        <v>69</v>
      </c>
      <c r="L3292" s="1603">
        <v>500000</v>
      </c>
      <c r="N3292" s="1603">
        <f t="shared" si="51"/>
        <v>0</v>
      </c>
    </row>
    <row r="3293" spans="2:14">
      <c r="B3293" s="46"/>
      <c r="C3293" s="46"/>
      <c r="D3293" s="80">
        <v>3111002</v>
      </c>
      <c r="E3293" s="158" t="s">
        <v>71</v>
      </c>
      <c r="F3293" s="169">
        <v>500000</v>
      </c>
      <c r="H3293" s="46"/>
      <c r="I3293" s="46"/>
      <c r="J3293" s="80">
        <v>3111002</v>
      </c>
      <c r="K3293" s="158" t="s">
        <v>71</v>
      </c>
      <c r="L3293" s="169">
        <v>500000</v>
      </c>
      <c r="N3293" s="169">
        <f t="shared" si="51"/>
        <v>0</v>
      </c>
    </row>
    <row r="3294" spans="2:14">
      <c r="B3294" s="46"/>
      <c r="C3294" s="46"/>
      <c r="D3294" s="1507"/>
      <c r="E3294" s="1620" t="s">
        <v>99</v>
      </c>
      <c r="F3294" s="1660">
        <v>13829321.047798842</v>
      </c>
      <c r="H3294" s="46"/>
      <c r="I3294" s="46"/>
      <c r="J3294" s="1507"/>
      <c r="K3294" s="1620" t="s">
        <v>99</v>
      </c>
      <c r="L3294" s="1660">
        <v>25353160</v>
      </c>
      <c r="N3294" s="1660">
        <f t="shared" si="51"/>
        <v>-11523838.952201158</v>
      </c>
    </row>
    <row r="3295" spans="2:14">
      <c r="B3295" s="46"/>
      <c r="C3295" s="46"/>
      <c r="D3295" s="1507"/>
      <c r="E3295" s="1620" t="s">
        <v>627</v>
      </c>
      <c r="F3295" s="1660">
        <v>13829321.047798842</v>
      </c>
      <c r="H3295" s="46"/>
      <c r="I3295" s="46"/>
      <c r="J3295" s="1507"/>
      <c r="K3295" s="1620" t="s">
        <v>627</v>
      </c>
      <c r="L3295" s="1660">
        <v>25353160</v>
      </c>
      <c r="N3295" s="1660">
        <f t="shared" si="51"/>
        <v>-11523838.952201158</v>
      </c>
    </row>
    <row r="3296" spans="2:14">
      <c r="B3296" s="46"/>
      <c r="C3296" s="46"/>
      <c r="D3296" s="61"/>
      <c r="E3296" s="1680"/>
      <c r="F3296" s="164"/>
      <c r="H3296" s="46"/>
      <c r="I3296" s="46"/>
      <c r="J3296" s="61"/>
      <c r="K3296" s="1680"/>
      <c r="L3296" s="164"/>
      <c r="N3296" s="164">
        <f t="shared" si="51"/>
        <v>0</v>
      </c>
    </row>
    <row r="3297" spans="2:14">
      <c r="B3297" s="46"/>
      <c r="C3297" s="46"/>
      <c r="D3297" s="1671" t="s">
        <v>628</v>
      </c>
      <c r="E3297" s="1680"/>
      <c r="F3297" s="1636"/>
      <c r="H3297" s="46"/>
      <c r="I3297" s="46"/>
      <c r="J3297" s="1671" t="s">
        <v>628</v>
      </c>
      <c r="K3297" s="1680"/>
      <c r="L3297" s="1636"/>
      <c r="N3297" s="1636">
        <f t="shared" si="51"/>
        <v>0</v>
      </c>
    </row>
    <row r="3298" spans="2:14">
      <c r="B3298" s="46"/>
      <c r="C3298" s="46"/>
      <c r="D3298" s="1545">
        <v>2210200</v>
      </c>
      <c r="E3298" s="1546" t="s">
        <v>20</v>
      </c>
      <c r="F3298" s="1603">
        <v>242600</v>
      </c>
      <c r="H3298" s="46"/>
      <c r="I3298" s="46"/>
      <c r="J3298" s="1545">
        <v>2210200</v>
      </c>
      <c r="K3298" s="1546" t="s">
        <v>20</v>
      </c>
      <c r="L3298" s="1603">
        <v>242600</v>
      </c>
      <c r="N3298" s="1603">
        <f t="shared" si="51"/>
        <v>0</v>
      </c>
    </row>
    <row r="3299" spans="2:14">
      <c r="B3299" s="46"/>
      <c r="C3299" s="46"/>
      <c r="D3299" s="80">
        <v>2210201</v>
      </c>
      <c r="E3299" s="158" t="s">
        <v>113</v>
      </c>
      <c r="F3299" s="169">
        <v>242600</v>
      </c>
      <c r="H3299" s="46"/>
      <c r="I3299" s="46"/>
      <c r="J3299" s="80">
        <v>2210201</v>
      </c>
      <c r="K3299" s="158" t="s">
        <v>113</v>
      </c>
      <c r="L3299" s="169">
        <v>242600</v>
      </c>
      <c r="N3299" s="169">
        <f t="shared" si="51"/>
        <v>0</v>
      </c>
    </row>
    <row r="3300" spans="2:14">
      <c r="B3300" s="46"/>
      <c r="C3300" s="46"/>
      <c r="D3300" s="1545">
        <v>2210300</v>
      </c>
      <c r="E3300" s="1546" t="s">
        <v>24</v>
      </c>
      <c r="F3300" s="1603">
        <v>2259800</v>
      </c>
      <c r="H3300" s="46"/>
      <c r="I3300" s="46"/>
      <c r="J3300" s="1545">
        <v>2210300</v>
      </c>
      <c r="K3300" s="1546" t="s">
        <v>24</v>
      </c>
      <c r="L3300" s="1603">
        <v>3259800</v>
      </c>
      <c r="N3300" s="1603">
        <f t="shared" si="51"/>
        <v>-1000000</v>
      </c>
    </row>
    <row r="3301" spans="2:14">
      <c r="B3301" s="46"/>
      <c r="C3301" s="46"/>
      <c r="D3301" s="80">
        <v>2210301</v>
      </c>
      <c r="E3301" s="158" t="s">
        <v>25</v>
      </c>
      <c r="F3301" s="169">
        <v>290000</v>
      </c>
      <c r="H3301" s="46"/>
      <c r="I3301" s="46"/>
      <c r="J3301" s="80">
        <v>2210301</v>
      </c>
      <c r="K3301" s="158" t="s">
        <v>25</v>
      </c>
      <c r="L3301" s="169">
        <v>290000</v>
      </c>
      <c r="N3301" s="169">
        <f t="shared" si="51"/>
        <v>0</v>
      </c>
    </row>
    <row r="3302" spans="2:14">
      <c r="B3302" s="46"/>
      <c r="C3302" s="46"/>
      <c r="D3302" s="80">
        <v>2210302</v>
      </c>
      <c r="E3302" s="158" t="s">
        <v>26</v>
      </c>
      <c r="F3302" s="169">
        <v>1100800</v>
      </c>
      <c r="H3302" s="46"/>
      <c r="I3302" s="46"/>
      <c r="J3302" s="80">
        <v>2210302</v>
      </c>
      <c r="K3302" s="158" t="s">
        <v>26</v>
      </c>
      <c r="L3302" s="169">
        <v>2100800</v>
      </c>
      <c r="N3302" s="169">
        <f t="shared" si="51"/>
        <v>-1000000</v>
      </c>
    </row>
    <row r="3303" spans="2:14">
      <c r="B3303" s="46"/>
      <c r="C3303" s="46"/>
      <c r="D3303" s="80">
        <v>2210303</v>
      </c>
      <c r="E3303" s="158" t="s">
        <v>1790</v>
      </c>
      <c r="F3303" s="169">
        <v>830000</v>
      </c>
      <c r="H3303" s="46"/>
      <c r="I3303" s="46"/>
      <c r="J3303" s="80">
        <v>2210303</v>
      </c>
      <c r="K3303" s="158" t="s">
        <v>1790</v>
      </c>
      <c r="L3303" s="169">
        <v>830000</v>
      </c>
      <c r="N3303" s="169">
        <f t="shared" si="51"/>
        <v>0</v>
      </c>
    </row>
    <row r="3304" spans="2:14">
      <c r="B3304" s="46"/>
      <c r="C3304" s="46"/>
      <c r="D3304" s="80">
        <v>2210304</v>
      </c>
      <c r="E3304" s="158" t="s">
        <v>629</v>
      </c>
      <c r="F3304" s="169">
        <v>39000</v>
      </c>
      <c r="H3304" s="46"/>
      <c r="I3304" s="46"/>
      <c r="J3304" s="80">
        <v>2210304</v>
      </c>
      <c r="K3304" s="158" t="s">
        <v>629</v>
      </c>
      <c r="L3304" s="169">
        <v>39000</v>
      </c>
      <c r="N3304" s="169">
        <f t="shared" si="51"/>
        <v>0</v>
      </c>
    </row>
    <row r="3305" spans="2:14">
      <c r="B3305" s="46"/>
      <c r="C3305" s="46"/>
      <c r="D3305" s="1545">
        <v>2210500</v>
      </c>
      <c r="E3305" s="1546" t="s">
        <v>31</v>
      </c>
      <c r="F3305" s="1603">
        <v>679000</v>
      </c>
      <c r="H3305" s="46"/>
      <c r="I3305" s="46"/>
      <c r="J3305" s="1545">
        <v>2210500</v>
      </c>
      <c r="K3305" s="1546" t="s">
        <v>31</v>
      </c>
      <c r="L3305" s="1603">
        <v>679000</v>
      </c>
      <c r="N3305" s="1603">
        <f t="shared" si="51"/>
        <v>0</v>
      </c>
    </row>
    <row r="3306" spans="2:14">
      <c r="B3306" s="46"/>
      <c r="C3306" s="46"/>
      <c r="D3306" s="80">
        <v>2210502</v>
      </c>
      <c r="E3306" s="158" t="s">
        <v>245</v>
      </c>
      <c r="F3306" s="169">
        <v>250000</v>
      </c>
      <c r="H3306" s="46"/>
      <c r="I3306" s="46"/>
      <c r="J3306" s="80">
        <v>2210502</v>
      </c>
      <c r="K3306" s="158" t="s">
        <v>245</v>
      </c>
      <c r="L3306" s="169">
        <v>250000</v>
      </c>
      <c r="N3306" s="169">
        <f t="shared" si="51"/>
        <v>0</v>
      </c>
    </row>
    <row r="3307" spans="2:14">
      <c r="B3307" s="46"/>
      <c r="C3307" s="46"/>
      <c r="D3307" s="80">
        <v>2210503</v>
      </c>
      <c r="E3307" s="158" t="s">
        <v>32</v>
      </c>
      <c r="F3307" s="169">
        <v>110000</v>
      </c>
      <c r="H3307" s="46"/>
      <c r="I3307" s="46"/>
      <c r="J3307" s="80">
        <v>2210503</v>
      </c>
      <c r="K3307" s="158" t="s">
        <v>32</v>
      </c>
      <c r="L3307" s="169">
        <v>110000</v>
      </c>
      <c r="N3307" s="169">
        <f t="shared" si="51"/>
        <v>0</v>
      </c>
    </row>
    <row r="3308" spans="2:14">
      <c r="B3308" s="46"/>
      <c r="C3308" s="46"/>
      <c r="D3308" s="80">
        <v>2210504</v>
      </c>
      <c r="E3308" s="158" t="s">
        <v>106</v>
      </c>
      <c r="F3308" s="169">
        <v>319000</v>
      </c>
      <c r="H3308" s="46"/>
      <c r="I3308" s="46"/>
      <c r="J3308" s="80">
        <v>2210504</v>
      </c>
      <c r="K3308" s="158" t="s">
        <v>106</v>
      </c>
      <c r="L3308" s="169">
        <v>319000</v>
      </c>
      <c r="N3308" s="169">
        <f t="shared" si="51"/>
        <v>0</v>
      </c>
    </row>
    <row r="3309" spans="2:14">
      <c r="B3309" s="46"/>
      <c r="C3309" s="46"/>
      <c r="D3309" s="1545">
        <v>2210700</v>
      </c>
      <c r="E3309" s="1546" t="s">
        <v>35</v>
      </c>
      <c r="F3309" s="1603">
        <v>620300</v>
      </c>
      <c r="H3309" s="46"/>
      <c r="I3309" s="46"/>
      <c r="J3309" s="1545">
        <v>2210700</v>
      </c>
      <c r="K3309" s="1546" t="s">
        <v>35</v>
      </c>
      <c r="L3309" s="1603">
        <v>620300</v>
      </c>
      <c r="N3309" s="1603">
        <f t="shared" si="51"/>
        <v>0</v>
      </c>
    </row>
    <row r="3310" spans="2:14">
      <c r="B3310" s="46"/>
      <c r="C3310" s="46"/>
      <c r="D3310" s="80">
        <v>2210701</v>
      </c>
      <c r="E3310" s="158" t="s">
        <v>36</v>
      </c>
      <c r="F3310" s="169">
        <v>232000</v>
      </c>
      <c r="H3310" s="46"/>
      <c r="I3310" s="46"/>
      <c r="J3310" s="80">
        <v>2210701</v>
      </c>
      <c r="K3310" s="158" t="s">
        <v>36</v>
      </c>
      <c r="L3310" s="169">
        <v>232000</v>
      </c>
      <c r="N3310" s="169">
        <f t="shared" si="51"/>
        <v>0</v>
      </c>
    </row>
    <row r="3311" spans="2:14">
      <c r="B3311" s="46"/>
      <c r="C3311" s="46"/>
      <c r="D3311" s="80">
        <v>2210703</v>
      </c>
      <c r="E3311" s="158" t="s">
        <v>107</v>
      </c>
      <c r="F3311" s="169">
        <v>91900</v>
      </c>
      <c r="H3311" s="46"/>
      <c r="I3311" s="46"/>
      <c r="J3311" s="80">
        <v>2210703</v>
      </c>
      <c r="K3311" s="158" t="s">
        <v>107</v>
      </c>
      <c r="L3311" s="169">
        <v>91900</v>
      </c>
      <c r="N3311" s="169">
        <f t="shared" si="51"/>
        <v>0</v>
      </c>
    </row>
    <row r="3312" spans="2:14">
      <c r="B3312" s="46"/>
      <c r="C3312" s="46"/>
      <c r="D3312" s="80">
        <v>2210704</v>
      </c>
      <c r="E3312" s="158" t="s">
        <v>38</v>
      </c>
      <c r="F3312" s="169">
        <v>58000</v>
      </c>
      <c r="H3312" s="46"/>
      <c r="I3312" s="46"/>
      <c r="J3312" s="80">
        <v>2210704</v>
      </c>
      <c r="K3312" s="158" t="s">
        <v>38</v>
      </c>
      <c r="L3312" s="169">
        <v>58000</v>
      </c>
      <c r="N3312" s="169">
        <f t="shared" si="51"/>
        <v>0</v>
      </c>
    </row>
    <row r="3313" spans="2:14">
      <c r="B3313" s="46"/>
      <c r="C3313" s="46"/>
      <c r="D3313" s="80">
        <v>2210710</v>
      </c>
      <c r="E3313" s="158" t="s">
        <v>39</v>
      </c>
      <c r="F3313" s="169">
        <v>238400</v>
      </c>
      <c r="H3313" s="46"/>
      <c r="I3313" s="46"/>
      <c r="J3313" s="80">
        <v>2210710</v>
      </c>
      <c r="K3313" s="158" t="s">
        <v>39</v>
      </c>
      <c r="L3313" s="169">
        <v>238400</v>
      </c>
      <c r="N3313" s="169">
        <f t="shared" si="51"/>
        <v>0</v>
      </c>
    </row>
    <row r="3314" spans="2:14">
      <c r="B3314" s="46"/>
      <c r="C3314" s="46"/>
      <c r="D3314" s="1545">
        <v>2211100</v>
      </c>
      <c r="E3314" s="1546" t="s">
        <v>51</v>
      </c>
      <c r="F3314" s="1603">
        <v>659500</v>
      </c>
      <c r="H3314" s="46"/>
      <c r="I3314" s="46"/>
      <c r="J3314" s="1545">
        <v>2211100</v>
      </c>
      <c r="K3314" s="1546" t="s">
        <v>51</v>
      </c>
      <c r="L3314" s="1603">
        <v>659500</v>
      </c>
      <c r="N3314" s="1603">
        <f t="shared" si="51"/>
        <v>0</v>
      </c>
    </row>
    <row r="3315" spans="2:14">
      <c r="B3315" s="46"/>
      <c r="C3315" s="46"/>
      <c r="D3315" s="80">
        <v>2211101</v>
      </c>
      <c r="E3315" s="158" t="s">
        <v>52</v>
      </c>
      <c r="F3315" s="169">
        <v>309500</v>
      </c>
      <c r="H3315" s="46"/>
      <c r="I3315" s="46"/>
      <c r="J3315" s="80">
        <v>2211101</v>
      </c>
      <c r="K3315" s="158" t="s">
        <v>52</v>
      </c>
      <c r="L3315" s="169">
        <v>309500</v>
      </c>
      <c r="N3315" s="169">
        <f t="shared" si="51"/>
        <v>0</v>
      </c>
    </row>
    <row r="3316" spans="2:14">
      <c r="B3316" s="46"/>
      <c r="C3316" s="46"/>
      <c r="D3316" s="80">
        <v>2211102</v>
      </c>
      <c r="E3316" s="158" t="s">
        <v>53</v>
      </c>
      <c r="F3316" s="169">
        <v>350000</v>
      </c>
      <c r="H3316" s="46"/>
      <c r="I3316" s="46"/>
      <c r="J3316" s="80">
        <v>2211102</v>
      </c>
      <c r="K3316" s="158" t="s">
        <v>53</v>
      </c>
      <c r="L3316" s="169">
        <v>350000</v>
      </c>
      <c r="N3316" s="169">
        <f t="shared" si="51"/>
        <v>0</v>
      </c>
    </row>
    <row r="3317" spans="2:14">
      <c r="B3317" s="46"/>
      <c r="C3317" s="46"/>
      <c r="D3317" s="1545">
        <v>2211200</v>
      </c>
      <c r="E3317" s="1546" t="s">
        <v>55</v>
      </c>
      <c r="F3317" s="1603">
        <v>27023.508921727538</v>
      </c>
      <c r="H3317" s="46"/>
      <c r="I3317" s="46"/>
      <c r="J3317" s="1545">
        <v>2211200</v>
      </c>
      <c r="K3317" s="1546" t="s">
        <v>55</v>
      </c>
      <c r="L3317" s="1603">
        <v>588000</v>
      </c>
      <c r="N3317" s="1603">
        <f t="shared" si="51"/>
        <v>-560976.49107827246</v>
      </c>
    </row>
    <row r="3318" spans="2:14">
      <c r="B3318" s="46"/>
      <c r="C3318" s="46"/>
      <c r="D3318" s="80">
        <v>2211201</v>
      </c>
      <c r="E3318" s="158" t="s">
        <v>56</v>
      </c>
      <c r="F3318" s="169">
        <v>27023.508921727538</v>
      </c>
      <c r="H3318" s="46"/>
      <c r="I3318" s="46"/>
      <c r="J3318" s="80">
        <v>2211201</v>
      </c>
      <c r="K3318" s="158" t="s">
        <v>56</v>
      </c>
      <c r="L3318" s="169">
        <v>588000</v>
      </c>
      <c r="N3318" s="169">
        <f t="shared" si="51"/>
        <v>-560976.49107827246</v>
      </c>
    </row>
    <row r="3319" spans="2:14">
      <c r="B3319" s="46"/>
      <c r="C3319" s="46"/>
      <c r="D3319" s="1545">
        <v>2211300</v>
      </c>
      <c r="E3319" s="1546" t="s">
        <v>57</v>
      </c>
      <c r="F3319" s="1603">
        <v>0</v>
      </c>
      <c r="H3319" s="46"/>
      <c r="I3319" s="46"/>
      <c r="J3319" s="1545">
        <v>2211300</v>
      </c>
      <c r="K3319" s="1546" t="s">
        <v>57</v>
      </c>
      <c r="L3319" s="1603">
        <v>1500000</v>
      </c>
      <c r="N3319" s="1603">
        <f t="shared" si="51"/>
        <v>-1500000</v>
      </c>
    </row>
    <row r="3320" spans="2:14" ht="30">
      <c r="B3320" s="46"/>
      <c r="C3320" s="46"/>
      <c r="D3320" s="80">
        <v>2211320</v>
      </c>
      <c r="E3320" s="158" t="s">
        <v>630</v>
      </c>
      <c r="F3320" s="169">
        <v>0</v>
      </c>
      <c r="H3320" s="46"/>
      <c r="I3320" s="46"/>
      <c r="J3320" s="80">
        <v>2211320</v>
      </c>
      <c r="K3320" s="158" t="s">
        <v>630</v>
      </c>
      <c r="L3320" s="169">
        <v>1500000</v>
      </c>
      <c r="N3320" s="169">
        <f t="shared" si="51"/>
        <v>-1500000</v>
      </c>
    </row>
    <row r="3321" spans="2:14">
      <c r="B3321" s="46"/>
      <c r="C3321" s="46"/>
      <c r="D3321" s="1545">
        <v>3111000</v>
      </c>
      <c r="E3321" s="1546" t="s">
        <v>69</v>
      </c>
      <c r="F3321" s="1603">
        <v>385200</v>
      </c>
      <c r="H3321" s="46"/>
      <c r="I3321" s="46"/>
      <c r="J3321" s="1545">
        <v>3111000</v>
      </c>
      <c r="K3321" s="1546" t="s">
        <v>69</v>
      </c>
      <c r="L3321" s="1603">
        <v>1385200</v>
      </c>
      <c r="N3321" s="1603">
        <f t="shared" si="51"/>
        <v>-1000000</v>
      </c>
    </row>
    <row r="3322" spans="2:14">
      <c r="B3322" s="46"/>
      <c r="C3322" s="46"/>
      <c r="D3322" s="80">
        <v>3111002</v>
      </c>
      <c r="E3322" s="158" t="s">
        <v>71</v>
      </c>
      <c r="F3322" s="169">
        <v>385200</v>
      </c>
      <c r="H3322" s="46"/>
      <c r="I3322" s="46"/>
      <c r="J3322" s="80">
        <v>3111002</v>
      </c>
      <c r="K3322" s="158" t="s">
        <v>71</v>
      </c>
      <c r="L3322" s="169">
        <v>1385200</v>
      </c>
      <c r="N3322" s="169">
        <f t="shared" si="51"/>
        <v>-1000000</v>
      </c>
    </row>
    <row r="3323" spans="2:14">
      <c r="B3323" s="46"/>
      <c r="C3323" s="46"/>
      <c r="D3323" s="1507"/>
      <c r="E3323" s="1620" t="s">
        <v>99</v>
      </c>
      <c r="F3323" s="1660">
        <v>4873423.5089217275</v>
      </c>
      <c r="H3323" s="46"/>
      <c r="I3323" s="46"/>
      <c r="J3323" s="1507"/>
      <c r="K3323" s="1620" t="s">
        <v>99</v>
      </c>
      <c r="L3323" s="1660">
        <v>8934400</v>
      </c>
      <c r="N3323" s="1660">
        <f t="shared" si="51"/>
        <v>-4060976.4910782725</v>
      </c>
    </row>
    <row r="3324" spans="2:14">
      <c r="B3324" s="46"/>
      <c r="C3324" s="46"/>
      <c r="D3324" s="1507"/>
      <c r="E3324" s="1620" t="s">
        <v>627</v>
      </c>
      <c r="F3324" s="1660">
        <v>4873423.5089217275</v>
      </c>
      <c r="H3324" s="46"/>
      <c r="I3324" s="46"/>
      <c r="J3324" s="1507"/>
      <c r="K3324" s="1620" t="s">
        <v>627</v>
      </c>
      <c r="L3324" s="1660">
        <v>8934400</v>
      </c>
      <c r="N3324" s="1660">
        <f t="shared" si="51"/>
        <v>-4060976.4910782725</v>
      </c>
    </row>
    <row r="3325" spans="2:14">
      <c r="B3325" s="46"/>
      <c r="C3325" s="46"/>
      <c r="D3325" s="1671"/>
      <c r="E3325" s="1620" t="s">
        <v>631</v>
      </c>
      <c r="F3325" s="1660">
        <v>42906712.81637235</v>
      </c>
      <c r="H3325" s="46"/>
      <c r="I3325" s="46"/>
      <c r="J3325" s="1671"/>
      <c r="K3325" s="1620" t="s">
        <v>631</v>
      </c>
      <c r="L3325" s="1660">
        <v>78660460</v>
      </c>
      <c r="N3325" s="1660">
        <f t="shared" si="51"/>
        <v>-35753747.18362765</v>
      </c>
    </row>
    <row r="3326" spans="2:14">
      <c r="B3326" s="46"/>
      <c r="C3326" s="46"/>
      <c r="D3326" s="1671"/>
      <c r="E3326" s="1680"/>
      <c r="F3326" s="1636"/>
      <c r="H3326" s="46"/>
      <c r="I3326" s="46"/>
      <c r="J3326" s="1671"/>
      <c r="K3326" s="1680"/>
      <c r="L3326" s="1636"/>
      <c r="N3326" s="1636">
        <f t="shared" si="51"/>
        <v>0</v>
      </c>
    </row>
    <row r="3327" spans="2:14">
      <c r="B3327" s="46"/>
      <c r="C3327" s="46"/>
      <c r="D3327" s="1671"/>
      <c r="E3327" s="1680"/>
      <c r="F3327" s="1636"/>
      <c r="H3327" s="46"/>
      <c r="I3327" s="46"/>
      <c r="J3327" s="1671"/>
      <c r="K3327" s="1680"/>
      <c r="L3327" s="1636"/>
      <c r="N3327" s="1636">
        <f t="shared" si="51"/>
        <v>0</v>
      </c>
    </row>
    <row r="3328" spans="2:14">
      <c r="B3328" s="46"/>
      <c r="C3328" s="46"/>
      <c r="D3328" s="1671"/>
      <c r="E3328" s="1680"/>
      <c r="F3328" s="1636"/>
      <c r="H3328" s="46"/>
      <c r="I3328" s="46"/>
      <c r="J3328" s="1671"/>
      <c r="K3328" s="1680"/>
      <c r="L3328" s="1636"/>
      <c r="N3328" s="1636">
        <f t="shared" si="51"/>
        <v>0</v>
      </c>
    </row>
    <row r="3329" spans="2:14">
      <c r="B3329" s="46"/>
      <c r="C3329" s="46"/>
      <c r="D3329" s="1507" t="s">
        <v>632</v>
      </c>
      <c r="E3329" s="1620"/>
      <c r="F3329" s="1660"/>
      <c r="H3329" s="46"/>
      <c r="I3329" s="46"/>
      <c r="J3329" s="1507" t="s">
        <v>632</v>
      </c>
      <c r="K3329" s="1620"/>
      <c r="L3329" s="1660"/>
      <c r="N3329" s="1660">
        <f t="shared" si="51"/>
        <v>0</v>
      </c>
    </row>
    <row r="3330" spans="2:14">
      <c r="B3330" s="46"/>
      <c r="C3330" s="46"/>
      <c r="D3330" s="1671" t="s">
        <v>633</v>
      </c>
      <c r="E3330" s="1680"/>
      <c r="F3330" s="1636"/>
      <c r="H3330" s="46"/>
      <c r="I3330" s="46"/>
      <c r="J3330" s="1671" t="s">
        <v>633</v>
      </c>
      <c r="K3330" s="1680"/>
      <c r="L3330" s="1636"/>
      <c r="N3330" s="1636">
        <f t="shared" si="51"/>
        <v>0</v>
      </c>
    </row>
    <row r="3331" spans="2:14">
      <c r="B3331" s="46"/>
      <c r="C3331" s="46"/>
      <c r="D3331" s="1671" t="s">
        <v>634</v>
      </c>
      <c r="E3331" s="1680"/>
      <c r="F3331" s="1636"/>
      <c r="H3331" s="46"/>
      <c r="I3331" s="46"/>
      <c r="J3331" s="1671" t="s">
        <v>634</v>
      </c>
      <c r="K3331" s="1680"/>
      <c r="L3331" s="1636"/>
      <c r="N3331" s="1636">
        <f t="shared" si="51"/>
        <v>0</v>
      </c>
    </row>
    <row r="3332" spans="2:14">
      <c r="B3332" s="46"/>
      <c r="C3332" s="46"/>
      <c r="D3332" s="1545">
        <v>2110200</v>
      </c>
      <c r="E3332" s="1546" t="s">
        <v>480</v>
      </c>
      <c r="F3332" s="1603">
        <v>0</v>
      </c>
      <c r="H3332" s="46"/>
      <c r="I3332" s="46"/>
      <c r="J3332" s="1545">
        <v>2110200</v>
      </c>
      <c r="K3332" s="1546" t="s">
        <v>480</v>
      </c>
      <c r="L3332" s="1603">
        <v>0</v>
      </c>
      <c r="N3332" s="1603">
        <f t="shared" si="51"/>
        <v>0</v>
      </c>
    </row>
    <row r="3333" spans="2:14">
      <c r="B3333" s="46"/>
      <c r="C3333" s="46"/>
      <c r="D3333" s="80">
        <v>2110202</v>
      </c>
      <c r="E3333" s="158" t="s">
        <v>635</v>
      </c>
      <c r="F3333" s="169">
        <v>0</v>
      </c>
      <c r="H3333" s="46"/>
      <c r="I3333" s="46"/>
      <c r="J3333" s="80">
        <v>2110202</v>
      </c>
      <c r="K3333" s="158" t="s">
        <v>635</v>
      </c>
      <c r="L3333" s="169">
        <v>0</v>
      </c>
      <c r="N3333" s="169">
        <f t="shared" si="51"/>
        <v>0</v>
      </c>
    </row>
    <row r="3334" spans="2:14">
      <c r="B3334" s="46"/>
      <c r="C3334" s="46"/>
      <c r="D3334" s="1545">
        <v>2210200</v>
      </c>
      <c r="E3334" s="1546" t="s">
        <v>20</v>
      </c>
      <c r="F3334" s="1603">
        <v>253000</v>
      </c>
      <c r="H3334" s="46"/>
      <c r="I3334" s="46"/>
      <c r="J3334" s="1545">
        <v>2210200</v>
      </c>
      <c r="K3334" s="1546" t="s">
        <v>20</v>
      </c>
      <c r="L3334" s="1603">
        <v>253000</v>
      </c>
      <c r="N3334" s="1603">
        <f t="shared" si="51"/>
        <v>0</v>
      </c>
    </row>
    <row r="3335" spans="2:14">
      <c r="B3335" s="46"/>
      <c r="C3335" s="46"/>
      <c r="D3335" s="80">
        <v>2210201</v>
      </c>
      <c r="E3335" s="158" t="s">
        <v>113</v>
      </c>
      <c r="F3335" s="169">
        <v>253000</v>
      </c>
      <c r="H3335" s="46"/>
      <c r="I3335" s="46"/>
      <c r="J3335" s="80">
        <v>2210201</v>
      </c>
      <c r="K3335" s="158" t="s">
        <v>113</v>
      </c>
      <c r="L3335" s="169">
        <v>253000</v>
      </c>
      <c r="N3335" s="169">
        <f t="shared" si="51"/>
        <v>0</v>
      </c>
    </row>
    <row r="3336" spans="2:14">
      <c r="B3336" s="46"/>
      <c r="C3336" s="46"/>
      <c r="D3336" s="1545">
        <v>2210300</v>
      </c>
      <c r="E3336" s="1546" t="s">
        <v>24</v>
      </c>
      <c r="F3336" s="1603">
        <v>5393000</v>
      </c>
      <c r="H3336" s="46"/>
      <c r="I3336" s="46"/>
      <c r="J3336" s="1545">
        <v>2210300</v>
      </c>
      <c r="K3336" s="1546" t="s">
        <v>24</v>
      </c>
      <c r="L3336" s="1603">
        <v>10393000</v>
      </c>
      <c r="N3336" s="1603">
        <f t="shared" ref="N3336:N3399" si="52">F3336-L3336</f>
        <v>-5000000</v>
      </c>
    </row>
    <row r="3337" spans="2:14">
      <c r="B3337" s="46"/>
      <c r="C3337" s="46"/>
      <c r="D3337" s="80">
        <v>2210301</v>
      </c>
      <c r="E3337" s="158" t="s">
        <v>25</v>
      </c>
      <c r="F3337" s="169">
        <v>1160000</v>
      </c>
      <c r="H3337" s="46"/>
      <c r="I3337" s="46"/>
      <c r="J3337" s="80">
        <v>2210301</v>
      </c>
      <c r="K3337" s="158" t="s">
        <v>25</v>
      </c>
      <c r="L3337" s="169">
        <v>1160000</v>
      </c>
      <c r="N3337" s="169">
        <f t="shared" si="52"/>
        <v>0</v>
      </c>
    </row>
    <row r="3338" spans="2:14">
      <c r="B3338" s="46"/>
      <c r="C3338" s="46"/>
      <c r="D3338" s="80">
        <v>2210302</v>
      </c>
      <c r="E3338" s="158" t="s">
        <v>26</v>
      </c>
      <c r="F3338" s="169">
        <v>1584000</v>
      </c>
      <c r="H3338" s="46"/>
      <c r="I3338" s="46"/>
      <c r="J3338" s="80">
        <v>2210302</v>
      </c>
      <c r="K3338" s="158" t="s">
        <v>26</v>
      </c>
      <c r="L3338" s="169">
        <v>2584000</v>
      </c>
      <c r="N3338" s="169">
        <f t="shared" si="52"/>
        <v>-1000000</v>
      </c>
    </row>
    <row r="3339" spans="2:14">
      <c r="B3339" s="46"/>
      <c r="C3339" s="46"/>
      <c r="D3339" s="80">
        <v>2210303</v>
      </c>
      <c r="E3339" s="158" t="s">
        <v>636</v>
      </c>
      <c r="F3339" s="169">
        <v>1269000</v>
      </c>
      <c r="H3339" s="46"/>
      <c r="I3339" s="46"/>
      <c r="J3339" s="80">
        <v>2210303</v>
      </c>
      <c r="K3339" s="158" t="s">
        <v>636</v>
      </c>
      <c r="L3339" s="169">
        <v>2269000</v>
      </c>
      <c r="N3339" s="169">
        <f t="shared" si="52"/>
        <v>-1000000</v>
      </c>
    </row>
    <row r="3340" spans="2:14">
      <c r="B3340" s="46"/>
      <c r="C3340" s="46"/>
      <c r="D3340" s="80">
        <v>2210304</v>
      </c>
      <c r="E3340" s="158" t="s">
        <v>629</v>
      </c>
      <c r="F3340" s="169">
        <v>870000</v>
      </c>
      <c r="H3340" s="46"/>
      <c r="I3340" s="46"/>
      <c r="J3340" s="80">
        <v>2210304</v>
      </c>
      <c r="K3340" s="158" t="s">
        <v>629</v>
      </c>
      <c r="L3340" s="169">
        <v>870000</v>
      </c>
      <c r="N3340" s="169">
        <f t="shared" si="52"/>
        <v>0</v>
      </c>
    </row>
    <row r="3341" spans="2:14">
      <c r="B3341" s="46"/>
      <c r="C3341" s="46"/>
      <c r="D3341" s="80">
        <v>2210309</v>
      </c>
      <c r="E3341" s="158" t="s">
        <v>637</v>
      </c>
      <c r="F3341" s="169">
        <v>510000</v>
      </c>
      <c r="H3341" s="46"/>
      <c r="I3341" s="46"/>
      <c r="J3341" s="80">
        <v>2210309</v>
      </c>
      <c r="K3341" s="158" t="s">
        <v>637</v>
      </c>
      <c r="L3341" s="169">
        <v>3510000</v>
      </c>
      <c r="N3341" s="169">
        <f t="shared" si="52"/>
        <v>-3000000</v>
      </c>
    </row>
    <row r="3342" spans="2:14">
      <c r="B3342" s="46"/>
      <c r="C3342" s="46"/>
      <c r="D3342" s="1545">
        <v>2210500</v>
      </c>
      <c r="E3342" s="1546" t="s">
        <v>31</v>
      </c>
      <c r="F3342" s="1603">
        <v>1728400</v>
      </c>
      <c r="H3342" s="46"/>
      <c r="I3342" s="46"/>
      <c r="J3342" s="1545">
        <v>2210500</v>
      </c>
      <c r="K3342" s="1546" t="s">
        <v>31</v>
      </c>
      <c r="L3342" s="1603">
        <v>3528400</v>
      </c>
      <c r="N3342" s="1603">
        <f t="shared" si="52"/>
        <v>-1800000</v>
      </c>
    </row>
    <row r="3343" spans="2:14">
      <c r="B3343" s="46"/>
      <c r="C3343" s="46"/>
      <c r="D3343" s="80">
        <v>2210502</v>
      </c>
      <c r="E3343" s="158" t="s">
        <v>638</v>
      </c>
      <c r="F3343" s="169">
        <v>776000</v>
      </c>
      <c r="H3343" s="46"/>
      <c r="I3343" s="46"/>
      <c r="J3343" s="80">
        <v>2210502</v>
      </c>
      <c r="K3343" s="158" t="s">
        <v>638</v>
      </c>
      <c r="L3343" s="169">
        <v>1576000</v>
      </c>
      <c r="N3343" s="169">
        <f t="shared" si="52"/>
        <v>-800000</v>
      </c>
    </row>
    <row r="3344" spans="2:14">
      <c r="B3344" s="46"/>
      <c r="C3344" s="46"/>
      <c r="D3344" s="80">
        <v>2210503</v>
      </c>
      <c r="E3344" s="158" t="s">
        <v>32</v>
      </c>
      <c r="F3344" s="169">
        <v>96400</v>
      </c>
      <c r="H3344" s="46"/>
      <c r="I3344" s="46"/>
      <c r="J3344" s="80">
        <v>2210503</v>
      </c>
      <c r="K3344" s="158" t="s">
        <v>32</v>
      </c>
      <c r="L3344" s="169">
        <v>96400</v>
      </c>
      <c r="N3344" s="169">
        <f t="shared" si="52"/>
        <v>0</v>
      </c>
    </row>
    <row r="3345" spans="2:14">
      <c r="B3345" s="46"/>
      <c r="C3345" s="46"/>
      <c r="D3345" s="80">
        <v>2210504</v>
      </c>
      <c r="E3345" s="158" t="s">
        <v>639</v>
      </c>
      <c r="F3345" s="169">
        <v>856000</v>
      </c>
      <c r="H3345" s="46"/>
      <c r="I3345" s="46"/>
      <c r="J3345" s="80">
        <v>2210504</v>
      </c>
      <c r="K3345" s="158" t="s">
        <v>639</v>
      </c>
      <c r="L3345" s="169">
        <v>1856000</v>
      </c>
      <c r="N3345" s="169">
        <f t="shared" si="52"/>
        <v>-1000000</v>
      </c>
    </row>
    <row r="3346" spans="2:14">
      <c r="B3346" s="46"/>
      <c r="C3346" s="46"/>
      <c r="D3346" s="1545">
        <v>2210700</v>
      </c>
      <c r="E3346" s="1546" t="s">
        <v>35</v>
      </c>
      <c r="F3346" s="1603">
        <v>997685.18460000004</v>
      </c>
      <c r="H3346" s="46"/>
      <c r="I3346" s="46"/>
      <c r="J3346" s="1545">
        <v>2210700</v>
      </c>
      <c r="K3346" s="1546" t="s">
        <v>35</v>
      </c>
      <c r="L3346" s="1603">
        <v>997685.18460000004</v>
      </c>
      <c r="N3346" s="1603">
        <f t="shared" si="52"/>
        <v>0</v>
      </c>
    </row>
    <row r="3347" spans="2:14">
      <c r="B3347" s="46"/>
      <c r="C3347" s="46"/>
      <c r="D3347" s="80">
        <v>2210703</v>
      </c>
      <c r="E3347" s="158" t="s">
        <v>107</v>
      </c>
      <c r="F3347" s="169">
        <v>591685.18460000004</v>
      </c>
      <c r="H3347" s="46"/>
      <c r="I3347" s="46"/>
      <c r="J3347" s="80">
        <v>2210703</v>
      </c>
      <c r="K3347" s="158" t="s">
        <v>107</v>
      </c>
      <c r="L3347" s="169">
        <v>591685.18460000004</v>
      </c>
      <c r="N3347" s="169">
        <f t="shared" si="52"/>
        <v>0</v>
      </c>
    </row>
    <row r="3348" spans="2:14">
      <c r="B3348" s="46"/>
      <c r="C3348" s="46"/>
      <c r="D3348" s="80">
        <v>2210704</v>
      </c>
      <c r="E3348" s="158" t="s">
        <v>38</v>
      </c>
      <c r="F3348" s="169">
        <v>290000</v>
      </c>
      <c r="H3348" s="46"/>
      <c r="I3348" s="46"/>
      <c r="J3348" s="80">
        <v>2210704</v>
      </c>
      <c r="K3348" s="158" t="s">
        <v>38</v>
      </c>
      <c r="L3348" s="169">
        <v>290000</v>
      </c>
      <c r="N3348" s="169">
        <f t="shared" si="52"/>
        <v>0</v>
      </c>
    </row>
    <row r="3349" spans="2:14">
      <c r="B3349" s="46"/>
      <c r="C3349" s="46"/>
      <c r="D3349" s="80">
        <v>2210710</v>
      </c>
      <c r="E3349" s="158" t="s">
        <v>39</v>
      </c>
      <c r="F3349" s="169">
        <v>116000</v>
      </c>
      <c r="H3349" s="46"/>
      <c r="I3349" s="46"/>
      <c r="J3349" s="80">
        <v>2210710</v>
      </c>
      <c r="K3349" s="158" t="s">
        <v>39</v>
      </c>
      <c r="L3349" s="169">
        <v>116000</v>
      </c>
      <c r="N3349" s="169">
        <f t="shared" si="52"/>
        <v>0</v>
      </c>
    </row>
    <row r="3350" spans="2:14">
      <c r="B3350" s="46"/>
      <c r="C3350" s="46"/>
      <c r="D3350" s="1545">
        <v>2211000</v>
      </c>
      <c r="E3350" s="1546" t="s">
        <v>118</v>
      </c>
      <c r="F3350" s="1603">
        <v>696000</v>
      </c>
      <c r="H3350" s="46"/>
      <c r="I3350" s="46"/>
      <c r="J3350" s="1545">
        <v>2211000</v>
      </c>
      <c r="K3350" s="1546" t="s">
        <v>118</v>
      </c>
      <c r="L3350" s="1603">
        <v>696000</v>
      </c>
      <c r="N3350" s="1603">
        <f t="shared" si="52"/>
        <v>0</v>
      </c>
    </row>
    <row r="3351" spans="2:14">
      <c r="B3351" s="46"/>
      <c r="C3351" s="46"/>
      <c r="D3351" s="80">
        <v>2211016</v>
      </c>
      <c r="E3351" s="158" t="s">
        <v>196</v>
      </c>
      <c r="F3351" s="169">
        <v>696000</v>
      </c>
      <c r="H3351" s="46"/>
      <c r="I3351" s="46"/>
      <c r="J3351" s="80">
        <v>2211016</v>
      </c>
      <c r="K3351" s="158" t="s">
        <v>196</v>
      </c>
      <c r="L3351" s="169">
        <v>696000</v>
      </c>
      <c r="N3351" s="169">
        <f t="shared" si="52"/>
        <v>0</v>
      </c>
    </row>
    <row r="3352" spans="2:14">
      <c r="B3352" s="46"/>
      <c r="C3352" s="46"/>
      <c r="D3352" s="1545">
        <v>2211100</v>
      </c>
      <c r="E3352" s="1546" t="s">
        <v>51</v>
      </c>
      <c r="F3352" s="1603">
        <v>878000</v>
      </c>
      <c r="H3352" s="46"/>
      <c r="I3352" s="46"/>
      <c r="J3352" s="1545">
        <v>2211100</v>
      </c>
      <c r="K3352" s="1546" t="s">
        <v>51</v>
      </c>
      <c r="L3352" s="1603">
        <v>878000</v>
      </c>
      <c r="N3352" s="1603">
        <f t="shared" si="52"/>
        <v>0</v>
      </c>
    </row>
    <row r="3353" spans="2:14">
      <c r="B3353" s="46"/>
      <c r="C3353" s="46"/>
      <c r="D3353" s="80">
        <v>2211101</v>
      </c>
      <c r="E3353" s="158" t="s">
        <v>52</v>
      </c>
      <c r="F3353" s="169">
        <v>261000</v>
      </c>
      <c r="H3353" s="46"/>
      <c r="I3353" s="46"/>
      <c r="J3353" s="80">
        <v>2211101</v>
      </c>
      <c r="K3353" s="158" t="s">
        <v>52</v>
      </c>
      <c r="L3353" s="169">
        <v>261000</v>
      </c>
      <c r="N3353" s="169">
        <f t="shared" si="52"/>
        <v>0</v>
      </c>
    </row>
    <row r="3354" spans="2:14">
      <c r="B3354" s="46"/>
      <c r="C3354" s="46"/>
      <c r="D3354" s="80">
        <v>2211102</v>
      </c>
      <c r="E3354" s="158" t="s">
        <v>53</v>
      </c>
      <c r="F3354" s="169">
        <v>467000</v>
      </c>
      <c r="H3354" s="46"/>
      <c r="I3354" s="46"/>
      <c r="J3354" s="80">
        <v>2211102</v>
      </c>
      <c r="K3354" s="158" t="s">
        <v>53</v>
      </c>
      <c r="L3354" s="169">
        <v>467000</v>
      </c>
      <c r="N3354" s="169">
        <f t="shared" si="52"/>
        <v>0</v>
      </c>
    </row>
    <row r="3355" spans="2:14">
      <c r="B3355" s="46"/>
      <c r="C3355" s="46"/>
      <c r="D3355" s="80">
        <v>2211103</v>
      </c>
      <c r="E3355" s="158" t="s">
        <v>54</v>
      </c>
      <c r="F3355" s="169">
        <v>150000</v>
      </c>
      <c r="H3355" s="46"/>
      <c r="I3355" s="46"/>
      <c r="J3355" s="80">
        <v>2211103</v>
      </c>
      <c r="K3355" s="158" t="s">
        <v>54</v>
      </c>
      <c r="L3355" s="169">
        <v>150000</v>
      </c>
      <c r="N3355" s="169">
        <f t="shared" si="52"/>
        <v>0</v>
      </c>
    </row>
    <row r="3356" spans="2:14">
      <c r="B3356" s="46"/>
      <c r="C3356" s="46"/>
      <c r="D3356" s="1545">
        <v>2211200</v>
      </c>
      <c r="E3356" s="1546" t="s">
        <v>55</v>
      </c>
      <c r="F3356" s="1603">
        <v>2399200</v>
      </c>
      <c r="H3356" s="46"/>
      <c r="I3356" s="46"/>
      <c r="J3356" s="1545">
        <v>2211200</v>
      </c>
      <c r="K3356" s="1546" t="s">
        <v>55</v>
      </c>
      <c r="L3356" s="1603">
        <v>7399200</v>
      </c>
      <c r="N3356" s="1603">
        <f t="shared" si="52"/>
        <v>-5000000</v>
      </c>
    </row>
    <row r="3357" spans="2:14">
      <c r="B3357" s="46"/>
      <c r="C3357" s="46"/>
      <c r="D3357" s="80">
        <v>2211201</v>
      </c>
      <c r="E3357" s="158" t="s">
        <v>56</v>
      </c>
      <c r="F3357" s="169">
        <v>2399200</v>
      </c>
      <c r="H3357" s="46"/>
      <c r="I3357" s="46"/>
      <c r="J3357" s="80">
        <v>2211201</v>
      </c>
      <c r="K3357" s="158" t="s">
        <v>56</v>
      </c>
      <c r="L3357" s="169">
        <v>7399200</v>
      </c>
      <c r="N3357" s="169">
        <f t="shared" si="52"/>
        <v>-5000000</v>
      </c>
    </row>
    <row r="3358" spans="2:14">
      <c r="B3358" s="46"/>
      <c r="C3358" s="46"/>
      <c r="D3358" s="1545">
        <v>2211300</v>
      </c>
      <c r="E3358" s="1546" t="s">
        <v>57</v>
      </c>
      <c r="F3358" s="1603">
        <v>7575000</v>
      </c>
      <c r="H3358" s="46"/>
      <c r="I3358" s="46"/>
      <c r="J3358" s="1545">
        <v>2211300</v>
      </c>
      <c r="K3358" s="1546" t="s">
        <v>57</v>
      </c>
      <c r="L3358" s="1603">
        <v>10575000</v>
      </c>
      <c r="N3358" s="1603">
        <f t="shared" si="52"/>
        <v>-3000000</v>
      </c>
    </row>
    <row r="3359" spans="2:14">
      <c r="B3359" s="46"/>
      <c r="C3359" s="46"/>
      <c r="D3359" s="80">
        <v>2211305</v>
      </c>
      <c r="E3359" s="158" t="s">
        <v>365</v>
      </c>
      <c r="F3359" s="169">
        <v>5688000</v>
      </c>
      <c r="H3359" s="46"/>
      <c r="I3359" s="46"/>
      <c r="J3359" s="80">
        <v>2211305</v>
      </c>
      <c r="K3359" s="158" t="s">
        <v>365</v>
      </c>
      <c r="L3359" s="169">
        <v>7688000</v>
      </c>
      <c r="N3359" s="169">
        <f t="shared" si="52"/>
        <v>-2000000</v>
      </c>
    </row>
    <row r="3360" spans="2:14">
      <c r="B3360" s="46"/>
      <c r="C3360" s="46"/>
      <c r="D3360" s="80">
        <v>2211306</v>
      </c>
      <c r="E3360" s="158" t="s">
        <v>58</v>
      </c>
      <c r="F3360" s="169">
        <v>487000</v>
      </c>
      <c r="H3360" s="46"/>
      <c r="I3360" s="46"/>
      <c r="J3360" s="80">
        <v>2211306</v>
      </c>
      <c r="K3360" s="158" t="s">
        <v>58</v>
      </c>
      <c r="L3360" s="169">
        <v>487000</v>
      </c>
      <c r="N3360" s="169">
        <f t="shared" si="52"/>
        <v>0</v>
      </c>
    </row>
    <row r="3361" spans="2:14">
      <c r="B3361" s="46"/>
      <c r="C3361" s="46"/>
      <c r="D3361" s="80">
        <v>2211399</v>
      </c>
      <c r="E3361" s="158" t="s">
        <v>640</v>
      </c>
      <c r="F3361" s="169">
        <v>1400000</v>
      </c>
      <c r="H3361" s="46"/>
      <c r="I3361" s="46"/>
      <c r="J3361" s="80">
        <v>2211399</v>
      </c>
      <c r="K3361" s="158" t="s">
        <v>640</v>
      </c>
      <c r="L3361" s="169">
        <v>2400000</v>
      </c>
      <c r="N3361" s="169">
        <f t="shared" si="52"/>
        <v>-1000000</v>
      </c>
    </row>
    <row r="3362" spans="2:14">
      <c r="B3362" s="46"/>
      <c r="C3362" s="46"/>
      <c r="D3362" s="1545">
        <v>2220100</v>
      </c>
      <c r="E3362" s="1546" t="s">
        <v>62</v>
      </c>
      <c r="F3362" s="1603">
        <v>2494000</v>
      </c>
      <c r="H3362" s="46"/>
      <c r="I3362" s="46"/>
      <c r="J3362" s="1545">
        <v>2220100</v>
      </c>
      <c r="K3362" s="1546" t="s">
        <v>62</v>
      </c>
      <c r="L3362" s="1603">
        <v>7494000</v>
      </c>
      <c r="N3362" s="1603">
        <f t="shared" si="52"/>
        <v>-5000000</v>
      </c>
    </row>
    <row r="3363" spans="2:14">
      <c r="B3363" s="46"/>
      <c r="C3363" s="46"/>
      <c r="D3363" s="80">
        <v>2220101</v>
      </c>
      <c r="E3363" s="158" t="s">
        <v>63</v>
      </c>
      <c r="F3363" s="169">
        <v>1700000</v>
      </c>
      <c r="H3363" s="46"/>
      <c r="I3363" s="46"/>
      <c r="J3363" s="80">
        <v>2220101</v>
      </c>
      <c r="K3363" s="158" t="s">
        <v>63</v>
      </c>
      <c r="L3363" s="169">
        <v>2700000</v>
      </c>
      <c r="N3363" s="169">
        <f t="shared" si="52"/>
        <v>-1000000</v>
      </c>
    </row>
    <row r="3364" spans="2:14">
      <c r="B3364" s="46"/>
      <c r="C3364" s="46"/>
      <c r="D3364" s="80">
        <v>2220105</v>
      </c>
      <c r="E3364" s="158" t="s">
        <v>64</v>
      </c>
      <c r="F3364" s="169">
        <v>794000</v>
      </c>
      <c r="H3364" s="46"/>
      <c r="I3364" s="46"/>
      <c r="J3364" s="80">
        <v>2220105</v>
      </c>
      <c r="K3364" s="158" t="s">
        <v>64</v>
      </c>
      <c r="L3364" s="169">
        <v>4794000</v>
      </c>
      <c r="N3364" s="169">
        <f t="shared" si="52"/>
        <v>-4000000</v>
      </c>
    </row>
    <row r="3365" spans="2:14">
      <c r="B3365" s="46"/>
      <c r="C3365" s="46"/>
      <c r="D3365" s="1545">
        <v>2220200</v>
      </c>
      <c r="E3365" s="1546" t="s">
        <v>86</v>
      </c>
      <c r="F3365" s="1603">
        <v>10697934</v>
      </c>
      <c r="H3365" s="46"/>
      <c r="I3365" s="46"/>
      <c r="J3365" s="1545">
        <v>2220200</v>
      </c>
      <c r="K3365" s="1546" t="s">
        <v>86</v>
      </c>
      <c r="L3365" s="1603">
        <v>15697934</v>
      </c>
      <c r="N3365" s="1603">
        <f t="shared" si="52"/>
        <v>-5000000</v>
      </c>
    </row>
    <row r="3366" spans="2:14">
      <c r="B3366" s="46"/>
      <c r="C3366" s="46"/>
      <c r="D3366" s="80">
        <v>2220202</v>
      </c>
      <c r="E3366" s="158" t="s">
        <v>87</v>
      </c>
      <c r="F3366" s="169">
        <v>690000</v>
      </c>
      <c r="H3366" s="46"/>
      <c r="I3366" s="46"/>
      <c r="J3366" s="80">
        <v>2220202</v>
      </c>
      <c r="K3366" s="158" t="s">
        <v>87</v>
      </c>
      <c r="L3366" s="169">
        <v>2690000</v>
      </c>
      <c r="N3366" s="169">
        <f t="shared" si="52"/>
        <v>-2000000</v>
      </c>
    </row>
    <row r="3367" spans="2:14">
      <c r="B3367" s="46"/>
      <c r="C3367" s="46"/>
      <c r="D3367" s="80">
        <v>2220210</v>
      </c>
      <c r="E3367" s="158" t="s">
        <v>163</v>
      </c>
      <c r="F3367" s="169">
        <v>10007934</v>
      </c>
      <c r="H3367" s="46"/>
      <c r="I3367" s="46"/>
      <c r="J3367" s="80">
        <v>2220210</v>
      </c>
      <c r="K3367" s="158" t="s">
        <v>163</v>
      </c>
      <c r="L3367" s="169">
        <v>13007934</v>
      </c>
      <c r="N3367" s="169">
        <f t="shared" si="52"/>
        <v>-3000000</v>
      </c>
    </row>
    <row r="3368" spans="2:14">
      <c r="B3368" s="46"/>
      <c r="C3368" s="46"/>
      <c r="D3368" s="1899">
        <v>3110700</v>
      </c>
      <c r="E3368" s="1900" t="s">
        <v>65</v>
      </c>
      <c r="F3368" s="1901">
        <v>0</v>
      </c>
      <c r="H3368" s="46"/>
      <c r="I3368" s="46"/>
      <c r="J3368" s="1899">
        <v>3110700</v>
      </c>
      <c r="K3368" s="1900" t="s">
        <v>65</v>
      </c>
      <c r="L3368" s="1901">
        <v>0</v>
      </c>
      <c r="N3368" s="1901">
        <f t="shared" si="52"/>
        <v>0</v>
      </c>
    </row>
    <row r="3369" spans="2:14">
      <c r="B3369" s="46"/>
      <c r="C3369" s="46"/>
      <c r="D3369" s="1902" t="s">
        <v>1514</v>
      </c>
      <c r="E3369" s="1903" t="s">
        <v>1515</v>
      </c>
      <c r="F3369" s="1904">
        <v>0</v>
      </c>
      <c r="H3369" s="46"/>
      <c r="I3369" s="46"/>
      <c r="J3369" s="1902" t="s">
        <v>1514</v>
      </c>
      <c r="K3369" s="1903" t="s">
        <v>1515</v>
      </c>
      <c r="L3369" s="1904">
        <v>0</v>
      </c>
      <c r="N3369" s="1904">
        <f t="shared" si="52"/>
        <v>0</v>
      </c>
    </row>
    <row r="3370" spans="2:14">
      <c r="B3370" s="46"/>
      <c r="C3370" s="46"/>
      <c r="D3370" s="1545">
        <v>3111000</v>
      </c>
      <c r="E3370" s="1546" t="s">
        <v>69</v>
      </c>
      <c r="F3370" s="1603">
        <v>1144000</v>
      </c>
      <c r="H3370" s="46"/>
      <c r="I3370" s="46"/>
      <c r="J3370" s="1545">
        <v>3111000</v>
      </c>
      <c r="K3370" s="1546" t="s">
        <v>69</v>
      </c>
      <c r="L3370" s="1603">
        <v>3764041</v>
      </c>
      <c r="N3370" s="1603">
        <f t="shared" si="52"/>
        <v>-2620041</v>
      </c>
    </row>
    <row r="3371" spans="2:14">
      <c r="B3371" s="46"/>
      <c r="C3371" s="46"/>
      <c r="D3371" s="80">
        <v>3111001</v>
      </c>
      <c r="E3371" s="158" t="s">
        <v>70</v>
      </c>
      <c r="F3371" s="169">
        <v>0</v>
      </c>
      <c r="H3371" s="46"/>
      <c r="I3371" s="46"/>
      <c r="J3371" s="80">
        <v>3111001</v>
      </c>
      <c r="K3371" s="158" t="s">
        <v>70</v>
      </c>
      <c r="L3371" s="169">
        <v>974000</v>
      </c>
      <c r="N3371" s="169">
        <f t="shared" si="52"/>
        <v>-974000</v>
      </c>
    </row>
    <row r="3372" spans="2:14">
      <c r="B3372" s="46"/>
      <c r="C3372" s="46"/>
      <c r="D3372" s="80">
        <v>3111002</v>
      </c>
      <c r="E3372" s="158" t="s">
        <v>71</v>
      </c>
      <c r="F3372" s="169">
        <v>1144000</v>
      </c>
      <c r="H3372" s="46"/>
      <c r="I3372" s="46"/>
      <c r="J3372" s="80">
        <v>3111002</v>
      </c>
      <c r="K3372" s="158" t="s">
        <v>71</v>
      </c>
      <c r="L3372" s="169">
        <v>1144000</v>
      </c>
      <c r="N3372" s="169">
        <f t="shared" si="52"/>
        <v>0</v>
      </c>
    </row>
    <row r="3373" spans="2:14">
      <c r="B3373" s="46"/>
      <c r="C3373" s="46"/>
      <c r="D3373" s="80">
        <v>3111010</v>
      </c>
      <c r="E3373" s="158" t="s">
        <v>641</v>
      </c>
      <c r="F3373" s="169">
        <v>0</v>
      </c>
      <c r="H3373" s="46"/>
      <c r="I3373" s="46"/>
      <c r="J3373" s="80">
        <v>3111010</v>
      </c>
      <c r="K3373" s="158" t="s">
        <v>641</v>
      </c>
      <c r="L3373" s="169">
        <v>1646041</v>
      </c>
      <c r="N3373" s="169">
        <f t="shared" si="52"/>
        <v>-1646041</v>
      </c>
    </row>
    <row r="3374" spans="2:14">
      <c r="B3374" s="46"/>
      <c r="C3374" s="46"/>
      <c r="D3374" s="61">
        <v>3111010</v>
      </c>
      <c r="E3374" s="74" t="s">
        <v>641</v>
      </c>
      <c r="F3374" s="164">
        <v>0</v>
      </c>
      <c r="H3374" s="46"/>
      <c r="I3374" s="46"/>
      <c r="J3374" s="61">
        <v>3111010</v>
      </c>
      <c r="K3374" s="74" t="s">
        <v>641</v>
      </c>
      <c r="L3374" s="164">
        <v>0</v>
      </c>
      <c r="N3374" s="164">
        <f t="shared" si="52"/>
        <v>0</v>
      </c>
    </row>
    <row r="3375" spans="2:14">
      <c r="B3375" s="46"/>
      <c r="C3375" s="46"/>
      <c r="D3375" s="1507" t="s">
        <v>128</v>
      </c>
      <c r="E3375" s="1620"/>
      <c r="F3375" s="1660">
        <v>34256219.184599996</v>
      </c>
      <c r="H3375" s="46"/>
      <c r="I3375" s="46"/>
      <c r="J3375" s="1507" t="s">
        <v>128</v>
      </c>
      <c r="K3375" s="1620"/>
      <c r="L3375" s="1660">
        <v>61676260.184599996</v>
      </c>
      <c r="N3375" s="1660">
        <f t="shared" si="52"/>
        <v>-27420041</v>
      </c>
    </row>
    <row r="3376" spans="2:14">
      <c r="B3376" s="46"/>
      <c r="C3376" s="46"/>
      <c r="D3376" s="1507"/>
      <c r="E3376" s="1620" t="s">
        <v>580</v>
      </c>
      <c r="F3376" s="1660">
        <v>34256219.184599996</v>
      </c>
      <c r="H3376" s="46"/>
      <c r="I3376" s="46"/>
      <c r="J3376" s="1507"/>
      <c r="K3376" s="1620" t="s">
        <v>580</v>
      </c>
      <c r="L3376" s="1660">
        <v>61676260.184599996</v>
      </c>
      <c r="N3376" s="1660">
        <f t="shared" si="52"/>
        <v>-27420041</v>
      </c>
    </row>
    <row r="3377" spans="2:14">
      <c r="B3377" s="46"/>
      <c r="C3377" s="46"/>
      <c r="D3377" s="61"/>
      <c r="E3377" s="1680"/>
      <c r="F3377" s="1636"/>
      <c r="H3377" s="46"/>
      <c r="I3377" s="46"/>
      <c r="J3377" s="61"/>
      <c r="K3377" s="1680"/>
      <c r="L3377" s="1636"/>
      <c r="N3377" s="1636">
        <f t="shared" si="52"/>
        <v>0</v>
      </c>
    </row>
    <row r="3378" spans="2:14">
      <c r="B3378" s="46"/>
      <c r="C3378" s="46"/>
      <c r="D3378" s="1671" t="s">
        <v>642</v>
      </c>
      <c r="E3378" s="74"/>
      <c r="F3378" s="164" t="s">
        <v>620</v>
      </c>
      <c r="H3378" s="46"/>
      <c r="I3378" s="46"/>
      <c r="J3378" s="1671" t="s">
        <v>642</v>
      </c>
      <c r="K3378" s="74"/>
      <c r="L3378" s="164" t="s">
        <v>620</v>
      </c>
      <c r="N3378" s="164">
        <v>0</v>
      </c>
    </row>
    <row r="3379" spans="2:14">
      <c r="B3379" s="46"/>
      <c r="C3379" s="46"/>
      <c r="D3379" s="1545">
        <v>2210200</v>
      </c>
      <c r="E3379" s="1546" t="s">
        <v>20</v>
      </c>
      <c r="F3379" s="1603">
        <v>116000</v>
      </c>
      <c r="H3379" s="46"/>
      <c r="I3379" s="46"/>
      <c r="J3379" s="1545">
        <v>2210200</v>
      </c>
      <c r="K3379" s="1546" t="s">
        <v>20</v>
      </c>
      <c r="L3379" s="1603">
        <v>116000</v>
      </c>
      <c r="N3379" s="1603">
        <f t="shared" si="52"/>
        <v>0</v>
      </c>
    </row>
    <row r="3380" spans="2:14">
      <c r="B3380" s="46"/>
      <c r="C3380" s="46"/>
      <c r="D3380" s="80">
        <v>2210201</v>
      </c>
      <c r="E3380" s="158" t="s">
        <v>187</v>
      </c>
      <c r="F3380" s="169">
        <v>116000</v>
      </c>
      <c r="H3380" s="46"/>
      <c r="I3380" s="46"/>
      <c r="J3380" s="80">
        <v>2210201</v>
      </c>
      <c r="K3380" s="158" t="s">
        <v>187</v>
      </c>
      <c r="L3380" s="169">
        <v>116000</v>
      </c>
      <c r="N3380" s="169">
        <f t="shared" si="52"/>
        <v>0</v>
      </c>
    </row>
    <row r="3381" spans="2:14">
      <c r="B3381" s="46"/>
      <c r="C3381" s="46"/>
      <c r="D3381" s="1545">
        <v>2210300</v>
      </c>
      <c r="E3381" s="1546" t="s">
        <v>24</v>
      </c>
      <c r="F3381" s="1603">
        <v>2643000</v>
      </c>
      <c r="H3381" s="46"/>
      <c r="I3381" s="46"/>
      <c r="J3381" s="1545">
        <v>2210300</v>
      </c>
      <c r="K3381" s="1546" t="s">
        <v>24</v>
      </c>
      <c r="L3381" s="1603">
        <v>3643000</v>
      </c>
      <c r="N3381" s="1603">
        <f t="shared" si="52"/>
        <v>-1000000</v>
      </c>
    </row>
    <row r="3382" spans="2:14">
      <c r="B3382" s="46"/>
      <c r="C3382" s="46"/>
      <c r="D3382" s="80">
        <v>2210301</v>
      </c>
      <c r="E3382" s="158" t="s">
        <v>188</v>
      </c>
      <c r="F3382" s="169">
        <v>740000</v>
      </c>
      <c r="H3382" s="46"/>
      <c r="I3382" s="46"/>
      <c r="J3382" s="80">
        <v>2210301</v>
      </c>
      <c r="K3382" s="158" t="s">
        <v>188</v>
      </c>
      <c r="L3382" s="169">
        <v>1740000</v>
      </c>
      <c r="N3382" s="169">
        <f t="shared" si="52"/>
        <v>-1000000</v>
      </c>
    </row>
    <row r="3383" spans="2:14">
      <c r="B3383" s="46"/>
      <c r="C3383" s="46"/>
      <c r="D3383" s="80">
        <v>2210302</v>
      </c>
      <c r="E3383" s="158" t="s">
        <v>26</v>
      </c>
      <c r="F3383" s="169">
        <v>1798000</v>
      </c>
      <c r="H3383" s="46"/>
      <c r="I3383" s="46"/>
      <c r="J3383" s="80">
        <v>2210302</v>
      </c>
      <c r="K3383" s="158" t="s">
        <v>26</v>
      </c>
      <c r="L3383" s="169">
        <v>1798000</v>
      </c>
      <c r="N3383" s="169">
        <f t="shared" si="52"/>
        <v>0</v>
      </c>
    </row>
    <row r="3384" spans="2:14">
      <c r="B3384" s="46"/>
      <c r="C3384" s="46"/>
      <c r="D3384" s="80">
        <v>2210304</v>
      </c>
      <c r="E3384" s="158" t="s">
        <v>643</v>
      </c>
      <c r="F3384" s="169">
        <v>105000</v>
      </c>
      <c r="H3384" s="46"/>
      <c r="I3384" s="46"/>
      <c r="J3384" s="80">
        <v>2210304</v>
      </c>
      <c r="K3384" s="158" t="s">
        <v>643</v>
      </c>
      <c r="L3384" s="169">
        <v>105000</v>
      </c>
      <c r="N3384" s="169">
        <f t="shared" si="52"/>
        <v>0</v>
      </c>
    </row>
    <row r="3385" spans="2:14">
      <c r="B3385" s="46"/>
      <c r="C3385" s="46"/>
      <c r="D3385" s="1545">
        <v>2210500</v>
      </c>
      <c r="E3385" s="1546" t="s">
        <v>31</v>
      </c>
      <c r="F3385" s="1603">
        <v>220400</v>
      </c>
      <c r="H3385" s="46"/>
      <c r="I3385" s="46"/>
      <c r="J3385" s="1545">
        <v>2210500</v>
      </c>
      <c r="K3385" s="1546" t="s">
        <v>31</v>
      </c>
      <c r="L3385" s="1603">
        <v>220400</v>
      </c>
      <c r="N3385" s="1603">
        <f t="shared" si="52"/>
        <v>0</v>
      </c>
    </row>
    <row r="3386" spans="2:14">
      <c r="B3386" s="46"/>
      <c r="C3386" s="46"/>
      <c r="D3386" s="80">
        <v>2210502</v>
      </c>
      <c r="E3386" s="158" t="s">
        <v>644</v>
      </c>
      <c r="F3386" s="169">
        <v>220400</v>
      </c>
      <c r="H3386" s="46"/>
      <c r="I3386" s="46"/>
      <c r="J3386" s="80">
        <v>2210502</v>
      </c>
      <c r="K3386" s="158" t="s">
        <v>644</v>
      </c>
      <c r="L3386" s="169">
        <v>220400</v>
      </c>
      <c r="N3386" s="169">
        <f t="shared" si="52"/>
        <v>0</v>
      </c>
    </row>
    <row r="3387" spans="2:14">
      <c r="B3387" s="46"/>
      <c r="C3387" s="46"/>
      <c r="D3387" s="1545">
        <v>2210700</v>
      </c>
      <c r="E3387" s="1546" t="s">
        <v>35</v>
      </c>
      <c r="F3387" s="1603">
        <v>946200</v>
      </c>
      <c r="H3387" s="46"/>
      <c r="I3387" s="46"/>
      <c r="J3387" s="1545">
        <v>2210700</v>
      </c>
      <c r="K3387" s="1546" t="s">
        <v>35</v>
      </c>
      <c r="L3387" s="1603">
        <v>6446200</v>
      </c>
      <c r="N3387" s="1603">
        <f t="shared" si="52"/>
        <v>-5500000</v>
      </c>
    </row>
    <row r="3388" spans="2:14">
      <c r="B3388" s="46"/>
      <c r="C3388" s="46"/>
      <c r="D3388" s="80">
        <v>2210701</v>
      </c>
      <c r="E3388" s="158" t="s">
        <v>36</v>
      </c>
      <c r="F3388" s="169">
        <v>656200</v>
      </c>
      <c r="H3388" s="46"/>
      <c r="I3388" s="46"/>
      <c r="J3388" s="80">
        <v>2210701</v>
      </c>
      <c r="K3388" s="158" t="s">
        <v>36</v>
      </c>
      <c r="L3388" s="169">
        <v>2656200</v>
      </c>
      <c r="N3388" s="169">
        <f t="shared" si="52"/>
        <v>-2000000</v>
      </c>
    </row>
    <row r="3389" spans="2:14">
      <c r="B3389" s="46"/>
      <c r="C3389" s="46"/>
      <c r="D3389" s="80">
        <v>2210710</v>
      </c>
      <c r="E3389" s="158" t="s">
        <v>39</v>
      </c>
      <c r="F3389" s="169">
        <v>290000</v>
      </c>
      <c r="H3389" s="46"/>
      <c r="I3389" s="46"/>
      <c r="J3389" s="80">
        <v>2210710</v>
      </c>
      <c r="K3389" s="158" t="s">
        <v>39</v>
      </c>
      <c r="L3389" s="169">
        <v>1290000</v>
      </c>
      <c r="N3389" s="169">
        <f t="shared" si="52"/>
        <v>-1000000</v>
      </c>
    </row>
    <row r="3390" spans="2:14">
      <c r="B3390" s="46"/>
      <c r="C3390" s="46"/>
      <c r="D3390" s="80">
        <v>2210711</v>
      </c>
      <c r="E3390" s="158" t="s">
        <v>281</v>
      </c>
      <c r="F3390" s="169">
        <v>0</v>
      </c>
      <c r="H3390" s="46"/>
      <c r="I3390" s="46"/>
      <c r="J3390" s="80">
        <v>2210711</v>
      </c>
      <c r="K3390" s="158" t="s">
        <v>281</v>
      </c>
      <c r="L3390" s="169">
        <v>2500000</v>
      </c>
      <c r="N3390" s="169">
        <f t="shared" si="52"/>
        <v>-2500000</v>
      </c>
    </row>
    <row r="3391" spans="2:14">
      <c r="B3391" s="46"/>
      <c r="C3391" s="46"/>
      <c r="D3391" s="1545">
        <v>2210800</v>
      </c>
      <c r="E3391" s="1546" t="s">
        <v>42</v>
      </c>
      <c r="F3391" s="1603">
        <v>2436000</v>
      </c>
      <c r="H3391" s="46"/>
      <c r="I3391" s="46"/>
      <c r="J3391" s="1545">
        <v>2210800</v>
      </c>
      <c r="K3391" s="1546" t="s">
        <v>42</v>
      </c>
      <c r="L3391" s="1603">
        <v>2436000</v>
      </c>
      <c r="N3391" s="1603">
        <f t="shared" si="52"/>
        <v>0</v>
      </c>
    </row>
    <row r="3392" spans="2:14">
      <c r="B3392" s="46"/>
      <c r="C3392" s="46"/>
      <c r="D3392" s="80">
        <v>2210801</v>
      </c>
      <c r="E3392" s="158" t="s">
        <v>645</v>
      </c>
      <c r="F3392" s="169">
        <v>406000</v>
      </c>
      <c r="H3392" s="46"/>
      <c r="I3392" s="46"/>
      <c r="J3392" s="80">
        <v>2210801</v>
      </c>
      <c r="K3392" s="158" t="s">
        <v>645</v>
      </c>
      <c r="L3392" s="169">
        <v>406000</v>
      </c>
      <c r="N3392" s="169">
        <f t="shared" si="52"/>
        <v>0</v>
      </c>
    </row>
    <row r="3393" spans="2:14">
      <c r="B3393" s="46"/>
      <c r="C3393" s="46"/>
      <c r="D3393" s="80">
        <v>2210802</v>
      </c>
      <c r="E3393" s="158" t="s">
        <v>646</v>
      </c>
      <c r="F3393" s="169">
        <v>2030000</v>
      </c>
      <c r="H3393" s="46"/>
      <c r="I3393" s="46"/>
      <c r="J3393" s="80">
        <v>2210802</v>
      </c>
      <c r="K3393" s="158" t="s">
        <v>646</v>
      </c>
      <c r="L3393" s="169">
        <v>2030000</v>
      </c>
      <c r="N3393" s="169">
        <f t="shared" si="52"/>
        <v>0</v>
      </c>
    </row>
    <row r="3394" spans="2:14">
      <c r="B3394" s="46"/>
      <c r="C3394" s="46"/>
      <c r="D3394" s="1545">
        <v>2211100</v>
      </c>
      <c r="E3394" s="1546" t="s">
        <v>51</v>
      </c>
      <c r="F3394" s="1603">
        <v>261000</v>
      </c>
      <c r="H3394" s="46"/>
      <c r="I3394" s="46"/>
      <c r="J3394" s="1545">
        <v>2211100</v>
      </c>
      <c r="K3394" s="1546" t="s">
        <v>51</v>
      </c>
      <c r="L3394" s="1603">
        <v>261000</v>
      </c>
      <c r="N3394" s="1603">
        <f t="shared" si="52"/>
        <v>0</v>
      </c>
    </row>
    <row r="3395" spans="2:14">
      <c r="B3395" s="46"/>
      <c r="C3395" s="46"/>
      <c r="D3395" s="80">
        <v>2211101</v>
      </c>
      <c r="E3395" s="158" t="s">
        <v>289</v>
      </c>
      <c r="F3395" s="169">
        <v>145000</v>
      </c>
      <c r="H3395" s="46"/>
      <c r="I3395" s="46"/>
      <c r="J3395" s="80">
        <v>2211101</v>
      </c>
      <c r="K3395" s="158" t="s">
        <v>289</v>
      </c>
      <c r="L3395" s="169">
        <v>145000</v>
      </c>
      <c r="N3395" s="169">
        <f t="shared" si="52"/>
        <v>0</v>
      </c>
    </row>
    <row r="3396" spans="2:14">
      <c r="B3396" s="46"/>
      <c r="C3396" s="46"/>
      <c r="D3396" s="80">
        <v>2211102</v>
      </c>
      <c r="E3396" s="158" t="s">
        <v>53</v>
      </c>
      <c r="F3396" s="169">
        <v>116000</v>
      </c>
      <c r="H3396" s="46"/>
      <c r="I3396" s="46"/>
      <c r="J3396" s="80">
        <v>2211102</v>
      </c>
      <c r="K3396" s="158" t="s">
        <v>53</v>
      </c>
      <c r="L3396" s="169">
        <v>116000</v>
      </c>
      <c r="N3396" s="169">
        <f t="shared" si="52"/>
        <v>0</v>
      </c>
    </row>
    <row r="3397" spans="2:14">
      <c r="B3397" s="46"/>
      <c r="C3397" s="46"/>
      <c r="D3397" s="1545">
        <v>2211200</v>
      </c>
      <c r="E3397" s="1546" t="s">
        <v>55</v>
      </c>
      <c r="F3397" s="1603">
        <v>435000</v>
      </c>
      <c r="H3397" s="46"/>
      <c r="I3397" s="46"/>
      <c r="J3397" s="1545">
        <v>2211200</v>
      </c>
      <c r="K3397" s="1546" t="s">
        <v>55</v>
      </c>
      <c r="L3397" s="1603">
        <v>435000</v>
      </c>
      <c r="N3397" s="1603">
        <f t="shared" si="52"/>
        <v>0</v>
      </c>
    </row>
    <row r="3398" spans="2:14">
      <c r="B3398" s="46"/>
      <c r="C3398" s="46"/>
      <c r="D3398" s="80">
        <v>2211201</v>
      </c>
      <c r="E3398" s="158" t="s">
        <v>56</v>
      </c>
      <c r="F3398" s="169">
        <v>435000</v>
      </c>
      <c r="H3398" s="46"/>
      <c r="I3398" s="46"/>
      <c r="J3398" s="80">
        <v>2211201</v>
      </c>
      <c r="K3398" s="158" t="s">
        <v>56</v>
      </c>
      <c r="L3398" s="169">
        <v>435000</v>
      </c>
      <c r="N3398" s="169">
        <f t="shared" si="52"/>
        <v>0</v>
      </c>
    </row>
    <row r="3399" spans="2:14">
      <c r="B3399" s="46"/>
      <c r="C3399" s="46"/>
      <c r="D3399" s="1545">
        <v>2220200</v>
      </c>
      <c r="E3399" s="1546" t="s">
        <v>124</v>
      </c>
      <c r="F3399" s="1603">
        <v>290000</v>
      </c>
      <c r="H3399" s="46"/>
      <c r="I3399" s="46"/>
      <c r="J3399" s="1545">
        <v>2220200</v>
      </c>
      <c r="K3399" s="1546" t="s">
        <v>124</v>
      </c>
      <c r="L3399" s="1603">
        <v>290000</v>
      </c>
      <c r="N3399" s="1603">
        <f t="shared" si="52"/>
        <v>0</v>
      </c>
    </row>
    <row r="3400" spans="2:14">
      <c r="B3400" s="46"/>
      <c r="C3400" s="46"/>
      <c r="D3400" s="80">
        <v>2220202</v>
      </c>
      <c r="E3400" s="158" t="s">
        <v>647</v>
      </c>
      <c r="F3400" s="169">
        <v>290000</v>
      </c>
      <c r="H3400" s="46"/>
      <c r="I3400" s="46"/>
      <c r="J3400" s="80">
        <v>2220202</v>
      </c>
      <c r="K3400" s="158" t="s">
        <v>647</v>
      </c>
      <c r="L3400" s="169">
        <v>290000</v>
      </c>
      <c r="N3400" s="169">
        <f t="shared" ref="N3400:N3463" si="53">F3400-L3400</f>
        <v>0</v>
      </c>
    </row>
    <row r="3401" spans="2:14">
      <c r="B3401" s="46"/>
      <c r="C3401" s="46"/>
      <c r="D3401" s="1545">
        <v>3111000</v>
      </c>
      <c r="E3401" s="1546" t="s">
        <v>69</v>
      </c>
      <c r="F3401" s="1603">
        <v>208800</v>
      </c>
      <c r="H3401" s="46"/>
      <c r="I3401" s="46"/>
      <c r="J3401" s="1545">
        <v>3111000</v>
      </c>
      <c r="K3401" s="1546" t="s">
        <v>69</v>
      </c>
      <c r="L3401" s="1603">
        <v>1209600</v>
      </c>
      <c r="N3401" s="1603">
        <f t="shared" si="53"/>
        <v>-1000800</v>
      </c>
    </row>
    <row r="3402" spans="2:14">
      <c r="B3402" s="46"/>
      <c r="C3402" s="46"/>
      <c r="D3402" s="80">
        <v>3111001</v>
      </c>
      <c r="E3402" s="158" t="s">
        <v>70</v>
      </c>
      <c r="F3402" s="169">
        <v>208800</v>
      </c>
      <c r="H3402" s="46"/>
      <c r="I3402" s="46"/>
      <c r="J3402" s="80">
        <v>3111001</v>
      </c>
      <c r="K3402" s="158" t="s">
        <v>70</v>
      </c>
      <c r="L3402" s="169">
        <v>208800</v>
      </c>
      <c r="N3402" s="169">
        <f t="shared" si="53"/>
        <v>0</v>
      </c>
    </row>
    <row r="3403" spans="2:14">
      <c r="B3403" s="46"/>
      <c r="C3403" s="46"/>
      <c r="D3403" s="80">
        <v>3111002</v>
      </c>
      <c r="E3403" s="158" t="s">
        <v>71</v>
      </c>
      <c r="F3403" s="169">
        <v>0</v>
      </c>
      <c r="H3403" s="46"/>
      <c r="I3403" s="46"/>
      <c r="J3403" s="80">
        <v>3111002</v>
      </c>
      <c r="K3403" s="158" t="s">
        <v>71</v>
      </c>
      <c r="L3403" s="169">
        <v>1000800</v>
      </c>
      <c r="N3403" s="169">
        <f t="shared" si="53"/>
        <v>-1000800</v>
      </c>
    </row>
    <row r="3404" spans="2:14">
      <c r="B3404" s="46"/>
      <c r="C3404" s="46"/>
      <c r="D3404" s="1507"/>
      <c r="E3404" s="1620" t="s">
        <v>99</v>
      </c>
      <c r="F3404" s="1660">
        <v>7556400</v>
      </c>
      <c r="H3404" s="46"/>
      <c r="I3404" s="46"/>
      <c r="J3404" s="1507"/>
      <c r="K3404" s="1620" t="s">
        <v>99</v>
      </c>
      <c r="L3404" s="1660">
        <v>15057200</v>
      </c>
      <c r="N3404" s="1660">
        <f t="shared" si="53"/>
        <v>-7500800</v>
      </c>
    </row>
    <row r="3405" spans="2:14">
      <c r="B3405" s="46"/>
      <c r="C3405" s="46"/>
      <c r="D3405" s="1507"/>
      <c r="E3405" s="1620" t="s">
        <v>580</v>
      </c>
      <c r="F3405" s="1660">
        <v>7556400</v>
      </c>
      <c r="H3405" s="46"/>
      <c r="I3405" s="46"/>
      <c r="J3405" s="1507"/>
      <c r="K3405" s="1620" t="s">
        <v>580</v>
      </c>
      <c r="L3405" s="1660">
        <v>15057200</v>
      </c>
      <c r="N3405" s="1660">
        <f t="shared" si="53"/>
        <v>-7500800</v>
      </c>
    </row>
    <row r="3406" spans="2:14">
      <c r="B3406" s="46"/>
      <c r="C3406" s="46"/>
      <c r="D3406" s="61"/>
      <c r="E3406" s="1680"/>
      <c r="F3406" s="164"/>
      <c r="H3406" s="46"/>
      <c r="I3406" s="46"/>
      <c r="J3406" s="61"/>
      <c r="K3406" s="1680"/>
      <c r="L3406" s="164"/>
      <c r="N3406" s="164">
        <f t="shared" si="53"/>
        <v>0</v>
      </c>
    </row>
    <row r="3407" spans="2:14">
      <c r="B3407" s="46"/>
      <c r="C3407" s="46"/>
      <c r="D3407" s="1671" t="s">
        <v>648</v>
      </c>
      <c r="E3407" s="1680"/>
      <c r="F3407" s="1636"/>
      <c r="H3407" s="46"/>
      <c r="I3407" s="46"/>
      <c r="J3407" s="1671" t="s">
        <v>648</v>
      </c>
      <c r="K3407" s="1680"/>
      <c r="L3407" s="1636"/>
      <c r="N3407" s="1636">
        <f t="shared" si="53"/>
        <v>0</v>
      </c>
    </row>
    <row r="3408" spans="2:14">
      <c r="B3408" s="46"/>
      <c r="C3408" s="46"/>
      <c r="D3408" s="1545">
        <v>2210200</v>
      </c>
      <c r="E3408" s="1546" t="s">
        <v>20</v>
      </c>
      <c r="F3408" s="1603">
        <v>522000</v>
      </c>
      <c r="H3408" s="46"/>
      <c r="I3408" s="46"/>
      <c r="J3408" s="1545">
        <v>2210200</v>
      </c>
      <c r="K3408" s="1546" t="s">
        <v>20</v>
      </c>
      <c r="L3408" s="1603">
        <v>522000</v>
      </c>
      <c r="N3408" s="1603">
        <f t="shared" si="53"/>
        <v>0</v>
      </c>
    </row>
    <row r="3409" spans="2:14">
      <c r="B3409" s="46"/>
      <c r="C3409" s="46"/>
      <c r="D3409" s="80">
        <v>2210201</v>
      </c>
      <c r="E3409" s="158" t="s">
        <v>113</v>
      </c>
      <c r="F3409" s="169">
        <v>232000</v>
      </c>
      <c r="H3409" s="46"/>
      <c r="I3409" s="46"/>
      <c r="J3409" s="80">
        <v>2210201</v>
      </c>
      <c r="K3409" s="158" t="s">
        <v>113</v>
      </c>
      <c r="L3409" s="169">
        <v>232000</v>
      </c>
      <c r="N3409" s="169">
        <f t="shared" si="53"/>
        <v>0</v>
      </c>
    </row>
    <row r="3410" spans="2:14">
      <c r="B3410" s="46"/>
      <c r="C3410" s="46"/>
      <c r="D3410" s="80">
        <v>2210202</v>
      </c>
      <c r="E3410" s="158" t="s">
        <v>22</v>
      </c>
      <c r="F3410" s="169">
        <v>290000</v>
      </c>
      <c r="H3410" s="46"/>
      <c r="I3410" s="46"/>
      <c r="J3410" s="80">
        <v>2210202</v>
      </c>
      <c r="K3410" s="158" t="s">
        <v>22</v>
      </c>
      <c r="L3410" s="169">
        <v>290000</v>
      </c>
      <c r="N3410" s="169">
        <f t="shared" si="53"/>
        <v>0</v>
      </c>
    </row>
    <row r="3411" spans="2:14">
      <c r="B3411" s="46"/>
      <c r="C3411" s="46"/>
      <c r="D3411" s="1545">
        <v>2210300</v>
      </c>
      <c r="E3411" s="1546" t="s">
        <v>24</v>
      </c>
      <c r="F3411" s="1603">
        <v>2602000</v>
      </c>
      <c r="H3411" s="46"/>
      <c r="I3411" s="46"/>
      <c r="J3411" s="1545">
        <v>2210300</v>
      </c>
      <c r="K3411" s="1546" t="s">
        <v>24</v>
      </c>
      <c r="L3411" s="1603">
        <v>5602000</v>
      </c>
      <c r="N3411" s="1603">
        <f t="shared" si="53"/>
        <v>-3000000</v>
      </c>
    </row>
    <row r="3412" spans="2:14">
      <c r="B3412" s="46"/>
      <c r="C3412" s="46"/>
      <c r="D3412" s="80">
        <v>2210301</v>
      </c>
      <c r="E3412" s="158" t="s">
        <v>25</v>
      </c>
      <c r="F3412" s="169">
        <v>538000</v>
      </c>
      <c r="H3412" s="46"/>
      <c r="I3412" s="46"/>
      <c r="J3412" s="80">
        <v>2210301</v>
      </c>
      <c r="K3412" s="158" t="s">
        <v>25</v>
      </c>
      <c r="L3412" s="169">
        <v>1038000</v>
      </c>
      <c r="N3412" s="169">
        <f t="shared" si="53"/>
        <v>-500000</v>
      </c>
    </row>
    <row r="3413" spans="2:14">
      <c r="B3413" s="46"/>
      <c r="C3413" s="46"/>
      <c r="D3413" s="80">
        <v>2210302</v>
      </c>
      <c r="E3413" s="158" t="s">
        <v>26</v>
      </c>
      <c r="F3413" s="169">
        <v>762000</v>
      </c>
      <c r="H3413" s="46"/>
      <c r="I3413" s="46"/>
      <c r="J3413" s="80">
        <v>2210302</v>
      </c>
      <c r="K3413" s="158" t="s">
        <v>26</v>
      </c>
      <c r="L3413" s="169">
        <v>1762000</v>
      </c>
      <c r="N3413" s="169">
        <f t="shared" si="53"/>
        <v>-1000000</v>
      </c>
    </row>
    <row r="3414" spans="2:14">
      <c r="B3414" s="46"/>
      <c r="C3414" s="46"/>
      <c r="D3414" s="80">
        <v>2210303</v>
      </c>
      <c r="E3414" s="158" t="s">
        <v>27</v>
      </c>
      <c r="F3414" s="169">
        <v>1041000</v>
      </c>
      <c r="H3414" s="46"/>
      <c r="I3414" s="46"/>
      <c r="J3414" s="80">
        <v>2210303</v>
      </c>
      <c r="K3414" s="158" t="s">
        <v>27</v>
      </c>
      <c r="L3414" s="169">
        <v>2541000</v>
      </c>
      <c r="N3414" s="169">
        <f t="shared" si="53"/>
        <v>-1500000</v>
      </c>
    </row>
    <row r="3415" spans="2:14">
      <c r="B3415" s="46"/>
      <c r="C3415" s="46"/>
      <c r="D3415" s="80">
        <v>2210304</v>
      </c>
      <c r="E3415" s="158" t="s">
        <v>28</v>
      </c>
      <c r="F3415" s="169">
        <v>261000</v>
      </c>
      <c r="H3415" s="46"/>
      <c r="I3415" s="46"/>
      <c r="J3415" s="80">
        <v>2210304</v>
      </c>
      <c r="K3415" s="158" t="s">
        <v>28</v>
      </c>
      <c r="L3415" s="169">
        <v>261000</v>
      </c>
      <c r="N3415" s="169">
        <f t="shared" si="53"/>
        <v>0</v>
      </c>
    </row>
    <row r="3416" spans="2:14">
      <c r="B3416" s="46"/>
      <c r="C3416" s="46"/>
      <c r="D3416" s="1545">
        <v>2210500</v>
      </c>
      <c r="E3416" s="1546" t="s">
        <v>31</v>
      </c>
      <c r="F3416" s="1603">
        <v>1377400</v>
      </c>
      <c r="H3416" s="46"/>
      <c r="I3416" s="46"/>
      <c r="J3416" s="1545">
        <v>2210500</v>
      </c>
      <c r="K3416" s="1546" t="s">
        <v>31</v>
      </c>
      <c r="L3416" s="1603">
        <v>1377400</v>
      </c>
      <c r="N3416" s="1603">
        <f t="shared" si="53"/>
        <v>0</v>
      </c>
    </row>
    <row r="3417" spans="2:14">
      <c r="B3417" s="46"/>
      <c r="C3417" s="46"/>
      <c r="D3417" s="80">
        <v>2210502</v>
      </c>
      <c r="E3417" s="158" t="s">
        <v>105</v>
      </c>
      <c r="F3417" s="169">
        <v>652400</v>
      </c>
      <c r="H3417" s="46"/>
      <c r="I3417" s="46"/>
      <c r="J3417" s="80">
        <v>2210502</v>
      </c>
      <c r="K3417" s="158" t="s">
        <v>105</v>
      </c>
      <c r="L3417" s="169">
        <v>652400</v>
      </c>
      <c r="N3417" s="169">
        <f t="shared" si="53"/>
        <v>0</v>
      </c>
    </row>
    <row r="3418" spans="2:14">
      <c r="B3418" s="46"/>
      <c r="C3418" s="46"/>
      <c r="D3418" s="80">
        <v>2210503</v>
      </c>
      <c r="E3418" s="158" t="s">
        <v>32</v>
      </c>
      <c r="F3418" s="169">
        <v>232000</v>
      </c>
      <c r="H3418" s="46"/>
      <c r="I3418" s="46"/>
      <c r="J3418" s="80">
        <v>2210503</v>
      </c>
      <c r="K3418" s="158" t="s">
        <v>32</v>
      </c>
      <c r="L3418" s="169">
        <v>232000</v>
      </c>
      <c r="N3418" s="169">
        <f t="shared" si="53"/>
        <v>0</v>
      </c>
    </row>
    <row r="3419" spans="2:14">
      <c r="B3419" s="46"/>
      <c r="C3419" s="46"/>
      <c r="D3419" s="80">
        <v>2210504</v>
      </c>
      <c r="E3419" s="158" t="s">
        <v>33</v>
      </c>
      <c r="F3419" s="169">
        <v>493000</v>
      </c>
      <c r="H3419" s="46"/>
      <c r="I3419" s="46"/>
      <c r="J3419" s="80">
        <v>2210504</v>
      </c>
      <c r="K3419" s="158" t="s">
        <v>33</v>
      </c>
      <c r="L3419" s="169">
        <v>493000</v>
      </c>
      <c r="N3419" s="169">
        <f t="shared" si="53"/>
        <v>0</v>
      </c>
    </row>
    <row r="3420" spans="2:14">
      <c r="B3420" s="46"/>
      <c r="C3420" s="46"/>
      <c r="D3420" s="1545">
        <v>2210700</v>
      </c>
      <c r="E3420" s="1546" t="s">
        <v>35</v>
      </c>
      <c r="F3420" s="1603">
        <v>1912000</v>
      </c>
      <c r="H3420" s="46"/>
      <c r="I3420" s="46"/>
      <c r="J3420" s="1545">
        <v>2210700</v>
      </c>
      <c r="K3420" s="1546" t="s">
        <v>35</v>
      </c>
      <c r="L3420" s="1603">
        <v>4662000</v>
      </c>
      <c r="N3420" s="1603">
        <f t="shared" si="53"/>
        <v>-2750000</v>
      </c>
    </row>
    <row r="3421" spans="2:14">
      <c r="B3421" s="46"/>
      <c r="C3421" s="46"/>
      <c r="D3421" s="80">
        <v>2210704</v>
      </c>
      <c r="E3421" s="158" t="s">
        <v>38</v>
      </c>
      <c r="F3421" s="169">
        <v>661000</v>
      </c>
      <c r="H3421" s="46"/>
      <c r="I3421" s="46"/>
      <c r="J3421" s="80">
        <v>2210704</v>
      </c>
      <c r="K3421" s="158" t="s">
        <v>38</v>
      </c>
      <c r="L3421" s="169">
        <v>661000</v>
      </c>
      <c r="N3421" s="169">
        <f t="shared" si="53"/>
        <v>0</v>
      </c>
    </row>
    <row r="3422" spans="2:14">
      <c r="B3422" s="46"/>
      <c r="C3422" s="46"/>
      <c r="D3422" s="80" t="s">
        <v>649</v>
      </c>
      <c r="E3422" s="158" t="s">
        <v>39</v>
      </c>
      <c r="F3422" s="169">
        <v>511000</v>
      </c>
      <c r="H3422" s="46"/>
      <c r="I3422" s="46"/>
      <c r="J3422" s="80" t="s">
        <v>649</v>
      </c>
      <c r="K3422" s="158" t="s">
        <v>39</v>
      </c>
      <c r="L3422" s="169">
        <v>2011000</v>
      </c>
      <c r="N3422" s="169">
        <f t="shared" si="53"/>
        <v>-1500000</v>
      </c>
    </row>
    <row r="3423" spans="2:14">
      <c r="B3423" s="46"/>
      <c r="C3423" s="46"/>
      <c r="D3423" s="80" t="s">
        <v>650</v>
      </c>
      <c r="E3423" s="158" t="s">
        <v>281</v>
      </c>
      <c r="F3423" s="169">
        <v>740000</v>
      </c>
      <c r="H3423" s="46"/>
      <c r="I3423" s="46"/>
      <c r="J3423" s="80" t="s">
        <v>650</v>
      </c>
      <c r="K3423" s="158" t="s">
        <v>281</v>
      </c>
      <c r="L3423" s="169">
        <v>1240000</v>
      </c>
      <c r="N3423" s="169">
        <f t="shared" si="53"/>
        <v>-500000</v>
      </c>
    </row>
    <row r="3424" spans="2:14">
      <c r="B3424" s="46"/>
      <c r="C3424" s="46"/>
      <c r="D3424" s="80" t="s">
        <v>651</v>
      </c>
      <c r="E3424" s="158" t="s">
        <v>41</v>
      </c>
      <c r="F3424" s="169">
        <v>0</v>
      </c>
      <c r="H3424" s="46"/>
      <c r="I3424" s="46"/>
      <c r="J3424" s="80" t="s">
        <v>651</v>
      </c>
      <c r="K3424" s="158" t="s">
        <v>41</v>
      </c>
      <c r="L3424" s="169">
        <v>750000</v>
      </c>
      <c r="N3424" s="169">
        <f t="shared" si="53"/>
        <v>-750000</v>
      </c>
    </row>
    <row r="3425" spans="2:14">
      <c r="B3425" s="46"/>
      <c r="C3425" s="46"/>
      <c r="D3425" s="1545">
        <v>2210800</v>
      </c>
      <c r="E3425" s="1546" t="s">
        <v>42</v>
      </c>
      <c r="F3425" s="1603">
        <v>700910</v>
      </c>
      <c r="H3425" s="46"/>
      <c r="I3425" s="46"/>
      <c r="J3425" s="1545">
        <v>2210800</v>
      </c>
      <c r="K3425" s="1546" t="s">
        <v>42</v>
      </c>
      <c r="L3425" s="1603">
        <v>2200910</v>
      </c>
      <c r="N3425" s="1603">
        <f t="shared" si="53"/>
        <v>-1500000</v>
      </c>
    </row>
    <row r="3426" spans="2:14">
      <c r="B3426" s="46"/>
      <c r="C3426" s="46"/>
      <c r="D3426" s="80">
        <v>2210801</v>
      </c>
      <c r="E3426" s="158" t="s">
        <v>43</v>
      </c>
      <c r="F3426" s="169">
        <v>159910</v>
      </c>
      <c r="H3426" s="46"/>
      <c r="I3426" s="46"/>
      <c r="J3426" s="80">
        <v>2210801</v>
      </c>
      <c r="K3426" s="158" t="s">
        <v>43</v>
      </c>
      <c r="L3426" s="169">
        <v>1159910</v>
      </c>
      <c r="N3426" s="169">
        <f t="shared" si="53"/>
        <v>-1000000</v>
      </c>
    </row>
    <row r="3427" spans="2:14">
      <c r="B3427" s="46"/>
      <c r="C3427" s="46"/>
      <c r="D3427" s="80">
        <v>2210802</v>
      </c>
      <c r="E3427" s="158" t="s">
        <v>97</v>
      </c>
      <c r="F3427" s="169">
        <v>541000</v>
      </c>
      <c r="H3427" s="46"/>
      <c r="I3427" s="46"/>
      <c r="J3427" s="80">
        <v>2210802</v>
      </c>
      <c r="K3427" s="158" t="s">
        <v>97</v>
      </c>
      <c r="L3427" s="169">
        <v>1041000</v>
      </c>
      <c r="N3427" s="169">
        <f t="shared" si="53"/>
        <v>-500000</v>
      </c>
    </row>
    <row r="3428" spans="2:14">
      <c r="B3428" s="46"/>
      <c r="C3428" s="46"/>
      <c r="D3428" s="1545">
        <v>2211100</v>
      </c>
      <c r="E3428" s="1546" t="s">
        <v>51</v>
      </c>
      <c r="F3428" s="1603">
        <v>1164217</v>
      </c>
      <c r="H3428" s="46"/>
      <c r="I3428" s="46"/>
      <c r="J3428" s="1545">
        <v>2211100</v>
      </c>
      <c r="K3428" s="1546" t="s">
        <v>51</v>
      </c>
      <c r="L3428" s="1603">
        <v>2164217</v>
      </c>
      <c r="N3428" s="1603">
        <f t="shared" si="53"/>
        <v>-1000000</v>
      </c>
    </row>
    <row r="3429" spans="2:14">
      <c r="B3429" s="46"/>
      <c r="C3429" s="46"/>
      <c r="D3429" s="80">
        <v>2211101</v>
      </c>
      <c r="E3429" s="158" t="s">
        <v>120</v>
      </c>
      <c r="F3429" s="169">
        <v>486000</v>
      </c>
      <c r="H3429" s="46"/>
      <c r="I3429" s="46"/>
      <c r="J3429" s="80">
        <v>2211101</v>
      </c>
      <c r="K3429" s="158" t="s">
        <v>120</v>
      </c>
      <c r="L3429" s="169">
        <v>986000</v>
      </c>
      <c r="N3429" s="169">
        <f t="shared" si="53"/>
        <v>-500000</v>
      </c>
    </row>
    <row r="3430" spans="2:14">
      <c r="B3430" s="46"/>
      <c r="C3430" s="46"/>
      <c r="D3430" s="80">
        <v>2211102</v>
      </c>
      <c r="E3430" s="158" t="s">
        <v>53</v>
      </c>
      <c r="F3430" s="169">
        <v>351000</v>
      </c>
      <c r="H3430" s="46"/>
      <c r="I3430" s="46"/>
      <c r="J3430" s="80">
        <v>2211102</v>
      </c>
      <c r="K3430" s="158" t="s">
        <v>53</v>
      </c>
      <c r="L3430" s="169">
        <v>851000</v>
      </c>
      <c r="N3430" s="169">
        <f t="shared" si="53"/>
        <v>-500000</v>
      </c>
    </row>
    <row r="3431" spans="2:14">
      <c r="B3431" s="46"/>
      <c r="C3431" s="46"/>
      <c r="D3431" s="80">
        <v>2211103</v>
      </c>
      <c r="E3431" s="158" t="s">
        <v>54</v>
      </c>
      <c r="F3431" s="169">
        <v>327217</v>
      </c>
      <c r="H3431" s="46"/>
      <c r="I3431" s="46"/>
      <c r="J3431" s="80">
        <v>2211103</v>
      </c>
      <c r="K3431" s="158" t="s">
        <v>54</v>
      </c>
      <c r="L3431" s="169">
        <v>327217</v>
      </c>
      <c r="N3431" s="169">
        <f t="shared" si="53"/>
        <v>0</v>
      </c>
    </row>
    <row r="3432" spans="2:14">
      <c r="B3432" s="46"/>
      <c r="C3432" s="46"/>
      <c r="D3432" s="1545">
        <v>2211200</v>
      </c>
      <c r="E3432" s="1546" t="s">
        <v>55</v>
      </c>
      <c r="F3432" s="1603">
        <v>1764000</v>
      </c>
      <c r="H3432" s="46"/>
      <c r="I3432" s="46"/>
      <c r="J3432" s="1545">
        <v>2211200</v>
      </c>
      <c r="K3432" s="1546" t="s">
        <v>55</v>
      </c>
      <c r="L3432" s="1603">
        <v>1764000</v>
      </c>
      <c r="N3432" s="1603">
        <f t="shared" si="53"/>
        <v>0</v>
      </c>
    </row>
    <row r="3433" spans="2:14">
      <c r="B3433" s="46"/>
      <c r="C3433" s="46"/>
      <c r="D3433" s="80">
        <v>2211201</v>
      </c>
      <c r="E3433" s="158" t="s">
        <v>56</v>
      </c>
      <c r="F3433" s="169">
        <v>964000</v>
      </c>
      <c r="H3433" s="46"/>
      <c r="I3433" s="46"/>
      <c r="J3433" s="80">
        <v>2211201</v>
      </c>
      <c r="K3433" s="158" t="s">
        <v>56</v>
      </c>
      <c r="L3433" s="169">
        <v>964000</v>
      </c>
      <c r="N3433" s="169">
        <f t="shared" si="53"/>
        <v>0</v>
      </c>
    </row>
    <row r="3434" spans="2:14">
      <c r="B3434" s="46"/>
      <c r="C3434" s="46"/>
      <c r="D3434" s="80">
        <v>2211203</v>
      </c>
      <c r="E3434" s="158" t="s">
        <v>652</v>
      </c>
      <c r="F3434" s="169">
        <v>800000</v>
      </c>
      <c r="H3434" s="46"/>
      <c r="I3434" s="46"/>
      <c r="J3434" s="80">
        <v>2211203</v>
      </c>
      <c r="K3434" s="158" t="s">
        <v>652</v>
      </c>
      <c r="L3434" s="169">
        <v>800000</v>
      </c>
      <c r="N3434" s="169">
        <f t="shared" si="53"/>
        <v>0</v>
      </c>
    </row>
    <row r="3435" spans="2:14">
      <c r="B3435" s="46"/>
      <c r="C3435" s="46"/>
      <c r="D3435" s="1545">
        <v>2211300</v>
      </c>
      <c r="E3435" s="1546" t="s">
        <v>57</v>
      </c>
      <c r="F3435" s="1603">
        <v>1184837.9973708102</v>
      </c>
      <c r="H3435" s="46"/>
      <c r="I3435" s="46"/>
      <c r="J3435" s="1545">
        <v>2211300</v>
      </c>
      <c r="K3435" s="1546" t="s">
        <v>57</v>
      </c>
      <c r="L3435" s="1603">
        <v>1867100</v>
      </c>
      <c r="N3435" s="1603">
        <f t="shared" si="53"/>
        <v>-682262.00262918975</v>
      </c>
    </row>
    <row r="3436" spans="2:14">
      <c r="B3436" s="46"/>
      <c r="C3436" s="46"/>
      <c r="D3436" s="80">
        <v>2211306</v>
      </c>
      <c r="E3436" s="158" t="s">
        <v>58</v>
      </c>
      <c r="F3436" s="169">
        <v>623100</v>
      </c>
      <c r="H3436" s="46"/>
      <c r="I3436" s="46"/>
      <c r="J3436" s="80">
        <v>2211306</v>
      </c>
      <c r="K3436" s="158" t="s">
        <v>58</v>
      </c>
      <c r="L3436" s="169">
        <v>623100</v>
      </c>
      <c r="N3436" s="169">
        <f t="shared" si="53"/>
        <v>0</v>
      </c>
    </row>
    <row r="3437" spans="2:14">
      <c r="B3437" s="46"/>
      <c r="C3437" s="46"/>
      <c r="D3437" s="80">
        <v>2211320</v>
      </c>
      <c r="E3437" s="158" t="s">
        <v>653</v>
      </c>
      <c r="F3437" s="169">
        <v>10737.997370810248</v>
      </c>
      <c r="H3437" s="46"/>
      <c r="I3437" s="46"/>
      <c r="J3437" s="80">
        <v>2211320</v>
      </c>
      <c r="K3437" s="158" t="s">
        <v>653</v>
      </c>
      <c r="L3437" s="169">
        <v>693000</v>
      </c>
      <c r="N3437" s="169">
        <f t="shared" si="53"/>
        <v>-682262.00262918975</v>
      </c>
    </row>
    <row r="3438" spans="2:14">
      <c r="B3438" s="46"/>
      <c r="C3438" s="46"/>
      <c r="D3438" s="80">
        <v>2211399</v>
      </c>
      <c r="E3438" s="158" t="s">
        <v>654</v>
      </c>
      <c r="F3438" s="169">
        <v>551000</v>
      </c>
      <c r="H3438" s="46"/>
      <c r="I3438" s="46"/>
      <c r="J3438" s="80">
        <v>2211399</v>
      </c>
      <c r="K3438" s="158" t="s">
        <v>654</v>
      </c>
      <c r="L3438" s="169">
        <v>551000</v>
      </c>
      <c r="N3438" s="169">
        <f t="shared" si="53"/>
        <v>0</v>
      </c>
    </row>
    <row r="3439" spans="2:14">
      <c r="B3439" s="46"/>
      <c r="C3439" s="46"/>
      <c r="D3439" s="1545">
        <v>2220100</v>
      </c>
      <c r="E3439" s="1546" t="s">
        <v>62</v>
      </c>
      <c r="F3439" s="1603">
        <v>928000</v>
      </c>
      <c r="H3439" s="46"/>
      <c r="I3439" s="46"/>
      <c r="J3439" s="1545">
        <v>2220100</v>
      </c>
      <c r="K3439" s="1546" t="s">
        <v>62</v>
      </c>
      <c r="L3439" s="1603">
        <v>928000</v>
      </c>
      <c r="N3439" s="1603">
        <f t="shared" si="53"/>
        <v>0</v>
      </c>
    </row>
    <row r="3440" spans="2:14">
      <c r="B3440" s="46"/>
      <c r="C3440" s="46"/>
      <c r="D3440" s="80">
        <v>2220101</v>
      </c>
      <c r="E3440" s="158" t="s">
        <v>63</v>
      </c>
      <c r="F3440" s="169">
        <v>928000</v>
      </c>
      <c r="H3440" s="46"/>
      <c r="I3440" s="46"/>
      <c r="J3440" s="80">
        <v>2220101</v>
      </c>
      <c r="K3440" s="158" t="s">
        <v>63</v>
      </c>
      <c r="L3440" s="169">
        <v>928000</v>
      </c>
      <c r="N3440" s="169">
        <f t="shared" si="53"/>
        <v>0</v>
      </c>
    </row>
    <row r="3441" spans="2:14">
      <c r="B3441" s="46"/>
      <c r="C3441" s="46"/>
      <c r="D3441" s="1545">
        <v>2220200</v>
      </c>
      <c r="E3441" s="1546" t="s">
        <v>86</v>
      </c>
      <c r="F3441" s="1603">
        <v>996000</v>
      </c>
      <c r="H3441" s="46"/>
      <c r="I3441" s="46"/>
      <c r="J3441" s="1545">
        <v>2220200</v>
      </c>
      <c r="K3441" s="1546" t="s">
        <v>86</v>
      </c>
      <c r="L3441" s="1603">
        <v>996000</v>
      </c>
      <c r="N3441" s="1603">
        <f t="shared" si="53"/>
        <v>0</v>
      </c>
    </row>
    <row r="3442" spans="2:14">
      <c r="B3442" s="46"/>
      <c r="C3442" s="46"/>
      <c r="D3442" s="80">
        <v>2220202</v>
      </c>
      <c r="E3442" s="158" t="s">
        <v>87</v>
      </c>
      <c r="F3442" s="169">
        <v>203000</v>
      </c>
      <c r="H3442" s="46"/>
      <c r="I3442" s="46"/>
      <c r="J3442" s="80">
        <v>2220202</v>
      </c>
      <c r="K3442" s="158" t="s">
        <v>87</v>
      </c>
      <c r="L3442" s="169">
        <v>203000</v>
      </c>
      <c r="N3442" s="169">
        <f t="shared" si="53"/>
        <v>0</v>
      </c>
    </row>
    <row r="3443" spans="2:14">
      <c r="B3443" s="46"/>
      <c r="C3443" s="46"/>
      <c r="D3443" s="80">
        <v>2220210</v>
      </c>
      <c r="E3443" s="158" t="s">
        <v>163</v>
      </c>
      <c r="F3443" s="169">
        <v>319000</v>
      </c>
      <c r="H3443" s="46"/>
      <c r="I3443" s="46"/>
      <c r="J3443" s="80">
        <v>2220210</v>
      </c>
      <c r="K3443" s="158" t="s">
        <v>163</v>
      </c>
      <c r="L3443" s="169">
        <v>319000</v>
      </c>
      <c r="N3443" s="169">
        <f t="shared" si="53"/>
        <v>0</v>
      </c>
    </row>
    <row r="3444" spans="2:14">
      <c r="B3444" s="46"/>
      <c r="C3444" s="46"/>
      <c r="D3444" s="80">
        <v>2220299</v>
      </c>
      <c r="E3444" s="158" t="s">
        <v>124</v>
      </c>
      <c r="F3444" s="169">
        <v>474000</v>
      </c>
      <c r="H3444" s="46"/>
      <c r="I3444" s="46"/>
      <c r="J3444" s="80">
        <v>2220299</v>
      </c>
      <c r="K3444" s="158" t="s">
        <v>124</v>
      </c>
      <c r="L3444" s="169">
        <v>474000</v>
      </c>
      <c r="N3444" s="169">
        <f t="shared" si="53"/>
        <v>0</v>
      </c>
    </row>
    <row r="3445" spans="2:14">
      <c r="B3445" s="46"/>
      <c r="C3445" s="46"/>
      <c r="D3445" s="1545">
        <v>3111000</v>
      </c>
      <c r="E3445" s="1546" t="s">
        <v>69</v>
      </c>
      <c r="F3445" s="1603">
        <v>1333990</v>
      </c>
      <c r="H3445" s="46"/>
      <c r="I3445" s="46"/>
      <c r="J3445" s="1545">
        <v>3111000</v>
      </c>
      <c r="K3445" s="1546" t="s">
        <v>69</v>
      </c>
      <c r="L3445" s="1603">
        <v>3290990</v>
      </c>
      <c r="N3445" s="1603">
        <f t="shared" si="53"/>
        <v>-1957000</v>
      </c>
    </row>
    <row r="3446" spans="2:14">
      <c r="B3446" s="46"/>
      <c r="C3446" s="46"/>
      <c r="D3446" s="80">
        <v>3111001</v>
      </c>
      <c r="E3446" s="158" t="s">
        <v>70</v>
      </c>
      <c r="F3446" s="169">
        <v>687900</v>
      </c>
      <c r="H3446" s="46"/>
      <c r="I3446" s="46"/>
      <c r="J3446" s="80">
        <v>3111001</v>
      </c>
      <c r="K3446" s="158" t="s">
        <v>70</v>
      </c>
      <c r="L3446" s="169">
        <v>687900</v>
      </c>
      <c r="N3446" s="169">
        <f t="shared" si="53"/>
        <v>0</v>
      </c>
    </row>
    <row r="3447" spans="2:14">
      <c r="B3447" s="46"/>
      <c r="C3447" s="46"/>
      <c r="D3447" s="80">
        <v>3111002</v>
      </c>
      <c r="E3447" s="158" t="s">
        <v>71</v>
      </c>
      <c r="F3447" s="169">
        <v>646090</v>
      </c>
      <c r="H3447" s="46"/>
      <c r="I3447" s="46"/>
      <c r="J3447" s="80">
        <v>3111002</v>
      </c>
      <c r="K3447" s="158" t="s">
        <v>71</v>
      </c>
      <c r="L3447" s="169">
        <v>1646090</v>
      </c>
      <c r="N3447" s="169">
        <f t="shared" si="53"/>
        <v>-1000000</v>
      </c>
    </row>
    <row r="3448" spans="2:14">
      <c r="B3448" s="46"/>
      <c r="C3448" s="46"/>
      <c r="D3448" s="80">
        <v>3111003</v>
      </c>
      <c r="E3448" s="158" t="s">
        <v>655</v>
      </c>
      <c r="F3448" s="169">
        <v>0</v>
      </c>
      <c r="H3448" s="46"/>
      <c r="I3448" s="46"/>
      <c r="J3448" s="80">
        <v>3111003</v>
      </c>
      <c r="K3448" s="158" t="s">
        <v>655</v>
      </c>
      <c r="L3448" s="169">
        <v>261000</v>
      </c>
      <c r="N3448" s="169">
        <f t="shared" si="53"/>
        <v>-261000</v>
      </c>
    </row>
    <row r="3449" spans="2:14">
      <c r="B3449" s="46"/>
      <c r="C3449" s="46"/>
      <c r="D3449" s="80">
        <v>3111005</v>
      </c>
      <c r="E3449" s="158" t="s">
        <v>68</v>
      </c>
      <c r="F3449" s="169">
        <v>0</v>
      </c>
      <c r="H3449" s="46"/>
      <c r="I3449" s="46"/>
      <c r="J3449" s="80">
        <v>3111005</v>
      </c>
      <c r="K3449" s="158" t="s">
        <v>68</v>
      </c>
      <c r="L3449" s="169">
        <v>696000</v>
      </c>
      <c r="N3449" s="169">
        <f t="shared" si="53"/>
        <v>-696000</v>
      </c>
    </row>
    <row r="3450" spans="2:14">
      <c r="B3450" s="46"/>
      <c r="C3450" s="46"/>
      <c r="D3450" s="1507"/>
      <c r="E3450" s="1620" t="s">
        <v>656</v>
      </c>
      <c r="F3450" s="1660">
        <v>14485354.997370809</v>
      </c>
      <c r="H3450" s="46"/>
      <c r="I3450" s="46"/>
      <c r="J3450" s="1507"/>
      <c r="K3450" s="1620" t="s">
        <v>656</v>
      </c>
      <c r="L3450" s="1660">
        <v>25374617</v>
      </c>
      <c r="N3450" s="1660">
        <f t="shared" si="53"/>
        <v>-10889262.002629191</v>
      </c>
    </row>
    <row r="3451" spans="2:14">
      <c r="B3451" s="46"/>
      <c r="C3451" s="46"/>
      <c r="D3451" s="61"/>
      <c r="E3451" s="1680"/>
      <c r="F3451" s="164"/>
      <c r="H3451" s="46"/>
      <c r="I3451" s="46"/>
      <c r="J3451" s="61"/>
      <c r="K3451" s="1680"/>
      <c r="L3451" s="164"/>
      <c r="N3451" s="164">
        <f t="shared" si="53"/>
        <v>0</v>
      </c>
    </row>
    <row r="3452" spans="2:14">
      <c r="B3452" s="46"/>
      <c r="C3452" s="46"/>
      <c r="D3452" s="1671" t="s">
        <v>657</v>
      </c>
      <c r="E3452" s="1680"/>
      <c r="F3452" s="1636"/>
      <c r="H3452" s="46"/>
      <c r="I3452" s="46"/>
      <c r="J3452" s="1671" t="s">
        <v>657</v>
      </c>
      <c r="K3452" s="1680"/>
      <c r="L3452" s="1636"/>
      <c r="N3452" s="1636">
        <f t="shared" si="53"/>
        <v>0</v>
      </c>
    </row>
    <row r="3453" spans="2:14">
      <c r="B3453" s="46"/>
      <c r="C3453" s="46"/>
      <c r="D3453" s="1671" t="s">
        <v>658</v>
      </c>
      <c r="E3453" s="1680"/>
      <c r="F3453" s="1636"/>
      <c r="H3453" s="46"/>
      <c r="I3453" s="46"/>
      <c r="J3453" s="1671" t="s">
        <v>658</v>
      </c>
      <c r="K3453" s="1680"/>
      <c r="L3453" s="1636"/>
      <c r="N3453" s="1636">
        <f t="shared" si="53"/>
        <v>0</v>
      </c>
    </row>
    <row r="3454" spans="2:14">
      <c r="B3454" s="46"/>
      <c r="C3454" s="46"/>
      <c r="D3454" s="1545">
        <v>2210200</v>
      </c>
      <c r="E3454" s="1546" t="s">
        <v>20</v>
      </c>
      <c r="F3454" s="1603">
        <v>332000</v>
      </c>
      <c r="H3454" s="46"/>
      <c r="I3454" s="46"/>
      <c r="J3454" s="1545">
        <v>2210200</v>
      </c>
      <c r="K3454" s="1546" t="s">
        <v>20</v>
      </c>
      <c r="L3454" s="1603">
        <v>332000</v>
      </c>
      <c r="N3454" s="1603">
        <f t="shared" si="53"/>
        <v>0</v>
      </c>
    </row>
    <row r="3455" spans="2:14">
      <c r="B3455" s="46"/>
      <c r="C3455" s="46"/>
      <c r="D3455" s="80">
        <v>2210201</v>
      </c>
      <c r="E3455" s="158" t="s">
        <v>21</v>
      </c>
      <c r="F3455" s="169">
        <v>332000</v>
      </c>
      <c r="H3455" s="46"/>
      <c r="I3455" s="46"/>
      <c r="J3455" s="80">
        <v>2210201</v>
      </c>
      <c r="K3455" s="158" t="s">
        <v>21</v>
      </c>
      <c r="L3455" s="169">
        <v>332000</v>
      </c>
      <c r="N3455" s="169">
        <f t="shared" si="53"/>
        <v>0</v>
      </c>
    </row>
    <row r="3456" spans="2:14">
      <c r="B3456" s="46"/>
      <c r="C3456" s="46"/>
      <c r="D3456" s="1545">
        <v>2210300</v>
      </c>
      <c r="E3456" s="1546" t="s">
        <v>24</v>
      </c>
      <c r="F3456" s="1603">
        <v>1664000</v>
      </c>
      <c r="H3456" s="46"/>
      <c r="I3456" s="46"/>
      <c r="J3456" s="1545">
        <v>2210300</v>
      </c>
      <c r="K3456" s="1546" t="s">
        <v>24</v>
      </c>
      <c r="L3456" s="1603">
        <v>2664000</v>
      </c>
      <c r="N3456" s="1603">
        <f t="shared" si="53"/>
        <v>-1000000</v>
      </c>
    </row>
    <row r="3457" spans="2:14">
      <c r="B3457" s="46"/>
      <c r="C3457" s="46"/>
      <c r="D3457" s="80">
        <v>2210301</v>
      </c>
      <c r="E3457" s="158" t="s">
        <v>25</v>
      </c>
      <c r="F3457" s="169">
        <v>764000</v>
      </c>
      <c r="H3457" s="46"/>
      <c r="I3457" s="46"/>
      <c r="J3457" s="80">
        <v>2210301</v>
      </c>
      <c r="K3457" s="158" t="s">
        <v>25</v>
      </c>
      <c r="L3457" s="169">
        <v>764000</v>
      </c>
      <c r="N3457" s="169">
        <f t="shared" si="53"/>
        <v>0</v>
      </c>
    </row>
    <row r="3458" spans="2:14">
      <c r="B3458" s="46"/>
      <c r="C3458" s="46"/>
      <c r="D3458" s="80">
        <v>2210302</v>
      </c>
      <c r="E3458" s="158" t="s">
        <v>26</v>
      </c>
      <c r="F3458" s="169">
        <v>856000</v>
      </c>
      <c r="H3458" s="46"/>
      <c r="I3458" s="46"/>
      <c r="J3458" s="80">
        <v>2210302</v>
      </c>
      <c r="K3458" s="158" t="s">
        <v>26</v>
      </c>
      <c r="L3458" s="169">
        <v>856000</v>
      </c>
      <c r="N3458" s="169">
        <f t="shared" si="53"/>
        <v>0</v>
      </c>
    </row>
    <row r="3459" spans="2:14">
      <c r="B3459" s="46"/>
      <c r="C3459" s="46"/>
      <c r="D3459" s="80">
        <v>2210303</v>
      </c>
      <c r="E3459" s="158" t="s">
        <v>27</v>
      </c>
      <c r="F3459" s="169">
        <v>44000</v>
      </c>
      <c r="H3459" s="46"/>
      <c r="I3459" s="46"/>
      <c r="J3459" s="80">
        <v>2210303</v>
      </c>
      <c r="K3459" s="158" t="s">
        <v>27</v>
      </c>
      <c r="L3459" s="169">
        <v>1044000</v>
      </c>
      <c r="N3459" s="169">
        <f t="shared" si="53"/>
        <v>-1000000</v>
      </c>
    </row>
    <row r="3460" spans="2:14">
      <c r="B3460" s="46"/>
      <c r="C3460" s="46"/>
      <c r="D3460" s="1545">
        <v>2210500</v>
      </c>
      <c r="E3460" s="1546" t="s">
        <v>31</v>
      </c>
      <c r="F3460" s="1603">
        <v>667000</v>
      </c>
      <c r="H3460" s="46"/>
      <c r="I3460" s="46"/>
      <c r="J3460" s="1545">
        <v>2210500</v>
      </c>
      <c r="K3460" s="1546" t="s">
        <v>31</v>
      </c>
      <c r="L3460" s="1603">
        <v>667000</v>
      </c>
      <c r="N3460" s="1603">
        <f t="shared" si="53"/>
        <v>0</v>
      </c>
    </row>
    <row r="3461" spans="2:14">
      <c r="B3461" s="46"/>
      <c r="C3461" s="46"/>
      <c r="D3461" s="80">
        <v>2210502</v>
      </c>
      <c r="E3461" s="158" t="s">
        <v>105</v>
      </c>
      <c r="F3461" s="169">
        <v>667000</v>
      </c>
      <c r="H3461" s="46"/>
      <c r="I3461" s="46"/>
      <c r="J3461" s="80">
        <v>2210502</v>
      </c>
      <c r="K3461" s="158" t="s">
        <v>105</v>
      </c>
      <c r="L3461" s="169">
        <v>667000</v>
      </c>
      <c r="N3461" s="169">
        <f t="shared" si="53"/>
        <v>0</v>
      </c>
    </row>
    <row r="3462" spans="2:14">
      <c r="B3462" s="46"/>
      <c r="C3462" s="46"/>
      <c r="D3462" s="1545">
        <v>2210700</v>
      </c>
      <c r="E3462" s="1546" t="s">
        <v>35</v>
      </c>
      <c r="F3462" s="1603">
        <v>1280000</v>
      </c>
      <c r="H3462" s="46"/>
      <c r="I3462" s="46"/>
      <c r="J3462" s="1545">
        <v>2210700</v>
      </c>
      <c r="K3462" s="1546" t="s">
        <v>35</v>
      </c>
      <c r="L3462" s="1603">
        <v>4842000</v>
      </c>
      <c r="N3462" s="1603">
        <f t="shared" si="53"/>
        <v>-3562000</v>
      </c>
    </row>
    <row r="3463" spans="2:14">
      <c r="B3463" s="46"/>
      <c r="C3463" s="46"/>
      <c r="D3463" s="80">
        <v>2210701</v>
      </c>
      <c r="E3463" s="158" t="s">
        <v>36</v>
      </c>
      <c r="F3463" s="169">
        <v>330000</v>
      </c>
      <c r="H3463" s="46"/>
      <c r="I3463" s="46"/>
      <c r="J3463" s="80">
        <v>2210701</v>
      </c>
      <c r="K3463" s="158" t="s">
        <v>36</v>
      </c>
      <c r="L3463" s="169">
        <v>2330000</v>
      </c>
      <c r="N3463" s="169">
        <f t="shared" si="53"/>
        <v>-2000000</v>
      </c>
    </row>
    <row r="3464" spans="2:14">
      <c r="B3464" s="46"/>
      <c r="C3464" s="46"/>
      <c r="D3464" s="80">
        <v>2210710</v>
      </c>
      <c r="E3464" s="158" t="s">
        <v>39</v>
      </c>
      <c r="F3464" s="169">
        <v>950000</v>
      </c>
      <c r="H3464" s="46"/>
      <c r="I3464" s="46"/>
      <c r="J3464" s="80">
        <v>2210710</v>
      </c>
      <c r="K3464" s="158" t="s">
        <v>39</v>
      </c>
      <c r="L3464" s="169">
        <v>950000</v>
      </c>
      <c r="N3464" s="169">
        <f t="shared" ref="N3464:N3527" si="54">F3464-L3464</f>
        <v>0</v>
      </c>
    </row>
    <row r="3465" spans="2:14">
      <c r="B3465" s="46"/>
      <c r="C3465" s="46"/>
      <c r="D3465" s="80">
        <v>2210711</v>
      </c>
      <c r="E3465" s="158" t="s">
        <v>281</v>
      </c>
      <c r="F3465" s="169">
        <v>0</v>
      </c>
      <c r="H3465" s="46"/>
      <c r="I3465" s="46"/>
      <c r="J3465" s="80">
        <v>2210711</v>
      </c>
      <c r="K3465" s="158" t="s">
        <v>281</v>
      </c>
      <c r="L3465" s="169">
        <v>1562000</v>
      </c>
      <c r="N3465" s="169">
        <f t="shared" si="54"/>
        <v>-1562000</v>
      </c>
    </row>
    <row r="3466" spans="2:14">
      <c r="B3466" s="46"/>
      <c r="C3466" s="46"/>
      <c r="D3466" s="1545">
        <v>2211100</v>
      </c>
      <c r="E3466" s="1546" t="s">
        <v>51</v>
      </c>
      <c r="F3466" s="1603">
        <v>1014908</v>
      </c>
      <c r="H3466" s="46"/>
      <c r="I3466" s="46"/>
      <c r="J3466" s="1545">
        <v>2211100</v>
      </c>
      <c r="K3466" s="1546" t="s">
        <v>51</v>
      </c>
      <c r="L3466" s="1603">
        <v>1014908</v>
      </c>
      <c r="N3466" s="1603">
        <f t="shared" si="54"/>
        <v>0</v>
      </c>
    </row>
    <row r="3467" spans="2:14">
      <c r="B3467" s="46"/>
      <c r="C3467" s="46"/>
      <c r="D3467" s="80">
        <v>2211101</v>
      </c>
      <c r="E3467" s="158" t="s">
        <v>52</v>
      </c>
      <c r="F3467" s="169">
        <v>343308</v>
      </c>
      <c r="H3467" s="46"/>
      <c r="I3467" s="46"/>
      <c r="J3467" s="80">
        <v>2211101</v>
      </c>
      <c r="K3467" s="158" t="s">
        <v>52</v>
      </c>
      <c r="L3467" s="169">
        <v>343308</v>
      </c>
      <c r="N3467" s="169">
        <f t="shared" si="54"/>
        <v>0</v>
      </c>
    </row>
    <row r="3468" spans="2:14">
      <c r="B3468" s="46"/>
      <c r="C3468" s="46"/>
      <c r="D3468" s="80">
        <v>2211102</v>
      </c>
      <c r="E3468" s="158" t="s">
        <v>53</v>
      </c>
      <c r="F3468" s="169">
        <v>575000</v>
      </c>
      <c r="H3468" s="46"/>
      <c r="I3468" s="46"/>
      <c r="J3468" s="80">
        <v>2211102</v>
      </c>
      <c r="K3468" s="158" t="s">
        <v>53</v>
      </c>
      <c r="L3468" s="169">
        <v>575000</v>
      </c>
      <c r="N3468" s="169">
        <f t="shared" si="54"/>
        <v>0</v>
      </c>
    </row>
    <row r="3469" spans="2:14">
      <c r="B3469" s="46"/>
      <c r="C3469" s="46"/>
      <c r="D3469" s="80">
        <v>2211103</v>
      </c>
      <c r="E3469" s="158" t="s">
        <v>54</v>
      </c>
      <c r="F3469" s="169">
        <v>96600</v>
      </c>
      <c r="H3469" s="46"/>
      <c r="I3469" s="46"/>
      <c r="J3469" s="80">
        <v>2211103</v>
      </c>
      <c r="K3469" s="158" t="s">
        <v>54</v>
      </c>
      <c r="L3469" s="169">
        <v>96600</v>
      </c>
      <c r="N3469" s="169">
        <f t="shared" si="54"/>
        <v>0</v>
      </c>
    </row>
    <row r="3470" spans="2:14">
      <c r="B3470" s="46"/>
      <c r="C3470" s="46"/>
      <c r="D3470" s="1545">
        <v>2211200</v>
      </c>
      <c r="E3470" s="1546" t="s">
        <v>55</v>
      </c>
      <c r="F3470" s="1603">
        <v>966800</v>
      </c>
      <c r="H3470" s="46"/>
      <c r="I3470" s="46"/>
      <c r="J3470" s="1545">
        <v>2211200</v>
      </c>
      <c r="K3470" s="1546" t="s">
        <v>55</v>
      </c>
      <c r="L3470" s="1603">
        <v>966800</v>
      </c>
      <c r="N3470" s="1603">
        <f t="shared" si="54"/>
        <v>0</v>
      </c>
    </row>
    <row r="3471" spans="2:14">
      <c r="B3471" s="46"/>
      <c r="C3471" s="46"/>
      <c r="D3471" s="80">
        <v>2211201</v>
      </c>
      <c r="E3471" s="158" t="s">
        <v>56</v>
      </c>
      <c r="F3471" s="169">
        <v>966800</v>
      </c>
      <c r="H3471" s="46"/>
      <c r="I3471" s="46"/>
      <c r="J3471" s="80">
        <v>2211201</v>
      </c>
      <c r="K3471" s="158" t="s">
        <v>56</v>
      </c>
      <c r="L3471" s="169">
        <v>966800</v>
      </c>
      <c r="N3471" s="169">
        <f t="shared" si="54"/>
        <v>0</v>
      </c>
    </row>
    <row r="3472" spans="2:14">
      <c r="B3472" s="46"/>
      <c r="C3472" s="46"/>
      <c r="D3472" s="1545">
        <v>2211300</v>
      </c>
      <c r="E3472" s="1546" t="s">
        <v>58</v>
      </c>
      <c r="F3472" s="1603">
        <v>556546</v>
      </c>
      <c r="H3472" s="46"/>
      <c r="I3472" s="46"/>
      <c r="J3472" s="1545">
        <v>2211300</v>
      </c>
      <c r="K3472" s="1546" t="s">
        <v>58</v>
      </c>
      <c r="L3472" s="1603">
        <v>556546</v>
      </c>
      <c r="N3472" s="1603">
        <f t="shared" si="54"/>
        <v>0</v>
      </c>
    </row>
    <row r="3473" spans="2:14">
      <c r="B3473" s="46"/>
      <c r="C3473" s="46"/>
      <c r="D3473" s="80">
        <v>2211306</v>
      </c>
      <c r="E3473" s="158" t="s">
        <v>58</v>
      </c>
      <c r="F3473" s="169">
        <v>556546</v>
      </c>
      <c r="H3473" s="46"/>
      <c r="I3473" s="46"/>
      <c r="J3473" s="80">
        <v>2211306</v>
      </c>
      <c r="K3473" s="158" t="s">
        <v>58</v>
      </c>
      <c r="L3473" s="169">
        <v>556546</v>
      </c>
      <c r="N3473" s="169">
        <f t="shared" si="54"/>
        <v>0</v>
      </c>
    </row>
    <row r="3474" spans="2:14">
      <c r="B3474" s="46"/>
      <c r="C3474" s="46"/>
      <c r="D3474" s="1545">
        <v>3111000</v>
      </c>
      <c r="E3474" s="1546" t="s">
        <v>69</v>
      </c>
      <c r="F3474" s="1603">
        <v>527674.19165683631</v>
      </c>
      <c r="H3474" s="46"/>
      <c r="I3474" s="46"/>
      <c r="J3474" s="1545">
        <v>3111000</v>
      </c>
      <c r="K3474" s="1546" t="s">
        <v>69</v>
      </c>
      <c r="L3474" s="1603">
        <v>1806146</v>
      </c>
      <c r="N3474" s="1603">
        <f t="shared" si="54"/>
        <v>-1278471.8083431637</v>
      </c>
    </row>
    <row r="3475" spans="2:14">
      <c r="B3475" s="46"/>
      <c r="C3475" s="46"/>
      <c r="D3475" s="80">
        <v>3111001</v>
      </c>
      <c r="E3475" s="158" t="s">
        <v>70</v>
      </c>
      <c r="F3475" s="169">
        <v>527674.19165683631</v>
      </c>
      <c r="H3475" s="46"/>
      <c r="I3475" s="46"/>
      <c r="J3475" s="80">
        <v>3111001</v>
      </c>
      <c r="K3475" s="158" t="s">
        <v>70</v>
      </c>
      <c r="L3475" s="169">
        <v>1806146</v>
      </c>
      <c r="N3475" s="169">
        <f t="shared" si="54"/>
        <v>-1278471.8083431637</v>
      </c>
    </row>
    <row r="3476" spans="2:14">
      <c r="B3476" s="46"/>
      <c r="C3476" s="46"/>
      <c r="D3476" s="61"/>
      <c r="E3476" s="1620" t="s">
        <v>99</v>
      </c>
      <c r="F3476" s="1660">
        <v>7008928.1916568363</v>
      </c>
      <c r="H3476" s="46"/>
      <c r="I3476" s="46"/>
      <c r="J3476" s="61"/>
      <c r="K3476" s="1620" t="s">
        <v>99</v>
      </c>
      <c r="L3476" s="1660">
        <v>12849400</v>
      </c>
      <c r="N3476" s="1660">
        <f t="shared" si="54"/>
        <v>-5840471.8083431637</v>
      </c>
    </row>
    <row r="3477" spans="2:14">
      <c r="B3477" s="46"/>
      <c r="C3477" s="46"/>
      <c r="D3477" s="1528"/>
      <c r="E3477" s="1620" t="s">
        <v>84</v>
      </c>
      <c r="F3477" s="1660">
        <v>7008928.1916568363</v>
      </c>
      <c r="H3477" s="46"/>
      <c r="I3477" s="46"/>
      <c r="J3477" s="1528"/>
      <c r="K3477" s="1620" t="s">
        <v>84</v>
      </c>
      <c r="L3477" s="1660">
        <v>12849400</v>
      </c>
      <c r="N3477" s="1660">
        <f t="shared" si="54"/>
        <v>-5840471.8083431637</v>
      </c>
    </row>
    <row r="3478" spans="2:14">
      <c r="B3478" s="46"/>
      <c r="C3478" s="46"/>
      <c r="D3478" s="80"/>
      <c r="E3478" s="1620" t="s">
        <v>659</v>
      </c>
      <c r="F3478" s="1660">
        <v>63306902.37362764</v>
      </c>
      <c r="H3478" s="46"/>
      <c r="I3478" s="46"/>
      <c r="J3478" s="80"/>
      <c r="K3478" s="1620" t="s">
        <v>659</v>
      </c>
      <c r="L3478" s="1660">
        <v>114957477.1846</v>
      </c>
      <c r="N3478" s="1660">
        <f t="shared" si="54"/>
        <v>-51650574.810972355</v>
      </c>
    </row>
    <row r="3479" spans="2:14">
      <c r="B3479" s="46"/>
      <c r="C3479" s="46"/>
      <c r="D3479" s="1528"/>
      <c r="E3479" s="1620" t="s">
        <v>99</v>
      </c>
      <c r="F3479" s="1660">
        <v>381311139</v>
      </c>
      <c r="H3479" s="46"/>
      <c r="I3479" s="46"/>
      <c r="J3479" s="1528"/>
      <c r="K3479" s="1620" t="s">
        <v>99</v>
      </c>
      <c r="L3479" s="1660">
        <v>481311139</v>
      </c>
      <c r="N3479" s="1660">
        <f t="shared" si="54"/>
        <v>-100000000</v>
      </c>
    </row>
    <row r="3480" spans="2:14">
      <c r="B3480" s="46"/>
      <c r="C3480" s="46"/>
      <c r="D3480" s="1528"/>
      <c r="E3480" s="1620" t="s">
        <v>175</v>
      </c>
      <c r="F3480" s="1660">
        <v>57500000</v>
      </c>
      <c r="H3480" s="46"/>
      <c r="I3480" s="46"/>
      <c r="J3480" s="1528"/>
      <c r="K3480" s="1620" t="s">
        <v>175</v>
      </c>
      <c r="L3480" s="1660">
        <v>57500000</v>
      </c>
      <c r="N3480" s="1660">
        <f t="shared" si="54"/>
        <v>0</v>
      </c>
    </row>
    <row r="3481" spans="2:14">
      <c r="B3481" s="46"/>
      <c r="C3481" s="46"/>
      <c r="D3481" s="1583" t="s">
        <v>1274</v>
      </c>
      <c r="E3481" s="74"/>
      <c r="F3481" s="1660">
        <v>438811139</v>
      </c>
      <c r="H3481" s="46"/>
      <c r="I3481" s="46"/>
      <c r="J3481" s="1583" t="s">
        <v>1274</v>
      </c>
      <c r="K3481" s="74"/>
      <c r="L3481" s="1660">
        <v>538811139</v>
      </c>
      <c r="N3481" s="1660">
        <f t="shared" si="54"/>
        <v>-100000000</v>
      </c>
    </row>
    <row r="3482" spans="2:14">
      <c r="B3482" s="89"/>
      <c r="C3482" s="89"/>
      <c r="D3482" s="61"/>
      <c r="E3482" s="74"/>
      <c r="F3482" s="174"/>
      <c r="H3482" s="89"/>
      <c r="I3482" s="89"/>
      <c r="J3482" s="61"/>
      <c r="K3482" s="74"/>
      <c r="L3482" s="174"/>
      <c r="N3482" s="174">
        <f t="shared" si="54"/>
        <v>0</v>
      </c>
    </row>
    <row r="3483" spans="2:14">
      <c r="B3483" s="89"/>
      <c r="C3483" s="89"/>
      <c r="D3483" s="61"/>
      <c r="E3483" s="74"/>
      <c r="F3483" s="174"/>
      <c r="H3483" s="89"/>
      <c r="I3483" s="89"/>
      <c r="J3483" s="61"/>
      <c r="K3483" s="74"/>
      <c r="L3483" s="174"/>
      <c r="N3483" s="174">
        <f t="shared" si="54"/>
        <v>0</v>
      </c>
    </row>
    <row r="3484" spans="2:14">
      <c r="B3484" s="46"/>
      <c r="C3484" s="46"/>
      <c r="D3484" s="1507" t="s">
        <v>660</v>
      </c>
      <c r="E3484" s="1620"/>
      <c r="F3484" s="1766"/>
      <c r="H3484" s="46"/>
      <c r="I3484" s="46"/>
      <c r="J3484" s="1507" t="s">
        <v>660</v>
      </c>
      <c r="K3484" s="1620"/>
      <c r="L3484" s="1766"/>
      <c r="N3484" s="1766">
        <f t="shared" si="54"/>
        <v>0</v>
      </c>
    </row>
    <row r="3485" spans="2:14">
      <c r="B3485" s="46"/>
      <c r="C3485" s="46"/>
      <c r="D3485" s="1545" t="s">
        <v>661</v>
      </c>
      <c r="E3485" s="1905"/>
      <c r="F3485" s="1859"/>
      <c r="H3485" s="46"/>
      <c r="I3485" s="46"/>
      <c r="J3485" s="1545" t="s">
        <v>661</v>
      </c>
      <c r="K3485" s="1905"/>
      <c r="L3485" s="1859"/>
      <c r="N3485" s="1859">
        <f t="shared" si="54"/>
        <v>0</v>
      </c>
    </row>
    <row r="3486" spans="2:14">
      <c r="B3486" s="46"/>
      <c r="C3486" s="46"/>
      <c r="D3486" s="1545" t="s">
        <v>662</v>
      </c>
      <c r="E3486" s="1905"/>
      <c r="F3486" s="1859"/>
      <c r="H3486" s="46"/>
      <c r="I3486" s="46"/>
      <c r="J3486" s="1545" t="s">
        <v>662</v>
      </c>
      <c r="K3486" s="1905"/>
      <c r="L3486" s="1859"/>
      <c r="N3486" s="1859">
        <f t="shared" si="54"/>
        <v>0</v>
      </c>
    </row>
    <row r="3487" spans="2:14">
      <c r="B3487" s="46"/>
      <c r="C3487" s="46"/>
      <c r="D3487" s="55">
        <v>2110100</v>
      </c>
      <c r="E3487" s="1680" t="s">
        <v>13</v>
      </c>
      <c r="F3487" s="1773">
        <v>29665152.04831427</v>
      </c>
      <c r="H3487" s="46"/>
      <c r="I3487" s="46"/>
      <c r="J3487" s="55">
        <v>2110100</v>
      </c>
      <c r="K3487" s="1680" t="s">
        <v>13</v>
      </c>
      <c r="L3487" s="1773">
        <v>29665152.04831427</v>
      </c>
      <c r="N3487" s="1773">
        <f t="shared" si="54"/>
        <v>0</v>
      </c>
    </row>
    <row r="3488" spans="2:14">
      <c r="B3488" s="46"/>
      <c r="C3488" s="46"/>
      <c r="D3488" s="19">
        <v>2110101</v>
      </c>
      <c r="E3488" s="74" t="s">
        <v>14</v>
      </c>
      <c r="F3488" s="1906">
        <v>29665152.04831427</v>
      </c>
      <c r="H3488" s="46"/>
      <c r="I3488" s="46"/>
      <c r="J3488" s="19">
        <v>2110101</v>
      </c>
      <c r="K3488" s="74" t="s">
        <v>14</v>
      </c>
      <c r="L3488" s="1906">
        <v>29665152.04831427</v>
      </c>
      <c r="N3488" s="1906">
        <f t="shared" si="54"/>
        <v>0</v>
      </c>
    </row>
    <row r="3489" spans="2:14">
      <c r="B3489" s="46"/>
      <c r="C3489" s="46"/>
      <c r="D3489" s="55">
        <v>2210100</v>
      </c>
      <c r="E3489" s="1515" t="s">
        <v>16</v>
      </c>
      <c r="F3489" s="1773">
        <v>310000</v>
      </c>
      <c r="H3489" s="46"/>
      <c r="I3489" s="46"/>
      <c r="J3489" s="55">
        <v>2210100</v>
      </c>
      <c r="K3489" s="1515" t="s">
        <v>16</v>
      </c>
      <c r="L3489" s="1773">
        <v>310000</v>
      </c>
      <c r="N3489" s="1773">
        <f t="shared" si="54"/>
        <v>0</v>
      </c>
    </row>
    <row r="3490" spans="2:14">
      <c r="B3490" s="46"/>
      <c r="C3490" s="46"/>
      <c r="D3490" s="19">
        <v>2210101</v>
      </c>
      <c r="E3490" s="86" t="s">
        <v>17</v>
      </c>
      <c r="F3490" s="1906">
        <v>230000</v>
      </c>
      <c r="H3490" s="46"/>
      <c r="I3490" s="46"/>
      <c r="J3490" s="19">
        <v>2210101</v>
      </c>
      <c r="K3490" s="86" t="s">
        <v>17</v>
      </c>
      <c r="L3490" s="1906">
        <v>230000</v>
      </c>
      <c r="N3490" s="1906">
        <f t="shared" si="54"/>
        <v>0</v>
      </c>
    </row>
    <row r="3491" spans="2:14">
      <c r="B3491" s="46"/>
      <c r="C3491" s="46"/>
      <c r="D3491" s="19">
        <v>2210102</v>
      </c>
      <c r="E3491" s="86" t="s">
        <v>18</v>
      </c>
      <c r="F3491" s="1906">
        <v>80000</v>
      </c>
      <c r="H3491" s="46"/>
      <c r="I3491" s="46"/>
      <c r="J3491" s="19">
        <v>2210102</v>
      </c>
      <c r="K3491" s="86" t="s">
        <v>18</v>
      </c>
      <c r="L3491" s="1906">
        <v>80000</v>
      </c>
      <c r="N3491" s="1906">
        <f t="shared" si="54"/>
        <v>0</v>
      </c>
    </row>
    <row r="3492" spans="2:14">
      <c r="B3492" s="46"/>
      <c r="C3492" s="46"/>
      <c r="D3492" s="55">
        <v>2210200</v>
      </c>
      <c r="E3492" s="1680" t="s">
        <v>20</v>
      </c>
      <c r="F3492" s="1773">
        <v>650000</v>
      </c>
      <c r="H3492" s="46"/>
      <c r="I3492" s="46"/>
      <c r="J3492" s="55">
        <v>2210200</v>
      </c>
      <c r="K3492" s="1680" t="s">
        <v>20</v>
      </c>
      <c r="L3492" s="1773">
        <v>650000</v>
      </c>
      <c r="N3492" s="1773">
        <f t="shared" si="54"/>
        <v>0</v>
      </c>
    </row>
    <row r="3493" spans="2:14">
      <c r="B3493" s="46"/>
      <c r="C3493" s="46"/>
      <c r="D3493" s="19">
        <v>2210201</v>
      </c>
      <c r="E3493" s="74" t="s">
        <v>21</v>
      </c>
      <c r="F3493" s="1906">
        <v>550000</v>
      </c>
      <c r="H3493" s="46"/>
      <c r="I3493" s="46"/>
      <c r="J3493" s="19">
        <v>2210201</v>
      </c>
      <c r="K3493" s="74" t="s">
        <v>21</v>
      </c>
      <c r="L3493" s="1906">
        <v>550000</v>
      </c>
      <c r="N3493" s="1906">
        <f t="shared" si="54"/>
        <v>0</v>
      </c>
    </row>
    <row r="3494" spans="2:14">
      <c r="B3494" s="18"/>
      <c r="C3494" s="18"/>
      <c r="D3494" s="1907">
        <v>2210202</v>
      </c>
      <c r="E3494" s="1881" t="s">
        <v>22</v>
      </c>
      <c r="F3494" s="1906">
        <v>50000</v>
      </c>
      <c r="H3494" s="18"/>
      <c r="I3494" s="18"/>
      <c r="J3494" s="1907">
        <v>2210202</v>
      </c>
      <c r="K3494" s="1881" t="s">
        <v>22</v>
      </c>
      <c r="L3494" s="1906">
        <v>50000</v>
      </c>
      <c r="N3494" s="1906">
        <f t="shared" si="54"/>
        <v>0</v>
      </c>
    </row>
    <row r="3495" spans="2:14">
      <c r="B3495" s="46"/>
      <c r="C3495" s="46"/>
      <c r="D3495" s="19">
        <v>2210203</v>
      </c>
      <c r="E3495" s="74" t="s">
        <v>23</v>
      </c>
      <c r="F3495" s="1906">
        <v>50000</v>
      </c>
      <c r="H3495" s="46"/>
      <c r="I3495" s="46"/>
      <c r="J3495" s="19">
        <v>2210203</v>
      </c>
      <c r="K3495" s="74" t="s">
        <v>23</v>
      </c>
      <c r="L3495" s="1906">
        <v>50000</v>
      </c>
      <c r="N3495" s="1906">
        <f t="shared" si="54"/>
        <v>0</v>
      </c>
    </row>
    <row r="3496" spans="2:14">
      <c r="B3496" s="46"/>
      <c r="C3496" s="46"/>
      <c r="D3496" s="55">
        <v>2210300</v>
      </c>
      <c r="E3496" s="1680" t="s">
        <v>24</v>
      </c>
      <c r="F3496" s="1773">
        <v>2750000</v>
      </c>
      <c r="H3496" s="46"/>
      <c r="I3496" s="46"/>
      <c r="J3496" s="55">
        <v>2210300</v>
      </c>
      <c r="K3496" s="1680" t="s">
        <v>24</v>
      </c>
      <c r="L3496" s="1773">
        <v>2750000</v>
      </c>
      <c r="N3496" s="1773">
        <f t="shared" si="54"/>
        <v>0</v>
      </c>
    </row>
    <row r="3497" spans="2:14">
      <c r="B3497" s="46"/>
      <c r="C3497" s="46"/>
      <c r="D3497" s="19">
        <v>2210301</v>
      </c>
      <c r="E3497" s="74" t="s">
        <v>25</v>
      </c>
      <c r="F3497" s="1906">
        <v>900000</v>
      </c>
      <c r="H3497" s="46"/>
      <c r="I3497" s="46"/>
      <c r="J3497" s="19">
        <v>2210301</v>
      </c>
      <c r="K3497" s="74" t="s">
        <v>25</v>
      </c>
      <c r="L3497" s="1906">
        <v>900000</v>
      </c>
      <c r="N3497" s="1906">
        <f t="shared" si="54"/>
        <v>0</v>
      </c>
    </row>
    <row r="3498" spans="2:14">
      <c r="B3498" s="18"/>
      <c r="C3498" s="18"/>
      <c r="D3498" s="1907">
        <v>2210302</v>
      </c>
      <c r="E3498" s="1881" t="s">
        <v>26</v>
      </c>
      <c r="F3498" s="1906">
        <v>750000</v>
      </c>
      <c r="H3498" s="18"/>
      <c r="I3498" s="18"/>
      <c r="J3498" s="1907">
        <v>2210302</v>
      </c>
      <c r="K3498" s="1881" t="s">
        <v>26</v>
      </c>
      <c r="L3498" s="1906">
        <v>750000</v>
      </c>
      <c r="N3498" s="1906">
        <f t="shared" si="54"/>
        <v>0</v>
      </c>
    </row>
    <row r="3499" spans="2:14">
      <c r="B3499" s="46"/>
      <c r="C3499" s="46"/>
      <c r="D3499" s="19">
        <v>2210303</v>
      </c>
      <c r="E3499" s="74" t="s">
        <v>27</v>
      </c>
      <c r="F3499" s="1906">
        <v>1100000</v>
      </c>
      <c r="H3499" s="46"/>
      <c r="I3499" s="46"/>
      <c r="J3499" s="19">
        <v>2210303</v>
      </c>
      <c r="K3499" s="74" t="s">
        <v>27</v>
      </c>
      <c r="L3499" s="1906">
        <v>1100000</v>
      </c>
      <c r="N3499" s="1906">
        <f t="shared" si="54"/>
        <v>0</v>
      </c>
    </row>
    <row r="3500" spans="2:14">
      <c r="B3500" s="46"/>
      <c r="C3500" s="46"/>
      <c r="D3500" s="55" t="s">
        <v>663</v>
      </c>
      <c r="E3500" s="1680" t="s">
        <v>664</v>
      </c>
      <c r="F3500" s="1908">
        <v>3900000</v>
      </c>
      <c r="H3500" s="46"/>
      <c r="I3500" s="46"/>
      <c r="J3500" s="55" t="s">
        <v>663</v>
      </c>
      <c r="K3500" s="1680" t="s">
        <v>664</v>
      </c>
      <c r="L3500" s="1908">
        <v>3900000</v>
      </c>
      <c r="N3500" s="1908">
        <f t="shared" si="54"/>
        <v>0</v>
      </c>
    </row>
    <row r="3501" spans="2:14">
      <c r="B3501" s="46"/>
      <c r="C3501" s="46"/>
      <c r="D3501" s="47">
        <v>2210401</v>
      </c>
      <c r="E3501" s="48" t="s">
        <v>25</v>
      </c>
      <c r="F3501" s="135">
        <v>700000</v>
      </c>
      <c r="H3501" s="46"/>
      <c r="I3501" s="46"/>
      <c r="J3501" s="47">
        <v>2210401</v>
      </c>
      <c r="K3501" s="48" t="s">
        <v>25</v>
      </c>
      <c r="L3501" s="135">
        <v>700000</v>
      </c>
      <c r="N3501" s="135">
        <f t="shared" si="54"/>
        <v>0</v>
      </c>
    </row>
    <row r="3502" spans="2:14">
      <c r="B3502" s="46"/>
      <c r="C3502" s="46"/>
      <c r="D3502" s="1909">
        <v>2210402</v>
      </c>
      <c r="E3502" s="1910" t="s">
        <v>30</v>
      </c>
      <c r="F3502" s="1911">
        <v>2700000</v>
      </c>
      <c r="H3502" s="46"/>
      <c r="I3502" s="46"/>
      <c r="J3502" s="1909">
        <v>2210402</v>
      </c>
      <c r="K3502" s="1910" t="s">
        <v>30</v>
      </c>
      <c r="L3502" s="1911">
        <v>2700000</v>
      </c>
      <c r="N3502" s="1911">
        <f t="shared" si="54"/>
        <v>0</v>
      </c>
    </row>
    <row r="3503" spans="2:14">
      <c r="B3503" s="18"/>
      <c r="C3503" s="18"/>
      <c r="D3503" s="1909">
        <v>2210404</v>
      </c>
      <c r="E3503" s="1910" t="s">
        <v>28</v>
      </c>
      <c r="F3503" s="135">
        <v>500000</v>
      </c>
      <c r="H3503" s="18"/>
      <c r="I3503" s="18"/>
      <c r="J3503" s="1909">
        <v>2210404</v>
      </c>
      <c r="K3503" s="1910" t="s">
        <v>28</v>
      </c>
      <c r="L3503" s="135">
        <v>500000</v>
      </c>
      <c r="N3503" s="135">
        <f t="shared" si="54"/>
        <v>0</v>
      </c>
    </row>
    <row r="3504" spans="2:14">
      <c r="B3504" s="46"/>
      <c r="C3504" s="46"/>
      <c r="D3504" s="55">
        <v>2210500</v>
      </c>
      <c r="E3504" s="1680" t="s">
        <v>31</v>
      </c>
      <c r="F3504" s="1908">
        <v>550000</v>
      </c>
      <c r="H3504" s="46"/>
      <c r="I3504" s="46"/>
      <c r="J3504" s="55">
        <v>2210500</v>
      </c>
      <c r="K3504" s="1680" t="s">
        <v>31</v>
      </c>
      <c r="L3504" s="1908">
        <v>550000</v>
      </c>
      <c r="N3504" s="1908">
        <f t="shared" si="54"/>
        <v>0</v>
      </c>
    </row>
    <row r="3505" spans="2:14">
      <c r="B3505" s="46"/>
      <c r="C3505" s="46"/>
      <c r="D3505" s="1909">
        <v>2210502</v>
      </c>
      <c r="E3505" s="48" t="s">
        <v>105</v>
      </c>
      <c r="F3505" s="1906">
        <v>150000</v>
      </c>
      <c r="H3505" s="46"/>
      <c r="I3505" s="46"/>
      <c r="J3505" s="1909">
        <v>2210502</v>
      </c>
      <c r="K3505" s="48" t="s">
        <v>105</v>
      </c>
      <c r="L3505" s="1906">
        <v>150000</v>
      </c>
      <c r="N3505" s="1906">
        <f t="shared" si="54"/>
        <v>0</v>
      </c>
    </row>
    <row r="3506" spans="2:14">
      <c r="B3506" s="46"/>
      <c r="C3506" s="46"/>
      <c r="D3506" s="1909">
        <v>2210503</v>
      </c>
      <c r="E3506" s="48" t="s">
        <v>32</v>
      </c>
      <c r="F3506" s="1906">
        <v>200000</v>
      </c>
      <c r="H3506" s="46"/>
      <c r="I3506" s="46"/>
      <c r="J3506" s="1909">
        <v>2210503</v>
      </c>
      <c r="K3506" s="48" t="s">
        <v>32</v>
      </c>
      <c r="L3506" s="1906">
        <v>200000</v>
      </c>
      <c r="N3506" s="1906">
        <f t="shared" si="54"/>
        <v>0</v>
      </c>
    </row>
    <row r="3507" spans="2:14">
      <c r="B3507" s="46"/>
      <c r="C3507" s="46"/>
      <c r="D3507" s="1909">
        <v>2210504</v>
      </c>
      <c r="E3507" s="48" t="s">
        <v>33</v>
      </c>
      <c r="F3507" s="1906">
        <v>200000</v>
      </c>
      <c r="H3507" s="46"/>
      <c r="I3507" s="46"/>
      <c r="J3507" s="1909">
        <v>2210504</v>
      </c>
      <c r="K3507" s="48" t="s">
        <v>33</v>
      </c>
      <c r="L3507" s="1906">
        <v>200000</v>
      </c>
      <c r="N3507" s="1906">
        <f t="shared" si="54"/>
        <v>0</v>
      </c>
    </row>
    <row r="3508" spans="2:14">
      <c r="B3508" s="46"/>
      <c r="C3508" s="46"/>
      <c r="D3508" s="55">
        <v>2210600</v>
      </c>
      <c r="E3508" s="1680" t="s">
        <v>154</v>
      </c>
      <c r="F3508" s="1908">
        <v>411000</v>
      </c>
      <c r="H3508" s="46"/>
      <c r="I3508" s="46"/>
      <c r="J3508" s="55">
        <v>2210600</v>
      </c>
      <c r="K3508" s="1680" t="s">
        <v>154</v>
      </c>
      <c r="L3508" s="1908">
        <v>411000</v>
      </c>
      <c r="N3508" s="1908">
        <f t="shared" si="54"/>
        <v>0</v>
      </c>
    </row>
    <row r="3509" spans="2:14">
      <c r="B3509" s="46"/>
      <c r="C3509" s="46"/>
      <c r="D3509" s="1909">
        <v>2210603</v>
      </c>
      <c r="E3509" s="48" t="s">
        <v>489</v>
      </c>
      <c r="F3509" s="1906">
        <v>411000</v>
      </c>
      <c r="H3509" s="46"/>
      <c r="I3509" s="46"/>
      <c r="J3509" s="1909">
        <v>2210603</v>
      </c>
      <c r="K3509" s="48" t="s">
        <v>489</v>
      </c>
      <c r="L3509" s="1906">
        <v>411000</v>
      </c>
      <c r="N3509" s="1906">
        <f t="shared" si="54"/>
        <v>0</v>
      </c>
    </row>
    <row r="3510" spans="2:14">
      <c r="B3510" s="46"/>
      <c r="C3510" s="46"/>
      <c r="D3510" s="55">
        <v>2210700</v>
      </c>
      <c r="E3510" s="1680" t="s">
        <v>35</v>
      </c>
      <c r="F3510" s="1908">
        <v>1290000</v>
      </c>
      <c r="H3510" s="46"/>
      <c r="I3510" s="46"/>
      <c r="J3510" s="55">
        <v>2210700</v>
      </c>
      <c r="K3510" s="1680" t="s">
        <v>35</v>
      </c>
      <c r="L3510" s="1908">
        <v>1290000</v>
      </c>
      <c r="N3510" s="1908">
        <f t="shared" si="54"/>
        <v>0</v>
      </c>
    </row>
    <row r="3511" spans="2:14">
      <c r="B3511" s="46"/>
      <c r="C3511" s="46"/>
      <c r="D3511" s="1909">
        <v>2210703</v>
      </c>
      <c r="E3511" s="48" t="s">
        <v>107</v>
      </c>
      <c r="F3511" s="1906">
        <v>100000</v>
      </c>
      <c r="H3511" s="46"/>
      <c r="I3511" s="46"/>
      <c r="J3511" s="1909">
        <v>2210703</v>
      </c>
      <c r="K3511" s="48" t="s">
        <v>107</v>
      </c>
      <c r="L3511" s="1906">
        <v>100000</v>
      </c>
      <c r="N3511" s="1906">
        <f t="shared" si="54"/>
        <v>0</v>
      </c>
    </row>
    <row r="3512" spans="2:14">
      <c r="B3512" s="46"/>
      <c r="C3512" s="46"/>
      <c r="D3512" s="1909">
        <v>2210704</v>
      </c>
      <c r="E3512" s="48" t="s">
        <v>38</v>
      </c>
      <c r="F3512" s="1906">
        <v>40000</v>
      </c>
      <c r="H3512" s="46"/>
      <c r="I3512" s="46"/>
      <c r="J3512" s="1909">
        <v>2210704</v>
      </c>
      <c r="K3512" s="48" t="s">
        <v>38</v>
      </c>
      <c r="L3512" s="1906">
        <v>40000</v>
      </c>
      <c r="N3512" s="1906">
        <f t="shared" si="54"/>
        <v>0</v>
      </c>
    </row>
    <row r="3513" spans="2:14">
      <c r="B3513" s="46"/>
      <c r="C3513" s="46"/>
      <c r="D3513" s="1909">
        <v>2210710</v>
      </c>
      <c r="E3513" s="48" t="s">
        <v>39</v>
      </c>
      <c r="F3513" s="1906">
        <v>700000</v>
      </c>
      <c r="H3513" s="46"/>
      <c r="I3513" s="46"/>
      <c r="J3513" s="1909">
        <v>2210710</v>
      </c>
      <c r="K3513" s="48" t="s">
        <v>39</v>
      </c>
      <c r="L3513" s="1906">
        <v>700000</v>
      </c>
      <c r="N3513" s="1906">
        <f t="shared" si="54"/>
        <v>0</v>
      </c>
    </row>
    <row r="3514" spans="2:14">
      <c r="B3514" s="46"/>
      <c r="C3514" s="46"/>
      <c r="D3514" s="47">
        <v>2210711</v>
      </c>
      <c r="E3514" s="1912" t="s">
        <v>281</v>
      </c>
      <c r="F3514" s="1906">
        <v>200000</v>
      </c>
      <c r="H3514" s="46"/>
      <c r="I3514" s="46"/>
      <c r="J3514" s="47">
        <v>2210711</v>
      </c>
      <c r="K3514" s="1912" t="s">
        <v>281</v>
      </c>
      <c r="L3514" s="1906">
        <v>200000</v>
      </c>
      <c r="N3514" s="1906">
        <f t="shared" si="54"/>
        <v>0</v>
      </c>
    </row>
    <row r="3515" spans="2:14">
      <c r="B3515" s="46"/>
      <c r="C3515" s="46"/>
      <c r="D3515" s="1913">
        <v>2210715</v>
      </c>
      <c r="E3515" s="1910" t="s">
        <v>40</v>
      </c>
      <c r="F3515" s="1906">
        <v>50000</v>
      </c>
      <c r="H3515" s="46"/>
      <c r="I3515" s="46"/>
      <c r="J3515" s="1913">
        <v>2210715</v>
      </c>
      <c r="K3515" s="1910" t="s">
        <v>40</v>
      </c>
      <c r="L3515" s="1906">
        <v>50000</v>
      </c>
      <c r="N3515" s="1906">
        <f t="shared" si="54"/>
        <v>0</v>
      </c>
    </row>
    <row r="3516" spans="2:14">
      <c r="B3516" s="46"/>
      <c r="C3516" s="46"/>
      <c r="D3516" s="1909" t="s">
        <v>651</v>
      </c>
      <c r="E3516" s="48" t="s">
        <v>665</v>
      </c>
      <c r="F3516" s="1906">
        <v>200000</v>
      </c>
      <c r="H3516" s="46"/>
      <c r="I3516" s="46"/>
      <c r="J3516" s="1909" t="s">
        <v>651</v>
      </c>
      <c r="K3516" s="48" t="s">
        <v>665</v>
      </c>
      <c r="L3516" s="1906">
        <v>200000</v>
      </c>
      <c r="N3516" s="1906">
        <f t="shared" si="54"/>
        <v>0</v>
      </c>
    </row>
    <row r="3517" spans="2:14">
      <c r="B3517" s="46"/>
      <c r="C3517" s="46"/>
      <c r="D3517" s="55">
        <v>2210800</v>
      </c>
      <c r="E3517" s="1680" t="s">
        <v>42</v>
      </c>
      <c r="F3517" s="1908">
        <v>1025000</v>
      </c>
      <c r="H3517" s="46"/>
      <c r="I3517" s="46"/>
      <c r="J3517" s="55">
        <v>2210800</v>
      </c>
      <c r="K3517" s="1680" t="s">
        <v>42</v>
      </c>
      <c r="L3517" s="1908">
        <v>1025000</v>
      </c>
      <c r="N3517" s="1908">
        <f t="shared" si="54"/>
        <v>0</v>
      </c>
    </row>
    <row r="3518" spans="2:14">
      <c r="B3518" s="46"/>
      <c r="C3518" s="46"/>
      <c r="D3518" s="1909">
        <v>2210801</v>
      </c>
      <c r="E3518" s="48" t="s">
        <v>43</v>
      </c>
      <c r="F3518" s="1906">
        <v>625000</v>
      </c>
      <c r="H3518" s="46"/>
      <c r="I3518" s="46"/>
      <c r="J3518" s="1909">
        <v>2210801</v>
      </c>
      <c r="K3518" s="48" t="s">
        <v>43</v>
      </c>
      <c r="L3518" s="1906">
        <v>625000</v>
      </c>
      <c r="N3518" s="1906">
        <f t="shared" si="54"/>
        <v>0</v>
      </c>
    </row>
    <row r="3519" spans="2:14">
      <c r="B3519" s="46"/>
      <c r="C3519" s="46"/>
      <c r="D3519" s="1909">
        <v>2210802</v>
      </c>
      <c r="E3519" s="48" t="s">
        <v>97</v>
      </c>
      <c r="F3519" s="1906">
        <v>400000</v>
      </c>
      <c r="H3519" s="46"/>
      <c r="I3519" s="46"/>
      <c r="J3519" s="1909">
        <v>2210802</v>
      </c>
      <c r="K3519" s="48" t="s">
        <v>97</v>
      </c>
      <c r="L3519" s="1906">
        <v>400000</v>
      </c>
      <c r="N3519" s="1906">
        <f t="shared" si="54"/>
        <v>0</v>
      </c>
    </row>
    <row r="3520" spans="2:14">
      <c r="B3520" s="46"/>
      <c r="C3520" s="46"/>
      <c r="D3520" s="55" t="s">
        <v>666</v>
      </c>
      <c r="E3520" s="1680" t="s">
        <v>46</v>
      </c>
      <c r="F3520" s="1908">
        <v>60000</v>
      </c>
      <c r="H3520" s="46"/>
      <c r="I3520" s="46"/>
      <c r="J3520" s="55" t="s">
        <v>666</v>
      </c>
      <c r="K3520" s="1680" t="s">
        <v>46</v>
      </c>
      <c r="L3520" s="1908">
        <v>60000</v>
      </c>
      <c r="N3520" s="1908">
        <f t="shared" si="54"/>
        <v>0</v>
      </c>
    </row>
    <row r="3521" spans="2:14">
      <c r="B3521" s="46"/>
      <c r="C3521" s="46"/>
      <c r="D3521" s="1909" t="s">
        <v>667</v>
      </c>
      <c r="E3521" s="48" t="s">
        <v>668</v>
      </c>
      <c r="F3521" s="1906">
        <v>60000</v>
      </c>
      <c r="H3521" s="46"/>
      <c r="I3521" s="46"/>
      <c r="J3521" s="1909" t="s">
        <v>667</v>
      </c>
      <c r="K3521" s="48" t="s">
        <v>668</v>
      </c>
      <c r="L3521" s="1906">
        <v>60000</v>
      </c>
      <c r="N3521" s="1906">
        <f t="shared" si="54"/>
        <v>0</v>
      </c>
    </row>
    <row r="3522" spans="2:14">
      <c r="B3522" s="46"/>
      <c r="C3522" s="46"/>
      <c r="D3522" s="55">
        <v>2211100</v>
      </c>
      <c r="E3522" s="1680" t="s">
        <v>51</v>
      </c>
      <c r="F3522" s="1908">
        <v>160000</v>
      </c>
      <c r="H3522" s="46"/>
      <c r="I3522" s="46"/>
      <c r="J3522" s="55">
        <v>2211100</v>
      </c>
      <c r="K3522" s="1680" t="s">
        <v>51</v>
      </c>
      <c r="L3522" s="1908">
        <v>160000</v>
      </c>
      <c r="N3522" s="1908">
        <f t="shared" si="54"/>
        <v>0</v>
      </c>
    </row>
    <row r="3523" spans="2:14">
      <c r="B3523" s="46"/>
      <c r="C3523" s="46"/>
      <c r="D3523" s="1909">
        <v>2211101</v>
      </c>
      <c r="E3523" s="48" t="s">
        <v>52</v>
      </c>
      <c r="F3523" s="1906">
        <v>100000</v>
      </c>
      <c r="H3523" s="46"/>
      <c r="I3523" s="46"/>
      <c r="J3523" s="1909">
        <v>2211101</v>
      </c>
      <c r="K3523" s="48" t="s">
        <v>52</v>
      </c>
      <c r="L3523" s="1906">
        <v>100000</v>
      </c>
      <c r="N3523" s="1906">
        <f t="shared" si="54"/>
        <v>0</v>
      </c>
    </row>
    <row r="3524" spans="2:14">
      <c r="B3524" s="46"/>
      <c r="C3524" s="46"/>
      <c r="D3524" s="1909">
        <v>2211102</v>
      </c>
      <c r="E3524" s="48" t="s">
        <v>53</v>
      </c>
      <c r="F3524" s="1906">
        <v>10000</v>
      </c>
      <c r="H3524" s="46"/>
      <c r="I3524" s="46"/>
      <c r="J3524" s="1909">
        <v>2211102</v>
      </c>
      <c r="K3524" s="48" t="s">
        <v>53</v>
      </c>
      <c r="L3524" s="1906">
        <v>10000</v>
      </c>
      <c r="N3524" s="1906">
        <f t="shared" si="54"/>
        <v>0</v>
      </c>
    </row>
    <row r="3525" spans="2:14">
      <c r="B3525" s="46"/>
      <c r="C3525" s="46"/>
      <c r="D3525" s="1909">
        <v>2211103</v>
      </c>
      <c r="E3525" s="48" t="s">
        <v>54</v>
      </c>
      <c r="F3525" s="1906">
        <v>50000</v>
      </c>
      <c r="H3525" s="46"/>
      <c r="I3525" s="46"/>
      <c r="J3525" s="1909">
        <v>2211103</v>
      </c>
      <c r="K3525" s="48" t="s">
        <v>54</v>
      </c>
      <c r="L3525" s="1906">
        <v>50000</v>
      </c>
      <c r="N3525" s="1906">
        <f t="shared" si="54"/>
        <v>0</v>
      </c>
    </row>
    <row r="3526" spans="2:14">
      <c r="B3526" s="46"/>
      <c r="C3526" s="46"/>
      <c r="D3526" s="55">
        <v>2211200</v>
      </c>
      <c r="E3526" s="1680" t="s">
        <v>55</v>
      </c>
      <c r="F3526" s="1908">
        <v>710000</v>
      </c>
      <c r="H3526" s="46"/>
      <c r="I3526" s="46"/>
      <c r="J3526" s="55">
        <v>2211200</v>
      </c>
      <c r="K3526" s="1680" t="s">
        <v>55</v>
      </c>
      <c r="L3526" s="1908">
        <v>710000</v>
      </c>
      <c r="N3526" s="1908">
        <f t="shared" si="54"/>
        <v>0</v>
      </c>
    </row>
    <row r="3527" spans="2:14">
      <c r="B3527" s="46"/>
      <c r="C3527" s="46"/>
      <c r="D3527" s="1909">
        <v>2211201</v>
      </c>
      <c r="E3527" s="48" t="s">
        <v>56</v>
      </c>
      <c r="F3527" s="1906">
        <v>710000</v>
      </c>
      <c r="H3527" s="46"/>
      <c r="I3527" s="46"/>
      <c r="J3527" s="1909">
        <v>2211201</v>
      </c>
      <c r="K3527" s="48" t="s">
        <v>56</v>
      </c>
      <c r="L3527" s="1906">
        <v>710000</v>
      </c>
      <c r="N3527" s="1906">
        <f t="shared" si="54"/>
        <v>0</v>
      </c>
    </row>
    <row r="3528" spans="2:14">
      <c r="B3528" s="46"/>
      <c r="C3528" s="46"/>
      <c r="D3528" s="55">
        <v>2211300</v>
      </c>
      <c r="E3528" s="1680" t="s">
        <v>57</v>
      </c>
      <c r="F3528" s="1908">
        <v>512000</v>
      </c>
      <c r="H3528" s="46"/>
      <c r="I3528" s="46"/>
      <c r="J3528" s="55">
        <v>2211300</v>
      </c>
      <c r="K3528" s="1680" t="s">
        <v>57</v>
      </c>
      <c r="L3528" s="1908">
        <v>512000</v>
      </c>
      <c r="N3528" s="1908">
        <f t="shared" ref="N3528:N3591" si="55">F3528-L3528</f>
        <v>0</v>
      </c>
    </row>
    <row r="3529" spans="2:14">
      <c r="B3529" s="46"/>
      <c r="C3529" s="46"/>
      <c r="D3529" s="47">
        <v>2211305</v>
      </c>
      <c r="E3529" s="48" t="s">
        <v>365</v>
      </c>
      <c r="F3529" s="1906">
        <v>75000</v>
      </c>
      <c r="H3529" s="46"/>
      <c r="I3529" s="46"/>
      <c r="J3529" s="47">
        <v>2211305</v>
      </c>
      <c r="K3529" s="48" t="s">
        <v>365</v>
      </c>
      <c r="L3529" s="1906">
        <v>75000</v>
      </c>
      <c r="N3529" s="1906">
        <f t="shared" si="55"/>
        <v>0</v>
      </c>
    </row>
    <row r="3530" spans="2:14">
      <c r="B3530" s="46"/>
      <c r="C3530" s="46"/>
      <c r="D3530" s="1909">
        <v>2211306</v>
      </c>
      <c r="E3530" s="48" t="s">
        <v>58</v>
      </c>
      <c r="F3530" s="1906">
        <v>87000</v>
      </c>
      <c r="H3530" s="46"/>
      <c r="I3530" s="46"/>
      <c r="J3530" s="1909">
        <v>2211306</v>
      </c>
      <c r="K3530" s="48" t="s">
        <v>58</v>
      </c>
      <c r="L3530" s="1906">
        <v>87000</v>
      </c>
      <c r="N3530" s="1906">
        <f t="shared" si="55"/>
        <v>0</v>
      </c>
    </row>
    <row r="3531" spans="2:14">
      <c r="B3531" s="46"/>
      <c r="C3531" s="46"/>
      <c r="D3531" s="47">
        <v>2211310</v>
      </c>
      <c r="E3531" s="48" t="s">
        <v>669</v>
      </c>
      <c r="F3531" s="1906">
        <v>350000</v>
      </c>
      <c r="H3531" s="46"/>
      <c r="I3531" s="46"/>
      <c r="J3531" s="47">
        <v>2211310</v>
      </c>
      <c r="K3531" s="48" t="s">
        <v>669</v>
      </c>
      <c r="L3531" s="1906">
        <v>350000</v>
      </c>
      <c r="N3531" s="1906">
        <f t="shared" si="55"/>
        <v>0</v>
      </c>
    </row>
    <row r="3532" spans="2:14">
      <c r="B3532" s="46"/>
      <c r="C3532" s="46"/>
      <c r="D3532" s="55">
        <v>2220100</v>
      </c>
      <c r="E3532" s="1680" t="s">
        <v>62</v>
      </c>
      <c r="F3532" s="1908">
        <v>50000</v>
      </c>
      <c r="H3532" s="46"/>
      <c r="I3532" s="46"/>
      <c r="J3532" s="55">
        <v>2220100</v>
      </c>
      <c r="K3532" s="1680" t="s">
        <v>62</v>
      </c>
      <c r="L3532" s="1908">
        <v>50000</v>
      </c>
      <c r="N3532" s="1908">
        <f t="shared" si="55"/>
        <v>0</v>
      </c>
    </row>
    <row r="3533" spans="2:14">
      <c r="B3533" s="46"/>
      <c r="C3533" s="46"/>
      <c r="D3533" s="1909">
        <v>2220101</v>
      </c>
      <c r="E3533" s="48" t="s">
        <v>250</v>
      </c>
      <c r="F3533" s="1906">
        <v>50000</v>
      </c>
      <c r="H3533" s="46"/>
      <c r="I3533" s="46"/>
      <c r="J3533" s="1909">
        <v>2220101</v>
      </c>
      <c r="K3533" s="48" t="s">
        <v>250</v>
      </c>
      <c r="L3533" s="1906">
        <v>50000</v>
      </c>
      <c r="N3533" s="1906">
        <f t="shared" si="55"/>
        <v>0</v>
      </c>
    </row>
    <row r="3534" spans="2:14">
      <c r="B3534" s="46"/>
      <c r="C3534" s="46"/>
      <c r="D3534" s="55">
        <v>2220200</v>
      </c>
      <c r="E3534" s="1680" t="s">
        <v>86</v>
      </c>
      <c r="F3534" s="1908">
        <v>130000</v>
      </c>
      <c r="H3534" s="46"/>
      <c r="I3534" s="46"/>
      <c r="J3534" s="55">
        <v>2220200</v>
      </c>
      <c r="K3534" s="1680" t="s">
        <v>86</v>
      </c>
      <c r="L3534" s="1908">
        <v>130000</v>
      </c>
      <c r="N3534" s="1908">
        <f t="shared" si="55"/>
        <v>0</v>
      </c>
    </row>
    <row r="3535" spans="2:14">
      <c r="B3535" s="46"/>
      <c r="C3535" s="46"/>
      <c r="D3535" s="1909">
        <v>2220202</v>
      </c>
      <c r="E3535" s="48" t="s">
        <v>87</v>
      </c>
      <c r="F3535" s="1906">
        <v>80000</v>
      </c>
      <c r="H3535" s="46"/>
      <c r="I3535" s="46"/>
      <c r="J3535" s="1909">
        <v>2220202</v>
      </c>
      <c r="K3535" s="48" t="s">
        <v>87</v>
      </c>
      <c r="L3535" s="1906">
        <v>80000</v>
      </c>
      <c r="N3535" s="1906">
        <f t="shared" si="55"/>
        <v>0</v>
      </c>
    </row>
    <row r="3536" spans="2:14">
      <c r="B3536" s="46"/>
      <c r="C3536" s="46"/>
      <c r="D3536" s="1909">
        <v>2220205</v>
      </c>
      <c r="E3536" s="48" t="s">
        <v>670</v>
      </c>
      <c r="F3536" s="1906">
        <v>50000</v>
      </c>
      <c r="H3536" s="46"/>
      <c r="I3536" s="46"/>
      <c r="J3536" s="1909">
        <v>2220205</v>
      </c>
      <c r="K3536" s="48" t="s">
        <v>670</v>
      </c>
      <c r="L3536" s="1906">
        <v>50000</v>
      </c>
      <c r="N3536" s="1906">
        <f t="shared" si="55"/>
        <v>0</v>
      </c>
    </row>
    <row r="3537" spans="2:14">
      <c r="B3537" s="46"/>
      <c r="C3537" s="46"/>
      <c r="D3537" s="55">
        <v>3110300</v>
      </c>
      <c r="E3537" s="1680" t="s">
        <v>251</v>
      </c>
      <c r="F3537" s="1908">
        <v>50000</v>
      </c>
      <c r="H3537" s="46"/>
      <c r="I3537" s="46"/>
      <c r="J3537" s="55">
        <v>3110300</v>
      </c>
      <c r="K3537" s="1680" t="s">
        <v>251</v>
      </c>
      <c r="L3537" s="1908">
        <v>50000</v>
      </c>
      <c r="N3537" s="1908">
        <f t="shared" si="55"/>
        <v>0</v>
      </c>
    </row>
    <row r="3538" spans="2:14">
      <c r="B3538" s="46"/>
      <c r="C3538" s="46"/>
      <c r="D3538" s="1909">
        <v>3110302</v>
      </c>
      <c r="E3538" s="48" t="s">
        <v>252</v>
      </c>
      <c r="F3538" s="1906">
        <v>50000</v>
      </c>
      <c r="H3538" s="46"/>
      <c r="I3538" s="46"/>
      <c r="J3538" s="1909">
        <v>3110302</v>
      </c>
      <c r="K3538" s="48" t="s">
        <v>252</v>
      </c>
      <c r="L3538" s="1906">
        <v>50000</v>
      </c>
      <c r="N3538" s="1906">
        <f t="shared" si="55"/>
        <v>0</v>
      </c>
    </row>
    <row r="3539" spans="2:14">
      <c r="B3539" s="46"/>
      <c r="C3539" s="46"/>
      <c r="D3539" s="55">
        <v>3111000</v>
      </c>
      <c r="E3539" s="1680" t="s">
        <v>69</v>
      </c>
      <c r="F3539" s="1908">
        <v>200000</v>
      </c>
      <c r="H3539" s="46"/>
      <c r="I3539" s="46"/>
      <c r="J3539" s="55">
        <v>3111000</v>
      </c>
      <c r="K3539" s="1680" t="s">
        <v>69</v>
      </c>
      <c r="L3539" s="1908">
        <v>200000</v>
      </c>
      <c r="N3539" s="1908">
        <f t="shared" si="55"/>
        <v>0</v>
      </c>
    </row>
    <row r="3540" spans="2:14">
      <c r="B3540" s="18"/>
      <c r="C3540" s="18"/>
      <c r="D3540" s="1909">
        <v>3111001</v>
      </c>
      <c r="E3540" s="48" t="s">
        <v>70</v>
      </c>
      <c r="F3540" s="1906">
        <v>50000</v>
      </c>
      <c r="H3540" s="18"/>
      <c r="I3540" s="18"/>
      <c r="J3540" s="1909">
        <v>3111001</v>
      </c>
      <c r="K3540" s="48" t="s">
        <v>70</v>
      </c>
      <c r="L3540" s="1906">
        <v>50000</v>
      </c>
      <c r="N3540" s="1906">
        <f t="shared" si="55"/>
        <v>0</v>
      </c>
    </row>
    <row r="3541" spans="2:14">
      <c r="B3541" s="18"/>
      <c r="C3541" s="18"/>
      <c r="D3541" s="1909">
        <v>3111002</v>
      </c>
      <c r="E3541" s="48" t="s">
        <v>71</v>
      </c>
      <c r="F3541" s="1906">
        <v>100000</v>
      </c>
      <c r="H3541" s="18"/>
      <c r="I3541" s="18"/>
      <c r="J3541" s="1909">
        <v>3111002</v>
      </c>
      <c r="K3541" s="48" t="s">
        <v>71</v>
      </c>
      <c r="L3541" s="1906">
        <v>100000</v>
      </c>
      <c r="N3541" s="1906">
        <f t="shared" si="55"/>
        <v>0</v>
      </c>
    </row>
    <row r="3542" spans="2:14">
      <c r="B3542" s="46"/>
      <c r="C3542" s="46"/>
      <c r="D3542" s="1909">
        <v>3111009</v>
      </c>
      <c r="E3542" s="48" t="s">
        <v>253</v>
      </c>
      <c r="F3542" s="1906">
        <v>50000</v>
      </c>
      <c r="H3542" s="46"/>
      <c r="I3542" s="46"/>
      <c r="J3542" s="1909">
        <v>3111009</v>
      </c>
      <c r="K3542" s="48" t="s">
        <v>253</v>
      </c>
      <c r="L3542" s="1906">
        <v>50000</v>
      </c>
      <c r="N3542" s="1906">
        <f t="shared" si="55"/>
        <v>0</v>
      </c>
    </row>
    <row r="3543" spans="2:14">
      <c r="B3543" s="46"/>
      <c r="C3543" s="46"/>
      <c r="D3543" s="19"/>
      <c r="E3543" s="1680" t="s">
        <v>671</v>
      </c>
      <c r="F3543" s="1773">
        <v>42423152.048314273</v>
      </c>
      <c r="H3543" s="46"/>
      <c r="I3543" s="46"/>
      <c r="J3543" s="19"/>
      <c r="K3543" s="1680" t="s">
        <v>671</v>
      </c>
      <c r="L3543" s="1773">
        <v>42423152.048314273</v>
      </c>
      <c r="N3543" s="1773">
        <f t="shared" si="55"/>
        <v>0</v>
      </c>
    </row>
    <row r="3544" spans="2:14">
      <c r="B3544" s="46"/>
      <c r="C3544" s="46"/>
      <c r="D3544" s="1671"/>
      <c r="E3544" s="1680" t="s">
        <v>672</v>
      </c>
      <c r="F3544" s="1773">
        <v>42423152.048314273</v>
      </c>
      <c r="H3544" s="46"/>
      <c r="I3544" s="46"/>
      <c r="J3544" s="1671"/>
      <c r="K3544" s="1680" t="s">
        <v>672</v>
      </c>
      <c r="L3544" s="1773">
        <v>42423152.048314273</v>
      </c>
      <c r="N3544" s="1773">
        <f t="shared" si="55"/>
        <v>0</v>
      </c>
    </row>
    <row r="3545" spans="2:14">
      <c r="B3545" s="46"/>
      <c r="C3545" s="46"/>
      <c r="D3545" s="1671"/>
      <c r="E3545" s="1914"/>
      <c r="F3545" s="1773"/>
      <c r="H3545" s="46"/>
      <c r="I3545" s="46"/>
      <c r="J3545" s="1671"/>
      <c r="K3545" s="1914"/>
      <c r="L3545" s="1773"/>
      <c r="N3545" s="1773">
        <f t="shared" si="55"/>
        <v>0</v>
      </c>
    </row>
    <row r="3546" spans="2:14">
      <c r="B3546" s="46"/>
      <c r="C3546" s="46"/>
      <c r="D3546" s="1671" t="s">
        <v>1856</v>
      </c>
      <c r="E3546" s="1914"/>
      <c r="F3546" s="1773"/>
      <c r="H3546" s="46"/>
      <c r="I3546" s="46"/>
      <c r="J3546" s="1671" t="s">
        <v>1856</v>
      </c>
      <c r="K3546" s="1914"/>
      <c r="L3546" s="1773"/>
      <c r="N3546" s="1773">
        <f t="shared" si="55"/>
        <v>0</v>
      </c>
    </row>
    <row r="3547" spans="2:14">
      <c r="B3547" s="46"/>
      <c r="C3547" s="46"/>
      <c r="D3547" s="1671" t="s">
        <v>1857</v>
      </c>
      <c r="E3547" s="1914"/>
      <c r="F3547" s="1915"/>
      <c r="H3547" s="46"/>
      <c r="I3547" s="46"/>
      <c r="J3547" s="1671" t="s">
        <v>1857</v>
      </c>
      <c r="K3547" s="1914"/>
      <c r="L3547" s="1915"/>
      <c r="N3547" s="1915">
        <f t="shared" si="55"/>
        <v>0</v>
      </c>
    </row>
    <row r="3548" spans="2:14">
      <c r="B3548" s="46"/>
      <c r="C3548" s="46"/>
      <c r="D3548" s="55">
        <v>2210200</v>
      </c>
      <c r="E3548" s="1680" t="s">
        <v>20</v>
      </c>
      <c r="F3548" s="1915">
        <v>280000</v>
      </c>
      <c r="H3548" s="46"/>
      <c r="I3548" s="46"/>
      <c r="J3548" s="55">
        <v>2210200</v>
      </c>
      <c r="K3548" s="1680" t="s">
        <v>20</v>
      </c>
      <c r="L3548" s="1915">
        <v>280000</v>
      </c>
      <c r="N3548" s="1915">
        <f t="shared" si="55"/>
        <v>0</v>
      </c>
    </row>
    <row r="3549" spans="2:14">
      <c r="B3549" s="46"/>
      <c r="C3549" s="46"/>
      <c r="D3549" s="1909">
        <v>2210201</v>
      </c>
      <c r="E3549" s="48" t="s">
        <v>21</v>
      </c>
      <c r="F3549" s="1906">
        <v>30000</v>
      </c>
      <c r="H3549" s="46"/>
      <c r="I3549" s="46"/>
      <c r="J3549" s="1909">
        <v>2210201</v>
      </c>
      <c r="K3549" s="48" t="s">
        <v>21</v>
      </c>
      <c r="L3549" s="1906">
        <v>30000</v>
      </c>
      <c r="N3549" s="1906">
        <f t="shared" si="55"/>
        <v>0</v>
      </c>
    </row>
    <row r="3550" spans="2:14">
      <c r="B3550" s="46"/>
      <c r="C3550" s="46"/>
      <c r="D3550" s="1909">
        <v>2210202</v>
      </c>
      <c r="E3550" s="48" t="s">
        <v>22</v>
      </c>
      <c r="F3550" s="1906">
        <v>250000</v>
      </c>
      <c r="H3550" s="46"/>
      <c r="I3550" s="46"/>
      <c r="J3550" s="1909">
        <v>2210202</v>
      </c>
      <c r="K3550" s="48" t="s">
        <v>22</v>
      </c>
      <c r="L3550" s="1906">
        <v>250000</v>
      </c>
      <c r="N3550" s="1906">
        <f t="shared" si="55"/>
        <v>0</v>
      </c>
    </row>
    <row r="3551" spans="2:14">
      <c r="B3551" s="46"/>
      <c r="C3551" s="46"/>
      <c r="D3551" s="55">
        <v>2210300</v>
      </c>
      <c r="E3551" s="1680" t="s">
        <v>24</v>
      </c>
      <c r="F3551" s="1908">
        <v>1550000</v>
      </c>
      <c r="H3551" s="46"/>
      <c r="I3551" s="46"/>
      <c r="J3551" s="55">
        <v>2210300</v>
      </c>
      <c r="K3551" s="1680" t="s">
        <v>24</v>
      </c>
      <c r="L3551" s="1908">
        <v>1550000</v>
      </c>
      <c r="N3551" s="1908">
        <f t="shared" si="55"/>
        <v>0</v>
      </c>
    </row>
    <row r="3552" spans="2:14">
      <c r="B3552" s="46"/>
      <c r="C3552" s="46"/>
      <c r="D3552" s="1909" t="s">
        <v>673</v>
      </c>
      <c r="E3552" s="48" t="s">
        <v>25</v>
      </c>
      <c r="F3552" s="1906">
        <v>500000</v>
      </c>
      <c r="H3552" s="46"/>
      <c r="I3552" s="46"/>
      <c r="J3552" s="1909" t="s">
        <v>673</v>
      </c>
      <c r="K3552" s="48" t="s">
        <v>25</v>
      </c>
      <c r="L3552" s="1906">
        <v>500000</v>
      </c>
      <c r="N3552" s="1906">
        <f t="shared" si="55"/>
        <v>0</v>
      </c>
    </row>
    <row r="3553" spans="2:14">
      <c r="B3553" s="46"/>
      <c r="C3553" s="46"/>
      <c r="D3553" s="1909">
        <v>2210302</v>
      </c>
      <c r="E3553" s="48" t="s">
        <v>26</v>
      </c>
      <c r="F3553" s="1906">
        <v>500000</v>
      </c>
      <c r="H3553" s="46"/>
      <c r="I3553" s="46"/>
      <c r="J3553" s="1909">
        <v>2210302</v>
      </c>
      <c r="K3553" s="48" t="s">
        <v>26</v>
      </c>
      <c r="L3553" s="1906">
        <v>500000</v>
      </c>
      <c r="N3553" s="1906">
        <f t="shared" si="55"/>
        <v>0</v>
      </c>
    </row>
    <row r="3554" spans="2:14">
      <c r="B3554" s="46"/>
      <c r="C3554" s="46"/>
      <c r="D3554" s="1909">
        <v>2210303</v>
      </c>
      <c r="E3554" s="48" t="s">
        <v>27</v>
      </c>
      <c r="F3554" s="1906">
        <v>550000</v>
      </c>
      <c r="H3554" s="46"/>
      <c r="I3554" s="46"/>
      <c r="J3554" s="1909">
        <v>2210303</v>
      </c>
      <c r="K3554" s="48" t="s">
        <v>27</v>
      </c>
      <c r="L3554" s="1906">
        <v>550000</v>
      </c>
      <c r="N3554" s="1906">
        <f t="shared" si="55"/>
        <v>0</v>
      </c>
    </row>
    <row r="3555" spans="2:14">
      <c r="B3555" s="46"/>
      <c r="C3555" s="46"/>
      <c r="D3555" s="55">
        <v>2210500</v>
      </c>
      <c r="E3555" s="1680" t="s">
        <v>31</v>
      </c>
      <c r="F3555" s="1908">
        <v>650000</v>
      </c>
      <c r="H3555" s="46"/>
      <c r="I3555" s="46"/>
      <c r="J3555" s="55">
        <v>2210500</v>
      </c>
      <c r="K3555" s="1680" t="s">
        <v>31</v>
      </c>
      <c r="L3555" s="1908">
        <v>650000</v>
      </c>
      <c r="N3555" s="1908">
        <f t="shared" si="55"/>
        <v>0</v>
      </c>
    </row>
    <row r="3556" spans="2:14">
      <c r="B3556" s="46"/>
      <c r="C3556" s="46"/>
      <c r="D3556" s="1909">
        <v>2210502</v>
      </c>
      <c r="E3556" s="48" t="s">
        <v>105</v>
      </c>
      <c r="F3556" s="1906">
        <v>300000</v>
      </c>
      <c r="H3556" s="46"/>
      <c r="I3556" s="46"/>
      <c r="J3556" s="1909">
        <v>2210502</v>
      </c>
      <c r="K3556" s="48" t="s">
        <v>105</v>
      </c>
      <c r="L3556" s="1906">
        <v>300000</v>
      </c>
      <c r="N3556" s="1906">
        <f t="shared" si="55"/>
        <v>0</v>
      </c>
    </row>
    <row r="3557" spans="2:14">
      <c r="B3557" s="46"/>
      <c r="C3557" s="46"/>
      <c r="D3557" s="1909">
        <v>2210503</v>
      </c>
      <c r="E3557" s="48" t="s">
        <v>32</v>
      </c>
      <c r="F3557" s="1906">
        <v>150000</v>
      </c>
      <c r="H3557" s="46"/>
      <c r="I3557" s="46"/>
      <c r="J3557" s="1909">
        <v>2210503</v>
      </c>
      <c r="K3557" s="48" t="s">
        <v>32</v>
      </c>
      <c r="L3557" s="1906">
        <v>150000</v>
      </c>
      <c r="N3557" s="1906">
        <f t="shared" si="55"/>
        <v>0</v>
      </c>
    </row>
    <row r="3558" spans="2:14">
      <c r="B3558" s="46"/>
      <c r="C3558" s="46"/>
      <c r="D3558" s="1909">
        <v>2210504</v>
      </c>
      <c r="E3558" s="48" t="s">
        <v>33</v>
      </c>
      <c r="F3558" s="1906">
        <v>200000</v>
      </c>
      <c r="H3558" s="46"/>
      <c r="I3558" s="46"/>
      <c r="J3558" s="1909">
        <v>2210504</v>
      </c>
      <c r="K3558" s="48" t="s">
        <v>33</v>
      </c>
      <c r="L3558" s="1906">
        <v>200000</v>
      </c>
      <c r="N3558" s="1906">
        <f t="shared" si="55"/>
        <v>0</v>
      </c>
    </row>
    <row r="3559" spans="2:14">
      <c r="B3559" s="46"/>
      <c r="C3559" s="46"/>
      <c r="D3559" s="1916">
        <v>2210600</v>
      </c>
      <c r="E3559" s="1917" t="s">
        <v>154</v>
      </c>
      <c r="F3559" s="1918">
        <v>0</v>
      </c>
      <c r="H3559" s="46"/>
      <c r="I3559" s="46"/>
      <c r="J3559" s="1916">
        <v>2210600</v>
      </c>
      <c r="K3559" s="1917" t="s">
        <v>154</v>
      </c>
      <c r="L3559" s="1918">
        <v>0</v>
      </c>
      <c r="N3559" s="1918">
        <f t="shared" si="55"/>
        <v>0</v>
      </c>
    </row>
    <row r="3560" spans="2:14">
      <c r="B3560" s="46"/>
      <c r="C3560" s="46"/>
      <c r="D3560" s="1909">
        <v>2210603</v>
      </c>
      <c r="E3560" s="48" t="s">
        <v>489</v>
      </c>
      <c r="F3560" s="1906">
        <v>0</v>
      </c>
      <c r="H3560" s="46"/>
      <c r="I3560" s="46"/>
      <c r="J3560" s="1909">
        <v>2210603</v>
      </c>
      <c r="K3560" s="48" t="s">
        <v>489</v>
      </c>
      <c r="L3560" s="1906">
        <v>0</v>
      </c>
      <c r="N3560" s="1906">
        <f t="shared" si="55"/>
        <v>0</v>
      </c>
    </row>
    <row r="3561" spans="2:14">
      <c r="B3561" s="46"/>
      <c r="C3561" s="46"/>
      <c r="D3561" s="55">
        <v>2210700</v>
      </c>
      <c r="E3561" s="1680" t="s">
        <v>35</v>
      </c>
      <c r="F3561" s="1908">
        <v>1900000</v>
      </c>
      <c r="H3561" s="46"/>
      <c r="I3561" s="46"/>
      <c r="J3561" s="55">
        <v>2210700</v>
      </c>
      <c r="K3561" s="1680" t="s">
        <v>35</v>
      </c>
      <c r="L3561" s="1908">
        <v>1900000</v>
      </c>
      <c r="N3561" s="1908">
        <f t="shared" si="55"/>
        <v>0</v>
      </c>
    </row>
    <row r="3562" spans="2:14">
      <c r="B3562" s="46"/>
      <c r="C3562" s="46"/>
      <c r="D3562" s="1909">
        <v>2210701</v>
      </c>
      <c r="E3562" s="48" t="s">
        <v>36</v>
      </c>
      <c r="F3562" s="1906">
        <v>650000</v>
      </c>
      <c r="H3562" s="46"/>
      <c r="I3562" s="46"/>
      <c r="J3562" s="1909">
        <v>2210701</v>
      </c>
      <c r="K3562" s="48" t="s">
        <v>36</v>
      </c>
      <c r="L3562" s="1906">
        <v>650000</v>
      </c>
      <c r="N3562" s="1906">
        <f t="shared" si="55"/>
        <v>0</v>
      </c>
    </row>
    <row r="3563" spans="2:14">
      <c r="B3563" s="46"/>
      <c r="C3563" s="46"/>
      <c r="D3563" s="1909">
        <v>2210703</v>
      </c>
      <c r="E3563" s="48" t="s">
        <v>107</v>
      </c>
      <c r="F3563" s="1906">
        <v>50000</v>
      </c>
      <c r="H3563" s="46"/>
      <c r="I3563" s="46"/>
      <c r="J3563" s="1909">
        <v>2210703</v>
      </c>
      <c r="K3563" s="48" t="s">
        <v>107</v>
      </c>
      <c r="L3563" s="1906">
        <v>50000</v>
      </c>
      <c r="N3563" s="1906">
        <f t="shared" si="55"/>
        <v>0</v>
      </c>
    </row>
    <row r="3564" spans="2:14">
      <c r="B3564" s="46"/>
      <c r="C3564" s="46"/>
      <c r="D3564" s="1909">
        <v>2210704</v>
      </c>
      <c r="E3564" s="48" t="s">
        <v>38</v>
      </c>
      <c r="F3564" s="1906">
        <v>100000</v>
      </c>
      <c r="H3564" s="46"/>
      <c r="I3564" s="46"/>
      <c r="J3564" s="1909">
        <v>2210704</v>
      </c>
      <c r="K3564" s="48" t="s">
        <v>38</v>
      </c>
      <c r="L3564" s="1906">
        <v>100000</v>
      </c>
      <c r="N3564" s="1906">
        <f t="shared" si="55"/>
        <v>0</v>
      </c>
    </row>
    <row r="3565" spans="2:14">
      <c r="B3565" s="46"/>
      <c r="C3565" s="46"/>
      <c r="D3565" s="1909">
        <v>2210710</v>
      </c>
      <c r="E3565" s="48" t="s">
        <v>39</v>
      </c>
      <c r="F3565" s="1906">
        <v>400000</v>
      </c>
      <c r="H3565" s="46"/>
      <c r="I3565" s="46"/>
      <c r="J3565" s="1909">
        <v>2210710</v>
      </c>
      <c r="K3565" s="48" t="s">
        <v>39</v>
      </c>
      <c r="L3565" s="1906">
        <v>400000</v>
      </c>
      <c r="N3565" s="1906">
        <f t="shared" si="55"/>
        <v>0</v>
      </c>
    </row>
    <row r="3566" spans="2:14">
      <c r="B3566" s="46"/>
      <c r="C3566" s="46"/>
      <c r="D3566" s="47">
        <v>2210711</v>
      </c>
      <c r="E3566" s="1912" t="s">
        <v>281</v>
      </c>
      <c r="F3566" s="1906">
        <v>300000</v>
      </c>
      <c r="H3566" s="46"/>
      <c r="I3566" s="46"/>
      <c r="J3566" s="47">
        <v>2210711</v>
      </c>
      <c r="K3566" s="1912" t="s">
        <v>281</v>
      </c>
      <c r="L3566" s="1906">
        <v>300000</v>
      </c>
      <c r="N3566" s="1906">
        <f t="shared" si="55"/>
        <v>0</v>
      </c>
    </row>
    <row r="3567" spans="2:14">
      <c r="B3567" s="46"/>
      <c r="C3567" s="46"/>
      <c r="D3567" s="1913">
        <v>2210715</v>
      </c>
      <c r="E3567" s="1910" t="s">
        <v>40</v>
      </c>
      <c r="F3567" s="1906">
        <v>50000</v>
      </c>
      <c r="H3567" s="46"/>
      <c r="I3567" s="46"/>
      <c r="J3567" s="1913">
        <v>2210715</v>
      </c>
      <c r="K3567" s="1910" t="s">
        <v>40</v>
      </c>
      <c r="L3567" s="1906">
        <v>50000</v>
      </c>
      <c r="N3567" s="1906">
        <f t="shared" si="55"/>
        <v>0</v>
      </c>
    </row>
    <row r="3568" spans="2:14">
      <c r="B3568" s="46"/>
      <c r="C3568" s="46"/>
      <c r="D3568" s="47">
        <v>2210799</v>
      </c>
      <c r="E3568" s="48" t="s">
        <v>665</v>
      </c>
      <c r="F3568" s="1906">
        <v>350000</v>
      </c>
      <c r="H3568" s="46"/>
      <c r="I3568" s="46"/>
      <c r="J3568" s="47">
        <v>2210799</v>
      </c>
      <c r="K3568" s="48" t="s">
        <v>665</v>
      </c>
      <c r="L3568" s="1906">
        <v>350000</v>
      </c>
      <c r="N3568" s="1906">
        <f t="shared" si="55"/>
        <v>0</v>
      </c>
    </row>
    <row r="3569" spans="2:14">
      <c r="B3569" s="46"/>
      <c r="C3569" s="46"/>
      <c r="D3569" s="55">
        <v>2210800</v>
      </c>
      <c r="E3569" s="1680" t="s">
        <v>42</v>
      </c>
      <c r="F3569" s="1908">
        <v>1825000</v>
      </c>
      <c r="H3569" s="46"/>
      <c r="I3569" s="46"/>
      <c r="J3569" s="55">
        <v>2210800</v>
      </c>
      <c r="K3569" s="1680" t="s">
        <v>42</v>
      </c>
      <c r="L3569" s="1908">
        <v>1825000</v>
      </c>
      <c r="N3569" s="1908">
        <f t="shared" si="55"/>
        <v>0</v>
      </c>
    </row>
    <row r="3570" spans="2:14">
      <c r="B3570" s="46"/>
      <c r="C3570" s="46"/>
      <c r="D3570" s="1909">
        <v>2210801</v>
      </c>
      <c r="E3570" s="48" t="s">
        <v>43</v>
      </c>
      <c r="F3570" s="1906">
        <v>625000</v>
      </c>
      <c r="H3570" s="46"/>
      <c r="I3570" s="46"/>
      <c r="J3570" s="1909">
        <v>2210801</v>
      </c>
      <c r="K3570" s="48" t="s">
        <v>43</v>
      </c>
      <c r="L3570" s="1906">
        <v>625000</v>
      </c>
      <c r="N3570" s="1906">
        <f t="shared" si="55"/>
        <v>0</v>
      </c>
    </row>
    <row r="3571" spans="2:14">
      <c r="B3571" s="18"/>
      <c r="C3571" s="18"/>
      <c r="D3571" s="1909">
        <v>2210802</v>
      </c>
      <c r="E3571" s="48" t="s">
        <v>97</v>
      </c>
      <c r="F3571" s="1906">
        <v>1200000</v>
      </c>
      <c r="H3571" s="18"/>
      <c r="I3571" s="18"/>
      <c r="J3571" s="1909">
        <v>2210802</v>
      </c>
      <c r="K3571" s="48" t="s">
        <v>97</v>
      </c>
      <c r="L3571" s="1906">
        <v>1200000</v>
      </c>
      <c r="N3571" s="1906">
        <f t="shared" si="55"/>
        <v>0</v>
      </c>
    </row>
    <row r="3572" spans="2:14">
      <c r="B3572" s="46"/>
      <c r="C3572" s="46"/>
      <c r="D3572" s="55">
        <v>2210900</v>
      </c>
      <c r="E3572" s="1680" t="s">
        <v>46</v>
      </c>
      <c r="F3572" s="1908">
        <v>45000</v>
      </c>
      <c r="H3572" s="46"/>
      <c r="I3572" s="46"/>
      <c r="J3572" s="55">
        <v>2210900</v>
      </c>
      <c r="K3572" s="1680" t="s">
        <v>46</v>
      </c>
      <c r="L3572" s="1908">
        <v>45000</v>
      </c>
      <c r="N3572" s="1908">
        <f t="shared" si="55"/>
        <v>0</v>
      </c>
    </row>
    <row r="3573" spans="2:14">
      <c r="B3573" s="46"/>
      <c r="C3573" s="46"/>
      <c r="D3573" s="1909">
        <v>2210901</v>
      </c>
      <c r="E3573" s="48" t="s">
        <v>668</v>
      </c>
      <c r="F3573" s="1906">
        <v>45000</v>
      </c>
      <c r="H3573" s="46"/>
      <c r="I3573" s="46"/>
      <c r="J3573" s="1909">
        <v>2210901</v>
      </c>
      <c r="K3573" s="48" t="s">
        <v>668</v>
      </c>
      <c r="L3573" s="1906">
        <v>45000</v>
      </c>
      <c r="N3573" s="1906">
        <f t="shared" si="55"/>
        <v>0</v>
      </c>
    </row>
    <row r="3574" spans="2:14">
      <c r="B3574" s="46"/>
      <c r="C3574" s="46"/>
      <c r="D3574" s="55">
        <v>2211100</v>
      </c>
      <c r="E3574" s="1680" t="s">
        <v>51</v>
      </c>
      <c r="F3574" s="1908">
        <v>820000</v>
      </c>
      <c r="H3574" s="46"/>
      <c r="I3574" s="46"/>
      <c r="J3574" s="55">
        <v>2211100</v>
      </c>
      <c r="K3574" s="1680" t="s">
        <v>51</v>
      </c>
      <c r="L3574" s="1908">
        <v>820000</v>
      </c>
      <c r="N3574" s="1908">
        <f t="shared" si="55"/>
        <v>0</v>
      </c>
    </row>
    <row r="3575" spans="2:14">
      <c r="B3575" s="46"/>
      <c r="C3575" s="46"/>
      <c r="D3575" s="1909">
        <v>2211101</v>
      </c>
      <c r="E3575" s="48" t="s">
        <v>52</v>
      </c>
      <c r="F3575" s="1906">
        <v>620000</v>
      </c>
      <c r="H3575" s="46"/>
      <c r="I3575" s="46"/>
      <c r="J3575" s="1909">
        <v>2211101</v>
      </c>
      <c r="K3575" s="48" t="s">
        <v>52</v>
      </c>
      <c r="L3575" s="1906">
        <v>620000</v>
      </c>
      <c r="N3575" s="1906">
        <f t="shared" si="55"/>
        <v>0</v>
      </c>
    </row>
    <row r="3576" spans="2:14">
      <c r="B3576" s="46"/>
      <c r="C3576" s="46"/>
      <c r="D3576" s="1909">
        <v>2211102</v>
      </c>
      <c r="E3576" s="48" t="s">
        <v>53</v>
      </c>
      <c r="F3576" s="1906">
        <v>160000</v>
      </c>
      <c r="H3576" s="46"/>
      <c r="I3576" s="46"/>
      <c r="J3576" s="1909">
        <v>2211102</v>
      </c>
      <c r="K3576" s="48" t="s">
        <v>53</v>
      </c>
      <c r="L3576" s="1906">
        <v>160000</v>
      </c>
      <c r="N3576" s="1906">
        <f t="shared" si="55"/>
        <v>0</v>
      </c>
    </row>
    <row r="3577" spans="2:14">
      <c r="B3577" s="46"/>
      <c r="C3577" s="46"/>
      <c r="D3577" s="1909">
        <v>2211103</v>
      </c>
      <c r="E3577" s="48" t="s">
        <v>54</v>
      </c>
      <c r="F3577" s="1906">
        <v>40000</v>
      </c>
      <c r="H3577" s="46"/>
      <c r="I3577" s="46"/>
      <c r="J3577" s="1909">
        <v>2211103</v>
      </c>
      <c r="K3577" s="48" t="s">
        <v>54</v>
      </c>
      <c r="L3577" s="1906">
        <v>40000</v>
      </c>
      <c r="N3577" s="1906">
        <f t="shared" si="55"/>
        <v>0</v>
      </c>
    </row>
    <row r="3578" spans="2:14">
      <c r="B3578" s="46"/>
      <c r="C3578" s="46"/>
      <c r="D3578" s="55">
        <v>2211200</v>
      </c>
      <c r="E3578" s="1680" t="s">
        <v>55</v>
      </c>
      <c r="F3578" s="1908">
        <v>800000</v>
      </c>
      <c r="H3578" s="46"/>
      <c r="I3578" s="46"/>
      <c r="J3578" s="55">
        <v>2211200</v>
      </c>
      <c r="K3578" s="1680" t="s">
        <v>55</v>
      </c>
      <c r="L3578" s="1908">
        <v>800000</v>
      </c>
      <c r="N3578" s="1908">
        <f t="shared" si="55"/>
        <v>0</v>
      </c>
    </row>
    <row r="3579" spans="2:14">
      <c r="B3579" s="46"/>
      <c r="C3579" s="46"/>
      <c r="D3579" s="1909">
        <v>2211201</v>
      </c>
      <c r="E3579" s="48" t="s">
        <v>56</v>
      </c>
      <c r="F3579" s="1906">
        <v>800000</v>
      </c>
      <c r="H3579" s="46"/>
      <c r="I3579" s="46"/>
      <c r="J3579" s="1909">
        <v>2211201</v>
      </c>
      <c r="K3579" s="48" t="s">
        <v>56</v>
      </c>
      <c r="L3579" s="1906">
        <v>800000</v>
      </c>
      <c r="N3579" s="1906">
        <f t="shared" si="55"/>
        <v>0</v>
      </c>
    </row>
    <row r="3580" spans="2:14">
      <c r="B3580" s="46"/>
      <c r="C3580" s="46"/>
      <c r="D3580" s="55">
        <v>2211300</v>
      </c>
      <c r="E3580" s="1680" t="s">
        <v>57</v>
      </c>
      <c r="F3580" s="1908">
        <v>812000</v>
      </c>
      <c r="H3580" s="46"/>
      <c r="I3580" s="46"/>
      <c r="J3580" s="55">
        <v>2211300</v>
      </c>
      <c r="K3580" s="1680" t="s">
        <v>57</v>
      </c>
      <c r="L3580" s="1908">
        <v>812000</v>
      </c>
      <c r="N3580" s="1908">
        <f t="shared" si="55"/>
        <v>0</v>
      </c>
    </row>
    <row r="3581" spans="2:14">
      <c r="B3581" s="46"/>
      <c r="C3581" s="46"/>
      <c r="D3581" s="47">
        <v>2211305</v>
      </c>
      <c r="E3581" s="48" t="s">
        <v>365</v>
      </c>
      <c r="F3581" s="1906">
        <v>375000</v>
      </c>
      <c r="H3581" s="46"/>
      <c r="I3581" s="46"/>
      <c r="J3581" s="47">
        <v>2211305</v>
      </c>
      <c r="K3581" s="48" t="s">
        <v>365</v>
      </c>
      <c r="L3581" s="1906">
        <v>375000</v>
      </c>
      <c r="N3581" s="1906">
        <f t="shared" si="55"/>
        <v>0</v>
      </c>
    </row>
    <row r="3582" spans="2:14">
      <c r="B3582" s="46"/>
      <c r="C3582" s="46"/>
      <c r="D3582" s="1909">
        <v>2211306</v>
      </c>
      <c r="E3582" s="48" t="s">
        <v>58</v>
      </c>
      <c r="F3582" s="1906">
        <v>387000</v>
      </c>
      <c r="H3582" s="46"/>
      <c r="I3582" s="46"/>
      <c r="J3582" s="1909">
        <v>2211306</v>
      </c>
      <c r="K3582" s="48" t="s">
        <v>58</v>
      </c>
      <c r="L3582" s="1906">
        <v>387000</v>
      </c>
      <c r="N3582" s="1906">
        <f t="shared" si="55"/>
        <v>0</v>
      </c>
    </row>
    <row r="3583" spans="2:14">
      <c r="B3583" s="46"/>
      <c r="C3583" s="46"/>
      <c r="D3583" s="47">
        <v>2211310</v>
      </c>
      <c r="E3583" s="48" t="s">
        <v>669</v>
      </c>
      <c r="F3583" s="1906">
        <v>50000</v>
      </c>
      <c r="H3583" s="46"/>
      <c r="I3583" s="46"/>
      <c r="J3583" s="47">
        <v>2211310</v>
      </c>
      <c r="K3583" s="48" t="s">
        <v>669</v>
      </c>
      <c r="L3583" s="1906">
        <v>50000</v>
      </c>
      <c r="N3583" s="1906">
        <f t="shared" si="55"/>
        <v>0</v>
      </c>
    </row>
    <row r="3584" spans="2:14">
      <c r="B3584" s="46"/>
      <c r="C3584" s="46"/>
      <c r="D3584" s="55">
        <v>2220100</v>
      </c>
      <c r="E3584" s="1680" t="s">
        <v>62</v>
      </c>
      <c r="F3584" s="1908">
        <v>430000</v>
      </c>
      <c r="H3584" s="46"/>
      <c r="I3584" s="46"/>
      <c r="J3584" s="55">
        <v>2220100</v>
      </c>
      <c r="K3584" s="1680" t="s">
        <v>62</v>
      </c>
      <c r="L3584" s="1908">
        <v>430000</v>
      </c>
      <c r="N3584" s="1908">
        <f t="shared" si="55"/>
        <v>0</v>
      </c>
    </row>
    <row r="3585" spans="2:14">
      <c r="B3585" s="46"/>
      <c r="C3585" s="46"/>
      <c r="D3585" s="1909">
        <v>2220101</v>
      </c>
      <c r="E3585" s="48" t="s">
        <v>250</v>
      </c>
      <c r="F3585" s="1906">
        <v>430000</v>
      </c>
      <c r="H3585" s="46"/>
      <c r="I3585" s="46"/>
      <c r="J3585" s="1909">
        <v>2220101</v>
      </c>
      <c r="K3585" s="48" t="s">
        <v>250</v>
      </c>
      <c r="L3585" s="1906">
        <v>430000</v>
      </c>
      <c r="N3585" s="1906">
        <f t="shared" si="55"/>
        <v>0</v>
      </c>
    </row>
    <row r="3586" spans="2:14">
      <c r="B3586" s="46"/>
      <c r="C3586" s="46"/>
      <c r="D3586" s="55">
        <v>2220200</v>
      </c>
      <c r="E3586" s="1680" t="s">
        <v>86</v>
      </c>
      <c r="F3586" s="1908">
        <v>65000</v>
      </c>
      <c r="H3586" s="46"/>
      <c r="I3586" s="46"/>
      <c r="J3586" s="55">
        <v>2220200</v>
      </c>
      <c r="K3586" s="1680" t="s">
        <v>86</v>
      </c>
      <c r="L3586" s="1908">
        <v>65000</v>
      </c>
      <c r="N3586" s="1908">
        <f t="shared" si="55"/>
        <v>0</v>
      </c>
    </row>
    <row r="3587" spans="2:14">
      <c r="B3587" s="46"/>
      <c r="C3587" s="46"/>
      <c r="D3587" s="1909">
        <v>2220202</v>
      </c>
      <c r="E3587" s="48" t="s">
        <v>87</v>
      </c>
      <c r="F3587" s="1906">
        <v>65000</v>
      </c>
      <c r="H3587" s="46"/>
      <c r="I3587" s="46"/>
      <c r="J3587" s="1909">
        <v>2220202</v>
      </c>
      <c r="K3587" s="48" t="s">
        <v>87</v>
      </c>
      <c r="L3587" s="1906">
        <v>65000</v>
      </c>
      <c r="N3587" s="1906">
        <f t="shared" si="55"/>
        <v>0</v>
      </c>
    </row>
    <row r="3588" spans="2:14">
      <c r="B3588" s="46"/>
      <c r="C3588" s="46"/>
      <c r="D3588" s="1909">
        <v>2220205</v>
      </c>
      <c r="E3588" s="48" t="s">
        <v>670</v>
      </c>
      <c r="F3588" s="1915">
        <v>0</v>
      </c>
      <c r="H3588" s="46"/>
      <c r="I3588" s="46"/>
      <c r="J3588" s="1909">
        <v>2220205</v>
      </c>
      <c r="K3588" s="48" t="s">
        <v>670</v>
      </c>
      <c r="L3588" s="1915">
        <v>0</v>
      </c>
      <c r="N3588" s="1915">
        <f t="shared" si="55"/>
        <v>0</v>
      </c>
    </row>
    <row r="3589" spans="2:14">
      <c r="B3589" s="46"/>
      <c r="C3589" s="46"/>
      <c r="D3589" s="55">
        <v>3110300</v>
      </c>
      <c r="E3589" s="1680" t="s">
        <v>251</v>
      </c>
      <c r="F3589" s="1908">
        <v>0</v>
      </c>
      <c r="H3589" s="46"/>
      <c r="I3589" s="46"/>
      <c r="J3589" s="55">
        <v>3110300</v>
      </c>
      <c r="K3589" s="1680" t="s">
        <v>251</v>
      </c>
      <c r="L3589" s="1908">
        <v>0</v>
      </c>
      <c r="N3589" s="1908">
        <f t="shared" si="55"/>
        <v>0</v>
      </c>
    </row>
    <row r="3590" spans="2:14">
      <c r="B3590" s="46"/>
      <c r="C3590" s="46"/>
      <c r="D3590" s="1909">
        <v>3110302</v>
      </c>
      <c r="E3590" s="48" t="s">
        <v>252</v>
      </c>
      <c r="F3590" s="1915">
        <v>0</v>
      </c>
      <c r="H3590" s="46"/>
      <c r="I3590" s="46"/>
      <c r="J3590" s="1909">
        <v>3110302</v>
      </c>
      <c r="K3590" s="48" t="s">
        <v>252</v>
      </c>
      <c r="L3590" s="1915">
        <v>0</v>
      </c>
      <c r="N3590" s="1915">
        <f t="shared" si="55"/>
        <v>0</v>
      </c>
    </row>
    <row r="3591" spans="2:14">
      <c r="B3591" s="46"/>
      <c r="C3591" s="46"/>
      <c r="D3591" s="55">
        <v>3111000</v>
      </c>
      <c r="E3591" s="1680" t="s">
        <v>69</v>
      </c>
      <c r="F3591" s="1908">
        <v>250000</v>
      </c>
      <c r="H3591" s="46"/>
      <c r="I3591" s="46"/>
      <c r="J3591" s="55">
        <v>3111000</v>
      </c>
      <c r="K3591" s="1680" t="s">
        <v>69</v>
      </c>
      <c r="L3591" s="1908">
        <v>250000</v>
      </c>
      <c r="N3591" s="1908">
        <f t="shared" si="55"/>
        <v>0</v>
      </c>
    </row>
    <row r="3592" spans="2:14">
      <c r="B3592" s="46"/>
      <c r="C3592" s="46"/>
      <c r="D3592" s="1909">
        <v>3111001</v>
      </c>
      <c r="E3592" s="48" t="s">
        <v>70</v>
      </c>
      <c r="F3592" s="1906">
        <v>50000</v>
      </c>
      <c r="H3592" s="46"/>
      <c r="I3592" s="46"/>
      <c r="J3592" s="1909">
        <v>3111001</v>
      </c>
      <c r="K3592" s="48" t="s">
        <v>70</v>
      </c>
      <c r="L3592" s="1906">
        <v>50000</v>
      </c>
      <c r="N3592" s="1906">
        <f t="shared" ref="N3592:N3655" si="56">F3592-L3592</f>
        <v>0</v>
      </c>
    </row>
    <row r="3593" spans="2:14">
      <c r="B3593" s="46"/>
      <c r="C3593" s="46"/>
      <c r="D3593" s="1909">
        <v>3111002</v>
      </c>
      <c r="E3593" s="48" t="s">
        <v>71</v>
      </c>
      <c r="F3593" s="1906">
        <v>100000</v>
      </c>
      <c r="H3593" s="46"/>
      <c r="I3593" s="46"/>
      <c r="J3593" s="1909">
        <v>3111002</v>
      </c>
      <c r="K3593" s="48" t="s">
        <v>71</v>
      </c>
      <c r="L3593" s="1906">
        <v>100000</v>
      </c>
      <c r="N3593" s="1906">
        <f t="shared" si="56"/>
        <v>0</v>
      </c>
    </row>
    <row r="3594" spans="2:14">
      <c r="B3594" s="46"/>
      <c r="C3594" s="46"/>
      <c r="D3594" s="1909">
        <v>3111009</v>
      </c>
      <c r="E3594" s="48" t="s">
        <v>253</v>
      </c>
      <c r="F3594" s="1906">
        <v>100000</v>
      </c>
      <c r="H3594" s="46"/>
      <c r="I3594" s="46"/>
      <c r="J3594" s="1909">
        <v>3111009</v>
      </c>
      <c r="K3594" s="48" t="s">
        <v>253</v>
      </c>
      <c r="L3594" s="1906">
        <v>100000</v>
      </c>
      <c r="N3594" s="1906">
        <f t="shared" si="56"/>
        <v>0</v>
      </c>
    </row>
    <row r="3595" spans="2:14">
      <c r="B3595" s="46"/>
      <c r="C3595" s="46"/>
      <c r="D3595" s="19"/>
      <c r="E3595" s="1680" t="s">
        <v>674</v>
      </c>
      <c r="F3595" s="1908">
        <v>9427000</v>
      </c>
      <c r="H3595" s="46"/>
      <c r="I3595" s="46"/>
      <c r="J3595" s="19"/>
      <c r="K3595" s="1680" t="s">
        <v>674</v>
      </c>
      <c r="L3595" s="1908">
        <v>9427000</v>
      </c>
      <c r="N3595" s="1908">
        <f t="shared" si="56"/>
        <v>0</v>
      </c>
    </row>
    <row r="3596" spans="2:14">
      <c r="B3596" s="46"/>
      <c r="C3596" s="46"/>
      <c r="D3596" s="1671"/>
      <c r="E3596" s="1914"/>
      <c r="F3596" s="1915"/>
      <c r="H3596" s="46"/>
      <c r="I3596" s="46"/>
      <c r="J3596" s="1671"/>
      <c r="K3596" s="1914"/>
      <c r="L3596" s="1915"/>
      <c r="N3596" s="1915">
        <f t="shared" si="56"/>
        <v>0</v>
      </c>
    </row>
    <row r="3597" spans="2:14">
      <c r="B3597" s="46"/>
      <c r="C3597" s="46"/>
      <c r="D3597" s="1671" t="s">
        <v>1856</v>
      </c>
      <c r="E3597" s="1914"/>
      <c r="F3597" s="1915"/>
      <c r="H3597" s="46"/>
      <c r="I3597" s="46"/>
      <c r="J3597" s="1671" t="s">
        <v>1856</v>
      </c>
      <c r="K3597" s="1914"/>
      <c r="L3597" s="1915"/>
      <c r="N3597" s="1915">
        <f t="shared" si="56"/>
        <v>0</v>
      </c>
    </row>
    <row r="3598" spans="2:14">
      <c r="B3598" s="46"/>
      <c r="C3598" s="46"/>
      <c r="D3598" s="1671" t="s">
        <v>1858</v>
      </c>
      <c r="E3598" s="1914"/>
      <c r="F3598" s="1915"/>
      <c r="H3598" s="46"/>
      <c r="I3598" s="46"/>
      <c r="J3598" s="1671" t="s">
        <v>1858</v>
      </c>
      <c r="K3598" s="1914"/>
      <c r="L3598" s="1915"/>
      <c r="N3598" s="1915">
        <f t="shared" si="56"/>
        <v>0</v>
      </c>
    </row>
    <row r="3599" spans="2:14">
      <c r="B3599" s="46"/>
      <c r="C3599" s="46"/>
      <c r="D3599" s="55">
        <v>2210100</v>
      </c>
      <c r="E3599" s="1515" t="s">
        <v>16</v>
      </c>
      <c r="F3599" s="1908">
        <v>30500</v>
      </c>
      <c r="H3599" s="46"/>
      <c r="I3599" s="46"/>
      <c r="J3599" s="55">
        <v>2210100</v>
      </c>
      <c r="K3599" s="1515" t="s">
        <v>16</v>
      </c>
      <c r="L3599" s="1908">
        <v>30500</v>
      </c>
      <c r="N3599" s="1908">
        <f t="shared" si="56"/>
        <v>0</v>
      </c>
    </row>
    <row r="3600" spans="2:14">
      <c r="B3600" s="46"/>
      <c r="C3600" s="46"/>
      <c r="D3600" s="1909">
        <v>2210101</v>
      </c>
      <c r="E3600" s="1919" t="s">
        <v>17</v>
      </c>
      <c r="F3600" s="1906">
        <v>10000</v>
      </c>
      <c r="H3600" s="46"/>
      <c r="I3600" s="46"/>
      <c r="J3600" s="1909">
        <v>2210101</v>
      </c>
      <c r="K3600" s="1919" t="s">
        <v>17</v>
      </c>
      <c r="L3600" s="1906">
        <v>10000</v>
      </c>
      <c r="N3600" s="1906">
        <f t="shared" si="56"/>
        <v>0</v>
      </c>
    </row>
    <row r="3601" spans="2:14">
      <c r="B3601" s="46"/>
      <c r="C3601" s="46"/>
      <c r="D3601" s="1909">
        <v>2210102</v>
      </c>
      <c r="E3601" s="1919" t="s">
        <v>18</v>
      </c>
      <c r="F3601" s="1906">
        <v>20500</v>
      </c>
      <c r="H3601" s="46"/>
      <c r="I3601" s="46"/>
      <c r="J3601" s="1909">
        <v>2210102</v>
      </c>
      <c r="K3601" s="1919" t="s">
        <v>18</v>
      </c>
      <c r="L3601" s="1906">
        <v>20500</v>
      </c>
      <c r="N3601" s="1906">
        <f t="shared" si="56"/>
        <v>0</v>
      </c>
    </row>
    <row r="3602" spans="2:14">
      <c r="B3602" s="46"/>
      <c r="C3602" s="46"/>
      <c r="D3602" s="55">
        <v>2210200</v>
      </c>
      <c r="E3602" s="1680" t="s">
        <v>20</v>
      </c>
      <c r="F3602" s="1908">
        <v>55000</v>
      </c>
      <c r="H3602" s="46"/>
      <c r="I3602" s="46"/>
      <c r="J3602" s="55">
        <v>2210200</v>
      </c>
      <c r="K3602" s="1680" t="s">
        <v>20</v>
      </c>
      <c r="L3602" s="1908">
        <v>55000</v>
      </c>
      <c r="N3602" s="1908">
        <f t="shared" si="56"/>
        <v>0</v>
      </c>
    </row>
    <row r="3603" spans="2:14">
      <c r="B3603" s="46"/>
      <c r="C3603" s="46"/>
      <c r="D3603" s="1909">
        <v>2210201</v>
      </c>
      <c r="E3603" s="48" t="s">
        <v>21</v>
      </c>
      <c r="F3603" s="1906">
        <v>50000</v>
      </c>
      <c r="H3603" s="46"/>
      <c r="I3603" s="46"/>
      <c r="J3603" s="1909">
        <v>2210201</v>
      </c>
      <c r="K3603" s="48" t="s">
        <v>21</v>
      </c>
      <c r="L3603" s="1906">
        <v>50000</v>
      </c>
      <c r="N3603" s="1906">
        <f t="shared" si="56"/>
        <v>0</v>
      </c>
    </row>
    <row r="3604" spans="2:14">
      <c r="B3604" s="46"/>
      <c r="C3604" s="46"/>
      <c r="D3604" s="1909">
        <v>2210203</v>
      </c>
      <c r="E3604" s="48" t="s">
        <v>23</v>
      </c>
      <c r="F3604" s="1906">
        <v>5000</v>
      </c>
      <c r="H3604" s="46"/>
      <c r="I3604" s="46"/>
      <c r="J3604" s="1909">
        <v>2210203</v>
      </c>
      <c r="K3604" s="48" t="s">
        <v>23</v>
      </c>
      <c r="L3604" s="1906">
        <v>5000</v>
      </c>
      <c r="N3604" s="1906">
        <f t="shared" si="56"/>
        <v>0</v>
      </c>
    </row>
    <row r="3605" spans="2:14">
      <c r="B3605" s="46"/>
      <c r="C3605" s="46"/>
      <c r="D3605" s="55">
        <v>2210300</v>
      </c>
      <c r="E3605" s="1680" t="s">
        <v>24</v>
      </c>
      <c r="F3605" s="1908">
        <v>1660000</v>
      </c>
      <c r="H3605" s="46"/>
      <c r="I3605" s="46"/>
      <c r="J3605" s="55">
        <v>2210300</v>
      </c>
      <c r="K3605" s="1680" t="s">
        <v>24</v>
      </c>
      <c r="L3605" s="1908">
        <v>1660000</v>
      </c>
      <c r="N3605" s="1908">
        <f t="shared" si="56"/>
        <v>0</v>
      </c>
    </row>
    <row r="3606" spans="2:14">
      <c r="B3606" s="46"/>
      <c r="C3606" s="46"/>
      <c r="D3606" s="1909">
        <v>2210301</v>
      </c>
      <c r="E3606" s="48" t="s">
        <v>25</v>
      </c>
      <c r="F3606" s="1906">
        <v>560000</v>
      </c>
      <c r="H3606" s="46"/>
      <c r="I3606" s="46"/>
      <c r="J3606" s="1909">
        <v>2210301</v>
      </c>
      <c r="K3606" s="48" t="s">
        <v>25</v>
      </c>
      <c r="L3606" s="1906">
        <v>560000</v>
      </c>
      <c r="N3606" s="1906">
        <f t="shared" si="56"/>
        <v>0</v>
      </c>
    </row>
    <row r="3607" spans="2:14">
      <c r="B3607" s="46"/>
      <c r="C3607" s="46"/>
      <c r="D3607" s="1909">
        <v>2210302</v>
      </c>
      <c r="E3607" s="48" t="s">
        <v>26</v>
      </c>
      <c r="F3607" s="1906">
        <v>500000</v>
      </c>
      <c r="H3607" s="46"/>
      <c r="I3607" s="46"/>
      <c r="J3607" s="1909">
        <v>2210302</v>
      </c>
      <c r="K3607" s="48" t="s">
        <v>26</v>
      </c>
      <c r="L3607" s="1906">
        <v>500000</v>
      </c>
      <c r="N3607" s="1906">
        <f t="shared" si="56"/>
        <v>0</v>
      </c>
    </row>
    <row r="3608" spans="2:14">
      <c r="B3608" s="46"/>
      <c r="C3608" s="46"/>
      <c r="D3608" s="1909">
        <v>2210303</v>
      </c>
      <c r="E3608" s="48" t="s">
        <v>27</v>
      </c>
      <c r="F3608" s="1906">
        <v>600000</v>
      </c>
      <c r="H3608" s="46"/>
      <c r="I3608" s="46"/>
      <c r="J3608" s="1909">
        <v>2210303</v>
      </c>
      <c r="K3608" s="48" t="s">
        <v>27</v>
      </c>
      <c r="L3608" s="1906">
        <v>600000</v>
      </c>
      <c r="N3608" s="1906">
        <f t="shared" si="56"/>
        <v>0</v>
      </c>
    </row>
    <row r="3609" spans="2:14">
      <c r="B3609" s="46"/>
      <c r="C3609" s="46"/>
      <c r="D3609" s="55">
        <v>2210500</v>
      </c>
      <c r="E3609" s="1680" t="s">
        <v>31</v>
      </c>
      <c r="F3609" s="1908">
        <v>350000</v>
      </c>
      <c r="H3609" s="46"/>
      <c r="I3609" s="46"/>
      <c r="J3609" s="55">
        <v>2210500</v>
      </c>
      <c r="K3609" s="1680" t="s">
        <v>31</v>
      </c>
      <c r="L3609" s="1908">
        <v>350000</v>
      </c>
      <c r="N3609" s="1908">
        <f t="shared" si="56"/>
        <v>0</v>
      </c>
    </row>
    <row r="3610" spans="2:14">
      <c r="B3610" s="46"/>
      <c r="C3610" s="46"/>
      <c r="D3610" s="1909">
        <v>2210502</v>
      </c>
      <c r="E3610" s="48" t="s">
        <v>105</v>
      </c>
      <c r="F3610" s="1920">
        <v>100000</v>
      </c>
      <c r="H3610" s="46"/>
      <c r="I3610" s="46"/>
      <c r="J3610" s="1909">
        <v>2210502</v>
      </c>
      <c r="K3610" s="48" t="s">
        <v>105</v>
      </c>
      <c r="L3610" s="1920">
        <v>100000</v>
      </c>
      <c r="N3610" s="1920">
        <f t="shared" si="56"/>
        <v>0</v>
      </c>
    </row>
    <row r="3611" spans="2:14">
      <c r="B3611" s="46"/>
      <c r="C3611" s="46"/>
      <c r="D3611" s="1909">
        <v>2210503</v>
      </c>
      <c r="E3611" s="48" t="s">
        <v>32</v>
      </c>
      <c r="F3611" s="1906">
        <v>150000</v>
      </c>
      <c r="H3611" s="46"/>
      <c r="I3611" s="46"/>
      <c r="J3611" s="1909">
        <v>2210503</v>
      </c>
      <c r="K3611" s="48" t="s">
        <v>32</v>
      </c>
      <c r="L3611" s="1906">
        <v>150000</v>
      </c>
      <c r="N3611" s="1906">
        <f t="shared" si="56"/>
        <v>0</v>
      </c>
    </row>
    <row r="3612" spans="2:14">
      <c r="B3612" s="46"/>
      <c r="C3612" s="46"/>
      <c r="D3612" s="1909">
        <v>2210504</v>
      </c>
      <c r="E3612" s="48" t="s">
        <v>33</v>
      </c>
      <c r="F3612" s="1906">
        <v>100000</v>
      </c>
      <c r="H3612" s="46"/>
      <c r="I3612" s="46"/>
      <c r="J3612" s="1909">
        <v>2210504</v>
      </c>
      <c r="K3612" s="48" t="s">
        <v>33</v>
      </c>
      <c r="L3612" s="1906">
        <v>100000</v>
      </c>
      <c r="N3612" s="1906">
        <f t="shared" si="56"/>
        <v>0</v>
      </c>
    </row>
    <row r="3613" spans="2:14">
      <c r="B3613" s="46"/>
      <c r="C3613" s="46"/>
      <c r="D3613" s="55">
        <v>2210600</v>
      </c>
      <c r="E3613" s="1680" t="s">
        <v>154</v>
      </c>
      <c r="F3613" s="1908">
        <v>411000</v>
      </c>
      <c r="H3613" s="46"/>
      <c r="I3613" s="46"/>
      <c r="J3613" s="55">
        <v>2210600</v>
      </c>
      <c r="K3613" s="1680" t="s">
        <v>154</v>
      </c>
      <c r="L3613" s="1908">
        <v>411000</v>
      </c>
      <c r="N3613" s="1908">
        <f t="shared" si="56"/>
        <v>0</v>
      </c>
    </row>
    <row r="3614" spans="2:14">
      <c r="B3614" s="46"/>
      <c r="C3614" s="46"/>
      <c r="D3614" s="1909">
        <v>2210603</v>
      </c>
      <c r="E3614" s="48" t="s">
        <v>489</v>
      </c>
      <c r="F3614" s="1906">
        <v>411000</v>
      </c>
      <c r="H3614" s="46"/>
      <c r="I3614" s="46"/>
      <c r="J3614" s="1909">
        <v>2210603</v>
      </c>
      <c r="K3614" s="48" t="s">
        <v>489</v>
      </c>
      <c r="L3614" s="1906">
        <v>411000</v>
      </c>
      <c r="N3614" s="1906">
        <f t="shared" si="56"/>
        <v>0</v>
      </c>
    </row>
    <row r="3615" spans="2:14">
      <c r="B3615" s="46"/>
      <c r="C3615" s="46"/>
      <c r="D3615" s="55">
        <v>2210700</v>
      </c>
      <c r="E3615" s="1680" t="s">
        <v>35</v>
      </c>
      <c r="F3615" s="1908">
        <v>1230700</v>
      </c>
      <c r="H3615" s="46"/>
      <c r="I3615" s="46"/>
      <c r="J3615" s="55">
        <v>2210700</v>
      </c>
      <c r="K3615" s="1680" t="s">
        <v>35</v>
      </c>
      <c r="L3615" s="1908">
        <v>1230700</v>
      </c>
      <c r="N3615" s="1908">
        <f t="shared" si="56"/>
        <v>0</v>
      </c>
    </row>
    <row r="3616" spans="2:14">
      <c r="B3616" s="46"/>
      <c r="C3616" s="46"/>
      <c r="D3616" s="1909">
        <v>2210701</v>
      </c>
      <c r="E3616" s="48" t="s">
        <v>36</v>
      </c>
      <c r="F3616" s="1906">
        <v>500700</v>
      </c>
      <c r="H3616" s="46"/>
      <c r="I3616" s="46"/>
      <c r="J3616" s="1909">
        <v>2210701</v>
      </c>
      <c r="K3616" s="48" t="s">
        <v>36</v>
      </c>
      <c r="L3616" s="1906">
        <v>500700</v>
      </c>
      <c r="N3616" s="1906">
        <f t="shared" si="56"/>
        <v>0</v>
      </c>
    </row>
    <row r="3617" spans="2:14">
      <c r="B3617" s="46"/>
      <c r="C3617" s="46"/>
      <c r="D3617" s="1909">
        <v>2210703</v>
      </c>
      <c r="E3617" s="48" t="s">
        <v>107</v>
      </c>
      <c r="F3617" s="1906">
        <v>30000</v>
      </c>
      <c r="H3617" s="46"/>
      <c r="I3617" s="46"/>
      <c r="J3617" s="1909">
        <v>2210703</v>
      </c>
      <c r="K3617" s="48" t="s">
        <v>107</v>
      </c>
      <c r="L3617" s="1906">
        <v>30000</v>
      </c>
      <c r="N3617" s="1906">
        <f t="shared" si="56"/>
        <v>0</v>
      </c>
    </row>
    <row r="3618" spans="2:14">
      <c r="B3618" s="46"/>
      <c r="C3618" s="46"/>
      <c r="D3618" s="1909">
        <v>2210704</v>
      </c>
      <c r="E3618" s="48" t="s">
        <v>38</v>
      </c>
      <c r="F3618" s="1906">
        <v>100000</v>
      </c>
      <c r="H3618" s="46"/>
      <c r="I3618" s="46"/>
      <c r="J3618" s="1909">
        <v>2210704</v>
      </c>
      <c r="K3618" s="48" t="s">
        <v>38</v>
      </c>
      <c r="L3618" s="1906">
        <v>100000</v>
      </c>
      <c r="N3618" s="1906">
        <f t="shared" si="56"/>
        <v>0</v>
      </c>
    </row>
    <row r="3619" spans="2:14">
      <c r="B3619" s="46"/>
      <c r="C3619" s="46"/>
      <c r="D3619" s="1909">
        <v>2210710</v>
      </c>
      <c r="E3619" s="48" t="s">
        <v>39</v>
      </c>
      <c r="F3619" s="1906">
        <v>150000</v>
      </c>
      <c r="H3619" s="46"/>
      <c r="I3619" s="46"/>
      <c r="J3619" s="1909">
        <v>2210710</v>
      </c>
      <c r="K3619" s="48" t="s">
        <v>39</v>
      </c>
      <c r="L3619" s="1906">
        <v>150000</v>
      </c>
      <c r="N3619" s="1906">
        <f t="shared" si="56"/>
        <v>0</v>
      </c>
    </row>
    <row r="3620" spans="2:14">
      <c r="B3620" s="46"/>
      <c r="C3620" s="46"/>
      <c r="D3620" s="47">
        <v>2210711</v>
      </c>
      <c r="E3620" s="1912" t="s">
        <v>281</v>
      </c>
      <c r="F3620" s="1906">
        <v>100000</v>
      </c>
      <c r="H3620" s="46"/>
      <c r="I3620" s="46"/>
      <c r="J3620" s="47">
        <v>2210711</v>
      </c>
      <c r="K3620" s="1912" t="s">
        <v>281</v>
      </c>
      <c r="L3620" s="1906">
        <v>100000</v>
      </c>
      <c r="N3620" s="1906">
        <f t="shared" si="56"/>
        <v>0</v>
      </c>
    </row>
    <row r="3621" spans="2:14">
      <c r="B3621" s="46"/>
      <c r="C3621" s="46"/>
      <c r="D3621" s="1913">
        <v>2210715</v>
      </c>
      <c r="E3621" s="1910" t="s">
        <v>40</v>
      </c>
      <c r="F3621" s="1921">
        <v>50000</v>
      </c>
      <c r="H3621" s="46"/>
      <c r="I3621" s="46"/>
      <c r="J3621" s="1913">
        <v>2210715</v>
      </c>
      <c r="K3621" s="1910" t="s">
        <v>40</v>
      </c>
      <c r="L3621" s="1921">
        <v>50000</v>
      </c>
      <c r="N3621" s="1921">
        <f t="shared" si="56"/>
        <v>0</v>
      </c>
    </row>
    <row r="3622" spans="2:14">
      <c r="B3622" s="46"/>
      <c r="C3622" s="46"/>
      <c r="D3622" s="47">
        <v>2210799</v>
      </c>
      <c r="E3622" s="48" t="s">
        <v>665</v>
      </c>
      <c r="F3622" s="1906">
        <v>300000</v>
      </c>
      <c r="H3622" s="46"/>
      <c r="I3622" s="46"/>
      <c r="J3622" s="47">
        <v>2210799</v>
      </c>
      <c r="K3622" s="48" t="s">
        <v>665</v>
      </c>
      <c r="L3622" s="1906">
        <v>300000</v>
      </c>
      <c r="N3622" s="1906">
        <f t="shared" si="56"/>
        <v>0</v>
      </c>
    </row>
    <row r="3623" spans="2:14">
      <c r="B3623" s="46"/>
      <c r="C3623" s="46"/>
      <c r="D3623" s="55">
        <v>2210800</v>
      </c>
      <c r="E3623" s="1680" t="s">
        <v>42</v>
      </c>
      <c r="F3623" s="1908">
        <v>1325000</v>
      </c>
      <c r="H3623" s="46"/>
      <c r="I3623" s="46"/>
      <c r="J3623" s="55">
        <v>2210800</v>
      </c>
      <c r="K3623" s="1680" t="s">
        <v>42</v>
      </c>
      <c r="L3623" s="1908">
        <v>1325000</v>
      </c>
      <c r="N3623" s="1908">
        <f t="shared" si="56"/>
        <v>0</v>
      </c>
    </row>
    <row r="3624" spans="2:14">
      <c r="B3624" s="46"/>
      <c r="C3624" s="46"/>
      <c r="D3624" s="1909">
        <v>2210801</v>
      </c>
      <c r="E3624" s="48" t="s">
        <v>43</v>
      </c>
      <c r="F3624" s="1906">
        <v>625000</v>
      </c>
      <c r="H3624" s="46"/>
      <c r="I3624" s="46"/>
      <c r="J3624" s="1909">
        <v>2210801</v>
      </c>
      <c r="K3624" s="48" t="s">
        <v>43</v>
      </c>
      <c r="L3624" s="1906">
        <v>625000</v>
      </c>
      <c r="N3624" s="1906">
        <f t="shared" si="56"/>
        <v>0</v>
      </c>
    </row>
    <row r="3625" spans="2:14">
      <c r="B3625" s="46"/>
      <c r="C3625" s="46"/>
      <c r="D3625" s="1909">
        <v>2210802</v>
      </c>
      <c r="E3625" s="48" t="s">
        <v>97</v>
      </c>
      <c r="F3625" s="1906">
        <v>700000</v>
      </c>
      <c r="H3625" s="46"/>
      <c r="I3625" s="46"/>
      <c r="J3625" s="1909">
        <v>2210802</v>
      </c>
      <c r="K3625" s="48" t="s">
        <v>97</v>
      </c>
      <c r="L3625" s="1906">
        <v>700000</v>
      </c>
      <c r="N3625" s="1906">
        <f t="shared" si="56"/>
        <v>0</v>
      </c>
    </row>
    <row r="3626" spans="2:14">
      <c r="B3626" s="46"/>
      <c r="C3626" s="46"/>
      <c r="D3626" s="55">
        <v>2211100</v>
      </c>
      <c r="E3626" s="1680" t="s">
        <v>51</v>
      </c>
      <c r="F3626" s="1908">
        <v>340000</v>
      </c>
      <c r="H3626" s="46"/>
      <c r="I3626" s="46"/>
      <c r="J3626" s="55">
        <v>2211100</v>
      </c>
      <c r="K3626" s="1680" t="s">
        <v>51</v>
      </c>
      <c r="L3626" s="1908">
        <v>340000</v>
      </c>
      <c r="N3626" s="1908">
        <f t="shared" si="56"/>
        <v>0</v>
      </c>
    </row>
    <row r="3627" spans="2:14">
      <c r="B3627" s="46"/>
      <c r="C3627" s="46"/>
      <c r="D3627" s="1909">
        <v>2211101</v>
      </c>
      <c r="E3627" s="48" t="s">
        <v>52</v>
      </c>
      <c r="F3627" s="1906">
        <v>220000</v>
      </c>
      <c r="H3627" s="46"/>
      <c r="I3627" s="46"/>
      <c r="J3627" s="1909">
        <v>2211101</v>
      </c>
      <c r="K3627" s="48" t="s">
        <v>52</v>
      </c>
      <c r="L3627" s="1906">
        <v>220000</v>
      </c>
      <c r="N3627" s="1906">
        <f t="shared" si="56"/>
        <v>0</v>
      </c>
    </row>
    <row r="3628" spans="2:14">
      <c r="B3628" s="46"/>
      <c r="C3628" s="46"/>
      <c r="D3628" s="1909">
        <v>2211102</v>
      </c>
      <c r="E3628" s="48" t="s">
        <v>53</v>
      </c>
      <c r="F3628" s="1906">
        <v>60000</v>
      </c>
      <c r="H3628" s="46"/>
      <c r="I3628" s="46"/>
      <c r="J3628" s="1909">
        <v>2211102</v>
      </c>
      <c r="K3628" s="48" t="s">
        <v>53</v>
      </c>
      <c r="L3628" s="1906">
        <v>60000</v>
      </c>
      <c r="N3628" s="1906">
        <f t="shared" si="56"/>
        <v>0</v>
      </c>
    </row>
    <row r="3629" spans="2:14">
      <c r="B3629" s="46"/>
      <c r="C3629" s="46"/>
      <c r="D3629" s="1909">
        <v>2211103</v>
      </c>
      <c r="E3629" s="48" t="s">
        <v>54</v>
      </c>
      <c r="F3629" s="1906">
        <v>60000</v>
      </c>
      <c r="H3629" s="46"/>
      <c r="I3629" s="46"/>
      <c r="J3629" s="1909">
        <v>2211103</v>
      </c>
      <c r="K3629" s="48" t="s">
        <v>54</v>
      </c>
      <c r="L3629" s="1906">
        <v>60000</v>
      </c>
      <c r="N3629" s="1906">
        <f t="shared" si="56"/>
        <v>0</v>
      </c>
    </row>
    <row r="3630" spans="2:14">
      <c r="B3630" s="46"/>
      <c r="C3630" s="46"/>
      <c r="D3630" s="55">
        <v>2211200</v>
      </c>
      <c r="E3630" s="1680" t="s">
        <v>55</v>
      </c>
      <c r="F3630" s="1908">
        <v>700000</v>
      </c>
      <c r="H3630" s="46"/>
      <c r="I3630" s="46"/>
      <c r="J3630" s="55">
        <v>2211200</v>
      </c>
      <c r="K3630" s="1680" t="s">
        <v>55</v>
      </c>
      <c r="L3630" s="1908">
        <v>700000</v>
      </c>
      <c r="N3630" s="1908">
        <f t="shared" si="56"/>
        <v>0</v>
      </c>
    </row>
    <row r="3631" spans="2:14">
      <c r="B3631" s="46"/>
      <c r="C3631" s="46"/>
      <c r="D3631" s="1909">
        <v>2211201</v>
      </c>
      <c r="E3631" s="48" t="s">
        <v>56</v>
      </c>
      <c r="F3631" s="1906">
        <v>700000</v>
      </c>
      <c r="H3631" s="46"/>
      <c r="I3631" s="46"/>
      <c r="J3631" s="1909">
        <v>2211201</v>
      </c>
      <c r="K3631" s="48" t="s">
        <v>56</v>
      </c>
      <c r="L3631" s="1906">
        <v>700000</v>
      </c>
      <c r="N3631" s="1906">
        <f t="shared" si="56"/>
        <v>0</v>
      </c>
    </row>
    <row r="3632" spans="2:14">
      <c r="B3632" s="46"/>
      <c r="C3632" s="46"/>
      <c r="D3632" s="55">
        <v>2211300</v>
      </c>
      <c r="E3632" s="1680" t="s">
        <v>57</v>
      </c>
      <c r="F3632" s="1908">
        <v>712000</v>
      </c>
      <c r="H3632" s="46"/>
      <c r="I3632" s="46"/>
      <c r="J3632" s="55">
        <v>2211300</v>
      </c>
      <c r="K3632" s="1680" t="s">
        <v>57</v>
      </c>
      <c r="L3632" s="1908">
        <v>712000</v>
      </c>
      <c r="N3632" s="1908">
        <f t="shared" si="56"/>
        <v>0</v>
      </c>
    </row>
    <row r="3633" spans="2:14">
      <c r="B3633" s="46"/>
      <c r="C3633" s="46"/>
      <c r="D3633" s="47">
        <v>2211305</v>
      </c>
      <c r="E3633" s="48" t="s">
        <v>365</v>
      </c>
      <c r="F3633" s="1920">
        <v>175000</v>
      </c>
      <c r="H3633" s="46"/>
      <c r="I3633" s="46"/>
      <c r="J3633" s="47">
        <v>2211305</v>
      </c>
      <c r="K3633" s="48" t="s">
        <v>365</v>
      </c>
      <c r="L3633" s="1920">
        <v>175000</v>
      </c>
      <c r="N3633" s="1920">
        <f t="shared" si="56"/>
        <v>0</v>
      </c>
    </row>
    <row r="3634" spans="2:14">
      <c r="B3634" s="46"/>
      <c r="C3634" s="46"/>
      <c r="D3634" s="1909">
        <v>2211306</v>
      </c>
      <c r="E3634" s="48" t="s">
        <v>58</v>
      </c>
      <c r="F3634" s="1906">
        <v>87000</v>
      </c>
      <c r="H3634" s="46"/>
      <c r="I3634" s="46"/>
      <c r="J3634" s="1909">
        <v>2211306</v>
      </c>
      <c r="K3634" s="48" t="s">
        <v>58</v>
      </c>
      <c r="L3634" s="1906">
        <v>87000</v>
      </c>
      <c r="N3634" s="1906">
        <f t="shared" si="56"/>
        <v>0</v>
      </c>
    </row>
    <row r="3635" spans="2:14">
      <c r="B3635" s="46"/>
      <c r="C3635" s="46"/>
      <c r="D3635" s="47">
        <v>2211310</v>
      </c>
      <c r="E3635" s="48" t="s">
        <v>669</v>
      </c>
      <c r="F3635" s="1906">
        <v>450000</v>
      </c>
      <c r="H3635" s="46"/>
      <c r="I3635" s="46"/>
      <c r="J3635" s="47">
        <v>2211310</v>
      </c>
      <c r="K3635" s="48" t="s">
        <v>669</v>
      </c>
      <c r="L3635" s="1906">
        <v>450000</v>
      </c>
      <c r="N3635" s="1906">
        <f t="shared" si="56"/>
        <v>0</v>
      </c>
    </row>
    <row r="3636" spans="2:14">
      <c r="B3636" s="46"/>
      <c r="C3636" s="46"/>
      <c r="D3636" s="55">
        <v>2220100</v>
      </c>
      <c r="E3636" s="1680" t="s">
        <v>62</v>
      </c>
      <c r="F3636" s="1908">
        <v>520000</v>
      </c>
      <c r="H3636" s="46"/>
      <c r="I3636" s="46"/>
      <c r="J3636" s="55">
        <v>2220100</v>
      </c>
      <c r="K3636" s="1680" t="s">
        <v>62</v>
      </c>
      <c r="L3636" s="1908">
        <v>520000</v>
      </c>
      <c r="N3636" s="1908">
        <f t="shared" si="56"/>
        <v>0</v>
      </c>
    </row>
    <row r="3637" spans="2:14">
      <c r="B3637" s="46"/>
      <c r="C3637" s="46"/>
      <c r="D3637" s="1909">
        <v>2220101</v>
      </c>
      <c r="E3637" s="48" t="s">
        <v>250</v>
      </c>
      <c r="F3637" s="1906">
        <v>520000</v>
      </c>
      <c r="H3637" s="46"/>
      <c r="I3637" s="46"/>
      <c r="J3637" s="1909">
        <v>2220101</v>
      </c>
      <c r="K3637" s="48" t="s">
        <v>250</v>
      </c>
      <c r="L3637" s="1906">
        <v>520000</v>
      </c>
      <c r="N3637" s="1906">
        <f t="shared" si="56"/>
        <v>0</v>
      </c>
    </row>
    <row r="3638" spans="2:14">
      <c r="B3638" s="46"/>
      <c r="C3638" s="46"/>
      <c r="D3638" s="55">
        <v>2220200</v>
      </c>
      <c r="E3638" s="1680" t="s">
        <v>86</v>
      </c>
      <c r="F3638" s="1908">
        <v>90000</v>
      </c>
      <c r="H3638" s="46"/>
      <c r="I3638" s="46"/>
      <c r="J3638" s="55">
        <v>2220200</v>
      </c>
      <c r="K3638" s="1680" t="s">
        <v>86</v>
      </c>
      <c r="L3638" s="1908">
        <v>90000</v>
      </c>
      <c r="N3638" s="1908">
        <f t="shared" si="56"/>
        <v>0</v>
      </c>
    </row>
    <row r="3639" spans="2:14">
      <c r="B3639" s="46"/>
      <c r="C3639" s="46"/>
      <c r="D3639" s="1909">
        <v>2220202</v>
      </c>
      <c r="E3639" s="48" t="s">
        <v>87</v>
      </c>
      <c r="F3639" s="1906">
        <v>20000</v>
      </c>
      <c r="H3639" s="46"/>
      <c r="I3639" s="46"/>
      <c r="J3639" s="1909">
        <v>2220202</v>
      </c>
      <c r="K3639" s="48" t="s">
        <v>87</v>
      </c>
      <c r="L3639" s="1906">
        <v>20000</v>
      </c>
      <c r="N3639" s="1906">
        <f t="shared" si="56"/>
        <v>0</v>
      </c>
    </row>
    <row r="3640" spans="2:14">
      <c r="B3640" s="46"/>
      <c r="C3640" s="46"/>
      <c r="D3640" s="1909">
        <v>2220205</v>
      </c>
      <c r="E3640" s="48" t="s">
        <v>670</v>
      </c>
      <c r="F3640" s="1906">
        <v>50000</v>
      </c>
      <c r="H3640" s="46"/>
      <c r="I3640" s="46"/>
      <c r="J3640" s="1909">
        <v>2220205</v>
      </c>
      <c r="K3640" s="48" t="s">
        <v>670</v>
      </c>
      <c r="L3640" s="1906">
        <v>50000</v>
      </c>
      <c r="N3640" s="1906">
        <f t="shared" si="56"/>
        <v>0</v>
      </c>
    </row>
    <row r="3641" spans="2:14">
      <c r="B3641" s="46"/>
      <c r="C3641" s="46"/>
      <c r="D3641" s="1909">
        <v>2220210</v>
      </c>
      <c r="E3641" s="48" t="s">
        <v>163</v>
      </c>
      <c r="F3641" s="1906">
        <v>20000</v>
      </c>
      <c r="H3641" s="46"/>
      <c r="I3641" s="46"/>
      <c r="J3641" s="1909">
        <v>2220210</v>
      </c>
      <c r="K3641" s="48" t="s">
        <v>163</v>
      </c>
      <c r="L3641" s="1906">
        <v>20000</v>
      </c>
      <c r="N3641" s="1906">
        <f t="shared" si="56"/>
        <v>0</v>
      </c>
    </row>
    <row r="3642" spans="2:14">
      <c r="B3642" s="46"/>
      <c r="C3642" s="46"/>
      <c r="D3642" s="55">
        <v>3110300</v>
      </c>
      <c r="E3642" s="1680" t="s">
        <v>251</v>
      </c>
      <c r="F3642" s="1908">
        <v>0</v>
      </c>
      <c r="H3642" s="46"/>
      <c r="I3642" s="46"/>
      <c r="J3642" s="55">
        <v>3110300</v>
      </c>
      <c r="K3642" s="1680" t="s">
        <v>251</v>
      </c>
      <c r="L3642" s="1908">
        <v>0</v>
      </c>
      <c r="N3642" s="1908">
        <f t="shared" si="56"/>
        <v>0</v>
      </c>
    </row>
    <row r="3643" spans="2:14">
      <c r="B3643" s="46"/>
      <c r="C3643" s="46"/>
      <c r="D3643" s="19">
        <v>3110302</v>
      </c>
      <c r="E3643" s="74" t="s">
        <v>252</v>
      </c>
      <c r="F3643" s="1915">
        <v>0</v>
      </c>
      <c r="H3643" s="46"/>
      <c r="I3643" s="46"/>
      <c r="J3643" s="19">
        <v>3110302</v>
      </c>
      <c r="K3643" s="74" t="s">
        <v>252</v>
      </c>
      <c r="L3643" s="1915">
        <v>0</v>
      </c>
      <c r="N3643" s="1915">
        <f t="shared" si="56"/>
        <v>0</v>
      </c>
    </row>
    <row r="3644" spans="2:14">
      <c r="B3644" s="46"/>
      <c r="C3644" s="46"/>
      <c r="D3644" s="55">
        <v>3111000</v>
      </c>
      <c r="E3644" s="1680" t="s">
        <v>69</v>
      </c>
      <c r="F3644" s="1908">
        <v>9100000</v>
      </c>
      <c r="H3644" s="46"/>
      <c r="I3644" s="46"/>
      <c r="J3644" s="55">
        <v>3111000</v>
      </c>
      <c r="K3644" s="1680" t="s">
        <v>69</v>
      </c>
      <c r="L3644" s="1908">
        <v>9100000</v>
      </c>
      <c r="N3644" s="1908">
        <f t="shared" si="56"/>
        <v>0</v>
      </c>
    </row>
    <row r="3645" spans="2:14">
      <c r="B3645" s="46"/>
      <c r="C3645" s="46"/>
      <c r="D3645" s="1909">
        <v>3111002</v>
      </c>
      <c r="E3645" s="48" t="s">
        <v>71</v>
      </c>
      <c r="F3645" s="1906">
        <v>100000</v>
      </c>
      <c r="H3645" s="46"/>
      <c r="I3645" s="46"/>
      <c r="J3645" s="1909">
        <v>3111002</v>
      </c>
      <c r="K3645" s="48" t="s">
        <v>71</v>
      </c>
      <c r="L3645" s="1906">
        <v>100000</v>
      </c>
      <c r="N3645" s="1906">
        <f t="shared" si="56"/>
        <v>0</v>
      </c>
    </row>
    <row r="3646" spans="2:14">
      <c r="B3646" s="46"/>
      <c r="C3646" s="46"/>
      <c r="D3646" s="1909">
        <v>3111009</v>
      </c>
      <c r="E3646" s="48" t="s">
        <v>1832</v>
      </c>
      <c r="F3646" s="1906">
        <v>9000000</v>
      </c>
      <c r="H3646" s="46"/>
      <c r="I3646" s="46"/>
      <c r="J3646" s="1909">
        <v>3111009</v>
      </c>
      <c r="K3646" s="48" t="s">
        <v>1832</v>
      </c>
      <c r="L3646" s="1906">
        <v>9000000</v>
      </c>
      <c r="N3646" s="1906">
        <f t="shared" si="56"/>
        <v>0</v>
      </c>
    </row>
    <row r="3647" spans="2:14">
      <c r="B3647" s="46"/>
      <c r="C3647" s="46"/>
      <c r="D3647" s="19"/>
      <c r="E3647" s="1680" t="s">
        <v>674</v>
      </c>
      <c r="F3647" s="1908">
        <v>16524200</v>
      </c>
      <c r="H3647" s="46"/>
      <c r="I3647" s="46"/>
      <c r="J3647" s="19"/>
      <c r="K3647" s="1680" t="s">
        <v>674</v>
      </c>
      <c r="L3647" s="1908">
        <v>16524200</v>
      </c>
      <c r="N3647" s="1908">
        <f t="shared" si="56"/>
        <v>0</v>
      </c>
    </row>
    <row r="3648" spans="2:14">
      <c r="B3648" s="46"/>
      <c r="C3648" s="46"/>
      <c r="D3648" s="1671"/>
      <c r="E3648" s="1914"/>
      <c r="F3648" s="1915"/>
      <c r="H3648" s="46"/>
      <c r="I3648" s="46"/>
      <c r="J3648" s="1671"/>
      <c r="K3648" s="1914"/>
      <c r="L3648" s="1915"/>
      <c r="N3648" s="1915">
        <f t="shared" si="56"/>
        <v>0</v>
      </c>
    </row>
    <row r="3649" spans="2:14">
      <c r="B3649" s="46"/>
      <c r="C3649" s="46"/>
      <c r="D3649" s="1671" t="s">
        <v>1059</v>
      </c>
      <c r="E3649" s="1914"/>
      <c r="F3649" s="1915"/>
      <c r="H3649" s="46"/>
      <c r="I3649" s="46"/>
      <c r="J3649" s="1671" t="s">
        <v>1059</v>
      </c>
      <c r="K3649" s="1914"/>
      <c r="L3649" s="1915"/>
      <c r="N3649" s="1915">
        <f t="shared" si="56"/>
        <v>0</v>
      </c>
    </row>
    <row r="3650" spans="2:14">
      <c r="B3650" s="46"/>
      <c r="C3650" s="46"/>
      <c r="D3650" s="1671" t="s">
        <v>1058</v>
      </c>
      <c r="E3650" s="74"/>
      <c r="F3650" s="1915"/>
      <c r="H3650" s="46"/>
      <c r="I3650" s="46"/>
      <c r="J3650" s="1671" t="s">
        <v>1058</v>
      </c>
      <c r="K3650" s="74"/>
      <c r="L3650" s="1915"/>
      <c r="N3650" s="1915">
        <f t="shared" si="56"/>
        <v>0</v>
      </c>
    </row>
    <row r="3651" spans="2:14">
      <c r="B3651" s="46"/>
      <c r="C3651" s="46"/>
      <c r="D3651" s="55">
        <v>2210200</v>
      </c>
      <c r="E3651" s="1680" t="s">
        <v>20</v>
      </c>
      <c r="F3651" s="1908">
        <v>110000</v>
      </c>
      <c r="H3651" s="46"/>
      <c r="I3651" s="46"/>
      <c r="J3651" s="55">
        <v>2210200</v>
      </c>
      <c r="K3651" s="1680" t="s">
        <v>20</v>
      </c>
      <c r="L3651" s="1908">
        <v>110000</v>
      </c>
      <c r="N3651" s="1908">
        <f t="shared" si="56"/>
        <v>0</v>
      </c>
    </row>
    <row r="3652" spans="2:14">
      <c r="B3652" s="46"/>
      <c r="C3652" s="46"/>
      <c r="D3652" s="1909">
        <v>2210201</v>
      </c>
      <c r="E3652" s="48" t="s">
        <v>21</v>
      </c>
      <c r="F3652" s="1906">
        <v>70000</v>
      </c>
      <c r="H3652" s="46"/>
      <c r="I3652" s="46"/>
      <c r="J3652" s="1909">
        <v>2210201</v>
      </c>
      <c r="K3652" s="48" t="s">
        <v>21</v>
      </c>
      <c r="L3652" s="1906">
        <v>70000</v>
      </c>
      <c r="N3652" s="1906">
        <f t="shared" si="56"/>
        <v>0</v>
      </c>
    </row>
    <row r="3653" spans="2:14">
      <c r="B3653" s="46"/>
      <c r="C3653" s="46"/>
      <c r="D3653" s="1909">
        <v>2210202</v>
      </c>
      <c r="E3653" s="48" t="s">
        <v>22</v>
      </c>
      <c r="F3653" s="1906">
        <v>35000</v>
      </c>
      <c r="H3653" s="46"/>
      <c r="I3653" s="46"/>
      <c r="J3653" s="1909">
        <v>2210202</v>
      </c>
      <c r="K3653" s="48" t="s">
        <v>22</v>
      </c>
      <c r="L3653" s="1906">
        <v>35000</v>
      </c>
      <c r="N3653" s="1906">
        <f t="shared" si="56"/>
        <v>0</v>
      </c>
    </row>
    <row r="3654" spans="2:14">
      <c r="B3654" s="46"/>
      <c r="C3654" s="46"/>
      <c r="D3654" s="1909">
        <v>2210203</v>
      </c>
      <c r="E3654" s="48" t="s">
        <v>23</v>
      </c>
      <c r="F3654" s="1906">
        <v>5000</v>
      </c>
      <c r="H3654" s="46"/>
      <c r="I3654" s="46"/>
      <c r="J3654" s="1909">
        <v>2210203</v>
      </c>
      <c r="K3654" s="48" t="s">
        <v>23</v>
      </c>
      <c r="L3654" s="1906">
        <v>5000</v>
      </c>
      <c r="N3654" s="1906">
        <f t="shared" si="56"/>
        <v>0</v>
      </c>
    </row>
    <row r="3655" spans="2:14">
      <c r="B3655" s="46"/>
      <c r="C3655" s="46"/>
      <c r="D3655" s="55">
        <v>2210300</v>
      </c>
      <c r="E3655" s="1680" t="s">
        <v>24</v>
      </c>
      <c r="F3655" s="1908">
        <v>835000</v>
      </c>
      <c r="H3655" s="46"/>
      <c r="I3655" s="46"/>
      <c r="J3655" s="55">
        <v>2210300</v>
      </c>
      <c r="K3655" s="1680" t="s">
        <v>24</v>
      </c>
      <c r="L3655" s="1908">
        <v>835000</v>
      </c>
      <c r="N3655" s="1908">
        <f t="shared" si="56"/>
        <v>0</v>
      </c>
    </row>
    <row r="3656" spans="2:14">
      <c r="B3656" s="46"/>
      <c r="C3656" s="46"/>
      <c r="D3656" s="1909" t="s">
        <v>673</v>
      </c>
      <c r="E3656" s="48" t="s">
        <v>25</v>
      </c>
      <c r="F3656" s="1906">
        <v>100000</v>
      </c>
      <c r="H3656" s="46"/>
      <c r="I3656" s="46"/>
      <c r="J3656" s="1909" t="s">
        <v>673</v>
      </c>
      <c r="K3656" s="48" t="s">
        <v>25</v>
      </c>
      <c r="L3656" s="1906">
        <v>100000</v>
      </c>
      <c r="N3656" s="1906">
        <f t="shared" ref="N3656:N3719" si="57">F3656-L3656</f>
        <v>0</v>
      </c>
    </row>
    <row r="3657" spans="2:14">
      <c r="B3657" s="46"/>
      <c r="C3657" s="46"/>
      <c r="D3657" s="1909">
        <v>2210302</v>
      </c>
      <c r="E3657" s="48" t="s">
        <v>26</v>
      </c>
      <c r="F3657" s="1906">
        <v>500000</v>
      </c>
      <c r="H3657" s="46"/>
      <c r="I3657" s="46"/>
      <c r="J3657" s="1909">
        <v>2210302</v>
      </c>
      <c r="K3657" s="48" t="s">
        <v>26</v>
      </c>
      <c r="L3657" s="1906">
        <v>500000</v>
      </c>
      <c r="N3657" s="1906">
        <f t="shared" si="57"/>
        <v>0</v>
      </c>
    </row>
    <row r="3658" spans="2:14">
      <c r="B3658" s="46"/>
      <c r="C3658" s="46"/>
      <c r="D3658" s="1909">
        <v>2210303</v>
      </c>
      <c r="E3658" s="48" t="s">
        <v>27</v>
      </c>
      <c r="F3658" s="1906">
        <v>235000</v>
      </c>
      <c r="H3658" s="46"/>
      <c r="I3658" s="46"/>
      <c r="J3658" s="1909">
        <v>2210303</v>
      </c>
      <c r="K3658" s="48" t="s">
        <v>27</v>
      </c>
      <c r="L3658" s="1906">
        <v>235000</v>
      </c>
      <c r="N3658" s="1906">
        <f t="shared" si="57"/>
        <v>0</v>
      </c>
    </row>
    <row r="3659" spans="2:14">
      <c r="B3659" s="46"/>
      <c r="C3659" s="46"/>
      <c r="D3659" s="55">
        <v>2210500</v>
      </c>
      <c r="E3659" s="1680" t="s">
        <v>31</v>
      </c>
      <c r="F3659" s="1908">
        <v>400000</v>
      </c>
      <c r="H3659" s="46"/>
      <c r="I3659" s="46"/>
      <c r="J3659" s="55">
        <v>2210500</v>
      </c>
      <c r="K3659" s="1680" t="s">
        <v>31</v>
      </c>
      <c r="L3659" s="1908">
        <v>400000</v>
      </c>
      <c r="N3659" s="1908">
        <f t="shared" si="57"/>
        <v>0</v>
      </c>
    </row>
    <row r="3660" spans="2:14">
      <c r="B3660" s="46"/>
      <c r="C3660" s="46"/>
      <c r="D3660" s="1909">
        <v>2210502</v>
      </c>
      <c r="E3660" s="48" t="s">
        <v>105</v>
      </c>
      <c r="F3660" s="1906">
        <v>100000</v>
      </c>
      <c r="H3660" s="46"/>
      <c r="I3660" s="46"/>
      <c r="J3660" s="1909">
        <v>2210502</v>
      </c>
      <c r="K3660" s="48" t="s">
        <v>105</v>
      </c>
      <c r="L3660" s="1906">
        <v>100000</v>
      </c>
      <c r="N3660" s="1906">
        <f t="shared" si="57"/>
        <v>0</v>
      </c>
    </row>
    <row r="3661" spans="2:14">
      <c r="B3661" s="46"/>
      <c r="C3661" s="46"/>
      <c r="D3661" s="1909">
        <v>2210503</v>
      </c>
      <c r="E3661" s="48" t="s">
        <v>32</v>
      </c>
      <c r="F3661" s="1906">
        <v>100000</v>
      </c>
      <c r="H3661" s="46"/>
      <c r="I3661" s="46"/>
      <c r="J3661" s="1909">
        <v>2210503</v>
      </c>
      <c r="K3661" s="48" t="s">
        <v>32</v>
      </c>
      <c r="L3661" s="1906">
        <v>100000</v>
      </c>
      <c r="N3661" s="1906">
        <f t="shared" si="57"/>
        <v>0</v>
      </c>
    </row>
    <row r="3662" spans="2:14">
      <c r="B3662" s="46"/>
      <c r="C3662" s="46"/>
      <c r="D3662" s="1909">
        <v>2210504</v>
      </c>
      <c r="E3662" s="48" t="s">
        <v>33</v>
      </c>
      <c r="F3662" s="1906">
        <v>200000</v>
      </c>
      <c r="H3662" s="46"/>
      <c r="I3662" s="46"/>
      <c r="J3662" s="1909">
        <v>2210504</v>
      </c>
      <c r="K3662" s="48" t="s">
        <v>33</v>
      </c>
      <c r="L3662" s="1906">
        <v>200000</v>
      </c>
      <c r="N3662" s="1906">
        <f t="shared" si="57"/>
        <v>0</v>
      </c>
    </row>
    <row r="3663" spans="2:14">
      <c r="B3663" s="46"/>
      <c r="C3663" s="46"/>
      <c r="D3663" s="1916">
        <v>2210600</v>
      </c>
      <c r="E3663" s="1917" t="s">
        <v>154</v>
      </c>
      <c r="F3663" s="1918">
        <v>411000</v>
      </c>
      <c r="H3663" s="46"/>
      <c r="I3663" s="46"/>
      <c r="J3663" s="1916">
        <v>2210600</v>
      </c>
      <c r="K3663" s="1917" t="s">
        <v>154</v>
      </c>
      <c r="L3663" s="1918">
        <v>411000</v>
      </c>
      <c r="N3663" s="1918">
        <f t="shared" si="57"/>
        <v>0</v>
      </c>
    </row>
    <row r="3664" spans="2:14">
      <c r="B3664" s="46"/>
      <c r="C3664" s="46"/>
      <c r="D3664" s="1909">
        <v>2210603</v>
      </c>
      <c r="E3664" s="48" t="s">
        <v>489</v>
      </c>
      <c r="F3664" s="1906">
        <v>411000</v>
      </c>
      <c r="H3664" s="46"/>
      <c r="I3664" s="46"/>
      <c r="J3664" s="1909">
        <v>2210603</v>
      </c>
      <c r="K3664" s="48" t="s">
        <v>489</v>
      </c>
      <c r="L3664" s="1906">
        <v>411000</v>
      </c>
      <c r="N3664" s="1906">
        <f t="shared" si="57"/>
        <v>0</v>
      </c>
    </row>
    <row r="3665" spans="2:14">
      <c r="B3665" s="46"/>
      <c r="C3665" s="46"/>
      <c r="D3665" s="55">
        <v>2210700</v>
      </c>
      <c r="E3665" s="1680" t="s">
        <v>35</v>
      </c>
      <c r="F3665" s="1908">
        <v>920306</v>
      </c>
      <c r="H3665" s="46"/>
      <c r="I3665" s="46"/>
      <c r="J3665" s="55">
        <v>2210700</v>
      </c>
      <c r="K3665" s="1680" t="s">
        <v>35</v>
      </c>
      <c r="L3665" s="1908">
        <v>920306</v>
      </c>
      <c r="N3665" s="1908">
        <f t="shared" si="57"/>
        <v>0</v>
      </c>
    </row>
    <row r="3666" spans="2:14">
      <c r="B3666" s="46"/>
      <c r="C3666" s="46"/>
      <c r="D3666" s="1909">
        <v>2210701</v>
      </c>
      <c r="E3666" s="48" t="s">
        <v>36</v>
      </c>
      <c r="F3666" s="1906">
        <v>300000</v>
      </c>
      <c r="H3666" s="46"/>
      <c r="I3666" s="46"/>
      <c r="J3666" s="1909">
        <v>2210701</v>
      </c>
      <c r="K3666" s="48" t="s">
        <v>36</v>
      </c>
      <c r="L3666" s="1906">
        <v>300000</v>
      </c>
      <c r="N3666" s="1906">
        <f t="shared" si="57"/>
        <v>0</v>
      </c>
    </row>
    <row r="3667" spans="2:14">
      <c r="B3667" s="46"/>
      <c r="C3667" s="46"/>
      <c r="D3667" s="1909">
        <v>2210703</v>
      </c>
      <c r="E3667" s="48" t="s">
        <v>107</v>
      </c>
      <c r="F3667" s="1906">
        <v>30000</v>
      </c>
      <c r="H3667" s="46"/>
      <c r="I3667" s="46"/>
      <c r="J3667" s="1909">
        <v>2210703</v>
      </c>
      <c r="K3667" s="48" t="s">
        <v>107</v>
      </c>
      <c r="L3667" s="1906">
        <v>30000</v>
      </c>
      <c r="N3667" s="1906">
        <f t="shared" si="57"/>
        <v>0</v>
      </c>
    </row>
    <row r="3668" spans="2:14">
      <c r="B3668" s="46"/>
      <c r="C3668" s="46"/>
      <c r="D3668" s="1909">
        <v>2210704</v>
      </c>
      <c r="E3668" s="48" t="s">
        <v>38</v>
      </c>
      <c r="F3668" s="1906">
        <v>75000</v>
      </c>
      <c r="H3668" s="46"/>
      <c r="I3668" s="46"/>
      <c r="J3668" s="1909">
        <v>2210704</v>
      </c>
      <c r="K3668" s="48" t="s">
        <v>38</v>
      </c>
      <c r="L3668" s="1906">
        <v>75000</v>
      </c>
      <c r="N3668" s="1906">
        <f t="shared" si="57"/>
        <v>0</v>
      </c>
    </row>
    <row r="3669" spans="2:14">
      <c r="B3669" s="46"/>
      <c r="C3669" s="46"/>
      <c r="D3669" s="1909">
        <v>2210710</v>
      </c>
      <c r="E3669" s="48" t="s">
        <v>39</v>
      </c>
      <c r="F3669" s="1906">
        <v>100000</v>
      </c>
      <c r="H3669" s="46"/>
      <c r="I3669" s="46"/>
      <c r="J3669" s="1909">
        <v>2210710</v>
      </c>
      <c r="K3669" s="48" t="s">
        <v>39</v>
      </c>
      <c r="L3669" s="1906">
        <v>100000</v>
      </c>
      <c r="N3669" s="1906">
        <f t="shared" si="57"/>
        <v>0</v>
      </c>
    </row>
    <row r="3670" spans="2:14">
      <c r="B3670" s="46"/>
      <c r="C3670" s="46"/>
      <c r="D3670" s="47">
        <v>2210711</v>
      </c>
      <c r="E3670" s="1912" t="s">
        <v>281</v>
      </c>
      <c r="F3670" s="1906">
        <v>135306</v>
      </c>
      <c r="H3670" s="46"/>
      <c r="I3670" s="46"/>
      <c r="J3670" s="47">
        <v>2210711</v>
      </c>
      <c r="K3670" s="1912" t="s">
        <v>281</v>
      </c>
      <c r="L3670" s="1906">
        <v>135306</v>
      </c>
      <c r="N3670" s="1906">
        <f t="shared" si="57"/>
        <v>0</v>
      </c>
    </row>
    <row r="3671" spans="2:14">
      <c r="B3671" s="46"/>
      <c r="C3671" s="46"/>
      <c r="D3671" s="1913">
        <v>2210715</v>
      </c>
      <c r="E3671" s="1910" t="s">
        <v>40</v>
      </c>
      <c r="F3671" s="135">
        <v>150000</v>
      </c>
      <c r="H3671" s="46"/>
      <c r="I3671" s="46"/>
      <c r="J3671" s="1913">
        <v>2210715</v>
      </c>
      <c r="K3671" s="1910" t="s">
        <v>40</v>
      </c>
      <c r="L3671" s="135">
        <v>150000</v>
      </c>
      <c r="N3671" s="135">
        <f t="shared" si="57"/>
        <v>0</v>
      </c>
    </row>
    <row r="3672" spans="2:14">
      <c r="B3672" s="46"/>
      <c r="C3672" s="46"/>
      <c r="D3672" s="47">
        <v>2210799</v>
      </c>
      <c r="E3672" s="48" t="s">
        <v>665</v>
      </c>
      <c r="F3672" s="135">
        <v>130000</v>
      </c>
      <c r="H3672" s="46"/>
      <c r="I3672" s="46"/>
      <c r="J3672" s="47">
        <v>2210799</v>
      </c>
      <c r="K3672" s="48" t="s">
        <v>665</v>
      </c>
      <c r="L3672" s="135">
        <v>130000</v>
      </c>
      <c r="N3672" s="135">
        <f t="shared" si="57"/>
        <v>0</v>
      </c>
    </row>
    <row r="3673" spans="2:14">
      <c r="B3673" s="46"/>
      <c r="C3673" s="46"/>
      <c r="D3673" s="55">
        <v>2210800</v>
      </c>
      <c r="E3673" s="1680" t="s">
        <v>42</v>
      </c>
      <c r="F3673" s="1908">
        <v>1125000</v>
      </c>
      <c r="H3673" s="46"/>
      <c r="I3673" s="46"/>
      <c r="J3673" s="55">
        <v>2210800</v>
      </c>
      <c r="K3673" s="1680" t="s">
        <v>42</v>
      </c>
      <c r="L3673" s="1908">
        <v>1125000</v>
      </c>
      <c r="N3673" s="1908">
        <f t="shared" si="57"/>
        <v>0</v>
      </c>
    </row>
    <row r="3674" spans="2:14">
      <c r="B3674" s="46"/>
      <c r="C3674" s="46"/>
      <c r="D3674" s="1909">
        <v>2210801</v>
      </c>
      <c r="E3674" s="48" t="s">
        <v>43</v>
      </c>
      <c r="F3674" s="1906">
        <v>625000</v>
      </c>
      <c r="H3674" s="46"/>
      <c r="I3674" s="46"/>
      <c r="J3674" s="1909">
        <v>2210801</v>
      </c>
      <c r="K3674" s="48" t="s">
        <v>43</v>
      </c>
      <c r="L3674" s="1906">
        <v>625000</v>
      </c>
      <c r="N3674" s="1906">
        <f t="shared" si="57"/>
        <v>0</v>
      </c>
    </row>
    <row r="3675" spans="2:14">
      <c r="B3675" s="46"/>
      <c r="C3675" s="46"/>
      <c r="D3675" s="1909">
        <v>2210802</v>
      </c>
      <c r="E3675" s="48" t="s">
        <v>97</v>
      </c>
      <c r="F3675" s="1906">
        <v>500000</v>
      </c>
      <c r="H3675" s="46"/>
      <c r="I3675" s="46"/>
      <c r="J3675" s="1909">
        <v>2210802</v>
      </c>
      <c r="K3675" s="48" t="s">
        <v>97</v>
      </c>
      <c r="L3675" s="1906">
        <v>500000</v>
      </c>
      <c r="N3675" s="1906">
        <f t="shared" si="57"/>
        <v>0</v>
      </c>
    </row>
    <row r="3676" spans="2:14">
      <c r="B3676" s="46"/>
      <c r="C3676" s="46"/>
      <c r="D3676" s="55">
        <v>2211100</v>
      </c>
      <c r="E3676" s="1680" t="s">
        <v>51</v>
      </c>
      <c r="F3676" s="1908">
        <v>100000</v>
      </c>
      <c r="H3676" s="46"/>
      <c r="I3676" s="46"/>
      <c r="J3676" s="55">
        <v>2211100</v>
      </c>
      <c r="K3676" s="1680" t="s">
        <v>51</v>
      </c>
      <c r="L3676" s="1908">
        <v>100000</v>
      </c>
      <c r="N3676" s="1908">
        <f t="shared" si="57"/>
        <v>0</v>
      </c>
    </row>
    <row r="3677" spans="2:14">
      <c r="B3677" s="46"/>
      <c r="C3677" s="46"/>
      <c r="D3677" s="1909">
        <v>2211102</v>
      </c>
      <c r="E3677" s="48" t="s">
        <v>53</v>
      </c>
      <c r="F3677" s="1906">
        <v>100000</v>
      </c>
      <c r="H3677" s="46"/>
      <c r="I3677" s="46"/>
      <c r="J3677" s="1909">
        <v>2211102</v>
      </c>
      <c r="K3677" s="48" t="s">
        <v>53</v>
      </c>
      <c r="L3677" s="1906">
        <v>100000</v>
      </c>
      <c r="N3677" s="1906">
        <f t="shared" si="57"/>
        <v>0</v>
      </c>
    </row>
    <row r="3678" spans="2:14">
      <c r="B3678" s="46"/>
      <c r="C3678" s="46"/>
      <c r="D3678" s="55">
        <v>2211200</v>
      </c>
      <c r="E3678" s="1680" t="s">
        <v>55</v>
      </c>
      <c r="F3678" s="1908">
        <v>290000</v>
      </c>
      <c r="H3678" s="46"/>
      <c r="I3678" s="46"/>
      <c r="J3678" s="55">
        <v>2211200</v>
      </c>
      <c r="K3678" s="1680" t="s">
        <v>55</v>
      </c>
      <c r="L3678" s="1908">
        <v>290000</v>
      </c>
      <c r="N3678" s="1908">
        <f t="shared" si="57"/>
        <v>0</v>
      </c>
    </row>
    <row r="3679" spans="2:14">
      <c r="B3679" s="46"/>
      <c r="C3679" s="46"/>
      <c r="D3679" s="1909">
        <v>2211201</v>
      </c>
      <c r="E3679" s="48" t="s">
        <v>56</v>
      </c>
      <c r="F3679" s="1906">
        <v>290000</v>
      </c>
      <c r="H3679" s="46"/>
      <c r="I3679" s="46"/>
      <c r="J3679" s="1909">
        <v>2211201</v>
      </c>
      <c r="K3679" s="48" t="s">
        <v>56</v>
      </c>
      <c r="L3679" s="1906">
        <v>290000</v>
      </c>
      <c r="N3679" s="1906">
        <f t="shared" si="57"/>
        <v>0</v>
      </c>
    </row>
    <row r="3680" spans="2:14">
      <c r="B3680" s="46"/>
      <c r="C3680" s="46"/>
      <c r="D3680" s="1916">
        <v>2211300</v>
      </c>
      <c r="E3680" s="1917" t="s">
        <v>57</v>
      </c>
      <c r="F3680" s="1918">
        <v>501000</v>
      </c>
      <c r="H3680" s="46"/>
      <c r="I3680" s="46"/>
      <c r="J3680" s="1916">
        <v>2211300</v>
      </c>
      <c r="K3680" s="1917" t="s">
        <v>57</v>
      </c>
      <c r="L3680" s="1918">
        <v>501000</v>
      </c>
      <c r="N3680" s="1918">
        <f t="shared" si="57"/>
        <v>0</v>
      </c>
    </row>
    <row r="3681" spans="2:14">
      <c r="B3681" s="46"/>
      <c r="C3681" s="46"/>
      <c r="D3681" s="47">
        <v>2211305</v>
      </c>
      <c r="E3681" s="48" t="s">
        <v>365</v>
      </c>
      <c r="F3681" s="1906">
        <v>75000</v>
      </c>
      <c r="H3681" s="46"/>
      <c r="I3681" s="46"/>
      <c r="J3681" s="47">
        <v>2211305</v>
      </c>
      <c r="K3681" s="48" t="s">
        <v>365</v>
      </c>
      <c r="L3681" s="1906">
        <v>75000</v>
      </c>
      <c r="N3681" s="1906">
        <f t="shared" si="57"/>
        <v>0</v>
      </c>
    </row>
    <row r="3682" spans="2:14">
      <c r="B3682" s="46"/>
      <c r="C3682" s="46"/>
      <c r="D3682" s="1909">
        <v>2211306</v>
      </c>
      <c r="E3682" s="136" t="s">
        <v>58</v>
      </c>
      <c r="F3682" s="1906">
        <v>76000</v>
      </c>
      <c r="H3682" s="46"/>
      <c r="I3682" s="46"/>
      <c r="J3682" s="1909">
        <v>2211306</v>
      </c>
      <c r="K3682" s="136" t="s">
        <v>58</v>
      </c>
      <c r="L3682" s="1906">
        <v>76000</v>
      </c>
      <c r="N3682" s="1906">
        <f t="shared" si="57"/>
        <v>0</v>
      </c>
    </row>
    <row r="3683" spans="2:14">
      <c r="B3683" s="46"/>
      <c r="C3683" s="46"/>
      <c r="D3683" s="47">
        <v>2211310</v>
      </c>
      <c r="E3683" s="48" t="s">
        <v>669</v>
      </c>
      <c r="F3683" s="1906">
        <v>350000</v>
      </c>
      <c r="H3683" s="46"/>
      <c r="I3683" s="46"/>
      <c r="J3683" s="47">
        <v>2211310</v>
      </c>
      <c r="K3683" s="48" t="s">
        <v>669</v>
      </c>
      <c r="L3683" s="1906">
        <v>350000</v>
      </c>
      <c r="N3683" s="1906">
        <f t="shared" si="57"/>
        <v>0</v>
      </c>
    </row>
    <row r="3684" spans="2:14">
      <c r="B3684" s="46"/>
      <c r="C3684" s="46"/>
      <c r="D3684" s="55">
        <v>2220100</v>
      </c>
      <c r="E3684" s="1680" t="s">
        <v>62</v>
      </c>
      <c r="F3684" s="1908">
        <v>200000</v>
      </c>
      <c r="H3684" s="46"/>
      <c r="I3684" s="46"/>
      <c r="J3684" s="55">
        <v>2220100</v>
      </c>
      <c r="K3684" s="1680" t="s">
        <v>62</v>
      </c>
      <c r="L3684" s="1908">
        <v>200000</v>
      </c>
      <c r="N3684" s="1908">
        <f t="shared" si="57"/>
        <v>0</v>
      </c>
    </row>
    <row r="3685" spans="2:14">
      <c r="B3685" s="46"/>
      <c r="C3685" s="46"/>
      <c r="D3685" s="1909">
        <v>2220101</v>
      </c>
      <c r="E3685" s="48" t="s">
        <v>250</v>
      </c>
      <c r="F3685" s="1906">
        <v>200000</v>
      </c>
      <c r="H3685" s="46"/>
      <c r="I3685" s="46"/>
      <c r="J3685" s="1909">
        <v>2220101</v>
      </c>
      <c r="K3685" s="48" t="s">
        <v>250</v>
      </c>
      <c r="L3685" s="1906">
        <v>200000</v>
      </c>
      <c r="N3685" s="1906">
        <f t="shared" si="57"/>
        <v>0</v>
      </c>
    </row>
    <row r="3686" spans="2:14">
      <c r="B3686" s="46"/>
      <c r="C3686" s="46"/>
      <c r="D3686" s="55">
        <v>3111000</v>
      </c>
      <c r="E3686" s="1680" t="s">
        <v>69</v>
      </c>
      <c r="F3686" s="1908">
        <v>100000</v>
      </c>
      <c r="H3686" s="46"/>
      <c r="I3686" s="46"/>
      <c r="J3686" s="55">
        <v>3111000</v>
      </c>
      <c r="K3686" s="1680" t="s">
        <v>69</v>
      </c>
      <c r="L3686" s="1908">
        <v>100000</v>
      </c>
      <c r="N3686" s="1908">
        <f t="shared" si="57"/>
        <v>0</v>
      </c>
    </row>
    <row r="3687" spans="2:14">
      <c r="B3687" s="46"/>
      <c r="C3687" s="46"/>
      <c r="D3687" s="1909">
        <v>3111002</v>
      </c>
      <c r="E3687" s="48" t="s">
        <v>71</v>
      </c>
      <c r="F3687" s="1906">
        <v>100000</v>
      </c>
      <c r="H3687" s="46"/>
      <c r="I3687" s="46"/>
      <c r="J3687" s="1909">
        <v>3111002</v>
      </c>
      <c r="K3687" s="48" t="s">
        <v>71</v>
      </c>
      <c r="L3687" s="1906">
        <v>100000</v>
      </c>
      <c r="N3687" s="1906">
        <f t="shared" si="57"/>
        <v>0</v>
      </c>
    </row>
    <row r="3688" spans="2:14">
      <c r="B3688" s="46"/>
      <c r="C3688" s="46"/>
      <c r="D3688" s="19"/>
      <c r="E3688" s="1680" t="s">
        <v>674</v>
      </c>
      <c r="F3688" s="1908">
        <v>4992306</v>
      </c>
      <c r="H3688" s="46"/>
      <c r="I3688" s="46"/>
      <c r="J3688" s="19"/>
      <c r="K3688" s="1680" t="s">
        <v>674</v>
      </c>
      <c r="L3688" s="1908">
        <v>4992306</v>
      </c>
      <c r="N3688" s="1908">
        <f t="shared" si="57"/>
        <v>0</v>
      </c>
    </row>
    <row r="3689" spans="2:14">
      <c r="B3689" s="18"/>
      <c r="C3689" s="18"/>
      <c r="D3689" s="1907"/>
      <c r="E3689" s="1922" t="s">
        <v>92</v>
      </c>
      <c r="F3689" s="1908"/>
      <c r="H3689" s="18"/>
      <c r="I3689" s="18"/>
      <c r="J3689" s="1907"/>
      <c r="K3689" s="1922" t="s">
        <v>92</v>
      </c>
      <c r="L3689" s="1908"/>
      <c r="N3689" s="1908">
        <f t="shared" si="57"/>
        <v>0</v>
      </c>
    </row>
    <row r="3690" spans="2:14">
      <c r="B3690" s="46"/>
      <c r="C3690" s="46"/>
      <c r="D3690" s="1545">
        <v>3110200</v>
      </c>
      <c r="E3690" s="1546" t="s">
        <v>164</v>
      </c>
      <c r="F3690" s="1908">
        <v>10000000</v>
      </c>
      <c r="H3690" s="46"/>
      <c r="I3690" s="46"/>
      <c r="J3690" s="1545">
        <v>3110200</v>
      </c>
      <c r="K3690" s="1546" t="s">
        <v>164</v>
      </c>
      <c r="L3690" s="1908">
        <v>5000000</v>
      </c>
      <c r="N3690" s="1908">
        <f t="shared" si="57"/>
        <v>5000000</v>
      </c>
    </row>
    <row r="3691" spans="2:14" ht="30">
      <c r="B3691" s="1713"/>
      <c r="C3691" s="1713"/>
      <c r="D3691" s="1923">
        <v>3110202</v>
      </c>
      <c r="E3691" s="1924" t="s">
        <v>1837</v>
      </c>
      <c r="F3691" s="1925">
        <v>10000000</v>
      </c>
      <c r="H3691" s="46"/>
      <c r="I3691" s="46"/>
      <c r="J3691" s="1863">
        <v>3110202</v>
      </c>
      <c r="K3691" s="1864" t="s">
        <v>1862</v>
      </c>
      <c r="L3691" s="1918">
        <v>5000000</v>
      </c>
      <c r="N3691" s="1918">
        <f t="shared" si="57"/>
        <v>5000000</v>
      </c>
    </row>
    <row r="3692" spans="2:14">
      <c r="B3692" s="46"/>
      <c r="C3692" s="46"/>
      <c r="D3692" s="80"/>
      <c r="E3692" s="1508" t="s">
        <v>175</v>
      </c>
      <c r="F3692" s="1908">
        <v>10000000</v>
      </c>
      <c r="H3692" s="46"/>
      <c r="I3692" s="46"/>
      <c r="J3692" s="80"/>
      <c r="K3692" s="1508" t="s">
        <v>175</v>
      </c>
      <c r="L3692" s="1908">
        <v>5000000</v>
      </c>
      <c r="N3692" s="1908">
        <f t="shared" si="57"/>
        <v>5000000</v>
      </c>
    </row>
    <row r="3693" spans="2:14">
      <c r="B3693" s="46"/>
      <c r="C3693" s="46"/>
      <c r="D3693" s="80"/>
      <c r="E3693" s="1508" t="s">
        <v>84</v>
      </c>
      <c r="F3693" s="1908">
        <v>14992306</v>
      </c>
      <c r="H3693" s="46"/>
      <c r="I3693" s="46"/>
      <c r="J3693" s="80"/>
      <c r="K3693" s="1508" t="s">
        <v>84</v>
      </c>
      <c r="L3693" s="1908">
        <v>9992306</v>
      </c>
      <c r="N3693" s="1908">
        <f t="shared" si="57"/>
        <v>5000000</v>
      </c>
    </row>
    <row r="3694" spans="2:14">
      <c r="B3694" s="46"/>
      <c r="C3694" s="46"/>
      <c r="D3694" s="1507"/>
      <c r="E3694" s="1508" t="s">
        <v>99</v>
      </c>
      <c r="F3694" s="1926">
        <v>73366658.048314273</v>
      </c>
      <c r="H3694" s="46"/>
      <c r="I3694" s="46"/>
      <c r="J3694" s="1507"/>
      <c r="K3694" s="1508" t="s">
        <v>99</v>
      </c>
      <c r="L3694" s="1926">
        <v>73366658.048314273</v>
      </c>
      <c r="N3694" s="1926">
        <f t="shared" si="57"/>
        <v>0</v>
      </c>
    </row>
    <row r="3695" spans="2:14">
      <c r="B3695" s="46"/>
      <c r="C3695" s="46"/>
      <c r="D3695" s="1507"/>
      <c r="E3695" s="1508" t="s">
        <v>175</v>
      </c>
      <c r="F3695" s="1926">
        <v>10000000</v>
      </c>
      <c r="H3695" s="46"/>
      <c r="I3695" s="46"/>
      <c r="J3695" s="1507"/>
      <c r="K3695" s="1508" t="s">
        <v>175</v>
      </c>
      <c r="L3695" s="1926">
        <v>5000000</v>
      </c>
      <c r="N3695" s="1926">
        <f t="shared" si="57"/>
        <v>5000000</v>
      </c>
    </row>
    <row r="3696" spans="2:14">
      <c r="B3696" s="46"/>
      <c r="C3696" s="46"/>
      <c r="D3696" s="1583" t="s">
        <v>675</v>
      </c>
      <c r="E3696" s="1620"/>
      <c r="F3696" s="1927">
        <v>83366658.048314273</v>
      </c>
      <c r="H3696" s="46"/>
      <c r="I3696" s="46"/>
      <c r="J3696" s="1583" t="s">
        <v>675</v>
      </c>
      <c r="K3696" s="1620"/>
      <c r="L3696" s="1927">
        <v>78366658.048314273</v>
      </c>
      <c r="N3696" s="1927">
        <f t="shared" si="57"/>
        <v>5000000</v>
      </c>
    </row>
    <row r="3697" spans="2:14">
      <c r="B3697" s="46"/>
      <c r="C3697" s="46"/>
      <c r="D3697" s="1507"/>
      <c r="E3697" s="1658"/>
      <c r="F3697" s="1722"/>
      <c r="H3697" s="46"/>
      <c r="I3697" s="46"/>
      <c r="J3697" s="1507"/>
      <c r="K3697" s="1658"/>
      <c r="L3697" s="1722"/>
      <c r="N3697" s="1722">
        <f t="shared" si="57"/>
        <v>0</v>
      </c>
    </row>
    <row r="3698" spans="2:14">
      <c r="B3698" s="46"/>
      <c r="C3698" s="46"/>
      <c r="D3698" s="1507"/>
      <c r="E3698" s="1658"/>
      <c r="F3698" s="1722"/>
      <c r="H3698" s="46"/>
      <c r="I3698" s="46"/>
      <c r="J3698" s="1507"/>
      <c r="K3698" s="1658"/>
      <c r="L3698" s="1722"/>
      <c r="N3698" s="1722">
        <f t="shared" si="57"/>
        <v>0</v>
      </c>
    </row>
    <row r="3699" spans="2:14">
      <c r="B3699" s="46"/>
      <c r="C3699" s="46"/>
      <c r="D3699" s="1507" t="s">
        <v>676</v>
      </c>
      <c r="E3699" s="1658"/>
      <c r="F3699" s="1722"/>
      <c r="H3699" s="46"/>
      <c r="I3699" s="46"/>
      <c r="J3699" s="1507" t="s">
        <v>676</v>
      </c>
      <c r="K3699" s="1658"/>
      <c r="L3699" s="1722"/>
      <c r="N3699" s="1722">
        <f t="shared" si="57"/>
        <v>0</v>
      </c>
    </row>
    <row r="3700" spans="2:14">
      <c r="B3700" s="174"/>
      <c r="C3700" s="174"/>
      <c r="D3700" s="1928"/>
      <c r="E3700" s="1929" t="s">
        <v>1282</v>
      </c>
      <c r="F3700" s="1930"/>
      <c r="H3700" s="174"/>
      <c r="I3700" s="174"/>
      <c r="J3700" s="1931"/>
      <c r="K3700" s="1929" t="s">
        <v>1282</v>
      </c>
      <c r="L3700" s="1930"/>
      <c r="N3700" s="1930">
        <f t="shared" si="57"/>
        <v>0</v>
      </c>
    </row>
    <row r="3701" spans="2:14">
      <c r="B3701" s="1674"/>
      <c r="C3701" s="1674"/>
      <c r="D3701" s="1931">
        <v>2110100</v>
      </c>
      <c r="E3701" s="1932" t="s">
        <v>13</v>
      </c>
      <c r="F3701" s="1933">
        <v>0</v>
      </c>
      <c r="H3701" s="1674"/>
      <c r="I3701" s="1674"/>
      <c r="J3701" s="1931">
        <v>2110100</v>
      </c>
      <c r="K3701" s="1932" t="s">
        <v>13</v>
      </c>
      <c r="L3701" s="1933">
        <v>0</v>
      </c>
      <c r="N3701" s="1933">
        <f t="shared" si="57"/>
        <v>0</v>
      </c>
    </row>
    <row r="3702" spans="2:14">
      <c r="B3702" s="174"/>
      <c r="C3702" s="174"/>
      <c r="D3702" s="1934">
        <v>2110101</v>
      </c>
      <c r="E3702" s="176" t="s">
        <v>1283</v>
      </c>
      <c r="F3702" s="1935">
        <v>0</v>
      </c>
      <c r="H3702" s="174"/>
      <c r="I3702" s="174"/>
      <c r="J3702" s="1934">
        <v>2110101</v>
      </c>
      <c r="K3702" s="176" t="s">
        <v>1283</v>
      </c>
      <c r="L3702" s="1935">
        <v>0</v>
      </c>
      <c r="N3702" s="1935">
        <f t="shared" si="57"/>
        <v>0</v>
      </c>
    </row>
    <row r="3703" spans="2:14">
      <c r="B3703" s="174"/>
      <c r="C3703" s="174"/>
      <c r="D3703" s="1936">
        <v>2110116</v>
      </c>
      <c r="E3703" s="1937" t="s">
        <v>1284</v>
      </c>
      <c r="F3703" s="1935"/>
      <c r="H3703" s="174"/>
      <c r="I3703" s="174"/>
      <c r="J3703" s="1938">
        <v>2110116</v>
      </c>
      <c r="K3703" s="179" t="s">
        <v>1284</v>
      </c>
      <c r="L3703" s="1935"/>
      <c r="N3703" s="1935">
        <f t="shared" si="57"/>
        <v>0</v>
      </c>
    </row>
    <row r="3704" spans="2:14">
      <c r="B3704" s="1674"/>
      <c r="C3704" s="1674"/>
      <c r="D3704" s="1931">
        <v>2110200</v>
      </c>
      <c r="E3704" s="1939" t="s">
        <v>148</v>
      </c>
      <c r="F3704" s="1933">
        <v>0</v>
      </c>
      <c r="H3704" s="1674"/>
      <c r="I3704" s="1674"/>
      <c r="J3704" s="1931">
        <v>2110200</v>
      </c>
      <c r="K3704" s="1939" t="s">
        <v>148</v>
      </c>
      <c r="L3704" s="1933">
        <v>0</v>
      </c>
      <c r="N3704" s="1933">
        <f t="shared" si="57"/>
        <v>0</v>
      </c>
    </row>
    <row r="3705" spans="2:14">
      <c r="B3705" s="174"/>
      <c r="C3705" s="174"/>
      <c r="D3705" s="1938">
        <v>2110201</v>
      </c>
      <c r="E3705" s="1940" t="s">
        <v>1285</v>
      </c>
      <c r="F3705" s="1935">
        <v>0</v>
      </c>
      <c r="H3705" s="174"/>
      <c r="I3705" s="174"/>
      <c r="J3705" s="1938">
        <v>2110201</v>
      </c>
      <c r="K3705" s="1940" t="s">
        <v>1285</v>
      </c>
      <c r="L3705" s="1935">
        <v>0</v>
      </c>
      <c r="N3705" s="1935">
        <f t="shared" si="57"/>
        <v>0</v>
      </c>
    </row>
    <row r="3706" spans="2:14">
      <c r="B3706" s="1674"/>
      <c r="C3706" s="1674"/>
      <c r="D3706" s="1931">
        <v>2210100</v>
      </c>
      <c r="E3706" s="1932" t="s">
        <v>16</v>
      </c>
      <c r="F3706" s="1933">
        <v>0</v>
      </c>
      <c r="H3706" s="1674"/>
      <c r="I3706" s="1674"/>
      <c r="J3706" s="1931">
        <v>2210100</v>
      </c>
      <c r="K3706" s="1932" t="s">
        <v>16</v>
      </c>
      <c r="L3706" s="1933">
        <v>0</v>
      </c>
      <c r="N3706" s="1933">
        <f t="shared" si="57"/>
        <v>0</v>
      </c>
    </row>
    <row r="3707" spans="2:14">
      <c r="B3707" s="174"/>
      <c r="C3707" s="174"/>
      <c r="D3707" s="1936">
        <v>2210101</v>
      </c>
      <c r="E3707" s="1937" t="s">
        <v>17</v>
      </c>
      <c r="F3707" s="1935">
        <v>0</v>
      </c>
      <c r="H3707" s="174"/>
      <c r="I3707" s="174"/>
      <c r="J3707" s="1938">
        <v>2210101</v>
      </c>
      <c r="K3707" s="179" t="s">
        <v>17</v>
      </c>
      <c r="L3707" s="1935">
        <v>0</v>
      </c>
      <c r="N3707" s="1935">
        <f t="shared" si="57"/>
        <v>0</v>
      </c>
    </row>
    <row r="3708" spans="2:14">
      <c r="B3708" s="174"/>
      <c r="C3708" s="174"/>
      <c r="D3708" s="1936">
        <v>2210102</v>
      </c>
      <c r="E3708" s="1937" t="s">
        <v>18</v>
      </c>
      <c r="F3708" s="1935">
        <v>0</v>
      </c>
      <c r="H3708" s="174"/>
      <c r="I3708" s="174"/>
      <c r="J3708" s="1938">
        <v>2210102</v>
      </c>
      <c r="K3708" s="179" t="s">
        <v>18</v>
      </c>
      <c r="L3708" s="1935">
        <v>0</v>
      </c>
      <c r="N3708" s="1935">
        <f t="shared" si="57"/>
        <v>0</v>
      </c>
    </row>
    <row r="3709" spans="2:14">
      <c r="B3709" s="1674"/>
      <c r="C3709" s="1674"/>
      <c r="D3709" s="1931">
        <v>2210200</v>
      </c>
      <c r="E3709" s="1932" t="s">
        <v>20</v>
      </c>
      <c r="F3709" s="1933">
        <v>0</v>
      </c>
      <c r="H3709" s="1674"/>
      <c r="I3709" s="1674"/>
      <c r="J3709" s="1931">
        <v>2210200</v>
      </c>
      <c r="K3709" s="1932" t="s">
        <v>20</v>
      </c>
      <c r="L3709" s="1933">
        <v>0</v>
      </c>
      <c r="N3709" s="1933">
        <f t="shared" si="57"/>
        <v>0</v>
      </c>
    </row>
    <row r="3710" spans="2:14">
      <c r="B3710" s="174"/>
      <c r="C3710" s="174"/>
      <c r="D3710" s="1936">
        <v>2210201</v>
      </c>
      <c r="E3710" s="1937" t="s">
        <v>187</v>
      </c>
      <c r="F3710" s="1935">
        <v>0</v>
      </c>
      <c r="H3710" s="174"/>
      <c r="I3710" s="174"/>
      <c r="J3710" s="1938">
        <v>2210201</v>
      </c>
      <c r="K3710" s="179" t="s">
        <v>187</v>
      </c>
      <c r="L3710" s="1935">
        <v>0</v>
      </c>
      <c r="N3710" s="1935">
        <f t="shared" si="57"/>
        <v>0</v>
      </c>
    </row>
    <row r="3711" spans="2:14">
      <c r="B3711" s="174"/>
      <c r="C3711" s="174"/>
      <c r="D3711" s="1936">
        <v>2210203</v>
      </c>
      <c r="E3711" s="1937" t="s">
        <v>23</v>
      </c>
      <c r="F3711" s="1935">
        <v>0</v>
      </c>
      <c r="H3711" s="174"/>
      <c r="I3711" s="174"/>
      <c r="J3711" s="1938">
        <v>2210203</v>
      </c>
      <c r="K3711" s="179" t="s">
        <v>23</v>
      </c>
      <c r="L3711" s="1935">
        <v>0</v>
      </c>
      <c r="N3711" s="1935">
        <f t="shared" si="57"/>
        <v>0</v>
      </c>
    </row>
    <row r="3712" spans="2:14">
      <c r="B3712" s="1674"/>
      <c r="C3712" s="1674"/>
      <c r="D3712" s="1931">
        <v>2210300</v>
      </c>
      <c r="E3712" s="1932" t="s">
        <v>24</v>
      </c>
      <c r="F3712" s="1933">
        <v>0</v>
      </c>
      <c r="H3712" s="1674"/>
      <c r="I3712" s="1674"/>
      <c r="J3712" s="1931">
        <v>2210300</v>
      </c>
      <c r="K3712" s="1932" t="s">
        <v>24</v>
      </c>
      <c r="L3712" s="1933">
        <v>0</v>
      </c>
      <c r="N3712" s="1933">
        <f t="shared" si="57"/>
        <v>0</v>
      </c>
    </row>
    <row r="3713" spans="2:14">
      <c r="B3713" s="174"/>
      <c r="C3713" s="174"/>
      <c r="D3713" s="1936">
        <v>2210301</v>
      </c>
      <c r="E3713" s="1937" t="s">
        <v>188</v>
      </c>
      <c r="F3713" s="1935">
        <v>0</v>
      </c>
      <c r="H3713" s="174"/>
      <c r="I3713" s="174"/>
      <c r="J3713" s="1938">
        <v>2210301</v>
      </c>
      <c r="K3713" s="179" t="s">
        <v>188</v>
      </c>
      <c r="L3713" s="1935">
        <v>0</v>
      </c>
      <c r="N3713" s="1935">
        <f t="shared" si="57"/>
        <v>0</v>
      </c>
    </row>
    <row r="3714" spans="2:14">
      <c r="B3714" s="174"/>
      <c r="C3714" s="174"/>
      <c r="D3714" s="1936">
        <v>2210302</v>
      </c>
      <c r="E3714" s="1937" t="s">
        <v>26</v>
      </c>
      <c r="F3714" s="1935">
        <v>0</v>
      </c>
      <c r="H3714" s="174"/>
      <c r="I3714" s="174"/>
      <c r="J3714" s="1938">
        <v>2210302</v>
      </c>
      <c r="K3714" s="179" t="s">
        <v>26</v>
      </c>
      <c r="L3714" s="1935">
        <v>0</v>
      </c>
      <c r="N3714" s="1935">
        <f t="shared" si="57"/>
        <v>0</v>
      </c>
    </row>
    <row r="3715" spans="2:14">
      <c r="B3715" s="174"/>
      <c r="C3715" s="174"/>
      <c r="D3715" s="1936">
        <v>2210303</v>
      </c>
      <c r="E3715" s="1937" t="s">
        <v>223</v>
      </c>
      <c r="F3715" s="1935">
        <v>0</v>
      </c>
      <c r="H3715" s="174"/>
      <c r="I3715" s="174"/>
      <c r="J3715" s="1938">
        <v>2210303</v>
      </c>
      <c r="K3715" s="179" t="s">
        <v>223</v>
      </c>
      <c r="L3715" s="1935">
        <v>0</v>
      </c>
      <c r="N3715" s="1935">
        <f t="shared" si="57"/>
        <v>0</v>
      </c>
    </row>
    <row r="3716" spans="2:14">
      <c r="B3716" s="174"/>
      <c r="C3716" s="174"/>
      <c r="D3716" s="1936">
        <v>2210307</v>
      </c>
      <c r="E3716" s="1941" t="s">
        <v>483</v>
      </c>
      <c r="F3716" s="1935">
        <v>0</v>
      </c>
      <c r="H3716" s="174"/>
      <c r="I3716" s="174"/>
      <c r="J3716" s="1938">
        <v>2210307</v>
      </c>
      <c r="K3716" s="1941" t="s">
        <v>483</v>
      </c>
      <c r="L3716" s="1935">
        <v>0</v>
      </c>
      <c r="N3716" s="1935">
        <f t="shared" si="57"/>
        <v>0</v>
      </c>
    </row>
    <row r="3717" spans="2:14">
      <c r="B3717" s="1674"/>
      <c r="C3717" s="1674"/>
      <c r="D3717" s="1931">
        <v>2210400</v>
      </c>
      <c r="E3717" s="1932" t="s">
        <v>189</v>
      </c>
      <c r="F3717" s="1933">
        <v>0</v>
      </c>
      <c r="H3717" s="1674"/>
      <c r="I3717" s="1674"/>
      <c r="J3717" s="1931">
        <v>2210400</v>
      </c>
      <c r="K3717" s="1932" t="s">
        <v>189</v>
      </c>
      <c r="L3717" s="1933">
        <v>0</v>
      </c>
      <c r="N3717" s="1933">
        <f t="shared" si="57"/>
        <v>0</v>
      </c>
    </row>
    <row r="3718" spans="2:14">
      <c r="B3718" s="174"/>
      <c r="C3718" s="174"/>
      <c r="D3718" s="1936">
        <v>2210401</v>
      </c>
      <c r="E3718" s="1937" t="s">
        <v>190</v>
      </c>
      <c r="F3718" s="1935">
        <v>0</v>
      </c>
      <c r="H3718" s="174"/>
      <c r="I3718" s="174"/>
      <c r="J3718" s="1938">
        <v>2210401</v>
      </c>
      <c r="K3718" s="179" t="s">
        <v>190</v>
      </c>
      <c r="L3718" s="1935">
        <v>0</v>
      </c>
      <c r="N3718" s="1935">
        <f t="shared" si="57"/>
        <v>0</v>
      </c>
    </row>
    <row r="3719" spans="2:14">
      <c r="B3719" s="174"/>
      <c r="C3719" s="174"/>
      <c r="D3719" s="1936">
        <v>2210402</v>
      </c>
      <c r="E3719" s="1937" t="s">
        <v>191</v>
      </c>
      <c r="F3719" s="1935">
        <v>0</v>
      </c>
      <c r="H3719" s="174"/>
      <c r="I3719" s="174"/>
      <c r="J3719" s="1938">
        <v>2210402</v>
      </c>
      <c r="K3719" s="179" t="s">
        <v>191</v>
      </c>
      <c r="L3719" s="1935">
        <v>0</v>
      </c>
      <c r="N3719" s="1935">
        <f t="shared" si="57"/>
        <v>0</v>
      </c>
    </row>
    <row r="3720" spans="2:14">
      <c r="B3720" s="1942"/>
      <c r="C3720" s="1942"/>
      <c r="D3720" s="1936">
        <v>2210404</v>
      </c>
      <c r="E3720" s="1937" t="s">
        <v>28</v>
      </c>
      <c r="F3720" s="1935">
        <v>0</v>
      </c>
      <c r="H3720" s="1942"/>
      <c r="I3720" s="1942"/>
      <c r="J3720" s="1938">
        <v>2210404</v>
      </c>
      <c r="K3720" s="179" t="s">
        <v>28</v>
      </c>
      <c r="L3720" s="1935">
        <v>0</v>
      </c>
      <c r="N3720" s="1935">
        <f t="shared" ref="N3720:N3783" si="58">F3720-L3720</f>
        <v>0</v>
      </c>
    </row>
    <row r="3721" spans="2:14">
      <c r="B3721" s="1674"/>
      <c r="C3721" s="1674"/>
      <c r="D3721" s="1931">
        <v>2210500</v>
      </c>
      <c r="E3721" s="1932" t="s">
        <v>31</v>
      </c>
      <c r="F3721" s="1933">
        <v>0</v>
      </c>
      <c r="H3721" s="1674"/>
      <c r="I3721" s="1674"/>
      <c r="J3721" s="1931">
        <v>2210500</v>
      </c>
      <c r="K3721" s="1932" t="s">
        <v>31</v>
      </c>
      <c r="L3721" s="1933">
        <v>0</v>
      </c>
      <c r="N3721" s="1933">
        <f t="shared" si="58"/>
        <v>0</v>
      </c>
    </row>
    <row r="3722" spans="2:14">
      <c r="B3722" s="174"/>
      <c r="C3722" s="174"/>
      <c r="D3722" s="1936">
        <v>2210502</v>
      </c>
      <c r="E3722" s="1937" t="s">
        <v>105</v>
      </c>
      <c r="F3722" s="1935">
        <v>0</v>
      </c>
      <c r="H3722" s="174"/>
      <c r="I3722" s="174"/>
      <c r="J3722" s="1938">
        <v>2210502</v>
      </c>
      <c r="K3722" s="179" t="s">
        <v>105</v>
      </c>
      <c r="L3722" s="1935">
        <v>0</v>
      </c>
      <c r="N3722" s="1935">
        <f t="shared" si="58"/>
        <v>0</v>
      </c>
    </row>
    <row r="3723" spans="2:14">
      <c r="B3723" s="174"/>
      <c r="C3723" s="174"/>
      <c r="D3723" s="1936">
        <v>2210503</v>
      </c>
      <c r="E3723" s="1937" t="s">
        <v>32</v>
      </c>
      <c r="F3723" s="1935">
        <v>0</v>
      </c>
      <c r="H3723" s="174"/>
      <c r="I3723" s="174"/>
      <c r="J3723" s="1938">
        <v>2210503</v>
      </c>
      <c r="K3723" s="179" t="s">
        <v>32</v>
      </c>
      <c r="L3723" s="1935">
        <v>0</v>
      </c>
      <c r="N3723" s="1935">
        <f t="shared" si="58"/>
        <v>0</v>
      </c>
    </row>
    <row r="3724" spans="2:14">
      <c r="B3724" s="174"/>
      <c r="C3724" s="174"/>
      <c r="D3724" s="1936">
        <v>2210504</v>
      </c>
      <c r="E3724" s="1937" t="s">
        <v>33</v>
      </c>
      <c r="F3724" s="1935">
        <v>0</v>
      </c>
      <c r="H3724" s="174"/>
      <c r="I3724" s="174"/>
      <c r="J3724" s="1938">
        <v>2210504</v>
      </c>
      <c r="K3724" s="179" t="s">
        <v>33</v>
      </c>
      <c r="L3724" s="1935">
        <v>0</v>
      </c>
      <c r="N3724" s="1935">
        <f t="shared" si="58"/>
        <v>0</v>
      </c>
    </row>
    <row r="3725" spans="2:14">
      <c r="B3725" s="1674"/>
      <c r="C3725" s="1674"/>
      <c r="D3725" s="1931">
        <v>2210700</v>
      </c>
      <c r="E3725" s="1932" t="s">
        <v>35</v>
      </c>
      <c r="F3725" s="1933">
        <v>0</v>
      </c>
      <c r="H3725" s="1674"/>
      <c r="I3725" s="1674"/>
      <c r="J3725" s="1931">
        <v>2210700</v>
      </c>
      <c r="K3725" s="1932" t="s">
        <v>35</v>
      </c>
      <c r="L3725" s="1933">
        <v>0</v>
      </c>
      <c r="N3725" s="1933">
        <f t="shared" si="58"/>
        <v>0</v>
      </c>
    </row>
    <row r="3726" spans="2:14">
      <c r="B3726" s="174"/>
      <c r="C3726" s="174"/>
      <c r="D3726" s="1936">
        <v>2210701</v>
      </c>
      <c r="E3726" s="1937" t="s">
        <v>36</v>
      </c>
      <c r="F3726" s="1935">
        <v>0</v>
      </c>
      <c r="H3726" s="174"/>
      <c r="I3726" s="174"/>
      <c r="J3726" s="1938">
        <v>2210701</v>
      </c>
      <c r="K3726" s="179" t="s">
        <v>36</v>
      </c>
      <c r="L3726" s="1935">
        <v>0</v>
      </c>
      <c r="N3726" s="1935">
        <f t="shared" si="58"/>
        <v>0</v>
      </c>
    </row>
    <row r="3727" spans="2:14">
      <c r="B3727" s="174"/>
      <c r="C3727" s="174"/>
      <c r="D3727" s="1936">
        <v>2210704</v>
      </c>
      <c r="E3727" s="1937" t="s">
        <v>38</v>
      </c>
      <c r="F3727" s="1935">
        <v>0</v>
      </c>
      <c r="H3727" s="174"/>
      <c r="I3727" s="174"/>
      <c r="J3727" s="1938">
        <v>2210704</v>
      </c>
      <c r="K3727" s="179" t="s">
        <v>38</v>
      </c>
      <c r="L3727" s="1935">
        <v>0</v>
      </c>
      <c r="N3727" s="1935">
        <f t="shared" si="58"/>
        <v>0</v>
      </c>
    </row>
    <row r="3728" spans="2:14">
      <c r="B3728" s="174"/>
      <c r="C3728" s="174"/>
      <c r="D3728" s="1936">
        <v>2210708</v>
      </c>
      <c r="E3728" s="1937" t="s">
        <v>115</v>
      </c>
      <c r="F3728" s="1935">
        <v>0</v>
      </c>
      <c r="H3728" s="174"/>
      <c r="I3728" s="174"/>
      <c r="J3728" s="1938">
        <v>2210708</v>
      </c>
      <c r="K3728" s="179" t="s">
        <v>115</v>
      </c>
      <c r="L3728" s="1935">
        <v>0</v>
      </c>
      <c r="N3728" s="1935">
        <f t="shared" si="58"/>
        <v>0</v>
      </c>
    </row>
    <row r="3729" spans="2:14">
      <c r="B3729" s="174"/>
      <c r="C3729" s="174"/>
      <c r="D3729" s="1936">
        <v>2210710</v>
      </c>
      <c r="E3729" s="1937" t="s">
        <v>39</v>
      </c>
      <c r="F3729" s="1935">
        <v>0</v>
      </c>
      <c r="H3729" s="174"/>
      <c r="I3729" s="174"/>
      <c r="J3729" s="1938">
        <v>2210710</v>
      </c>
      <c r="K3729" s="179" t="s">
        <v>39</v>
      </c>
      <c r="L3729" s="1935">
        <v>0</v>
      </c>
      <c r="N3729" s="1935">
        <f t="shared" si="58"/>
        <v>0</v>
      </c>
    </row>
    <row r="3730" spans="2:14">
      <c r="B3730" s="174"/>
      <c r="C3730" s="174"/>
      <c r="D3730" s="1936">
        <v>2210711</v>
      </c>
      <c r="E3730" s="1937" t="s">
        <v>156</v>
      </c>
      <c r="F3730" s="1935">
        <v>0</v>
      </c>
      <c r="H3730" s="174"/>
      <c r="I3730" s="174"/>
      <c r="J3730" s="1938">
        <v>2210711</v>
      </c>
      <c r="K3730" s="179" t="s">
        <v>156</v>
      </c>
      <c r="L3730" s="1935">
        <v>0</v>
      </c>
      <c r="N3730" s="1935">
        <f t="shared" si="58"/>
        <v>0</v>
      </c>
    </row>
    <row r="3731" spans="2:14">
      <c r="B3731" s="1674"/>
      <c r="C3731" s="1674"/>
      <c r="D3731" s="1931">
        <v>2210800</v>
      </c>
      <c r="E3731" s="1932" t="s">
        <v>42</v>
      </c>
      <c r="F3731" s="1933">
        <v>0</v>
      </c>
      <c r="H3731" s="1674"/>
      <c r="I3731" s="1674"/>
      <c r="J3731" s="1931">
        <v>2210800</v>
      </c>
      <c r="K3731" s="1932" t="s">
        <v>42</v>
      </c>
      <c r="L3731" s="1933">
        <v>0</v>
      </c>
      <c r="N3731" s="1933">
        <f t="shared" si="58"/>
        <v>0</v>
      </c>
    </row>
    <row r="3732" spans="2:14">
      <c r="B3732" s="174"/>
      <c r="C3732" s="174"/>
      <c r="D3732" s="1936">
        <v>2210801</v>
      </c>
      <c r="E3732" s="1937" t="s">
        <v>195</v>
      </c>
      <c r="F3732" s="1935">
        <v>0</v>
      </c>
      <c r="H3732" s="174"/>
      <c r="I3732" s="174"/>
      <c r="J3732" s="1938">
        <v>2210801</v>
      </c>
      <c r="K3732" s="179" t="s">
        <v>195</v>
      </c>
      <c r="L3732" s="1935">
        <v>0</v>
      </c>
      <c r="N3732" s="1935">
        <f t="shared" si="58"/>
        <v>0</v>
      </c>
    </row>
    <row r="3733" spans="2:14">
      <c r="B3733" s="174"/>
      <c r="C3733" s="174"/>
      <c r="D3733" s="1936">
        <v>2210802</v>
      </c>
      <c r="E3733" s="1937" t="s">
        <v>1286</v>
      </c>
      <c r="F3733" s="1935">
        <v>0</v>
      </c>
      <c r="H3733" s="174"/>
      <c r="I3733" s="174"/>
      <c r="J3733" s="1938">
        <v>2210802</v>
      </c>
      <c r="K3733" s="179" t="s">
        <v>1286</v>
      </c>
      <c r="L3733" s="1935">
        <v>0</v>
      </c>
      <c r="N3733" s="1935">
        <f t="shared" si="58"/>
        <v>0</v>
      </c>
    </row>
    <row r="3734" spans="2:14">
      <c r="B3734" s="174"/>
      <c r="C3734" s="174"/>
      <c r="D3734" s="1936">
        <v>2210804</v>
      </c>
      <c r="E3734" s="1937" t="s">
        <v>1287</v>
      </c>
      <c r="F3734" s="1935"/>
      <c r="H3734" s="174"/>
      <c r="I3734" s="174"/>
      <c r="J3734" s="1938">
        <v>2210804</v>
      </c>
      <c r="K3734" s="179" t="s">
        <v>1287</v>
      </c>
      <c r="L3734" s="1935"/>
      <c r="N3734" s="1935">
        <f t="shared" si="58"/>
        <v>0</v>
      </c>
    </row>
    <row r="3735" spans="2:14">
      <c r="B3735" s="174"/>
      <c r="C3735" s="174"/>
      <c r="D3735" s="1936">
        <v>2210808</v>
      </c>
      <c r="E3735" s="1937" t="s">
        <v>44</v>
      </c>
      <c r="F3735" s="1935">
        <v>0</v>
      </c>
      <c r="H3735" s="174"/>
      <c r="I3735" s="174"/>
      <c r="J3735" s="1938">
        <v>2210808</v>
      </c>
      <c r="K3735" s="179" t="s">
        <v>44</v>
      </c>
      <c r="L3735" s="1935">
        <v>0</v>
      </c>
      <c r="N3735" s="1935">
        <f t="shared" si="58"/>
        <v>0</v>
      </c>
    </row>
    <row r="3736" spans="2:14">
      <c r="B3736" s="174"/>
      <c r="C3736" s="174"/>
      <c r="D3736" s="1936">
        <v>2210809</v>
      </c>
      <c r="E3736" s="1943" t="s">
        <v>1288</v>
      </c>
      <c r="F3736" s="1935"/>
      <c r="H3736" s="174"/>
      <c r="I3736" s="174"/>
      <c r="J3736" s="1938">
        <v>2210809</v>
      </c>
      <c r="K3736" s="1943" t="s">
        <v>1288</v>
      </c>
      <c r="L3736" s="1935"/>
      <c r="N3736" s="1935">
        <f t="shared" si="58"/>
        <v>0</v>
      </c>
    </row>
    <row r="3737" spans="2:14">
      <c r="B3737" s="1674"/>
      <c r="C3737" s="1674"/>
      <c r="D3737" s="1931">
        <v>2210900</v>
      </c>
      <c r="E3737" s="1932" t="s">
        <v>46</v>
      </c>
      <c r="F3737" s="1933">
        <v>0</v>
      </c>
      <c r="H3737" s="1674"/>
      <c r="I3737" s="1674"/>
      <c r="J3737" s="1931">
        <v>2210900</v>
      </c>
      <c r="K3737" s="1932" t="s">
        <v>46</v>
      </c>
      <c r="L3737" s="1933">
        <v>0</v>
      </c>
      <c r="N3737" s="1933">
        <f t="shared" si="58"/>
        <v>0</v>
      </c>
    </row>
    <row r="3738" spans="2:14">
      <c r="B3738" s="174"/>
      <c r="C3738" s="174"/>
      <c r="D3738" s="1938">
        <v>2210901</v>
      </c>
      <c r="E3738" s="179" t="s">
        <v>668</v>
      </c>
      <c r="F3738" s="1935">
        <v>0</v>
      </c>
      <c r="H3738" s="174"/>
      <c r="I3738" s="174"/>
      <c r="J3738" s="1938">
        <v>2210901</v>
      </c>
      <c r="K3738" s="179" t="s">
        <v>668</v>
      </c>
      <c r="L3738" s="1935">
        <v>0</v>
      </c>
      <c r="N3738" s="1935">
        <f t="shared" si="58"/>
        <v>0</v>
      </c>
    </row>
    <row r="3739" spans="2:14">
      <c r="B3739" s="174"/>
      <c r="C3739" s="174"/>
      <c r="D3739" s="1936">
        <v>2210902</v>
      </c>
      <c r="E3739" s="1937" t="s">
        <v>1289</v>
      </c>
      <c r="F3739" s="1935">
        <v>0</v>
      </c>
      <c r="H3739" s="174"/>
      <c r="I3739" s="174"/>
      <c r="J3739" s="1938">
        <v>2210902</v>
      </c>
      <c r="K3739" s="179" t="s">
        <v>1289</v>
      </c>
      <c r="L3739" s="1935">
        <v>0</v>
      </c>
      <c r="N3739" s="1935">
        <f t="shared" si="58"/>
        <v>0</v>
      </c>
    </row>
    <row r="3740" spans="2:14">
      <c r="B3740" s="174"/>
      <c r="C3740" s="174"/>
      <c r="D3740" s="1936">
        <v>2210903</v>
      </c>
      <c r="E3740" s="1937" t="s">
        <v>491</v>
      </c>
      <c r="F3740" s="1935">
        <v>0</v>
      </c>
      <c r="H3740" s="174"/>
      <c r="I3740" s="174"/>
      <c r="J3740" s="1938">
        <v>2210903</v>
      </c>
      <c r="K3740" s="179" t="s">
        <v>491</v>
      </c>
      <c r="L3740" s="1935">
        <v>0</v>
      </c>
      <c r="N3740" s="1935">
        <f t="shared" si="58"/>
        <v>0</v>
      </c>
    </row>
    <row r="3741" spans="2:14">
      <c r="B3741" s="174"/>
      <c r="C3741" s="174"/>
      <c r="D3741" s="1936">
        <v>2210904</v>
      </c>
      <c r="E3741" s="1937" t="s">
        <v>158</v>
      </c>
      <c r="F3741" s="1935">
        <v>0</v>
      </c>
      <c r="H3741" s="174"/>
      <c r="I3741" s="174"/>
      <c r="J3741" s="1938">
        <v>2210904</v>
      </c>
      <c r="K3741" s="179" t="s">
        <v>158</v>
      </c>
      <c r="L3741" s="1935">
        <v>0</v>
      </c>
      <c r="N3741" s="1935">
        <f t="shared" si="58"/>
        <v>0</v>
      </c>
    </row>
    <row r="3742" spans="2:14">
      <c r="B3742" s="174"/>
      <c r="C3742" s="174"/>
      <c r="D3742" s="1936">
        <v>2210910</v>
      </c>
      <c r="E3742" s="1937" t="s">
        <v>1290</v>
      </c>
      <c r="F3742" s="1935">
        <v>0</v>
      </c>
      <c r="H3742" s="174"/>
      <c r="I3742" s="174"/>
      <c r="J3742" s="1938">
        <v>2210910</v>
      </c>
      <c r="K3742" s="179" t="s">
        <v>1290</v>
      </c>
      <c r="L3742" s="1935">
        <v>0</v>
      </c>
      <c r="N3742" s="1935">
        <f t="shared" si="58"/>
        <v>0</v>
      </c>
    </row>
    <row r="3743" spans="2:14">
      <c r="B3743" s="1674"/>
      <c r="C3743" s="1674"/>
      <c r="D3743" s="1931">
        <v>2211000</v>
      </c>
      <c r="E3743" s="1932" t="s">
        <v>118</v>
      </c>
      <c r="F3743" s="1933">
        <v>0</v>
      </c>
      <c r="H3743" s="1674"/>
      <c r="I3743" s="1674"/>
      <c r="J3743" s="1931">
        <v>2211000</v>
      </c>
      <c r="K3743" s="1932" t="s">
        <v>118</v>
      </c>
      <c r="L3743" s="1933">
        <v>0</v>
      </c>
      <c r="N3743" s="1933">
        <f t="shared" si="58"/>
        <v>0</v>
      </c>
    </row>
    <row r="3744" spans="2:14">
      <c r="B3744" s="174"/>
      <c r="C3744" s="174"/>
      <c r="D3744" s="1936">
        <v>2211016</v>
      </c>
      <c r="E3744" s="1937" t="s">
        <v>196</v>
      </c>
      <c r="F3744" s="1935">
        <v>0</v>
      </c>
      <c r="H3744" s="174"/>
      <c r="I3744" s="174"/>
      <c r="J3744" s="1938">
        <v>2211016</v>
      </c>
      <c r="K3744" s="179" t="s">
        <v>196</v>
      </c>
      <c r="L3744" s="1935">
        <v>0</v>
      </c>
      <c r="N3744" s="1935">
        <f t="shared" si="58"/>
        <v>0</v>
      </c>
    </row>
    <row r="3745" spans="2:14">
      <c r="B3745" s="1674"/>
      <c r="C3745" s="1674"/>
      <c r="D3745" s="1931">
        <v>2211100</v>
      </c>
      <c r="E3745" s="1932" t="s">
        <v>51</v>
      </c>
      <c r="F3745" s="1933">
        <v>0</v>
      </c>
      <c r="H3745" s="1674"/>
      <c r="I3745" s="1674"/>
      <c r="J3745" s="1931">
        <v>2211100</v>
      </c>
      <c r="K3745" s="1932" t="s">
        <v>51</v>
      </c>
      <c r="L3745" s="1933">
        <v>0</v>
      </c>
      <c r="N3745" s="1933">
        <f t="shared" si="58"/>
        <v>0</v>
      </c>
    </row>
    <row r="3746" spans="2:14">
      <c r="B3746" s="174"/>
      <c r="C3746" s="174"/>
      <c r="D3746" s="1936">
        <v>2211101</v>
      </c>
      <c r="E3746" s="1937" t="s">
        <v>289</v>
      </c>
      <c r="F3746" s="1935">
        <v>0</v>
      </c>
      <c r="H3746" s="174"/>
      <c r="I3746" s="174"/>
      <c r="J3746" s="1938">
        <v>2211101</v>
      </c>
      <c r="K3746" s="179" t="s">
        <v>289</v>
      </c>
      <c r="L3746" s="1935">
        <v>0</v>
      </c>
      <c r="N3746" s="1935">
        <f t="shared" si="58"/>
        <v>0</v>
      </c>
    </row>
    <row r="3747" spans="2:14">
      <c r="B3747" s="174"/>
      <c r="C3747" s="174"/>
      <c r="D3747" s="1936">
        <v>2211102</v>
      </c>
      <c r="E3747" s="1937" t="s">
        <v>53</v>
      </c>
      <c r="F3747" s="1935">
        <v>0</v>
      </c>
      <c r="H3747" s="174"/>
      <c r="I3747" s="174"/>
      <c r="J3747" s="1938">
        <v>2211102</v>
      </c>
      <c r="K3747" s="179" t="s">
        <v>53</v>
      </c>
      <c r="L3747" s="1935">
        <v>0</v>
      </c>
      <c r="N3747" s="1935">
        <f t="shared" si="58"/>
        <v>0</v>
      </c>
    </row>
    <row r="3748" spans="2:14">
      <c r="B3748" s="174"/>
      <c r="C3748" s="174"/>
      <c r="D3748" s="1936">
        <v>2211103</v>
      </c>
      <c r="E3748" s="1937" t="s">
        <v>54</v>
      </c>
      <c r="F3748" s="1935">
        <v>0</v>
      </c>
      <c r="H3748" s="174"/>
      <c r="I3748" s="174"/>
      <c r="J3748" s="1938">
        <v>2211103</v>
      </c>
      <c r="K3748" s="179" t="s">
        <v>54</v>
      </c>
      <c r="L3748" s="1935">
        <v>0</v>
      </c>
      <c r="N3748" s="1935">
        <f t="shared" si="58"/>
        <v>0</v>
      </c>
    </row>
    <row r="3749" spans="2:14">
      <c r="B3749" s="1674"/>
      <c r="C3749" s="1674"/>
      <c r="D3749" s="1931">
        <v>2211200</v>
      </c>
      <c r="E3749" s="1932" t="s">
        <v>55</v>
      </c>
      <c r="F3749" s="1933">
        <v>0</v>
      </c>
      <c r="H3749" s="1674"/>
      <c r="I3749" s="1674"/>
      <c r="J3749" s="1931">
        <v>2211200</v>
      </c>
      <c r="K3749" s="1932" t="s">
        <v>55</v>
      </c>
      <c r="L3749" s="1933">
        <v>0</v>
      </c>
      <c r="N3749" s="1933">
        <f t="shared" si="58"/>
        <v>0</v>
      </c>
    </row>
    <row r="3750" spans="2:14">
      <c r="B3750" s="174"/>
      <c r="C3750" s="174"/>
      <c r="D3750" s="1936">
        <v>2211201</v>
      </c>
      <c r="E3750" s="1937" t="s">
        <v>56</v>
      </c>
      <c r="F3750" s="1935">
        <v>0</v>
      </c>
      <c r="H3750" s="174"/>
      <c r="I3750" s="174"/>
      <c r="J3750" s="1938">
        <v>2211201</v>
      </c>
      <c r="K3750" s="179" t="s">
        <v>56</v>
      </c>
      <c r="L3750" s="1935">
        <v>0</v>
      </c>
      <c r="N3750" s="1935">
        <f t="shared" si="58"/>
        <v>0</v>
      </c>
    </row>
    <row r="3751" spans="2:14">
      <c r="B3751" s="1674"/>
      <c r="C3751" s="1674"/>
      <c r="D3751" s="1931">
        <v>2211300</v>
      </c>
      <c r="E3751" s="1932" t="s">
        <v>57</v>
      </c>
      <c r="F3751" s="1933">
        <v>0</v>
      </c>
      <c r="H3751" s="1674"/>
      <c r="I3751" s="1674"/>
      <c r="J3751" s="1931">
        <v>2211300</v>
      </c>
      <c r="K3751" s="1932" t="s">
        <v>57</v>
      </c>
      <c r="L3751" s="1933">
        <v>0</v>
      </c>
      <c r="N3751" s="1933">
        <f t="shared" si="58"/>
        <v>0</v>
      </c>
    </row>
    <row r="3752" spans="2:14">
      <c r="B3752" s="174"/>
      <c r="C3752" s="174"/>
      <c r="D3752" s="1936">
        <v>2211301</v>
      </c>
      <c r="E3752" s="1937" t="s">
        <v>198</v>
      </c>
      <c r="F3752" s="1935">
        <v>0</v>
      </c>
      <c r="H3752" s="174"/>
      <c r="I3752" s="174"/>
      <c r="J3752" s="1938">
        <v>2211301</v>
      </c>
      <c r="K3752" s="179" t="s">
        <v>198</v>
      </c>
      <c r="L3752" s="1935">
        <v>0</v>
      </c>
      <c r="N3752" s="1935">
        <f t="shared" si="58"/>
        <v>0</v>
      </c>
    </row>
    <row r="3753" spans="2:14">
      <c r="B3753" s="174"/>
      <c r="C3753" s="174"/>
      <c r="D3753" s="1936">
        <v>2211306</v>
      </c>
      <c r="E3753" s="1937" t="s">
        <v>58</v>
      </c>
      <c r="F3753" s="1935">
        <v>0</v>
      </c>
      <c r="H3753" s="174"/>
      <c r="I3753" s="174"/>
      <c r="J3753" s="1938">
        <v>2211306</v>
      </c>
      <c r="K3753" s="179" t="s">
        <v>58</v>
      </c>
      <c r="L3753" s="1935">
        <v>0</v>
      </c>
      <c r="N3753" s="1935">
        <f t="shared" si="58"/>
        <v>0</v>
      </c>
    </row>
    <row r="3754" spans="2:14">
      <c r="B3754" s="174"/>
      <c r="C3754" s="174"/>
      <c r="D3754" s="1936">
        <v>2211308</v>
      </c>
      <c r="E3754" s="1937" t="s">
        <v>1291</v>
      </c>
      <c r="F3754" s="1935">
        <v>0</v>
      </c>
      <c r="H3754" s="174"/>
      <c r="I3754" s="174"/>
      <c r="J3754" s="1938">
        <v>2211308</v>
      </c>
      <c r="K3754" s="179" t="s">
        <v>1291</v>
      </c>
      <c r="L3754" s="1935">
        <v>0</v>
      </c>
      <c r="N3754" s="1935">
        <f t="shared" si="58"/>
        <v>0</v>
      </c>
    </row>
    <row r="3755" spans="2:14">
      <c r="B3755" s="174"/>
      <c r="C3755" s="174"/>
      <c r="D3755" s="1936">
        <v>2211310</v>
      </c>
      <c r="E3755" s="1937" t="s">
        <v>669</v>
      </c>
      <c r="F3755" s="1935">
        <v>0</v>
      </c>
      <c r="H3755" s="174"/>
      <c r="I3755" s="174"/>
      <c r="J3755" s="1938">
        <v>2211310</v>
      </c>
      <c r="K3755" s="179" t="s">
        <v>669</v>
      </c>
      <c r="L3755" s="1935">
        <v>0</v>
      </c>
      <c r="N3755" s="1935">
        <f t="shared" si="58"/>
        <v>0</v>
      </c>
    </row>
    <row r="3756" spans="2:14">
      <c r="B3756" s="174"/>
      <c r="C3756" s="174"/>
      <c r="D3756" s="1936">
        <v>2211313</v>
      </c>
      <c r="E3756" s="1937" t="s">
        <v>214</v>
      </c>
      <c r="F3756" s="1935">
        <v>0</v>
      </c>
      <c r="H3756" s="174"/>
      <c r="I3756" s="174"/>
      <c r="J3756" s="1938">
        <v>2211313</v>
      </c>
      <c r="K3756" s="179" t="s">
        <v>214</v>
      </c>
      <c r="L3756" s="1935">
        <v>0</v>
      </c>
      <c r="N3756" s="1935">
        <f t="shared" si="58"/>
        <v>0</v>
      </c>
    </row>
    <row r="3757" spans="2:14">
      <c r="B3757" s="174"/>
      <c r="C3757" s="174"/>
      <c r="D3757" s="1936">
        <v>2211325</v>
      </c>
      <c r="E3757" s="1937" t="s">
        <v>1292</v>
      </c>
      <c r="F3757" s="1935"/>
      <c r="H3757" s="174"/>
      <c r="I3757" s="174"/>
      <c r="J3757" s="1938">
        <v>2211325</v>
      </c>
      <c r="K3757" s="179" t="s">
        <v>1292</v>
      </c>
      <c r="L3757" s="1935"/>
      <c r="N3757" s="1935">
        <f t="shared" si="58"/>
        <v>0</v>
      </c>
    </row>
    <row r="3758" spans="2:14">
      <c r="B3758" s="161"/>
      <c r="C3758" s="161"/>
      <c r="D3758" s="1936">
        <v>2211399</v>
      </c>
      <c r="E3758" s="1937" t="s">
        <v>1293</v>
      </c>
      <c r="F3758" s="161"/>
      <c r="H3758" s="161"/>
      <c r="I3758" s="161"/>
      <c r="J3758" s="1938">
        <v>2211399</v>
      </c>
      <c r="K3758" s="179" t="s">
        <v>1293</v>
      </c>
      <c r="L3758" s="161"/>
      <c r="N3758" s="161">
        <f t="shared" si="58"/>
        <v>0</v>
      </c>
    </row>
    <row r="3759" spans="2:14">
      <c r="B3759" s="1674"/>
      <c r="C3759" s="1674"/>
      <c r="D3759" s="1931">
        <v>2220100</v>
      </c>
      <c r="E3759" s="1932" t="s">
        <v>62</v>
      </c>
      <c r="F3759" s="1933">
        <v>0</v>
      </c>
      <c r="H3759" s="1674"/>
      <c r="I3759" s="1674"/>
      <c r="J3759" s="1931">
        <v>2220100</v>
      </c>
      <c r="K3759" s="1932" t="s">
        <v>62</v>
      </c>
      <c r="L3759" s="1933">
        <v>0</v>
      </c>
      <c r="N3759" s="1933">
        <f t="shared" si="58"/>
        <v>0</v>
      </c>
    </row>
    <row r="3760" spans="2:14">
      <c r="B3760" s="174"/>
      <c r="C3760" s="174"/>
      <c r="D3760" s="1936">
        <v>2220101</v>
      </c>
      <c r="E3760" s="1937" t="s">
        <v>200</v>
      </c>
      <c r="F3760" s="1935">
        <v>0</v>
      </c>
      <c r="H3760" s="174"/>
      <c r="I3760" s="174"/>
      <c r="J3760" s="1938">
        <v>2220101</v>
      </c>
      <c r="K3760" s="179" t="s">
        <v>200</v>
      </c>
      <c r="L3760" s="1935">
        <v>0</v>
      </c>
      <c r="N3760" s="1935">
        <f t="shared" si="58"/>
        <v>0</v>
      </c>
    </row>
    <row r="3761" spans="2:14">
      <c r="B3761" s="1674"/>
      <c r="C3761" s="1674"/>
      <c r="D3761" s="1931">
        <v>2220200</v>
      </c>
      <c r="E3761" s="1932" t="s">
        <v>124</v>
      </c>
      <c r="F3761" s="1933">
        <v>0</v>
      </c>
      <c r="H3761" s="1674"/>
      <c r="I3761" s="1674"/>
      <c r="J3761" s="1931">
        <v>2220200</v>
      </c>
      <c r="K3761" s="1932" t="s">
        <v>124</v>
      </c>
      <c r="L3761" s="1933">
        <v>0</v>
      </c>
      <c r="N3761" s="1933">
        <f t="shared" si="58"/>
        <v>0</v>
      </c>
    </row>
    <row r="3762" spans="2:14">
      <c r="B3762" s="174"/>
      <c r="C3762" s="174"/>
      <c r="D3762" s="1936">
        <v>2220201</v>
      </c>
      <c r="E3762" s="1937" t="s">
        <v>259</v>
      </c>
      <c r="F3762" s="1935">
        <v>0</v>
      </c>
      <c r="H3762" s="174"/>
      <c r="I3762" s="174"/>
      <c r="J3762" s="1938">
        <v>2220201</v>
      </c>
      <c r="K3762" s="179" t="s">
        <v>259</v>
      </c>
      <c r="L3762" s="1935">
        <v>0</v>
      </c>
      <c r="N3762" s="1935">
        <f t="shared" si="58"/>
        <v>0</v>
      </c>
    </row>
    <row r="3763" spans="2:14">
      <c r="B3763" s="174"/>
      <c r="C3763" s="174"/>
      <c r="D3763" s="1936">
        <v>2220202</v>
      </c>
      <c r="E3763" s="1937" t="s">
        <v>87</v>
      </c>
      <c r="F3763" s="1935">
        <v>0</v>
      </c>
      <c r="H3763" s="174"/>
      <c r="I3763" s="174"/>
      <c r="J3763" s="1938">
        <v>2220202</v>
      </c>
      <c r="K3763" s="179" t="s">
        <v>87</v>
      </c>
      <c r="L3763" s="1935">
        <v>0</v>
      </c>
      <c r="N3763" s="1935">
        <f t="shared" si="58"/>
        <v>0</v>
      </c>
    </row>
    <row r="3764" spans="2:14">
      <c r="B3764" s="161"/>
      <c r="C3764" s="161"/>
      <c r="D3764" s="1944">
        <v>2220205</v>
      </c>
      <c r="E3764" s="1945" t="s">
        <v>125</v>
      </c>
      <c r="F3764" s="1935">
        <v>0</v>
      </c>
      <c r="H3764" s="161"/>
      <c r="I3764" s="161"/>
      <c r="J3764" s="1944">
        <v>2220205</v>
      </c>
      <c r="K3764" s="1945" t="s">
        <v>125</v>
      </c>
      <c r="L3764" s="1935">
        <v>0</v>
      </c>
      <c r="N3764" s="1935">
        <f t="shared" si="58"/>
        <v>0</v>
      </c>
    </row>
    <row r="3765" spans="2:14">
      <c r="B3765" s="1674"/>
      <c r="C3765" s="1674"/>
      <c r="D3765" s="1931">
        <v>2710100</v>
      </c>
      <c r="E3765" s="1932" t="s">
        <v>1294</v>
      </c>
      <c r="F3765" s="1758">
        <v>0</v>
      </c>
      <c r="H3765" s="1674"/>
      <c r="I3765" s="1674"/>
      <c r="J3765" s="1931">
        <v>2710100</v>
      </c>
      <c r="K3765" s="1932" t="s">
        <v>1294</v>
      </c>
      <c r="L3765" s="1758">
        <v>0</v>
      </c>
      <c r="N3765" s="1758">
        <f t="shared" si="58"/>
        <v>0</v>
      </c>
    </row>
    <row r="3766" spans="2:14">
      <c r="B3766" s="161"/>
      <c r="C3766" s="161"/>
      <c r="D3766" s="1946">
        <v>2710102</v>
      </c>
      <c r="E3766" s="1947" t="s">
        <v>1295</v>
      </c>
      <c r="F3766" s="1948">
        <v>0</v>
      </c>
      <c r="H3766" s="161"/>
      <c r="I3766" s="161"/>
      <c r="J3766" s="1946">
        <v>2710102</v>
      </c>
      <c r="K3766" s="1947" t="s">
        <v>1295</v>
      </c>
      <c r="L3766" s="1935">
        <v>0</v>
      </c>
      <c r="N3766" s="1935">
        <f t="shared" si="58"/>
        <v>0</v>
      </c>
    </row>
    <row r="3767" spans="2:14">
      <c r="B3767" s="161"/>
      <c r="C3767" s="161"/>
      <c r="D3767" s="1946">
        <v>2710103</v>
      </c>
      <c r="E3767" s="1947" t="s">
        <v>1296</v>
      </c>
      <c r="F3767" s="1948"/>
      <c r="H3767" s="161"/>
      <c r="I3767" s="161"/>
      <c r="J3767" s="1946">
        <v>2710103</v>
      </c>
      <c r="K3767" s="1947" t="s">
        <v>1296</v>
      </c>
      <c r="L3767" s="1935"/>
      <c r="N3767" s="1935">
        <f t="shared" si="58"/>
        <v>0</v>
      </c>
    </row>
    <row r="3768" spans="2:14">
      <c r="B3768" s="1674"/>
      <c r="C3768" s="1674"/>
      <c r="D3768" s="1931">
        <v>3111000</v>
      </c>
      <c r="E3768" s="1932" t="s">
        <v>69</v>
      </c>
      <c r="F3768" s="1933">
        <v>0</v>
      </c>
      <c r="H3768" s="1674"/>
      <c r="I3768" s="1674"/>
      <c r="J3768" s="1931">
        <v>3111000</v>
      </c>
      <c r="K3768" s="1932" t="s">
        <v>69</v>
      </c>
      <c r="L3768" s="1933">
        <v>0</v>
      </c>
      <c r="N3768" s="1933">
        <f t="shared" si="58"/>
        <v>0</v>
      </c>
    </row>
    <row r="3769" spans="2:14">
      <c r="B3769" s="174"/>
      <c r="C3769" s="174"/>
      <c r="D3769" s="1936">
        <v>3111001</v>
      </c>
      <c r="E3769" s="1937" t="s">
        <v>70</v>
      </c>
      <c r="F3769" s="1935">
        <v>0</v>
      </c>
      <c r="H3769" s="174"/>
      <c r="I3769" s="174"/>
      <c r="J3769" s="1938">
        <v>3111001</v>
      </c>
      <c r="K3769" s="179" t="s">
        <v>70</v>
      </c>
      <c r="L3769" s="1935">
        <v>0</v>
      </c>
      <c r="N3769" s="1935">
        <f t="shared" si="58"/>
        <v>0</v>
      </c>
    </row>
    <row r="3770" spans="2:14">
      <c r="B3770" s="174"/>
      <c r="C3770" s="174"/>
      <c r="D3770" s="1936">
        <v>3111002</v>
      </c>
      <c r="E3770" s="1937" t="s">
        <v>71</v>
      </c>
      <c r="F3770" s="1935">
        <v>0</v>
      </c>
      <c r="H3770" s="174"/>
      <c r="I3770" s="174"/>
      <c r="J3770" s="1938">
        <v>3111002</v>
      </c>
      <c r="K3770" s="179" t="s">
        <v>71</v>
      </c>
      <c r="L3770" s="1935">
        <v>0</v>
      </c>
      <c r="N3770" s="1935">
        <f t="shared" si="58"/>
        <v>0</v>
      </c>
    </row>
    <row r="3771" spans="2:14">
      <c r="B3771" s="174"/>
      <c r="C3771" s="174"/>
      <c r="D3771" s="1936">
        <v>3111009</v>
      </c>
      <c r="E3771" s="1937" t="s">
        <v>253</v>
      </c>
      <c r="F3771" s="1935">
        <v>0</v>
      </c>
      <c r="H3771" s="174"/>
      <c r="I3771" s="174"/>
      <c r="J3771" s="1938">
        <v>3111009</v>
      </c>
      <c r="K3771" s="179" t="s">
        <v>253</v>
      </c>
      <c r="L3771" s="1935">
        <v>0</v>
      </c>
      <c r="N3771" s="1935">
        <f t="shared" si="58"/>
        <v>0</v>
      </c>
    </row>
    <row r="3772" spans="2:14">
      <c r="B3772" s="1674"/>
      <c r="C3772" s="1674"/>
      <c r="D3772" s="1931">
        <v>3111100</v>
      </c>
      <c r="E3772" s="1932" t="s">
        <v>73</v>
      </c>
      <c r="F3772" s="1933">
        <v>0</v>
      </c>
      <c r="H3772" s="1674"/>
      <c r="I3772" s="1674"/>
      <c r="J3772" s="1931">
        <v>3111100</v>
      </c>
      <c r="K3772" s="1932" t="s">
        <v>73</v>
      </c>
      <c r="L3772" s="1933">
        <v>0</v>
      </c>
      <c r="N3772" s="1933">
        <f t="shared" si="58"/>
        <v>0</v>
      </c>
    </row>
    <row r="3773" spans="2:14">
      <c r="B3773" s="174"/>
      <c r="C3773" s="174"/>
      <c r="D3773" s="1936">
        <v>3111106</v>
      </c>
      <c r="E3773" s="1937" t="s">
        <v>1297</v>
      </c>
      <c r="F3773" s="1935">
        <v>0</v>
      </c>
      <c r="H3773" s="174"/>
      <c r="I3773" s="174"/>
      <c r="J3773" s="1938">
        <v>3111106</v>
      </c>
      <c r="K3773" s="179" t="s">
        <v>1297</v>
      </c>
      <c r="L3773" s="1935">
        <v>0</v>
      </c>
      <c r="N3773" s="1935">
        <f t="shared" si="58"/>
        <v>0</v>
      </c>
    </row>
    <row r="3774" spans="2:14">
      <c r="B3774" s="174"/>
      <c r="C3774" s="174"/>
      <c r="D3774" s="1936">
        <v>3111110</v>
      </c>
      <c r="E3774" s="1937" t="s">
        <v>1298</v>
      </c>
      <c r="F3774" s="1935">
        <v>0</v>
      </c>
      <c r="H3774" s="174"/>
      <c r="I3774" s="174"/>
      <c r="J3774" s="1938">
        <v>3111110</v>
      </c>
      <c r="K3774" s="179" t="s">
        <v>1298</v>
      </c>
      <c r="L3774" s="1935">
        <v>0</v>
      </c>
      <c r="N3774" s="1935">
        <f t="shared" si="58"/>
        <v>0</v>
      </c>
    </row>
    <row r="3775" spans="2:14">
      <c r="B3775" s="174"/>
      <c r="C3775" s="174"/>
      <c r="D3775" s="1936">
        <v>3111111</v>
      </c>
      <c r="E3775" s="1937" t="s">
        <v>1299</v>
      </c>
      <c r="F3775" s="1935"/>
      <c r="H3775" s="174"/>
      <c r="I3775" s="174"/>
      <c r="J3775" s="1938">
        <v>3111111</v>
      </c>
      <c r="K3775" s="179" t="s">
        <v>1299</v>
      </c>
      <c r="L3775" s="1935"/>
      <c r="N3775" s="1935">
        <f t="shared" si="58"/>
        <v>0</v>
      </c>
    </row>
    <row r="3776" spans="2:14">
      <c r="B3776" s="1949"/>
      <c r="C3776" s="1949"/>
      <c r="D3776" s="1931">
        <v>7320400</v>
      </c>
      <c r="E3776" s="1932" t="s">
        <v>1300</v>
      </c>
      <c r="F3776" s="1933">
        <v>0</v>
      </c>
      <c r="H3776" s="1949"/>
      <c r="I3776" s="1949"/>
      <c r="J3776" s="1931">
        <v>7320400</v>
      </c>
      <c r="K3776" s="1932" t="s">
        <v>1300</v>
      </c>
      <c r="L3776" s="1933">
        <v>0</v>
      </c>
      <c r="N3776" s="1933">
        <f t="shared" si="58"/>
        <v>0</v>
      </c>
    </row>
    <row r="3777" spans="2:14">
      <c r="B3777" s="161"/>
      <c r="C3777" s="161"/>
      <c r="D3777" s="1936">
        <v>7320401</v>
      </c>
      <c r="E3777" s="1937" t="s">
        <v>1301</v>
      </c>
      <c r="F3777" s="1935">
        <v>0</v>
      </c>
      <c r="H3777" s="161"/>
      <c r="I3777" s="161"/>
      <c r="J3777" s="1938">
        <v>7320401</v>
      </c>
      <c r="K3777" s="179" t="s">
        <v>1301</v>
      </c>
      <c r="L3777" s="1935">
        <v>0</v>
      </c>
      <c r="N3777" s="1935">
        <f t="shared" si="58"/>
        <v>0</v>
      </c>
    </row>
    <row r="3778" spans="2:14">
      <c r="B3778" s="174"/>
      <c r="C3778" s="174"/>
      <c r="D3778" s="1928" t="s">
        <v>1309</v>
      </c>
      <c r="E3778" s="1950"/>
      <c r="F3778" s="1773">
        <v>0</v>
      </c>
      <c r="H3778" s="174"/>
      <c r="I3778" s="174"/>
      <c r="J3778" s="1931" t="s">
        <v>1309</v>
      </c>
      <c r="K3778" s="1950"/>
      <c r="L3778" s="1773">
        <v>0</v>
      </c>
      <c r="N3778" s="1773">
        <f t="shared" si="58"/>
        <v>0</v>
      </c>
    </row>
    <row r="3779" spans="2:14">
      <c r="B3779" s="174"/>
      <c r="C3779" s="174"/>
      <c r="D3779" s="1944"/>
      <c r="E3779" s="1950"/>
      <c r="F3779" s="1773"/>
      <c r="H3779" s="174"/>
      <c r="I3779" s="174"/>
      <c r="J3779" s="1944"/>
      <c r="K3779" s="1950"/>
      <c r="L3779" s="1773"/>
      <c r="N3779" s="1773">
        <f t="shared" si="58"/>
        <v>0</v>
      </c>
    </row>
    <row r="3780" spans="2:14">
      <c r="B3780" s="174"/>
      <c r="C3780" s="174"/>
      <c r="D3780" s="1944"/>
      <c r="E3780" s="1945"/>
      <c r="F3780" s="161"/>
      <c r="H3780" s="174"/>
      <c r="I3780" s="174"/>
      <c r="J3780" s="1944"/>
      <c r="K3780" s="1945"/>
      <c r="L3780" s="161"/>
      <c r="N3780" s="161">
        <f t="shared" si="58"/>
        <v>0</v>
      </c>
    </row>
    <row r="3781" spans="2:14">
      <c r="B3781" s="174"/>
      <c r="C3781" s="174"/>
      <c r="D3781" s="1928"/>
      <c r="E3781" s="1929" t="s">
        <v>1302</v>
      </c>
      <c r="F3781" s="1930"/>
      <c r="H3781" s="174"/>
      <c r="I3781" s="174"/>
      <c r="J3781" s="1931"/>
      <c r="K3781" s="1929" t="s">
        <v>1302</v>
      </c>
      <c r="L3781" s="1930"/>
      <c r="N3781" s="1930">
        <f t="shared" si="58"/>
        <v>0</v>
      </c>
    </row>
    <row r="3782" spans="2:14">
      <c r="B3782" s="174"/>
      <c r="C3782" s="174"/>
      <c r="D3782" s="1931">
        <v>2110100</v>
      </c>
      <c r="E3782" s="1932" t="s">
        <v>13</v>
      </c>
      <c r="F3782" s="1933">
        <v>0</v>
      </c>
      <c r="H3782" s="174"/>
      <c r="I3782" s="174"/>
      <c r="J3782" s="1931">
        <v>2110100</v>
      </c>
      <c r="K3782" s="1932" t="s">
        <v>13</v>
      </c>
      <c r="L3782" s="1933">
        <v>0</v>
      </c>
      <c r="N3782" s="1933">
        <f t="shared" si="58"/>
        <v>0</v>
      </c>
    </row>
    <row r="3783" spans="2:14">
      <c r="B3783" s="174"/>
      <c r="C3783" s="174"/>
      <c r="D3783" s="1934">
        <v>2110101</v>
      </c>
      <c r="E3783" s="176" t="s">
        <v>1283</v>
      </c>
      <c r="F3783" s="1935"/>
      <c r="H3783" s="174"/>
      <c r="I3783" s="174"/>
      <c r="J3783" s="1934">
        <v>2110101</v>
      </c>
      <c r="K3783" s="176" t="s">
        <v>1283</v>
      </c>
      <c r="L3783" s="1935"/>
      <c r="N3783" s="1935">
        <f t="shared" si="58"/>
        <v>0</v>
      </c>
    </row>
    <row r="3784" spans="2:14">
      <c r="B3784" s="174"/>
      <c r="C3784" s="174"/>
      <c r="D3784" s="1936">
        <v>2110116</v>
      </c>
      <c r="E3784" s="1937" t="s">
        <v>1284</v>
      </c>
      <c r="F3784" s="161">
        <v>0</v>
      </c>
      <c r="H3784" s="174"/>
      <c r="I3784" s="174"/>
      <c r="J3784" s="1938">
        <v>2110116</v>
      </c>
      <c r="K3784" s="179" t="s">
        <v>1284</v>
      </c>
      <c r="L3784" s="161">
        <v>0</v>
      </c>
      <c r="N3784" s="161">
        <f t="shared" ref="N3784:N3847" si="59">F3784-L3784</f>
        <v>0</v>
      </c>
    </row>
    <row r="3785" spans="2:14">
      <c r="B3785" s="174"/>
      <c r="C3785" s="174"/>
      <c r="D3785" s="1931">
        <v>2110300</v>
      </c>
      <c r="E3785" s="1932" t="s">
        <v>1303</v>
      </c>
      <c r="F3785" s="1933">
        <v>0</v>
      </c>
      <c r="H3785" s="174"/>
      <c r="I3785" s="174"/>
      <c r="J3785" s="1931">
        <v>2110300</v>
      </c>
      <c r="K3785" s="1932" t="s">
        <v>1303</v>
      </c>
      <c r="L3785" s="1933">
        <v>0</v>
      </c>
      <c r="N3785" s="1933">
        <f t="shared" si="59"/>
        <v>0</v>
      </c>
    </row>
    <row r="3786" spans="2:14">
      <c r="B3786" s="174"/>
      <c r="C3786" s="174"/>
      <c r="D3786" s="1936">
        <v>2110310</v>
      </c>
      <c r="E3786" s="1937" t="s">
        <v>1304</v>
      </c>
      <c r="F3786" s="1948">
        <v>0</v>
      </c>
      <c r="H3786" s="174"/>
      <c r="I3786" s="174"/>
      <c r="J3786" s="1938">
        <v>2110310</v>
      </c>
      <c r="K3786" s="179" t="s">
        <v>1304</v>
      </c>
      <c r="L3786" s="1935">
        <v>0</v>
      </c>
      <c r="N3786" s="1935">
        <f t="shared" si="59"/>
        <v>0</v>
      </c>
    </row>
    <row r="3787" spans="2:14">
      <c r="B3787" s="174"/>
      <c r="C3787" s="174"/>
      <c r="D3787" s="1936">
        <v>2110314</v>
      </c>
      <c r="E3787" s="1937" t="s">
        <v>183</v>
      </c>
      <c r="F3787" s="1948">
        <v>0</v>
      </c>
      <c r="H3787" s="174"/>
      <c r="I3787" s="174"/>
      <c r="J3787" s="1938">
        <v>2110314</v>
      </c>
      <c r="K3787" s="179" t="s">
        <v>183</v>
      </c>
      <c r="L3787" s="1935">
        <v>0</v>
      </c>
      <c r="N3787" s="1935">
        <f t="shared" si="59"/>
        <v>0</v>
      </c>
    </row>
    <row r="3788" spans="2:14">
      <c r="B3788" s="174"/>
      <c r="C3788" s="174"/>
      <c r="D3788" s="1936">
        <v>2110317</v>
      </c>
      <c r="E3788" s="1937" t="s">
        <v>1305</v>
      </c>
      <c r="F3788" s="161">
        <v>0</v>
      </c>
      <c r="H3788" s="174"/>
      <c r="I3788" s="174"/>
      <c r="J3788" s="1938">
        <v>2110317</v>
      </c>
      <c r="K3788" s="179" t="s">
        <v>1305</v>
      </c>
      <c r="L3788" s="161">
        <v>0</v>
      </c>
      <c r="N3788" s="161">
        <f t="shared" si="59"/>
        <v>0</v>
      </c>
    </row>
    <row r="3789" spans="2:14">
      <c r="B3789" s="174"/>
      <c r="C3789" s="174"/>
      <c r="D3789" s="1936">
        <v>2110328</v>
      </c>
      <c r="E3789" s="1937" t="s">
        <v>1306</v>
      </c>
      <c r="F3789" s="1935">
        <v>0</v>
      </c>
      <c r="H3789" s="174"/>
      <c r="I3789" s="174"/>
      <c r="J3789" s="1938">
        <v>2110328</v>
      </c>
      <c r="K3789" s="179" t="s">
        <v>1306</v>
      </c>
      <c r="L3789" s="1935">
        <v>0</v>
      </c>
      <c r="N3789" s="1935">
        <f t="shared" si="59"/>
        <v>0</v>
      </c>
    </row>
    <row r="3790" spans="2:14">
      <c r="B3790" s="174"/>
      <c r="C3790" s="174"/>
      <c r="D3790" s="1936">
        <v>2110329</v>
      </c>
      <c r="E3790" s="1937" t="s">
        <v>1307</v>
      </c>
      <c r="F3790" s="1935">
        <v>0</v>
      </c>
      <c r="H3790" s="174"/>
      <c r="I3790" s="174"/>
      <c r="J3790" s="1938">
        <v>2110329</v>
      </c>
      <c r="K3790" s="179" t="s">
        <v>1307</v>
      </c>
      <c r="L3790" s="1935">
        <v>0</v>
      </c>
      <c r="N3790" s="1935">
        <f t="shared" si="59"/>
        <v>0</v>
      </c>
    </row>
    <row r="3791" spans="2:14">
      <c r="B3791" s="174"/>
      <c r="C3791" s="174"/>
      <c r="D3791" s="1931">
        <v>2210200</v>
      </c>
      <c r="E3791" s="1932" t="s">
        <v>20</v>
      </c>
      <c r="F3791" s="1933">
        <v>0</v>
      </c>
      <c r="H3791" s="174"/>
      <c r="I3791" s="174"/>
      <c r="J3791" s="1931">
        <v>2210200</v>
      </c>
      <c r="K3791" s="1932" t="s">
        <v>20</v>
      </c>
      <c r="L3791" s="1933">
        <v>0</v>
      </c>
      <c r="N3791" s="1933">
        <f t="shared" si="59"/>
        <v>0</v>
      </c>
    </row>
    <row r="3792" spans="2:14">
      <c r="B3792" s="174"/>
      <c r="C3792" s="174"/>
      <c r="D3792" s="1936">
        <v>2210201</v>
      </c>
      <c r="E3792" s="1937" t="s">
        <v>187</v>
      </c>
      <c r="F3792" s="1935">
        <v>0</v>
      </c>
      <c r="H3792" s="174"/>
      <c r="I3792" s="174"/>
      <c r="J3792" s="1938">
        <v>2210201</v>
      </c>
      <c r="K3792" s="179" t="s">
        <v>187</v>
      </c>
      <c r="L3792" s="1935">
        <v>0</v>
      </c>
      <c r="N3792" s="1935">
        <f t="shared" si="59"/>
        <v>0</v>
      </c>
    </row>
    <row r="3793" spans="2:14">
      <c r="B3793" s="174"/>
      <c r="C3793" s="174"/>
      <c r="D3793" s="1936">
        <v>2210203</v>
      </c>
      <c r="E3793" s="1937" t="s">
        <v>23</v>
      </c>
      <c r="F3793" s="1935"/>
      <c r="H3793" s="174"/>
      <c r="I3793" s="174"/>
      <c r="J3793" s="1938">
        <v>2210203</v>
      </c>
      <c r="K3793" s="179" t="s">
        <v>23</v>
      </c>
      <c r="L3793" s="1935"/>
      <c r="N3793" s="1935">
        <f t="shared" si="59"/>
        <v>0</v>
      </c>
    </row>
    <row r="3794" spans="2:14">
      <c r="B3794" s="174"/>
      <c r="C3794" s="174"/>
      <c r="D3794" s="1931">
        <v>2210300</v>
      </c>
      <c r="E3794" s="1932" t="s">
        <v>24</v>
      </c>
      <c r="F3794" s="1933">
        <v>0</v>
      </c>
      <c r="H3794" s="174"/>
      <c r="I3794" s="174"/>
      <c r="J3794" s="1931">
        <v>2210300</v>
      </c>
      <c r="K3794" s="1932" t="s">
        <v>24</v>
      </c>
      <c r="L3794" s="1933">
        <v>0</v>
      </c>
      <c r="N3794" s="1933">
        <f t="shared" si="59"/>
        <v>0</v>
      </c>
    </row>
    <row r="3795" spans="2:14">
      <c r="B3795" s="174"/>
      <c r="C3795" s="174"/>
      <c r="D3795" s="1936">
        <v>2210301</v>
      </c>
      <c r="E3795" s="1937" t="s">
        <v>188</v>
      </c>
      <c r="F3795" s="161">
        <v>0</v>
      </c>
      <c r="H3795" s="174"/>
      <c r="I3795" s="174"/>
      <c r="J3795" s="1938">
        <v>2210301</v>
      </c>
      <c r="K3795" s="179" t="s">
        <v>188</v>
      </c>
      <c r="L3795" s="161">
        <v>0</v>
      </c>
      <c r="N3795" s="161">
        <f t="shared" si="59"/>
        <v>0</v>
      </c>
    </row>
    <row r="3796" spans="2:14">
      <c r="B3796" s="174"/>
      <c r="C3796" s="174"/>
      <c r="D3796" s="1936">
        <v>2210302</v>
      </c>
      <c r="E3796" s="1937" t="s">
        <v>26</v>
      </c>
      <c r="F3796" s="161">
        <v>0</v>
      </c>
      <c r="H3796" s="174"/>
      <c r="I3796" s="174"/>
      <c r="J3796" s="1938">
        <v>2210302</v>
      </c>
      <c r="K3796" s="179" t="s">
        <v>26</v>
      </c>
      <c r="L3796" s="161">
        <v>0</v>
      </c>
      <c r="N3796" s="161">
        <f t="shared" si="59"/>
        <v>0</v>
      </c>
    </row>
    <row r="3797" spans="2:14">
      <c r="B3797" s="174"/>
      <c r="C3797" s="174"/>
      <c r="D3797" s="1936">
        <v>2210303</v>
      </c>
      <c r="E3797" s="1937" t="s">
        <v>223</v>
      </c>
      <c r="F3797" s="1935">
        <v>0</v>
      </c>
      <c r="H3797" s="174"/>
      <c r="I3797" s="174"/>
      <c r="J3797" s="1938">
        <v>2210303</v>
      </c>
      <c r="K3797" s="179" t="s">
        <v>223</v>
      </c>
      <c r="L3797" s="1935">
        <v>0</v>
      </c>
      <c r="N3797" s="1935">
        <f t="shared" si="59"/>
        <v>0</v>
      </c>
    </row>
    <row r="3798" spans="2:14">
      <c r="B3798" s="174"/>
      <c r="C3798" s="174"/>
      <c r="D3798" s="1936">
        <v>2210307</v>
      </c>
      <c r="E3798" s="1941" t="s">
        <v>483</v>
      </c>
      <c r="F3798" s="1935">
        <v>0</v>
      </c>
      <c r="H3798" s="174"/>
      <c r="I3798" s="174"/>
      <c r="J3798" s="1938">
        <v>2210307</v>
      </c>
      <c r="K3798" s="1941" t="s">
        <v>483</v>
      </c>
      <c r="L3798" s="1935">
        <v>0</v>
      </c>
      <c r="N3798" s="1935">
        <f t="shared" si="59"/>
        <v>0</v>
      </c>
    </row>
    <row r="3799" spans="2:14">
      <c r="B3799" s="174"/>
      <c r="C3799" s="174"/>
      <c r="D3799" s="1931">
        <v>2210400</v>
      </c>
      <c r="E3799" s="1932" t="s">
        <v>189</v>
      </c>
      <c r="F3799" s="1933">
        <v>0</v>
      </c>
      <c r="H3799" s="174"/>
      <c r="I3799" s="174"/>
      <c r="J3799" s="1931">
        <v>2210400</v>
      </c>
      <c r="K3799" s="1932" t="s">
        <v>189</v>
      </c>
      <c r="L3799" s="1933">
        <v>0</v>
      </c>
      <c r="N3799" s="1933">
        <f t="shared" si="59"/>
        <v>0</v>
      </c>
    </row>
    <row r="3800" spans="2:14">
      <c r="B3800" s="174"/>
      <c r="C3800" s="174"/>
      <c r="D3800" s="1936">
        <v>2210401</v>
      </c>
      <c r="E3800" s="1937" t="s">
        <v>190</v>
      </c>
      <c r="F3800" s="1935">
        <v>0</v>
      </c>
      <c r="H3800" s="174"/>
      <c r="I3800" s="174"/>
      <c r="J3800" s="1938">
        <v>2210401</v>
      </c>
      <c r="K3800" s="179" t="s">
        <v>190</v>
      </c>
      <c r="L3800" s="1935">
        <v>0</v>
      </c>
      <c r="N3800" s="1935">
        <f t="shared" si="59"/>
        <v>0</v>
      </c>
    </row>
    <row r="3801" spans="2:14">
      <c r="B3801" s="174"/>
      <c r="C3801" s="174"/>
      <c r="D3801" s="1936">
        <v>2210402</v>
      </c>
      <c r="E3801" s="1937" t="s">
        <v>191</v>
      </c>
      <c r="F3801" s="1935">
        <v>0</v>
      </c>
      <c r="H3801" s="174"/>
      <c r="I3801" s="174"/>
      <c r="J3801" s="1938">
        <v>2210402</v>
      </c>
      <c r="K3801" s="179" t="s">
        <v>191</v>
      </c>
      <c r="L3801" s="1935">
        <v>0</v>
      </c>
      <c r="N3801" s="1935">
        <f t="shared" si="59"/>
        <v>0</v>
      </c>
    </row>
    <row r="3802" spans="2:14">
      <c r="B3802" s="174"/>
      <c r="C3802" s="174"/>
      <c r="D3802" s="1936">
        <v>2210404</v>
      </c>
      <c r="E3802" s="1937" t="s">
        <v>28</v>
      </c>
      <c r="F3802" s="1935">
        <v>0</v>
      </c>
      <c r="H3802" s="174"/>
      <c r="I3802" s="174"/>
      <c r="J3802" s="1938">
        <v>2210404</v>
      </c>
      <c r="K3802" s="179" t="s">
        <v>28</v>
      </c>
      <c r="L3802" s="1935">
        <v>0</v>
      </c>
      <c r="N3802" s="1935">
        <f t="shared" si="59"/>
        <v>0</v>
      </c>
    </row>
    <row r="3803" spans="2:14">
      <c r="B3803" s="174"/>
      <c r="C3803" s="174"/>
      <c r="D3803" s="1931">
        <v>2210500</v>
      </c>
      <c r="E3803" s="1932" t="s">
        <v>31</v>
      </c>
      <c r="F3803" s="1933">
        <v>0</v>
      </c>
      <c r="H3803" s="174"/>
      <c r="I3803" s="174"/>
      <c r="J3803" s="1931">
        <v>2210500</v>
      </c>
      <c r="K3803" s="1932" t="s">
        <v>31</v>
      </c>
      <c r="L3803" s="1933">
        <v>0</v>
      </c>
      <c r="N3803" s="1933">
        <f t="shared" si="59"/>
        <v>0</v>
      </c>
    </row>
    <row r="3804" spans="2:14">
      <c r="B3804" s="174"/>
      <c r="C3804" s="174"/>
      <c r="D3804" s="1936">
        <v>2210502</v>
      </c>
      <c r="E3804" s="1937" t="s">
        <v>105</v>
      </c>
      <c r="F3804" s="1935"/>
      <c r="H3804" s="174"/>
      <c r="I3804" s="174"/>
      <c r="J3804" s="1938">
        <v>2210502</v>
      </c>
      <c r="K3804" s="179" t="s">
        <v>105</v>
      </c>
      <c r="L3804" s="1935"/>
      <c r="N3804" s="1935">
        <f t="shared" si="59"/>
        <v>0</v>
      </c>
    </row>
    <row r="3805" spans="2:14">
      <c r="B3805" s="174"/>
      <c r="C3805" s="174"/>
      <c r="D3805" s="1936">
        <v>2210503</v>
      </c>
      <c r="E3805" s="1937" t="s">
        <v>32</v>
      </c>
      <c r="F3805" s="1935"/>
      <c r="H3805" s="174"/>
      <c r="I3805" s="174"/>
      <c r="J3805" s="1938">
        <v>2210503</v>
      </c>
      <c r="K3805" s="179" t="s">
        <v>32</v>
      </c>
      <c r="L3805" s="1935"/>
      <c r="N3805" s="1935">
        <f t="shared" si="59"/>
        <v>0</v>
      </c>
    </row>
    <row r="3806" spans="2:14">
      <c r="B3806" s="174"/>
      <c r="C3806" s="174"/>
      <c r="D3806" s="1936">
        <v>2210504</v>
      </c>
      <c r="E3806" s="1937" t="s">
        <v>33</v>
      </c>
      <c r="F3806" s="1935">
        <v>0</v>
      </c>
      <c r="H3806" s="174"/>
      <c r="I3806" s="174"/>
      <c r="J3806" s="1938">
        <v>2210504</v>
      </c>
      <c r="K3806" s="179" t="s">
        <v>33</v>
      </c>
      <c r="L3806" s="1935">
        <v>0</v>
      </c>
      <c r="N3806" s="1935">
        <f t="shared" si="59"/>
        <v>0</v>
      </c>
    </row>
    <row r="3807" spans="2:14">
      <c r="B3807" s="174"/>
      <c r="C3807" s="174"/>
      <c r="D3807" s="1931">
        <v>2210600</v>
      </c>
      <c r="E3807" s="1939" t="s">
        <v>154</v>
      </c>
      <c r="F3807" s="1933">
        <v>0</v>
      </c>
      <c r="H3807" s="174"/>
      <c r="I3807" s="174"/>
      <c r="J3807" s="1931">
        <v>2210600</v>
      </c>
      <c r="K3807" s="1939" t="s">
        <v>154</v>
      </c>
      <c r="L3807" s="1933">
        <v>0</v>
      </c>
      <c r="N3807" s="1933">
        <f t="shared" si="59"/>
        <v>0</v>
      </c>
    </row>
    <row r="3808" spans="2:14">
      <c r="B3808" s="174"/>
      <c r="C3808" s="174"/>
      <c r="D3808" s="1936">
        <v>2210603</v>
      </c>
      <c r="E3808" s="1951" t="s">
        <v>489</v>
      </c>
      <c r="F3808" s="1935">
        <v>0</v>
      </c>
      <c r="H3808" s="174"/>
      <c r="I3808" s="174"/>
      <c r="J3808" s="1938">
        <v>2210603</v>
      </c>
      <c r="K3808" s="1940" t="s">
        <v>489</v>
      </c>
      <c r="L3808" s="1935">
        <v>0</v>
      </c>
      <c r="N3808" s="1935">
        <f t="shared" si="59"/>
        <v>0</v>
      </c>
    </row>
    <row r="3809" spans="2:14">
      <c r="B3809" s="174"/>
      <c r="C3809" s="174"/>
      <c r="D3809" s="1936">
        <v>2210604</v>
      </c>
      <c r="E3809" s="1941" t="s">
        <v>193</v>
      </c>
      <c r="F3809" s="1935">
        <v>0</v>
      </c>
      <c r="H3809" s="174"/>
      <c r="I3809" s="174"/>
      <c r="J3809" s="1938">
        <v>2210604</v>
      </c>
      <c r="K3809" s="1941" t="s">
        <v>193</v>
      </c>
      <c r="L3809" s="1935">
        <v>0</v>
      </c>
      <c r="N3809" s="1935">
        <f t="shared" si="59"/>
        <v>0</v>
      </c>
    </row>
    <row r="3810" spans="2:14">
      <c r="B3810" s="174"/>
      <c r="C3810" s="174"/>
      <c r="D3810" s="1931">
        <v>2210700</v>
      </c>
      <c r="E3810" s="1932" t="s">
        <v>35</v>
      </c>
      <c r="F3810" s="1933">
        <v>0</v>
      </c>
      <c r="H3810" s="174"/>
      <c r="I3810" s="174"/>
      <c r="J3810" s="1931">
        <v>2210700</v>
      </c>
      <c r="K3810" s="1932" t="s">
        <v>35</v>
      </c>
      <c r="L3810" s="1933">
        <v>0</v>
      </c>
      <c r="N3810" s="1933">
        <f t="shared" si="59"/>
        <v>0</v>
      </c>
    </row>
    <row r="3811" spans="2:14">
      <c r="B3811" s="174"/>
      <c r="C3811" s="174"/>
      <c r="D3811" s="1936">
        <v>2210701</v>
      </c>
      <c r="E3811" s="1937" t="s">
        <v>36</v>
      </c>
      <c r="F3811" s="161">
        <v>0</v>
      </c>
      <c r="H3811" s="174"/>
      <c r="I3811" s="174"/>
      <c r="J3811" s="1938">
        <v>2210701</v>
      </c>
      <c r="K3811" s="179" t="s">
        <v>36</v>
      </c>
      <c r="L3811" s="161">
        <v>0</v>
      </c>
      <c r="N3811" s="161">
        <f t="shared" si="59"/>
        <v>0</v>
      </c>
    </row>
    <row r="3812" spans="2:14">
      <c r="B3812" s="174"/>
      <c r="C3812" s="174"/>
      <c r="D3812" s="1936">
        <v>2210704</v>
      </c>
      <c r="E3812" s="1937" t="s">
        <v>38</v>
      </c>
      <c r="F3812" s="161">
        <v>0</v>
      </c>
      <c r="H3812" s="174"/>
      <c r="I3812" s="174"/>
      <c r="J3812" s="1938">
        <v>2210704</v>
      </c>
      <c r="K3812" s="179" t="s">
        <v>38</v>
      </c>
      <c r="L3812" s="161">
        <v>0</v>
      </c>
      <c r="N3812" s="161">
        <f t="shared" si="59"/>
        <v>0</v>
      </c>
    </row>
    <row r="3813" spans="2:14">
      <c r="B3813" s="174"/>
      <c r="C3813" s="174"/>
      <c r="D3813" s="1936">
        <v>2210708</v>
      </c>
      <c r="E3813" s="1937" t="s">
        <v>115</v>
      </c>
      <c r="F3813" s="161">
        <v>0</v>
      </c>
      <c r="H3813" s="174"/>
      <c r="I3813" s="174"/>
      <c r="J3813" s="1938">
        <v>2210708</v>
      </c>
      <c r="K3813" s="179" t="s">
        <v>115</v>
      </c>
      <c r="L3813" s="161">
        <v>0</v>
      </c>
      <c r="N3813" s="161">
        <f t="shared" si="59"/>
        <v>0</v>
      </c>
    </row>
    <row r="3814" spans="2:14">
      <c r="B3814" s="174"/>
      <c r="C3814" s="174"/>
      <c r="D3814" s="1936">
        <v>2210710</v>
      </c>
      <c r="E3814" s="1937" t="s">
        <v>39</v>
      </c>
      <c r="F3814" s="161">
        <v>0</v>
      </c>
      <c r="H3814" s="174"/>
      <c r="I3814" s="174"/>
      <c r="J3814" s="1938">
        <v>2210710</v>
      </c>
      <c r="K3814" s="179" t="s">
        <v>39</v>
      </c>
      <c r="L3814" s="161">
        <v>0</v>
      </c>
      <c r="N3814" s="161">
        <f t="shared" si="59"/>
        <v>0</v>
      </c>
    </row>
    <row r="3815" spans="2:14">
      <c r="B3815" s="174"/>
      <c r="C3815" s="174"/>
      <c r="D3815" s="1936">
        <v>2210711</v>
      </c>
      <c r="E3815" s="1937" t="s">
        <v>156</v>
      </c>
      <c r="F3815" s="161">
        <v>0</v>
      </c>
      <c r="H3815" s="174"/>
      <c r="I3815" s="174"/>
      <c r="J3815" s="1938">
        <v>2210711</v>
      </c>
      <c r="K3815" s="179" t="s">
        <v>156</v>
      </c>
      <c r="L3815" s="161">
        <v>0</v>
      </c>
      <c r="N3815" s="161">
        <f t="shared" si="59"/>
        <v>0</v>
      </c>
    </row>
    <row r="3816" spans="2:14">
      <c r="B3816" s="174"/>
      <c r="C3816" s="174"/>
      <c r="D3816" s="1931">
        <v>2210800</v>
      </c>
      <c r="E3816" s="1932" t="s">
        <v>42</v>
      </c>
      <c r="F3816" s="1933">
        <v>0</v>
      </c>
      <c r="H3816" s="174"/>
      <c r="I3816" s="174"/>
      <c r="J3816" s="1931">
        <v>2210800</v>
      </c>
      <c r="K3816" s="1932" t="s">
        <v>42</v>
      </c>
      <c r="L3816" s="1933">
        <v>0</v>
      </c>
      <c r="N3816" s="1933">
        <f t="shared" si="59"/>
        <v>0</v>
      </c>
    </row>
    <row r="3817" spans="2:14">
      <c r="B3817" s="174"/>
      <c r="C3817" s="174"/>
      <c r="D3817" s="1936">
        <v>2210801</v>
      </c>
      <c r="E3817" s="1937" t="s">
        <v>195</v>
      </c>
      <c r="F3817" s="161">
        <v>0</v>
      </c>
      <c r="H3817" s="174"/>
      <c r="I3817" s="174"/>
      <c r="J3817" s="1938">
        <v>2210801</v>
      </c>
      <c r="K3817" s="179" t="s">
        <v>195</v>
      </c>
      <c r="L3817" s="161">
        <v>0</v>
      </c>
      <c r="N3817" s="161">
        <f t="shared" si="59"/>
        <v>0</v>
      </c>
    </row>
    <row r="3818" spans="2:14">
      <c r="B3818" s="174"/>
      <c r="C3818" s="174"/>
      <c r="D3818" s="1936">
        <v>2210802</v>
      </c>
      <c r="E3818" s="1937" t="s">
        <v>1286</v>
      </c>
      <c r="F3818" s="161">
        <v>0</v>
      </c>
      <c r="H3818" s="174"/>
      <c r="I3818" s="174"/>
      <c r="J3818" s="1938">
        <v>2210802</v>
      </c>
      <c r="K3818" s="179" t="s">
        <v>1286</v>
      </c>
      <c r="L3818" s="161">
        <v>0</v>
      </c>
      <c r="N3818" s="161">
        <f t="shared" si="59"/>
        <v>0</v>
      </c>
    </row>
    <row r="3819" spans="2:14">
      <c r="B3819" s="174"/>
      <c r="C3819" s="174"/>
      <c r="D3819" s="1936">
        <v>2210804</v>
      </c>
      <c r="E3819" s="1937" t="s">
        <v>1287</v>
      </c>
      <c r="F3819" s="161">
        <v>0</v>
      </c>
      <c r="H3819" s="174"/>
      <c r="I3819" s="174"/>
      <c r="J3819" s="1938">
        <v>2210804</v>
      </c>
      <c r="K3819" s="179" t="s">
        <v>1287</v>
      </c>
      <c r="L3819" s="161">
        <v>0</v>
      </c>
      <c r="N3819" s="161">
        <f t="shared" si="59"/>
        <v>0</v>
      </c>
    </row>
    <row r="3820" spans="2:14">
      <c r="B3820" s="174"/>
      <c r="C3820" s="174"/>
      <c r="D3820" s="1936">
        <v>2210808</v>
      </c>
      <c r="E3820" s="1937" t="s">
        <v>44</v>
      </c>
      <c r="F3820" s="161">
        <v>0</v>
      </c>
      <c r="H3820" s="174"/>
      <c r="I3820" s="174"/>
      <c r="J3820" s="1938">
        <v>2210808</v>
      </c>
      <c r="K3820" s="179" t="s">
        <v>44</v>
      </c>
      <c r="L3820" s="161">
        <v>0</v>
      </c>
      <c r="N3820" s="161">
        <f t="shared" si="59"/>
        <v>0</v>
      </c>
    </row>
    <row r="3821" spans="2:14">
      <c r="B3821" s="174"/>
      <c r="C3821" s="174"/>
      <c r="D3821" s="1936">
        <v>2210809</v>
      </c>
      <c r="E3821" s="1943" t="s">
        <v>1288</v>
      </c>
      <c r="F3821" s="161">
        <v>0</v>
      </c>
      <c r="H3821" s="174"/>
      <c r="I3821" s="174"/>
      <c r="J3821" s="1938">
        <v>2210809</v>
      </c>
      <c r="K3821" s="1943" t="s">
        <v>1288</v>
      </c>
      <c r="L3821" s="161">
        <v>0</v>
      </c>
      <c r="N3821" s="161">
        <f t="shared" si="59"/>
        <v>0</v>
      </c>
    </row>
    <row r="3822" spans="2:14">
      <c r="B3822" s="174"/>
      <c r="C3822" s="174"/>
      <c r="D3822" s="1931">
        <v>2210900</v>
      </c>
      <c r="E3822" s="1932" t="s">
        <v>46</v>
      </c>
      <c r="F3822" s="1933">
        <v>0</v>
      </c>
      <c r="H3822" s="174"/>
      <c r="I3822" s="174"/>
      <c r="J3822" s="1931">
        <v>2210900</v>
      </c>
      <c r="K3822" s="1932" t="s">
        <v>46</v>
      </c>
      <c r="L3822" s="1933">
        <v>0</v>
      </c>
      <c r="N3822" s="1933">
        <f t="shared" si="59"/>
        <v>0</v>
      </c>
    </row>
    <row r="3823" spans="2:14">
      <c r="B3823" s="174"/>
      <c r="C3823" s="174"/>
      <c r="D3823" s="1938">
        <v>2210901</v>
      </c>
      <c r="E3823" s="179" t="s">
        <v>668</v>
      </c>
      <c r="F3823" s="161">
        <v>0</v>
      </c>
      <c r="H3823" s="174"/>
      <c r="I3823" s="174"/>
      <c r="J3823" s="1938">
        <v>2210901</v>
      </c>
      <c r="K3823" s="179" t="s">
        <v>668</v>
      </c>
      <c r="L3823" s="161">
        <v>0</v>
      </c>
      <c r="N3823" s="161">
        <f t="shared" si="59"/>
        <v>0</v>
      </c>
    </row>
    <row r="3824" spans="2:14">
      <c r="B3824" s="174"/>
      <c r="C3824" s="174"/>
      <c r="D3824" s="1936">
        <v>2210902</v>
      </c>
      <c r="E3824" s="1937" t="s">
        <v>1289</v>
      </c>
      <c r="F3824" s="161">
        <v>0</v>
      </c>
      <c r="H3824" s="174"/>
      <c r="I3824" s="174"/>
      <c r="J3824" s="1938">
        <v>2210902</v>
      </c>
      <c r="K3824" s="179" t="s">
        <v>1289</v>
      </c>
      <c r="L3824" s="161">
        <v>0</v>
      </c>
      <c r="N3824" s="161">
        <f t="shared" si="59"/>
        <v>0</v>
      </c>
    </row>
    <row r="3825" spans="2:14">
      <c r="B3825" s="174"/>
      <c r="C3825" s="174"/>
      <c r="D3825" s="1936">
        <v>2210903</v>
      </c>
      <c r="E3825" s="1937" t="s">
        <v>491</v>
      </c>
      <c r="F3825" s="161">
        <v>0</v>
      </c>
      <c r="H3825" s="174"/>
      <c r="I3825" s="174"/>
      <c r="J3825" s="1938">
        <v>2210903</v>
      </c>
      <c r="K3825" s="179" t="s">
        <v>491</v>
      </c>
      <c r="L3825" s="161">
        <v>0</v>
      </c>
      <c r="N3825" s="161">
        <f t="shared" si="59"/>
        <v>0</v>
      </c>
    </row>
    <row r="3826" spans="2:14">
      <c r="B3826" s="174"/>
      <c r="C3826" s="174"/>
      <c r="D3826" s="1936">
        <v>2210904</v>
      </c>
      <c r="E3826" s="1937" t="s">
        <v>158</v>
      </c>
      <c r="F3826" s="161">
        <v>0</v>
      </c>
      <c r="H3826" s="174"/>
      <c r="I3826" s="174"/>
      <c r="J3826" s="1938">
        <v>2210904</v>
      </c>
      <c r="K3826" s="179" t="s">
        <v>158</v>
      </c>
      <c r="L3826" s="161">
        <v>0</v>
      </c>
      <c r="N3826" s="161">
        <f t="shared" si="59"/>
        <v>0</v>
      </c>
    </row>
    <row r="3827" spans="2:14">
      <c r="B3827" s="174"/>
      <c r="C3827" s="174"/>
      <c r="D3827" s="1936">
        <v>2210910</v>
      </c>
      <c r="E3827" s="1937" t="s">
        <v>1290</v>
      </c>
      <c r="F3827" s="161">
        <v>0</v>
      </c>
      <c r="H3827" s="174"/>
      <c r="I3827" s="174"/>
      <c r="J3827" s="1938">
        <v>2210910</v>
      </c>
      <c r="K3827" s="179" t="s">
        <v>1290</v>
      </c>
      <c r="L3827" s="161">
        <v>0</v>
      </c>
      <c r="N3827" s="161">
        <f t="shared" si="59"/>
        <v>0</v>
      </c>
    </row>
    <row r="3828" spans="2:14">
      <c r="B3828" s="174"/>
      <c r="C3828" s="174"/>
      <c r="D3828" s="1931">
        <v>2211000</v>
      </c>
      <c r="E3828" s="1932" t="s">
        <v>118</v>
      </c>
      <c r="F3828" s="1933">
        <v>0</v>
      </c>
      <c r="H3828" s="174"/>
      <c r="I3828" s="174"/>
      <c r="J3828" s="1931">
        <v>2211000</v>
      </c>
      <c r="K3828" s="1932" t="s">
        <v>118</v>
      </c>
      <c r="L3828" s="1933">
        <v>0</v>
      </c>
      <c r="N3828" s="1933">
        <f t="shared" si="59"/>
        <v>0</v>
      </c>
    </row>
    <row r="3829" spans="2:14">
      <c r="B3829" s="174"/>
      <c r="C3829" s="174"/>
      <c r="D3829" s="1936">
        <v>2211016</v>
      </c>
      <c r="E3829" s="1937" t="s">
        <v>196</v>
      </c>
      <c r="F3829" s="1935">
        <v>0</v>
      </c>
      <c r="H3829" s="174"/>
      <c r="I3829" s="174"/>
      <c r="J3829" s="1938">
        <v>2211016</v>
      </c>
      <c r="K3829" s="179" t="s">
        <v>196</v>
      </c>
      <c r="L3829" s="1935">
        <v>0</v>
      </c>
      <c r="N3829" s="1935">
        <f t="shared" si="59"/>
        <v>0</v>
      </c>
    </row>
    <row r="3830" spans="2:14">
      <c r="B3830" s="174"/>
      <c r="C3830" s="174"/>
      <c r="D3830" s="1931">
        <v>2211300</v>
      </c>
      <c r="E3830" s="1932" t="s">
        <v>57</v>
      </c>
      <c r="F3830" s="1933">
        <v>0</v>
      </c>
      <c r="H3830" s="174"/>
      <c r="I3830" s="174"/>
      <c r="J3830" s="1931">
        <v>2211300</v>
      </c>
      <c r="K3830" s="1932" t="s">
        <v>57</v>
      </c>
      <c r="L3830" s="1933">
        <v>0</v>
      </c>
      <c r="N3830" s="1933">
        <f t="shared" si="59"/>
        <v>0</v>
      </c>
    </row>
    <row r="3831" spans="2:14">
      <c r="B3831" s="174"/>
      <c r="C3831" s="174"/>
      <c r="D3831" s="1936">
        <v>2211301</v>
      </c>
      <c r="E3831" s="1937" t="s">
        <v>198</v>
      </c>
      <c r="F3831" s="1935">
        <v>0</v>
      </c>
      <c r="H3831" s="174"/>
      <c r="I3831" s="174"/>
      <c r="J3831" s="1938">
        <v>2211301</v>
      </c>
      <c r="K3831" s="179" t="s">
        <v>198</v>
      </c>
      <c r="L3831" s="1935">
        <v>0</v>
      </c>
      <c r="N3831" s="1935">
        <f t="shared" si="59"/>
        <v>0</v>
      </c>
    </row>
    <row r="3832" spans="2:14">
      <c r="B3832" s="174"/>
      <c r="C3832" s="174"/>
      <c r="D3832" s="1936">
        <v>2211306</v>
      </c>
      <c r="E3832" s="1937" t="s">
        <v>58</v>
      </c>
      <c r="F3832" s="161">
        <v>0</v>
      </c>
      <c r="H3832" s="174"/>
      <c r="I3832" s="174"/>
      <c r="J3832" s="1938">
        <v>2211306</v>
      </c>
      <c r="K3832" s="179" t="s">
        <v>58</v>
      </c>
      <c r="L3832" s="161">
        <v>0</v>
      </c>
      <c r="N3832" s="161">
        <f t="shared" si="59"/>
        <v>0</v>
      </c>
    </row>
    <row r="3833" spans="2:14">
      <c r="B3833" s="174"/>
      <c r="C3833" s="174"/>
      <c r="D3833" s="1936">
        <v>2211308</v>
      </c>
      <c r="E3833" s="1937" t="s">
        <v>1291</v>
      </c>
      <c r="F3833" s="161">
        <v>0</v>
      </c>
      <c r="H3833" s="174"/>
      <c r="I3833" s="174"/>
      <c r="J3833" s="1938">
        <v>2211308</v>
      </c>
      <c r="K3833" s="179" t="s">
        <v>1291</v>
      </c>
      <c r="L3833" s="161">
        <v>0</v>
      </c>
      <c r="N3833" s="161">
        <f t="shared" si="59"/>
        <v>0</v>
      </c>
    </row>
    <row r="3834" spans="2:14">
      <c r="B3834" s="174"/>
      <c r="C3834" s="174"/>
      <c r="D3834" s="1936">
        <v>2211310</v>
      </c>
      <c r="E3834" s="1937" t="s">
        <v>669</v>
      </c>
      <c r="F3834" s="161">
        <v>0</v>
      </c>
      <c r="H3834" s="174"/>
      <c r="I3834" s="174"/>
      <c r="J3834" s="1938">
        <v>2211310</v>
      </c>
      <c r="K3834" s="179" t="s">
        <v>669</v>
      </c>
      <c r="L3834" s="161">
        <v>0</v>
      </c>
      <c r="N3834" s="161">
        <f t="shared" si="59"/>
        <v>0</v>
      </c>
    </row>
    <row r="3835" spans="2:14">
      <c r="B3835" s="174"/>
      <c r="C3835" s="174"/>
      <c r="D3835" s="1936">
        <v>2211313</v>
      </c>
      <c r="E3835" s="1937" t="s">
        <v>214</v>
      </c>
      <c r="F3835" s="161">
        <v>0</v>
      </c>
      <c r="H3835" s="174"/>
      <c r="I3835" s="174"/>
      <c r="J3835" s="1938">
        <v>2211313</v>
      </c>
      <c r="K3835" s="179" t="s">
        <v>214</v>
      </c>
      <c r="L3835" s="161">
        <v>0</v>
      </c>
      <c r="N3835" s="161">
        <f t="shared" si="59"/>
        <v>0</v>
      </c>
    </row>
    <row r="3836" spans="2:14">
      <c r="B3836" s="174"/>
      <c r="C3836" s="174"/>
      <c r="D3836" s="1936">
        <v>2211325</v>
      </c>
      <c r="E3836" s="1937" t="s">
        <v>1292</v>
      </c>
      <c r="F3836" s="161">
        <v>0</v>
      </c>
      <c r="H3836" s="174"/>
      <c r="I3836" s="174"/>
      <c r="J3836" s="1938">
        <v>2211325</v>
      </c>
      <c r="K3836" s="179" t="s">
        <v>1292</v>
      </c>
      <c r="L3836" s="161">
        <v>0</v>
      </c>
      <c r="N3836" s="161">
        <f t="shared" si="59"/>
        <v>0</v>
      </c>
    </row>
    <row r="3837" spans="2:14">
      <c r="B3837" s="174"/>
      <c r="C3837" s="174"/>
      <c r="D3837" s="1936">
        <v>2211399</v>
      </c>
      <c r="E3837" s="1937" t="s">
        <v>1293</v>
      </c>
      <c r="F3837" s="161">
        <v>0</v>
      </c>
      <c r="H3837" s="174"/>
      <c r="I3837" s="174"/>
      <c r="J3837" s="1938">
        <v>2211399</v>
      </c>
      <c r="K3837" s="179" t="s">
        <v>1293</v>
      </c>
      <c r="L3837" s="161">
        <v>0</v>
      </c>
      <c r="N3837" s="161">
        <f t="shared" si="59"/>
        <v>0</v>
      </c>
    </row>
    <row r="3838" spans="2:14">
      <c r="B3838" s="174"/>
      <c r="C3838" s="174"/>
      <c r="D3838" s="1931">
        <v>2710100</v>
      </c>
      <c r="E3838" s="1932" t="s">
        <v>1294</v>
      </c>
      <c r="F3838" s="1933">
        <v>0</v>
      </c>
      <c r="H3838" s="174"/>
      <c r="I3838" s="174"/>
      <c r="J3838" s="1931">
        <v>2710100</v>
      </c>
      <c r="K3838" s="1932" t="s">
        <v>1294</v>
      </c>
      <c r="L3838" s="1933">
        <v>0</v>
      </c>
      <c r="N3838" s="1933">
        <f t="shared" si="59"/>
        <v>0</v>
      </c>
    </row>
    <row r="3839" spans="2:14">
      <c r="B3839" s="174"/>
      <c r="C3839" s="174"/>
      <c r="D3839" s="1946">
        <v>2710102</v>
      </c>
      <c r="E3839" s="1947" t="s">
        <v>1295</v>
      </c>
      <c r="F3839" s="1948">
        <v>0</v>
      </c>
      <c r="H3839" s="174"/>
      <c r="I3839" s="174"/>
      <c r="J3839" s="1946">
        <v>2710102</v>
      </c>
      <c r="K3839" s="1947" t="s">
        <v>1295</v>
      </c>
      <c r="L3839" s="1935">
        <v>0</v>
      </c>
      <c r="N3839" s="1935">
        <f t="shared" si="59"/>
        <v>0</v>
      </c>
    </row>
    <row r="3840" spans="2:14">
      <c r="B3840" s="174"/>
      <c r="C3840" s="174"/>
      <c r="D3840" s="1946">
        <v>2710103</v>
      </c>
      <c r="E3840" s="1947" t="s">
        <v>1296</v>
      </c>
      <c r="F3840" s="1948">
        <v>0</v>
      </c>
      <c r="H3840" s="174"/>
      <c r="I3840" s="174"/>
      <c r="J3840" s="1946">
        <v>2710103</v>
      </c>
      <c r="K3840" s="1947" t="s">
        <v>1296</v>
      </c>
      <c r="L3840" s="1935">
        <v>0</v>
      </c>
      <c r="N3840" s="1935">
        <f t="shared" si="59"/>
        <v>0</v>
      </c>
    </row>
    <row r="3841" spans="2:14">
      <c r="B3841" s="174"/>
      <c r="C3841" s="174"/>
      <c r="D3841" s="1931">
        <v>3110700</v>
      </c>
      <c r="E3841" s="1932" t="s">
        <v>65</v>
      </c>
      <c r="F3841" s="1933">
        <v>0</v>
      </c>
      <c r="H3841" s="174"/>
      <c r="I3841" s="174"/>
      <c r="J3841" s="1931">
        <v>3110700</v>
      </c>
      <c r="K3841" s="1932" t="s">
        <v>65</v>
      </c>
      <c r="L3841" s="1933">
        <v>0</v>
      </c>
      <c r="N3841" s="1933">
        <f t="shared" si="59"/>
        <v>0</v>
      </c>
    </row>
    <row r="3842" spans="2:14">
      <c r="B3842" s="174"/>
      <c r="C3842" s="174"/>
      <c r="D3842" s="1936">
        <v>3110701</v>
      </c>
      <c r="E3842" s="1937" t="s">
        <v>140</v>
      </c>
      <c r="F3842" s="1935">
        <v>0</v>
      </c>
      <c r="H3842" s="174"/>
      <c r="I3842" s="174"/>
      <c r="J3842" s="1938">
        <v>3110701</v>
      </c>
      <c r="K3842" s="179" t="s">
        <v>140</v>
      </c>
      <c r="L3842" s="1935">
        <v>0</v>
      </c>
      <c r="N3842" s="1935">
        <f t="shared" si="59"/>
        <v>0</v>
      </c>
    </row>
    <row r="3843" spans="2:14">
      <c r="B3843" s="174"/>
      <c r="C3843" s="174"/>
      <c r="D3843" s="1952" t="s">
        <v>1308</v>
      </c>
      <c r="E3843" s="1950"/>
      <c r="F3843" s="1773">
        <v>0</v>
      </c>
      <c r="H3843" s="174"/>
      <c r="I3843" s="174"/>
      <c r="J3843" s="1952" t="s">
        <v>1308</v>
      </c>
      <c r="K3843" s="1950"/>
      <c r="L3843" s="1773">
        <v>0</v>
      </c>
      <c r="N3843" s="1773">
        <f t="shared" si="59"/>
        <v>0</v>
      </c>
    </row>
    <row r="3844" spans="2:14">
      <c r="B3844" s="46"/>
      <c r="C3844" s="46"/>
      <c r="D3844" s="1507"/>
      <c r="E3844" s="1508" t="s">
        <v>99</v>
      </c>
      <c r="F3844" s="1722">
        <v>1095630000</v>
      </c>
      <c r="H3844" s="46"/>
      <c r="I3844" s="46"/>
      <c r="J3844" s="1507"/>
      <c r="K3844" s="1508" t="s">
        <v>99</v>
      </c>
      <c r="L3844" s="1722">
        <v>1095630000</v>
      </c>
      <c r="N3844" s="1722">
        <f t="shared" si="59"/>
        <v>0</v>
      </c>
    </row>
    <row r="3845" spans="2:14">
      <c r="B3845" s="89"/>
      <c r="C3845" s="89"/>
      <c r="D3845" s="1507"/>
      <c r="E3845" s="1508" t="s">
        <v>175</v>
      </c>
      <c r="F3845" s="1722">
        <v>5000000</v>
      </c>
      <c r="H3845" s="89"/>
      <c r="I3845" s="89"/>
      <c r="J3845" s="1507"/>
      <c r="K3845" s="1508" t="s">
        <v>175</v>
      </c>
      <c r="L3845" s="1722">
        <v>5000000</v>
      </c>
      <c r="N3845" s="1722">
        <f t="shared" si="59"/>
        <v>0</v>
      </c>
    </row>
    <row r="3846" spans="2:14">
      <c r="B3846" s="89"/>
      <c r="C3846" s="89"/>
      <c r="D3846" s="1583" t="s">
        <v>677</v>
      </c>
      <c r="E3846" s="1620"/>
      <c r="F3846" s="1722">
        <v>1100630000</v>
      </c>
      <c r="H3846" s="89"/>
      <c r="I3846" s="89"/>
      <c r="J3846" s="1583" t="s">
        <v>677</v>
      </c>
      <c r="K3846" s="1620"/>
      <c r="L3846" s="1722">
        <v>1100630000</v>
      </c>
      <c r="N3846" s="1722">
        <f t="shared" si="59"/>
        <v>0</v>
      </c>
    </row>
    <row r="3847" spans="2:14">
      <c r="B3847" s="89"/>
      <c r="C3847" s="89"/>
      <c r="D3847" s="1507"/>
      <c r="E3847" s="1658"/>
      <c r="F3847" s="174"/>
      <c r="H3847" s="89"/>
      <c r="I3847" s="89"/>
      <c r="J3847" s="1507"/>
      <c r="K3847" s="1658"/>
      <c r="L3847" s="174"/>
      <c r="N3847" s="174">
        <f t="shared" si="59"/>
        <v>0</v>
      </c>
    </row>
    <row r="3848" spans="2:14">
      <c r="B3848" s="89"/>
      <c r="C3848" s="89"/>
      <c r="D3848" s="1507"/>
      <c r="E3848" s="1658"/>
      <c r="F3848" s="174"/>
      <c r="H3848" s="89"/>
      <c r="I3848" s="89"/>
      <c r="J3848" s="1507"/>
      <c r="K3848" s="1658"/>
      <c r="L3848" s="174"/>
      <c r="N3848" s="174">
        <f t="shared" ref="N3848:N3911" si="60">F3848-L3848</f>
        <v>0</v>
      </c>
    </row>
    <row r="3849" spans="2:14">
      <c r="B3849" s="1953"/>
      <c r="C3849" s="1954"/>
      <c r="D3849" s="1583" t="s">
        <v>678</v>
      </c>
      <c r="E3849" s="1620"/>
      <c r="F3849" s="1955"/>
      <c r="H3849" s="1953"/>
      <c r="I3849" s="1954"/>
      <c r="J3849" s="1583" t="s">
        <v>678</v>
      </c>
      <c r="K3849" s="1620"/>
      <c r="L3849" s="1955"/>
      <c r="N3849" s="1955">
        <f t="shared" si="60"/>
        <v>0</v>
      </c>
    </row>
    <row r="3850" spans="2:14">
      <c r="B3850" s="1604" t="s">
        <v>679</v>
      </c>
      <c r="C3850" s="1602" t="s">
        <v>146</v>
      </c>
      <c r="D3850" s="1545"/>
      <c r="E3850" s="1620" t="s">
        <v>680</v>
      </c>
      <c r="F3850" s="1674"/>
      <c r="H3850" s="1604" t="s">
        <v>679</v>
      </c>
      <c r="I3850" s="1602" t="s">
        <v>146</v>
      </c>
      <c r="J3850" s="1545"/>
      <c r="K3850" s="1620" t="s">
        <v>680</v>
      </c>
      <c r="L3850" s="1674"/>
      <c r="N3850" s="1674">
        <f t="shared" si="60"/>
        <v>0</v>
      </c>
    </row>
    <row r="3851" spans="2:14">
      <c r="B3851" s="46"/>
      <c r="C3851" s="46"/>
      <c r="D3851" s="1545"/>
      <c r="E3851" s="1620" t="s">
        <v>681</v>
      </c>
      <c r="F3851" s="161"/>
      <c r="H3851" s="46"/>
      <c r="I3851" s="46"/>
      <c r="J3851" s="1545"/>
      <c r="K3851" s="1620" t="s">
        <v>681</v>
      </c>
      <c r="L3851" s="161"/>
      <c r="N3851" s="161">
        <f t="shared" si="60"/>
        <v>0</v>
      </c>
    </row>
    <row r="3852" spans="2:14">
      <c r="B3852" s="46"/>
      <c r="C3852" s="46"/>
      <c r="D3852" s="1761">
        <v>2110100</v>
      </c>
      <c r="E3852" s="1699" t="s">
        <v>13</v>
      </c>
      <c r="F3852" s="1674">
        <v>33636755</v>
      </c>
      <c r="H3852" s="46"/>
      <c r="I3852" s="46"/>
      <c r="J3852" s="1761">
        <v>2110100</v>
      </c>
      <c r="K3852" s="1699" t="s">
        <v>13</v>
      </c>
      <c r="L3852" s="1674">
        <v>33636755</v>
      </c>
      <c r="N3852" s="1674">
        <f t="shared" si="60"/>
        <v>0</v>
      </c>
    </row>
    <row r="3853" spans="2:14">
      <c r="B3853" s="46"/>
      <c r="C3853" s="46"/>
      <c r="D3853" s="80">
        <v>2110101</v>
      </c>
      <c r="E3853" s="158" t="s">
        <v>14</v>
      </c>
      <c r="F3853" s="1956">
        <v>33636755</v>
      </c>
      <c r="H3853" s="46"/>
      <c r="I3853" s="46"/>
      <c r="J3853" s="80">
        <v>2110101</v>
      </c>
      <c r="K3853" s="158" t="s">
        <v>14</v>
      </c>
      <c r="L3853" s="1956">
        <v>33636755</v>
      </c>
      <c r="N3853" s="1956">
        <f t="shared" si="60"/>
        <v>0</v>
      </c>
    </row>
    <row r="3854" spans="2:14">
      <c r="B3854" s="46"/>
      <c r="C3854" s="46"/>
      <c r="D3854" s="1761">
        <v>2110200</v>
      </c>
      <c r="E3854" s="1699" t="s">
        <v>148</v>
      </c>
      <c r="F3854" s="1674">
        <v>10000000</v>
      </c>
      <c r="H3854" s="46"/>
      <c r="I3854" s="46"/>
      <c r="J3854" s="1761">
        <v>2110200</v>
      </c>
      <c r="K3854" s="1699" t="s">
        <v>148</v>
      </c>
      <c r="L3854" s="1674">
        <v>10000000</v>
      </c>
      <c r="N3854" s="1674">
        <f t="shared" si="60"/>
        <v>0</v>
      </c>
    </row>
    <row r="3855" spans="2:14" ht="75">
      <c r="B3855" s="25"/>
      <c r="C3855" s="25"/>
      <c r="D3855" s="61">
        <v>2110202</v>
      </c>
      <c r="E3855" s="74" t="s">
        <v>1349</v>
      </c>
      <c r="F3855" s="135">
        <v>10000000</v>
      </c>
      <c r="H3855" s="25"/>
      <c r="I3855" s="25"/>
      <c r="J3855" s="61">
        <v>2110202</v>
      </c>
      <c r="K3855" s="74" t="s">
        <v>1349</v>
      </c>
      <c r="L3855" s="135">
        <v>10000000</v>
      </c>
      <c r="N3855" s="135">
        <f t="shared" si="60"/>
        <v>0</v>
      </c>
    </row>
    <row r="3856" spans="2:14">
      <c r="B3856" s="46"/>
      <c r="C3856" s="46"/>
      <c r="D3856" s="1761">
        <v>2210100</v>
      </c>
      <c r="E3856" s="1727" t="s">
        <v>16</v>
      </c>
      <c r="F3856" s="1674">
        <v>1050000</v>
      </c>
      <c r="H3856" s="46"/>
      <c r="I3856" s="46"/>
      <c r="J3856" s="1761">
        <v>2210100</v>
      </c>
      <c r="K3856" s="1727" t="s">
        <v>16</v>
      </c>
      <c r="L3856" s="1674">
        <v>1050000</v>
      </c>
      <c r="N3856" s="1674">
        <f t="shared" si="60"/>
        <v>0</v>
      </c>
    </row>
    <row r="3857" spans="2:14">
      <c r="B3857" s="46"/>
      <c r="C3857" s="46"/>
      <c r="D3857" s="80">
        <v>2210101</v>
      </c>
      <c r="E3857" s="158" t="s">
        <v>17</v>
      </c>
      <c r="F3857" s="1956">
        <v>400000</v>
      </c>
      <c r="H3857" s="46"/>
      <c r="I3857" s="46"/>
      <c r="J3857" s="80">
        <v>2210101</v>
      </c>
      <c r="K3857" s="158" t="s">
        <v>17</v>
      </c>
      <c r="L3857" s="1956">
        <v>400000</v>
      </c>
      <c r="N3857" s="1956">
        <f t="shared" si="60"/>
        <v>0</v>
      </c>
    </row>
    <row r="3858" spans="2:14">
      <c r="B3858" s="46"/>
      <c r="C3858" s="46"/>
      <c r="D3858" s="80">
        <v>2210102</v>
      </c>
      <c r="E3858" s="158" t="s">
        <v>1350</v>
      </c>
      <c r="F3858" s="1956">
        <v>650000</v>
      </c>
      <c r="H3858" s="46"/>
      <c r="I3858" s="46"/>
      <c r="J3858" s="80">
        <v>2210102</v>
      </c>
      <c r="K3858" s="158" t="s">
        <v>1350</v>
      </c>
      <c r="L3858" s="1956">
        <v>650000</v>
      </c>
      <c r="N3858" s="1956">
        <f t="shared" si="60"/>
        <v>0</v>
      </c>
    </row>
    <row r="3859" spans="2:14">
      <c r="B3859" s="46"/>
      <c r="C3859" s="46"/>
      <c r="D3859" s="1761">
        <v>2210200</v>
      </c>
      <c r="E3859" s="1699" t="s">
        <v>20</v>
      </c>
      <c r="F3859" s="1674">
        <v>84000</v>
      </c>
      <c r="H3859" s="46"/>
      <c r="I3859" s="46"/>
      <c r="J3859" s="1761">
        <v>2210200</v>
      </c>
      <c r="K3859" s="1699" t="s">
        <v>20</v>
      </c>
      <c r="L3859" s="1674">
        <v>84000</v>
      </c>
      <c r="N3859" s="1674">
        <f t="shared" si="60"/>
        <v>0</v>
      </c>
    </row>
    <row r="3860" spans="2:14">
      <c r="B3860" s="46"/>
      <c r="C3860" s="46"/>
      <c r="D3860" s="80">
        <v>2210201</v>
      </c>
      <c r="E3860" s="158" t="s">
        <v>113</v>
      </c>
      <c r="F3860" s="1956">
        <v>58000</v>
      </c>
      <c r="H3860" s="46"/>
      <c r="I3860" s="46"/>
      <c r="J3860" s="80">
        <v>2210201</v>
      </c>
      <c r="K3860" s="158" t="s">
        <v>113</v>
      </c>
      <c r="L3860" s="1956">
        <v>58000</v>
      </c>
      <c r="N3860" s="1956">
        <f t="shared" si="60"/>
        <v>0</v>
      </c>
    </row>
    <row r="3861" spans="2:14">
      <c r="B3861" s="46"/>
      <c r="C3861" s="46"/>
      <c r="D3861" s="80">
        <v>2210202</v>
      </c>
      <c r="E3861" s="158" t="s">
        <v>22</v>
      </c>
      <c r="F3861" s="1956">
        <v>20000</v>
      </c>
      <c r="H3861" s="46"/>
      <c r="I3861" s="46"/>
      <c r="J3861" s="80">
        <v>2210202</v>
      </c>
      <c r="K3861" s="158" t="s">
        <v>22</v>
      </c>
      <c r="L3861" s="1956">
        <v>20000</v>
      </c>
      <c r="N3861" s="1956">
        <f t="shared" si="60"/>
        <v>0</v>
      </c>
    </row>
    <row r="3862" spans="2:14">
      <c r="B3862" s="46"/>
      <c r="C3862" s="46"/>
      <c r="D3862" s="39">
        <v>2210203</v>
      </c>
      <c r="E3862" s="40" t="s">
        <v>23</v>
      </c>
      <c r="F3862" s="1956">
        <v>6000</v>
      </c>
      <c r="H3862" s="46"/>
      <c r="I3862" s="46"/>
      <c r="J3862" s="39">
        <v>2210203</v>
      </c>
      <c r="K3862" s="40" t="s">
        <v>23</v>
      </c>
      <c r="L3862" s="1956">
        <v>6000</v>
      </c>
      <c r="N3862" s="1956">
        <f t="shared" si="60"/>
        <v>0</v>
      </c>
    </row>
    <row r="3863" spans="2:14">
      <c r="B3863" s="46"/>
      <c r="C3863" s="46"/>
      <c r="D3863" s="1761">
        <v>2210300</v>
      </c>
      <c r="E3863" s="1699" t="s">
        <v>24</v>
      </c>
      <c r="F3863" s="1674">
        <v>783000</v>
      </c>
      <c r="H3863" s="46"/>
      <c r="I3863" s="46"/>
      <c r="J3863" s="1761">
        <v>2210300</v>
      </c>
      <c r="K3863" s="1699" t="s">
        <v>24</v>
      </c>
      <c r="L3863" s="1674">
        <v>783000</v>
      </c>
      <c r="N3863" s="1674">
        <f t="shared" si="60"/>
        <v>0</v>
      </c>
    </row>
    <row r="3864" spans="2:14">
      <c r="B3864" s="46"/>
      <c r="C3864" s="46"/>
      <c r="D3864" s="39">
        <v>2210301</v>
      </c>
      <c r="E3864" s="40" t="s">
        <v>188</v>
      </c>
      <c r="F3864" s="1956">
        <v>319000</v>
      </c>
      <c r="H3864" s="46"/>
      <c r="I3864" s="46"/>
      <c r="J3864" s="39">
        <v>2210301</v>
      </c>
      <c r="K3864" s="40" t="s">
        <v>188</v>
      </c>
      <c r="L3864" s="1956">
        <v>319000</v>
      </c>
      <c r="N3864" s="1956">
        <f t="shared" si="60"/>
        <v>0</v>
      </c>
    </row>
    <row r="3865" spans="2:14">
      <c r="B3865" s="46"/>
      <c r="C3865" s="46"/>
      <c r="D3865" s="80">
        <v>2210302</v>
      </c>
      <c r="E3865" s="158" t="s">
        <v>26</v>
      </c>
      <c r="F3865" s="1956">
        <v>464000</v>
      </c>
      <c r="H3865" s="46"/>
      <c r="I3865" s="46"/>
      <c r="J3865" s="80">
        <v>2210302</v>
      </c>
      <c r="K3865" s="158" t="s">
        <v>26</v>
      </c>
      <c r="L3865" s="1956">
        <v>464000</v>
      </c>
      <c r="N3865" s="1956">
        <f t="shared" si="60"/>
        <v>0</v>
      </c>
    </row>
    <row r="3866" spans="2:14">
      <c r="B3866" s="46"/>
      <c r="C3866" s="46"/>
      <c r="D3866" s="1761">
        <v>2210500</v>
      </c>
      <c r="E3866" s="1699" t="s">
        <v>31</v>
      </c>
      <c r="F3866" s="1674">
        <v>10000</v>
      </c>
      <c r="H3866" s="46"/>
      <c r="I3866" s="46"/>
      <c r="J3866" s="1761">
        <v>2210500</v>
      </c>
      <c r="K3866" s="1699" t="s">
        <v>31</v>
      </c>
      <c r="L3866" s="1674">
        <v>10000</v>
      </c>
      <c r="N3866" s="1674">
        <f t="shared" si="60"/>
        <v>0</v>
      </c>
    </row>
    <row r="3867" spans="2:14">
      <c r="B3867" s="46"/>
      <c r="C3867" s="46"/>
      <c r="D3867" s="80">
        <v>2210503</v>
      </c>
      <c r="E3867" s="158" t="s">
        <v>32</v>
      </c>
      <c r="F3867" s="1956">
        <v>10000</v>
      </c>
      <c r="H3867" s="46"/>
      <c r="I3867" s="46"/>
      <c r="J3867" s="80">
        <v>2210503</v>
      </c>
      <c r="K3867" s="158" t="s">
        <v>32</v>
      </c>
      <c r="L3867" s="1956">
        <v>10000</v>
      </c>
      <c r="N3867" s="1956">
        <f t="shared" si="60"/>
        <v>0</v>
      </c>
    </row>
    <row r="3868" spans="2:14">
      <c r="B3868" s="46"/>
      <c r="C3868" s="46"/>
      <c r="D3868" s="1761">
        <v>2210700</v>
      </c>
      <c r="E3868" s="1699" t="s">
        <v>35</v>
      </c>
      <c r="F3868" s="1674">
        <v>274000</v>
      </c>
      <c r="H3868" s="46"/>
      <c r="I3868" s="46"/>
      <c r="J3868" s="1761">
        <v>2210700</v>
      </c>
      <c r="K3868" s="1699" t="s">
        <v>35</v>
      </c>
      <c r="L3868" s="1674">
        <v>274000</v>
      </c>
      <c r="N3868" s="1674">
        <f t="shared" si="60"/>
        <v>0</v>
      </c>
    </row>
    <row r="3869" spans="2:14">
      <c r="B3869" s="46"/>
      <c r="C3869" s="46"/>
      <c r="D3869" s="39">
        <v>2210701</v>
      </c>
      <c r="E3869" s="40" t="s">
        <v>36</v>
      </c>
      <c r="F3869" s="1956">
        <v>174000</v>
      </c>
      <c r="H3869" s="46"/>
      <c r="I3869" s="46"/>
      <c r="J3869" s="39">
        <v>2210701</v>
      </c>
      <c r="K3869" s="40" t="s">
        <v>36</v>
      </c>
      <c r="L3869" s="1956">
        <v>174000</v>
      </c>
      <c r="N3869" s="1956">
        <f t="shared" si="60"/>
        <v>0</v>
      </c>
    </row>
    <row r="3870" spans="2:14">
      <c r="B3870" s="46"/>
      <c r="C3870" s="46"/>
      <c r="D3870" s="80">
        <v>2210799</v>
      </c>
      <c r="E3870" s="158" t="s">
        <v>683</v>
      </c>
      <c r="F3870" s="1956">
        <v>100000</v>
      </c>
      <c r="H3870" s="46"/>
      <c r="I3870" s="46"/>
      <c r="J3870" s="80">
        <v>2210799</v>
      </c>
      <c r="K3870" s="158" t="s">
        <v>683</v>
      </c>
      <c r="L3870" s="1956">
        <v>100000</v>
      </c>
      <c r="N3870" s="1956">
        <f t="shared" si="60"/>
        <v>0</v>
      </c>
    </row>
    <row r="3871" spans="2:14">
      <c r="B3871" s="46"/>
      <c r="C3871" s="46"/>
      <c r="D3871" s="1761">
        <v>2210800</v>
      </c>
      <c r="E3871" s="1699" t="s">
        <v>42</v>
      </c>
      <c r="F3871" s="1674">
        <v>1816814</v>
      </c>
      <c r="H3871" s="46"/>
      <c r="I3871" s="46"/>
      <c r="J3871" s="1761">
        <v>2210800</v>
      </c>
      <c r="K3871" s="1699" t="s">
        <v>42</v>
      </c>
      <c r="L3871" s="1674">
        <v>1816814</v>
      </c>
      <c r="N3871" s="1674">
        <f t="shared" si="60"/>
        <v>0</v>
      </c>
    </row>
    <row r="3872" spans="2:14">
      <c r="B3872" s="46"/>
      <c r="C3872" s="46"/>
      <c r="D3872" s="80">
        <v>2210801</v>
      </c>
      <c r="E3872" s="158" t="s">
        <v>1351</v>
      </c>
      <c r="F3872" s="1956">
        <v>316814</v>
      </c>
      <c r="H3872" s="46"/>
      <c r="I3872" s="46"/>
      <c r="J3872" s="80">
        <v>2210801</v>
      </c>
      <c r="K3872" s="158" t="s">
        <v>1351</v>
      </c>
      <c r="L3872" s="1956">
        <v>316814</v>
      </c>
      <c r="N3872" s="1956">
        <f t="shared" si="60"/>
        <v>0</v>
      </c>
    </row>
    <row r="3873" spans="2:14" ht="30">
      <c r="B3873" s="46"/>
      <c r="C3873" s="46"/>
      <c r="D3873" s="80">
        <v>2210802</v>
      </c>
      <c r="E3873" s="158" t="s">
        <v>1352</v>
      </c>
      <c r="F3873" s="1956">
        <v>1500000</v>
      </c>
      <c r="H3873" s="46"/>
      <c r="I3873" s="46"/>
      <c r="J3873" s="80">
        <v>2210802</v>
      </c>
      <c r="K3873" s="158" t="s">
        <v>1352</v>
      </c>
      <c r="L3873" s="1956">
        <v>1500000</v>
      </c>
      <c r="N3873" s="1956">
        <f t="shared" si="60"/>
        <v>0</v>
      </c>
    </row>
    <row r="3874" spans="2:14">
      <c r="B3874" s="46"/>
      <c r="C3874" s="46"/>
      <c r="D3874" s="1761">
        <v>2211100</v>
      </c>
      <c r="E3874" s="1699" t="s">
        <v>51</v>
      </c>
      <c r="F3874" s="1674">
        <v>950000</v>
      </c>
      <c r="H3874" s="46"/>
      <c r="I3874" s="46"/>
      <c r="J3874" s="1761">
        <v>2211100</v>
      </c>
      <c r="K3874" s="1699" t="s">
        <v>51</v>
      </c>
      <c r="L3874" s="1674">
        <v>950000</v>
      </c>
      <c r="N3874" s="1674">
        <f t="shared" si="60"/>
        <v>0</v>
      </c>
    </row>
    <row r="3875" spans="2:14">
      <c r="B3875" s="46"/>
      <c r="C3875" s="46"/>
      <c r="D3875" s="80">
        <v>2211101</v>
      </c>
      <c r="E3875" s="158" t="s">
        <v>52</v>
      </c>
      <c r="F3875" s="1956">
        <v>400000</v>
      </c>
      <c r="H3875" s="46"/>
      <c r="I3875" s="46"/>
      <c r="J3875" s="80">
        <v>2211101</v>
      </c>
      <c r="K3875" s="158" t="s">
        <v>52</v>
      </c>
      <c r="L3875" s="1956">
        <v>400000</v>
      </c>
      <c r="N3875" s="1956">
        <f t="shared" si="60"/>
        <v>0</v>
      </c>
    </row>
    <row r="3876" spans="2:14">
      <c r="B3876" s="46"/>
      <c r="C3876" s="46"/>
      <c r="D3876" s="80">
        <v>2211102</v>
      </c>
      <c r="E3876" s="158" t="s">
        <v>53</v>
      </c>
      <c r="F3876" s="1956">
        <v>300000</v>
      </c>
      <c r="H3876" s="46"/>
      <c r="I3876" s="46"/>
      <c r="J3876" s="80">
        <v>2211102</v>
      </c>
      <c r="K3876" s="158" t="s">
        <v>53</v>
      </c>
      <c r="L3876" s="1956">
        <v>300000</v>
      </c>
      <c r="N3876" s="1956">
        <f t="shared" si="60"/>
        <v>0</v>
      </c>
    </row>
    <row r="3877" spans="2:14">
      <c r="B3877" s="46"/>
      <c r="C3877" s="46"/>
      <c r="D3877" s="80">
        <v>2211103</v>
      </c>
      <c r="E3877" s="158" t="s">
        <v>686</v>
      </c>
      <c r="F3877" s="1956">
        <v>250000</v>
      </c>
      <c r="H3877" s="46"/>
      <c r="I3877" s="46"/>
      <c r="J3877" s="80">
        <v>2211103</v>
      </c>
      <c r="K3877" s="158" t="s">
        <v>686</v>
      </c>
      <c r="L3877" s="1956">
        <v>250000</v>
      </c>
      <c r="N3877" s="1956">
        <f t="shared" si="60"/>
        <v>0</v>
      </c>
    </row>
    <row r="3878" spans="2:14">
      <c r="B3878" s="46"/>
      <c r="C3878" s="46"/>
      <c r="D3878" s="1761">
        <v>2211200</v>
      </c>
      <c r="E3878" s="1699" t="s">
        <v>55</v>
      </c>
      <c r="F3878" s="1674">
        <v>1000000</v>
      </c>
      <c r="H3878" s="46"/>
      <c r="I3878" s="46"/>
      <c r="J3878" s="1761">
        <v>2211200</v>
      </c>
      <c r="K3878" s="1699" t="s">
        <v>55</v>
      </c>
      <c r="L3878" s="1674">
        <v>1000000</v>
      </c>
      <c r="N3878" s="1674">
        <f t="shared" si="60"/>
        <v>0</v>
      </c>
    </row>
    <row r="3879" spans="2:14" ht="45">
      <c r="B3879" s="46"/>
      <c r="C3879" s="46"/>
      <c r="D3879" s="80">
        <v>2211201</v>
      </c>
      <c r="E3879" s="158" t="s">
        <v>1353</v>
      </c>
      <c r="F3879" s="1956">
        <v>1000000</v>
      </c>
      <c r="H3879" s="46"/>
      <c r="I3879" s="46"/>
      <c r="J3879" s="80">
        <v>2211201</v>
      </c>
      <c r="K3879" s="158" t="s">
        <v>1353</v>
      </c>
      <c r="L3879" s="1956">
        <v>1000000</v>
      </c>
      <c r="N3879" s="1956">
        <f t="shared" si="60"/>
        <v>0</v>
      </c>
    </row>
    <row r="3880" spans="2:14">
      <c r="B3880" s="46"/>
      <c r="C3880" s="46"/>
      <c r="D3880" s="55" t="s">
        <v>249</v>
      </c>
      <c r="E3880" s="1886" t="s">
        <v>62</v>
      </c>
      <c r="F3880" s="1674">
        <v>400000</v>
      </c>
      <c r="H3880" s="46"/>
      <c r="I3880" s="46"/>
      <c r="J3880" s="55" t="s">
        <v>249</v>
      </c>
      <c r="K3880" s="1886" t="s">
        <v>62</v>
      </c>
      <c r="L3880" s="1674">
        <v>400000</v>
      </c>
      <c r="N3880" s="1674">
        <f t="shared" si="60"/>
        <v>0</v>
      </c>
    </row>
    <row r="3881" spans="2:14">
      <c r="B3881" s="46"/>
      <c r="C3881" s="46"/>
      <c r="D3881" s="39">
        <v>2220101</v>
      </c>
      <c r="E3881" s="40" t="s">
        <v>366</v>
      </c>
      <c r="F3881" s="1956">
        <v>400000</v>
      </c>
      <c r="H3881" s="46"/>
      <c r="I3881" s="46"/>
      <c r="J3881" s="39">
        <v>2220101</v>
      </c>
      <c r="K3881" s="40" t="s">
        <v>366</v>
      </c>
      <c r="L3881" s="1956">
        <v>400000</v>
      </c>
      <c r="N3881" s="1956">
        <f t="shared" si="60"/>
        <v>0</v>
      </c>
    </row>
    <row r="3882" spans="2:14">
      <c r="B3882" s="46"/>
      <c r="C3882" s="46"/>
      <c r="D3882" s="55">
        <v>2220200</v>
      </c>
      <c r="E3882" s="1886" t="s">
        <v>86</v>
      </c>
      <c r="F3882" s="1674">
        <v>950000</v>
      </c>
      <c r="H3882" s="46"/>
      <c r="I3882" s="46"/>
      <c r="J3882" s="55">
        <v>2220200</v>
      </c>
      <c r="K3882" s="1886" t="s">
        <v>86</v>
      </c>
      <c r="L3882" s="1674">
        <v>950000</v>
      </c>
      <c r="N3882" s="1674">
        <f t="shared" si="60"/>
        <v>0</v>
      </c>
    </row>
    <row r="3883" spans="2:14">
      <c r="B3883" s="46"/>
      <c r="C3883" s="46"/>
      <c r="D3883" s="80">
        <v>2220210</v>
      </c>
      <c r="E3883" s="158" t="s">
        <v>687</v>
      </c>
      <c r="F3883" s="1956">
        <v>150000</v>
      </c>
      <c r="H3883" s="46"/>
      <c r="I3883" s="46"/>
      <c r="J3883" s="80">
        <v>2220210</v>
      </c>
      <c r="K3883" s="158" t="s">
        <v>687</v>
      </c>
      <c r="L3883" s="1956">
        <v>150000</v>
      </c>
      <c r="N3883" s="1956">
        <f t="shared" si="60"/>
        <v>0</v>
      </c>
    </row>
    <row r="3884" spans="2:14">
      <c r="B3884" s="46"/>
      <c r="C3884" s="46"/>
      <c r="D3884" s="80">
        <v>2220212</v>
      </c>
      <c r="E3884" s="158" t="s">
        <v>688</v>
      </c>
      <c r="F3884" s="1956">
        <v>300000</v>
      </c>
      <c r="H3884" s="46"/>
      <c r="I3884" s="46"/>
      <c r="J3884" s="80">
        <v>2220212</v>
      </c>
      <c r="K3884" s="158" t="s">
        <v>688</v>
      </c>
      <c r="L3884" s="1956">
        <v>300000</v>
      </c>
      <c r="N3884" s="1956">
        <f t="shared" si="60"/>
        <v>0</v>
      </c>
    </row>
    <row r="3885" spans="2:14" ht="30">
      <c r="B3885" s="46"/>
      <c r="C3885" s="46"/>
      <c r="D3885" s="80">
        <v>2220299</v>
      </c>
      <c r="E3885" s="158" t="s">
        <v>1354</v>
      </c>
      <c r="F3885" s="1956">
        <v>500000</v>
      </c>
      <c r="H3885" s="46"/>
      <c r="I3885" s="46"/>
      <c r="J3885" s="80">
        <v>2220299</v>
      </c>
      <c r="K3885" s="158" t="s">
        <v>1354</v>
      </c>
      <c r="L3885" s="1956">
        <v>500000</v>
      </c>
      <c r="N3885" s="1956">
        <f t="shared" si="60"/>
        <v>0</v>
      </c>
    </row>
    <row r="3886" spans="2:14">
      <c r="B3886" s="46"/>
      <c r="C3886" s="46"/>
      <c r="D3886" s="55">
        <v>3111000</v>
      </c>
      <c r="E3886" s="1518" t="s">
        <v>69</v>
      </c>
      <c r="F3886" s="1674">
        <v>500000</v>
      </c>
      <c r="H3886" s="46"/>
      <c r="I3886" s="46"/>
      <c r="J3886" s="55">
        <v>3111000</v>
      </c>
      <c r="K3886" s="1518" t="s">
        <v>69</v>
      </c>
      <c r="L3886" s="1674">
        <v>500000</v>
      </c>
      <c r="N3886" s="1674">
        <f t="shared" si="60"/>
        <v>0</v>
      </c>
    </row>
    <row r="3887" spans="2:14">
      <c r="B3887" s="46"/>
      <c r="C3887" s="46"/>
      <c r="D3887" s="80">
        <v>3111002</v>
      </c>
      <c r="E3887" s="158" t="s">
        <v>71</v>
      </c>
      <c r="F3887" s="1956">
        <v>500000</v>
      </c>
      <c r="H3887" s="46"/>
      <c r="I3887" s="46"/>
      <c r="J3887" s="80">
        <v>3111002</v>
      </c>
      <c r="K3887" s="158" t="s">
        <v>71</v>
      </c>
      <c r="L3887" s="1956">
        <v>500000</v>
      </c>
      <c r="N3887" s="1956">
        <f t="shared" si="60"/>
        <v>0</v>
      </c>
    </row>
    <row r="3888" spans="2:14">
      <c r="B3888" s="46"/>
      <c r="C3888" s="46"/>
      <c r="D3888" s="80"/>
      <c r="E3888" s="1756" t="s">
        <v>128</v>
      </c>
      <c r="F3888" s="1686">
        <v>51454569</v>
      </c>
      <c r="H3888" s="46"/>
      <c r="I3888" s="46"/>
      <c r="J3888" s="80"/>
      <c r="K3888" s="1756" t="s">
        <v>128</v>
      </c>
      <c r="L3888" s="1686">
        <v>51454569</v>
      </c>
      <c r="N3888" s="1686">
        <f t="shared" si="60"/>
        <v>0</v>
      </c>
    </row>
    <row r="3889" spans="2:14">
      <c r="B3889" s="46"/>
      <c r="C3889" s="46"/>
      <c r="D3889" s="80"/>
      <c r="E3889" s="1699"/>
      <c r="F3889" s="1674"/>
      <c r="H3889" s="46"/>
      <c r="I3889" s="46"/>
      <c r="J3889" s="80"/>
      <c r="K3889" s="1699"/>
      <c r="L3889" s="1674"/>
      <c r="N3889" s="1674">
        <f t="shared" si="60"/>
        <v>0</v>
      </c>
    </row>
    <row r="3890" spans="2:14">
      <c r="B3890" s="46"/>
      <c r="C3890" s="46"/>
      <c r="D3890" s="80"/>
      <c r="E3890" s="1620" t="s">
        <v>92</v>
      </c>
      <c r="F3890" s="1674"/>
      <c r="H3890" s="46"/>
      <c r="I3890" s="46"/>
      <c r="J3890" s="80"/>
      <c r="K3890" s="1620" t="s">
        <v>92</v>
      </c>
      <c r="L3890" s="1674"/>
      <c r="N3890" s="1674">
        <f t="shared" si="60"/>
        <v>0</v>
      </c>
    </row>
    <row r="3891" spans="2:14">
      <c r="B3891" s="25"/>
      <c r="C3891" s="25"/>
      <c r="D3891" s="1671">
        <v>3110500</v>
      </c>
      <c r="E3891" s="1680" t="s">
        <v>689</v>
      </c>
      <c r="F3891" s="1689">
        <v>23100000</v>
      </c>
      <c r="H3891" s="25"/>
      <c r="I3891" s="25"/>
      <c r="J3891" s="1671">
        <v>3110500</v>
      </c>
      <c r="K3891" s="1680" t="s">
        <v>689</v>
      </c>
      <c r="L3891" s="1689">
        <v>23100000</v>
      </c>
      <c r="N3891" s="1689">
        <f t="shared" si="60"/>
        <v>0</v>
      </c>
    </row>
    <row r="3892" spans="2:14" ht="30">
      <c r="B3892" s="25"/>
      <c r="C3892" s="25"/>
      <c r="D3892" s="61">
        <v>3110504</v>
      </c>
      <c r="E3892" s="74" t="s">
        <v>1355</v>
      </c>
      <c r="F3892" s="169">
        <v>17100000</v>
      </c>
      <c r="H3892" s="25"/>
      <c r="I3892" s="25"/>
      <c r="J3892" s="61">
        <v>3110504</v>
      </c>
      <c r="K3892" s="74" t="s">
        <v>1355</v>
      </c>
      <c r="L3892" s="169">
        <v>17100000</v>
      </c>
      <c r="N3892" s="169">
        <f t="shared" si="60"/>
        <v>0</v>
      </c>
    </row>
    <row r="3893" spans="2:14">
      <c r="B3893" s="25"/>
      <c r="C3893" s="25"/>
      <c r="D3893" s="61">
        <v>3110599</v>
      </c>
      <c r="E3893" s="74" t="s">
        <v>1356</v>
      </c>
      <c r="F3893" s="169">
        <v>6000000</v>
      </c>
      <c r="H3893" s="25"/>
      <c r="I3893" s="25"/>
      <c r="J3893" s="61">
        <v>3110599</v>
      </c>
      <c r="K3893" s="74" t="s">
        <v>1356</v>
      </c>
      <c r="L3893" s="169">
        <v>6000000</v>
      </c>
      <c r="N3893" s="169">
        <f t="shared" si="60"/>
        <v>0</v>
      </c>
    </row>
    <row r="3894" spans="2:14">
      <c r="B3894" s="25"/>
      <c r="C3894" s="25"/>
      <c r="D3894" s="1671">
        <v>3110600</v>
      </c>
      <c r="E3894" s="1584" t="s">
        <v>702</v>
      </c>
      <c r="F3894" s="1603">
        <v>1500000</v>
      </c>
      <c r="H3894" s="25"/>
      <c r="I3894" s="25"/>
      <c r="J3894" s="1671">
        <v>3110600</v>
      </c>
      <c r="K3894" s="1584" t="s">
        <v>702</v>
      </c>
      <c r="L3894" s="1603">
        <v>1500000</v>
      </c>
      <c r="N3894" s="1603">
        <f t="shared" si="60"/>
        <v>0</v>
      </c>
    </row>
    <row r="3895" spans="2:14">
      <c r="B3895" s="25"/>
      <c r="C3895" s="25"/>
      <c r="D3895" s="61">
        <v>3110699</v>
      </c>
      <c r="E3895" s="158" t="s">
        <v>1357</v>
      </c>
      <c r="F3895" s="169">
        <v>1500000</v>
      </c>
      <c r="H3895" s="25"/>
      <c r="I3895" s="25"/>
      <c r="J3895" s="61">
        <v>3110699</v>
      </c>
      <c r="K3895" s="158" t="s">
        <v>1357</v>
      </c>
      <c r="L3895" s="169">
        <v>1500000</v>
      </c>
      <c r="N3895" s="169">
        <f t="shared" si="60"/>
        <v>0</v>
      </c>
    </row>
    <row r="3896" spans="2:14">
      <c r="B3896" s="46"/>
      <c r="C3896" s="46"/>
      <c r="D3896" s="80"/>
      <c r="E3896" s="1756" t="s">
        <v>261</v>
      </c>
      <c r="F3896" s="1686">
        <v>24600000</v>
      </c>
      <c r="H3896" s="46"/>
      <c r="I3896" s="46"/>
      <c r="J3896" s="80"/>
      <c r="K3896" s="1756" t="s">
        <v>261</v>
      </c>
      <c r="L3896" s="1686">
        <v>24600000</v>
      </c>
      <c r="N3896" s="1686">
        <f t="shared" si="60"/>
        <v>0</v>
      </c>
    </row>
    <row r="3897" spans="2:14">
      <c r="B3897" s="46"/>
      <c r="C3897" s="46"/>
      <c r="D3897" s="80"/>
      <c r="E3897" s="1620" t="s">
        <v>690</v>
      </c>
      <c r="F3897" s="1686">
        <v>76054569</v>
      </c>
      <c r="H3897" s="46"/>
      <c r="I3897" s="46"/>
      <c r="J3897" s="80"/>
      <c r="K3897" s="1620" t="s">
        <v>690</v>
      </c>
      <c r="L3897" s="1686">
        <v>76054569</v>
      </c>
      <c r="N3897" s="1686">
        <f t="shared" si="60"/>
        <v>0</v>
      </c>
    </row>
    <row r="3898" spans="2:14">
      <c r="B3898" s="46"/>
      <c r="C3898" s="46"/>
      <c r="D3898" s="80"/>
      <c r="E3898" s="158"/>
      <c r="F3898" s="161"/>
      <c r="H3898" s="46"/>
      <c r="I3898" s="46"/>
      <c r="J3898" s="80"/>
      <c r="K3898" s="158"/>
      <c r="L3898" s="161"/>
      <c r="N3898" s="161">
        <f t="shared" si="60"/>
        <v>0</v>
      </c>
    </row>
    <row r="3899" spans="2:14">
      <c r="B3899" s="1604" t="s">
        <v>144</v>
      </c>
      <c r="C3899" s="1604" t="s">
        <v>146</v>
      </c>
      <c r="D3899" s="80"/>
      <c r="E3899" s="1620" t="s">
        <v>691</v>
      </c>
      <c r="F3899" s="161"/>
      <c r="H3899" s="1604" t="s">
        <v>144</v>
      </c>
      <c r="I3899" s="1604" t="s">
        <v>146</v>
      </c>
      <c r="J3899" s="80"/>
      <c r="K3899" s="1620" t="s">
        <v>691</v>
      </c>
      <c r="L3899" s="161"/>
      <c r="N3899" s="161">
        <f t="shared" si="60"/>
        <v>0</v>
      </c>
    </row>
    <row r="3900" spans="2:14">
      <c r="B3900" s="46"/>
      <c r="C3900" s="46"/>
      <c r="D3900" s="1761">
        <v>2210100</v>
      </c>
      <c r="E3900" s="1727" t="s">
        <v>16</v>
      </c>
      <c r="F3900" s="1603">
        <v>880000</v>
      </c>
      <c r="H3900" s="46"/>
      <c r="I3900" s="46"/>
      <c r="J3900" s="1761">
        <v>2210100</v>
      </c>
      <c r="K3900" s="1727" t="s">
        <v>16</v>
      </c>
      <c r="L3900" s="1603">
        <v>880000</v>
      </c>
      <c r="N3900" s="1603">
        <f t="shared" si="60"/>
        <v>0</v>
      </c>
    </row>
    <row r="3901" spans="2:14">
      <c r="B3901" s="46"/>
      <c r="C3901" s="46"/>
      <c r="D3901" s="80">
        <v>2210102</v>
      </c>
      <c r="E3901" s="158" t="s">
        <v>1358</v>
      </c>
      <c r="F3901" s="1956">
        <v>880000</v>
      </c>
      <c r="H3901" s="46"/>
      <c r="I3901" s="46"/>
      <c r="J3901" s="80">
        <v>2210102</v>
      </c>
      <c r="K3901" s="158" t="s">
        <v>1358</v>
      </c>
      <c r="L3901" s="1956">
        <v>880000</v>
      </c>
      <c r="N3901" s="1956">
        <f t="shared" si="60"/>
        <v>0</v>
      </c>
    </row>
    <row r="3902" spans="2:14">
      <c r="B3902" s="46"/>
      <c r="C3902" s="46"/>
      <c r="D3902" s="1761">
        <v>2210200</v>
      </c>
      <c r="E3902" s="1699" t="s">
        <v>20</v>
      </c>
      <c r="F3902" s="1674">
        <v>58000</v>
      </c>
      <c r="H3902" s="46"/>
      <c r="I3902" s="46"/>
      <c r="J3902" s="1761">
        <v>2210200</v>
      </c>
      <c r="K3902" s="1699" t="s">
        <v>20</v>
      </c>
      <c r="L3902" s="1674">
        <v>58000</v>
      </c>
      <c r="N3902" s="1674">
        <f t="shared" si="60"/>
        <v>0</v>
      </c>
    </row>
    <row r="3903" spans="2:14">
      <c r="B3903" s="46"/>
      <c r="C3903" s="46"/>
      <c r="D3903" s="80">
        <v>2210201</v>
      </c>
      <c r="E3903" s="158" t="s">
        <v>113</v>
      </c>
      <c r="F3903" s="1956">
        <v>58000</v>
      </c>
      <c r="H3903" s="46"/>
      <c r="I3903" s="46"/>
      <c r="J3903" s="80">
        <v>2210201</v>
      </c>
      <c r="K3903" s="158" t="s">
        <v>113</v>
      </c>
      <c r="L3903" s="1956">
        <v>58000</v>
      </c>
      <c r="N3903" s="1956">
        <f t="shared" si="60"/>
        <v>0</v>
      </c>
    </row>
    <row r="3904" spans="2:14">
      <c r="B3904" s="46"/>
      <c r="C3904" s="46"/>
      <c r="D3904" s="1761">
        <v>2210300</v>
      </c>
      <c r="E3904" s="1699" t="s">
        <v>24</v>
      </c>
      <c r="F3904" s="1674">
        <v>1493000</v>
      </c>
      <c r="H3904" s="46"/>
      <c r="I3904" s="46"/>
      <c r="J3904" s="1761">
        <v>2210300</v>
      </c>
      <c r="K3904" s="1699" t="s">
        <v>24</v>
      </c>
      <c r="L3904" s="1674">
        <v>1493000</v>
      </c>
      <c r="N3904" s="1674">
        <f t="shared" si="60"/>
        <v>0</v>
      </c>
    </row>
    <row r="3905" spans="2:14">
      <c r="B3905" s="46"/>
      <c r="C3905" s="46"/>
      <c r="D3905" s="39">
        <v>2210301</v>
      </c>
      <c r="E3905" s="40" t="s">
        <v>188</v>
      </c>
      <c r="F3905" s="1956">
        <v>232000</v>
      </c>
      <c r="H3905" s="46"/>
      <c r="I3905" s="46"/>
      <c r="J3905" s="39">
        <v>2210301</v>
      </c>
      <c r="K3905" s="40" t="s">
        <v>188</v>
      </c>
      <c r="L3905" s="1956">
        <v>232000</v>
      </c>
      <c r="N3905" s="1956">
        <f t="shared" si="60"/>
        <v>0</v>
      </c>
    </row>
    <row r="3906" spans="2:14">
      <c r="B3906" s="46"/>
      <c r="C3906" s="46"/>
      <c r="D3906" s="80">
        <v>2210302</v>
      </c>
      <c r="E3906" s="158" t="s">
        <v>26</v>
      </c>
      <c r="F3906" s="1956">
        <v>261000</v>
      </c>
      <c r="H3906" s="46"/>
      <c r="I3906" s="46"/>
      <c r="J3906" s="80">
        <v>2210302</v>
      </c>
      <c r="K3906" s="158" t="s">
        <v>26</v>
      </c>
      <c r="L3906" s="1956">
        <v>261000</v>
      </c>
      <c r="N3906" s="1956">
        <f t="shared" si="60"/>
        <v>0</v>
      </c>
    </row>
    <row r="3907" spans="2:14" ht="30">
      <c r="B3907" s="25"/>
      <c r="C3907" s="25"/>
      <c r="D3907" s="61">
        <v>2210303</v>
      </c>
      <c r="E3907" s="74" t="s">
        <v>1359</v>
      </c>
      <c r="F3907" s="135">
        <v>1000000</v>
      </c>
      <c r="H3907" s="25"/>
      <c r="I3907" s="25"/>
      <c r="J3907" s="61">
        <v>2210303</v>
      </c>
      <c r="K3907" s="74" t="s">
        <v>1359</v>
      </c>
      <c r="L3907" s="135">
        <v>1000000</v>
      </c>
      <c r="N3907" s="135">
        <f t="shared" si="60"/>
        <v>0</v>
      </c>
    </row>
    <row r="3908" spans="2:14">
      <c r="B3908" s="46"/>
      <c r="C3908" s="46"/>
      <c r="D3908" s="1761">
        <v>2210500</v>
      </c>
      <c r="E3908" s="1699" t="s">
        <v>31</v>
      </c>
      <c r="F3908" s="1674">
        <v>60000</v>
      </c>
      <c r="H3908" s="46"/>
      <c r="I3908" s="46"/>
      <c r="J3908" s="1761">
        <v>2210500</v>
      </c>
      <c r="K3908" s="1699" t="s">
        <v>31</v>
      </c>
      <c r="L3908" s="1674">
        <v>60000</v>
      </c>
      <c r="N3908" s="1674">
        <f t="shared" si="60"/>
        <v>0</v>
      </c>
    </row>
    <row r="3909" spans="2:14" ht="30">
      <c r="B3909" s="46"/>
      <c r="C3909" s="46"/>
      <c r="D3909" s="80">
        <v>2210503</v>
      </c>
      <c r="E3909" s="158" t="s">
        <v>692</v>
      </c>
      <c r="F3909" s="1956">
        <v>10000</v>
      </c>
      <c r="H3909" s="46"/>
      <c r="I3909" s="46"/>
      <c r="J3909" s="80">
        <v>2210503</v>
      </c>
      <c r="K3909" s="158" t="s">
        <v>692</v>
      </c>
      <c r="L3909" s="1956">
        <v>10000</v>
      </c>
      <c r="N3909" s="1956">
        <f t="shared" si="60"/>
        <v>0</v>
      </c>
    </row>
    <row r="3910" spans="2:14">
      <c r="B3910" s="46"/>
      <c r="C3910" s="46"/>
      <c r="D3910" s="80">
        <v>2210504</v>
      </c>
      <c r="E3910" s="158" t="s">
        <v>171</v>
      </c>
      <c r="F3910" s="1956">
        <v>50000</v>
      </c>
      <c r="H3910" s="46"/>
      <c r="I3910" s="46"/>
      <c r="J3910" s="80">
        <v>2210504</v>
      </c>
      <c r="K3910" s="158" t="s">
        <v>171</v>
      </c>
      <c r="L3910" s="1956">
        <v>50000</v>
      </c>
      <c r="N3910" s="1956">
        <f t="shared" si="60"/>
        <v>0</v>
      </c>
    </row>
    <row r="3911" spans="2:14">
      <c r="B3911" s="46"/>
      <c r="C3911" s="46"/>
      <c r="D3911" s="1761">
        <v>2210700</v>
      </c>
      <c r="E3911" s="1699" t="s">
        <v>35</v>
      </c>
      <c r="F3911" s="1674">
        <v>450000</v>
      </c>
      <c r="H3911" s="46"/>
      <c r="I3911" s="46"/>
      <c r="J3911" s="1761">
        <v>2210700</v>
      </c>
      <c r="K3911" s="1699" t="s">
        <v>35</v>
      </c>
      <c r="L3911" s="1674">
        <v>450000</v>
      </c>
      <c r="N3911" s="1674">
        <f t="shared" si="60"/>
        <v>0</v>
      </c>
    </row>
    <row r="3912" spans="2:14">
      <c r="B3912" s="46"/>
      <c r="C3912" s="46"/>
      <c r="D3912" s="39">
        <v>2210701</v>
      </c>
      <c r="E3912" s="1957" t="s">
        <v>287</v>
      </c>
      <c r="F3912" s="1956">
        <v>100000</v>
      </c>
      <c r="H3912" s="46"/>
      <c r="I3912" s="46"/>
      <c r="J3912" s="39">
        <v>2210701</v>
      </c>
      <c r="K3912" s="1957" t="s">
        <v>287</v>
      </c>
      <c r="L3912" s="1956">
        <v>100000</v>
      </c>
      <c r="N3912" s="1956">
        <f t="shared" ref="N3912:N3975" si="61">F3912-L3912</f>
        <v>0</v>
      </c>
    </row>
    <row r="3913" spans="2:14">
      <c r="B3913" s="46"/>
      <c r="C3913" s="46"/>
      <c r="D3913" s="39">
        <v>2210710</v>
      </c>
      <c r="E3913" s="1957" t="s">
        <v>288</v>
      </c>
      <c r="F3913" s="1956">
        <v>250000</v>
      </c>
      <c r="H3913" s="46"/>
      <c r="I3913" s="46"/>
      <c r="J3913" s="39">
        <v>2210710</v>
      </c>
      <c r="K3913" s="1957" t="s">
        <v>288</v>
      </c>
      <c r="L3913" s="1956">
        <v>250000</v>
      </c>
      <c r="N3913" s="1956">
        <f t="shared" si="61"/>
        <v>0</v>
      </c>
    </row>
    <row r="3914" spans="2:14">
      <c r="B3914" s="46"/>
      <c r="C3914" s="46"/>
      <c r="D3914" s="80">
        <v>2210799</v>
      </c>
      <c r="E3914" s="158" t="s">
        <v>693</v>
      </c>
      <c r="F3914" s="1956">
        <v>100000</v>
      </c>
      <c r="H3914" s="46"/>
      <c r="I3914" s="46"/>
      <c r="J3914" s="80">
        <v>2210799</v>
      </c>
      <c r="K3914" s="158" t="s">
        <v>693</v>
      </c>
      <c r="L3914" s="1956">
        <v>100000</v>
      </c>
      <c r="N3914" s="1956">
        <f t="shared" si="61"/>
        <v>0</v>
      </c>
    </row>
    <row r="3915" spans="2:14">
      <c r="B3915" s="46"/>
      <c r="C3915" s="46"/>
      <c r="D3915" s="1761">
        <v>2210800</v>
      </c>
      <c r="E3915" s="1699" t="s">
        <v>42</v>
      </c>
      <c r="F3915" s="1674">
        <v>300000</v>
      </c>
      <c r="H3915" s="46"/>
      <c r="I3915" s="46"/>
      <c r="J3915" s="1761">
        <v>2210800</v>
      </c>
      <c r="K3915" s="1699" t="s">
        <v>42</v>
      </c>
      <c r="L3915" s="1674">
        <v>300000</v>
      </c>
      <c r="N3915" s="1674">
        <f t="shared" si="61"/>
        <v>0</v>
      </c>
    </row>
    <row r="3916" spans="2:14">
      <c r="B3916" s="46"/>
      <c r="C3916" s="46"/>
      <c r="D3916" s="80">
        <v>2210801</v>
      </c>
      <c r="E3916" s="158" t="s">
        <v>684</v>
      </c>
      <c r="F3916" s="1956">
        <v>300000</v>
      </c>
      <c r="H3916" s="46"/>
      <c r="I3916" s="46"/>
      <c r="J3916" s="80">
        <v>2210801</v>
      </c>
      <c r="K3916" s="158" t="s">
        <v>684</v>
      </c>
      <c r="L3916" s="1956">
        <v>300000</v>
      </c>
      <c r="N3916" s="1956">
        <f t="shared" si="61"/>
        <v>0</v>
      </c>
    </row>
    <row r="3917" spans="2:14">
      <c r="B3917" s="46"/>
      <c r="C3917" s="46"/>
      <c r="D3917" s="1545">
        <v>2211000</v>
      </c>
      <c r="E3917" s="1958" t="s">
        <v>118</v>
      </c>
      <c r="F3917" s="1674">
        <v>300000</v>
      </c>
      <c r="H3917" s="46"/>
      <c r="I3917" s="46"/>
      <c r="J3917" s="1545">
        <v>2211000</v>
      </c>
      <c r="K3917" s="1958" t="s">
        <v>118</v>
      </c>
      <c r="L3917" s="1674">
        <v>300000</v>
      </c>
      <c r="N3917" s="1674">
        <f t="shared" si="61"/>
        <v>0</v>
      </c>
    </row>
    <row r="3918" spans="2:14">
      <c r="B3918" s="46"/>
      <c r="C3918" s="46"/>
      <c r="D3918" s="80">
        <v>2211016</v>
      </c>
      <c r="E3918" s="158" t="s">
        <v>694</v>
      </c>
      <c r="F3918" s="1956">
        <v>300000</v>
      </c>
      <c r="H3918" s="46"/>
      <c r="I3918" s="46"/>
      <c r="J3918" s="80">
        <v>2211016</v>
      </c>
      <c r="K3918" s="158" t="s">
        <v>694</v>
      </c>
      <c r="L3918" s="1956">
        <v>300000</v>
      </c>
      <c r="N3918" s="1956">
        <f t="shared" si="61"/>
        <v>0</v>
      </c>
    </row>
    <row r="3919" spans="2:14">
      <c r="B3919" s="46"/>
      <c r="C3919" s="46"/>
      <c r="D3919" s="1761">
        <v>2211100</v>
      </c>
      <c r="E3919" s="1699" t="s">
        <v>51</v>
      </c>
      <c r="F3919" s="1674">
        <v>640000</v>
      </c>
      <c r="H3919" s="46"/>
      <c r="I3919" s="46"/>
      <c r="J3919" s="1761">
        <v>2211100</v>
      </c>
      <c r="K3919" s="1699" t="s">
        <v>51</v>
      </c>
      <c r="L3919" s="1674">
        <v>640000</v>
      </c>
      <c r="N3919" s="1674">
        <f t="shared" si="61"/>
        <v>0</v>
      </c>
    </row>
    <row r="3920" spans="2:14">
      <c r="B3920" s="46"/>
      <c r="C3920" s="46"/>
      <c r="D3920" s="80">
        <v>2211101</v>
      </c>
      <c r="E3920" s="158" t="s">
        <v>52</v>
      </c>
      <c r="F3920" s="1956">
        <v>400000</v>
      </c>
      <c r="H3920" s="46"/>
      <c r="I3920" s="46"/>
      <c r="J3920" s="80">
        <v>2211101</v>
      </c>
      <c r="K3920" s="158" t="s">
        <v>52</v>
      </c>
      <c r="L3920" s="1956">
        <v>400000</v>
      </c>
      <c r="N3920" s="1956">
        <f t="shared" si="61"/>
        <v>0</v>
      </c>
    </row>
    <row r="3921" spans="2:14">
      <c r="B3921" s="46"/>
      <c r="C3921" s="46"/>
      <c r="D3921" s="80">
        <v>2211103</v>
      </c>
      <c r="E3921" s="158" t="s">
        <v>686</v>
      </c>
      <c r="F3921" s="1956">
        <v>240000</v>
      </c>
      <c r="H3921" s="46"/>
      <c r="I3921" s="46"/>
      <c r="J3921" s="80">
        <v>2211103</v>
      </c>
      <c r="K3921" s="158" t="s">
        <v>686</v>
      </c>
      <c r="L3921" s="1956">
        <v>240000</v>
      </c>
      <c r="N3921" s="1956">
        <f t="shared" si="61"/>
        <v>0</v>
      </c>
    </row>
    <row r="3922" spans="2:14">
      <c r="B3922" s="46"/>
      <c r="C3922" s="46"/>
      <c r="D3922" s="1761">
        <v>2211200</v>
      </c>
      <c r="E3922" s="1699" t="s">
        <v>55</v>
      </c>
      <c r="F3922" s="1674">
        <v>850000</v>
      </c>
      <c r="H3922" s="46"/>
      <c r="I3922" s="46"/>
      <c r="J3922" s="1761">
        <v>2211200</v>
      </c>
      <c r="K3922" s="1699" t="s">
        <v>55</v>
      </c>
      <c r="L3922" s="1674">
        <v>850000</v>
      </c>
      <c r="N3922" s="1674">
        <f t="shared" si="61"/>
        <v>0</v>
      </c>
    </row>
    <row r="3923" spans="2:14" ht="45">
      <c r="B3923" s="46"/>
      <c r="C3923" s="46"/>
      <c r="D3923" s="80">
        <v>2211201</v>
      </c>
      <c r="E3923" s="158" t="s">
        <v>1353</v>
      </c>
      <c r="F3923" s="1956">
        <v>850000</v>
      </c>
      <c r="H3923" s="46"/>
      <c r="I3923" s="46"/>
      <c r="J3923" s="80">
        <v>2211201</v>
      </c>
      <c r="K3923" s="158" t="s">
        <v>1353</v>
      </c>
      <c r="L3923" s="1956">
        <v>850000</v>
      </c>
      <c r="N3923" s="1956">
        <f t="shared" si="61"/>
        <v>0</v>
      </c>
    </row>
    <row r="3924" spans="2:14">
      <c r="B3924" s="46"/>
      <c r="C3924" s="46"/>
      <c r="D3924" s="1671">
        <v>2211300</v>
      </c>
      <c r="E3924" s="1680" t="s">
        <v>57</v>
      </c>
      <c r="F3924" s="1674">
        <v>15000</v>
      </c>
      <c r="H3924" s="46"/>
      <c r="I3924" s="46"/>
      <c r="J3924" s="1671">
        <v>2211300</v>
      </c>
      <c r="K3924" s="1680" t="s">
        <v>57</v>
      </c>
      <c r="L3924" s="1674">
        <v>15000</v>
      </c>
      <c r="N3924" s="1674">
        <f t="shared" si="61"/>
        <v>0</v>
      </c>
    </row>
    <row r="3925" spans="2:14">
      <c r="B3925" s="46"/>
      <c r="C3925" s="46"/>
      <c r="D3925" s="80">
        <v>2211306</v>
      </c>
      <c r="E3925" s="158" t="s">
        <v>58</v>
      </c>
      <c r="F3925" s="1956">
        <v>15000</v>
      </c>
      <c r="H3925" s="46"/>
      <c r="I3925" s="46"/>
      <c r="J3925" s="80">
        <v>2211306</v>
      </c>
      <c r="K3925" s="158" t="s">
        <v>58</v>
      </c>
      <c r="L3925" s="1956">
        <v>15000</v>
      </c>
      <c r="N3925" s="1956">
        <f t="shared" si="61"/>
        <v>0</v>
      </c>
    </row>
    <row r="3926" spans="2:14">
      <c r="B3926" s="46"/>
      <c r="C3926" s="46"/>
      <c r="D3926" s="1761">
        <v>2220200</v>
      </c>
      <c r="E3926" s="1958" t="s">
        <v>124</v>
      </c>
      <c r="F3926" s="1674">
        <v>400000</v>
      </c>
      <c r="H3926" s="46"/>
      <c r="I3926" s="46"/>
      <c r="J3926" s="1761">
        <v>2220200</v>
      </c>
      <c r="K3926" s="1958" t="s">
        <v>124</v>
      </c>
      <c r="L3926" s="1674">
        <v>400000</v>
      </c>
      <c r="N3926" s="1674">
        <f t="shared" si="61"/>
        <v>0</v>
      </c>
    </row>
    <row r="3927" spans="2:14">
      <c r="B3927" s="46"/>
      <c r="C3927" s="46"/>
      <c r="D3927" s="80">
        <v>2220201</v>
      </c>
      <c r="E3927" s="158" t="s">
        <v>695</v>
      </c>
      <c r="F3927" s="1956">
        <v>400000</v>
      </c>
      <c r="H3927" s="46"/>
      <c r="I3927" s="46"/>
      <c r="J3927" s="80">
        <v>2220201</v>
      </c>
      <c r="K3927" s="158" t="s">
        <v>695</v>
      </c>
      <c r="L3927" s="1956">
        <v>400000</v>
      </c>
      <c r="N3927" s="1956">
        <f t="shared" si="61"/>
        <v>0</v>
      </c>
    </row>
    <row r="3928" spans="2:14">
      <c r="B3928" s="46"/>
      <c r="C3928" s="46"/>
      <c r="D3928" s="1545">
        <v>3111400</v>
      </c>
      <c r="E3928" s="1546" t="s">
        <v>75</v>
      </c>
      <c r="F3928" s="1674">
        <v>350000</v>
      </c>
      <c r="H3928" s="46"/>
      <c r="I3928" s="46"/>
      <c r="J3928" s="1545">
        <v>3111400</v>
      </c>
      <c r="K3928" s="1546" t="s">
        <v>75</v>
      </c>
      <c r="L3928" s="1674">
        <v>350000</v>
      </c>
      <c r="N3928" s="1674">
        <f t="shared" si="61"/>
        <v>0</v>
      </c>
    </row>
    <row r="3929" spans="2:14" ht="30">
      <c r="B3929" s="46"/>
      <c r="C3929" s="46"/>
      <c r="D3929" s="80">
        <v>3111499</v>
      </c>
      <c r="E3929" s="158" t="s">
        <v>1360</v>
      </c>
      <c r="F3929" s="1956">
        <v>350000</v>
      </c>
      <c r="H3929" s="46"/>
      <c r="I3929" s="46"/>
      <c r="J3929" s="80">
        <v>3111499</v>
      </c>
      <c r="K3929" s="158" t="s">
        <v>1360</v>
      </c>
      <c r="L3929" s="1956">
        <v>350000</v>
      </c>
      <c r="N3929" s="1956">
        <f t="shared" si="61"/>
        <v>0</v>
      </c>
    </row>
    <row r="3930" spans="2:14">
      <c r="B3930" s="46"/>
      <c r="C3930" s="46"/>
      <c r="D3930" s="80"/>
      <c r="E3930" s="1756" t="s">
        <v>128</v>
      </c>
      <c r="F3930" s="1686">
        <v>5796000</v>
      </c>
      <c r="H3930" s="46"/>
      <c r="I3930" s="46"/>
      <c r="J3930" s="80"/>
      <c r="K3930" s="1756" t="s">
        <v>128</v>
      </c>
      <c r="L3930" s="1686">
        <v>5796000</v>
      </c>
      <c r="N3930" s="1686">
        <f t="shared" si="61"/>
        <v>0</v>
      </c>
    </row>
    <row r="3931" spans="2:14">
      <c r="B3931" s="46"/>
      <c r="C3931" s="46"/>
      <c r="D3931" s="80"/>
      <c r="E3931" s="1756"/>
      <c r="F3931" s="1686"/>
      <c r="H3931" s="46"/>
      <c r="I3931" s="46"/>
      <c r="J3931" s="80"/>
      <c r="K3931" s="1756"/>
      <c r="L3931" s="1686"/>
      <c r="N3931" s="1686">
        <f t="shared" si="61"/>
        <v>0</v>
      </c>
    </row>
    <row r="3932" spans="2:14">
      <c r="B3932" s="46"/>
      <c r="C3932" s="46"/>
      <c r="D3932" s="61"/>
      <c r="E3932" s="1680" t="s">
        <v>92</v>
      </c>
      <c r="F3932" s="1959"/>
      <c r="H3932" s="46"/>
      <c r="I3932" s="46"/>
      <c r="J3932" s="61"/>
      <c r="K3932" s="1680" t="s">
        <v>92</v>
      </c>
      <c r="L3932" s="1959"/>
      <c r="N3932" s="1959">
        <f t="shared" si="61"/>
        <v>0</v>
      </c>
    </row>
    <row r="3933" spans="2:14">
      <c r="B3933" s="46"/>
      <c r="C3933" s="46"/>
      <c r="D3933" s="1545">
        <v>3110200</v>
      </c>
      <c r="E3933" s="1680" t="s">
        <v>282</v>
      </c>
      <c r="F3933" s="1959">
        <v>4300000</v>
      </c>
      <c r="H3933" s="46"/>
      <c r="I3933" s="46"/>
      <c r="J3933" s="1545">
        <v>3110200</v>
      </c>
      <c r="K3933" s="1680" t="s">
        <v>282</v>
      </c>
      <c r="L3933" s="1959">
        <v>4300000</v>
      </c>
      <c r="N3933" s="1959">
        <f t="shared" si="61"/>
        <v>0</v>
      </c>
    </row>
    <row r="3934" spans="2:14">
      <c r="B3934" s="46"/>
      <c r="C3934" s="46"/>
      <c r="D3934" s="61">
        <v>3110202</v>
      </c>
      <c r="E3934" s="74" t="s">
        <v>1361</v>
      </c>
      <c r="F3934" s="169">
        <v>1500000</v>
      </c>
      <c r="H3934" s="46"/>
      <c r="I3934" s="46"/>
      <c r="J3934" s="61">
        <v>3110202</v>
      </c>
      <c r="K3934" s="74" t="s">
        <v>1361</v>
      </c>
      <c r="L3934" s="169">
        <v>1500000</v>
      </c>
      <c r="N3934" s="169">
        <f t="shared" si="61"/>
        <v>0</v>
      </c>
    </row>
    <row r="3935" spans="2:14">
      <c r="B3935" s="46"/>
      <c r="C3935" s="46"/>
      <c r="D3935" s="61">
        <v>3110299</v>
      </c>
      <c r="E3935" s="158" t="s">
        <v>1362</v>
      </c>
      <c r="F3935" s="169">
        <v>2800000</v>
      </c>
      <c r="H3935" s="46"/>
      <c r="I3935" s="46"/>
      <c r="J3935" s="61">
        <v>3110299</v>
      </c>
      <c r="K3935" s="158" t="s">
        <v>1362</v>
      </c>
      <c r="L3935" s="169">
        <v>2800000</v>
      </c>
      <c r="N3935" s="169">
        <f t="shared" si="61"/>
        <v>0</v>
      </c>
    </row>
    <row r="3936" spans="2:14">
      <c r="B3936" s="46"/>
      <c r="C3936" s="46"/>
      <c r="D3936" s="61"/>
      <c r="E3936" s="1699" t="s">
        <v>261</v>
      </c>
      <c r="F3936" s="1959">
        <v>4300000</v>
      </c>
      <c r="H3936" s="46"/>
      <c r="I3936" s="46"/>
      <c r="J3936" s="61"/>
      <c r="K3936" s="1699" t="s">
        <v>261</v>
      </c>
      <c r="L3936" s="1959">
        <v>4300000</v>
      </c>
      <c r="N3936" s="1959">
        <f t="shared" si="61"/>
        <v>0</v>
      </c>
    </row>
    <row r="3937" spans="2:14">
      <c r="B3937" s="46"/>
      <c r="C3937" s="46"/>
      <c r="D3937" s="61"/>
      <c r="E3937" s="1699" t="s">
        <v>690</v>
      </c>
      <c r="F3937" s="1959">
        <v>10096000</v>
      </c>
      <c r="H3937" s="46"/>
      <c r="I3937" s="46"/>
      <c r="J3937" s="61"/>
      <c r="K3937" s="1699" t="s">
        <v>690</v>
      </c>
      <c r="L3937" s="1959">
        <v>10096000</v>
      </c>
      <c r="N3937" s="1959">
        <f t="shared" si="61"/>
        <v>0</v>
      </c>
    </row>
    <row r="3938" spans="2:14">
      <c r="B3938" s="46"/>
      <c r="C3938" s="46"/>
      <c r="D3938" s="80"/>
      <c r="E3938" s="1618"/>
      <c r="F3938" s="1686"/>
      <c r="H3938" s="46"/>
      <c r="I3938" s="46"/>
      <c r="J3938" s="80"/>
      <c r="K3938" s="1618"/>
      <c r="L3938" s="1686"/>
      <c r="N3938" s="1686">
        <f t="shared" si="61"/>
        <v>0</v>
      </c>
    </row>
    <row r="3939" spans="2:14">
      <c r="B3939" s="1604" t="s">
        <v>168</v>
      </c>
      <c r="C3939" s="1604" t="s">
        <v>146</v>
      </c>
      <c r="D3939" s="80"/>
      <c r="E3939" s="1620" t="s">
        <v>696</v>
      </c>
      <c r="F3939" s="1709"/>
      <c r="H3939" s="1604" t="s">
        <v>168</v>
      </c>
      <c r="I3939" s="1604" t="s">
        <v>146</v>
      </c>
      <c r="J3939" s="80"/>
      <c r="K3939" s="1620" t="s">
        <v>696</v>
      </c>
      <c r="L3939" s="1709"/>
      <c r="N3939" s="1709">
        <f t="shared" si="61"/>
        <v>0</v>
      </c>
    </row>
    <row r="3940" spans="2:14" ht="30">
      <c r="B3940" s="46"/>
      <c r="C3940" s="46"/>
      <c r="D3940" s="80"/>
      <c r="E3940" s="1620" t="s">
        <v>697</v>
      </c>
      <c r="F3940" s="1709"/>
      <c r="H3940" s="46"/>
      <c r="I3940" s="46"/>
      <c r="J3940" s="80"/>
      <c r="K3940" s="1620" t="s">
        <v>697</v>
      </c>
      <c r="L3940" s="1709"/>
      <c r="N3940" s="1709">
        <f t="shared" si="61"/>
        <v>0</v>
      </c>
    </row>
    <row r="3941" spans="2:14">
      <c r="B3941" s="46"/>
      <c r="C3941" s="46"/>
      <c r="D3941" s="1761">
        <v>2210100</v>
      </c>
      <c r="E3941" s="1727" t="s">
        <v>16</v>
      </c>
      <c r="F3941" s="1674">
        <v>1000000</v>
      </c>
      <c r="H3941" s="46"/>
      <c r="I3941" s="46"/>
      <c r="J3941" s="1761">
        <v>2210100</v>
      </c>
      <c r="K3941" s="1727" t="s">
        <v>16</v>
      </c>
      <c r="L3941" s="1674">
        <v>1000000</v>
      </c>
      <c r="N3941" s="1674">
        <f t="shared" si="61"/>
        <v>0</v>
      </c>
    </row>
    <row r="3942" spans="2:14">
      <c r="B3942" s="46"/>
      <c r="C3942" s="46"/>
      <c r="D3942" s="80">
        <v>2210101</v>
      </c>
      <c r="E3942" s="158" t="s">
        <v>17</v>
      </c>
      <c r="F3942" s="1956">
        <v>500000</v>
      </c>
      <c r="H3942" s="46"/>
      <c r="I3942" s="46"/>
      <c r="J3942" s="80">
        <v>2210101</v>
      </c>
      <c r="K3942" s="158" t="s">
        <v>17</v>
      </c>
      <c r="L3942" s="1956">
        <v>500000</v>
      </c>
      <c r="N3942" s="1956">
        <f t="shared" si="61"/>
        <v>0</v>
      </c>
    </row>
    <row r="3943" spans="2:14">
      <c r="B3943" s="25"/>
      <c r="C3943" s="25"/>
      <c r="D3943" s="61">
        <v>2210102</v>
      </c>
      <c r="E3943" s="74" t="s">
        <v>1363</v>
      </c>
      <c r="F3943" s="135">
        <v>500000</v>
      </c>
      <c r="H3943" s="25"/>
      <c r="I3943" s="25"/>
      <c r="J3943" s="61">
        <v>2210102</v>
      </c>
      <c r="K3943" s="74" t="s">
        <v>1363</v>
      </c>
      <c r="L3943" s="135">
        <v>500000</v>
      </c>
      <c r="N3943" s="135">
        <f t="shared" si="61"/>
        <v>0</v>
      </c>
    </row>
    <row r="3944" spans="2:14">
      <c r="B3944" s="46"/>
      <c r="C3944" s="46"/>
      <c r="D3944" s="1761">
        <v>2210300</v>
      </c>
      <c r="E3944" s="1699" t="s">
        <v>24</v>
      </c>
      <c r="F3944" s="1674">
        <v>1089000</v>
      </c>
      <c r="H3944" s="46"/>
      <c r="I3944" s="46"/>
      <c r="J3944" s="1761">
        <v>2210300</v>
      </c>
      <c r="K3944" s="1699" t="s">
        <v>24</v>
      </c>
      <c r="L3944" s="1674">
        <v>1089000</v>
      </c>
      <c r="N3944" s="1674">
        <f t="shared" si="61"/>
        <v>0</v>
      </c>
    </row>
    <row r="3945" spans="2:14">
      <c r="B3945" s="46"/>
      <c r="C3945" s="46"/>
      <c r="D3945" s="80">
        <v>2210301</v>
      </c>
      <c r="E3945" s="158" t="s">
        <v>25</v>
      </c>
      <c r="F3945" s="1956">
        <v>174000</v>
      </c>
      <c r="H3945" s="46"/>
      <c r="I3945" s="46"/>
      <c r="J3945" s="80">
        <v>2210301</v>
      </c>
      <c r="K3945" s="158" t="s">
        <v>25</v>
      </c>
      <c r="L3945" s="1956">
        <v>174000</v>
      </c>
      <c r="N3945" s="1956">
        <f t="shared" si="61"/>
        <v>0</v>
      </c>
    </row>
    <row r="3946" spans="2:14">
      <c r="B3946" s="46"/>
      <c r="C3946" s="46"/>
      <c r="D3946" s="80">
        <v>2210302</v>
      </c>
      <c r="E3946" s="158" t="s">
        <v>26</v>
      </c>
      <c r="F3946" s="1956">
        <v>435000</v>
      </c>
      <c r="H3946" s="46"/>
      <c r="I3946" s="46"/>
      <c r="J3946" s="80">
        <v>2210302</v>
      </c>
      <c r="K3946" s="158" t="s">
        <v>26</v>
      </c>
      <c r="L3946" s="1956">
        <v>435000</v>
      </c>
      <c r="N3946" s="1956">
        <f t="shared" si="61"/>
        <v>0</v>
      </c>
    </row>
    <row r="3947" spans="2:14">
      <c r="B3947" s="46"/>
      <c r="C3947" s="46"/>
      <c r="D3947" s="80">
        <v>2210310</v>
      </c>
      <c r="E3947" s="158" t="s">
        <v>698</v>
      </c>
      <c r="F3947" s="1956">
        <v>480000</v>
      </c>
      <c r="H3947" s="46"/>
      <c r="I3947" s="46"/>
      <c r="J3947" s="80">
        <v>2210310</v>
      </c>
      <c r="K3947" s="158" t="s">
        <v>698</v>
      </c>
      <c r="L3947" s="1956">
        <v>480000</v>
      </c>
      <c r="N3947" s="1956">
        <f t="shared" si="61"/>
        <v>0</v>
      </c>
    </row>
    <row r="3948" spans="2:14">
      <c r="B3948" s="46"/>
      <c r="C3948" s="46"/>
      <c r="D3948" s="1761">
        <v>2210700</v>
      </c>
      <c r="E3948" s="1699" t="s">
        <v>35</v>
      </c>
      <c r="F3948" s="1674">
        <v>100000</v>
      </c>
      <c r="H3948" s="46"/>
      <c r="I3948" s="46"/>
      <c r="J3948" s="1761">
        <v>2210700</v>
      </c>
      <c r="K3948" s="1699" t="s">
        <v>35</v>
      </c>
      <c r="L3948" s="1674">
        <v>100000</v>
      </c>
      <c r="N3948" s="1674">
        <f t="shared" si="61"/>
        <v>0</v>
      </c>
    </row>
    <row r="3949" spans="2:14">
      <c r="B3949" s="46"/>
      <c r="C3949" s="46"/>
      <c r="D3949" s="80">
        <v>2210799</v>
      </c>
      <c r="E3949" s="158" t="s">
        <v>699</v>
      </c>
      <c r="F3949" s="1956">
        <v>100000</v>
      </c>
      <c r="H3949" s="46"/>
      <c r="I3949" s="46"/>
      <c r="J3949" s="80">
        <v>2210799</v>
      </c>
      <c r="K3949" s="158" t="s">
        <v>699</v>
      </c>
      <c r="L3949" s="1956">
        <v>100000</v>
      </c>
      <c r="N3949" s="1956">
        <f t="shared" si="61"/>
        <v>0</v>
      </c>
    </row>
    <row r="3950" spans="2:14">
      <c r="B3950" s="46"/>
      <c r="C3950" s="46"/>
      <c r="D3950" s="1761">
        <v>2211000</v>
      </c>
      <c r="E3950" s="1958" t="s">
        <v>118</v>
      </c>
      <c r="F3950" s="1674">
        <v>250000</v>
      </c>
      <c r="H3950" s="46"/>
      <c r="I3950" s="46"/>
      <c r="J3950" s="1761">
        <v>2211000</v>
      </c>
      <c r="K3950" s="1958" t="s">
        <v>118</v>
      </c>
      <c r="L3950" s="1674">
        <v>250000</v>
      </c>
      <c r="N3950" s="1674">
        <f t="shared" si="61"/>
        <v>0</v>
      </c>
    </row>
    <row r="3951" spans="2:14">
      <c r="B3951" s="46"/>
      <c r="C3951" s="46"/>
      <c r="D3951" s="80">
        <v>2211016</v>
      </c>
      <c r="E3951" s="158" t="s">
        <v>1364</v>
      </c>
      <c r="F3951" s="1956">
        <v>250000</v>
      </c>
      <c r="H3951" s="46"/>
      <c r="I3951" s="46"/>
      <c r="J3951" s="80">
        <v>2211016</v>
      </c>
      <c r="K3951" s="158" t="s">
        <v>1364</v>
      </c>
      <c r="L3951" s="1956">
        <v>250000</v>
      </c>
      <c r="N3951" s="1956">
        <f t="shared" si="61"/>
        <v>0</v>
      </c>
    </row>
    <row r="3952" spans="2:14">
      <c r="B3952" s="46"/>
      <c r="C3952" s="46"/>
      <c r="D3952" s="1761">
        <v>2211200</v>
      </c>
      <c r="E3952" s="1699" t="s">
        <v>55</v>
      </c>
      <c r="F3952" s="1674">
        <v>1000000</v>
      </c>
      <c r="H3952" s="46"/>
      <c r="I3952" s="46"/>
      <c r="J3952" s="1761">
        <v>2211200</v>
      </c>
      <c r="K3952" s="1699" t="s">
        <v>55</v>
      </c>
      <c r="L3952" s="1674">
        <v>1000000</v>
      </c>
      <c r="N3952" s="1674">
        <f t="shared" si="61"/>
        <v>0</v>
      </c>
    </row>
    <row r="3953" spans="2:14" ht="45">
      <c r="B3953" s="46"/>
      <c r="C3953" s="46"/>
      <c r="D3953" s="80">
        <v>2211201</v>
      </c>
      <c r="E3953" s="158" t="s">
        <v>1353</v>
      </c>
      <c r="F3953" s="1956">
        <v>1000000</v>
      </c>
      <c r="H3953" s="46"/>
      <c r="I3953" s="46"/>
      <c r="J3953" s="80">
        <v>2211201</v>
      </c>
      <c r="K3953" s="158" t="s">
        <v>1353</v>
      </c>
      <c r="L3953" s="1956">
        <v>1000000</v>
      </c>
      <c r="N3953" s="1956">
        <f t="shared" si="61"/>
        <v>0</v>
      </c>
    </row>
    <row r="3954" spans="2:14">
      <c r="B3954" s="46"/>
      <c r="C3954" s="46"/>
      <c r="D3954" s="1761">
        <v>2220200</v>
      </c>
      <c r="E3954" s="1958" t="s">
        <v>124</v>
      </c>
      <c r="F3954" s="1674">
        <v>400000</v>
      </c>
      <c r="H3954" s="46"/>
      <c r="I3954" s="46"/>
      <c r="J3954" s="1761">
        <v>2220200</v>
      </c>
      <c r="K3954" s="1958" t="s">
        <v>124</v>
      </c>
      <c r="L3954" s="1674">
        <v>400000</v>
      </c>
      <c r="N3954" s="1674">
        <f t="shared" si="61"/>
        <v>0</v>
      </c>
    </row>
    <row r="3955" spans="2:14" ht="30">
      <c r="B3955" s="46"/>
      <c r="C3955" s="46"/>
      <c r="D3955" s="80">
        <v>2220201</v>
      </c>
      <c r="E3955" s="158" t="s">
        <v>700</v>
      </c>
      <c r="F3955" s="1956">
        <v>400000</v>
      </c>
      <c r="H3955" s="46"/>
      <c r="I3955" s="46"/>
      <c r="J3955" s="80">
        <v>2220201</v>
      </c>
      <c r="K3955" s="158" t="s">
        <v>700</v>
      </c>
      <c r="L3955" s="1956">
        <v>400000</v>
      </c>
      <c r="N3955" s="1956">
        <f t="shared" si="61"/>
        <v>0</v>
      </c>
    </row>
    <row r="3956" spans="2:14">
      <c r="B3956" s="46"/>
      <c r="C3956" s="46"/>
      <c r="D3956" s="55">
        <v>3111000</v>
      </c>
      <c r="E3956" s="1518" t="s">
        <v>69</v>
      </c>
      <c r="F3956" s="1674">
        <v>600000</v>
      </c>
      <c r="H3956" s="46"/>
      <c r="I3956" s="46"/>
      <c r="J3956" s="55">
        <v>3111000</v>
      </c>
      <c r="K3956" s="1518" t="s">
        <v>69</v>
      </c>
      <c r="L3956" s="1674">
        <v>600000</v>
      </c>
      <c r="N3956" s="1674">
        <f t="shared" si="61"/>
        <v>0</v>
      </c>
    </row>
    <row r="3957" spans="2:14">
      <c r="B3957" s="46"/>
      <c r="C3957" s="46"/>
      <c r="D3957" s="80">
        <v>3111002</v>
      </c>
      <c r="E3957" s="158" t="s">
        <v>71</v>
      </c>
      <c r="F3957" s="1956">
        <v>600000</v>
      </c>
      <c r="H3957" s="46"/>
      <c r="I3957" s="46"/>
      <c r="J3957" s="80">
        <v>3111002</v>
      </c>
      <c r="K3957" s="158" t="s">
        <v>71</v>
      </c>
      <c r="L3957" s="1956">
        <v>600000</v>
      </c>
      <c r="N3957" s="1956">
        <f t="shared" si="61"/>
        <v>0</v>
      </c>
    </row>
    <row r="3958" spans="2:14">
      <c r="B3958" s="46"/>
      <c r="C3958" s="46"/>
      <c r="D3958" s="80"/>
      <c r="E3958" s="1756" t="s">
        <v>128</v>
      </c>
      <c r="F3958" s="1686">
        <v>4439000</v>
      </c>
      <c r="H3958" s="46"/>
      <c r="I3958" s="46"/>
      <c r="J3958" s="80"/>
      <c r="K3958" s="1756" t="s">
        <v>128</v>
      </c>
      <c r="L3958" s="1686">
        <v>4439000</v>
      </c>
      <c r="N3958" s="1686">
        <f t="shared" si="61"/>
        <v>0</v>
      </c>
    </row>
    <row r="3959" spans="2:14">
      <c r="B3959" s="46"/>
      <c r="C3959" s="46"/>
      <c r="D3959" s="80"/>
      <c r="E3959" s="1618"/>
      <c r="F3959" s="1686"/>
      <c r="H3959" s="46"/>
      <c r="I3959" s="46"/>
      <c r="J3959" s="80"/>
      <c r="K3959" s="1618"/>
      <c r="L3959" s="1686"/>
      <c r="N3959" s="1686">
        <f t="shared" si="61"/>
        <v>0</v>
      </c>
    </row>
    <row r="3960" spans="2:14">
      <c r="B3960" s="46"/>
      <c r="C3960" s="46"/>
      <c r="D3960" s="80"/>
      <c r="E3960" s="1620" t="s">
        <v>92</v>
      </c>
      <c r="F3960" s="1686"/>
      <c r="H3960" s="46"/>
      <c r="I3960" s="46"/>
      <c r="J3960" s="80"/>
      <c r="K3960" s="1620" t="s">
        <v>92</v>
      </c>
      <c r="L3960" s="1686"/>
      <c r="N3960" s="1686">
        <f t="shared" si="61"/>
        <v>0</v>
      </c>
    </row>
    <row r="3961" spans="2:14">
      <c r="B3961" s="46"/>
      <c r="C3961" s="46"/>
      <c r="D3961" s="1545">
        <v>3110400</v>
      </c>
      <c r="E3961" s="1546" t="s">
        <v>701</v>
      </c>
      <c r="F3961" s="1674">
        <v>22500000</v>
      </c>
      <c r="H3961" s="46"/>
      <c r="I3961" s="46"/>
      <c r="J3961" s="1545">
        <v>3110400</v>
      </c>
      <c r="K3961" s="1546" t="s">
        <v>701</v>
      </c>
      <c r="L3961" s="1674">
        <v>22500000</v>
      </c>
      <c r="N3961" s="1674">
        <f t="shared" si="61"/>
        <v>0</v>
      </c>
    </row>
    <row r="3962" spans="2:14">
      <c r="B3962" s="46"/>
      <c r="C3962" s="46"/>
      <c r="D3962" s="80">
        <v>3110402</v>
      </c>
      <c r="E3962" s="158" t="s">
        <v>1365</v>
      </c>
      <c r="F3962" s="169">
        <v>2500000</v>
      </c>
      <c r="H3962" s="46"/>
      <c r="I3962" s="46"/>
      <c r="J3962" s="80">
        <v>3110402</v>
      </c>
      <c r="K3962" s="158" t="s">
        <v>1365</v>
      </c>
      <c r="L3962" s="169">
        <v>2500000</v>
      </c>
      <c r="N3962" s="169">
        <f t="shared" si="61"/>
        <v>0</v>
      </c>
    </row>
    <row r="3963" spans="2:14" ht="30">
      <c r="B3963" s="46"/>
      <c r="C3963" s="46"/>
      <c r="D3963" s="80">
        <v>3110499</v>
      </c>
      <c r="E3963" s="158" t="s">
        <v>1366</v>
      </c>
      <c r="F3963" s="1956">
        <v>20000000</v>
      </c>
      <c r="H3963" s="46"/>
      <c r="I3963" s="46"/>
      <c r="J3963" s="80">
        <v>3110499</v>
      </c>
      <c r="K3963" s="158" t="s">
        <v>1366</v>
      </c>
      <c r="L3963" s="1956">
        <v>20000000</v>
      </c>
      <c r="N3963" s="1956">
        <f t="shared" si="61"/>
        <v>0</v>
      </c>
    </row>
    <row r="3964" spans="2:14">
      <c r="B3964" s="27"/>
      <c r="C3964" s="27"/>
      <c r="D3964" s="1545">
        <v>3110500</v>
      </c>
      <c r="E3964" s="1546" t="s">
        <v>689</v>
      </c>
      <c r="F3964" s="1674">
        <v>13500000</v>
      </c>
      <c r="H3964" s="27"/>
      <c r="I3964" s="27"/>
      <c r="J3964" s="1545">
        <v>3110500</v>
      </c>
      <c r="K3964" s="1546" t="s">
        <v>689</v>
      </c>
      <c r="L3964" s="1674">
        <v>13500000</v>
      </c>
      <c r="N3964" s="1674">
        <f t="shared" si="61"/>
        <v>0</v>
      </c>
    </row>
    <row r="3965" spans="2:14" ht="45">
      <c r="B3965" s="25"/>
      <c r="C3965" s="25"/>
      <c r="D3965" s="61">
        <v>3110504</v>
      </c>
      <c r="E3965" s="74" t="s">
        <v>1367</v>
      </c>
      <c r="F3965" s="135">
        <v>4500000</v>
      </c>
      <c r="H3965" s="25"/>
      <c r="I3965" s="25"/>
      <c r="J3965" s="61">
        <v>3110504</v>
      </c>
      <c r="K3965" s="74" t="s">
        <v>1367</v>
      </c>
      <c r="L3965" s="135">
        <v>4500000</v>
      </c>
      <c r="N3965" s="135">
        <f t="shared" si="61"/>
        <v>0</v>
      </c>
    </row>
    <row r="3966" spans="2:14" ht="30">
      <c r="B3966" s="25"/>
      <c r="C3966" s="25"/>
      <c r="D3966" s="61">
        <v>3110599</v>
      </c>
      <c r="E3966" s="74" t="s">
        <v>1368</v>
      </c>
      <c r="F3966" s="169">
        <v>9000000</v>
      </c>
      <c r="H3966" s="25"/>
      <c r="I3966" s="25"/>
      <c r="J3966" s="61">
        <v>3110599</v>
      </c>
      <c r="K3966" s="74" t="s">
        <v>1368</v>
      </c>
      <c r="L3966" s="169">
        <v>9000000</v>
      </c>
      <c r="N3966" s="169">
        <f t="shared" si="61"/>
        <v>0</v>
      </c>
    </row>
    <row r="3967" spans="2:14">
      <c r="B3967" s="25"/>
      <c r="C3967" s="25"/>
      <c r="D3967" s="1671">
        <v>3110600</v>
      </c>
      <c r="E3967" s="1584" t="s">
        <v>702</v>
      </c>
      <c r="F3967" s="1689">
        <v>6500000</v>
      </c>
      <c r="H3967" s="25"/>
      <c r="I3967" s="25"/>
      <c r="J3967" s="1671">
        <v>3110600</v>
      </c>
      <c r="K3967" s="1584" t="s">
        <v>702</v>
      </c>
      <c r="L3967" s="1689">
        <v>6500000</v>
      </c>
      <c r="N3967" s="1689">
        <f t="shared" si="61"/>
        <v>0</v>
      </c>
    </row>
    <row r="3968" spans="2:14">
      <c r="B3968" s="25"/>
      <c r="C3968" s="25"/>
      <c r="D3968" s="61">
        <v>3110601</v>
      </c>
      <c r="E3968" s="74" t="s">
        <v>1369</v>
      </c>
      <c r="F3968" s="135">
        <v>6500000</v>
      </c>
      <c r="H3968" s="25"/>
      <c r="I3968" s="25"/>
      <c r="J3968" s="61">
        <v>3110601</v>
      </c>
      <c r="K3968" s="74" t="s">
        <v>1369</v>
      </c>
      <c r="L3968" s="135">
        <v>6500000</v>
      </c>
      <c r="N3968" s="135">
        <f t="shared" si="61"/>
        <v>0</v>
      </c>
    </row>
    <row r="3969" spans="2:14">
      <c r="B3969" s="25"/>
      <c r="C3969" s="25"/>
      <c r="D3969" s="1671">
        <v>3111400</v>
      </c>
      <c r="E3969" s="1680" t="s">
        <v>75</v>
      </c>
      <c r="F3969" s="1689">
        <v>3000000</v>
      </c>
      <c r="H3969" s="25"/>
      <c r="I3969" s="25"/>
      <c r="J3969" s="1671">
        <v>3111400</v>
      </c>
      <c r="K3969" s="1680" t="s">
        <v>75</v>
      </c>
      <c r="L3969" s="1689">
        <v>3000000</v>
      </c>
      <c r="N3969" s="1689">
        <f t="shared" si="61"/>
        <v>0</v>
      </c>
    </row>
    <row r="3970" spans="2:14" ht="30">
      <c r="B3970" s="25"/>
      <c r="C3970" s="25"/>
      <c r="D3970" s="61">
        <v>3111499</v>
      </c>
      <c r="E3970" s="74" t="s">
        <v>1370</v>
      </c>
      <c r="F3970" s="169">
        <v>3000000</v>
      </c>
      <c r="H3970" s="25"/>
      <c r="I3970" s="25"/>
      <c r="J3970" s="61">
        <v>3111499</v>
      </c>
      <c r="K3970" s="74" t="s">
        <v>1370</v>
      </c>
      <c r="L3970" s="169">
        <v>3000000</v>
      </c>
      <c r="N3970" s="169">
        <f t="shared" si="61"/>
        <v>0</v>
      </c>
    </row>
    <row r="3971" spans="2:14">
      <c r="B3971" s="46"/>
      <c r="C3971" s="46"/>
      <c r="D3971" s="80"/>
      <c r="E3971" s="1756" t="s">
        <v>261</v>
      </c>
      <c r="F3971" s="1686">
        <v>45500000</v>
      </c>
      <c r="H3971" s="46"/>
      <c r="I3971" s="46"/>
      <c r="J3971" s="80"/>
      <c r="K3971" s="1756" t="s">
        <v>261</v>
      </c>
      <c r="L3971" s="1686">
        <v>45500000</v>
      </c>
      <c r="N3971" s="1686">
        <f t="shared" si="61"/>
        <v>0</v>
      </c>
    </row>
    <row r="3972" spans="2:14">
      <c r="B3972" s="46"/>
      <c r="C3972" s="46"/>
      <c r="D3972" s="80"/>
      <c r="E3972" s="1620" t="s">
        <v>690</v>
      </c>
      <c r="F3972" s="1686">
        <v>49939000</v>
      </c>
      <c r="H3972" s="46"/>
      <c r="I3972" s="46"/>
      <c r="J3972" s="80"/>
      <c r="K3972" s="1620" t="s">
        <v>690</v>
      </c>
      <c r="L3972" s="1686">
        <v>49939000</v>
      </c>
      <c r="N3972" s="1686">
        <f t="shared" si="61"/>
        <v>0</v>
      </c>
    </row>
    <row r="3973" spans="2:14">
      <c r="B3973" s="46"/>
      <c r="C3973" s="46"/>
      <c r="D3973" s="80"/>
      <c r="E3973" s="158"/>
      <c r="F3973" s="1674"/>
      <c r="H3973" s="46"/>
      <c r="I3973" s="46"/>
      <c r="J3973" s="80"/>
      <c r="K3973" s="158"/>
      <c r="L3973" s="1674"/>
      <c r="N3973" s="1674">
        <f t="shared" si="61"/>
        <v>0</v>
      </c>
    </row>
    <row r="3974" spans="2:14">
      <c r="B3974" s="46"/>
      <c r="C3974" s="46"/>
      <c r="D3974" s="80"/>
      <c r="E3974" s="158"/>
      <c r="F3974" s="1674"/>
      <c r="H3974" s="46"/>
      <c r="I3974" s="46"/>
      <c r="J3974" s="80"/>
      <c r="K3974" s="158"/>
      <c r="L3974" s="1674"/>
      <c r="N3974" s="1674">
        <f t="shared" si="61"/>
        <v>0</v>
      </c>
    </row>
    <row r="3975" spans="2:14">
      <c r="B3975" s="1604" t="s">
        <v>447</v>
      </c>
      <c r="C3975" s="1604" t="s">
        <v>146</v>
      </c>
      <c r="D3975" s="80"/>
      <c r="E3975" s="1620" t="s">
        <v>703</v>
      </c>
      <c r="F3975" s="161"/>
      <c r="H3975" s="1604" t="s">
        <v>447</v>
      </c>
      <c r="I3975" s="1604" t="s">
        <v>146</v>
      </c>
      <c r="J3975" s="80"/>
      <c r="K3975" s="1620" t="s">
        <v>703</v>
      </c>
      <c r="L3975" s="161"/>
      <c r="N3975" s="161">
        <f t="shared" si="61"/>
        <v>0</v>
      </c>
    </row>
    <row r="3976" spans="2:14">
      <c r="B3976" s="46"/>
      <c r="C3976" s="46"/>
      <c r="D3976" s="1761">
        <v>2210100</v>
      </c>
      <c r="E3976" s="1727" t="s">
        <v>16</v>
      </c>
      <c r="F3976" s="1674">
        <v>700000</v>
      </c>
      <c r="H3976" s="46"/>
      <c r="I3976" s="46"/>
      <c r="J3976" s="1761">
        <v>2210100</v>
      </c>
      <c r="K3976" s="1727" t="s">
        <v>16</v>
      </c>
      <c r="L3976" s="1674">
        <v>700000</v>
      </c>
      <c r="N3976" s="1674">
        <f t="shared" ref="N3976:N4039" si="62">F3976-L3976</f>
        <v>0</v>
      </c>
    </row>
    <row r="3977" spans="2:14">
      <c r="B3977" s="46"/>
      <c r="C3977" s="46"/>
      <c r="D3977" s="80">
        <v>2210101</v>
      </c>
      <c r="E3977" s="158" t="s">
        <v>17</v>
      </c>
      <c r="F3977" s="1956">
        <v>700000</v>
      </c>
      <c r="H3977" s="46"/>
      <c r="I3977" s="46"/>
      <c r="J3977" s="80">
        <v>2210101</v>
      </c>
      <c r="K3977" s="158" t="s">
        <v>17</v>
      </c>
      <c r="L3977" s="1956">
        <v>700000</v>
      </c>
      <c r="N3977" s="1956">
        <f t="shared" si="62"/>
        <v>0</v>
      </c>
    </row>
    <row r="3978" spans="2:14">
      <c r="B3978" s="46"/>
      <c r="C3978" s="46"/>
      <c r="D3978" s="1761">
        <v>2210200</v>
      </c>
      <c r="E3978" s="1699" t="s">
        <v>20</v>
      </c>
      <c r="F3978" s="1674">
        <v>87000</v>
      </c>
      <c r="H3978" s="46"/>
      <c r="I3978" s="46"/>
      <c r="J3978" s="1761">
        <v>2210200</v>
      </c>
      <c r="K3978" s="1699" t="s">
        <v>20</v>
      </c>
      <c r="L3978" s="1674">
        <v>87000</v>
      </c>
      <c r="N3978" s="1674">
        <f t="shared" si="62"/>
        <v>0</v>
      </c>
    </row>
    <row r="3979" spans="2:14">
      <c r="B3979" s="46"/>
      <c r="C3979" s="46"/>
      <c r="D3979" s="80">
        <v>2210201</v>
      </c>
      <c r="E3979" s="158" t="s">
        <v>113</v>
      </c>
      <c r="F3979" s="1956">
        <v>87000</v>
      </c>
      <c r="H3979" s="46"/>
      <c r="I3979" s="46"/>
      <c r="J3979" s="80">
        <v>2210201</v>
      </c>
      <c r="K3979" s="158" t="s">
        <v>113</v>
      </c>
      <c r="L3979" s="1956">
        <v>87000</v>
      </c>
      <c r="N3979" s="1956">
        <f t="shared" si="62"/>
        <v>0</v>
      </c>
    </row>
    <row r="3980" spans="2:14">
      <c r="B3980" s="46"/>
      <c r="C3980" s="46"/>
      <c r="D3980" s="1761">
        <v>2210300</v>
      </c>
      <c r="E3980" s="1699" t="s">
        <v>24</v>
      </c>
      <c r="F3980" s="1674">
        <v>812000</v>
      </c>
      <c r="H3980" s="46"/>
      <c r="I3980" s="46"/>
      <c r="J3980" s="1761">
        <v>2210300</v>
      </c>
      <c r="K3980" s="1699" t="s">
        <v>24</v>
      </c>
      <c r="L3980" s="1674">
        <v>812000</v>
      </c>
      <c r="N3980" s="1674">
        <f t="shared" si="62"/>
        <v>0</v>
      </c>
    </row>
    <row r="3981" spans="2:14">
      <c r="B3981" s="46"/>
      <c r="C3981" s="46"/>
      <c r="D3981" s="39">
        <v>2210301</v>
      </c>
      <c r="E3981" s="40" t="s">
        <v>188</v>
      </c>
      <c r="F3981" s="1956">
        <v>406000</v>
      </c>
      <c r="H3981" s="46"/>
      <c r="I3981" s="46"/>
      <c r="J3981" s="39">
        <v>2210301</v>
      </c>
      <c r="K3981" s="40" t="s">
        <v>188</v>
      </c>
      <c r="L3981" s="1956">
        <v>406000</v>
      </c>
      <c r="N3981" s="1956">
        <f t="shared" si="62"/>
        <v>0</v>
      </c>
    </row>
    <row r="3982" spans="2:14">
      <c r="B3982" s="46"/>
      <c r="C3982" s="46"/>
      <c r="D3982" s="80">
        <v>2210302</v>
      </c>
      <c r="E3982" s="158" t="s">
        <v>26</v>
      </c>
      <c r="F3982" s="1956">
        <v>116000</v>
      </c>
      <c r="H3982" s="46"/>
      <c r="I3982" s="46"/>
      <c r="J3982" s="80">
        <v>2210302</v>
      </c>
      <c r="K3982" s="158" t="s">
        <v>26</v>
      </c>
      <c r="L3982" s="1956">
        <v>116000</v>
      </c>
      <c r="N3982" s="1956">
        <f t="shared" si="62"/>
        <v>0</v>
      </c>
    </row>
    <row r="3983" spans="2:14">
      <c r="B3983" s="46"/>
      <c r="C3983" s="46"/>
      <c r="D3983" s="80">
        <v>2210303</v>
      </c>
      <c r="E3983" s="158" t="s">
        <v>704</v>
      </c>
      <c r="F3983" s="1956">
        <v>290000</v>
      </c>
      <c r="H3983" s="46"/>
      <c r="I3983" s="46"/>
      <c r="J3983" s="80">
        <v>2210303</v>
      </c>
      <c r="K3983" s="158" t="s">
        <v>704</v>
      </c>
      <c r="L3983" s="1956">
        <v>290000</v>
      </c>
      <c r="N3983" s="1956">
        <f t="shared" si="62"/>
        <v>0</v>
      </c>
    </row>
    <row r="3984" spans="2:14">
      <c r="B3984" s="46"/>
      <c r="C3984" s="46"/>
      <c r="D3984" s="1761">
        <v>2210700</v>
      </c>
      <c r="E3984" s="1699" t="s">
        <v>35</v>
      </c>
      <c r="F3984" s="1674">
        <v>100000</v>
      </c>
      <c r="H3984" s="46"/>
      <c r="I3984" s="46"/>
      <c r="J3984" s="1761">
        <v>2210700</v>
      </c>
      <c r="K3984" s="1699" t="s">
        <v>35</v>
      </c>
      <c r="L3984" s="1674">
        <v>100000</v>
      </c>
      <c r="N3984" s="1674">
        <f t="shared" si="62"/>
        <v>0</v>
      </c>
    </row>
    <row r="3985" spans="2:14" ht="30">
      <c r="B3985" s="46"/>
      <c r="C3985" s="46"/>
      <c r="D3985" s="80">
        <v>2210799</v>
      </c>
      <c r="E3985" s="158" t="s">
        <v>705</v>
      </c>
      <c r="F3985" s="1956">
        <v>100000</v>
      </c>
      <c r="H3985" s="46"/>
      <c r="I3985" s="46"/>
      <c r="J3985" s="80">
        <v>2210799</v>
      </c>
      <c r="K3985" s="158" t="s">
        <v>705</v>
      </c>
      <c r="L3985" s="1956">
        <v>100000</v>
      </c>
      <c r="N3985" s="1956">
        <f t="shared" si="62"/>
        <v>0</v>
      </c>
    </row>
    <row r="3986" spans="2:14">
      <c r="B3986" s="46"/>
      <c r="C3986" s="46"/>
      <c r="D3986" s="1761">
        <v>2211100</v>
      </c>
      <c r="E3986" s="1699" t="s">
        <v>51</v>
      </c>
      <c r="F3986" s="1674">
        <v>450000</v>
      </c>
      <c r="H3986" s="46"/>
      <c r="I3986" s="46"/>
      <c r="J3986" s="1761">
        <v>2211100</v>
      </c>
      <c r="K3986" s="1699" t="s">
        <v>51</v>
      </c>
      <c r="L3986" s="1674">
        <v>450000</v>
      </c>
      <c r="N3986" s="1674">
        <f t="shared" si="62"/>
        <v>0</v>
      </c>
    </row>
    <row r="3987" spans="2:14">
      <c r="B3987" s="46"/>
      <c r="C3987" s="46"/>
      <c r="D3987" s="80">
        <v>2211102</v>
      </c>
      <c r="E3987" s="158" t="s">
        <v>53</v>
      </c>
      <c r="F3987" s="1956">
        <v>450000</v>
      </c>
      <c r="H3987" s="46"/>
      <c r="I3987" s="46"/>
      <c r="J3987" s="80">
        <v>2211102</v>
      </c>
      <c r="K3987" s="158" t="s">
        <v>53</v>
      </c>
      <c r="L3987" s="1956">
        <v>450000</v>
      </c>
      <c r="N3987" s="1956">
        <f t="shared" si="62"/>
        <v>0</v>
      </c>
    </row>
    <row r="3988" spans="2:14">
      <c r="B3988" s="46"/>
      <c r="C3988" s="46"/>
      <c r="D3988" s="1761">
        <v>2211200</v>
      </c>
      <c r="E3988" s="1699" t="s">
        <v>55</v>
      </c>
      <c r="F3988" s="1674">
        <v>800000</v>
      </c>
      <c r="H3988" s="46"/>
      <c r="I3988" s="46"/>
      <c r="J3988" s="1761">
        <v>2211200</v>
      </c>
      <c r="K3988" s="1699" t="s">
        <v>55</v>
      </c>
      <c r="L3988" s="1674">
        <v>800000</v>
      </c>
      <c r="N3988" s="1674">
        <f t="shared" si="62"/>
        <v>0</v>
      </c>
    </row>
    <row r="3989" spans="2:14" ht="45">
      <c r="B3989" s="46"/>
      <c r="C3989" s="46"/>
      <c r="D3989" s="80">
        <v>2211201</v>
      </c>
      <c r="E3989" s="158" t="s">
        <v>1353</v>
      </c>
      <c r="F3989" s="1956">
        <v>800000</v>
      </c>
      <c r="H3989" s="46"/>
      <c r="I3989" s="46"/>
      <c r="J3989" s="80">
        <v>2211201</v>
      </c>
      <c r="K3989" s="158" t="s">
        <v>1353</v>
      </c>
      <c r="L3989" s="1956">
        <v>800000</v>
      </c>
      <c r="N3989" s="1956">
        <f t="shared" si="62"/>
        <v>0</v>
      </c>
    </row>
    <row r="3990" spans="2:14">
      <c r="B3990" s="46"/>
      <c r="C3990" s="46"/>
      <c r="D3990" s="1545">
        <v>2211300</v>
      </c>
      <c r="E3990" s="1546" t="s">
        <v>706</v>
      </c>
      <c r="F3990" s="1674">
        <v>150000</v>
      </c>
      <c r="H3990" s="46"/>
      <c r="I3990" s="46"/>
      <c r="J3990" s="1545">
        <v>2211300</v>
      </c>
      <c r="K3990" s="1546" t="s">
        <v>706</v>
      </c>
      <c r="L3990" s="1674">
        <v>150000</v>
      </c>
      <c r="N3990" s="1674">
        <f t="shared" si="62"/>
        <v>0</v>
      </c>
    </row>
    <row r="3991" spans="2:14">
      <c r="B3991" s="46"/>
      <c r="C3991" s="46"/>
      <c r="D3991" s="80">
        <v>2211305</v>
      </c>
      <c r="E3991" s="158" t="s">
        <v>365</v>
      </c>
      <c r="F3991" s="1956">
        <v>150000</v>
      </c>
      <c r="H3991" s="46"/>
      <c r="I3991" s="46"/>
      <c r="J3991" s="80">
        <v>2211305</v>
      </c>
      <c r="K3991" s="158" t="s">
        <v>365</v>
      </c>
      <c r="L3991" s="1956">
        <v>150000</v>
      </c>
      <c r="N3991" s="1956">
        <f t="shared" si="62"/>
        <v>0</v>
      </c>
    </row>
    <row r="3992" spans="2:14">
      <c r="B3992" s="27"/>
      <c r="C3992" s="27"/>
      <c r="D3992" s="1545">
        <v>2220200</v>
      </c>
      <c r="E3992" s="1546" t="s">
        <v>291</v>
      </c>
      <c r="F3992" s="1674">
        <v>150000</v>
      </c>
      <c r="H3992" s="27"/>
      <c r="I3992" s="27"/>
      <c r="J3992" s="1545">
        <v>2220200</v>
      </c>
      <c r="K3992" s="1546" t="s">
        <v>291</v>
      </c>
      <c r="L3992" s="1674">
        <v>150000</v>
      </c>
      <c r="N3992" s="1674">
        <f t="shared" si="62"/>
        <v>0</v>
      </c>
    </row>
    <row r="3993" spans="2:14">
      <c r="B3993" s="27"/>
      <c r="C3993" s="27"/>
      <c r="D3993" s="80">
        <v>2220210</v>
      </c>
      <c r="E3993" s="158" t="s">
        <v>687</v>
      </c>
      <c r="F3993" s="1956">
        <v>150000</v>
      </c>
      <c r="H3993" s="27"/>
      <c r="I3993" s="27"/>
      <c r="J3993" s="80">
        <v>2220210</v>
      </c>
      <c r="K3993" s="158" t="s">
        <v>687</v>
      </c>
      <c r="L3993" s="1956">
        <v>150000</v>
      </c>
      <c r="N3993" s="1956">
        <f t="shared" si="62"/>
        <v>0</v>
      </c>
    </row>
    <row r="3994" spans="2:14">
      <c r="B3994" s="27"/>
      <c r="C3994" s="27"/>
      <c r="D3994" s="55" t="s">
        <v>249</v>
      </c>
      <c r="E3994" s="1886" t="s">
        <v>62</v>
      </c>
      <c r="F3994" s="1960">
        <v>400000</v>
      </c>
      <c r="H3994" s="27"/>
      <c r="I3994" s="27"/>
      <c r="J3994" s="55" t="s">
        <v>249</v>
      </c>
      <c r="K3994" s="1886" t="s">
        <v>62</v>
      </c>
      <c r="L3994" s="1960">
        <v>400000</v>
      </c>
      <c r="N3994" s="1960">
        <f t="shared" si="62"/>
        <v>0</v>
      </c>
    </row>
    <row r="3995" spans="2:14">
      <c r="B3995" s="46"/>
      <c r="C3995" s="46"/>
      <c r="D3995" s="39">
        <v>2220101</v>
      </c>
      <c r="E3995" s="40" t="s">
        <v>366</v>
      </c>
      <c r="F3995" s="1956">
        <v>400000</v>
      </c>
      <c r="H3995" s="46"/>
      <c r="I3995" s="46"/>
      <c r="J3995" s="39">
        <v>2220101</v>
      </c>
      <c r="K3995" s="40" t="s">
        <v>366</v>
      </c>
      <c r="L3995" s="1956">
        <v>400000</v>
      </c>
      <c r="N3995" s="1956">
        <f t="shared" si="62"/>
        <v>0</v>
      </c>
    </row>
    <row r="3996" spans="2:14">
      <c r="B3996" s="46"/>
      <c r="C3996" s="46"/>
      <c r="D3996" s="80"/>
      <c r="E3996" s="1756" t="s">
        <v>128</v>
      </c>
      <c r="F3996" s="1686">
        <v>3649000</v>
      </c>
      <c r="H3996" s="46"/>
      <c r="I3996" s="46"/>
      <c r="J3996" s="80"/>
      <c r="K3996" s="1756" t="s">
        <v>128</v>
      </c>
      <c r="L3996" s="1686">
        <v>3649000</v>
      </c>
      <c r="N3996" s="1686">
        <f t="shared" si="62"/>
        <v>0</v>
      </c>
    </row>
    <row r="3997" spans="2:14">
      <c r="B3997" s="46"/>
      <c r="C3997" s="46"/>
      <c r="D3997" s="80"/>
      <c r="E3997" s="1618"/>
      <c r="F3997" s="1686"/>
      <c r="H3997" s="46"/>
      <c r="I3997" s="46"/>
      <c r="J3997" s="80"/>
      <c r="K3997" s="1618"/>
      <c r="L3997" s="1686"/>
      <c r="N3997" s="1686">
        <f t="shared" si="62"/>
        <v>0</v>
      </c>
    </row>
    <row r="3998" spans="2:14">
      <c r="B3998" s="46"/>
      <c r="C3998" s="46"/>
      <c r="D3998" s="80"/>
      <c r="E3998" s="1620" t="s">
        <v>92</v>
      </c>
      <c r="F3998" s="1686"/>
      <c r="H3998" s="46"/>
      <c r="I3998" s="46"/>
      <c r="J3998" s="80"/>
      <c r="K3998" s="1620" t="s">
        <v>92</v>
      </c>
      <c r="L3998" s="1686"/>
      <c r="N3998" s="1686">
        <f t="shared" si="62"/>
        <v>0</v>
      </c>
    </row>
    <row r="3999" spans="2:14">
      <c r="B3999" s="27"/>
      <c r="C3999" s="27"/>
      <c r="D3999" s="1545">
        <v>3110200</v>
      </c>
      <c r="E3999" s="1961" t="s">
        <v>164</v>
      </c>
      <c r="F3999" s="1674">
        <v>3800000</v>
      </c>
      <c r="H3999" s="27"/>
      <c r="I3999" s="27"/>
      <c r="J3999" s="1545">
        <v>3110200</v>
      </c>
      <c r="K3999" s="1961" t="s">
        <v>164</v>
      </c>
      <c r="L3999" s="1674">
        <v>3800000</v>
      </c>
      <c r="N3999" s="1674">
        <f t="shared" si="62"/>
        <v>0</v>
      </c>
    </row>
    <row r="4000" spans="2:14" ht="30">
      <c r="B4000" s="27"/>
      <c r="C4000" s="27"/>
      <c r="D4000" s="61">
        <v>3110202</v>
      </c>
      <c r="E4000" s="74" t="s">
        <v>1371</v>
      </c>
      <c r="F4000" s="135">
        <v>2000000</v>
      </c>
      <c r="H4000" s="27"/>
      <c r="I4000" s="27"/>
      <c r="J4000" s="61">
        <v>3110202</v>
      </c>
      <c r="K4000" s="74" t="s">
        <v>1371</v>
      </c>
      <c r="L4000" s="135">
        <v>2000000</v>
      </c>
      <c r="N4000" s="135">
        <f t="shared" si="62"/>
        <v>0</v>
      </c>
    </row>
    <row r="4001" spans="2:14">
      <c r="B4001" s="25"/>
      <c r="C4001" s="25"/>
      <c r="D4001" s="61">
        <v>3110299</v>
      </c>
      <c r="E4001" s="74" t="s">
        <v>1372</v>
      </c>
      <c r="F4001" s="135">
        <v>1800000</v>
      </c>
      <c r="H4001" s="25"/>
      <c r="I4001" s="25"/>
      <c r="J4001" s="61">
        <v>3110299</v>
      </c>
      <c r="K4001" s="74" t="s">
        <v>1372</v>
      </c>
      <c r="L4001" s="135">
        <v>1800000</v>
      </c>
      <c r="N4001" s="135">
        <f t="shared" si="62"/>
        <v>0</v>
      </c>
    </row>
    <row r="4002" spans="2:14">
      <c r="B4002" s="46"/>
      <c r="C4002" s="46"/>
      <c r="D4002" s="80"/>
      <c r="E4002" s="1756" t="s">
        <v>261</v>
      </c>
      <c r="F4002" s="1686">
        <v>3800000</v>
      </c>
      <c r="H4002" s="46"/>
      <c r="I4002" s="46"/>
      <c r="J4002" s="80"/>
      <c r="K4002" s="1756" t="s">
        <v>261</v>
      </c>
      <c r="L4002" s="1686">
        <v>3800000</v>
      </c>
      <c r="N4002" s="1686">
        <f t="shared" si="62"/>
        <v>0</v>
      </c>
    </row>
    <row r="4003" spans="2:14">
      <c r="B4003" s="46"/>
      <c r="C4003" s="46"/>
      <c r="D4003" s="80"/>
      <c r="E4003" s="1620" t="s">
        <v>690</v>
      </c>
      <c r="F4003" s="1686">
        <v>7449000</v>
      </c>
      <c r="H4003" s="46"/>
      <c r="I4003" s="46"/>
      <c r="J4003" s="80"/>
      <c r="K4003" s="1620" t="s">
        <v>690</v>
      </c>
      <c r="L4003" s="1686">
        <v>7449000</v>
      </c>
      <c r="N4003" s="1686">
        <f t="shared" si="62"/>
        <v>0</v>
      </c>
    </row>
    <row r="4004" spans="2:14">
      <c r="B4004" s="46"/>
      <c r="C4004" s="46"/>
      <c r="D4004" s="80"/>
      <c r="E4004" s="1618"/>
      <c r="F4004" s="1686"/>
      <c r="H4004" s="46"/>
      <c r="I4004" s="46"/>
      <c r="J4004" s="80"/>
      <c r="K4004" s="1618"/>
      <c r="L4004" s="1686"/>
      <c r="N4004" s="1686">
        <f t="shared" si="62"/>
        <v>0</v>
      </c>
    </row>
    <row r="4005" spans="2:14">
      <c r="B4005" s="1604" t="s">
        <v>455</v>
      </c>
      <c r="C4005" s="1604" t="s">
        <v>146</v>
      </c>
      <c r="D4005" s="80"/>
      <c r="E4005" s="1620" t="s">
        <v>707</v>
      </c>
      <c r="F4005" s="1709"/>
      <c r="H4005" s="1604" t="s">
        <v>455</v>
      </c>
      <c r="I4005" s="1604" t="s">
        <v>146</v>
      </c>
      <c r="J4005" s="80"/>
      <c r="K4005" s="1620" t="s">
        <v>707</v>
      </c>
      <c r="L4005" s="1709"/>
      <c r="N4005" s="1709">
        <f t="shared" si="62"/>
        <v>0</v>
      </c>
    </row>
    <row r="4006" spans="2:14" ht="30">
      <c r="B4006" s="46"/>
      <c r="C4006" s="46"/>
      <c r="D4006" s="80"/>
      <c r="E4006" s="1620" t="s">
        <v>708</v>
      </c>
      <c r="F4006" s="1709"/>
      <c r="H4006" s="46"/>
      <c r="I4006" s="46"/>
      <c r="J4006" s="80"/>
      <c r="K4006" s="1620" t="s">
        <v>708</v>
      </c>
      <c r="L4006" s="1709"/>
      <c r="N4006" s="1709">
        <f t="shared" si="62"/>
        <v>0</v>
      </c>
    </row>
    <row r="4007" spans="2:14">
      <c r="B4007" s="46"/>
      <c r="C4007" s="46"/>
      <c r="D4007" s="1761">
        <v>2110200</v>
      </c>
      <c r="E4007" s="1699" t="s">
        <v>148</v>
      </c>
      <c r="F4007" s="1674">
        <v>10000000</v>
      </c>
      <c r="H4007" s="46"/>
      <c r="I4007" s="46"/>
      <c r="J4007" s="1761">
        <v>2110200</v>
      </c>
      <c r="K4007" s="1699" t="s">
        <v>148</v>
      </c>
      <c r="L4007" s="1674">
        <v>10000000</v>
      </c>
      <c r="N4007" s="1674">
        <f t="shared" si="62"/>
        <v>0</v>
      </c>
    </row>
    <row r="4008" spans="2:14" ht="75">
      <c r="B4008" s="25"/>
      <c r="C4008" s="25"/>
      <c r="D4008" s="61">
        <v>2110202</v>
      </c>
      <c r="E4008" s="74" t="s">
        <v>682</v>
      </c>
      <c r="F4008" s="135">
        <v>10000000</v>
      </c>
      <c r="H4008" s="25"/>
      <c r="I4008" s="25"/>
      <c r="J4008" s="61">
        <v>2110202</v>
      </c>
      <c r="K4008" s="74" t="s">
        <v>682</v>
      </c>
      <c r="L4008" s="135">
        <v>10000000</v>
      </c>
      <c r="N4008" s="135">
        <f t="shared" si="62"/>
        <v>0</v>
      </c>
    </row>
    <row r="4009" spans="2:14">
      <c r="B4009" s="46"/>
      <c r="C4009" s="46"/>
      <c r="D4009" s="1761">
        <v>2210200</v>
      </c>
      <c r="E4009" s="1699" t="s">
        <v>20</v>
      </c>
      <c r="F4009" s="1674">
        <v>90000</v>
      </c>
      <c r="H4009" s="46"/>
      <c r="I4009" s="46"/>
      <c r="J4009" s="1761">
        <v>2210200</v>
      </c>
      <c r="K4009" s="1699" t="s">
        <v>20</v>
      </c>
      <c r="L4009" s="1674">
        <v>90000</v>
      </c>
      <c r="N4009" s="1674">
        <f t="shared" si="62"/>
        <v>0</v>
      </c>
    </row>
    <row r="4010" spans="2:14">
      <c r="B4010" s="46"/>
      <c r="C4010" s="46"/>
      <c r="D4010" s="80">
        <v>2210201</v>
      </c>
      <c r="E4010" s="158" t="s">
        <v>113</v>
      </c>
      <c r="F4010" s="1956">
        <v>90000</v>
      </c>
      <c r="H4010" s="46"/>
      <c r="I4010" s="46"/>
      <c r="J4010" s="80">
        <v>2210201</v>
      </c>
      <c r="K4010" s="158" t="s">
        <v>113</v>
      </c>
      <c r="L4010" s="1956">
        <v>90000</v>
      </c>
      <c r="N4010" s="1956">
        <f t="shared" si="62"/>
        <v>0</v>
      </c>
    </row>
    <row r="4011" spans="2:14">
      <c r="B4011" s="46"/>
      <c r="C4011" s="46"/>
      <c r="D4011" s="1761">
        <v>2210300</v>
      </c>
      <c r="E4011" s="1699" t="s">
        <v>24</v>
      </c>
      <c r="F4011" s="1674">
        <v>1118000</v>
      </c>
      <c r="H4011" s="46"/>
      <c r="I4011" s="46"/>
      <c r="J4011" s="1761">
        <v>2210300</v>
      </c>
      <c r="K4011" s="1699" t="s">
        <v>24</v>
      </c>
      <c r="L4011" s="1674">
        <v>1118000</v>
      </c>
      <c r="N4011" s="1674">
        <f t="shared" si="62"/>
        <v>0</v>
      </c>
    </row>
    <row r="4012" spans="2:14">
      <c r="B4012" s="46"/>
      <c r="C4012" s="46"/>
      <c r="D4012" s="80">
        <v>2210301</v>
      </c>
      <c r="E4012" s="158" t="s">
        <v>25</v>
      </c>
      <c r="F4012" s="1956">
        <v>348000</v>
      </c>
      <c r="H4012" s="46"/>
      <c r="I4012" s="46"/>
      <c r="J4012" s="80">
        <v>2210301</v>
      </c>
      <c r="K4012" s="158" t="s">
        <v>25</v>
      </c>
      <c r="L4012" s="1956">
        <v>348000</v>
      </c>
      <c r="N4012" s="1956">
        <f t="shared" si="62"/>
        <v>0</v>
      </c>
    </row>
    <row r="4013" spans="2:14">
      <c r="B4013" s="46"/>
      <c r="C4013" s="46"/>
      <c r="D4013" s="80">
        <v>2210302</v>
      </c>
      <c r="E4013" s="158" t="s">
        <v>26</v>
      </c>
      <c r="F4013" s="1956">
        <v>290000</v>
      </c>
      <c r="H4013" s="46"/>
      <c r="I4013" s="46"/>
      <c r="J4013" s="80">
        <v>2210302</v>
      </c>
      <c r="K4013" s="158" t="s">
        <v>26</v>
      </c>
      <c r="L4013" s="1956">
        <v>290000</v>
      </c>
      <c r="N4013" s="1956">
        <f t="shared" si="62"/>
        <v>0</v>
      </c>
    </row>
    <row r="4014" spans="2:14">
      <c r="B4014" s="46"/>
      <c r="C4014" s="46"/>
      <c r="D4014" s="80">
        <v>2210303</v>
      </c>
      <c r="E4014" s="158" t="s">
        <v>709</v>
      </c>
      <c r="F4014" s="1956">
        <v>480000</v>
      </c>
      <c r="H4014" s="46"/>
      <c r="I4014" s="46"/>
      <c r="J4014" s="80">
        <v>2210303</v>
      </c>
      <c r="K4014" s="158" t="s">
        <v>709</v>
      </c>
      <c r="L4014" s="1956">
        <v>480000</v>
      </c>
      <c r="N4014" s="1956">
        <f t="shared" si="62"/>
        <v>0</v>
      </c>
    </row>
    <row r="4015" spans="2:14">
      <c r="B4015" s="46"/>
      <c r="C4015" s="46"/>
      <c r="D4015" s="1761">
        <v>2210700</v>
      </c>
      <c r="E4015" s="1699" t="s">
        <v>35</v>
      </c>
      <c r="F4015" s="1674">
        <v>100000</v>
      </c>
      <c r="H4015" s="46"/>
      <c r="I4015" s="46"/>
      <c r="J4015" s="1761">
        <v>2210700</v>
      </c>
      <c r="K4015" s="1699" t="s">
        <v>35</v>
      </c>
      <c r="L4015" s="1674">
        <v>100000</v>
      </c>
      <c r="N4015" s="1674">
        <f t="shared" si="62"/>
        <v>0</v>
      </c>
    </row>
    <row r="4016" spans="2:14" ht="30">
      <c r="B4016" s="46"/>
      <c r="C4016" s="46"/>
      <c r="D4016" s="80">
        <v>2210799</v>
      </c>
      <c r="E4016" s="158" t="s">
        <v>710</v>
      </c>
      <c r="F4016" s="1956">
        <v>100000</v>
      </c>
      <c r="H4016" s="46"/>
      <c r="I4016" s="46"/>
      <c r="J4016" s="80">
        <v>2210799</v>
      </c>
      <c r="K4016" s="158" t="s">
        <v>710</v>
      </c>
      <c r="L4016" s="1956">
        <v>100000</v>
      </c>
      <c r="N4016" s="1956">
        <f t="shared" si="62"/>
        <v>0</v>
      </c>
    </row>
    <row r="4017" spans="2:14">
      <c r="B4017" s="46"/>
      <c r="C4017" s="46"/>
      <c r="D4017" s="1761">
        <v>2211000</v>
      </c>
      <c r="E4017" s="1958" t="s">
        <v>118</v>
      </c>
      <c r="F4017" s="1674">
        <v>1050000</v>
      </c>
      <c r="H4017" s="46"/>
      <c r="I4017" s="46"/>
      <c r="J4017" s="1761">
        <v>2211000</v>
      </c>
      <c r="K4017" s="1958" t="s">
        <v>118</v>
      </c>
      <c r="L4017" s="1674">
        <v>1050000</v>
      </c>
      <c r="N4017" s="1674">
        <f t="shared" si="62"/>
        <v>0</v>
      </c>
    </row>
    <row r="4018" spans="2:14">
      <c r="B4018" s="46"/>
      <c r="C4018" s="46"/>
      <c r="D4018" s="80">
        <v>2211016</v>
      </c>
      <c r="E4018" s="158" t="s">
        <v>1373</v>
      </c>
      <c r="F4018" s="1956">
        <v>600000</v>
      </c>
      <c r="H4018" s="46"/>
      <c r="I4018" s="46"/>
      <c r="J4018" s="80">
        <v>2211016</v>
      </c>
      <c r="K4018" s="158" t="s">
        <v>1373</v>
      </c>
      <c r="L4018" s="1956">
        <v>600000</v>
      </c>
      <c r="N4018" s="1956">
        <f t="shared" si="62"/>
        <v>0</v>
      </c>
    </row>
    <row r="4019" spans="2:14" ht="30">
      <c r="B4019" s="46"/>
      <c r="C4019" s="46"/>
      <c r="D4019" s="61">
        <v>2211029</v>
      </c>
      <c r="E4019" s="74" t="s">
        <v>711</v>
      </c>
      <c r="F4019" s="135">
        <v>450000</v>
      </c>
      <c r="H4019" s="46"/>
      <c r="I4019" s="46"/>
      <c r="J4019" s="61">
        <v>2211029</v>
      </c>
      <c r="K4019" s="74" t="s">
        <v>711</v>
      </c>
      <c r="L4019" s="135">
        <v>450000</v>
      </c>
      <c r="N4019" s="135">
        <f t="shared" si="62"/>
        <v>0</v>
      </c>
    </row>
    <row r="4020" spans="2:14">
      <c r="B4020" s="46"/>
      <c r="C4020" s="46"/>
      <c r="D4020" s="1761">
        <v>2211100</v>
      </c>
      <c r="E4020" s="1699" t="s">
        <v>51</v>
      </c>
      <c r="F4020" s="1674">
        <v>400000</v>
      </c>
      <c r="H4020" s="46"/>
      <c r="I4020" s="46"/>
      <c r="J4020" s="1761">
        <v>2211100</v>
      </c>
      <c r="K4020" s="1699" t="s">
        <v>51</v>
      </c>
      <c r="L4020" s="1674">
        <v>400000</v>
      </c>
      <c r="N4020" s="1674">
        <f t="shared" si="62"/>
        <v>0</v>
      </c>
    </row>
    <row r="4021" spans="2:14">
      <c r="B4021" s="46"/>
      <c r="C4021" s="46"/>
      <c r="D4021" s="80">
        <v>2211103</v>
      </c>
      <c r="E4021" s="158" t="s">
        <v>712</v>
      </c>
      <c r="F4021" s="1956">
        <v>400000</v>
      </c>
      <c r="H4021" s="46"/>
      <c r="I4021" s="46"/>
      <c r="J4021" s="80">
        <v>2211103</v>
      </c>
      <c r="K4021" s="158" t="s">
        <v>712</v>
      </c>
      <c r="L4021" s="1956">
        <v>400000</v>
      </c>
      <c r="N4021" s="1956">
        <f t="shared" si="62"/>
        <v>0</v>
      </c>
    </row>
    <row r="4022" spans="2:14">
      <c r="B4022" s="46"/>
      <c r="C4022" s="46"/>
      <c r="D4022" s="1761">
        <v>2211200</v>
      </c>
      <c r="E4022" s="1699" t="s">
        <v>55</v>
      </c>
      <c r="F4022" s="1674">
        <v>1200000</v>
      </c>
      <c r="H4022" s="46"/>
      <c r="I4022" s="46"/>
      <c r="J4022" s="1761">
        <v>2211200</v>
      </c>
      <c r="K4022" s="1699" t="s">
        <v>55</v>
      </c>
      <c r="L4022" s="1674">
        <v>1200000</v>
      </c>
      <c r="N4022" s="1674">
        <f t="shared" si="62"/>
        <v>0</v>
      </c>
    </row>
    <row r="4023" spans="2:14" ht="45">
      <c r="B4023" s="46"/>
      <c r="C4023" s="46"/>
      <c r="D4023" s="80">
        <v>2211201</v>
      </c>
      <c r="E4023" s="158" t="s">
        <v>1353</v>
      </c>
      <c r="F4023" s="1956">
        <v>1200000</v>
      </c>
      <c r="H4023" s="46"/>
      <c r="I4023" s="46"/>
      <c r="J4023" s="80">
        <v>2211201</v>
      </c>
      <c r="K4023" s="158" t="s">
        <v>1353</v>
      </c>
      <c r="L4023" s="1956">
        <v>1200000</v>
      </c>
      <c r="N4023" s="1956">
        <f t="shared" si="62"/>
        <v>0</v>
      </c>
    </row>
    <row r="4024" spans="2:14">
      <c r="B4024" s="46"/>
      <c r="C4024" s="46"/>
      <c r="D4024" s="55" t="s">
        <v>249</v>
      </c>
      <c r="E4024" s="1886" t="s">
        <v>62</v>
      </c>
      <c r="F4024" s="1674">
        <v>900000</v>
      </c>
      <c r="H4024" s="46"/>
      <c r="I4024" s="46"/>
      <c r="J4024" s="55" t="s">
        <v>249</v>
      </c>
      <c r="K4024" s="1886" t="s">
        <v>62</v>
      </c>
      <c r="L4024" s="1674">
        <v>900000</v>
      </c>
      <c r="N4024" s="1674">
        <f t="shared" si="62"/>
        <v>0</v>
      </c>
    </row>
    <row r="4025" spans="2:14">
      <c r="B4025" s="25"/>
      <c r="C4025" s="25"/>
      <c r="D4025" s="39">
        <v>2220101</v>
      </c>
      <c r="E4025" s="40" t="s">
        <v>1374</v>
      </c>
      <c r="F4025" s="135">
        <v>400000</v>
      </c>
      <c r="H4025" s="25"/>
      <c r="I4025" s="25"/>
      <c r="J4025" s="39">
        <v>2220101</v>
      </c>
      <c r="K4025" s="40" t="s">
        <v>1374</v>
      </c>
      <c r="L4025" s="135">
        <v>400000</v>
      </c>
      <c r="N4025" s="135">
        <f t="shared" si="62"/>
        <v>0</v>
      </c>
    </row>
    <row r="4026" spans="2:14">
      <c r="B4026" s="46"/>
      <c r="C4026" s="46"/>
      <c r="D4026" s="80">
        <v>2220105</v>
      </c>
      <c r="E4026" s="158" t="s">
        <v>1375</v>
      </c>
      <c r="F4026" s="1956">
        <v>500000</v>
      </c>
      <c r="H4026" s="46"/>
      <c r="I4026" s="46"/>
      <c r="J4026" s="80">
        <v>2220105</v>
      </c>
      <c r="K4026" s="158" t="s">
        <v>1375</v>
      </c>
      <c r="L4026" s="1956">
        <v>500000</v>
      </c>
      <c r="N4026" s="1956">
        <f t="shared" si="62"/>
        <v>0</v>
      </c>
    </row>
    <row r="4027" spans="2:14">
      <c r="B4027" s="46"/>
      <c r="C4027" s="46"/>
      <c r="D4027" s="80"/>
      <c r="E4027" s="1756" t="s">
        <v>128</v>
      </c>
      <c r="F4027" s="1686">
        <v>14858000</v>
      </c>
      <c r="H4027" s="46"/>
      <c r="I4027" s="46"/>
      <c r="J4027" s="80"/>
      <c r="K4027" s="1756" t="s">
        <v>128</v>
      </c>
      <c r="L4027" s="1686">
        <v>14858000</v>
      </c>
      <c r="N4027" s="1686">
        <f t="shared" si="62"/>
        <v>0</v>
      </c>
    </row>
    <row r="4028" spans="2:14">
      <c r="B4028" s="46"/>
      <c r="C4028" s="46"/>
      <c r="D4028" s="80"/>
      <c r="E4028" s="1756"/>
      <c r="F4028" s="1686"/>
      <c r="H4028" s="46"/>
      <c r="I4028" s="46"/>
      <c r="J4028" s="80"/>
      <c r="K4028" s="1756"/>
      <c r="L4028" s="1686"/>
      <c r="N4028" s="1686">
        <f t="shared" si="62"/>
        <v>0</v>
      </c>
    </row>
    <row r="4029" spans="2:14">
      <c r="B4029" s="46"/>
      <c r="C4029" s="46"/>
      <c r="D4029" s="80"/>
      <c r="E4029" s="1620" t="s">
        <v>92</v>
      </c>
      <c r="F4029" s="1686"/>
      <c r="H4029" s="46"/>
      <c r="I4029" s="46"/>
      <c r="J4029" s="80"/>
      <c r="K4029" s="1620" t="s">
        <v>92</v>
      </c>
      <c r="L4029" s="1686"/>
      <c r="N4029" s="1686">
        <f t="shared" si="62"/>
        <v>0</v>
      </c>
    </row>
    <row r="4030" spans="2:14">
      <c r="B4030" s="25"/>
      <c r="C4030" s="25"/>
      <c r="D4030" s="1545">
        <v>3110500</v>
      </c>
      <c r="E4030" s="1680" t="s">
        <v>689</v>
      </c>
      <c r="F4030" s="1959">
        <v>3061711</v>
      </c>
      <c r="H4030" s="25"/>
      <c r="I4030" s="25"/>
      <c r="J4030" s="1545">
        <v>3110500</v>
      </c>
      <c r="K4030" s="1680" t="s">
        <v>689</v>
      </c>
      <c r="L4030" s="1959">
        <v>3061711</v>
      </c>
      <c r="N4030" s="1959">
        <f t="shared" si="62"/>
        <v>0</v>
      </c>
    </row>
    <row r="4031" spans="2:14" ht="30">
      <c r="B4031" s="25"/>
      <c r="C4031" s="25"/>
      <c r="D4031" s="61">
        <v>3110504</v>
      </c>
      <c r="E4031" s="74" t="s">
        <v>1376</v>
      </c>
      <c r="F4031" s="135">
        <v>2561711</v>
      </c>
      <c r="H4031" s="25"/>
      <c r="I4031" s="25"/>
      <c r="J4031" s="61">
        <v>3110504</v>
      </c>
      <c r="K4031" s="74" t="s">
        <v>1376</v>
      </c>
      <c r="L4031" s="135">
        <v>2561711</v>
      </c>
      <c r="N4031" s="135">
        <f t="shared" si="62"/>
        <v>0</v>
      </c>
    </row>
    <row r="4032" spans="2:14" ht="30">
      <c r="B4032" s="25"/>
      <c r="C4032" s="25"/>
      <c r="D4032" s="61">
        <v>3110599</v>
      </c>
      <c r="E4032" s="86" t="s">
        <v>1377</v>
      </c>
      <c r="F4032" s="135">
        <v>500000</v>
      </c>
      <c r="H4032" s="25"/>
      <c r="I4032" s="25"/>
      <c r="J4032" s="61">
        <v>3110599</v>
      </c>
      <c r="K4032" s="86" t="s">
        <v>1377</v>
      </c>
      <c r="L4032" s="135">
        <v>500000</v>
      </c>
      <c r="N4032" s="135">
        <f t="shared" si="62"/>
        <v>0</v>
      </c>
    </row>
    <row r="4033" spans="2:14">
      <c r="B4033" s="25"/>
      <c r="C4033" s="25"/>
      <c r="D4033" s="1671">
        <v>3111100</v>
      </c>
      <c r="E4033" s="1680" t="s">
        <v>73</v>
      </c>
      <c r="F4033" s="1959">
        <v>2800000</v>
      </c>
      <c r="H4033" s="25"/>
      <c r="I4033" s="25"/>
      <c r="J4033" s="1671">
        <v>3111100</v>
      </c>
      <c r="K4033" s="1680" t="s">
        <v>73</v>
      </c>
      <c r="L4033" s="1959">
        <v>2800000</v>
      </c>
      <c r="N4033" s="1959">
        <f t="shared" si="62"/>
        <v>0</v>
      </c>
    </row>
    <row r="4034" spans="2:14" ht="30">
      <c r="B4034" s="26"/>
      <c r="C4034" s="26"/>
      <c r="D4034" s="61">
        <v>3111120</v>
      </c>
      <c r="E4034" s="158" t="s">
        <v>1378</v>
      </c>
      <c r="F4034" s="135">
        <v>2800000</v>
      </c>
      <c r="H4034" s="26"/>
      <c r="I4034" s="26"/>
      <c r="J4034" s="61">
        <v>3111120</v>
      </c>
      <c r="K4034" s="158" t="s">
        <v>1378</v>
      </c>
      <c r="L4034" s="135">
        <v>2800000</v>
      </c>
      <c r="N4034" s="135">
        <f t="shared" si="62"/>
        <v>0</v>
      </c>
    </row>
    <row r="4035" spans="2:14">
      <c r="B4035" s="26"/>
      <c r="C4035" s="26"/>
      <c r="D4035" s="1543">
        <v>2211000</v>
      </c>
      <c r="E4035" s="1546" t="s">
        <v>118</v>
      </c>
      <c r="F4035" s="1959">
        <v>1200000</v>
      </c>
      <c r="H4035" s="26"/>
      <c r="I4035" s="26"/>
      <c r="J4035" s="1543">
        <v>2211000</v>
      </c>
      <c r="K4035" s="1546" t="s">
        <v>118</v>
      </c>
      <c r="L4035" s="1959">
        <v>1200000</v>
      </c>
      <c r="N4035" s="1959">
        <f t="shared" si="62"/>
        <v>0</v>
      </c>
    </row>
    <row r="4036" spans="2:14">
      <c r="B4036" s="25"/>
      <c r="C4036" s="25"/>
      <c r="D4036" s="39">
        <v>2211006</v>
      </c>
      <c r="E4036" s="158" t="s">
        <v>1379</v>
      </c>
      <c r="F4036" s="169">
        <v>1200000</v>
      </c>
      <c r="H4036" s="25"/>
      <c r="I4036" s="25"/>
      <c r="J4036" s="39">
        <v>2211006</v>
      </c>
      <c r="K4036" s="158" t="s">
        <v>1379</v>
      </c>
      <c r="L4036" s="169">
        <v>1200000</v>
      </c>
      <c r="N4036" s="169">
        <f t="shared" si="62"/>
        <v>0</v>
      </c>
    </row>
    <row r="4037" spans="2:14">
      <c r="B4037" s="25"/>
      <c r="C4037" s="25"/>
      <c r="D4037" s="61"/>
      <c r="E4037" s="74" t="s">
        <v>713</v>
      </c>
      <c r="F4037" s="1962">
        <v>0</v>
      </c>
      <c r="H4037" s="25"/>
      <c r="I4037" s="25"/>
      <c r="J4037" s="61"/>
      <c r="K4037" s="74" t="s">
        <v>713</v>
      </c>
      <c r="L4037" s="1962">
        <v>0</v>
      </c>
      <c r="N4037" s="1962">
        <f t="shared" si="62"/>
        <v>0</v>
      </c>
    </row>
    <row r="4038" spans="2:14">
      <c r="B4038" s="46"/>
      <c r="C4038" s="46"/>
      <c r="D4038" s="80"/>
      <c r="E4038" s="1756" t="s">
        <v>261</v>
      </c>
      <c r="F4038" s="1686">
        <v>7061711</v>
      </c>
      <c r="H4038" s="46"/>
      <c r="I4038" s="46"/>
      <c r="J4038" s="80"/>
      <c r="K4038" s="1756" t="s">
        <v>261</v>
      </c>
      <c r="L4038" s="1686">
        <v>7061711</v>
      </c>
      <c r="N4038" s="1686">
        <f t="shared" si="62"/>
        <v>0</v>
      </c>
    </row>
    <row r="4039" spans="2:14">
      <c r="B4039" s="46"/>
      <c r="C4039" s="46"/>
      <c r="D4039" s="80"/>
      <c r="E4039" s="1620" t="s">
        <v>690</v>
      </c>
      <c r="F4039" s="1686">
        <v>21919711</v>
      </c>
      <c r="H4039" s="46"/>
      <c r="I4039" s="46"/>
      <c r="J4039" s="80"/>
      <c r="K4039" s="1620" t="s">
        <v>690</v>
      </c>
      <c r="L4039" s="1686">
        <v>21919711</v>
      </c>
      <c r="N4039" s="1686">
        <f t="shared" si="62"/>
        <v>0</v>
      </c>
    </row>
    <row r="4040" spans="2:14">
      <c r="B4040" s="46"/>
      <c r="C4040" s="46"/>
      <c r="D4040" s="1507"/>
      <c r="E4040" s="1508" t="s">
        <v>99</v>
      </c>
      <c r="F4040" s="1686">
        <v>80196569</v>
      </c>
      <c r="H4040" s="46"/>
      <c r="I4040" s="46"/>
      <c r="J4040" s="1507"/>
      <c r="K4040" s="1508" t="s">
        <v>99</v>
      </c>
      <c r="L4040" s="1686">
        <v>80196569</v>
      </c>
      <c r="N4040" s="1686">
        <f t="shared" ref="N4040:N4103" si="63">F4040-L4040</f>
        <v>0</v>
      </c>
    </row>
    <row r="4041" spans="2:14">
      <c r="B4041" s="46"/>
      <c r="C4041" s="46"/>
      <c r="D4041" s="1507"/>
      <c r="E4041" s="1508" t="s">
        <v>175</v>
      </c>
      <c r="F4041" s="1686">
        <v>85261711</v>
      </c>
      <c r="H4041" s="46"/>
      <c r="I4041" s="46"/>
      <c r="J4041" s="1507"/>
      <c r="K4041" s="1508" t="s">
        <v>175</v>
      </c>
      <c r="L4041" s="1686">
        <v>85261711</v>
      </c>
      <c r="N4041" s="1686">
        <f t="shared" si="63"/>
        <v>0</v>
      </c>
    </row>
    <row r="4042" spans="2:14">
      <c r="B4042" s="46"/>
      <c r="C4042" s="46"/>
      <c r="D4042" s="1583" t="s">
        <v>714</v>
      </c>
      <c r="E4042" s="1620"/>
      <c r="F4042" s="1686">
        <v>165458280</v>
      </c>
      <c r="H4042" s="46"/>
      <c r="I4042" s="46"/>
      <c r="J4042" s="1583" t="s">
        <v>714</v>
      </c>
      <c r="K4042" s="1620"/>
      <c r="L4042" s="1686">
        <v>165458280</v>
      </c>
      <c r="N4042" s="1686">
        <f t="shared" si="63"/>
        <v>0</v>
      </c>
    </row>
    <row r="4043" spans="2:14">
      <c r="B4043" s="89"/>
      <c r="C4043" s="89"/>
      <c r="D4043" s="61"/>
      <c r="E4043" s="74"/>
      <c r="F4043" s="174"/>
      <c r="H4043" s="89"/>
      <c r="I4043" s="89"/>
      <c r="J4043" s="61"/>
      <c r="K4043" s="74"/>
      <c r="L4043" s="174"/>
      <c r="N4043" s="174">
        <f t="shared" si="63"/>
        <v>0</v>
      </c>
    </row>
    <row r="4044" spans="2:14">
      <c r="B4044" s="89"/>
      <c r="C4044" s="89"/>
      <c r="D4044" s="61"/>
      <c r="E4044" s="74"/>
      <c r="F4044" s="174"/>
      <c r="H4044" s="89"/>
      <c r="I4044" s="89"/>
      <c r="J4044" s="61"/>
      <c r="K4044" s="74"/>
      <c r="L4044" s="174"/>
      <c r="N4044" s="174">
        <f t="shared" si="63"/>
        <v>0</v>
      </c>
    </row>
    <row r="4045" spans="2:14">
      <c r="B4045" s="1708"/>
      <c r="C4045" s="1708"/>
      <c r="D4045" s="1507" t="s">
        <v>715</v>
      </c>
      <c r="E4045" s="1620"/>
      <c r="F4045" s="183"/>
      <c r="H4045" s="1708"/>
      <c r="I4045" s="1708"/>
      <c r="J4045" s="1507" t="s">
        <v>715</v>
      </c>
      <c r="K4045" s="1620"/>
      <c r="L4045" s="183"/>
      <c r="N4045" s="183">
        <f t="shared" si="63"/>
        <v>0</v>
      </c>
    </row>
    <row r="4046" spans="2:14">
      <c r="B4046" s="1892" t="s">
        <v>178</v>
      </c>
      <c r="C4046" s="1892"/>
      <c r="D4046" s="1507" t="s">
        <v>716</v>
      </c>
      <c r="E4046" s="1620"/>
      <c r="F4046" s="183">
        <v>0</v>
      </c>
      <c r="H4046" s="1892" t="s">
        <v>178</v>
      </c>
      <c r="I4046" s="1892"/>
      <c r="J4046" s="1507" t="s">
        <v>716</v>
      </c>
      <c r="K4046" s="1620"/>
      <c r="L4046" s="183">
        <v>0</v>
      </c>
      <c r="N4046" s="183">
        <f t="shared" si="63"/>
        <v>0</v>
      </c>
    </row>
    <row r="4047" spans="2:14">
      <c r="B4047" s="1892"/>
      <c r="C4047" s="1892" t="s">
        <v>146</v>
      </c>
      <c r="D4047" s="1507" t="s">
        <v>717</v>
      </c>
      <c r="E4047" s="1620"/>
      <c r="F4047" s="183">
        <v>0</v>
      </c>
      <c r="H4047" s="1892"/>
      <c r="I4047" s="1892" t="s">
        <v>146</v>
      </c>
      <c r="J4047" s="1507" t="s">
        <v>717</v>
      </c>
      <c r="K4047" s="1620"/>
      <c r="L4047" s="183">
        <v>0</v>
      </c>
      <c r="N4047" s="183">
        <f t="shared" si="63"/>
        <v>0</v>
      </c>
    </row>
    <row r="4048" spans="2:14">
      <c r="B4048" s="1708"/>
      <c r="C4048" s="1708"/>
      <c r="D4048" s="1671">
        <v>2110100</v>
      </c>
      <c r="E4048" s="1584" t="s">
        <v>718</v>
      </c>
      <c r="F4048" s="1625">
        <v>16813307</v>
      </c>
      <c r="H4048" s="1708"/>
      <c r="I4048" s="1708"/>
      <c r="J4048" s="1671">
        <v>2110100</v>
      </c>
      <c r="K4048" s="1584" t="s">
        <v>718</v>
      </c>
      <c r="L4048" s="1625">
        <v>16813307</v>
      </c>
      <c r="N4048" s="1625">
        <f t="shared" si="63"/>
        <v>0</v>
      </c>
    </row>
    <row r="4049" spans="2:14">
      <c r="B4049" s="1708"/>
      <c r="C4049" s="1708"/>
      <c r="D4049" s="61">
        <v>2110199</v>
      </c>
      <c r="E4049" s="1585" t="s">
        <v>13</v>
      </c>
      <c r="F4049" s="183">
        <v>16813307</v>
      </c>
      <c r="H4049" s="1708"/>
      <c r="I4049" s="1708"/>
      <c r="J4049" s="61">
        <v>2110199</v>
      </c>
      <c r="K4049" s="1585" t="s">
        <v>13</v>
      </c>
      <c r="L4049" s="183">
        <v>16813307</v>
      </c>
      <c r="N4049" s="183">
        <f t="shared" si="63"/>
        <v>0</v>
      </c>
    </row>
    <row r="4050" spans="2:14">
      <c r="B4050" s="1708"/>
      <c r="C4050" s="1708"/>
      <c r="D4050" s="1671">
        <v>2110200</v>
      </c>
      <c r="E4050" s="1584" t="s">
        <v>148</v>
      </c>
      <c r="F4050" s="1625">
        <v>13000000</v>
      </c>
      <c r="H4050" s="1708"/>
      <c r="I4050" s="1708"/>
      <c r="J4050" s="1671">
        <v>2110200</v>
      </c>
      <c r="K4050" s="1584" t="s">
        <v>148</v>
      </c>
      <c r="L4050" s="1625">
        <v>13000000</v>
      </c>
      <c r="N4050" s="1625">
        <f t="shared" si="63"/>
        <v>0</v>
      </c>
    </row>
    <row r="4051" spans="2:14">
      <c r="B4051" s="1883"/>
      <c r="C4051" s="1883"/>
      <c r="D4051" s="1880">
        <v>2110202</v>
      </c>
      <c r="E4051" s="1963" t="s">
        <v>719</v>
      </c>
      <c r="F4051" s="1964">
        <v>13000000</v>
      </c>
      <c r="H4051" s="1883"/>
      <c r="I4051" s="1883"/>
      <c r="J4051" s="1880">
        <v>2110202</v>
      </c>
      <c r="K4051" s="1963" t="s">
        <v>719</v>
      </c>
      <c r="L4051" s="1964">
        <v>13000000</v>
      </c>
      <c r="N4051" s="1964">
        <f t="shared" si="63"/>
        <v>0</v>
      </c>
    </row>
    <row r="4052" spans="2:14">
      <c r="B4052" s="1708"/>
      <c r="C4052" s="1708"/>
      <c r="D4052" s="1671">
        <v>2110300</v>
      </c>
      <c r="E4052" s="1533" t="s">
        <v>181</v>
      </c>
      <c r="F4052" s="1625">
        <v>4055560</v>
      </c>
      <c r="H4052" s="1708"/>
      <c r="I4052" s="1708"/>
      <c r="J4052" s="1671">
        <v>2110300</v>
      </c>
      <c r="K4052" s="1533" t="s">
        <v>181</v>
      </c>
      <c r="L4052" s="1625">
        <v>4055560</v>
      </c>
      <c r="N4052" s="1625">
        <f t="shared" si="63"/>
        <v>0</v>
      </c>
    </row>
    <row r="4053" spans="2:14">
      <c r="B4053" s="1708"/>
      <c r="C4053" s="1708"/>
      <c r="D4053" s="61">
        <v>2110301</v>
      </c>
      <c r="E4053" s="1858" t="s">
        <v>182</v>
      </c>
      <c r="F4053" s="183">
        <v>3050460</v>
      </c>
      <c r="H4053" s="1708"/>
      <c r="I4053" s="1708"/>
      <c r="J4053" s="61">
        <v>2110301</v>
      </c>
      <c r="K4053" s="1858" t="s">
        <v>182</v>
      </c>
      <c r="L4053" s="183">
        <v>3050460</v>
      </c>
      <c r="N4053" s="183">
        <f t="shared" si="63"/>
        <v>0</v>
      </c>
    </row>
    <row r="4054" spans="2:14">
      <c r="B4054" s="1708"/>
      <c r="C4054" s="1708"/>
      <c r="D4054" s="61">
        <v>2110314</v>
      </c>
      <c r="E4054" s="1532" t="s">
        <v>183</v>
      </c>
      <c r="F4054" s="183">
        <v>1005100</v>
      </c>
      <c r="H4054" s="1708"/>
      <c r="I4054" s="1708"/>
      <c r="J4054" s="61">
        <v>2110314</v>
      </c>
      <c r="K4054" s="1532" t="s">
        <v>183</v>
      </c>
      <c r="L4054" s="183">
        <v>1005100</v>
      </c>
      <c r="N4054" s="183">
        <f t="shared" si="63"/>
        <v>0</v>
      </c>
    </row>
    <row r="4055" spans="2:14">
      <c r="B4055" s="1708"/>
      <c r="C4055" s="1708"/>
      <c r="D4055" s="1671">
        <v>2120100</v>
      </c>
      <c r="E4055" s="1584" t="s">
        <v>184</v>
      </c>
      <c r="F4055" s="1625">
        <v>1897020</v>
      </c>
      <c r="H4055" s="1708"/>
      <c r="I4055" s="1708"/>
      <c r="J4055" s="1671">
        <v>2120100</v>
      </c>
      <c r="K4055" s="1584" t="s">
        <v>184</v>
      </c>
      <c r="L4055" s="1625">
        <v>1897020</v>
      </c>
      <c r="N4055" s="1625">
        <f t="shared" si="63"/>
        <v>0</v>
      </c>
    </row>
    <row r="4056" spans="2:14">
      <c r="B4056" s="1708"/>
      <c r="C4056" s="1708"/>
      <c r="D4056" s="61">
        <v>2120101</v>
      </c>
      <c r="E4056" s="74" t="s">
        <v>185</v>
      </c>
      <c r="F4056" s="183">
        <v>316855</v>
      </c>
      <c r="H4056" s="1708"/>
      <c r="I4056" s="1708"/>
      <c r="J4056" s="61">
        <v>2120101</v>
      </c>
      <c r="K4056" s="74" t="s">
        <v>185</v>
      </c>
      <c r="L4056" s="183">
        <v>316855</v>
      </c>
      <c r="N4056" s="183">
        <f t="shared" si="63"/>
        <v>0</v>
      </c>
    </row>
    <row r="4057" spans="2:14">
      <c r="B4057" s="1708"/>
      <c r="C4057" s="1708"/>
      <c r="D4057" s="61">
        <v>2120103</v>
      </c>
      <c r="E4057" s="74" t="s">
        <v>186</v>
      </c>
      <c r="F4057" s="183">
        <v>1580165</v>
      </c>
      <c r="H4057" s="1708"/>
      <c r="I4057" s="1708"/>
      <c r="J4057" s="61">
        <v>2120103</v>
      </c>
      <c r="K4057" s="74" t="s">
        <v>186</v>
      </c>
      <c r="L4057" s="183">
        <v>1580165</v>
      </c>
      <c r="N4057" s="183">
        <f t="shared" si="63"/>
        <v>0</v>
      </c>
    </row>
    <row r="4058" spans="2:14">
      <c r="B4058" s="1708"/>
      <c r="C4058" s="1708"/>
      <c r="D4058" s="1671"/>
      <c r="E4058" s="1680" t="s">
        <v>720</v>
      </c>
      <c r="F4058" s="1625">
        <v>35765887</v>
      </c>
      <c r="H4058" s="1708"/>
      <c r="I4058" s="1708"/>
      <c r="J4058" s="1671"/>
      <c r="K4058" s="1680" t="s">
        <v>720</v>
      </c>
      <c r="L4058" s="1625">
        <v>35765887</v>
      </c>
      <c r="N4058" s="1625">
        <f t="shared" si="63"/>
        <v>0</v>
      </c>
    </row>
    <row r="4059" spans="2:14">
      <c r="B4059" s="1708"/>
      <c r="C4059" s="1708"/>
      <c r="D4059" s="1671">
        <v>2210100</v>
      </c>
      <c r="E4059" s="1680" t="s">
        <v>16</v>
      </c>
      <c r="F4059" s="1625">
        <v>3500000</v>
      </c>
      <c r="H4059" s="1708"/>
      <c r="I4059" s="1708"/>
      <c r="J4059" s="1671">
        <v>2210100</v>
      </c>
      <c r="K4059" s="1680" t="s">
        <v>16</v>
      </c>
      <c r="L4059" s="1625">
        <v>3500000</v>
      </c>
      <c r="N4059" s="1625">
        <f t="shared" si="63"/>
        <v>0</v>
      </c>
    </row>
    <row r="4060" spans="2:14">
      <c r="B4060" s="1708"/>
      <c r="C4060" s="1708"/>
      <c r="D4060" s="61">
        <v>2210101</v>
      </c>
      <c r="E4060" s="74" t="s">
        <v>17</v>
      </c>
      <c r="F4060" s="183">
        <v>3000000</v>
      </c>
      <c r="H4060" s="1708"/>
      <c r="I4060" s="1708"/>
      <c r="J4060" s="61">
        <v>2210101</v>
      </c>
      <c r="K4060" s="74" t="s">
        <v>17</v>
      </c>
      <c r="L4060" s="183">
        <v>3000000</v>
      </c>
      <c r="N4060" s="183">
        <f t="shared" si="63"/>
        <v>0</v>
      </c>
    </row>
    <row r="4061" spans="2:14">
      <c r="B4061" s="1708"/>
      <c r="C4061" s="1708"/>
      <c r="D4061" s="61">
        <v>2210102</v>
      </c>
      <c r="E4061" s="74" t="s">
        <v>18</v>
      </c>
      <c r="F4061" s="183">
        <v>500000</v>
      </c>
      <c r="H4061" s="1708"/>
      <c r="I4061" s="1708"/>
      <c r="J4061" s="61">
        <v>2210102</v>
      </c>
      <c r="K4061" s="74" t="s">
        <v>18</v>
      </c>
      <c r="L4061" s="183">
        <v>500000</v>
      </c>
      <c r="N4061" s="183">
        <f t="shared" si="63"/>
        <v>0</v>
      </c>
    </row>
    <row r="4062" spans="2:14">
      <c r="B4062" s="1708"/>
      <c r="C4062" s="1708"/>
      <c r="D4062" s="1671">
        <v>2210200</v>
      </c>
      <c r="E4062" s="1680" t="s">
        <v>20</v>
      </c>
      <c r="F4062" s="1625">
        <v>177635</v>
      </c>
      <c r="H4062" s="1708"/>
      <c r="I4062" s="1708"/>
      <c r="J4062" s="1671">
        <v>2210200</v>
      </c>
      <c r="K4062" s="1680" t="s">
        <v>20</v>
      </c>
      <c r="L4062" s="1625">
        <v>177635</v>
      </c>
      <c r="N4062" s="1625">
        <f t="shared" si="63"/>
        <v>0</v>
      </c>
    </row>
    <row r="4063" spans="2:14">
      <c r="B4063" s="1708"/>
      <c r="C4063" s="1708"/>
      <c r="D4063" s="61">
        <v>2210201</v>
      </c>
      <c r="E4063" s="74" t="s">
        <v>721</v>
      </c>
      <c r="F4063" s="183">
        <v>100000</v>
      </c>
      <c r="H4063" s="1708"/>
      <c r="I4063" s="1708"/>
      <c r="J4063" s="61">
        <v>2210201</v>
      </c>
      <c r="K4063" s="74" t="s">
        <v>721</v>
      </c>
      <c r="L4063" s="183">
        <v>100000</v>
      </c>
      <c r="N4063" s="183">
        <f t="shared" si="63"/>
        <v>0</v>
      </c>
    </row>
    <row r="4064" spans="2:14">
      <c r="B4064" s="1708"/>
      <c r="C4064" s="1708"/>
      <c r="D4064" s="61">
        <v>2210202</v>
      </c>
      <c r="E4064" s="74" t="s">
        <v>22</v>
      </c>
      <c r="F4064" s="183">
        <v>67635</v>
      </c>
      <c r="H4064" s="1708"/>
      <c r="I4064" s="1708"/>
      <c r="J4064" s="61">
        <v>2210202</v>
      </c>
      <c r="K4064" s="74" t="s">
        <v>22</v>
      </c>
      <c r="L4064" s="183">
        <v>67635</v>
      </c>
      <c r="N4064" s="183">
        <f t="shared" si="63"/>
        <v>0</v>
      </c>
    </row>
    <row r="4065" spans="2:14">
      <c r="B4065" s="1708"/>
      <c r="C4065" s="1708"/>
      <c r="D4065" s="61">
        <v>2210203</v>
      </c>
      <c r="E4065" s="74" t="s">
        <v>23</v>
      </c>
      <c r="F4065" s="183">
        <v>10000</v>
      </c>
      <c r="H4065" s="1708"/>
      <c r="I4065" s="1708"/>
      <c r="J4065" s="61">
        <v>2210203</v>
      </c>
      <c r="K4065" s="74" t="s">
        <v>23</v>
      </c>
      <c r="L4065" s="183">
        <v>10000</v>
      </c>
      <c r="N4065" s="183">
        <f t="shared" si="63"/>
        <v>0</v>
      </c>
    </row>
    <row r="4066" spans="2:14">
      <c r="B4066" s="1708"/>
      <c r="C4066" s="1708"/>
      <c r="D4066" s="1671">
        <v>2210300</v>
      </c>
      <c r="E4066" s="1680" t="s">
        <v>722</v>
      </c>
      <c r="F4066" s="1625">
        <v>553455</v>
      </c>
      <c r="H4066" s="1708"/>
      <c r="I4066" s="1708"/>
      <c r="J4066" s="1671">
        <v>2210300</v>
      </c>
      <c r="K4066" s="1680" t="s">
        <v>722</v>
      </c>
      <c r="L4066" s="1625">
        <v>553455</v>
      </c>
      <c r="N4066" s="1625">
        <f t="shared" si="63"/>
        <v>0</v>
      </c>
    </row>
    <row r="4067" spans="2:14">
      <c r="B4067" s="1708"/>
      <c r="C4067" s="1708"/>
      <c r="D4067" s="61">
        <v>2210301</v>
      </c>
      <c r="E4067" s="74" t="s">
        <v>188</v>
      </c>
      <c r="F4067" s="183">
        <v>220000</v>
      </c>
      <c r="H4067" s="1708"/>
      <c r="I4067" s="1708"/>
      <c r="J4067" s="61">
        <v>2210301</v>
      </c>
      <c r="K4067" s="74" t="s">
        <v>188</v>
      </c>
      <c r="L4067" s="183">
        <v>220000</v>
      </c>
      <c r="N4067" s="183">
        <f t="shared" si="63"/>
        <v>0</v>
      </c>
    </row>
    <row r="4068" spans="2:14">
      <c r="B4068" s="1708"/>
      <c r="C4068" s="1708"/>
      <c r="D4068" s="61">
        <v>2210302</v>
      </c>
      <c r="E4068" s="74" t="s">
        <v>26</v>
      </c>
      <c r="F4068" s="183">
        <v>200000</v>
      </c>
      <c r="H4068" s="1708"/>
      <c r="I4068" s="1708"/>
      <c r="J4068" s="61">
        <v>2210302</v>
      </c>
      <c r="K4068" s="74" t="s">
        <v>26</v>
      </c>
      <c r="L4068" s="183">
        <v>200000</v>
      </c>
      <c r="N4068" s="183">
        <f t="shared" si="63"/>
        <v>0</v>
      </c>
    </row>
    <row r="4069" spans="2:14">
      <c r="B4069" s="1708"/>
      <c r="C4069" s="1708"/>
      <c r="D4069" s="61">
        <v>2210303</v>
      </c>
      <c r="E4069" s="74" t="s">
        <v>223</v>
      </c>
      <c r="F4069" s="183">
        <v>133455</v>
      </c>
      <c r="H4069" s="1708"/>
      <c r="I4069" s="1708"/>
      <c r="J4069" s="61">
        <v>2210303</v>
      </c>
      <c r="K4069" s="74" t="s">
        <v>223</v>
      </c>
      <c r="L4069" s="183">
        <v>133455</v>
      </c>
      <c r="N4069" s="183">
        <f t="shared" si="63"/>
        <v>0</v>
      </c>
    </row>
    <row r="4070" spans="2:14">
      <c r="B4070" s="1708"/>
      <c r="C4070" s="1708"/>
      <c r="D4070" s="1671">
        <v>2210500</v>
      </c>
      <c r="E4070" s="1680" t="s">
        <v>723</v>
      </c>
      <c r="F4070" s="1625">
        <v>562133</v>
      </c>
      <c r="H4070" s="1708"/>
      <c r="I4070" s="1708"/>
      <c r="J4070" s="1671">
        <v>2210500</v>
      </c>
      <c r="K4070" s="1680" t="s">
        <v>723</v>
      </c>
      <c r="L4070" s="1625">
        <v>562133</v>
      </c>
      <c r="N4070" s="1625">
        <f t="shared" si="63"/>
        <v>0</v>
      </c>
    </row>
    <row r="4071" spans="2:14">
      <c r="B4071" s="1708"/>
      <c r="C4071" s="1708"/>
      <c r="D4071" s="61">
        <v>2210502</v>
      </c>
      <c r="E4071" s="74" t="s">
        <v>105</v>
      </c>
      <c r="F4071" s="183">
        <v>50000</v>
      </c>
      <c r="H4071" s="1708"/>
      <c r="I4071" s="1708"/>
      <c r="J4071" s="61">
        <v>2210502</v>
      </c>
      <c r="K4071" s="74" t="s">
        <v>105</v>
      </c>
      <c r="L4071" s="183">
        <v>50000</v>
      </c>
      <c r="N4071" s="183">
        <f t="shared" si="63"/>
        <v>0</v>
      </c>
    </row>
    <row r="4072" spans="2:14">
      <c r="B4072" s="1708"/>
      <c r="C4072" s="1708"/>
      <c r="D4072" s="61">
        <v>2210503</v>
      </c>
      <c r="E4072" s="74" t="s">
        <v>32</v>
      </c>
      <c r="F4072" s="183">
        <v>12000</v>
      </c>
      <c r="H4072" s="1708"/>
      <c r="I4072" s="1708"/>
      <c r="J4072" s="61">
        <v>2210503</v>
      </c>
      <c r="K4072" s="74" t="s">
        <v>32</v>
      </c>
      <c r="L4072" s="183">
        <v>12000</v>
      </c>
      <c r="N4072" s="183">
        <f t="shared" si="63"/>
        <v>0</v>
      </c>
    </row>
    <row r="4073" spans="2:14">
      <c r="B4073" s="1708"/>
      <c r="C4073" s="1708"/>
      <c r="D4073" s="61">
        <v>2210504</v>
      </c>
      <c r="E4073" s="74" t="s">
        <v>33</v>
      </c>
      <c r="F4073" s="183">
        <v>10000</v>
      </c>
      <c r="H4073" s="1708"/>
      <c r="I4073" s="1708"/>
      <c r="J4073" s="61">
        <v>2210504</v>
      </c>
      <c r="K4073" s="74" t="s">
        <v>33</v>
      </c>
      <c r="L4073" s="183">
        <v>10000</v>
      </c>
      <c r="N4073" s="183">
        <f t="shared" si="63"/>
        <v>0</v>
      </c>
    </row>
    <row r="4074" spans="2:14">
      <c r="B4074" s="1708"/>
      <c r="C4074" s="1708"/>
      <c r="D4074" s="61">
        <v>2210505</v>
      </c>
      <c r="E4074" s="74" t="s">
        <v>1380</v>
      </c>
      <c r="F4074" s="183">
        <v>490133</v>
      </c>
      <c r="H4074" s="1708"/>
      <c r="I4074" s="1708"/>
      <c r="J4074" s="61">
        <v>2210505</v>
      </c>
      <c r="K4074" s="74" t="s">
        <v>1380</v>
      </c>
      <c r="L4074" s="183">
        <v>490133</v>
      </c>
      <c r="N4074" s="183">
        <f t="shared" si="63"/>
        <v>0</v>
      </c>
    </row>
    <row r="4075" spans="2:14">
      <c r="B4075" s="1708"/>
      <c r="C4075" s="1708"/>
      <c r="D4075" s="1671">
        <v>2210700</v>
      </c>
      <c r="E4075" s="1680" t="s">
        <v>35</v>
      </c>
      <c r="F4075" s="1625">
        <v>383900</v>
      </c>
      <c r="H4075" s="1708"/>
      <c r="I4075" s="1708"/>
      <c r="J4075" s="1671">
        <v>2210700</v>
      </c>
      <c r="K4075" s="1680" t="s">
        <v>35</v>
      </c>
      <c r="L4075" s="1625">
        <v>383900</v>
      </c>
      <c r="N4075" s="1625">
        <f t="shared" si="63"/>
        <v>0</v>
      </c>
    </row>
    <row r="4076" spans="2:14">
      <c r="B4076" s="1708"/>
      <c r="C4076" s="1708"/>
      <c r="D4076" s="61">
        <v>2210701</v>
      </c>
      <c r="E4076" s="74" t="s">
        <v>36</v>
      </c>
      <c r="F4076" s="183">
        <v>120000</v>
      </c>
      <c r="H4076" s="1708"/>
      <c r="I4076" s="1708"/>
      <c r="J4076" s="61">
        <v>2210701</v>
      </c>
      <c r="K4076" s="74" t="s">
        <v>36</v>
      </c>
      <c r="L4076" s="183">
        <v>120000</v>
      </c>
      <c r="N4076" s="183">
        <f t="shared" si="63"/>
        <v>0</v>
      </c>
    </row>
    <row r="4077" spans="2:14">
      <c r="B4077" s="1708"/>
      <c r="C4077" s="1708"/>
      <c r="D4077" s="61">
        <v>2210710</v>
      </c>
      <c r="E4077" s="74" t="s">
        <v>724</v>
      </c>
      <c r="F4077" s="183">
        <v>147900</v>
      </c>
      <c r="H4077" s="1708"/>
      <c r="I4077" s="1708"/>
      <c r="J4077" s="61">
        <v>2210710</v>
      </c>
      <c r="K4077" s="74" t="s">
        <v>724</v>
      </c>
      <c r="L4077" s="183">
        <v>147900</v>
      </c>
      <c r="N4077" s="183">
        <f t="shared" si="63"/>
        <v>0</v>
      </c>
    </row>
    <row r="4078" spans="2:14">
      <c r="B4078" s="1708"/>
      <c r="C4078" s="1708"/>
      <c r="D4078" s="61">
        <v>2210711</v>
      </c>
      <c r="E4078" s="74" t="s">
        <v>156</v>
      </c>
      <c r="F4078" s="183">
        <v>116000</v>
      </c>
      <c r="H4078" s="1708"/>
      <c r="I4078" s="1708"/>
      <c r="J4078" s="61">
        <v>2210711</v>
      </c>
      <c r="K4078" s="74" t="s">
        <v>156</v>
      </c>
      <c r="L4078" s="183">
        <v>116000</v>
      </c>
      <c r="N4078" s="183">
        <f t="shared" si="63"/>
        <v>0</v>
      </c>
    </row>
    <row r="4079" spans="2:14">
      <c r="B4079" s="1708"/>
      <c r="C4079" s="1708"/>
      <c r="D4079" s="1671">
        <v>2210800</v>
      </c>
      <c r="E4079" s="1680" t="s">
        <v>42</v>
      </c>
      <c r="F4079" s="1625">
        <v>1700000</v>
      </c>
      <c r="H4079" s="1708"/>
      <c r="I4079" s="1708"/>
      <c r="J4079" s="1671">
        <v>2210800</v>
      </c>
      <c r="K4079" s="1680" t="s">
        <v>42</v>
      </c>
      <c r="L4079" s="1625">
        <v>1700000</v>
      </c>
      <c r="N4079" s="1625">
        <f t="shared" si="63"/>
        <v>0</v>
      </c>
    </row>
    <row r="4080" spans="2:14">
      <c r="B4080" s="1708"/>
      <c r="C4080" s="1708"/>
      <c r="D4080" s="61">
        <v>2210801</v>
      </c>
      <c r="E4080" s="74" t="s">
        <v>725</v>
      </c>
      <c r="F4080" s="183">
        <v>200000</v>
      </c>
      <c r="H4080" s="1708"/>
      <c r="I4080" s="1708"/>
      <c r="J4080" s="61">
        <v>2210801</v>
      </c>
      <c r="K4080" s="74" t="s">
        <v>725</v>
      </c>
      <c r="L4080" s="183">
        <v>200000</v>
      </c>
      <c r="N4080" s="183">
        <f t="shared" si="63"/>
        <v>0</v>
      </c>
    </row>
    <row r="4081" spans="2:14" ht="30">
      <c r="B4081" s="1708"/>
      <c r="C4081" s="1708"/>
      <c r="D4081" s="61">
        <v>2210802</v>
      </c>
      <c r="E4081" s="74" t="s">
        <v>685</v>
      </c>
      <c r="F4081" s="183">
        <v>1500000</v>
      </c>
      <c r="H4081" s="1708"/>
      <c r="I4081" s="1708"/>
      <c r="J4081" s="61">
        <v>2210802</v>
      </c>
      <c r="K4081" s="74" t="s">
        <v>685</v>
      </c>
      <c r="L4081" s="183">
        <v>1500000</v>
      </c>
      <c r="N4081" s="183">
        <f t="shared" si="63"/>
        <v>0</v>
      </c>
    </row>
    <row r="4082" spans="2:14">
      <c r="B4082" s="1708"/>
      <c r="C4082" s="1708"/>
      <c r="D4082" s="1671">
        <v>2211000</v>
      </c>
      <c r="E4082" s="1680" t="s">
        <v>118</v>
      </c>
      <c r="F4082" s="1625">
        <v>1000000</v>
      </c>
      <c r="H4082" s="1708"/>
      <c r="I4082" s="1708"/>
      <c r="J4082" s="1671">
        <v>2211000</v>
      </c>
      <c r="K4082" s="1680" t="s">
        <v>118</v>
      </c>
      <c r="L4082" s="1625">
        <v>1000000</v>
      </c>
      <c r="N4082" s="1625">
        <f t="shared" si="63"/>
        <v>0</v>
      </c>
    </row>
    <row r="4083" spans="2:14">
      <c r="B4083" s="1708"/>
      <c r="C4083" s="1708"/>
      <c r="D4083" s="61">
        <v>2211006</v>
      </c>
      <c r="E4083" s="74" t="s">
        <v>726</v>
      </c>
      <c r="F4083" s="183">
        <v>500000</v>
      </c>
      <c r="H4083" s="1708"/>
      <c r="I4083" s="1708"/>
      <c r="J4083" s="61">
        <v>2211006</v>
      </c>
      <c r="K4083" s="74" t="s">
        <v>726</v>
      </c>
      <c r="L4083" s="183">
        <v>500000</v>
      </c>
      <c r="N4083" s="183">
        <f t="shared" si="63"/>
        <v>0</v>
      </c>
    </row>
    <row r="4084" spans="2:14">
      <c r="B4084" s="1708"/>
      <c r="C4084" s="1708"/>
      <c r="D4084" s="61">
        <v>2211016</v>
      </c>
      <c r="E4084" s="74" t="s">
        <v>1381</v>
      </c>
      <c r="F4084" s="183">
        <v>500000</v>
      </c>
      <c r="H4084" s="1708"/>
      <c r="I4084" s="1708"/>
      <c r="J4084" s="61">
        <v>2211016</v>
      </c>
      <c r="K4084" s="74" t="s">
        <v>1381</v>
      </c>
      <c r="L4084" s="183">
        <v>500000</v>
      </c>
      <c r="N4084" s="183">
        <f t="shared" si="63"/>
        <v>0</v>
      </c>
    </row>
    <row r="4085" spans="2:14">
      <c r="B4085" s="1708"/>
      <c r="C4085" s="1708"/>
      <c r="D4085" s="1671">
        <v>2211100</v>
      </c>
      <c r="E4085" s="1680" t="s">
        <v>51</v>
      </c>
      <c r="F4085" s="1625">
        <v>1300000</v>
      </c>
      <c r="H4085" s="1708"/>
      <c r="I4085" s="1708"/>
      <c r="J4085" s="1671">
        <v>2211100</v>
      </c>
      <c r="K4085" s="1680" t="s">
        <v>51</v>
      </c>
      <c r="L4085" s="1625">
        <v>1300000</v>
      </c>
      <c r="N4085" s="1625">
        <f t="shared" si="63"/>
        <v>0</v>
      </c>
    </row>
    <row r="4086" spans="2:14">
      <c r="B4086" s="1708"/>
      <c r="C4086" s="1708"/>
      <c r="D4086" s="61">
        <v>2211101</v>
      </c>
      <c r="E4086" s="74" t="s">
        <v>727</v>
      </c>
      <c r="F4086" s="183">
        <v>500000</v>
      </c>
      <c r="H4086" s="1708"/>
      <c r="I4086" s="1708"/>
      <c r="J4086" s="61">
        <v>2211101</v>
      </c>
      <c r="K4086" s="74" t="s">
        <v>727</v>
      </c>
      <c r="L4086" s="183">
        <v>500000</v>
      </c>
      <c r="N4086" s="183">
        <f t="shared" si="63"/>
        <v>0</v>
      </c>
    </row>
    <row r="4087" spans="2:14">
      <c r="B4087" s="1708"/>
      <c r="C4087" s="1708"/>
      <c r="D4087" s="61">
        <v>2211102</v>
      </c>
      <c r="E4087" s="74" t="s">
        <v>53</v>
      </c>
      <c r="F4087" s="183">
        <v>500000</v>
      </c>
      <c r="H4087" s="1708"/>
      <c r="I4087" s="1708"/>
      <c r="J4087" s="61">
        <v>2211102</v>
      </c>
      <c r="K4087" s="74" t="s">
        <v>53</v>
      </c>
      <c r="L4087" s="183">
        <v>500000</v>
      </c>
      <c r="N4087" s="183">
        <f t="shared" si="63"/>
        <v>0</v>
      </c>
    </row>
    <row r="4088" spans="2:14">
      <c r="B4088" s="1708"/>
      <c r="C4088" s="1708"/>
      <c r="D4088" s="61">
        <v>2211103</v>
      </c>
      <c r="E4088" s="74" t="s">
        <v>54</v>
      </c>
      <c r="F4088" s="183">
        <v>300000</v>
      </c>
      <c r="H4088" s="1708"/>
      <c r="I4088" s="1708"/>
      <c r="J4088" s="61">
        <v>2211103</v>
      </c>
      <c r="K4088" s="74" t="s">
        <v>54</v>
      </c>
      <c r="L4088" s="183">
        <v>300000</v>
      </c>
      <c r="N4088" s="183">
        <f t="shared" si="63"/>
        <v>0</v>
      </c>
    </row>
    <row r="4089" spans="2:14">
      <c r="B4089" s="1708"/>
      <c r="C4089" s="1708"/>
      <c r="D4089" s="1671">
        <v>2211200</v>
      </c>
      <c r="E4089" s="1680" t="s">
        <v>55</v>
      </c>
      <c r="F4089" s="1625">
        <v>1000000</v>
      </c>
      <c r="H4089" s="1708"/>
      <c r="I4089" s="1708"/>
      <c r="J4089" s="1671">
        <v>2211200</v>
      </c>
      <c r="K4089" s="1680" t="s">
        <v>55</v>
      </c>
      <c r="L4089" s="1625">
        <v>1000000</v>
      </c>
      <c r="N4089" s="1625">
        <f t="shared" si="63"/>
        <v>0</v>
      </c>
    </row>
    <row r="4090" spans="2:14">
      <c r="B4090" s="1708"/>
      <c r="C4090" s="1708"/>
      <c r="D4090" s="61">
        <v>2211201</v>
      </c>
      <c r="E4090" s="74" t="s">
        <v>56</v>
      </c>
      <c r="F4090" s="183">
        <v>1000000</v>
      </c>
      <c r="H4090" s="1708"/>
      <c r="I4090" s="1708"/>
      <c r="J4090" s="61">
        <v>2211201</v>
      </c>
      <c r="K4090" s="74" t="s">
        <v>56</v>
      </c>
      <c r="L4090" s="183">
        <v>1000000</v>
      </c>
      <c r="N4090" s="183">
        <f t="shared" si="63"/>
        <v>0</v>
      </c>
    </row>
    <row r="4091" spans="2:14">
      <c r="B4091" s="1708"/>
      <c r="C4091" s="1708"/>
      <c r="D4091" s="1671">
        <v>2211300</v>
      </c>
      <c r="E4091" s="1680" t="s">
        <v>57</v>
      </c>
      <c r="F4091" s="1625">
        <v>80000</v>
      </c>
      <c r="H4091" s="1708"/>
      <c r="I4091" s="1708"/>
      <c r="J4091" s="1671">
        <v>2211300</v>
      </c>
      <c r="K4091" s="1680" t="s">
        <v>57</v>
      </c>
      <c r="L4091" s="1625">
        <v>80000</v>
      </c>
      <c r="N4091" s="1625">
        <f t="shared" si="63"/>
        <v>0</v>
      </c>
    </row>
    <row r="4092" spans="2:14">
      <c r="B4092" s="1708"/>
      <c r="C4092" s="1708"/>
      <c r="D4092" s="61">
        <v>2211306</v>
      </c>
      <c r="E4092" s="40" t="s">
        <v>58</v>
      </c>
      <c r="F4092" s="183">
        <v>30000</v>
      </c>
      <c r="H4092" s="1708"/>
      <c r="I4092" s="1708"/>
      <c r="J4092" s="61">
        <v>2211306</v>
      </c>
      <c r="K4092" s="40" t="s">
        <v>58</v>
      </c>
      <c r="L4092" s="183">
        <v>30000</v>
      </c>
      <c r="N4092" s="183">
        <f t="shared" si="63"/>
        <v>0</v>
      </c>
    </row>
    <row r="4093" spans="2:14">
      <c r="B4093" s="1708"/>
      <c r="C4093" s="1708"/>
      <c r="D4093" s="61">
        <v>2211308</v>
      </c>
      <c r="E4093" s="74" t="s">
        <v>728</v>
      </c>
      <c r="F4093" s="183">
        <v>50000</v>
      </c>
      <c r="H4093" s="1708"/>
      <c r="I4093" s="1708"/>
      <c r="J4093" s="61">
        <v>2211308</v>
      </c>
      <c r="K4093" s="74" t="s">
        <v>728</v>
      </c>
      <c r="L4093" s="183">
        <v>50000</v>
      </c>
      <c r="N4093" s="183">
        <f t="shared" si="63"/>
        <v>0</v>
      </c>
    </row>
    <row r="4094" spans="2:14">
      <c r="B4094" s="1708"/>
      <c r="C4094" s="1708"/>
      <c r="D4094" s="1671">
        <v>2220200</v>
      </c>
      <c r="E4094" s="1680" t="s">
        <v>124</v>
      </c>
      <c r="F4094" s="1625">
        <v>905000</v>
      </c>
      <c r="H4094" s="1708"/>
      <c r="I4094" s="1708"/>
      <c r="J4094" s="1671">
        <v>2220200</v>
      </c>
      <c r="K4094" s="1680" t="s">
        <v>124</v>
      </c>
      <c r="L4094" s="1625">
        <v>905000</v>
      </c>
      <c r="N4094" s="1625">
        <f t="shared" si="63"/>
        <v>0</v>
      </c>
    </row>
    <row r="4095" spans="2:14">
      <c r="B4095" s="1708"/>
      <c r="C4095" s="1708"/>
      <c r="D4095" s="61">
        <v>2220201</v>
      </c>
      <c r="E4095" s="74" t="s">
        <v>729</v>
      </c>
      <c r="F4095" s="183">
        <v>905000</v>
      </c>
      <c r="H4095" s="1708"/>
      <c r="I4095" s="1708"/>
      <c r="J4095" s="61">
        <v>2220201</v>
      </c>
      <c r="K4095" s="74" t="s">
        <v>729</v>
      </c>
      <c r="L4095" s="183">
        <v>905000</v>
      </c>
      <c r="N4095" s="183">
        <f t="shared" si="63"/>
        <v>0</v>
      </c>
    </row>
    <row r="4096" spans="2:14">
      <c r="B4096" s="1708"/>
      <c r="C4096" s="1708"/>
      <c r="D4096" s="1543"/>
      <c r="E4096" s="1620" t="s">
        <v>730</v>
      </c>
      <c r="F4096" s="1621">
        <v>11162123</v>
      </c>
      <c r="H4096" s="1708"/>
      <c r="I4096" s="1708"/>
      <c r="J4096" s="1543"/>
      <c r="K4096" s="1620" t="s">
        <v>730</v>
      </c>
      <c r="L4096" s="1621">
        <v>11162123</v>
      </c>
      <c r="N4096" s="1621">
        <f t="shared" si="63"/>
        <v>0</v>
      </c>
    </row>
    <row r="4097" spans="2:14">
      <c r="B4097" s="1708"/>
      <c r="C4097" s="1708"/>
      <c r="D4097" s="1671"/>
      <c r="E4097" s="1620" t="s">
        <v>128</v>
      </c>
      <c r="F4097" s="1621">
        <v>46928010</v>
      </c>
      <c r="H4097" s="1708"/>
      <c r="I4097" s="1708"/>
      <c r="J4097" s="1671"/>
      <c r="K4097" s="1620" t="s">
        <v>128</v>
      </c>
      <c r="L4097" s="1621">
        <v>46928010</v>
      </c>
      <c r="N4097" s="1621">
        <f t="shared" si="63"/>
        <v>0</v>
      </c>
    </row>
    <row r="4098" spans="2:14">
      <c r="B4098" s="1708"/>
      <c r="C4098" s="1708"/>
      <c r="D4098" s="61"/>
      <c r="E4098" s="1680"/>
      <c r="F4098" s="183">
        <v>0</v>
      </c>
      <c r="H4098" s="1708"/>
      <c r="I4098" s="1708"/>
      <c r="J4098" s="61"/>
      <c r="K4098" s="1680"/>
      <c r="L4098" s="183">
        <v>0</v>
      </c>
      <c r="N4098" s="183">
        <f t="shared" si="63"/>
        <v>0</v>
      </c>
    </row>
    <row r="4099" spans="2:14">
      <c r="B4099" s="1708"/>
      <c r="C4099" s="1708"/>
      <c r="D4099" s="61"/>
      <c r="E4099" s="1620" t="s">
        <v>92</v>
      </c>
      <c r="F4099" s="183">
        <v>0</v>
      </c>
      <c r="H4099" s="1708"/>
      <c r="I4099" s="1708"/>
      <c r="J4099" s="61"/>
      <c r="K4099" s="1620" t="s">
        <v>92</v>
      </c>
      <c r="L4099" s="183">
        <v>0</v>
      </c>
      <c r="N4099" s="183">
        <f t="shared" si="63"/>
        <v>0</v>
      </c>
    </row>
    <row r="4100" spans="2:14">
      <c r="B4100" s="1708"/>
      <c r="C4100" s="1708"/>
      <c r="D4100" s="1671">
        <v>3130100</v>
      </c>
      <c r="E4100" s="1680" t="s">
        <v>166</v>
      </c>
      <c r="F4100" s="1625">
        <v>5000000</v>
      </c>
      <c r="H4100" s="1708"/>
      <c r="I4100" s="1708"/>
      <c r="J4100" s="1671">
        <v>3130100</v>
      </c>
      <c r="K4100" s="1680" t="s">
        <v>166</v>
      </c>
      <c r="L4100" s="1625">
        <v>5000000</v>
      </c>
      <c r="N4100" s="1625">
        <f t="shared" si="63"/>
        <v>0</v>
      </c>
    </row>
    <row r="4101" spans="2:14" ht="30">
      <c r="B4101" s="1708"/>
      <c r="C4101" s="1708"/>
      <c r="D4101" s="61">
        <v>3111504</v>
      </c>
      <c r="E4101" s="74" t="s">
        <v>1382</v>
      </c>
      <c r="F4101" s="183">
        <v>5000000</v>
      </c>
      <c r="H4101" s="1708"/>
      <c r="I4101" s="1708"/>
      <c r="J4101" s="61">
        <v>3111504</v>
      </c>
      <c r="K4101" s="74" t="s">
        <v>1382</v>
      </c>
      <c r="L4101" s="183">
        <v>5000000</v>
      </c>
      <c r="N4101" s="183">
        <f t="shared" si="63"/>
        <v>0</v>
      </c>
    </row>
    <row r="4102" spans="2:14">
      <c r="B4102" s="1708"/>
      <c r="C4102" s="1708"/>
      <c r="D4102" s="1671"/>
      <c r="E4102" s="1620" t="s">
        <v>261</v>
      </c>
      <c r="F4102" s="1621">
        <v>5000000</v>
      </c>
      <c r="H4102" s="1708"/>
      <c r="I4102" s="1708"/>
      <c r="J4102" s="1671"/>
      <c r="K4102" s="1620" t="s">
        <v>261</v>
      </c>
      <c r="L4102" s="1621">
        <v>5000000</v>
      </c>
      <c r="N4102" s="1621">
        <f t="shared" si="63"/>
        <v>0</v>
      </c>
    </row>
    <row r="4103" spans="2:14">
      <c r="B4103" s="1708"/>
      <c r="C4103" s="1708"/>
      <c r="D4103" s="1671"/>
      <c r="E4103" s="1620" t="s">
        <v>627</v>
      </c>
      <c r="F4103" s="1621">
        <v>51928010</v>
      </c>
      <c r="H4103" s="1708"/>
      <c r="I4103" s="1708"/>
      <c r="J4103" s="1671"/>
      <c r="K4103" s="1620" t="s">
        <v>627</v>
      </c>
      <c r="L4103" s="1621">
        <v>51928010</v>
      </c>
      <c r="N4103" s="1621">
        <f t="shared" si="63"/>
        <v>0</v>
      </c>
    </row>
    <row r="4104" spans="2:14">
      <c r="B4104" s="1708"/>
      <c r="C4104" s="1708"/>
      <c r="D4104" s="61"/>
      <c r="E4104" s="74"/>
      <c r="F4104" s="183">
        <v>0</v>
      </c>
      <c r="H4104" s="1708"/>
      <c r="I4104" s="1708"/>
      <c r="J4104" s="61"/>
      <c r="K4104" s="74"/>
      <c r="L4104" s="183">
        <v>0</v>
      </c>
      <c r="N4104" s="183">
        <f t="shared" ref="N4104:N4167" si="64">F4104-L4104</f>
        <v>0</v>
      </c>
    </row>
    <row r="4105" spans="2:14">
      <c r="B4105" s="1892" t="s">
        <v>178</v>
      </c>
      <c r="C4105" s="1892"/>
      <c r="D4105" s="1507" t="s">
        <v>731</v>
      </c>
      <c r="E4105" s="1620"/>
      <c r="F4105" s="183">
        <v>0</v>
      </c>
      <c r="H4105" s="1892" t="s">
        <v>178</v>
      </c>
      <c r="I4105" s="1892"/>
      <c r="J4105" s="1507" t="s">
        <v>731</v>
      </c>
      <c r="K4105" s="1620"/>
      <c r="L4105" s="183">
        <v>0</v>
      </c>
      <c r="N4105" s="183">
        <f t="shared" si="64"/>
        <v>0</v>
      </c>
    </row>
    <row r="4106" spans="2:14">
      <c r="B4106" s="1892"/>
      <c r="C4106" s="1892" t="s">
        <v>146</v>
      </c>
      <c r="D4106" s="1507" t="s">
        <v>732</v>
      </c>
      <c r="E4106" s="1620"/>
      <c r="F4106" s="183">
        <v>0</v>
      </c>
      <c r="H4106" s="1892"/>
      <c r="I4106" s="1892" t="s">
        <v>146</v>
      </c>
      <c r="J4106" s="1507" t="s">
        <v>732</v>
      </c>
      <c r="K4106" s="1620"/>
      <c r="L4106" s="183">
        <v>0</v>
      </c>
      <c r="N4106" s="183">
        <f t="shared" si="64"/>
        <v>0</v>
      </c>
    </row>
    <row r="4107" spans="2:14">
      <c r="B4107" s="1708"/>
      <c r="C4107" s="1708"/>
      <c r="D4107" s="1671">
        <v>2110100</v>
      </c>
      <c r="E4107" s="1584" t="s">
        <v>718</v>
      </c>
      <c r="F4107" s="1625">
        <v>3104417</v>
      </c>
      <c r="H4107" s="1708"/>
      <c r="I4107" s="1708"/>
      <c r="J4107" s="1671">
        <v>2110100</v>
      </c>
      <c r="K4107" s="1584" t="s">
        <v>718</v>
      </c>
      <c r="L4107" s="1625">
        <v>3104417</v>
      </c>
      <c r="N4107" s="1625">
        <f t="shared" si="64"/>
        <v>0</v>
      </c>
    </row>
    <row r="4108" spans="2:14">
      <c r="B4108" s="1708"/>
      <c r="C4108" s="1708"/>
      <c r="D4108" s="61">
        <v>2110199</v>
      </c>
      <c r="E4108" s="1585" t="s">
        <v>13</v>
      </c>
      <c r="F4108" s="183">
        <v>3104417</v>
      </c>
      <c r="H4108" s="1708"/>
      <c r="I4108" s="1708"/>
      <c r="J4108" s="61">
        <v>2110199</v>
      </c>
      <c r="K4108" s="1585" t="s">
        <v>13</v>
      </c>
      <c r="L4108" s="183">
        <v>3104417</v>
      </c>
      <c r="N4108" s="183">
        <f t="shared" si="64"/>
        <v>0</v>
      </c>
    </row>
    <row r="4109" spans="2:14">
      <c r="B4109" s="1708"/>
      <c r="C4109" s="1708"/>
      <c r="D4109" s="1671">
        <v>2110300</v>
      </c>
      <c r="E4109" s="1533" t="s">
        <v>181</v>
      </c>
      <c r="F4109" s="1625">
        <v>1061017</v>
      </c>
      <c r="H4109" s="1708"/>
      <c r="I4109" s="1708"/>
      <c r="J4109" s="1671">
        <v>2110300</v>
      </c>
      <c r="K4109" s="1533" t="s">
        <v>181</v>
      </c>
      <c r="L4109" s="1625">
        <v>1061017</v>
      </c>
      <c r="N4109" s="1625">
        <f t="shared" si="64"/>
        <v>0</v>
      </c>
    </row>
    <row r="4110" spans="2:14">
      <c r="B4110" s="1708"/>
      <c r="C4110" s="1708"/>
      <c r="D4110" s="61">
        <v>2110301</v>
      </c>
      <c r="E4110" s="1858" t="s">
        <v>182</v>
      </c>
      <c r="F4110" s="183">
        <v>645677</v>
      </c>
      <c r="H4110" s="1708"/>
      <c r="I4110" s="1708"/>
      <c r="J4110" s="61">
        <v>2110301</v>
      </c>
      <c r="K4110" s="1858" t="s">
        <v>182</v>
      </c>
      <c r="L4110" s="183">
        <v>645677</v>
      </c>
      <c r="N4110" s="183">
        <f t="shared" si="64"/>
        <v>0</v>
      </c>
    </row>
    <row r="4111" spans="2:14">
      <c r="B4111" s="1708"/>
      <c r="C4111" s="1708"/>
      <c r="D4111" s="61">
        <v>2110314</v>
      </c>
      <c r="E4111" s="1532" t="s">
        <v>183</v>
      </c>
      <c r="F4111" s="183">
        <v>415340</v>
      </c>
      <c r="H4111" s="1708"/>
      <c r="I4111" s="1708"/>
      <c r="J4111" s="61">
        <v>2110314</v>
      </c>
      <c r="K4111" s="1532" t="s">
        <v>183</v>
      </c>
      <c r="L4111" s="183">
        <v>415340</v>
      </c>
      <c r="N4111" s="183">
        <f t="shared" si="64"/>
        <v>0</v>
      </c>
    </row>
    <row r="4112" spans="2:14">
      <c r="B4112" s="1708"/>
      <c r="C4112" s="1708"/>
      <c r="D4112" s="1671">
        <v>2120100</v>
      </c>
      <c r="E4112" s="1584" t="s">
        <v>184</v>
      </c>
      <c r="F4112" s="1625">
        <v>518550</v>
      </c>
      <c r="H4112" s="1708"/>
      <c r="I4112" s="1708"/>
      <c r="J4112" s="1671">
        <v>2120100</v>
      </c>
      <c r="K4112" s="1584" t="s">
        <v>184</v>
      </c>
      <c r="L4112" s="1625">
        <v>518550</v>
      </c>
      <c r="N4112" s="1625">
        <f t="shared" si="64"/>
        <v>0</v>
      </c>
    </row>
    <row r="4113" spans="2:14">
      <c r="B4113" s="1708"/>
      <c r="C4113" s="1708"/>
      <c r="D4113" s="61">
        <v>2120101</v>
      </c>
      <c r="E4113" s="74" t="s">
        <v>185</v>
      </c>
      <c r="F4113" s="183">
        <v>82900</v>
      </c>
      <c r="H4113" s="1708"/>
      <c r="I4113" s="1708"/>
      <c r="J4113" s="61">
        <v>2120101</v>
      </c>
      <c r="K4113" s="74" t="s">
        <v>185</v>
      </c>
      <c r="L4113" s="183">
        <v>82900</v>
      </c>
      <c r="N4113" s="183">
        <f t="shared" si="64"/>
        <v>0</v>
      </c>
    </row>
    <row r="4114" spans="2:14">
      <c r="B4114" s="1708"/>
      <c r="C4114" s="1708"/>
      <c r="D4114" s="61">
        <v>2120103</v>
      </c>
      <c r="E4114" s="74" t="s">
        <v>186</v>
      </c>
      <c r="F4114" s="183">
        <v>435650</v>
      </c>
      <c r="H4114" s="1708"/>
      <c r="I4114" s="1708"/>
      <c r="J4114" s="61">
        <v>2120103</v>
      </c>
      <c r="K4114" s="74" t="s">
        <v>186</v>
      </c>
      <c r="L4114" s="183">
        <v>435650</v>
      </c>
      <c r="N4114" s="183">
        <f t="shared" si="64"/>
        <v>0</v>
      </c>
    </row>
    <row r="4115" spans="2:14">
      <c r="B4115" s="1708"/>
      <c r="C4115" s="1708"/>
      <c r="D4115" s="1671"/>
      <c r="E4115" s="1680" t="s">
        <v>720</v>
      </c>
      <c r="F4115" s="1625">
        <v>4683984</v>
      </c>
      <c r="H4115" s="1708"/>
      <c r="I4115" s="1708"/>
      <c r="J4115" s="1671"/>
      <c r="K4115" s="1680" t="s">
        <v>720</v>
      </c>
      <c r="L4115" s="1625">
        <v>4683984</v>
      </c>
      <c r="N4115" s="1625">
        <f t="shared" si="64"/>
        <v>0</v>
      </c>
    </row>
    <row r="4116" spans="2:14">
      <c r="B4116" s="1708"/>
      <c r="C4116" s="1708"/>
      <c r="D4116" s="1671">
        <v>2210200</v>
      </c>
      <c r="E4116" s="1680" t="s">
        <v>20</v>
      </c>
      <c r="F4116" s="1625">
        <v>170000</v>
      </c>
      <c r="H4116" s="1708"/>
      <c r="I4116" s="1708"/>
      <c r="J4116" s="1671">
        <v>2210200</v>
      </c>
      <c r="K4116" s="1680" t="s">
        <v>20</v>
      </c>
      <c r="L4116" s="1625">
        <v>170000</v>
      </c>
      <c r="N4116" s="1625">
        <f t="shared" si="64"/>
        <v>0</v>
      </c>
    </row>
    <row r="4117" spans="2:14">
      <c r="B4117" s="1708"/>
      <c r="C4117" s="1708"/>
      <c r="D4117" s="61">
        <v>2210201</v>
      </c>
      <c r="E4117" s="74" t="s">
        <v>721</v>
      </c>
      <c r="F4117" s="183">
        <v>100000</v>
      </c>
      <c r="H4117" s="1708"/>
      <c r="I4117" s="1708"/>
      <c r="J4117" s="61">
        <v>2210201</v>
      </c>
      <c r="K4117" s="74" t="s">
        <v>721</v>
      </c>
      <c r="L4117" s="183">
        <v>100000</v>
      </c>
      <c r="N4117" s="183">
        <f t="shared" si="64"/>
        <v>0</v>
      </c>
    </row>
    <row r="4118" spans="2:14">
      <c r="B4118" s="1708"/>
      <c r="C4118" s="1708"/>
      <c r="D4118" s="61">
        <v>2210202</v>
      </c>
      <c r="E4118" s="74" t="s">
        <v>22</v>
      </c>
      <c r="F4118" s="183">
        <v>70000</v>
      </c>
      <c r="H4118" s="1708"/>
      <c r="I4118" s="1708"/>
      <c r="J4118" s="61">
        <v>2210202</v>
      </c>
      <c r="K4118" s="74" t="s">
        <v>22</v>
      </c>
      <c r="L4118" s="183">
        <v>70000</v>
      </c>
      <c r="N4118" s="183">
        <f t="shared" si="64"/>
        <v>0</v>
      </c>
    </row>
    <row r="4119" spans="2:14">
      <c r="B4119" s="1708"/>
      <c r="C4119" s="1708"/>
      <c r="D4119" s="1671">
        <v>2210300</v>
      </c>
      <c r="E4119" s="1680" t="s">
        <v>722</v>
      </c>
      <c r="F4119" s="1625">
        <v>344000</v>
      </c>
      <c r="H4119" s="1708"/>
      <c r="I4119" s="1708"/>
      <c r="J4119" s="1671">
        <v>2210300</v>
      </c>
      <c r="K4119" s="1680" t="s">
        <v>722</v>
      </c>
      <c r="L4119" s="1625">
        <v>344000</v>
      </c>
      <c r="N4119" s="1625">
        <f t="shared" si="64"/>
        <v>0</v>
      </c>
    </row>
    <row r="4120" spans="2:14">
      <c r="B4120" s="1708"/>
      <c r="C4120" s="1708"/>
      <c r="D4120" s="61">
        <v>2210301</v>
      </c>
      <c r="E4120" s="74" t="s">
        <v>188</v>
      </c>
      <c r="F4120" s="183">
        <v>125000</v>
      </c>
      <c r="H4120" s="1708"/>
      <c r="I4120" s="1708"/>
      <c r="J4120" s="61">
        <v>2210301</v>
      </c>
      <c r="K4120" s="74" t="s">
        <v>188</v>
      </c>
      <c r="L4120" s="183">
        <v>125000</v>
      </c>
      <c r="N4120" s="183">
        <f t="shared" si="64"/>
        <v>0</v>
      </c>
    </row>
    <row r="4121" spans="2:14">
      <c r="B4121" s="1708"/>
      <c r="C4121" s="1708"/>
      <c r="D4121" s="61">
        <v>2210302</v>
      </c>
      <c r="E4121" s="74" t="s">
        <v>26</v>
      </c>
      <c r="F4121" s="183">
        <v>103000</v>
      </c>
      <c r="H4121" s="1708"/>
      <c r="I4121" s="1708"/>
      <c r="J4121" s="61">
        <v>2210302</v>
      </c>
      <c r="K4121" s="74" t="s">
        <v>26</v>
      </c>
      <c r="L4121" s="183">
        <v>103000</v>
      </c>
      <c r="N4121" s="183">
        <f t="shared" si="64"/>
        <v>0</v>
      </c>
    </row>
    <row r="4122" spans="2:14">
      <c r="B4122" s="1708"/>
      <c r="C4122" s="1708"/>
      <c r="D4122" s="61">
        <v>2210303</v>
      </c>
      <c r="E4122" s="74" t="s">
        <v>223</v>
      </c>
      <c r="F4122" s="183">
        <v>116000</v>
      </c>
      <c r="H4122" s="1708"/>
      <c r="I4122" s="1708"/>
      <c r="J4122" s="61">
        <v>2210303</v>
      </c>
      <c r="K4122" s="74" t="s">
        <v>223</v>
      </c>
      <c r="L4122" s="183">
        <v>116000</v>
      </c>
      <c r="N4122" s="183">
        <f t="shared" si="64"/>
        <v>0</v>
      </c>
    </row>
    <row r="4123" spans="2:14">
      <c r="B4123" s="1708"/>
      <c r="C4123" s="1708"/>
      <c r="D4123" s="1671">
        <v>2210500</v>
      </c>
      <c r="E4123" s="1680" t="s">
        <v>723</v>
      </c>
      <c r="F4123" s="1625">
        <v>10000</v>
      </c>
      <c r="H4123" s="1708"/>
      <c r="I4123" s="1708"/>
      <c r="J4123" s="1671">
        <v>2210500</v>
      </c>
      <c r="K4123" s="1680" t="s">
        <v>723</v>
      </c>
      <c r="L4123" s="1625">
        <v>10000</v>
      </c>
      <c r="N4123" s="1625">
        <f t="shared" si="64"/>
        <v>0</v>
      </c>
    </row>
    <row r="4124" spans="2:14">
      <c r="B4124" s="1708"/>
      <c r="C4124" s="1708"/>
      <c r="D4124" s="61">
        <v>2210502</v>
      </c>
      <c r="E4124" s="74" t="s">
        <v>105</v>
      </c>
      <c r="F4124" s="183">
        <v>10000</v>
      </c>
      <c r="H4124" s="1708"/>
      <c r="I4124" s="1708"/>
      <c r="J4124" s="61">
        <v>2210502</v>
      </c>
      <c r="K4124" s="74" t="s">
        <v>105</v>
      </c>
      <c r="L4124" s="183">
        <v>10000</v>
      </c>
      <c r="N4124" s="183">
        <f t="shared" si="64"/>
        <v>0</v>
      </c>
    </row>
    <row r="4125" spans="2:14">
      <c r="B4125" s="1708"/>
      <c r="C4125" s="1708"/>
      <c r="D4125" s="1671">
        <v>2210700</v>
      </c>
      <c r="E4125" s="1680" t="s">
        <v>35</v>
      </c>
      <c r="F4125" s="1625">
        <v>243559.4</v>
      </c>
      <c r="H4125" s="1708"/>
      <c r="I4125" s="1708"/>
      <c r="J4125" s="1671">
        <v>2210700</v>
      </c>
      <c r="K4125" s="1680" t="s">
        <v>35</v>
      </c>
      <c r="L4125" s="1625">
        <v>243559.4</v>
      </c>
      <c r="N4125" s="1625">
        <f t="shared" si="64"/>
        <v>0</v>
      </c>
    </row>
    <row r="4126" spans="2:14">
      <c r="B4126" s="1708"/>
      <c r="C4126" s="1708"/>
      <c r="D4126" s="61">
        <v>2210701</v>
      </c>
      <c r="E4126" s="74" t="s">
        <v>36</v>
      </c>
      <c r="F4126" s="183">
        <v>66700</v>
      </c>
      <c r="H4126" s="1708"/>
      <c r="I4126" s="1708"/>
      <c r="J4126" s="61">
        <v>2210701</v>
      </c>
      <c r="K4126" s="74" t="s">
        <v>36</v>
      </c>
      <c r="L4126" s="183">
        <v>66700</v>
      </c>
      <c r="N4126" s="183">
        <f t="shared" si="64"/>
        <v>0</v>
      </c>
    </row>
    <row r="4127" spans="2:14">
      <c r="B4127" s="1708"/>
      <c r="C4127" s="1708"/>
      <c r="D4127" s="61">
        <v>2210710</v>
      </c>
      <c r="E4127" s="74" t="s">
        <v>733</v>
      </c>
      <c r="F4127" s="183">
        <v>58000</v>
      </c>
      <c r="H4127" s="1708"/>
      <c r="I4127" s="1708"/>
      <c r="J4127" s="61">
        <v>2210710</v>
      </c>
      <c r="K4127" s="74" t="s">
        <v>733</v>
      </c>
      <c r="L4127" s="183">
        <v>58000</v>
      </c>
      <c r="N4127" s="183">
        <f t="shared" si="64"/>
        <v>0</v>
      </c>
    </row>
    <row r="4128" spans="2:14">
      <c r="B4128" s="1708"/>
      <c r="C4128" s="1708"/>
      <c r="D4128" s="61">
        <v>2210711</v>
      </c>
      <c r="E4128" s="74" t="s">
        <v>156</v>
      </c>
      <c r="F4128" s="183">
        <v>92759.4</v>
      </c>
      <c r="H4128" s="1708"/>
      <c r="I4128" s="1708"/>
      <c r="J4128" s="61">
        <v>2210711</v>
      </c>
      <c r="K4128" s="74" t="s">
        <v>156</v>
      </c>
      <c r="L4128" s="183">
        <v>92759.4</v>
      </c>
      <c r="N4128" s="183">
        <f t="shared" si="64"/>
        <v>0</v>
      </c>
    </row>
    <row r="4129" spans="2:14">
      <c r="B4129" s="1708"/>
      <c r="C4129" s="1708"/>
      <c r="D4129" s="61">
        <v>2210712</v>
      </c>
      <c r="E4129" s="74" t="s">
        <v>734</v>
      </c>
      <c r="F4129" s="183">
        <v>26100</v>
      </c>
      <c r="H4129" s="1708"/>
      <c r="I4129" s="1708"/>
      <c r="J4129" s="61">
        <v>2210712</v>
      </c>
      <c r="K4129" s="74" t="s">
        <v>734</v>
      </c>
      <c r="L4129" s="183">
        <v>26100</v>
      </c>
      <c r="N4129" s="183">
        <f t="shared" si="64"/>
        <v>0</v>
      </c>
    </row>
    <row r="4130" spans="2:14">
      <c r="B4130" s="1708"/>
      <c r="C4130" s="1708"/>
      <c r="D4130" s="1671">
        <v>2210800</v>
      </c>
      <c r="E4130" s="1680" t="s">
        <v>42</v>
      </c>
      <c r="F4130" s="1625">
        <v>300000</v>
      </c>
      <c r="H4130" s="1708"/>
      <c r="I4130" s="1708"/>
      <c r="J4130" s="1671">
        <v>2210800</v>
      </c>
      <c r="K4130" s="1680" t="s">
        <v>42</v>
      </c>
      <c r="L4130" s="1625">
        <v>300000</v>
      </c>
      <c r="N4130" s="1625">
        <f t="shared" si="64"/>
        <v>0</v>
      </c>
    </row>
    <row r="4131" spans="2:14">
      <c r="B4131" s="1708"/>
      <c r="C4131" s="1708"/>
      <c r="D4131" s="61">
        <v>2210801</v>
      </c>
      <c r="E4131" s="74" t="s">
        <v>725</v>
      </c>
      <c r="F4131" s="183">
        <v>185000</v>
      </c>
      <c r="H4131" s="1708"/>
      <c r="I4131" s="1708"/>
      <c r="J4131" s="61">
        <v>2210801</v>
      </c>
      <c r="K4131" s="74" t="s">
        <v>725</v>
      </c>
      <c r="L4131" s="183">
        <v>185000</v>
      </c>
      <c r="N4131" s="183">
        <f t="shared" si="64"/>
        <v>0</v>
      </c>
    </row>
    <row r="4132" spans="2:14">
      <c r="B4132" s="1708"/>
      <c r="C4132" s="1708"/>
      <c r="D4132" s="61">
        <v>2210802</v>
      </c>
      <c r="E4132" s="74" t="s">
        <v>97</v>
      </c>
      <c r="F4132" s="183">
        <v>115000</v>
      </c>
      <c r="H4132" s="1708"/>
      <c r="I4132" s="1708"/>
      <c r="J4132" s="61">
        <v>2210802</v>
      </c>
      <c r="K4132" s="74" t="s">
        <v>97</v>
      </c>
      <c r="L4132" s="183">
        <v>115000</v>
      </c>
      <c r="N4132" s="183">
        <f t="shared" si="64"/>
        <v>0</v>
      </c>
    </row>
    <row r="4133" spans="2:14">
      <c r="B4133" s="1708"/>
      <c r="C4133" s="1708"/>
      <c r="D4133" s="1671">
        <v>2211200</v>
      </c>
      <c r="E4133" s="1680" t="s">
        <v>55</v>
      </c>
      <c r="F4133" s="1625">
        <v>1000000</v>
      </c>
      <c r="H4133" s="1708"/>
      <c r="I4133" s="1708"/>
      <c r="J4133" s="1671">
        <v>2211200</v>
      </c>
      <c r="K4133" s="1680" t="s">
        <v>55</v>
      </c>
      <c r="L4133" s="1625">
        <v>1000000</v>
      </c>
      <c r="N4133" s="1625">
        <f t="shared" si="64"/>
        <v>0</v>
      </c>
    </row>
    <row r="4134" spans="2:14">
      <c r="B4134" s="1708"/>
      <c r="C4134" s="1708"/>
      <c r="D4134" s="61">
        <v>2211201</v>
      </c>
      <c r="E4134" s="74" t="s">
        <v>56</v>
      </c>
      <c r="F4134" s="183">
        <v>1000000</v>
      </c>
      <c r="H4134" s="1708"/>
      <c r="I4134" s="1708"/>
      <c r="J4134" s="61">
        <v>2211201</v>
      </c>
      <c r="K4134" s="74" t="s">
        <v>56</v>
      </c>
      <c r="L4134" s="183">
        <v>1000000</v>
      </c>
      <c r="N4134" s="183">
        <f t="shared" si="64"/>
        <v>0</v>
      </c>
    </row>
    <row r="4135" spans="2:14">
      <c r="B4135" s="1708"/>
      <c r="C4135" s="1708"/>
      <c r="D4135" s="1671">
        <v>2220200</v>
      </c>
      <c r="E4135" s="1680" t="s">
        <v>124</v>
      </c>
      <c r="F4135" s="1625">
        <v>350000</v>
      </c>
      <c r="H4135" s="1708"/>
      <c r="I4135" s="1708"/>
      <c r="J4135" s="1671">
        <v>2220200</v>
      </c>
      <c r="K4135" s="1680" t="s">
        <v>124</v>
      </c>
      <c r="L4135" s="1625">
        <v>350000</v>
      </c>
      <c r="N4135" s="1625">
        <f t="shared" si="64"/>
        <v>0</v>
      </c>
    </row>
    <row r="4136" spans="2:14">
      <c r="B4136" s="1708"/>
      <c r="C4136" s="1708"/>
      <c r="D4136" s="61">
        <v>2220201</v>
      </c>
      <c r="E4136" s="74" t="s">
        <v>729</v>
      </c>
      <c r="F4136" s="183">
        <v>350000</v>
      </c>
      <c r="H4136" s="1708"/>
      <c r="I4136" s="1708"/>
      <c r="J4136" s="61">
        <v>2220201</v>
      </c>
      <c r="K4136" s="74" t="s">
        <v>729</v>
      </c>
      <c r="L4136" s="183">
        <v>350000</v>
      </c>
      <c r="N4136" s="183">
        <f t="shared" si="64"/>
        <v>0</v>
      </c>
    </row>
    <row r="4137" spans="2:14">
      <c r="B4137" s="1708"/>
      <c r="C4137" s="1708"/>
      <c r="D4137" s="1543"/>
      <c r="E4137" s="1620" t="s">
        <v>735</v>
      </c>
      <c r="F4137" s="1621">
        <v>2417559.4</v>
      </c>
      <c r="H4137" s="1708"/>
      <c r="I4137" s="1708"/>
      <c r="J4137" s="1543"/>
      <c r="K4137" s="1620" t="s">
        <v>735</v>
      </c>
      <c r="L4137" s="1621">
        <v>2417559.4</v>
      </c>
      <c r="N4137" s="1621">
        <f t="shared" si="64"/>
        <v>0</v>
      </c>
    </row>
    <row r="4138" spans="2:14">
      <c r="B4138" s="1708"/>
      <c r="C4138" s="1708"/>
      <c r="D4138" s="1671"/>
      <c r="E4138" s="1620" t="s">
        <v>99</v>
      </c>
      <c r="F4138" s="1621">
        <v>7101543.4000000004</v>
      </c>
      <c r="H4138" s="1708"/>
      <c r="I4138" s="1708"/>
      <c r="J4138" s="1671"/>
      <c r="K4138" s="1620" t="s">
        <v>99</v>
      </c>
      <c r="L4138" s="1621">
        <v>7101543.4000000004</v>
      </c>
      <c r="N4138" s="1621">
        <f t="shared" si="64"/>
        <v>0</v>
      </c>
    </row>
    <row r="4139" spans="2:14">
      <c r="B4139" s="1708"/>
      <c r="C4139" s="1708"/>
      <c r="D4139" s="61"/>
      <c r="E4139" s="1680"/>
      <c r="F4139" s="183">
        <v>0</v>
      </c>
      <c r="H4139" s="1708"/>
      <c r="I4139" s="1708"/>
      <c r="J4139" s="61"/>
      <c r="K4139" s="1680"/>
      <c r="L4139" s="183">
        <v>0</v>
      </c>
      <c r="N4139" s="183">
        <f t="shared" si="64"/>
        <v>0</v>
      </c>
    </row>
    <row r="4140" spans="2:14">
      <c r="B4140" s="1708"/>
      <c r="C4140" s="1708"/>
      <c r="D4140" s="61"/>
      <c r="E4140" s="1620" t="s">
        <v>92</v>
      </c>
      <c r="F4140" s="183">
        <v>0</v>
      </c>
      <c r="H4140" s="1708"/>
      <c r="I4140" s="1708"/>
      <c r="J4140" s="61"/>
      <c r="K4140" s="1620" t="s">
        <v>92</v>
      </c>
      <c r="L4140" s="183">
        <v>0</v>
      </c>
      <c r="N4140" s="183">
        <f t="shared" si="64"/>
        <v>0</v>
      </c>
    </row>
    <row r="4141" spans="2:14">
      <c r="B4141" s="1708"/>
      <c r="C4141" s="1708"/>
      <c r="D4141" s="1671">
        <v>3110500</v>
      </c>
      <c r="E4141" s="1680" t="s">
        <v>736</v>
      </c>
      <c r="F4141" s="1625">
        <v>1000000</v>
      </c>
      <c r="H4141" s="1708"/>
      <c r="I4141" s="1708"/>
      <c r="J4141" s="1671">
        <v>3110500</v>
      </c>
      <c r="K4141" s="1680" t="s">
        <v>736</v>
      </c>
      <c r="L4141" s="1625">
        <v>1000000</v>
      </c>
      <c r="N4141" s="1625">
        <f t="shared" si="64"/>
        <v>0</v>
      </c>
    </row>
    <row r="4142" spans="2:14">
      <c r="B4142" s="1708"/>
      <c r="C4142" s="1708"/>
      <c r="D4142" s="61">
        <v>3110504</v>
      </c>
      <c r="E4142" s="1965" t="s">
        <v>1383</v>
      </c>
      <c r="F4142" s="183">
        <v>1000000</v>
      </c>
      <c r="H4142" s="1708"/>
      <c r="I4142" s="1708"/>
      <c r="J4142" s="61">
        <v>3110504</v>
      </c>
      <c r="K4142" s="1965" t="s">
        <v>1383</v>
      </c>
      <c r="L4142" s="183">
        <v>1000000</v>
      </c>
      <c r="N4142" s="183">
        <f t="shared" si="64"/>
        <v>0</v>
      </c>
    </row>
    <row r="4143" spans="2:14">
      <c r="B4143" s="1708"/>
      <c r="C4143" s="1708"/>
      <c r="D4143" s="1671">
        <v>3111500</v>
      </c>
      <c r="E4143" s="1584" t="s">
        <v>549</v>
      </c>
      <c r="F4143" s="1625">
        <v>500000</v>
      </c>
      <c r="H4143" s="1708"/>
      <c r="I4143" s="1708"/>
      <c r="J4143" s="1671">
        <v>3111500</v>
      </c>
      <c r="K4143" s="1584" t="s">
        <v>549</v>
      </c>
      <c r="L4143" s="1625">
        <v>500000</v>
      </c>
      <c r="N4143" s="1625">
        <f t="shared" si="64"/>
        <v>0</v>
      </c>
    </row>
    <row r="4144" spans="2:14" ht="30">
      <c r="B4144" s="1708"/>
      <c r="C4144" s="1708"/>
      <c r="D4144" s="61">
        <v>3110302</v>
      </c>
      <c r="E4144" s="74" t="s">
        <v>1384</v>
      </c>
      <c r="F4144" s="183">
        <v>500000</v>
      </c>
      <c r="H4144" s="1708"/>
      <c r="I4144" s="1708"/>
      <c r="J4144" s="61">
        <v>3110302</v>
      </c>
      <c r="K4144" s="74" t="s">
        <v>1384</v>
      </c>
      <c r="L4144" s="183">
        <v>500000</v>
      </c>
      <c r="N4144" s="183">
        <f t="shared" si="64"/>
        <v>0</v>
      </c>
    </row>
    <row r="4145" spans="2:14">
      <c r="B4145" s="1708"/>
      <c r="C4145" s="1708"/>
      <c r="D4145" s="1671"/>
      <c r="E4145" s="1620" t="s">
        <v>175</v>
      </c>
      <c r="F4145" s="1621">
        <v>1500000</v>
      </c>
      <c r="H4145" s="1708"/>
      <c r="I4145" s="1708"/>
      <c r="J4145" s="1671"/>
      <c r="K4145" s="1620" t="s">
        <v>175</v>
      </c>
      <c r="L4145" s="1621">
        <v>1500000</v>
      </c>
      <c r="N4145" s="1621">
        <f t="shared" si="64"/>
        <v>0</v>
      </c>
    </row>
    <row r="4146" spans="2:14">
      <c r="B4146" s="1708"/>
      <c r="C4146" s="1708"/>
      <c r="D4146" s="1671"/>
      <c r="E4146" s="1620" t="s">
        <v>627</v>
      </c>
      <c r="F4146" s="1621">
        <v>8601543.4000000004</v>
      </c>
      <c r="H4146" s="1708"/>
      <c r="I4146" s="1708"/>
      <c r="J4146" s="1671"/>
      <c r="K4146" s="1620" t="s">
        <v>627</v>
      </c>
      <c r="L4146" s="1621">
        <v>8601543.4000000004</v>
      </c>
      <c r="N4146" s="1621">
        <f t="shared" si="64"/>
        <v>0</v>
      </c>
    </row>
    <row r="4147" spans="2:14">
      <c r="B4147" s="1708"/>
      <c r="C4147" s="1708"/>
      <c r="D4147" s="61"/>
      <c r="E4147" s="74"/>
      <c r="F4147" s="183">
        <v>0</v>
      </c>
      <c r="H4147" s="1708"/>
      <c r="I4147" s="1708"/>
      <c r="J4147" s="61"/>
      <c r="K4147" s="74"/>
      <c r="L4147" s="183">
        <v>0</v>
      </c>
      <c r="N4147" s="183">
        <f t="shared" si="64"/>
        <v>0</v>
      </c>
    </row>
    <row r="4148" spans="2:14">
      <c r="B4148" s="1892" t="s">
        <v>168</v>
      </c>
      <c r="C4148" s="1892"/>
      <c r="D4148" s="1507" t="s">
        <v>737</v>
      </c>
      <c r="E4148" s="1620"/>
      <c r="F4148" s="183">
        <v>0</v>
      </c>
      <c r="H4148" s="1892" t="s">
        <v>168</v>
      </c>
      <c r="I4148" s="1892"/>
      <c r="J4148" s="1507" t="s">
        <v>737</v>
      </c>
      <c r="K4148" s="1620"/>
      <c r="L4148" s="183">
        <v>0</v>
      </c>
      <c r="N4148" s="183">
        <f t="shared" si="64"/>
        <v>0</v>
      </c>
    </row>
    <row r="4149" spans="2:14">
      <c r="B4149" s="1892"/>
      <c r="C4149" s="1892" t="s">
        <v>386</v>
      </c>
      <c r="D4149" s="1507" t="s">
        <v>738</v>
      </c>
      <c r="E4149" s="1620"/>
      <c r="F4149" s="183">
        <v>0</v>
      </c>
      <c r="H4149" s="1892"/>
      <c r="I4149" s="1892" t="s">
        <v>386</v>
      </c>
      <c r="J4149" s="1507" t="s">
        <v>738</v>
      </c>
      <c r="K4149" s="1620"/>
      <c r="L4149" s="183">
        <v>0</v>
      </c>
      <c r="N4149" s="183">
        <f t="shared" si="64"/>
        <v>0</v>
      </c>
    </row>
    <row r="4150" spans="2:14">
      <c r="B4150" s="1708"/>
      <c r="C4150" s="1708"/>
      <c r="D4150" s="1671">
        <v>2110100</v>
      </c>
      <c r="E4150" s="1584" t="s">
        <v>718</v>
      </c>
      <c r="F4150" s="1625">
        <v>2556200</v>
      </c>
      <c r="H4150" s="1708"/>
      <c r="I4150" s="1708"/>
      <c r="J4150" s="1671">
        <v>2110100</v>
      </c>
      <c r="K4150" s="1584" t="s">
        <v>718</v>
      </c>
      <c r="L4150" s="1625">
        <v>2556200</v>
      </c>
      <c r="N4150" s="1625">
        <f t="shared" si="64"/>
        <v>0</v>
      </c>
    </row>
    <row r="4151" spans="2:14">
      <c r="B4151" s="1708"/>
      <c r="C4151" s="1708"/>
      <c r="D4151" s="61">
        <v>2110199</v>
      </c>
      <c r="E4151" s="1585" t="s">
        <v>13</v>
      </c>
      <c r="F4151" s="183">
        <v>2556200</v>
      </c>
      <c r="H4151" s="1708"/>
      <c r="I4151" s="1708"/>
      <c r="J4151" s="61">
        <v>2110199</v>
      </c>
      <c r="K4151" s="1585" t="s">
        <v>13</v>
      </c>
      <c r="L4151" s="183">
        <v>2556200</v>
      </c>
      <c r="N4151" s="183">
        <f t="shared" si="64"/>
        <v>0</v>
      </c>
    </row>
    <row r="4152" spans="2:14">
      <c r="B4152" s="1708"/>
      <c r="C4152" s="1708"/>
      <c r="D4152" s="1671">
        <v>2110300</v>
      </c>
      <c r="E4152" s="1533" t="s">
        <v>181</v>
      </c>
      <c r="F4152" s="1625">
        <v>838920</v>
      </c>
      <c r="H4152" s="1708"/>
      <c r="I4152" s="1708"/>
      <c r="J4152" s="1671">
        <v>2110300</v>
      </c>
      <c r="K4152" s="1533" t="s">
        <v>181</v>
      </c>
      <c r="L4152" s="1625">
        <v>838920</v>
      </c>
      <c r="N4152" s="1625">
        <f t="shared" si="64"/>
        <v>0</v>
      </c>
    </row>
    <row r="4153" spans="2:14">
      <c r="B4153" s="1708"/>
      <c r="C4153" s="1708"/>
      <c r="D4153" s="61">
        <v>2110301</v>
      </c>
      <c r="E4153" s="1858" t="s">
        <v>182</v>
      </c>
      <c r="F4153" s="183">
        <v>523455</v>
      </c>
      <c r="H4153" s="1708"/>
      <c r="I4153" s="1708"/>
      <c r="J4153" s="61">
        <v>2110301</v>
      </c>
      <c r="K4153" s="1858" t="s">
        <v>182</v>
      </c>
      <c r="L4153" s="183">
        <v>523455</v>
      </c>
      <c r="N4153" s="183">
        <f t="shared" si="64"/>
        <v>0</v>
      </c>
    </row>
    <row r="4154" spans="2:14">
      <c r="B4154" s="1708"/>
      <c r="C4154" s="1708"/>
      <c r="D4154" s="61">
        <v>2110314</v>
      </c>
      <c r="E4154" s="1532" t="s">
        <v>183</v>
      </c>
      <c r="F4154" s="183">
        <v>315465</v>
      </c>
      <c r="H4154" s="1708"/>
      <c r="I4154" s="1708"/>
      <c r="J4154" s="61">
        <v>2110314</v>
      </c>
      <c r="K4154" s="1532" t="s">
        <v>183</v>
      </c>
      <c r="L4154" s="183">
        <v>315465</v>
      </c>
      <c r="N4154" s="183">
        <f t="shared" si="64"/>
        <v>0</v>
      </c>
    </row>
    <row r="4155" spans="2:14">
      <c r="B4155" s="1708"/>
      <c r="C4155" s="1708"/>
      <c r="D4155" s="1671">
        <v>2120100</v>
      </c>
      <c r="E4155" s="1584" t="s">
        <v>184</v>
      </c>
      <c r="F4155" s="1625">
        <v>515900</v>
      </c>
      <c r="H4155" s="1708"/>
      <c r="I4155" s="1708"/>
      <c r="J4155" s="1671">
        <v>2120100</v>
      </c>
      <c r="K4155" s="1584" t="s">
        <v>184</v>
      </c>
      <c r="L4155" s="1625">
        <v>515900</v>
      </c>
      <c r="N4155" s="1625">
        <f t="shared" si="64"/>
        <v>0</v>
      </c>
    </row>
    <row r="4156" spans="2:14">
      <c r="B4156" s="1708"/>
      <c r="C4156" s="1708"/>
      <c r="D4156" s="61">
        <v>2120101</v>
      </c>
      <c r="E4156" s="74" t="s">
        <v>185</v>
      </c>
      <c r="F4156" s="183">
        <v>165900</v>
      </c>
      <c r="H4156" s="1708"/>
      <c r="I4156" s="1708"/>
      <c r="J4156" s="61">
        <v>2120101</v>
      </c>
      <c r="K4156" s="74" t="s">
        <v>185</v>
      </c>
      <c r="L4156" s="183">
        <v>165900</v>
      </c>
      <c r="N4156" s="183">
        <f t="shared" si="64"/>
        <v>0</v>
      </c>
    </row>
    <row r="4157" spans="2:14">
      <c r="B4157" s="1708"/>
      <c r="C4157" s="1708"/>
      <c r="D4157" s="61">
        <v>2120103</v>
      </c>
      <c r="E4157" s="74" t="s">
        <v>186</v>
      </c>
      <c r="F4157" s="183">
        <v>350000</v>
      </c>
      <c r="H4157" s="1708"/>
      <c r="I4157" s="1708"/>
      <c r="J4157" s="61">
        <v>2120103</v>
      </c>
      <c r="K4157" s="74" t="s">
        <v>186</v>
      </c>
      <c r="L4157" s="183">
        <v>350000</v>
      </c>
      <c r="N4157" s="183">
        <f t="shared" si="64"/>
        <v>0</v>
      </c>
    </row>
    <row r="4158" spans="2:14">
      <c r="B4158" s="1708"/>
      <c r="C4158" s="1708"/>
      <c r="D4158" s="1671"/>
      <c r="E4158" s="1680" t="s">
        <v>720</v>
      </c>
      <c r="F4158" s="1625">
        <v>3911020</v>
      </c>
      <c r="H4158" s="1708"/>
      <c r="I4158" s="1708"/>
      <c r="J4158" s="1671"/>
      <c r="K4158" s="1680" t="s">
        <v>720</v>
      </c>
      <c r="L4158" s="1625">
        <v>3911020</v>
      </c>
      <c r="N4158" s="1625">
        <f t="shared" si="64"/>
        <v>0</v>
      </c>
    </row>
    <row r="4159" spans="2:14">
      <c r="B4159" s="1708"/>
      <c r="C4159" s="1708"/>
      <c r="D4159" s="1671">
        <v>2210300</v>
      </c>
      <c r="E4159" s="1680" t="s">
        <v>722</v>
      </c>
      <c r="F4159" s="1625">
        <v>281900</v>
      </c>
      <c r="H4159" s="1708"/>
      <c r="I4159" s="1708"/>
      <c r="J4159" s="1671">
        <v>2210300</v>
      </c>
      <c r="K4159" s="1680" t="s">
        <v>722</v>
      </c>
      <c r="L4159" s="1625">
        <v>281900</v>
      </c>
      <c r="N4159" s="1625">
        <f t="shared" si="64"/>
        <v>0</v>
      </c>
    </row>
    <row r="4160" spans="2:14">
      <c r="B4160" s="1708"/>
      <c r="C4160" s="1708"/>
      <c r="D4160" s="61">
        <v>2210301</v>
      </c>
      <c r="E4160" s="74" t="s">
        <v>188</v>
      </c>
      <c r="F4160" s="183">
        <v>119200</v>
      </c>
      <c r="H4160" s="1708"/>
      <c r="I4160" s="1708"/>
      <c r="J4160" s="61">
        <v>2210301</v>
      </c>
      <c r="K4160" s="74" t="s">
        <v>188</v>
      </c>
      <c r="L4160" s="183">
        <v>119200</v>
      </c>
      <c r="N4160" s="183">
        <f t="shared" si="64"/>
        <v>0</v>
      </c>
    </row>
    <row r="4161" spans="2:14">
      <c r="B4161" s="1708"/>
      <c r="C4161" s="1708"/>
      <c r="D4161" s="61">
        <v>2210302</v>
      </c>
      <c r="E4161" s="74" t="s">
        <v>26</v>
      </c>
      <c r="F4161" s="183">
        <v>95700</v>
      </c>
      <c r="H4161" s="1708"/>
      <c r="I4161" s="1708"/>
      <c r="J4161" s="61">
        <v>2210302</v>
      </c>
      <c r="K4161" s="74" t="s">
        <v>26</v>
      </c>
      <c r="L4161" s="183">
        <v>95700</v>
      </c>
      <c r="N4161" s="183">
        <f t="shared" si="64"/>
        <v>0</v>
      </c>
    </row>
    <row r="4162" spans="2:14">
      <c r="B4162" s="1708"/>
      <c r="C4162" s="1708"/>
      <c r="D4162" s="61">
        <v>2210303</v>
      </c>
      <c r="E4162" s="74" t="s">
        <v>223</v>
      </c>
      <c r="F4162" s="183">
        <v>67000</v>
      </c>
      <c r="H4162" s="1708"/>
      <c r="I4162" s="1708"/>
      <c r="J4162" s="61">
        <v>2210303</v>
      </c>
      <c r="K4162" s="74" t="s">
        <v>223</v>
      </c>
      <c r="L4162" s="183">
        <v>67000</v>
      </c>
      <c r="N4162" s="183">
        <f t="shared" si="64"/>
        <v>0</v>
      </c>
    </row>
    <row r="4163" spans="2:14">
      <c r="B4163" s="1708"/>
      <c r="C4163" s="1708"/>
      <c r="D4163" s="1671">
        <v>2210700</v>
      </c>
      <c r="E4163" s="1680" t="s">
        <v>35</v>
      </c>
      <c r="F4163" s="1625">
        <v>228300</v>
      </c>
      <c r="H4163" s="1708"/>
      <c r="I4163" s="1708"/>
      <c r="J4163" s="1671">
        <v>2210700</v>
      </c>
      <c r="K4163" s="1680" t="s">
        <v>35</v>
      </c>
      <c r="L4163" s="1625">
        <v>228300</v>
      </c>
      <c r="N4163" s="1625">
        <f t="shared" si="64"/>
        <v>0</v>
      </c>
    </row>
    <row r="4164" spans="2:14">
      <c r="B4164" s="1708"/>
      <c r="C4164" s="1708"/>
      <c r="D4164" s="61">
        <v>2210701</v>
      </c>
      <c r="E4164" s="74" t="s">
        <v>36</v>
      </c>
      <c r="F4164" s="183">
        <v>87000</v>
      </c>
      <c r="H4164" s="1708"/>
      <c r="I4164" s="1708"/>
      <c r="J4164" s="61">
        <v>2210701</v>
      </c>
      <c r="K4164" s="74" t="s">
        <v>36</v>
      </c>
      <c r="L4164" s="183">
        <v>87000</v>
      </c>
      <c r="N4164" s="183">
        <f t="shared" si="64"/>
        <v>0</v>
      </c>
    </row>
    <row r="4165" spans="2:14">
      <c r="B4165" s="1708"/>
      <c r="C4165" s="1708"/>
      <c r="D4165" s="61">
        <v>2210703</v>
      </c>
      <c r="E4165" s="74" t="s">
        <v>739</v>
      </c>
      <c r="F4165" s="183">
        <v>5000</v>
      </c>
      <c r="H4165" s="1708"/>
      <c r="I4165" s="1708"/>
      <c r="J4165" s="61">
        <v>2210703</v>
      </c>
      <c r="K4165" s="74" t="s">
        <v>739</v>
      </c>
      <c r="L4165" s="183">
        <v>5000</v>
      </c>
      <c r="N4165" s="183">
        <f t="shared" si="64"/>
        <v>0</v>
      </c>
    </row>
    <row r="4166" spans="2:14">
      <c r="B4166" s="1708"/>
      <c r="C4166" s="1708"/>
      <c r="D4166" s="61">
        <v>2210710</v>
      </c>
      <c r="E4166" s="74" t="s">
        <v>1385</v>
      </c>
      <c r="F4166" s="183">
        <v>26100</v>
      </c>
      <c r="H4166" s="1708"/>
      <c r="I4166" s="1708"/>
      <c r="J4166" s="61">
        <v>2210710</v>
      </c>
      <c r="K4166" s="74" t="s">
        <v>1385</v>
      </c>
      <c r="L4166" s="183">
        <v>26100</v>
      </c>
      <c r="N4166" s="183">
        <f t="shared" si="64"/>
        <v>0</v>
      </c>
    </row>
    <row r="4167" spans="2:14">
      <c r="B4167" s="1708"/>
      <c r="C4167" s="1708"/>
      <c r="D4167" s="61">
        <v>2210711</v>
      </c>
      <c r="E4167" s="74" t="s">
        <v>156</v>
      </c>
      <c r="F4167" s="183">
        <v>52200</v>
      </c>
      <c r="H4167" s="1708"/>
      <c r="I4167" s="1708"/>
      <c r="J4167" s="61">
        <v>2210711</v>
      </c>
      <c r="K4167" s="74" t="s">
        <v>156</v>
      </c>
      <c r="L4167" s="183">
        <v>52200</v>
      </c>
      <c r="N4167" s="183">
        <f t="shared" si="64"/>
        <v>0</v>
      </c>
    </row>
    <row r="4168" spans="2:14">
      <c r="B4168" s="1708"/>
      <c r="C4168" s="1708"/>
      <c r="D4168" s="61">
        <v>2210712</v>
      </c>
      <c r="E4168" s="74" t="s">
        <v>740</v>
      </c>
      <c r="F4168" s="183">
        <v>58000</v>
      </c>
      <c r="H4168" s="1708"/>
      <c r="I4168" s="1708"/>
      <c r="J4168" s="61">
        <v>2210712</v>
      </c>
      <c r="K4168" s="74" t="s">
        <v>740</v>
      </c>
      <c r="L4168" s="183">
        <v>58000</v>
      </c>
      <c r="N4168" s="183">
        <f t="shared" ref="N4168:N4231" si="65">F4168-L4168</f>
        <v>0</v>
      </c>
    </row>
    <row r="4169" spans="2:14">
      <c r="B4169" s="1708"/>
      <c r="C4169" s="1708"/>
      <c r="D4169" s="1671">
        <v>2210800</v>
      </c>
      <c r="E4169" s="1680" t="s">
        <v>42</v>
      </c>
      <c r="F4169" s="1625">
        <v>300000</v>
      </c>
      <c r="H4169" s="1708"/>
      <c r="I4169" s="1708"/>
      <c r="J4169" s="1671">
        <v>2210800</v>
      </c>
      <c r="K4169" s="1680" t="s">
        <v>42</v>
      </c>
      <c r="L4169" s="1625">
        <v>300000</v>
      </c>
      <c r="N4169" s="1625">
        <f t="shared" si="65"/>
        <v>0</v>
      </c>
    </row>
    <row r="4170" spans="2:14" ht="30">
      <c r="B4170" s="1708"/>
      <c r="C4170" s="1708"/>
      <c r="D4170" s="61">
        <v>2210801</v>
      </c>
      <c r="E4170" s="74" t="s">
        <v>1386</v>
      </c>
      <c r="F4170" s="183">
        <v>200000</v>
      </c>
      <c r="H4170" s="1708"/>
      <c r="I4170" s="1708"/>
      <c r="J4170" s="61">
        <v>2210801</v>
      </c>
      <c r="K4170" s="74" t="s">
        <v>1386</v>
      </c>
      <c r="L4170" s="183">
        <v>200000</v>
      </c>
      <c r="N4170" s="183">
        <f t="shared" si="65"/>
        <v>0</v>
      </c>
    </row>
    <row r="4171" spans="2:14">
      <c r="B4171" s="1708"/>
      <c r="C4171" s="1708"/>
      <c r="D4171" s="61">
        <v>2210802</v>
      </c>
      <c r="E4171" s="74" t="s">
        <v>97</v>
      </c>
      <c r="F4171" s="183">
        <v>100000</v>
      </c>
      <c r="H4171" s="1708"/>
      <c r="I4171" s="1708"/>
      <c r="J4171" s="61">
        <v>2210802</v>
      </c>
      <c r="K4171" s="74" t="s">
        <v>97</v>
      </c>
      <c r="L4171" s="183">
        <v>100000</v>
      </c>
      <c r="N4171" s="183">
        <f t="shared" si="65"/>
        <v>0</v>
      </c>
    </row>
    <row r="4172" spans="2:14">
      <c r="B4172" s="1708"/>
      <c r="C4172" s="1708"/>
      <c r="D4172" s="1671">
        <v>2211200</v>
      </c>
      <c r="E4172" s="1680" t="s">
        <v>55</v>
      </c>
      <c r="F4172" s="1625">
        <v>1000000</v>
      </c>
      <c r="H4172" s="1708"/>
      <c r="I4172" s="1708"/>
      <c r="J4172" s="1671">
        <v>2211200</v>
      </c>
      <c r="K4172" s="1680" t="s">
        <v>55</v>
      </c>
      <c r="L4172" s="1625">
        <v>1000000</v>
      </c>
      <c r="N4172" s="1625">
        <f t="shared" si="65"/>
        <v>0</v>
      </c>
    </row>
    <row r="4173" spans="2:14">
      <c r="B4173" s="1708"/>
      <c r="C4173" s="1708"/>
      <c r="D4173" s="61">
        <v>2211201</v>
      </c>
      <c r="E4173" s="74" t="s">
        <v>56</v>
      </c>
      <c r="F4173" s="183">
        <v>1000000</v>
      </c>
      <c r="H4173" s="1708"/>
      <c r="I4173" s="1708"/>
      <c r="J4173" s="61">
        <v>2211201</v>
      </c>
      <c r="K4173" s="74" t="s">
        <v>56</v>
      </c>
      <c r="L4173" s="183">
        <v>1000000</v>
      </c>
      <c r="N4173" s="183">
        <f t="shared" si="65"/>
        <v>0</v>
      </c>
    </row>
    <row r="4174" spans="2:14">
      <c r="B4174" s="1708"/>
      <c r="C4174" s="1708"/>
      <c r="D4174" s="1671">
        <v>2220200</v>
      </c>
      <c r="E4174" s="1680" t="s">
        <v>124</v>
      </c>
      <c r="F4174" s="1625">
        <v>350000</v>
      </c>
      <c r="H4174" s="1708"/>
      <c r="I4174" s="1708"/>
      <c r="J4174" s="1671">
        <v>2220200</v>
      </c>
      <c r="K4174" s="1680" t="s">
        <v>124</v>
      </c>
      <c r="L4174" s="1625">
        <v>350000</v>
      </c>
      <c r="N4174" s="1625">
        <f t="shared" si="65"/>
        <v>0</v>
      </c>
    </row>
    <row r="4175" spans="2:14">
      <c r="B4175" s="1708"/>
      <c r="C4175" s="1708"/>
      <c r="D4175" s="61">
        <v>2220201</v>
      </c>
      <c r="E4175" s="74" t="s">
        <v>729</v>
      </c>
      <c r="F4175" s="183">
        <v>350000</v>
      </c>
      <c r="H4175" s="1708"/>
      <c r="I4175" s="1708"/>
      <c r="J4175" s="61">
        <v>2220201</v>
      </c>
      <c r="K4175" s="74" t="s">
        <v>729</v>
      </c>
      <c r="L4175" s="183">
        <v>350000</v>
      </c>
      <c r="N4175" s="183">
        <f t="shared" si="65"/>
        <v>0</v>
      </c>
    </row>
    <row r="4176" spans="2:14">
      <c r="B4176" s="1708"/>
      <c r="C4176" s="1708"/>
      <c r="D4176" s="1671">
        <v>3111000</v>
      </c>
      <c r="E4176" s="1680" t="s">
        <v>69</v>
      </c>
      <c r="F4176" s="1625">
        <v>500000</v>
      </c>
      <c r="H4176" s="1708"/>
      <c r="I4176" s="1708"/>
      <c r="J4176" s="1671">
        <v>3111000</v>
      </c>
      <c r="K4176" s="1680" t="s">
        <v>69</v>
      </c>
      <c r="L4176" s="1625">
        <v>500000</v>
      </c>
      <c r="N4176" s="1625">
        <f t="shared" si="65"/>
        <v>0</v>
      </c>
    </row>
    <row r="4177" spans="2:14">
      <c r="B4177" s="1708"/>
      <c r="C4177" s="1708"/>
      <c r="D4177" s="61">
        <v>3111002</v>
      </c>
      <c r="E4177" s="74" t="s">
        <v>71</v>
      </c>
      <c r="F4177" s="183">
        <v>500000</v>
      </c>
      <c r="H4177" s="1708"/>
      <c r="I4177" s="1708"/>
      <c r="J4177" s="61">
        <v>3111002</v>
      </c>
      <c r="K4177" s="74" t="s">
        <v>71</v>
      </c>
      <c r="L4177" s="183">
        <v>500000</v>
      </c>
      <c r="N4177" s="183">
        <f t="shared" si="65"/>
        <v>0</v>
      </c>
    </row>
    <row r="4178" spans="2:14">
      <c r="B4178" s="1708"/>
      <c r="C4178" s="1708"/>
      <c r="D4178" s="1543"/>
      <c r="E4178" s="1620" t="s">
        <v>741</v>
      </c>
      <c r="F4178" s="1621">
        <v>2660200</v>
      </c>
      <c r="H4178" s="1708"/>
      <c r="I4178" s="1708"/>
      <c r="J4178" s="1543"/>
      <c r="K4178" s="1620" t="s">
        <v>741</v>
      </c>
      <c r="L4178" s="1621">
        <v>2660200</v>
      </c>
      <c r="N4178" s="1621">
        <f t="shared" si="65"/>
        <v>0</v>
      </c>
    </row>
    <row r="4179" spans="2:14">
      <c r="B4179" s="1708"/>
      <c r="C4179" s="1708"/>
      <c r="D4179" s="1671"/>
      <c r="E4179" s="1620" t="s">
        <v>99</v>
      </c>
      <c r="F4179" s="1621">
        <v>6571220</v>
      </c>
      <c r="H4179" s="1708"/>
      <c r="I4179" s="1708"/>
      <c r="J4179" s="1671"/>
      <c r="K4179" s="1620" t="s">
        <v>99</v>
      </c>
      <c r="L4179" s="1621">
        <v>6571220</v>
      </c>
      <c r="N4179" s="1621">
        <f t="shared" si="65"/>
        <v>0</v>
      </c>
    </row>
    <row r="4180" spans="2:14">
      <c r="B4180" s="1708"/>
      <c r="C4180" s="1708"/>
      <c r="D4180" s="61"/>
      <c r="E4180" s="1680"/>
      <c r="F4180" s="183">
        <v>0</v>
      </c>
      <c r="H4180" s="1708"/>
      <c r="I4180" s="1708"/>
      <c r="J4180" s="61"/>
      <c r="K4180" s="1680"/>
      <c r="L4180" s="183">
        <v>0</v>
      </c>
      <c r="N4180" s="183">
        <f t="shared" si="65"/>
        <v>0</v>
      </c>
    </row>
    <row r="4181" spans="2:14">
      <c r="B4181" s="1708"/>
      <c r="C4181" s="1708"/>
      <c r="D4181" s="61"/>
      <c r="E4181" s="1680" t="s">
        <v>92</v>
      </c>
      <c r="F4181" s="183">
        <v>0</v>
      </c>
      <c r="H4181" s="1708"/>
      <c r="I4181" s="1708"/>
      <c r="J4181" s="61"/>
      <c r="K4181" s="1680" t="s">
        <v>92</v>
      </c>
      <c r="L4181" s="183">
        <v>0</v>
      </c>
      <c r="N4181" s="183">
        <f t="shared" si="65"/>
        <v>0</v>
      </c>
    </row>
    <row r="4182" spans="2:14">
      <c r="B4182" s="1708"/>
      <c r="C4182" s="1708"/>
      <c r="D4182" s="1671">
        <v>3110200</v>
      </c>
      <c r="E4182" s="1680" t="s">
        <v>79</v>
      </c>
      <c r="F4182" s="1625">
        <v>2000000</v>
      </c>
      <c r="H4182" s="1708"/>
      <c r="I4182" s="1708"/>
      <c r="J4182" s="1671">
        <v>3110200</v>
      </c>
      <c r="K4182" s="1680" t="s">
        <v>79</v>
      </c>
      <c r="L4182" s="1625">
        <v>2000000</v>
      </c>
      <c r="N4182" s="1625">
        <f t="shared" si="65"/>
        <v>0</v>
      </c>
    </row>
    <row r="4183" spans="2:14">
      <c r="B4183" s="1708"/>
      <c r="C4183" s="1708"/>
      <c r="D4183" s="61">
        <v>3110299</v>
      </c>
      <c r="E4183" s="74" t="s">
        <v>1387</v>
      </c>
      <c r="F4183" s="183">
        <v>2000000</v>
      </c>
      <c r="H4183" s="1708"/>
      <c r="I4183" s="1708"/>
      <c r="J4183" s="61">
        <v>3110299</v>
      </c>
      <c r="K4183" s="74" t="s">
        <v>1387</v>
      </c>
      <c r="L4183" s="183">
        <v>2000000</v>
      </c>
      <c r="N4183" s="183">
        <f t="shared" si="65"/>
        <v>0</v>
      </c>
    </row>
    <row r="4184" spans="2:14">
      <c r="B4184" s="1708"/>
      <c r="C4184" s="1708"/>
      <c r="D4184" s="1671">
        <v>3110500</v>
      </c>
      <c r="E4184" s="1680" t="s">
        <v>736</v>
      </c>
      <c r="F4184" s="1625">
        <v>8500000</v>
      </c>
      <c r="H4184" s="1708"/>
      <c r="I4184" s="1708"/>
      <c r="J4184" s="1671">
        <v>3110500</v>
      </c>
      <c r="K4184" s="1680" t="s">
        <v>736</v>
      </c>
      <c r="L4184" s="1625">
        <v>8500000</v>
      </c>
      <c r="N4184" s="1625">
        <f t="shared" si="65"/>
        <v>0</v>
      </c>
    </row>
    <row r="4185" spans="2:14" ht="30">
      <c r="B4185" s="1708"/>
      <c r="C4185" s="1708"/>
      <c r="D4185" s="61">
        <v>3110504</v>
      </c>
      <c r="E4185" s="1965" t="s">
        <v>1388</v>
      </c>
      <c r="F4185" s="183">
        <v>6000000</v>
      </c>
      <c r="H4185" s="1708"/>
      <c r="I4185" s="1708"/>
      <c r="J4185" s="61">
        <v>3110504</v>
      </c>
      <c r="K4185" s="1965" t="s">
        <v>1388</v>
      </c>
      <c r="L4185" s="183">
        <v>6000000</v>
      </c>
      <c r="N4185" s="183">
        <f t="shared" si="65"/>
        <v>0</v>
      </c>
    </row>
    <row r="4186" spans="2:14" ht="30">
      <c r="B4186" s="1708"/>
      <c r="C4186" s="1708"/>
      <c r="D4186" s="61">
        <v>3110599</v>
      </c>
      <c r="E4186" s="1965" t="s">
        <v>1389</v>
      </c>
      <c r="F4186" s="183">
        <v>2500000</v>
      </c>
      <c r="H4186" s="1708"/>
      <c r="I4186" s="1708"/>
      <c r="J4186" s="61">
        <v>3110599</v>
      </c>
      <c r="K4186" s="1965" t="s">
        <v>1389</v>
      </c>
      <c r="L4186" s="183">
        <v>2500000</v>
      </c>
      <c r="N4186" s="183">
        <f t="shared" si="65"/>
        <v>0</v>
      </c>
    </row>
    <row r="4187" spans="2:14">
      <c r="B4187" s="26"/>
      <c r="C4187" s="26"/>
      <c r="D4187" s="1671"/>
      <c r="E4187" s="1620" t="s">
        <v>175</v>
      </c>
      <c r="F4187" s="1621">
        <v>10500000</v>
      </c>
      <c r="H4187" s="26"/>
      <c r="I4187" s="26"/>
      <c r="J4187" s="1671"/>
      <c r="K4187" s="1620" t="s">
        <v>175</v>
      </c>
      <c r="L4187" s="1621">
        <v>10500000</v>
      </c>
      <c r="N4187" s="1621">
        <f t="shared" si="65"/>
        <v>0</v>
      </c>
    </row>
    <row r="4188" spans="2:14">
      <c r="B4188" s="1708"/>
      <c r="C4188" s="1708"/>
      <c r="D4188" s="1671"/>
      <c r="E4188" s="1620" t="s">
        <v>627</v>
      </c>
      <c r="F4188" s="1621">
        <v>17071220</v>
      </c>
      <c r="H4188" s="1708"/>
      <c r="I4188" s="1708"/>
      <c r="J4188" s="1671"/>
      <c r="K4188" s="1620" t="s">
        <v>627</v>
      </c>
      <c r="L4188" s="1621">
        <v>17071220</v>
      </c>
      <c r="N4188" s="1621">
        <f t="shared" si="65"/>
        <v>0</v>
      </c>
    </row>
    <row r="4189" spans="2:14">
      <c r="B4189" s="1708"/>
      <c r="C4189" s="1708"/>
      <c r="D4189" s="1671"/>
      <c r="E4189" s="74"/>
      <c r="F4189" s="183">
        <v>0</v>
      </c>
      <c r="H4189" s="1708"/>
      <c r="I4189" s="1708"/>
      <c r="J4189" s="1671"/>
      <c r="K4189" s="74"/>
      <c r="L4189" s="183">
        <v>0</v>
      </c>
      <c r="N4189" s="183">
        <f t="shared" si="65"/>
        <v>0</v>
      </c>
    </row>
    <row r="4190" spans="2:14">
      <c r="B4190" s="1892" t="s">
        <v>168</v>
      </c>
      <c r="C4190" s="1892" t="s">
        <v>742</v>
      </c>
      <c r="D4190" s="1507" t="s">
        <v>743</v>
      </c>
      <c r="E4190" s="1618"/>
      <c r="F4190" s="1619">
        <v>0</v>
      </c>
      <c r="H4190" s="1892" t="s">
        <v>168</v>
      </c>
      <c r="I4190" s="1892" t="s">
        <v>742</v>
      </c>
      <c r="J4190" s="1507" t="s">
        <v>743</v>
      </c>
      <c r="K4190" s="1618"/>
      <c r="L4190" s="1619">
        <v>0</v>
      </c>
      <c r="N4190" s="1619">
        <f t="shared" si="65"/>
        <v>0</v>
      </c>
    </row>
    <row r="4191" spans="2:14">
      <c r="B4191" s="1708"/>
      <c r="C4191" s="1708"/>
      <c r="D4191" s="1671">
        <v>2210700</v>
      </c>
      <c r="E4191" s="1680" t="s">
        <v>35</v>
      </c>
      <c r="F4191" s="1625">
        <v>230000</v>
      </c>
      <c r="H4191" s="1708"/>
      <c r="I4191" s="1708"/>
      <c r="J4191" s="1671">
        <v>2210700</v>
      </c>
      <c r="K4191" s="1680" t="s">
        <v>35</v>
      </c>
      <c r="L4191" s="1625">
        <v>230000</v>
      </c>
      <c r="N4191" s="1625">
        <f t="shared" si="65"/>
        <v>0</v>
      </c>
    </row>
    <row r="4192" spans="2:14">
      <c r="B4192" s="1708"/>
      <c r="C4192" s="1708"/>
      <c r="D4192" s="61">
        <v>2210701</v>
      </c>
      <c r="E4192" s="74" t="s">
        <v>36</v>
      </c>
      <c r="F4192" s="183">
        <v>87000</v>
      </c>
      <c r="H4192" s="1708"/>
      <c r="I4192" s="1708"/>
      <c r="J4192" s="61">
        <v>2210701</v>
      </c>
      <c r="K4192" s="74" t="s">
        <v>36</v>
      </c>
      <c r="L4192" s="183">
        <v>87000</v>
      </c>
      <c r="N4192" s="183">
        <f t="shared" si="65"/>
        <v>0</v>
      </c>
    </row>
    <row r="4193" spans="2:14">
      <c r="B4193" s="1708"/>
      <c r="C4193" s="1708"/>
      <c r="D4193" s="61">
        <v>2210710</v>
      </c>
      <c r="E4193" s="74" t="s">
        <v>744</v>
      </c>
      <c r="F4193" s="183">
        <v>79000</v>
      </c>
      <c r="H4193" s="1708"/>
      <c r="I4193" s="1708"/>
      <c r="J4193" s="61">
        <v>2210710</v>
      </c>
      <c r="K4193" s="74" t="s">
        <v>744</v>
      </c>
      <c r="L4193" s="183">
        <v>79000</v>
      </c>
      <c r="N4193" s="183">
        <f t="shared" si="65"/>
        <v>0</v>
      </c>
    </row>
    <row r="4194" spans="2:14">
      <c r="B4194" s="1708"/>
      <c r="C4194" s="1708"/>
      <c r="D4194" s="61">
        <v>2210711</v>
      </c>
      <c r="E4194" s="74" t="s">
        <v>745</v>
      </c>
      <c r="F4194" s="183">
        <v>64000</v>
      </c>
      <c r="H4194" s="1708"/>
      <c r="I4194" s="1708"/>
      <c r="J4194" s="61">
        <v>2210711</v>
      </c>
      <c r="K4194" s="74" t="s">
        <v>745</v>
      </c>
      <c r="L4194" s="183">
        <v>64000</v>
      </c>
      <c r="N4194" s="183">
        <f t="shared" si="65"/>
        <v>0</v>
      </c>
    </row>
    <row r="4195" spans="2:14">
      <c r="B4195" s="1708"/>
      <c r="C4195" s="1708"/>
      <c r="D4195" s="1671">
        <v>2210800</v>
      </c>
      <c r="E4195" s="1680" t="s">
        <v>42</v>
      </c>
      <c r="F4195" s="1625">
        <v>200000</v>
      </c>
      <c r="H4195" s="1708"/>
      <c r="I4195" s="1708"/>
      <c r="J4195" s="1671">
        <v>2210800</v>
      </c>
      <c r="K4195" s="1680" t="s">
        <v>42</v>
      </c>
      <c r="L4195" s="1625">
        <v>200000</v>
      </c>
      <c r="N4195" s="1625">
        <f t="shared" si="65"/>
        <v>0</v>
      </c>
    </row>
    <row r="4196" spans="2:14">
      <c r="B4196" s="1708"/>
      <c r="C4196" s="1708"/>
      <c r="D4196" s="61">
        <v>2210801</v>
      </c>
      <c r="E4196" s="74" t="s">
        <v>725</v>
      </c>
      <c r="F4196" s="183">
        <v>100000</v>
      </c>
      <c r="H4196" s="1708"/>
      <c r="I4196" s="1708"/>
      <c r="J4196" s="61">
        <v>2210801</v>
      </c>
      <c r="K4196" s="74" t="s">
        <v>725</v>
      </c>
      <c r="L4196" s="183">
        <v>100000</v>
      </c>
      <c r="N4196" s="183">
        <f t="shared" si="65"/>
        <v>0</v>
      </c>
    </row>
    <row r="4197" spans="2:14">
      <c r="B4197" s="1708"/>
      <c r="C4197" s="1708"/>
      <c r="D4197" s="61">
        <v>2210802</v>
      </c>
      <c r="E4197" s="74" t="s">
        <v>97</v>
      </c>
      <c r="F4197" s="183">
        <v>100000</v>
      </c>
      <c r="H4197" s="1708"/>
      <c r="I4197" s="1708"/>
      <c r="J4197" s="61">
        <v>2210802</v>
      </c>
      <c r="K4197" s="74" t="s">
        <v>97</v>
      </c>
      <c r="L4197" s="183">
        <v>100000</v>
      </c>
      <c r="N4197" s="183">
        <f t="shared" si="65"/>
        <v>0</v>
      </c>
    </row>
    <row r="4198" spans="2:14">
      <c r="B4198" s="1708"/>
      <c r="C4198" s="1708"/>
      <c r="D4198" s="1671">
        <v>2220200</v>
      </c>
      <c r="E4198" s="1680" t="s">
        <v>124</v>
      </c>
      <c r="F4198" s="1625">
        <v>150000</v>
      </c>
      <c r="H4198" s="1708"/>
      <c r="I4198" s="1708"/>
      <c r="J4198" s="1671">
        <v>2220200</v>
      </c>
      <c r="K4198" s="1680" t="s">
        <v>124</v>
      </c>
      <c r="L4198" s="1625">
        <v>150000</v>
      </c>
      <c r="N4198" s="1625">
        <f t="shared" si="65"/>
        <v>0</v>
      </c>
    </row>
    <row r="4199" spans="2:14">
      <c r="B4199" s="1708"/>
      <c r="C4199" s="1708"/>
      <c r="D4199" s="61">
        <v>2220201</v>
      </c>
      <c r="E4199" s="74" t="s">
        <v>729</v>
      </c>
      <c r="F4199" s="183">
        <v>150000</v>
      </c>
      <c r="H4199" s="1708"/>
      <c r="I4199" s="1708"/>
      <c r="J4199" s="61">
        <v>2220201</v>
      </c>
      <c r="K4199" s="74" t="s">
        <v>729</v>
      </c>
      <c r="L4199" s="183">
        <v>150000</v>
      </c>
      <c r="N4199" s="183">
        <f t="shared" si="65"/>
        <v>0</v>
      </c>
    </row>
    <row r="4200" spans="2:14">
      <c r="B4200" s="1708"/>
      <c r="C4200" s="1708"/>
      <c r="D4200" s="1543"/>
      <c r="E4200" s="1620" t="s">
        <v>741</v>
      </c>
      <c r="F4200" s="1621">
        <v>580000</v>
      </c>
      <c r="H4200" s="1708"/>
      <c r="I4200" s="1708"/>
      <c r="J4200" s="1543"/>
      <c r="K4200" s="1620" t="s">
        <v>741</v>
      </c>
      <c r="L4200" s="1621">
        <v>580000</v>
      </c>
      <c r="N4200" s="1621">
        <f t="shared" si="65"/>
        <v>0</v>
      </c>
    </row>
    <row r="4201" spans="2:14">
      <c r="B4201" s="1708"/>
      <c r="C4201" s="1708"/>
      <c r="D4201" s="1671"/>
      <c r="E4201" s="1620" t="s">
        <v>128</v>
      </c>
      <c r="F4201" s="1621">
        <v>580000</v>
      </c>
      <c r="H4201" s="1708"/>
      <c r="I4201" s="1708"/>
      <c r="J4201" s="1671"/>
      <c r="K4201" s="1620" t="s">
        <v>128</v>
      </c>
      <c r="L4201" s="1621">
        <v>580000</v>
      </c>
      <c r="N4201" s="1621">
        <f t="shared" si="65"/>
        <v>0</v>
      </c>
    </row>
    <row r="4202" spans="2:14">
      <c r="B4202" s="1708"/>
      <c r="C4202" s="1708"/>
      <c r="D4202" s="1671"/>
      <c r="E4202" s="1620" t="s">
        <v>627</v>
      </c>
      <c r="F4202" s="1621">
        <v>580000</v>
      </c>
      <c r="H4202" s="1708"/>
      <c r="I4202" s="1708"/>
      <c r="J4202" s="1671"/>
      <c r="K4202" s="1620" t="s">
        <v>627</v>
      </c>
      <c r="L4202" s="1621">
        <v>580000</v>
      </c>
      <c r="N4202" s="1621">
        <f t="shared" si="65"/>
        <v>0</v>
      </c>
    </row>
    <row r="4203" spans="2:14">
      <c r="B4203" s="1708"/>
      <c r="C4203" s="1708"/>
      <c r="D4203" s="1671"/>
      <c r="E4203" s="74"/>
      <c r="F4203" s="183">
        <v>0</v>
      </c>
      <c r="H4203" s="1708"/>
      <c r="I4203" s="1708"/>
      <c r="J4203" s="1671"/>
      <c r="K4203" s="74"/>
      <c r="L4203" s="183">
        <v>0</v>
      </c>
      <c r="N4203" s="183">
        <f t="shared" si="65"/>
        <v>0</v>
      </c>
    </row>
    <row r="4204" spans="2:14">
      <c r="B4204" s="1892" t="s">
        <v>168</v>
      </c>
      <c r="C4204" s="1892" t="s">
        <v>146</v>
      </c>
      <c r="D4204" s="1507" t="s">
        <v>746</v>
      </c>
      <c r="E4204" s="1618"/>
      <c r="F4204" s="1619">
        <v>0</v>
      </c>
      <c r="H4204" s="1892" t="s">
        <v>168</v>
      </c>
      <c r="I4204" s="1892" t="s">
        <v>146</v>
      </c>
      <c r="J4204" s="1507" t="s">
        <v>746</v>
      </c>
      <c r="K4204" s="1618"/>
      <c r="L4204" s="1619">
        <v>0</v>
      </c>
      <c r="N4204" s="1619">
        <f t="shared" si="65"/>
        <v>0</v>
      </c>
    </row>
    <row r="4205" spans="2:14">
      <c r="B4205" s="1708"/>
      <c r="C4205" s="1708"/>
      <c r="D4205" s="1671">
        <v>2210700</v>
      </c>
      <c r="E4205" s="1680" t="s">
        <v>35</v>
      </c>
      <c r="F4205" s="1625">
        <v>152323</v>
      </c>
      <c r="H4205" s="1708"/>
      <c r="I4205" s="1708"/>
      <c r="J4205" s="1671">
        <v>2210700</v>
      </c>
      <c r="K4205" s="1680" t="s">
        <v>35</v>
      </c>
      <c r="L4205" s="1625">
        <v>152323</v>
      </c>
      <c r="N4205" s="1625">
        <f t="shared" si="65"/>
        <v>0</v>
      </c>
    </row>
    <row r="4206" spans="2:14">
      <c r="B4206" s="1708"/>
      <c r="C4206" s="1708"/>
      <c r="D4206" s="61">
        <v>2210701</v>
      </c>
      <c r="E4206" s="74" t="s">
        <v>36</v>
      </c>
      <c r="F4206" s="183">
        <v>52258</v>
      </c>
      <c r="H4206" s="1708"/>
      <c r="I4206" s="1708"/>
      <c r="J4206" s="61">
        <v>2210701</v>
      </c>
      <c r="K4206" s="74" t="s">
        <v>36</v>
      </c>
      <c r="L4206" s="183">
        <v>52258</v>
      </c>
      <c r="N4206" s="183">
        <f t="shared" si="65"/>
        <v>0</v>
      </c>
    </row>
    <row r="4207" spans="2:14">
      <c r="B4207" s="1708"/>
      <c r="C4207" s="1708"/>
      <c r="D4207" s="61">
        <v>2210710</v>
      </c>
      <c r="E4207" s="74" t="s">
        <v>744</v>
      </c>
      <c r="F4207" s="183">
        <v>50065</v>
      </c>
      <c r="H4207" s="1708"/>
      <c r="I4207" s="1708"/>
      <c r="J4207" s="61">
        <v>2210710</v>
      </c>
      <c r="K4207" s="74" t="s">
        <v>744</v>
      </c>
      <c r="L4207" s="183">
        <v>50065</v>
      </c>
      <c r="N4207" s="183">
        <f t="shared" si="65"/>
        <v>0</v>
      </c>
    </row>
    <row r="4208" spans="2:14">
      <c r="B4208" s="1708"/>
      <c r="C4208" s="1708"/>
      <c r="D4208" s="61">
        <v>2210711</v>
      </c>
      <c r="E4208" s="74" t="s">
        <v>156</v>
      </c>
      <c r="F4208" s="183">
        <v>50000</v>
      </c>
      <c r="H4208" s="1708"/>
      <c r="I4208" s="1708"/>
      <c r="J4208" s="61">
        <v>2210711</v>
      </c>
      <c r="K4208" s="74" t="s">
        <v>156</v>
      </c>
      <c r="L4208" s="183">
        <v>50000</v>
      </c>
      <c r="N4208" s="183">
        <f t="shared" si="65"/>
        <v>0</v>
      </c>
    </row>
    <row r="4209" spans="2:14">
      <c r="B4209" s="1708"/>
      <c r="C4209" s="1708"/>
      <c r="D4209" s="1543"/>
      <c r="E4209" s="1620" t="s">
        <v>741</v>
      </c>
      <c r="F4209" s="1621">
        <v>152323</v>
      </c>
      <c r="H4209" s="1708"/>
      <c r="I4209" s="1708"/>
      <c r="J4209" s="1543"/>
      <c r="K4209" s="1620" t="s">
        <v>741</v>
      </c>
      <c r="L4209" s="1621">
        <v>152323</v>
      </c>
      <c r="N4209" s="1621">
        <f t="shared" si="65"/>
        <v>0</v>
      </c>
    </row>
    <row r="4210" spans="2:14">
      <c r="B4210" s="1708"/>
      <c r="C4210" s="1708"/>
      <c r="D4210" s="1671"/>
      <c r="E4210" s="1620" t="s">
        <v>99</v>
      </c>
      <c r="F4210" s="1621">
        <v>152323</v>
      </c>
      <c r="H4210" s="1708"/>
      <c r="I4210" s="1708"/>
      <c r="J4210" s="1671"/>
      <c r="K4210" s="1620" t="s">
        <v>99</v>
      </c>
      <c r="L4210" s="1621">
        <v>152323</v>
      </c>
      <c r="N4210" s="1621">
        <f t="shared" si="65"/>
        <v>0</v>
      </c>
    </row>
    <row r="4211" spans="2:14">
      <c r="B4211" s="1708"/>
      <c r="C4211" s="1708"/>
      <c r="D4211" s="61"/>
      <c r="E4211" s="1680"/>
      <c r="F4211" s="183">
        <v>0</v>
      </c>
      <c r="H4211" s="1708"/>
      <c r="I4211" s="1708"/>
      <c r="J4211" s="61"/>
      <c r="K4211" s="1680"/>
      <c r="L4211" s="183">
        <v>0</v>
      </c>
      <c r="N4211" s="183">
        <f t="shared" si="65"/>
        <v>0</v>
      </c>
    </row>
    <row r="4212" spans="2:14">
      <c r="B4212" s="1892"/>
      <c r="C4212" s="1892"/>
      <c r="D4212" s="1528"/>
      <c r="E4212" s="1620" t="s">
        <v>92</v>
      </c>
      <c r="F4212" s="1619">
        <v>0</v>
      </c>
      <c r="H4212" s="1892"/>
      <c r="I4212" s="1892"/>
      <c r="J4212" s="1528"/>
      <c r="K4212" s="1620" t="s">
        <v>92</v>
      </c>
      <c r="L4212" s="1619">
        <v>0</v>
      </c>
      <c r="N4212" s="1619">
        <f t="shared" si="65"/>
        <v>0</v>
      </c>
    </row>
    <row r="4213" spans="2:14">
      <c r="B4213" s="1708"/>
      <c r="C4213" s="1708"/>
      <c r="D4213" s="1671">
        <v>3110500</v>
      </c>
      <c r="E4213" s="1680" t="s">
        <v>736</v>
      </c>
      <c r="F4213" s="1625">
        <v>2500000</v>
      </c>
      <c r="H4213" s="1708"/>
      <c r="I4213" s="1708"/>
      <c r="J4213" s="1671">
        <v>3110500</v>
      </c>
      <c r="K4213" s="1680" t="s">
        <v>736</v>
      </c>
      <c r="L4213" s="1625">
        <v>2500000</v>
      </c>
      <c r="N4213" s="1625">
        <f t="shared" si="65"/>
        <v>0</v>
      </c>
    </row>
    <row r="4214" spans="2:14" ht="30">
      <c r="B4214" s="1708"/>
      <c r="C4214" s="1708"/>
      <c r="D4214" s="61">
        <v>3110599</v>
      </c>
      <c r="E4214" s="74" t="s">
        <v>1390</v>
      </c>
      <c r="F4214" s="183">
        <v>2500000</v>
      </c>
      <c r="H4214" s="1708"/>
      <c r="I4214" s="1708"/>
      <c r="J4214" s="61">
        <v>3110599</v>
      </c>
      <c r="K4214" s="74" t="s">
        <v>1390</v>
      </c>
      <c r="L4214" s="183">
        <v>2500000</v>
      </c>
      <c r="N4214" s="183">
        <f t="shared" si="65"/>
        <v>0</v>
      </c>
    </row>
    <row r="4215" spans="2:14">
      <c r="B4215" s="26"/>
      <c r="C4215" s="26"/>
      <c r="D4215" s="1671"/>
      <c r="E4215" s="1620" t="s">
        <v>175</v>
      </c>
      <c r="F4215" s="1621">
        <v>2500000</v>
      </c>
      <c r="H4215" s="26"/>
      <c r="I4215" s="26"/>
      <c r="J4215" s="1671"/>
      <c r="K4215" s="1620" t="s">
        <v>175</v>
      </c>
      <c r="L4215" s="1621">
        <v>2500000</v>
      </c>
      <c r="N4215" s="1621">
        <f t="shared" si="65"/>
        <v>0</v>
      </c>
    </row>
    <row r="4216" spans="2:14">
      <c r="B4216" s="25"/>
      <c r="C4216" s="25"/>
      <c r="D4216" s="1671"/>
      <c r="E4216" s="1620" t="s">
        <v>627</v>
      </c>
      <c r="F4216" s="1621">
        <v>2652323</v>
      </c>
      <c r="H4216" s="25"/>
      <c r="I4216" s="25"/>
      <c r="J4216" s="1671"/>
      <c r="K4216" s="1620" t="s">
        <v>627</v>
      </c>
      <c r="L4216" s="1621">
        <v>2652323</v>
      </c>
      <c r="N4216" s="1621">
        <f t="shared" si="65"/>
        <v>0</v>
      </c>
    </row>
    <row r="4217" spans="2:14">
      <c r="B4217" s="1708"/>
      <c r="C4217" s="1708"/>
      <c r="D4217" s="61"/>
      <c r="E4217" s="74"/>
      <c r="F4217" s="183">
        <v>0</v>
      </c>
      <c r="H4217" s="1708"/>
      <c r="I4217" s="1708"/>
      <c r="J4217" s="61"/>
      <c r="K4217" s="74"/>
      <c r="L4217" s="183">
        <v>0</v>
      </c>
      <c r="N4217" s="183">
        <f t="shared" si="65"/>
        <v>0</v>
      </c>
    </row>
    <row r="4218" spans="2:14">
      <c r="B4218" s="1892" t="s">
        <v>455</v>
      </c>
      <c r="C4218" s="1892"/>
      <c r="D4218" s="1507" t="s">
        <v>747</v>
      </c>
      <c r="E4218" s="1618"/>
      <c r="F4218" s="1619">
        <v>0</v>
      </c>
      <c r="H4218" s="1892" t="s">
        <v>455</v>
      </c>
      <c r="I4218" s="1892"/>
      <c r="J4218" s="1507" t="s">
        <v>747</v>
      </c>
      <c r="K4218" s="1618"/>
      <c r="L4218" s="1619">
        <v>0</v>
      </c>
      <c r="N4218" s="1619">
        <f t="shared" si="65"/>
        <v>0</v>
      </c>
    </row>
    <row r="4219" spans="2:14">
      <c r="B4219" s="1892"/>
      <c r="C4219" s="1892" t="s">
        <v>146</v>
      </c>
      <c r="D4219" s="1507" t="s">
        <v>748</v>
      </c>
      <c r="E4219" s="1618"/>
      <c r="F4219" s="1619">
        <v>0</v>
      </c>
      <c r="H4219" s="1892"/>
      <c r="I4219" s="1892" t="s">
        <v>146</v>
      </c>
      <c r="J4219" s="1507" t="s">
        <v>748</v>
      </c>
      <c r="K4219" s="1618"/>
      <c r="L4219" s="1619">
        <v>0</v>
      </c>
      <c r="N4219" s="1619">
        <f t="shared" si="65"/>
        <v>0</v>
      </c>
    </row>
    <row r="4220" spans="2:14">
      <c r="B4220" s="1708"/>
      <c r="C4220" s="1708"/>
      <c r="D4220" s="1671">
        <v>2210300</v>
      </c>
      <c r="E4220" s="1680" t="s">
        <v>722</v>
      </c>
      <c r="F4220" s="1625">
        <v>261000</v>
      </c>
      <c r="H4220" s="1708"/>
      <c r="I4220" s="1708"/>
      <c r="J4220" s="1671">
        <v>2210300</v>
      </c>
      <c r="K4220" s="1680" t="s">
        <v>722</v>
      </c>
      <c r="L4220" s="1625">
        <v>261000</v>
      </c>
      <c r="N4220" s="1625">
        <f t="shared" si="65"/>
        <v>0</v>
      </c>
    </row>
    <row r="4221" spans="2:14">
      <c r="B4221" s="1708"/>
      <c r="C4221" s="1708"/>
      <c r="D4221" s="61">
        <v>2210301</v>
      </c>
      <c r="E4221" s="74" t="s">
        <v>188</v>
      </c>
      <c r="F4221" s="183">
        <v>116000</v>
      </c>
      <c r="H4221" s="1708"/>
      <c r="I4221" s="1708"/>
      <c r="J4221" s="61">
        <v>2210301</v>
      </c>
      <c r="K4221" s="74" t="s">
        <v>188</v>
      </c>
      <c r="L4221" s="183">
        <v>116000</v>
      </c>
      <c r="N4221" s="183">
        <f t="shared" si="65"/>
        <v>0</v>
      </c>
    </row>
    <row r="4222" spans="2:14">
      <c r="B4222" s="1708"/>
      <c r="C4222" s="1708"/>
      <c r="D4222" s="61">
        <v>2210302</v>
      </c>
      <c r="E4222" s="74" t="s">
        <v>26</v>
      </c>
      <c r="F4222" s="183">
        <v>60000</v>
      </c>
      <c r="H4222" s="1708"/>
      <c r="I4222" s="1708"/>
      <c r="J4222" s="61">
        <v>2210302</v>
      </c>
      <c r="K4222" s="74" t="s">
        <v>26</v>
      </c>
      <c r="L4222" s="183">
        <v>60000</v>
      </c>
      <c r="N4222" s="183">
        <f t="shared" si="65"/>
        <v>0</v>
      </c>
    </row>
    <row r="4223" spans="2:14">
      <c r="B4223" s="1708"/>
      <c r="C4223" s="1708"/>
      <c r="D4223" s="61">
        <v>2210303</v>
      </c>
      <c r="E4223" s="74" t="s">
        <v>223</v>
      </c>
      <c r="F4223" s="183">
        <v>85000</v>
      </c>
      <c r="H4223" s="1708"/>
      <c r="I4223" s="1708"/>
      <c r="J4223" s="61">
        <v>2210303</v>
      </c>
      <c r="K4223" s="74" t="s">
        <v>223</v>
      </c>
      <c r="L4223" s="183">
        <v>85000</v>
      </c>
      <c r="N4223" s="183">
        <f t="shared" si="65"/>
        <v>0</v>
      </c>
    </row>
    <row r="4224" spans="2:14">
      <c r="B4224" s="1708"/>
      <c r="C4224" s="1708"/>
      <c r="D4224" s="1671">
        <v>2210700</v>
      </c>
      <c r="E4224" s="1680" t="s">
        <v>35</v>
      </c>
      <c r="F4224" s="1625">
        <v>165200</v>
      </c>
      <c r="H4224" s="1708"/>
      <c r="I4224" s="1708"/>
      <c r="J4224" s="1671">
        <v>2210700</v>
      </c>
      <c r="K4224" s="1680" t="s">
        <v>35</v>
      </c>
      <c r="L4224" s="1625">
        <v>165200</v>
      </c>
      <c r="N4224" s="1625">
        <f t="shared" si="65"/>
        <v>0</v>
      </c>
    </row>
    <row r="4225" spans="2:14">
      <c r="B4225" s="1708"/>
      <c r="C4225" s="1708"/>
      <c r="D4225" s="61">
        <v>2210701</v>
      </c>
      <c r="E4225" s="74" t="s">
        <v>36</v>
      </c>
      <c r="F4225" s="183">
        <v>84100</v>
      </c>
      <c r="H4225" s="1708"/>
      <c r="I4225" s="1708"/>
      <c r="J4225" s="61">
        <v>2210701</v>
      </c>
      <c r="K4225" s="74" t="s">
        <v>36</v>
      </c>
      <c r="L4225" s="183">
        <v>84100</v>
      </c>
      <c r="N4225" s="183">
        <f t="shared" si="65"/>
        <v>0</v>
      </c>
    </row>
    <row r="4226" spans="2:14">
      <c r="B4226" s="1708"/>
      <c r="C4226" s="1708"/>
      <c r="D4226" s="61">
        <v>2210710</v>
      </c>
      <c r="E4226" s="74" t="s">
        <v>39</v>
      </c>
      <c r="F4226" s="183">
        <v>55000</v>
      </c>
      <c r="H4226" s="1708"/>
      <c r="I4226" s="1708"/>
      <c r="J4226" s="61">
        <v>2210710</v>
      </c>
      <c r="K4226" s="74" t="s">
        <v>39</v>
      </c>
      <c r="L4226" s="183">
        <v>55000</v>
      </c>
      <c r="N4226" s="183">
        <f t="shared" si="65"/>
        <v>0</v>
      </c>
    </row>
    <row r="4227" spans="2:14">
      <c r="B4227" s="1708"/>
      <c r="C4227" s="1708"/>
      <c r="D4227" s="61">
        <v>2210711</v>
      </c>
      <c r="E4227" s="74" t="s">
        <v>156</v>
      </c>
      <c r="F4227" s="183">
        <v>26100</v>
      </c>
      <c r="H4227" s="1708"/>
      <c r="I4227" s="1708"/>
      <c r="J4227" s="61">
        <v>2210711</v>
      </c>
      <c r="K4227" s="74" t="s">
        <v>156</v>
      </c>
      <c r="L4227" s="183">
        <v>26100</v>
      </c>
      <c r="N4227" s="183">
        <f t="shared" si="65"/>
        <v>0</v>
      </c>
    </row>
    <row r="4228" spans="2:14">
      <c r="B4228" s="1708"/>
      <c r="C4228" s="1708"/>
      <c r="D4228" s="1671">
        <v>2210800</v>
      </c>
      <c r="E4228" s="1680" t="s">
        <v>42</v>
      </c>
      <c r="F4228" s="1625">
        <v>150000</v>
      </c>
      <c r="H4228" s="1708"/>
      <c r="I4228" s="1708"/>
      <c r="J4228" s="1671">
        <v>2210800</v>
      </c>
      <c r="K4228" s="1680" t="s">
        <v>42</v>
      </c>
      <c r="L4228" s="1625">
        <v>150000</v>
      </c>
      <c r="N4228" s="1625">
        <f t="shared" si="65"/>
        <v>0</v>
      </c>
    </row>
    <row r="4229" spans="2:14">
      <c r="B4229" s="1708"/>
      <c r="C4229" s="1708"/>
      <c r="D4229" s="61">
        <v>2210801</v>
      </c>
      <c r="E4229" s="74" t="s">
        <v>725</v>
      </c>
      <c r="F4229" s="183">
        <v>80000</v>
      </c>
      <c r="H4229" s="1708"/>
      <c r="I4229" s="1708"/>
      <c r="J4229" s="61">
        <v>2210801</v>
      </c>
      <c r="K4229" s="74" t="s">
        <v>725</v>
      </c>
      <c r="L4229" s="183">
        <v>80000</v>
      </c>
      <c r="N4229" s="183">
        <f t="shared" si="65"/>
        <v>0</v>
      </c>
    </row>
    <row r="4230" spans="2:14">
      <c r="B4230" s="1708"/>
      <c r="C4230" s="1708"/>
      <c r="D4230" s="61">
        <v>2210802</v>
      </c>
      <c r="E4230" s="74" t="s">
        <v>97</v>
      </c>
      <c r="F4230" s="183">
        <v>70000</v>
      </c>
      <c r="H4230" s="1708"/>
      <c r="I4230" s="1708"/>
      <c r="J4230" s="61">
        <v>2210802</v>
      </c>
      <c r="K4230" s="74" t="s">
        <v>97</v>
      </c>
      <c r="L4230" s="183">
        <v>70000</v>
      </c>
      <c r="N4230" s="183">
        <f t="shared" si="65"/>
        <v>0</v>
      </c>
    </row>
    <row r="4231" spans="2:14">
      <c r="B4231" s="1708"/>
      <c r="C4231" s="1708"/>
      <c r="D4231" s="1671">
        <v>2211000</v>
      </c>
      <c r="E4231" s="1680" t="s">
        <v>118</v>
      </c>
      <c r="F4231" s="1625">
        <v>500000</v>
      </c>
      <c r="H4231" s="1708"/>
      <c r="I4231" s="1708"/>
      <c r="J4231" s="1671">
        <v>2211000</v>
      </c>
      <c r="K4231" s="1680" t="s">
        <v>118</v>
      </c>
      <c r="L4231" s="1625">
        <v>500000</v>
      </c>
      <c r="N4231" s="1625">
        <f t="shared" si="65"/>
        <v>0</v>
      </c>
    </row>
    <row r="4232" spans="2:14">
      <c r="B4232" s="1708"/>
      <c r="C4232" s="1708"/>
      <c r="D4232" s="61">
        <v>2211006</v>
      </c>
      <c r="E4232" s="74" t="s">
        <v>749</v>
      </c>
      <c r="F4232" s="183">
        <v>500000</v>
      </c>
      <c r="H4232" s="1708"/>
      <c r="I4232" s="1708"/>
      <c r="J4232" s="61">
        <v>2211006</v>
      </c>
      <c r="K4232" s="74" t="s">
        <v>749</v>
      </c>
      <c r="L4232" s="183">
        <v>500000</v>
      </c>
      <c r="N4232" s="183">
        <f t="shared" ref="N4232:N4295" si="66">F4232-L4232</f>
        <v>0</v>
      </c>
    </row>
    <row r="4233" spans="2:14">
      <c r="B4233" s="1708"/>
      <c r="C4233" s="1708"/>
      <c r="D4233" s="1671">
        <v>2220200</v>
      </c>
      <c r="E4233" s="1680" t="s">
        <v>124</v>
      </c>
      <c r="F4233" s="1625">
        <v>245000</v>
      </c>
      <c r="H4233" s="1708"/>
      <c r="I4233" s="1708"/>
      <c r="J4233" s="1671">
        <v>2220200</v>
      </c>
      <c r="K4233" s="1680" t="s">
        <v>124</v>
      </c>
      <c r="L4233" s="1625">
        <v>245000</v>
      </c>
      <c r="N4233" s="1625">
        <f t="shared" si="66"/>
        <v>0</v>
      </c>
    </row>
    <row r="4234" spans="2:14">
      <c r="B4234" s="1708"/>
      <c r="C4234" s="1708"/>
      <c r="D4234" s="61">
        <v>2220201</v>
      </c>
      <c r="E4234" s="74" t="s">
        <v>729</v>
      </c>
      <c r="F4234" s="183">
        <v>245000</v>
      </c>
      <c r="H4234" s="1708"/>
      <c r="I4234" s="1708"/>
      <c r="J4234" s="61">
        <v>2220201</v>
      </c>
      <c r="K4234" s="74" t="s">
        <v>729</v>
      </c>
      <c r="L4234" s="183">
        <v>245000</v>
      </c>
      <c r="N4234" s="183">
        <f t="shared" si="66"/>
        <v>0</v>
      </c>
    </row>
    <row r="4235" spans="2:14">
      <c r="B4235" s="1708"/>
      <c r="C4235" s="1708"/>
      <c r="D4235" s="1543"/>
      <c r="E4235" s="1620" t="s">
        <v>741</v>
      </c>
      <c r="F4235" s="1621">
        <v>1321200</v>
      </c>
      <c r="H4235" s="1708"/>
      <c r="I4235" s="1708"/>
      <c r="J4235" s="1543"/>
      <c r="K4235" s="1620" t="s">
        <v>741</v>
      </c>
      <c r="L4235" s="1621">
        <v>1321200</v>
      </c>
      <c r="N4235" s="1621">
        <f t="shared" si="66"/>
        <v>0</v>
      </c>
    </row>
    <row r="4236" spans="2:14">
      <c r="B4236" s="1708"/>
      <c r="C4236" s="1708"/>
      <c r="D4236" s="1671"/>
      <c r="E4236" s="1620" t="s">
        <v>99</v>
      </c>
      <c r="F4236" s="1621">
        <v>1321200</v>
      </c>
      <c r="H4236" s="1708"/>
      <c r="I4236" s="1708"/>
      <c r="J4236" s="1671"/>
      <c r="K4236" s="1620" t="s">
        <v>99</v>
      </c>
      <c r="L4236" s="1621">
        <v>1321200</v>
      </c>
      <c r="N4236" s="1621">
        <f t="shared" si="66"/>
        <v>0</v>
      </c>
    </row>
    <row r="4237" spans="2:14">
      <c r="B4237" s="1708"/>
      <c r="C4237" s="1708"/>
      <c r="D4237" s="61"/>
      <c r="E4237" s="1680"/>
      <c r="F4237" s="183">
        <v>0</v>
      </c>
      <c r="H4237" s="1708"/>
      <c r="I4237" s="1708"/>
      <c r="J4237" s="61"/>
      <c r="K4237" s="1680"/>
      <c r="L4237" s="183">
        <v>0</v>
      </c>
      <c r="N4237" s="183">
        <f t="shared" si="66"/>
        <v>0</v>
      </c>
    </row>
    <row r="4238" spans="2:14">
      <c r="B4238" s="1708"/>
      <c r="C4238" s="1708"/>
      <c r="D4238" s="61"/>
      <c r="E4238" s="1620" t="s">
        <v>92</v>
      </c>
      <c r="F4238" s="183">
        <v>0</v>
      </c>
      <c r="H4238" s="1708"/>
      <c r="I4238" s="1708"/>
      <c r="J4238" s="61"/>
      <c r="K4238" s="1620" t="s">
        <v>92</v>
      </c>
      <c r="L4238" s="183">
        <v>0</v>
      </c>
      <c r="N4238" s="183">
        <f t="shared" si="66"/>
        <v>0</v>
      </c>
    </row>
    <row r="4239" spans="2:14">
      <c r="B4239" s="1708"/>
      <c r="C4239" s="1708"/>
      <c r="D4239" s="1671">
        <v>3110500</v>
      </c>
      <c r="E4239" s="1680" t="s">
        <v>736</v>
      </c>
      <c r="F4239" s="1625">
        <v>2000000</v>
      </c>
      <c r="H4239" s="1708"/>
      <c r="I4239" s="1708"/>
      <c r="J4239" s="1671">
        <v>3110500</v>
      </c>
      <c r="K4239" s="1680" t="s">
        <v>736</v>
      </c>
      <c r="L4239" s="1625">
        <v>2000000</v>
      </c>
      <c r="N4239" s="1625">
        <f t="shared" si="66"/>
        <v>0</v>
      </c>
    </row>
    <row r="4240" spans="2:14">
      <c r="B4240" s="1708"/>
      <c r="C4240" s="1708"/>
      <c r="D4240" s="61">
        <v>3110504</v>
      </c>
      <c r="E4240" s="74" t="s">
        <v>1391</v>
      </c>
      <c r="F4240" s="183">
        <v>2000000</v>
      </c>
      <c r="H4240" s="1708"/>
      <c r="I4240" s="1708"/>
      <c r="J4240" s="61">
        <v>3110504</v>
      </c>
      <c r="K4240" s="74" t="s">
        <v>1391</v>
      </c>
      <c r="L4240" s="183">
        <v>2000000</v>
      </c>
      <c r="N4240" s="183">
        <f t="shared" si="66"/>
        <v>0</v>
      </c>
    </row>
    <row r="4241" spans="2:14">
      <c r="B4241" s="1708"/>
      <c r="C4241" s="1708"/>
      <c r="D4241" s="1671">
        <v>3110500</v>
      </c>
      <c r="E4241" s="1680" t="s">
        <v>736</v>
      </c>
      <c r="F4241" s="1625">
        <v>6000000</v>
      </c>
      <c r="H4241" s="1708"/>
      <c r="I4241" s="1708"/>
      <c r="J4241" s="1671">
        <v>3110500</v>
      </c>
      <c r="K4241" s="1680" t="s">
        <v>736</v>
      </c>
      <c r="L4241" s="1625">
        <v>6000000</v>
      </c>
      <c r="N4241" s="1625">
        <f t="shared" si="66"/>
        <v>0</v>
      </c>
    </row>
    <row r="4242" spans="2:14" ht="30">
      <c r="B4242" s="1708"/>
      <c r="C4242" s="1708"/>
      <c r="D4242" s="61">
        <v>3110599</v>
      </c>
      <c r="E4242" s="74" t="s">
        <v>1392</v>
      </c>
      <c r="F4242" s="183">
        <v>4000000</v>
      </c>
      <c r="H4242" s="1708"/>
      <c r="I4242" s="1708"/>
      <c r="J4242" s="61">
        <v>3110599</v>
      </c>
      <c r="K4242" s="74" t="s">
        <v>1392</v>
      </c>
      <c r="L4242" s="183">
        <v>4000000</v>
      </c>
      <c r="N4242" s="183">
        <f t="shared" si="66"/>
        <v>0</v>
      </c>
    </row>
    <row r="4243" spans="2:14" ht="30">
      <c r="B4243" s="1708"/>
      <c r="C4243" s="1708"/>
      <c r="D4243" s="61">
        <v>3110599</v>
      </c>
      <c r="E4243" s="74" t="s">
        <v>1393</v>
      </c>
      <c r="F4243" s="183">
        <v>2000000</v>
      </c>
      <c r="H4243" s="1708"/>
      <c r="I4243" s="1708"/>
      <c r="J4243" s="61">
        <v>3110599</v>
      </c>
      <c r="K4243" s="74" t="s">
        <v>1393</v>
      </c>
      <c r="L4243" s="183">
        <v>2000000</v>
      </c>
      <c r="N4243" s="183">
        <f t="shared" si="66"/>
        <v>0</v>
      </c>
    </row>
    <row r="4244" spans="2:14">
      <c r="B4244" s="1708"/>
      <c r="C4244" s="1708"/>
      <c r="D4244" s="1671"/>
      <c r="E4244" s="1620" t="s">
        <v>175</v>
      </c>
      <c r="F4244" s="1621">
        <v>8000000</v>
      </c>
      <c r="H4244" s="1708"/>
      <c r="I4244" s="1708"/>
      <c r="J4244" s="1671"/>
      <c r="K4244" s="1620" t="s">
        <v>175</v>
      </c>
      <c r="L4244" s="1621">
        <v>8000000</v>
      </c>
      <c r="N4244" s="1621">
        <f t="shared" si="66"/>
        <v>0</v>
      </c>
    </row>
    <row r="4245" spans="2:14">
      <c r="B4245" s="25"/>
      <c r="C4245" s="25"/>
      <c r="D4245" s="1671"/>
      <c r="E4245" s="1620" t="s">
        <v>627</v>
      </c>
      <c r="F4245" s="1621">
        <v>9321200</v>
      </c>
      <c r="H4245" s="25"/>
      <c r="I4245" s="25"/>
      <c r="J4245" s="1671"/>
      <c r="K4245" s="1620" t="s">
        <v>627</v>
      </c>
      <c r="L4245" s="1621">
        <v>9321200</v>
      </c>
      <c r="N4245" s="1621">
        <f t="shared" si="66"/>
        <v>0</v>
      </c>
    </row>
    <row r="4246" spans="2:14">
      <c r="B4246" s="1708"/>
      <c r="C4246" s="1708"/>
      <c r="D4246" s="61"/>
      <c r="E4246" s="74"/>
      <c r="F4246" s="183">
        <v>0</v>
      </c>
      <c r="H4246" s="1708"/>
      <c r="I4246" s="1708"/>
      <c r="J4246" s="61"/>
      <c r="K4246" s="74"/>
      <c r="L4246" s="183">
        <v>0</v>
      </c>
      <c r="N4246" s="183">
        <f t="shared" si="66"/>
        <v>0</v>
      </c>
    </row>
    <row r="4247" spans="2:14">
      <c r="B4247" s="1892"/>
      <c r="C4247" s="1892"/>
      <c r="D4247" s="1507" t="s">
        <v>750</v>
      </c>
      <c r="E4247" s="1618"/>
      <c r="F4247" s="1619">
        <v>0</v>
      </c>
      <c r="H4247" s="1892"/>
      <c r="I4247" s="1892"/>
      <c r="J4247" s="1507" t="s">
        <v>750</v>
      </c>
      <c r="K4247" s="1618"/>
      <c r="L4247" s="1619">
        <v>0</v>
      </c>
      <c r="N4247" s="1619">
        <f t="shared" si="66"/>
        <v>0</v>
      </c>
    </row>
    <row r="4248" spans="2:14">
      <c r="B4248" s="1892" t="s">
        <v>455</v>
      </c>
      <c r="C4248" s="1892" t="s">
        <v>146</v>
      </c>
      <c r="D4248" s="1507" t="s">
        <v>751</v>
      </c>
      <c r="E4248" s="1618"/>
      <c r="F4248" s="1619">
        <v>0</v>
      </c>
      <c r="H4248" s="1892" t="s">
        <v>455</v>
      </c>
      <c r="I4248" s="1892" t="s">
        <v>146</v>
      </c>
      <c r="J4248" s="1507" t="s">
        <v>751</v>
      </c>
      <c r="K4248" s="1618"/>
      <c r="L4248" s="1619">
        <v>0</v>
      </c>
      <c r="N4248" s="1619">
        <f t="shared" si="66"/>
        <v>0</v>
      </c>
    </row>
    <row r="4249" spans="2:14">
      <c r="B4249" s="1708"/>
      <c r="C4249" s="1708"/>
      <c r="D4249" s="1671">
        <v>2210200</v>
      </c>
      <c r="E4249" s="1680" t="s">
        <v>20</v>
      </c>
      <c r="F4249" s="1625">
        <v>56100</v>
      </c>
      <c r="H4249" s="1708"/>
      <c r="I4249" s="1708"/>
      <c r="J4249" s="1671">
        <v>2210200</v>
      </c>
      <c r="K4249" s="1680" t="s">
        <v>20</v>
      </c>
      <c r="L4249" s="1625">
        <v>56100</v>
      </c>
      <c r="N4249" s="1625">
        <f t="shared" si="66"/>
        <v>0</v>
      </c>
    </row>
    <row r="4250" spans="2:14">
      <c r="B4250" s="1708"/>
      <c r="C4250" s="1708"/>
      <c r="D4250" s="61">
        <v>2210201</v>
      </c>
      <c r="E4250" s="74" t="s">
        <v>721</v>
      </c>
      <c r="F4250" s="183">
        <v>30000</v>
      </c>
      <c r="H4250" s="1708"/>
      <c r="I4250" s="1708"/>
      <c r="J4250" s="61">
        <v>2210201</v>
      </c>
      <c r="K4250" s="74" t="s">
        <v>721</v>
      </c>
      <c r="L4250" s="183">
        <v>30000</v>
      </c>
      <c r="N4250" s="183">
        <f t="shared" si="66"/>
        <v>0</v>
      </c>
    </row>
    <row r="4251" spans="2:14">
      <c r="B4251" s="1708"/>
      <c r="C4251" s="1708"/>
      <c r="D4251" s="61">
        <v>2210202</v>
      </c>
      <c r="E4251" s="74" t="s">
        <v>22</v>
      </c>
      <c r="F4251" s="183">
        <v>26100</v>
      </c>
      <c r="H4251" s="1708"/>
      <c r="I4251" s="1708"/>
      <c r="J4251" s="61">
        <v>2210202</v>
      </c>
      <c r="K4251" s="74" t="s">
        <v>22</v>
      </c>
      <c r="L4251" s="183">
        <v>26100</v>
      </c>
      <c r="N4251" s="183">
        <f t="shared" si="66"/>
        <v>0</v>
      </c>
    </row>
    <row r="4252" spans="2:14">
      <c r="B4252" s="1708"/>
      <c r="C4252" s="1708"/>
      <c r="D4252" s="1671">
        <v>2210300</v>
      </c>
      <c r="E4252" s="1680" t="s">
        <v>722</v>
      </c>
      <c r="F4252" s="1625">
        <v>159645</v>
      </c>
      <c r="H4252" s="1708"/>
      <c r="I4252" s="1708"/>
      <c r="J4252" s="1671">
        <v>2210300</v>
      </c>
      <c r="K4252" s="1680" t="s">
        <v>722</v>
      </c>
      <c r="L4252" s="1625">
        <v>159645</v>
      </c>
      <c r="N4252" s="1625">
        <f t="shared" si="66"/>
        <v>0</v>
      </c>
    </row>
    <row r="4253" spans="2:14">
      <c r="B4253" s="1708"/>
      <c r="C4253" s="1708"/>
      <c r="D4253" s="61">
        <v>2210301</v>
      </c>
      <c r="E4253" s="74" t="s">
        <v>188</v>
      </c>
      <c r="F4253" s="183">
        <v>78445</v>
      </c>
      <c r="H4253" s="1708"/>
      <c r="I4253" s="1708"/>
      <c r="J4253" s="61">
        <v>2210301</v>
      </c>
      <c r="K4253" s="74" t="s">
        <v>188</v>
      </c>
      <c r="L4253" s="183">
        <v>78445</v>
      </c>
      <c r="N4253" s="183">
        <f t="shared" si="66"/>
        <v>0</v>
      </c>
    </row>
    <row r="4254" spans="2:14">
      <c r="B4254" s="1708"/>
      <c r="C4254" s="1708"/>
      <c r="D4254" s="61">
        <v>2210302</v>
      </c>
      <c r="E4254" s="74" t="s">
        <v>26</v>
      </c>
      <c r="F4254" s="183">
        <v>55100</v>
      </c>
      <c r="H4254" s="1708"/>
      <c r="I4254" s="1708"/>
      <c r="J4254" s="61">
        <v>2210302</v>
      </c>
      <c r="K4254" s="74" t="s">
        <v>26</v>
      </c>
      <c r="L4254" s="183">
        <v>55100</v>
      </c>
      <c r="N4254" s="183">
        <f t="shared" si="66"/>
        <v>0</v>
      </c>
    </row>
    <row r="4255" spans="2:14">
      <c r="B4255" s="1708"/>
      <c r="C4255" s="1708"/>
      <c r="D4255" s="61">
        <v>2210303</v>
      </c>
      <c r="E4255" s="74" t="s">
        <v>223</v>
      </c>
      <c r="F4255" s="183">
        <v>26100</v>
      </c>
      <c r="H4255" s="1708"/>
      <c r="I4255" s="1708"/>
      <c r="J4255" s="61">
        <v>2210303</v>
      </c>
      <c r="K4255" s="74" t="s">
        <v>223</v>
      </c>
      <c r="L4255" s="183">
        <v>26100</v>
      </c>
      <c r="N4255" s="183">
        <f t="shared" si="66"/>
        <v>0</v>
      </c>
    </row>
    <row r="4256" spans="2:14">
      <c r="B4256" s="1708"/>
      <c r="C4256" s="1708"/>
      <c r="D4256" s="1671">
        <v>2210500</v>
      </c>
      <c r="E4256" s="1680" t="s">
        <v>723</v>
      </c>
      <c r="F4256" s="1625">
        <v>5000</v>
      </c>
      <c r="H4256" s="1708"/>
      <c r="I4256" s="1708"/>
      <c r="J4256" s="1671">
        <v>2210500</v>
      </c>
      <c r="K4256" s="1680" t="s">
        <v>723</v>
      </c>
      <c r="L4256" s="1625">
        <v>5000</v>
      </c>
      <c r="N4256" s="1625">
        <f t="shared" si="66"/>
        <v>0</v>
      </c>
    </row>
    <row r="4257" spans="2:14">
      <c r="B4257" s="1708"/>
      <c r="C4257" s="1708"/>
      <c r="D4257" s="61">
        <v>2210502</v>
      </c>
      <c r="E4257" s="74" t="s">
        <v>105</v>
      </c>
      <c r="F4257" s="183">
        <v>5000</v>
      </c>
      <c r="H4257" s="1708"/>
      <c r="I4257" s="1708"/>
      <c r="J4257" s="61">
        <v>2210502</v>
      </c>
      <c r="K4257" s="74" t="s">
        <v>105</v>
      </c>
      <c r="L4257" s="183">
        <v>5000</v>
      </c>
      <c r="N4257" s="183">
        <f t="shared" si="66"/>
        <v>0</v>
      </c>
    </row>
    <row r="4258" spans="2:14">
      <c r="B4258" s="1708"/>
      <c r="C4258" s="1708"/>
      <c r="D4258" s="1671">
        <v>2210700</v>
      </c>
      <c r="E4258" s="1680" t="s">
        <v>35</v>
      </c>
      <c r="F4258" s="1625">
        <v>196718</v>
      </c>
      <c r="H4258" s="1708"/>
      <c r="I4258" s="1708"/>
      <c r="J4258" s="1671">
        <v>2210700</v>
      </c>
      <c r="K4258" s="1680" t="s">
        <v>35</v>
      </c>
      <c r="L4258" s="1625">
        <v>196718</v>
      </c>
      <c r="N4258" s="1625">
        <f t="shared" si="66"/>
        <v>0</v>
      </c>
    </row>
    <row r="4259" spans="2:14">
      <c r="B4259" s="1708"/>
      <c r="C4259" s="1708"/>
      <c r="D4259" s="61">
        <v>2210701</v>
      </c>
      <c r="E4259" s="74" t="s">
        <v>36</v>
      </c>
      <c r="F4259" s="183">
        <v>74998</v>
      </c>
      <c r="H4259" s="1708"/>
      <c r="I4259" s="1708"/>
      <c r="J4259" s="61">
        <v>2210701</v>
      </c>
      <c r="K4259" s="74" t="s">
        <v>36</v>
      </c>
      <c r="L4259" s="183">
        <v>74998</v>
      </c>
      <c r="N4259" s="183">
        <f t="shared" si="66"/>
        <v>0</v>
      </c>
    </row>
    <row r="4260" spans="2:14">
      <c r="B4260" s="1708"/>
      <c r="C4260" s="1708"/>
      <c r="D4260" s="61">
        <v>2210710</v>
      </c>
      <c r="E4260" s="74" t="s">
        <v>724</v>
      </c>
      <c r="F4260" s="183">
        <v>73000</v>
      </c>
      <c r="H4260" s="1708"/>
      <c r="I4260" s="1708"/>
      <c r="J4260" s="61">
        <v>2210710</v>
      </c>
      <c r="K4260" s="74" t="s">
        <v>724</v>
      </c>
      <c r="L4260" s="183">
        <v>73000</v>
      </c>
      <c r="N4260" s="183">
        <f t="shared" si="66"/>
        <v>0</v>
      </c>
    </row>
    <row r="4261" spans="2:14">
      <c r="B4261" s="1708"/>
      <c r="C4261" s="1708"/>
      <c r="D4261" s="61">
        <v>2210711</v>
      </c>
      <c r="E4261" s="74" t="s">
        <v>156</v>
      </c>
      <c r="F4261" s="183">
        <v>48720</v>
      </c>
      <c r="H4261" s="1708"/>
      <c r="I4261" s="1708"/>
      <c r="J4261" s="61">
        <v>2210711</v>
      </c>
      <c r="K4261" s="74" t="s">
        <v>156</v>
      </c>
      <c r="L4261" s="183">
        <v>48720</v>
      </c>
      <c r="N4261" s="183">
        <f t="shared" si="66"/>
        <v>0</v>
      </c>
    </row>
    <row r="4262" spans="2:14">
      <c r="B4262" s="1708"/>
      <c r="C4262" s="1708"/>
      <c r="D4262" s="1543"/>
      <c r="E4262" s="1620" t="s">
        <v>741</v>
      </c>
      <c r="F4262" s="1621">
        <v>417463</v>
      </c>
      <c r="H4262" s="1708"/>
      <c r="I4262" s="1708"/>
      <c r="J4262" s="1543"/>
      <c r="K4262" s="1620" t="s">
        <v>741</v>
      </c>
      <c r="L4262" s="1621">
        <v>417463</v>
      </c>
      <c r="N4262" s="1621">
        <f t="shared" si="66"/>
        <v>0</v>
      </c>
    </row>
    <row r="4263" spans="2:14">
      <c r="B4263" s="1708"/>
      <c r="C4263" s="1708"/>
      <c r="D4263" s="1671"/>
      <c r="E4263" s="1620" t="s">
        <v>99</v>
      </c>
      <c r="F4263" s="1621">
        <v>417463</v>
      </c>
      <c r="H4263" s="1708"/>
      <c r="I4263" s="1708"/>
      <c r="J4263" s="1671"/>
      <c r="K4263" s="1620" t="s">
        <v>99</v>
      </c>
      <c r="L4263" s="1621">
        <v>417463</v>
      </c>
      <c r="N4263" s="1621">
        <f t="shared" si="66"/>
        <v>0</v>
      </c>
    </row>
    <row r="4264" spans="2:14">
      <c r="B4264" s="1708"/>
      <c r="C4264" s="1708"/>
      <c r="D4264" s="61"/>
      <c r="E4264" s="74"/>
      <c r="F4264" s="183">
        <v>0</v>
      </c>
      <c r="H4264" s="1708"/>
      <c r="I4264" s="1708"/>
      <c r="J4264" s="61"/>
      <c r="K4264" s="74"/>
      <c r="L4264" s="183">
        <v>0</v>
      </c>
      <c r="N4264" s="183">
        <f t="shared" si="66"/>
        <v>0</v>
      </c>
    </row>
    <row r="4265" spans="2:14">
      <c r="B4265" s="89"/>
      <c r="C4265" s="89"/>
      <c r="D4265" s="61"/>
      <c r="E4265" s="1620" t="s">
        <v>92</v>
      </c>
      <c r="F4265" s="183">
        <v>0</v>
      </c>
      <c r="H4265" s="89"/>
      <c r="I4265" s="89"/>
      <c r="J4265" s="61"/>
      <c r="K4265" s="1620" t="s">
        <v>92</v>
      </c>
      <c r="L4265" s="183">
        <v>0</v>
      </c>
      <c r="N4265" s="183">
        <f t="shared" si="66"/>
        <v>0</v>
      </c>
    </row>
    <row r="4266" spans="2:14">
      <c r="B4266" s="1708"/>
      <c r="C4266" s="1708"/>
      <c r="D4266" s="1671">
        <v>3110500</v>
      </c>
      <c r="E4266" s="1680" t="s">
        <v>736</v>
      </c>
      <c r="F4266" s="1625">
        <v>0</v>
      </c>
      <c r="H4266" s="1708"/>
      <c r="I4266" s="1708"/>
      <c r="J4266" s="1671">
        <v>3110500</v>
      </c>
      <c r="K4266" s="1680" t="s">
        <v>736</v>
      </c>
      <c r="L4266" s="1625">
        <v>0</v>
      </c>
      <c r="N4266" s="1625">
        <f t="shared" si="66"/>
        <v>0</v>
      </c>
    </row>
    <row r="4267" spans="2:14" ht="30">
      <c r="B4267" s="1708"/>
      <c r="C4267" s="1708"/>
      <c r="D4267" s="61">
        <v>3110599</v>
      </c>
      <c r="E4267" s="74" t="s">
        <v>752</v>
      </c>
      <c r="F4267" s="183">
        <v>0</v>
      </c>
      <c r="H4267" s="1708"/>
      <c r="I4267" s="1708"/>
      <c r="J4267" s="61">
        <v>3110599</v>
      </c>
      <c r="K4267" s="74" t="s">
        <v>752</v>
      </c>
      <c r="L4267" s="183">
        <v>0</v>
      </c>
      <c r="N4267" s="183">
        <f t="shared" si="66"/>
        <v>0</v>
      </c>
    </row>
    <row r="4268" spans="2:14">
      <c r="B4268" s="1892"/>
      <c r="C4268" s="1892"/>
      <c r="D4268" s="1507"/>
      <c r="E4268" s="1620" t="s">
        <v>175</v>
      </c>
      <c r="F4268" s="1621">
        <v>0</v>
      </c>
      <c r="H4268" s="1892"/>
      <c r="I4268" s="1892"/>
      <c r="J4268" s="1507"/>
      <c r="K4268" s="1620" t="s">
        <v>175</v>
      </c>
      <c r="L4268" s="1621">
        <v>0</v>
      </c>
      <c r="N4268" s="1621">
        <f t="shared" si="66"/>
        <v>0</v>
      </c>
    </row>
    <row r="4269" spans="2:14">
      <c r="B4269" s="1892"/>
      <c r="C4269" s="1892"/>
      <c r="D4269" s="1507"/>
      <c r="E4269" s="1620" t="s">
        <v>627</v>
      </c>
      <c r="F4269" s="1621">
        <v>417463</v>
      </c>
      <c r="H4269" s="1892"/>
      <c r="I4269" s="1892"/>
      <c r="J4269" s="1507"/>
      <c r="K4269" s="1620" t="s">
        <v>627</v>
      </c>
      <c r="L4269" s="1621">
        <v>417463</v>
      </c>
      <c r="N4269" s="1621">
        <f t="shared" si="66"/>
        <v>0</v>
      </c>
    </row>
    <row r="4270" spans="2:14">
      <c r="B4270" s="1892"/>
      <c r="C4270" s="1892"/>
      <c r="D4270" s="1507"/>
      <c r="E4270" s="1508" t="s">
        <v>99</v>
      </c>
      <c r="F4270" s="1621">
        <v>63071759.399999999</v>
      </c>
      <c r="H4270" s="1892"/>
      <c r="I4270" s="1892"/>
      <c r="J4270" s="1507"/>
      <c r="K4270" s="1508" t="s">
        <v>99</v>
      </c>
      <c r="L4270" s="1621">
        <v>63071759.399999999</v>
      </c>
      <c r="N4270" s="1621">
        <f t="shared" si="66"/>
        <v>0</v>
      </c>
    </row>
    <row r="4271" spans="2:14">
      <c r="B4271" s="1892"/>
      <c r="C4271" s="1892"/>
      <c r="D4271" s="1507"/>
      <c r="E4271" s="1508" t="s">
        <v>175</v>
      </c>
      <c r="F4271" s="1621">
        <v>27500000</v>
      </c>
      <c r="H4271" s="1892"/>
      <c r="I4271" s="1892"/>
      <c r="J4271" s="1507"/>
      <c r="K4271" s="1508" t="s">
        <v>175</v>
      </c>
      <c r="L4271" s="1621">
        <v>27500000</v>
      </c>
      <c r="N4271" s="1621">
        <f t="shared" si="66"/>
        <v>0</v>
      </c>
    </row>
    <row r="4272" spans="2:14">
      <c r="B4272" s="1966"/>
      <c r="C4272" s="1966"/>
      <c r="D4272" s="1755" t="s">
        <v>753</v>
      </c>
      <c r="E4272" s="1756"/>
      <c r="F4272" s="1621">
        <v>90571759.400000006</v>
      </c>
      <c r="H4272" s="1966"/>
      <c r="I4272" s="1966"/>
      <c r="J4272" s="1755" t="s">
        <v>753</v>
      </c>
      <c r="K4272" s="1756"/>
      <c r="L4272" s="1621">
        <v>90571759.400000006</v>
      </c>
      <c r="N4272" s="1621">
        <f t="shared" si="66"/>
        <v>0</v>
      </c>
    </row>
    <row r="4273" spans="2:14">
      <c r="B4273" s="89"/>
      <c r="C4273" s="89"/>
      <c r="D4273" s="61"/>
      <c r="E4273" s="74"/>
      <c r="F4273" s="174"/>
      <c r="H4273" s="89"/>
      <c r="I4273" s="89"/>
      <c r="J4273" s="61"/>
      <c r="K4273" s="74"/>
      <c r="L4273" s="174"/>
      <c r="N4273" s="174">
        <f t="shared" si="66"/>
        <v>0</v>
      </c>
    </row>
    <row r="4274" spans="2:14">
      <c r="B4274" s="89"/>
      <c r="C4274" s="89"/>
      <c r="D4274" s="61"/>
      <c r="E4274" s="74"/>
      <c r="F4274" s="174"/>
      <c r="H4274" s="89"/>
      <c r="I4274" s="89"/>
      <c r="J4274" s="61"/>
      <c r="K4274" s="74"/>
      <c r="L4274" s="174"/>
      <c r="N4274" s="174">
        <f t="shared" si="66"/>
        <v>0</v>
      </c>
    </row>
    <row r="4275" spans="2:14">
      <c r="B4275" s="46"/>
      <c r="C4275" s="46"/>
      <c r="D4275" s="1507" t="s">
        <v>1258</v>
      </c>
      <c r="E4275" s="1620"/>
      <c r="F4275" s="1686"/>
      <c r="H4275" s="46"/>
      <c r="I4275" s="46"/>
      <c r="J4275" s="1507" t="s">
        <v>1258</v>
      </c>
      <c r="K4275" s="1620"/>
      <c r="L4275" s="1686"/>
      <c r="N4275" s="1686">
        <f t="shared" si="66"/>
        <v>0</v>
      </c>
    </row>
    <row r="4276" spans="2:14">
      <c r="B4276" s="1967">
        <v>1</v>
      </c>
      <c r="C4276" s="1967">
        <v>1</v>
      </c>
      <c r="D4276" s="1968" t="s">
        <v>264</v>
      </c>
      <c r="E4276" s="1546"/>
      <c r="F4276" s="1603"/>
      <c r="H4276" s="1967">
        <v>1</v>
      </c>
      <c r="I4276" s="1967">
        <v>1</v>
      </c>
      <c r="J4276" s="1968" t="s">
        <v>264</v>
      </c>
      <c r="K4276" s="1546"/>
      <c r="L4276" s="1603"/>
      <c r="N4276" s="1603">
        <f t="shared" si="66"/>
        <v>0</v>
      </c>
    </row>
    <row r="4277" spans="2:14">
      <c r="B4277" s="46"/>
      <c r="C4277" s="46"/>
      <c r="D4277" s="1969" t="s">
        <v>265</v>
      </c>
      <c r="E4277" s="1970"/>
      <c r="F4277" s="1971"/>
      <c r="H4277" s="46"/>
      <c r="I4277" s="46"/>
      <c r="J4277" s="1969" t="s">
        <v>265</v>
      </c>
      <c r="K4277" s="1970"/>
      <c r="L4277" s="1971"/>
      <c r="N4277" s="1971">
        <f t="shared" si="66"/>
        <v>0</v>
      </c>
    </row>
    <row r="4278" spans="2:14">
      <c r="B4278" s="46"/>
      <c r="C4278" s="46"/>
      <c r="D4278" s="1671">
        <v>2110100</v>
      </c>
      <c r="E4278" s="1680" t="s">
        <v>13</v>
      </c>
      <c r="F4278" s="1971">
        <v>206109444</v>
      </c>
      <c r="H4278" s="46"/>
      <c r="I4278" s="46"/>
      <c r="J4278" s="1671">
        <v>2110100</v>
      </c>
      <c r="K4278" s="1680" t="s">
        <v>13</v>
      </c>
      <c r="L4278" s="1971">
        <v>206109444</v>
      </c>
      <c r="N4278" s="1971">
        <f t="shared" si="66"/>
        <v>0</v>
      </c>
    </row>
    <row r="4279" spans="2:14">
      <c r="B4279" s="46"/>
      <c r="C4279" s="46"/>
      <c r="D4279" s="61">
        <v>2110101</v>
      </c>
      <c r="E4279" s="74" t="s">
        <v>266</v>
      </c>
      <c r="F4279" s="185">
        <v>206109444</v>
      </c>
      <c r="H4279" s="46"/>
      <c r="I4279" s="46"/>
      <c r="J4279" s="61">
        <v>2110101</v>
      </c>
      <c r="K4279" s="74" t="s">
        <v>266</v>
      </c>
      <c r="L4279" s="185">
        <v>206109444</v>
      </c>
      <c r="N4279" s="185">
        <f t="shared" si="66"/>
        <v>0</v>
      </c>
    </row>
    <row r="4280" spans="2:14">
      <c r="B4280" s="46"/>
      <c r="C4280" s="46"/>
      <c r="D4280" s="1671">
        <v>2210100</v>
      </c>
      <c r="E4280" s="1680" t="s">
        <v>16</v>
      </c>
      <c r="F4280" s="1971">
        <v>168200</v>
      </c>
      <c r="H4280" s="46"/>
      <c r="I4280" s="46"/>
      <c r="J4280" s="1671">
        <v>2210100</v>
      </c>
      <c r="K4280" s="1680" t="s">
        <v>16</v>
      </c>
      <c r="L4280" s="1971">
        <v>168200</v>
      </c>
      <c r="N4280" s="1971">
        <f t="shared" si="66"/>
        <v>0</v>
      </c>
    </row>
    <row r="4281" spans="2:14">
      <c r="B4281" s="46"/>
      <c r="C4281" s="46"/>
      <c r="D4281" s="61">
        <v>2210101</v>
      </c>
      <c r="E4281" s="74" t="s">
        <v>17</v>
      </c>
      <c r="F4281" s="185">
        <v>52200</v>
      </c>
      <c r="H4281" s="46"/>
      <c r="I4281" s="46"/>
      <c r="J4281" s="61">
        <v>2210101</v>
      </c>
      <c r="K4281" s="74" t="s">
        <v>17</v>
      </c>
      <c r="L4281" s="185">
        <v>52200</v>
      </c>
      <c r="N4281" s="185">
        <f t="shared" si="66"/>
        <v>0</v>
      </c>
    </row>
    <row r="4282" spans="2:14">
      <c r="B4282" s="46"/>
      <c r="C4282" s="46"/>
      <c r="D4282" s="61">
        <v>2210102</v>
      </c>
      <c r="E4282" s="74" t="s">
        <v>18</v>
      </c>
      <c r="F4282" s="185">
        <v>116000</v>
      </c>
      <c r="H4282" s="46"/>
      <c r="I4282" s="46"/>
      <c r="J4282" s="61">
        <v>2210102</v>
      </c>
      <c r="K4282" s="74" t="s">
        <v>18</v>
      </c>
      <c r="L4282" s="185">
        <v>116000</v>
      </c>
      <c r="N4282" s="185">
        <f t="shared" si="66"/>
        <v>0</v>
      </c>
    </row>
    <row r="4283" spans="2:14">
      <c r="B4283" s="46"/>
      <c r="C4283" s="46"/>
      <c r="D4283" s="1671">
        <v>2210200</v>
      </c>
      <c r="E4283" s="1680" t="s">
        <v>20</v>
      </c>
      <c r="F4283" s="1971">
        <v>280198</v>
      </c>
      <c r="H4283" s="46"/>
      <c r="I4283" s="46"/>
      <c r="J4283" s="1671">
        <v>2210200</v>
      </c>
      <c r="K4283" s="1680" t="s">
        <v>20</v>
      </c>
      <c r="L4283" s="1971">
        <v>280198</v>
      </c>
      <c r="N4283" s="1971">
        <f t="shared" si="66"/>
        <v>0</v>
      </c>
    </row>
    <row r="4284" spans="2:14">
      <c r="B4284" s="46"/>
      <c r="C4284" s="46"/>
      <c r="D4284" s="61">
        <v>2210201</v>
      </c>
      <c r="E4284" s="74" t="s">
        <v>21</v>
      </c>
      <c r="F4284" s="185">
        <v>256998</v>
      </c>
      <c r="H4284" s="46"/>
      <c r="I4284" s="46"/>
      <c r="J4284" s="61">
        <v>2210201</v>
      </c>
      <c r="K4284" s="74" t="s">
        <v>21</v>
      </c>
      <c r="L4284" s="185">
        <v>256998</v>
      </c>
      <c r="N4284" s="185">
        <f t="shared" si="66"/>
        <v>0</v>
      </c>
    </row>
    <row r="4285" spans="2:14">
      <c r="B4285" s="46"/>
      <c r="C4285" s="46"/>
      <c r="D4285" s="61">
        <v>2210203</v>
      </c>
      <c r="E4285" s="74" t="s">
        <v>23</v>
      </c>
      <c r="F4285" s="185">
        <v>23200</v>
      </c>
      <c r="H4285" s="46"/>
      <c r="I4285" s="46"/>
      <c r="J4285" s="61">
        <v>2210203</v>
      </c>
      <c r="K4285" s="74" t="s">
        <v>23</v>
      </c>
      <c r="L4285" s="185">
        <v>23200</v>
      </c>
      <c r="N4285" s="185">
        <f t="shared" si="66"/>
        <v>0</v>
      </c>
    </row>
    <row r="4286" spans="2:14">
      <c r="B4286" s="46"/>
      <c r="C4286" s="46"/>
      <c r="D4286" s="1671">
        <v>2210300</v>
      </c>
      <c r="E4286" s="1680" t="s">
        <v>267</v>
      </c>
      <c r="F4286" s="1971">
        <v>2182041</v>
      </c>
      <c r="H4286" s="46"/>
      <c r="I4286" s="46"/>
      <c r="J4286" s="1671">
        <v>2210300</v>
      </c>
      <c r="K4286" s="1680" t="s">
        <v>267</v>
      </c>
      <c r="L4286" s="1971">
        <v>2182041</v>
      </c>
      <c r="N4286" s="1971">
        <f t="shared" si="66"/>
        <v>0</v>
      </c>
    </row>
    <row r="4287" spans="2:14">
      <c r="B4287" s="46"/>
      <c r="C4287" s="46"/>
      <c r="D4287" s="61">
        <v>2210301</v>
      </c>
      <c r="E4287" s="74" t="s">
        <v>268</v>
      </c>
      <c r="F4287" s="185">
        <v>552985</v>
      </c>
      <c r="H4287" s="46"/>
      <c r="I4287" s="46"/>
      <c r="J4287" s="61">
        <v>2210301</v>
      </c>
      <c r="K4287" s="74" t="s">
        <v>268</v>
      </c>
      <c r="L4287" s="185">
        <v>552985</v>
      </c>
      <c r="N4287" s="185">
        <f t="shared" si="66"/>
        <v>0</v>
      </c>
    </row>
    <row r="4288" spans="2:14">
      <c r="B4288" s="46"/>
      <c r="C4288" s="46"/>
      <c r="D4288" s="61">
        <v>2210302</v>
      </c>
      <c r="E4288" s="74" t="s">
        <v>269</v>
      </c>
      <c r="F4288" s="185">
        <v>547803</v>
      </c>
      <c r="H4288" s="46"/>
      <c r="I4288" s="46"/>
      <c r="J4288" s="61">
        <v>2210302</v>
      </c>
      <c r="K4288" s="74" t="s">
        <v>269</v>
      </c>
      <c r="L4288" s="185">
        <v>547803</v>
      </c>
      <c r="N4288" s="185">
        <f t="shared" si="66"/>
        <v>0</v>
      </c>
    </row>
    <row r="4289" spans="2:14">
      <c r="B4289" s="46"/>
      <c r="C4289" s="46"/>
      <c r="D4289" s="61">
        <v>2210303</v>
      </c>
      <c r="E4289" s="74" t="s">
        <v>27</v>
      </c>
      <c r="F4289" s="185">
        <v>1081253</v>
      </c>
      <c r="H4289" s="46"/>
      <c r="I4289" s="46"/>
      <c r="J4289" s="61">
        <v>2210303</v>
      </c>
      <c r="K4289" s="74" t="s">
        <v>27</v>
      </c>
      <c r="L4289" s="185">
        <v>1081253</v>
      </c>
      <c r="N4289" s="185">
        <f t="shared" si="66"/>
        <v>0</v>
      </c>
    </row>
    <row r="4290" spans="2:14">
      <c r="B4290" s="46"/>
      <c r="C4290" s="46"/>
      <c r="D4290" s="1671">
        <v>2210400</v>
      </c>
      <c r="E4290" s="1680" t="s">
        <v>189</v>
      </c>
      <c r="F4290" s="1971">
        <v>1129229</v>
      </c>
      <c r="H4290" s="46"/>
      <c r="I4290" s="46"/>
      <c r="J4290" s="1671">
        <v>2210400</v>
      </c>
      <c r="K4290" s="1680" t="s">
        <v>189</v>
      </c>
      <c r="L4290" s="1971">
        <v>1129229</v>
      </c>
      <c r="N4290" s="1971">
        <f t="shared" si="66"/>
        <v>0</v>
      </c>
    </row>
    <row r="4291" spans="2:14">
      <c r="B4291" s="46"/>
      <c r="C4291" s="46"/>
      <c r="D4291" s="61">
        <v>2210401</v>
      </c>
      <c r="E4291" s="74" t="s">
        <v>190</v>
      </c>
      <c r="F4291" s="185">
        <v>318989</v>
      </c>
      <c r="H4291" s="46"/>
      <c r="I4291" s="46"/>
      <c r="J4291" s="61">
        <v>2210401</v>
      </c>
      <c r="K4291" s="74" t="s">
        <v>190</v>
      </c>
      <c r="L4291" s="185">
        <v>318989</v>
      </c>
      <c r="N4291" s="185">
        <f t="shared" si="66"/>
        <v>0</v>
      </c>
    </row>
    <row r="4292" spans="2:14">
      <c r="B4292" s="46"/>
      <c r="C4292" s="46"/>
      <c r="D4292" s="61">
        <v>2210402</v>
      </c>
      <c r="E4292" s="74" t="s">
        <v>270</v>
      </c>
      <c r="F4292" s="185">
        <v>673565</v>
      </c>
      <c r="H4292" s="46"/>
      <c r="I4292" s="46"/>
      <c r="J4292" s="61">
        <v>2210402</v>
      </c>
      <c r="K4292" s="74" t="s">
        <v>270</v>
      </c>
      <c r="L4292" s="185">
        <v>673565</v>
      </c>
      <c r="N4292" s="185">
        <f t="shared" si="66"/>
        <v>0</v>
      </c>
    </row>
    <row r="4293" spans="2:14">
      <c r="B4293" s="46"/>
      <c r="C4293" s="46"/>
      <c r="D4293" s="61">
        <v>2210403</v>
      </c>
      <c r="E4293" s="74" t="s">
        <v>28</v>
      </c>
      <c r="F4293" s="185">
        <v>136675</v>
      </c>
      <c r="H4293" s="46"/>
      <c r="I4293" s="46"/>
      <c r="J4293" s="61">
        <v>2210403</v>
      </c>
      <c r="K4293" s="74" t="s">
        <v>28</v>
      </c>
      <c r="L4293" s="185">
        <v>136675</v>
      </c>
      <c r="N4293" s="185">
        <f t="shared" si="66"/>
        <v>0</v>
      </c>
    </row>
    <row r="4294" spans="2:14">
      <c r="B4294" s="46"/>
      <c r="C4294" s="46"/>
      <c r="D4294" s="1671">
        <v>2210500</v>
      </c>
      <c r="E4294" s="1680" t="s">
        <v>723</v>
      </c>
      <c r="F4294" s="1971">
        <v>677465</v>
      </c>
      <c r="H4294" s="46"/>
      <c r="I4294" s="46"/>
      <c r="J4294" s="1671">
        <v>2210500</v>
      </c>
      <c r="K4294" s="1680" t="s">
        <v>723</v>
      </c>
      <c r="L4294" s="1971">
        <v>677465</v>
      </c>
      <c r="N4294" s="1971">
        <f t="shared" si="66"/>
        <v>0</v>
      </c>
    </row>
    <row r="4295" spans="2:14">
      <c r="B4295" s="46"/>
      <c r="C4295" s="46"/>
      <c r="D4295" s="61">
        <v>2210502</v>
      </c>
      <c r="E4295" s="74" t="s">
        <v>105</v>
      </c>
      <c r="F4295" s="1972">
        <v>274908</v>
      </c>
      <c r="H4295" s="46"/>
      <c r="I4295" s="46"/>
      <c r="J4295" s="61">
        <v>2210502</v>
      </c>
      <c r="K4295" s="74" t="s">
        <v>105</v>
      </c>
      <c r="L4295" s="1972">
        <v>274908</v>
      </c>
      <c r="N4295" s="1972">
        <f t="shared" si="66"/>
        <v>0</v>
      </c>
    </row>
    <row r="4296" spans="2:14">
      <c r="B4296" s="46"/>
      <c r="C4296" s="46"/>
      <c r="D4296" s="61">
        <v>2210503</v>
      </c>
      <c r="E4296" s="74" t="s">
        <v>32</v>
      </c>
      <c r="F4296" s="185">
        <v>22514</v>
      </c>
      <c r="H4296" s="46"/>
      <c r="I4296" s="46"/>
      <c r="J4296" s="61">
        <v>2210503</v>
      </c>
      <c r="K4296" s="74" t="s">
        <v>32</v>
      </c>
      <c r="L4296" s="185">
        <v>22514</v>
      </c>
      <c r="N4296" s="185">
        <f t="shared" ref="N4296:N4359" si="67">F4296-L4296</f>
        <v>0</v>
      </c>
    </row>
    <row r="4297" spans="2:14">
      <c r="B4297" s="46"/>
      <c r="C4297" s="46"/>
      <c r="D4297" s="61">
        <v>2210504</v>
      </c>
      <c r="E4297" s="74" t="s">
        <v>33</v>
      </c>
      <c r="F4297" s="185">
        <v>380043</v>
      </c>
      <c r="H4297" s="46"/>
      <c r="I4297" s="46"/>
      <c r="J4297" s="61">
        <v>2210504</v>
      </c>
      <c r="K4297" s="74" t="s">
        <v>33</v>
      </c>
      <c r="L4297" s="185">
        <v>380043</v>
      </c>
      <c r="N4297" s="185">
        <f t="shared" si="67"/>
        <v>0</v>
      </c>
    </row>
    <row r="4298" spans="2:14">
      <c r="B4298" s="46"/>
      <c r="C4298" s="46"/>
      <c r="D4298" s="1671">
        <v>2210700</v>
      </c>
      <c r="E4298" s="1680" t="s">
        <v>271</v>
      </c>
      <c r="F4298" s="1971">
        <v>1057431</v>
      </c>
      <c r="H4298" s="46"/>
      <c r="I4298" s="46"/>
      <c r="J4298" s="1671">
        <v>2210700</v>
      </c>
      <c r="K4298" s="1680" t="s">
        <v>271</v>
      </c>
      <c r="L4298" s="1971">
        <v>1057431</v>
      </c>
      <c r="N4298" s="1971">
        <f t="shared" si="67"/>
        <v>0</v>
      </c>
    </row>
    <row r="4299" spans="2:14">
      <c r="B4299" s="46"/>
      <c r="C4299" s="46"/>
      <c r="D4299" s="61">
        <v>2210701</v>
      </c>
      <c r="E4299" s="74" t="s">
        <v>272</v>
      </c>
      <c r="F4299" s="185">
        <v>418974</v>
      </c>
      <c r="H4299" s="46"/>
      <c r="I4299" s="46"/>
      <c r="J4299" s="61">
        <v>2210701</v>
      </c>
      <c r="K4299" s="74" t="s">
        <v>272</v>
      </c>
      <c r="L4299" s="185">
        <v>418974</v>
      </c>
      <c r="N4299" s="185">
        <f t="shared" si="67"/>
        <v>0</v>
      </c>
    </row>
    <row r="4300" spans="2:14">
      <c r="B4300" s="46"/>
      <c r="C4300" s="46"/>
      <c r="D4300" s="61">
        <v>2210703</v>
      </c>
      <c r="E4300" s="74" t="s">
        <v>273</v>
      </c>
      <c r="F4300" s="185">
        <v>161213</v>
      </c>
      <c r="H4300" s="46"/>
      <c r="I4300" s="46"/>
      <c r="J4300" s="61">
        <v>2210703</v>
      </c>
      <c r="K4300" s="74" t="s">
        <v>273</v>
      </c>
      <c r="L4300" s="185">
        <v>161213</v>
      </c>
      <c r="N4300" s="185">
        <f t="shared" si="67"/>
        <v>0</v>
      </c>
    </row>
    <row r="4301" spans="2:14">
      <c r="B4301" s="46"/>
      <c r="C4301" s="46"/>
      <c r="D4301" s="61">
        <v>2210704</v>
      </c>
      <c r="E4301" s="74" t="s">
        <v>274</v>
      </c>
      <c r="F4301" s="185">
        <v>172674</v>
      </c>
      <c r="H4301" s="46"/>
      <c r="I4301" s="46"/>
      <c r="J4301" s="61">
        <v>2210704</v>
      </c>
      <c r="K4301" s="74" t="s">
        <v>274</v>
      </c>
      <c r="L4301" s="185">
        <v>172674</v>
      </c>
      <c r="N4301" s="185">
        <f t="shared" si="67"/>
        <v>0</v>
      </c>
    </row>
    <row r="4302" spans="2:14">
      <c r="B4302" s="46"/>
      <c r="C4302" s="46"/>
      <c r="D4302" s="61">
        <v>2210710</v>
      </c>
      <c r="E4302" s="74" t="s">
        <v>39</v>
      </c>
      <c r="F4302" s="185">
        <v>304570</v>
      </c>
      <c r="H4302" s="46"/>
      <c r="I4302" s="46"/>
      <c r="J4302" s="61">
        <v>2210710</v>
      </c>
      <c r="K4302" s="74" t="s">
        <v>39</v>
      </c>
      <c r="L4302" s="185">
        <v>304570</v>
      </c>
      <c r="N4302" s="185">
        <f t="shared" si="67"/>
        <v>0</v>
      </c>
    </row>
    <row r="4303" spans="2:14">
      <c r="B4303" s="46"/>
      <c r="C4303" s="46"/>
      <c r="D4303" s="1671">
        <v>2210800</v>
      </c>
      <c r="E4303" s="1680" t="s">
        <v>42</v>
      </c>
      <c r="F4303" s="1971">
        <v>772823</v>
      </c>
      <c r="H4303" s="46"/>
      <c r="I4303" s="46"/>
      <c r="J4303" s="1671">
        <v>2210800</v>
      </c>
      <c r="K4303" s="1680" t="s">
        <v>42</v>
      </c>
      <c r="L4303" s="1971">
        <v>772823</v>
      </c>
      <c r="N4303" s="1971">
        <f t="shared" si="67"/>
        <v>0</v>
      </c>
    </row>
    <row r="4304" spans="2:14">
      <c r="B4304" s="46"/>
      <c r="C4304" s="46"/>
      <c r="D4304" s="61">
        <v>2210801</v>
      </c>
      <c r="E4304" s="74" t="s">
        <v>754</v>
      </c>
      <c r="F4304" s="185">
        <v>565739</v>
      </c>
      <c r="H4304" s="46"/>
      <c r="I4304" s="46"/>
      <c r="J4304" s="61">
        <v>2210801</v>
      </c>
      <c r="K4304" s="74" t="s">
        <v>754</v>
      </c>
      <c r="L4304" s="185">
        <v>565739</v>
      </c>
      <c r="N4304" s="185">
        <f t="shared" si="67"/>
        <v>0</v>
      </c>
    </row>
    <row r="4305" spans="2:14">
      <c r="B4305" s="46"/>
      <c r="C4305" s="46"/>
      <c r="D4305" s="61">
        <v>2210802</v>
      </c>
      <c r="E4305" s="74" t="s">
        <v>97</v>
      </c>
      <c r="F4305" s="185">
        <v>207084</v>
      </c>
      <c r="H4305" s="46"/>
      <c r="I4305" s="46"/>
      <c r="J4305" s="61">
        <v>2210802</v>
      </c>
      <c r="K4305" s="74" t="s">
        <v>97</v>
      </c>
      <c r="L4305" s="185">
        <v>207084</v>
      </c>
      <c r="N4305" s="185">
        <f t="shared" si="67"/>
        <v>0</v>
      </c>
    </row>
    <row r="4306" spans="2:14">
      <c r="B4306" s="46"/>
      <c r="C4306" s="46"/>
      <c r="D4306" s="1671">
        <v>2211100</v>
      </c>
      <c r="E4306" s="1680" t="s">
        <v>276</v>
      </c>
      <c r="F4306" s="1971">
        <v>652040</v>
      </c>
      <c r="H4306" s="46"/>
      <c r="I4306" s="46"/>
      <c r="J4306" s="1671">
        <v>2211100</v>
      </c>
      <c r="K4306" s="1680" t="s">
        <v>276</v>
      </c>
      <c r="L4306" s="1971">
        <v>652040</v>
      </c>
      <c r="N4306" s="1971">
        <f t="shared" si="67"/>
        <v>0</v>
      </c>
    </row>
    <row r="4307" spans="2:14">
      <c r="B4307" s="46"/>
      <c r="C4307" s="46"/>
      <c r="D4307" s="61">
        <v>2211101</v>
      </c>
      <c r="E4307" s="74" t="s">
        <v>277</v>
      </c>
      <c r="F4307" s="185">
        <v>145765</v>
      </c>
      <c r="H4307" s="46"/>
      <c r="I4307" s="46"/>
      <c r="J4307" s="61">
        <v>2211101</v>
      </c>
      <c r="K4307" s="74" t="s">
        <v>277</v>
      </c>
      <c r="L4307" s="185">
        <v>145765</v>
      </c>
      <c r="N4307" s="185">
        <f t="shared" si="67"/>
        <v>0</v>
      </c>
    </row>
    <row r="4308" spans="2:14">
      <c r="B4308" s="46"/>
      <c r="C4308" s="46"/>
      <c r="D4308" s="61">
        <v>2211102</v>
      </c>
      <c r="E4308" s="74" t="s">
        <v>53</v>
      </c>
      <c r="F4308" s="185">
        <v>354705</v>
      </c>
      <c r="H4308" s="46"/>
      <c r="I4308" s="46"/>
      <c r="J4308" s="61">
        <v>2211102</v>
      </c>
      <c r="K4308" s="74" t="s">
        <v>53</v>
      </c>
      <c r="L4308" s="185">
        <v>354705</v>
      </c>
      <c r="N4308" s="185">
        <f t="shared" si="67"/>
        <v>0</v>
      </c>
    </row>
    <row r="4309" spans="2:14">
      <c r="B4309" s="46"/>
      <c r="C4309" s="46"/>
      <c r="D4309" s="61">
        <v>2211103</v>
      </c>
      <c r="E4309" s="74" t="s">
        <v>54</v>
      </c>
      <c r="F4309" s="185">
        <v>151570</v>
      </c>
      <c r="H4309" s="46"/>
      <c r="I4309" s="46"/>
      <c r="J4309" s="61">
        <v>2211103</v>
      </c>
      <c r="K4309" s="74" t="s">
        <v>54</v>
      </c>
      <c r="L4309" s="185">
        <v>151570</v>
      </c>
      <c r="N4309" s="185">
        <f t="shared" si="67"/>
        <v>0</v>
      </c>
    </row>
    <row r="4310" spans="2:14">
      <c r="B4310" s="46"/>
      <c r="C4310" s="46"/>
      <c r="D4310" s="1671">
        <v>2211200</v>
      </c>
      <c r="E4310" s="1680" t="s">
        <v>55</v>
      </c>
      <c r="F4310" s="1971">
        <v>707940</v>
      </c>
      <c r="H4310" s="46"/>
      <c r="I4310" s="46"/>
      <c r="J4310" s="1671">
        <v>2211200</v>
      </c>
      <c r="K4310" s="1680" t="s">
        <v>55</v>
      </c>
      <c r="L4310" s="1971">
        <v>707940</v>
      </c>
      <c r="N4310" s="1971">
        <f t="shared" si="67"/>
        <v>0</v>
      </c>
    </row>
    <row r="4311" spans="2:14">
      <c r="B4311" s="46"/>
      <c r="C4311" s="46"/>
      <c r="D4311" s="80">
        <v>2211201</v>
      </c>
      <c r="E4311" s="158" t="s">
        <v>56</v>
      </c>
      <c r="F4311" s="1973">
        <v>707940</v>
      </c>
      <c r="H4311" s="46"/>
      <c r="I4311" s="46"/>
      <c r="J4311" s="80">
        <v>2211201</v>
      </c>
      <c r="K4311" s="158" t="s">
        <v>56</v>
      </c>
      <c r="L4311" s="1973">
        <v>707940</v>
      </c>
      <c r="N4311" s="1973">
        <f t="shared" si="67"/>
        <v>0</v>
      </c>
    </row>
    <row r="4312" spans="2:14">
      <c r="B4312" s="46"/>
      <c r="C4312" s="46"/>
      <c r="D4312" s="1671">
        <v>2220100</v>
      </c>
      <c r="E4312" s="1680" t="s">
        <v>200</v>
      </c>
      <c r="F4312" s="1971">
        <v>454321</v>
      </c>
      <c r="H4312" s="46"/>
      <c r="I4312" s="46"/>
      <c r="J4312" s="1671">
        <v>2220100</v>
      </c>
      <c r="K4312" s="1680" t="s">
        <v>200</v>
      </c>
      <c r="L4312" s="1971">
        <v>454321</v>
      </c>
      <c r="N4312" s="1971">
        <f t="shared" si="67"/>
        <v>0</v>
      </c>
    </row>
    <row r="4313" spans="2:14">
      <c r="B4313" s="46"/>
      <c r="C4313" s="46"/>
      <c r="D4313" s="61">
        <v>2220101</v>
      </c>
      <c r="E4313" s="74" t="s">
        <v>200</v>
      </c>
      <c r="F4313" s="185">
        <v>454321</v>
      </c>
      <c r="H4313" s="46"/>
      <c r="I4313" s="46"/>
      <c r="J4313" s="61">
        <v>2220101</v>
      </c>
      <c r="K4313" s="74" t="s">
        <v>200</v>
      </c>
      <c r="L4313" s="185">
        <v>454321</v>
      </c>
      <c r="N4313" s="185">
        <f t="shared" si="67"/>
        <v>0</v>
      </c>
    </row>
    <row r="4314" spans="2:14">
      <c r="B4314" s="46"/>
      <c r="C4314" s="46"/>
      <c r="D4314" s="1671">
        <v>2220200</v>
      </c>
      <c r="E4314" s="1680" t="s">
        <v>124</v>
      </c>
      <c r="F4314" s="1971">
        <v>541990</v>
      </c>
      <c r="H4314" s="46"/>
      <c r="I4314" s="46"/>
      <c r="J4314" s="1671">
        <v>2220200</v>
      </c>
      <c r="K4314" s="1680" t="s">
        <v>124</v>
      </c>
      <c r="L4314" s="1971">
        <v>541990</v>
      </c>
      <c r="N4314" s="1971">
        <f t="shared" si="67"/>
        <v>0</v>
      </c>
    </row>
    <row r="4315" spans="2:14">
      <c r="B4315" s="46"/>
      <c r="C4315" s="46"/>
      <c r="D4315" s="61">
        <v>2220201</v>
      </c>
      <c r="E4315" s="74" t="s">
        <v>1324</v>
      </c>
      <c r="F4315" s="185">
        <v>298660</v>
      </c>
      <c r="H4315" s="46"/>
      <c r="I4315" s="46"/>
      <c r="J4315" s="61">
        <v>2220201</v>
      </c>
      <c r="K4315" s="74" t="s">
        <v>1324</v>
      </c>
      <c r="L4315" s="185">
        <v>298660</v>
      </c>
      <c r="N4315" s="185">
        <f t="shared" si="67"/>
        <v>0</v>
      </c>
    </row>
    <row r="4316" spans="2:14">
      <c r="B4316" s="46"/>
      <c r="C4316" s="46"/>
      <c r="D4316" s="61">
        <v>2220210</v>
      </c>
      <c r="E4316" s="74" t="s">
        <v>163</v>
      </c>
      <c r="F4316" s="185">
        <v>243330</v>
      </c>
      <c r="H4316" s="46"/>
      <c r="I4316" s="46"/>
      <c r="J4316" s="61">
        <v>2220210</v>
      </c>
      <c r="K4316" s="74" t="s">
        <v>163</v>
      </c>
      <c r="L4316" s="185">
        <v>243330</v>
      </c>
      <c r="N4316" s="185">
        <f t="shared" si="67"/>
        <v>0</v>
      </c>
    </row>
    <row r="4317" spans="2:14">
      <c r="B4317" s="46"/>
      <c r="C4317" s="46"/>
      <c r="D4317" s="1671">
        <v>3110300</v>
      </c>
      <c r="E4317" s="1680" t="s">
        <v>293</v>
      </c>
      <c r="F4317" s="1971">
        <v>2524560</v>
      </c>
      <c r="H4317" s="46"/>
      <c r="I4317" s="46"/>
      <c r="J4317" s="1671">
        <v>3110300</v>
      </c>
      <c r="K4317" s="1680" t="s">
        <v>293</v>
      </c>
      <c r="L4317" s="1971">
        <v>2524560</v>
      </c>
      <c r="N4317" s="1971">
        <f t="shared" si="67"/>
        <v>0</v>
      </c>
    </row>
    <row r="4318" spans="2:14">
      <c r="B4318" s="46"/>
      <c r="C4318" s="46"/>
      <c r="D4318" s="61">
        <v>3110302</v>
      </c>
      <c r="E4318" s="74" t="s">
        <v>1325</v>
      </c>
      <c r="F4318" s="185">
        <v>2524560</v>
      </c>
      <c r="H4318" s="46"/>
      <c r="I4318" s="46"/>
      <c r="J4318" s="61">
        <v>3110302</v>
      </c>
      <c r="K4318" s="74" t="s">
        <v>1325</v>
      </c>
      <c r="L4318" s="185">
        <v>2524560</v>
      </c>
      <c r="N4318" s="185">
        <f t="shared" si="67"/>
        <v>0</v>
      </c>
    </row>
    <row r="4319" spans="2:14">
      <c r="B4319" s="46"/>
      <c r="C4319" s="46"/>
      <c r="D4319" s="1671">
        <v>3110700</v>
      </c>
      <c r="E4319" s="1680" t="s">
        <v>65</v>
      </c>
      <c r="F4319" s="1971">
        <v>14000000</v>
      </c>
      <c r="H4319" s="46"/>
      <c r="I4319" s="46"/>
      <c r="J4319" s="1671">
        <v>3110700</v>
      </c>
      <c r="K4319" s="1680" t="s">
        <v>65</v>
      </c>
      <c r="L4319" s="1971">
        <v>0</v>
      </c>
      <c r="N4319" s="1971">
        <f t="shared" si="67"/>
        <v>14000000</v>
      </c>
    </row>
    <row r="4320" spans="2:14">
      <c r="B4320" s="1713"/>
      <c r="C4320" s="1713"/>
      <c r="D4320" s="1717">
        <v>3110701</v>
      </c>
      <c r="E4320" s="1718" t="s">
        <v>1773</v>
      </c>
      <c r="F4320" s="1974">
        <v>14000000</v>
      </c>
      <c r="H4320" s="46"/>
      <c r="I4320" s="46"/>
      <c r="J4320" s="61">
        <v>3110701</v>
      </c>
      <c r="K4320" s="74" t="s">
        <v>1773</v>
      </c>
      <c r="L4320" s="185">
        <v>0</v>
      </c>
      <c r="N4320" s="185">
        <f t="shared" si="67"/>
        <v>14000000</v>
      </c>
    </row>
    <row r="4321" spans="2:14">
      <c r="B4321" s="46"/>
      <c r="C4321" s="46"/>
      <c r="D4321" s="1671">
        <v>3111000</v>
      </c>
      <c r="E4321" s="1680" t="s">
        <v>69</v>
      </c>
      <c r="F4321" s="1971">
        <v>412345</v>
      </c>
      <c r="H4321" s="46"/>
      <c r="I4321" s="46"/>
      <c r="J4321" s="1671">
        <v>3111000</v>
      </c>
      <c r="K4321" s="1680" t="s">
        <v>69</v>
      </c>
      <c r="L4321" s="1971">
        <v>412345</v>
      </c>
      <c r="N4321" s="1971">
        <f t="shared" si="67"/>
        <v>0</v>
      </c>
    </row>
    <row r="4322" spans="2:14">
      <c r="B4322" s="46"/>
      <c r="C4322" s="46"/>
      <c r="D4322" s="61">
        <v>3111002</v>
      </c>
      <c r="E4322" s="74" t="s">
        <v>71</v>
      </c>
      <c r="F4322" s="185">
        <v>412345</v>
      </c>
      <c r="H4322" s="46"/>
      <c r="I4322" s="46"/>
      <c r="J4322" s="61">
        <v>3111002</v>
      </c>
      <c r="K4322" s="74" t="s">
        <v>71</v>
      </c>
      <c r="L4322" s="185">
        <v>412345</v>
      </c>
      <c r="N4322" s="185">
        <f t="shared" si="67"/>
        <v>0</v>
      </c>
    </row>
    <row r="4323" spans="2:14">
      <c r="B4323" s="46"/>
      <c r="C4323" s="46"/>
      <c r="D4323" s="61"/>
      <c r="E4323" s="1680" t="s">
        <v>278</v>
      </c>
      <c r="F4323" s="1971">
        <v>231670027</v>
      </c>
      <c r="H4323" s="46"/>
      <c r="I4323" s="46"/>
      <c r="J4323" s="61"/>
      <c r="K4323" s="1680" t="s">
        <v>278</v>
      </c>
      <c r="L4323" s="1971">
        <v>217670027</v>
      </c>
      <c r="N4323" s="1971">
        <f t="shared" si="67"/>
        <v>14000000</v>
      </c>
    </row>
    <row r="4324" spans="2:14">
      <c r="B4324" s="46"/>
      <c r="C4324" s="46"/>
      <c r="D4324" s="1671"/>
      <c r="E4324" s="74"/>
      <c r="F4324" s="1971"/>
      <c r="H4324" s="46"/>
      <c r="I4324" s="46"/>
      <c r="J4324" s="1671"/>
      <c r="K4324" s="74"/>
      <c r="L4324" s="1971"/>
      <c r="N4324" s="1971">
        <f t="shared" si="67"/>
        <v>0</v>
      </c>
    </row>
    <row r="4325" spans="2:14">
      <c r="B4325" s="46"/>
      <c r="C4325" s="46"/>
      <c r="D4325" s="1968" t="s">
        <v>755</v>
      </c>
      <c r="E4325" s="1680"/>
      <c r="F4325" s="1971"/>
      <c r="H4325" s="46"/>
      <c r="I4325" s="46"/>
      <c r="J4325" s="1968" t="s">
        <v>755</v>
      </c>
      <c r="K4325" s="1680"/>
      <c r="L4325" s="1971"/>
      <c r="N4325" s="1971">
        <f t="shared" si="67"/>
        <v>0</v>
      </c>
    </row>
    <row r="4326" spans="2:14">
      <c r="B4326" s="46"/>
      <c r="C4326" s="46"/>
      <c r="D4326" s="1969" t="s">
        <v>756</v>
      </c>
      <c r="E4326" s="1680"/>
      <c r="F4326" s="1971"/>
      <c r="H4326" s="46"/>
      <c r="I4326" s="46"/>
      <c r="J4326" s="1969" t="s">
        <v>756</v>
      </c>
      <c r="K4326" s="1680"/>
      <c r="L4326" s="1971"/>
      <c r="N4326" s="1971">
        <f t="shared" si="67"/>
        <v>0</v>
      </c>
    </row>
    <row r="4327" spans="2:14">
      <c r="B4327" s="1967"/>
      <c r="C4327" s="1967"/>
      <c r="D4327" s="1671">
        <v>2210300</v>
      </c>
      <c r="E4327" s="1680" t="s">
        <v>267</v>
      </c>
      <c r="F4327" s="1971">
        <v>1792217</v>
      </c>
      <c r="H4327" s="1967"/>
      <c r="I4327" s="1967"/>
      <c r="J4327" s="1671">
        <v>2210300</v>
      </c>
      <c r="K4327" s="1680" t="s">
        <v>267</v>
      </c>
      <c r="L4327" s="1971">
        <v>1792217</v>
      </c>
      <c r="N4327" s="1971">
        <f t="shared" si="67"/>
        <v>0</v>
      </c>
    </row>
    <row r="4328" spans="2:14">
      <c r="B4328" s="46"/>
      <c r="C4328" s="46"/>
      <c r="D4328" s="61">
        <v>2210301</v>
      </c>
      <c r="E4328" s="74" t="s">
        <v>25</v>
      </c>
      <c r="F4328" s="185">
        <v>550986</v>
      </c>
      <c r="H4328" s="46"/>
      <c r="I4328" s="46"/>
      <c r="J4328" s="61">
        <v>2210301</v>
      </c>
      <c r="K4328" s="74" t="s">
        <v>25</v>
      </c>
      <c r="L4328" s="185">
        <v>550986</v>
      </c>
      <c r="N4328" s="185">
        <f t="shared" si="67"/>
        <v>0</v>
      </c>
    </row>
    <row r="4329" spans="2:14">
      <c r="B4329" s="46"/>
      <c r="C4329" s="46"/>
      <c r="D4329" s="61">
        <v>2210302</v>
      </c>
      <c r="E4329" s="74" t="s">
        <v>485</v>
      </c>
      <c r="F4329" s="185">
        <v>500710</v>
      </c>
      <c r="H4329" s="46"/>
      <c r="I4329" s="46"/>
      <c r="J4329" s="61">
        <v>2210302</v>
      </c>
      <c r="K4329" s="74" t="s">
        <v>485</v>
      </c>
      <c r="L4329" s="185">
        <v>500710</v>
      </c>
      <c r="N4329" s="185">
        <f t="shared" si="67"/>
        <v>0</v>
      </c>
    </row>
    <row r="4330" spans="2:14">
      <c r="B4330" s="46"/>
      <c r="C4330" s="46"/>
      <c r="D4330" s="61">
        <v>2210303</v>
      </c>
      <c r="E4330" s="74" t="s">
        <v>27</v>
      </c>
      <c r="F4330" s="185">
        <v>740521</v>
      </c>
      <c r="H4330" s="46"/>
      <c r="I4330" s="46"/>
      <c r="J4330" s="61">
        <v>2210303</v>
      </c>
      <c r="K4330" s="74" t="s">
        <v>27</v>
      </c>
      <c r="L4330" s="185">
        <v>740521</v>
      </c>
      <c r="N4330" s="185">
        <f t="shared" si="67"/>
        <v>0</v>
      </c>
    </row>
    <row r="4331" spans="2:14">
      <c r="B4331" s="46"/>
      <c r="C4331" s="46"/>
      <c r="D4331" s="1671">
        <v>2210700</v>
      </c>
      <c r="E4331" s="1680" t="s">
        <v>271</v>
      </c>
      <c r="F4331" s="1971">
        <v>455203</v>
      </c>
      <c r="H4331" s="46"/>
      <c r="I4331" s="46"/>
      <c r="J4331" s="1671">
        <v>2210700</v>
      </c>
      <c r="K4331" s="1680" t="s">
        <v>271</v>
      </c>
      <c r="L4331" s="1971">
        <v>455203</v>
      </c>
      <c r="N4331" s="1971">
        <f t="shared" si="67"/>
        <v>0</v>
      </c>
    </row>
    <row r="4332" spans="2:14">
      <c r="B4332" s="46"/>
      <c r="C4332" s="46"/>
      <c r="D4332" s="61">
        <v>2210701</v>
      </c>
      <c r="E4332" s="74" t="s">
        <v>287</v>
      </c>
      <c r="F4332" s="185">
        <v>304500</v>
      </c>
      <c r="H4332" s="46"/>
      <c r="I4332" s="46"/>
      <c r="J4332" s="61">
        <v>2210701</v>
      </c>
      <c r="K4332" s="74" t="s">
        <v>287</v>
      </c>
      <c r="L4332" s="185">
        <v>304500</v>
      </c>
      <c r="N4332" s="185">
        <f t="shared" si="67"/>
        <v>0</v>
      </c>
    </row>
    <row r="4333" spans="2:14">
      <c r="B4333" s="46"/>
      <c r="C4333" s="46"/>
      <c r="D4333" s="61">
        <v>2210704</v>
      </c>
      <c r="E4333" s="74" t="s">
        <v>38</v>
      </c>
      <c r="F4333" s="185">
        <v>150703</v>
      </c>
      <c r="H4333" s="46"/>
      <c r="I4333" s="46"/>
      <c r="J4333" s="61">
        <v>2210704</v>
      </c>
      <c r="K4333" s="74" t="s">
        <v>38</v>
      </c>
      <c r="L4333" s="185">
        <v>150703</v>
      </c>
      <c r="N4333" s="185">
        <f t="shared" si="67"/>
        <v>0</v>
      </c>
    </row>
    <row r="4334" spans="2:14">
      <c r="B4334" s="46"/>
      <c r="C4334" s="46"/>
      <c r="D4334" s="1671">
        <v>2211000</v>
      </c>
      <c r="E4334" s="1680" t="s">
        <v>118</v>
      </c>
      <c r="F4334" s="1971">
        <v>302468</v>
      </c>
      <c r="H4334" s="46"/>
      <c r="I4334" s="46"/>
      <c r="J4334" s="1671">
        <v>2211000</v>
      </c>
      <c r="K4334" s="1680" t="s">
        <v>118</v>
      </c>
      <c r="L4334" s="1971">
        <v>302468</v>
      </c>
      <c r="N4334" s="1971">
        <f t="shared" si="67"/>
        <v>0</v>
      </c>
    </row>
    <row r="4335" spans="2:14">
      <c r="B4335" s="46"/>
      <c r="C4335" s="46"/>
      <c r="D4335" s="61">
        <v>2211007</v>
      </c>
      <c r="E4335" s="74" t="s">
        <v>309</v>
      </c>
      <c r="F4335" s="185">
        <v>302468</v>
      </c>
      <c r="H4335" s="46"/>
      <c r="I4335" s="46"/>
      <c r="J4335" s="61">
        <v>2211007</v>
      </c>
      <c r="K4335" s="74" t="s">
        <v>309</v>
      </c>
      <c r="L4335" s="185">
        <v>302468</v>
      </c>
      <c r="N4335" s="185">
        <f t="shared" si="67"/>
        <v>0</v>
      </c>
    </row>
    <row r="4336" spans="2:14">
      <c r="B4336" s="46"/>
      <c r="C4336" s="46"/>
      <c r="D4336" s="1671">
        <v>2211100</v>
      </c>
      <c r="E4336" s="1680" t="s">
        <v>276</v>
      </c>
      <c r="F4336" s="1971">
        <v>941020</v>
      </c>
      <c r="H4336" s="46"/>
      <c r="I4336" s="46"/>
      <c r="J4336" s="1671">
        <v>2211100</v>
      </c>
      <c r="K4336" s="1680" t="s">
        <v>276</v>
      </c>
      <c r="L4336" s="1971">
        <v>941020</v>
      </c>
      <c r="N4336" s="1971">
        <f t="shared" si="67"/>
        <v>0</v>
      </c>
    </row>
    <row r="4337" spans="2:14">
      <c r="B4337" s="46"/>
      <c r="C4337" s="46"/>
      <c r="D4337" s="61">
        <v>2211101</v>
      </c>
      <c r="E4337" s="74" t="s">
        <v>289</v>
      </c>
      <c r="F4337" s="185">
        <v>369515</v>
      </c>
      <c r="H4337" s="46"/>
      <c r="I4337" s="46"/>
      <c r="J4337" s="61">
        <v>2211101</v>
      </c>
      <c r="K4337" s="74" t="s">
        <v>289</v>
      </c>
      <c r="L4337" s="185">
        <v>369515</v>
      </c>
      <c r="N4337" s="185">
        <f t="shared" si="67"/>
        <v>0</v>
      </c>
    </row>
    <row r="4338" spans="2:14">
      <c r="B4338" s="46"/>
      <c r="C4338" s="46"/>
      <c r="D4338" s="61">
        <v>2211102</v>
      </c>
      <c r="E4338" s="74" t="s">
        <v>53</v>
      </c>
      <c r="F4338" s="185">
        <v>407029</v>
      </c>
      <c r="H4338" s="46"/>
      <c r="I4338" s="46"/>
      <c r="J4338" s="61">
        <v>2211102</v>
      </c>
      <c r="K4338" s="74" t="s">
        <v>53</v>
      </c>
      <c r="L4338" s="185">
        <v>407029</v>
      </c>
      <c r="N4338" s="185">
        <f t="shared" si="67"/>
        <v>0</v>
      </c>
    </row>
    <row r="4339" spans="2:14">
      <c r="B4339" s="46"/>
      <c r="C4339" s="46"/>
      <c r="D4339" s="61">
        <v>2211103</v>
      </c>
      <c r="E4339" s="74" t="s">
        <v>54</v>
      </c>
      <c r="F4339" s="185">
        <v>164476</v>
      </c>
      <c r="H4339" s="46"/>
      <c r="I4339" s="46"/>
      <c r="J4339" s="61">
        <v>2211103</v>
      </c>
      <c r="K4339" s="74" t="s">
        <v>54</v>
      </c>
      <c r="L4339" s="185">
        <v>164476</v>
      </c>
      <c r="N4339" s="185">
        <f t="shared" si="67"/>
        <v>0</v>
      </c>
    </row>
    <row r="4340" spans="2:14">
      <c r="B4340" s="46"/>
      <c r="C4340" s="46"/>
      <c r="D4340" s="1671">
        <v>2211200</v>
      </c>
      <c r="E4340" s="1680" t="s">
        <v>55</v>
      </c>
      <c r="F4340" s="1971">
        <v>1306130</v>
      </c>
      <c r="H4340" s="46"/>
      <c r="I4340" s="46"/>
      <c r="J4340" s="1671">
        <v>2211200</v>
      </c>
      <c r="K4340" s="1680" t="s">
        <v>55</v>
      </c>
      <c r="L4340" s="1971">
        <v>1306130</v>
      </c>
      <c r="N4340" s="1971">
        <f t="shared" si="67"/>
        <v>0</v>
      </c>
    </row>
    <row r="4341" spans="2:14">
      <c r="B4341" s="46"/>
      <c r="C4341" s="46"/>
      <c r="D4341" s="61">
        <v>2211201</v>
      </c>
      <c r="E4341" s="74" t="s">
        <v>56</v>
      </c>
      <c r="F4341" s="185">
        <v>1306130</v>
      </c>
      <c r="H4341" s="46"/>
      <c r="I4341" s="46"/>
      <c r="J4341" s="61">
        <v>2211201</v>
      </c>
      <c r="K4341" s="74" t="s">
        <v>56</v>
      </c>
      <c r="L4341" s="185">
        <v>1306130</v>
      </c>
      <c r="N4341" s="185">
        <f t="shared" si="67"/>
        <v>0</v>
      </c>
    </row>
    <row r="4342" spans="2:14">
      <c r="B4342" s="46"/>
      <c r="C4342" s="46"/>
      <c r="D4342" s="1671">
        <v>2220100</v>
      </c>
      <c r="E4342" s="1680" t="s">
        <v>200</v>
      </c>
      <c r="F4342" s="1971">
        <v>454264</v>
      </c>
      <c r="H4342" s="46"/>
      <c r="I4342" s="46"/>
      <c r="J4342" s="1671">
        <v>2220100</v>
      </c>
      <c r="K4342" s="1680" t="s">
        <v>200</v>
      </c>
      <c r="L4342" s="1971">
        <v>454264</v>
      </c>
      <c r="N4342" s="1971">
        <f t="shared" si="67"/>
        <v>0</v>
      </c>
    </row>
    <row r="4343" spans="2:14">
      <c r="B4343" s="46"/>
      <c r="C4343" s="46"/>
      <c r="D4343" s="61">
        <v>2220101</v>
      </c>
      <c r="E4343" s="74" t="s">
        <v>200</v>
      </c>
      <c r="F4343" s="185">
        <v>454264</v>
      </c>
      <c r="H4343" s="46"/>
      <c r="I4343" s="46"/>
      <c r="J4343" s="61">
        <v>2220101</v>
      </c>
      <c r="K4343" s="74" t="s">
        <v>200</v>
      </c>
      <c r="L4343" s="185">
        <v>454264</v>
      </c>
      <c r="N4343" s="185">
        <f t="shared" si="67"/>
        <v>0</v>
      </c>
    </row>
    <row r="4344" spans="2:14">
      <c r="B4344" s="46"/>
      <c r="C4344" s="46"/>
      <c r="D4344" s="1671">
        <v>3111400</v>
      </c>
      <c r="E4344" s="1975" t="s">
        <v>1326</v>
      </c>
      <c r="F4344" s="1971">
        <v>356439</v>
      </c>
      <c r="H4344" s="46"/>
      <c r="I4344" s="46"/>
      <c r="J4344" s="1671">
        <v>3111400</v>
      </c>
      <c r="K4344" s="1975" t="s">
        <v>1326</v>
      </c>
      <c r="L4344" s="1971">
        <v>356439</v>
      </c>
      <c r="N4344" s="1971">
        <f t="shared" si="67"/>
        <v>0</v>
      </c>
    </row>
    <row r="4345" spans="2:14">
      <c r="B4345" s="46"/>
      <c r="C4345" s="46"/>
      <c r="D4345" s="39">
        <v>3111499</v>
      </c>
      <c r="E4345" s="99" t="s">
        <v>1327</v>
      </c>
      <c r="F4345" s="185">
        <v>356439</v>
      </c>
      <c r="H4345" s="46"/>
      <c r="I4345" s="46"/>
      <c r="J4345" s="39">
        <v>3111499</v>
      </c>
      <c r="K4345" s="99" t="s">
        <v>1327</v>
      </c>
      <c r="L4345" s="185">
        <v>356439</v>
      </c>
      <c r="N4345" s="185">
        <f t="shared" si="67"/>
        <v>0</v>
      </c>
    </row>
    <row r="4346" spans="2:14">
      <c r="B4346" s="46"/>
      <c r="C4346" s="46"/>
      <c r="D4346" s="1671"/>
      <c r="E4346" s="1976" t="s">
        <v>128</v>
      </c>
      <c r="F4346" s="1971">
        <v>5607741</v>
      </c>
      <c r="H4346" s="46"/>
      <c r="I4346" s="46"/>
      <c r="J4346" s="1671"/>
      <c r="K4346" s="1976" t="s">
        <v>128</v>
      </c>
      <c r="L4346" s="1971">
        <v>5607741</v>
      </c>
      <c r="N4346" s="1971">
        <f t="shared" si="67"/>
        <v>0</v>
      </c>
    </row>
    <row r="4347" spans="2:14">
      <c r="B4347" s="46"/>
      <c r="C4347" s="46"/>
      <c r="D4347" s="61"/>
      <c r="E4347" s="74"/>
      <c r="F4347" s="185"/>
      <c r="H4347" s="46"/>
      <c r="I4347" s="46"/>
      <c r="J4347" s="61"/>
      <c r="K4347" s="74"/>
      <c r="L4347" s="185"/>
      <c r="N4347" s="185">
        <f t="shared" si="67"/>
        <v>0</v>
      </c>
    </row>
    <row r="4348" spans="2:14">
      <c r="B4348" s="46"/>
      <c r="C4348" s="46"/>
      <c r="D4348" s="1671"/>
      <c r="E4348" s="1680" t="s">
        <v>92</v>
      </c>
      <c r="F4348" s="1971"/>
      <c r="H4348" s="46"/>
      <c r="I4348" s="46"/>
      <c r="J4348" s="1671"/>
      <c r="K4348" s="1680" t="s">
        <v>92</v>
      </c>
      <c r="L4348" s="1971"/>
      <c r="N4348" s="1971">
        <f t="shared" si="67"/>
        <v>0</v>
      </c>
    </row>
    <row r="4349" spans="2:14">
      <c r="B4349" s="46"/>
      <c r="C4349" s="46"/>
      <c r="D4349" s="1671">
        <v>2210500</v>
      </c>
      <c r="E4349" s="1680" t="s">
        <v>31</v>
      </c>
      <c r="F4349" s="1977"/>
      <c r="H4349" s="46"/>
      <c r="I4349" s="46"/>
      <c r="J4349" s="1671">
        <v>2210500</v>
      </c>
      <c r="K4349" s="1680" t="s">
        <v>31</v>
      </c>
      <c r="L4349" s="1977"/>
      <c r="N4349" s="1977">
        <f t="shared" si="67"/>
        <v>0</v>
      </c>
    </row>
    <row r="4350" spans="2:14">
      <c r="B4350" s="46"/>
      <c r="C4350" s="46"/>
      <c r="D4350" s="61">
        <v>2210505</v>
      </c>
      <c r="E4350" s="74" t="s">
        <v>757</v>
      </c>
      <c r="F4350" s="1972">
        <v>0</v>
      </c>
      <c r="H4350" s="46"/>
      <c r="I4350" s="46"/>
      <c r="J4350" s="61">
        <v>2210505</v>
      </c>
      <c r="K4350" s="74" t="s">
        <v>757</v>
      </c>
      <c r="L4350" s="1972">
        <v>0</v>
      </c>
      <c r="N4350" s="1972">
        <f t="shared" si="67"/>
        <v>0</v>
      </c>
    </row>
    <row r="4351" spans="2:14">
      <c r="B4351" s="46"/>
      <c r="C4351" s="46"/>
      <c r="D4351" s="1671">
        <v>2211000</v>
      </c>
      <c r="E4351" s="1680" t="s">
        <v>118</v>
      </c>
      <c r="F4351" s="1971">
        <v>954363</v>
      </c>
      <c r="H4351" s="46"/>
      <c r="I4351" s="46"/>
      <c r="J4351" s="1671">
        <v>2211000</v>
      </c>
      <c r="K4351" s="1680" t="s">
        <v>118</v>
      </c>
      <c r="L4351" s="1971">
        <v>954363</v>
      </c>
      <c r="N4351" s="1971">
        <f t="shared" si="67"/>
        <v>0</v>
      </c>
    </row>
    <row r="4352" spans="2:14">
      <c r="B4352" s="46"/>
      <c r="C4352" s="46"/>
      <c r="D4352" s="80">
        <v>2211004</v>
      </c>
      <c r="E4352" s="162" t="s">
        <v>1328</v>
      </c>
      <c r="F4352" s="1973">
        <v>954363</v>
      </c>
      <c r="H4352" s="46"/>
      <c r="I4352" s="46"/>
      <c r="J4352" s="80">
        <v>2211004</v>
      </c>
      <c r="K4352" s="162" t="s">
        <v>1328</v>
      </c>
      <c r="L4352" s="1973">
        <v>954363</v>
      </c>
      <c r="N4352" s="1973">
        <f t="shared" si="67"/>
        <v>0</v>
      </c>
    </row>
    <row r="4353" spans="2:14">
      <c r="B4353" s="46"/>
      <c r="C4353" s="46"/>
      <c r="D4353" s="1543">
        <v>2630200</v>
      </c>
      <c r="E4353" s="1680" t="s">
        <v>534</v>
      </c>
      <c r="F4353" s="1971">
        <v>121025000</v>
      </c>
      <c r="H4353" s="46"/>
      <c r="I4353" s="46"/>
      <c r="J4353" s="1543">
        <v>2630200</v>
      </c>
      <c r="K4353" s="1680" t="s">
        <v>534</v>
      </c>
      <c r="L4353" s="1971">
        <v>121025000</v>
      </c>
      <c r="N4353" s="1971">
        <f t="shared" si="67"/>
        <v>0</v>
      </c>
    </row>
    <row r="4354" spans="2:14">
      <c r="B4354" s="46"/>
      <c r="C4354" s="46"/>
      <c r="D4354" s="39">
        <v>2630203</v>
      </c>
      <c r="E4354" s="74" t="s">
        <v>758</v>
      </c>
      <c r="F4354" s="185">
        <v>121025000</v>
      </c>
      <c r="H4354" s="46"/>
      <c r="I4354" s="46"/>
      <c r="J4354" s="39">
        <v>2630203</v>
      </c>
      <c r="K4354" s="74" t="s">
        <v>758</v>
      </c>
      <c r="L4354" s="185">
        <v>121025000</v>
      </c>
      <c r="N4354" s="185">
        <f t="shared" si="67"/>
        <v>0</v>
      </c>
    </row>
    <row r="4355" spans="2:14">
      <c r="B4355" s="46"/>
      <c r="C4355" s="46"/>
      <c r="D4355" s="1671">
        <v>3111300</v>
      </c>
      <c r="E4355" s="1584" t="s">
        <v>539</v>
      </c>
      <c r="F4355" s="1971">
        <v>1065446</v>
      </c>
      <c r="H4355" s="46"/>
      <c r="I4355" s="46"/>
      <c r="J4355" s="1671">
        <v>3111300</v>
      </c>
      <c r="K4355" s="1584" t="s">
        <v>539</v>
      </c>
      <c r="L4355" s="1971">
        <v>1065446</v>
      </c>
      <c r="N4355" s="1971">
        <f t="shared" si="67"/>
        <v>0</v>
      </c>
    </row>
    <row r="4356" spans="2:14">
      <c r="B4356" s="46"/>
      <c r="C4356" s="46"/>
      <c r="D4356" s="61">
        <v>3111399</v>
      </c>
      <c r="E4356" s="1585" t="s">
        <v>759</v>
      </c>
      <c r="F4356" s="185">
        <v>1065446</v>
      </c>
      <c r="H4356" s="46"/>
      <c r="I4356" s="46"/>
      <c r="J4356" s="61">
        <v>3111399</v>
      </c>
      <c r="K4356" s="1585" t="s">
        <v>759</v>
      </c>
      <c r="L4356" s="185">
        <v>1065446</v>
      </c>
      <c r="N4356" s="185">
        <f t="shared" si="67"/>
        <v>0</v>
      </c>
    </row>
    <row r="4357" spans="2:14">
      <c r="B4357" s="46"/>
      <c r="C4357" s="46"/>
      <c r="D4357" s="39"/>
      <c r="E4357" s="1970" t="s">
        <v>520</v>
      </c>
      <c r="F4357" s="1971">
        <v>123044809</v>
      </c>
      <c r="H4357" s="46"/>
      <c r="I4357" s="46"/>
      <c r="J4357" s="39"/>
      <c r="K4357" s="1970" t="s">
        <v>520</v>
      </c>
      <c r="L4357" s="1971">
        <v>123044809</v>
      </c>
      <c r="N4357" s="1971">
        <f t="shared" si="67"/>
        <v>0</v>
      </c>
    </row>
    <row r="4358" spans="2:14">
      <c r="B4358" s="46"/>
      <c r="C4358" s="46"/>
      <c r="D4358" s="39"/>
      <c r="E4358" s="1970" t="s">
        <v>761</v>
      </c>
      <c r="F4358" s="1971">
        <v>128652550</v>
      </c>
      <c r="H4358" s="46"/>
      <c r="I4358" s="46"/>
      <c r="J4358" s="39"/>
      <c r="K4358" s="1970" t="s">
        <v>761</v>
      </c>
      <c r="L4358" s="1971">
        <v>128652550</v>
      </c>
      <c r="N4358" s="1971">
        <f t="shared" si="67"/>
        <v>0</v>
      </c>
    </row>
    <row r="4359" spans="2:14">
      <c r="B4359" s="46"/>
      <c r="C4359" s="46"/>
      <c r="D4359" s="39"/>
      <c r="E4359" s="74"/>
      <c r="F4359" s="1971"/>
      <c r="H4359" s="46"/>
      <c r="I4359" s="46"/>
      <c r="J4359" s="39"/>
      <c r="K4359" s="74"/>
      <c r="L4359" s="1971"/>
      <c r="N4359" s="1971">
        <f t="shared" si="67"/>
        <v>0</v>
      </c>
    </row>
    <row r="4360" spans="2:14">
      <c r="B4360" s="46"/>
      <c r="C4360" s="46"/>
      <c r="D4360" s="1968" t="s">
        <v>762</v>
      </c>
      <c r="E4360" s="1680"/>
      <c r="F4360" s="185"/>
      <c r="H4360" s="46"/>
      <c r="I4360" s="46"/>
      <c r="J4360" s="1968" t="s">
        <v>762</v>
      </c>
      <c r="K4360" s="1680"/>
      <c r="L4360" s="185"/>
      <c r="N4360" s="185">
        <f t="shared" ref="N4360:N4423" si="68">F4360-L4360</f>
        <v>0</v>
      </c>
    </row>
    <row r="4361" spans="2:14">
      <c r="B4361" s="46"/>
      <c r="C4361" s="46"/>
      <c r="D4361" s="1978" t="s">
        <v>763</v>
      </c>
      <c r="E4361" s="1979"/>
      <c r="F4361" s="185"/>
      <c r="H4361" s="46"/>
      <c r="I4361" s="46"/>
      <c r="J4361" s="1978" t="s">
        <v>763</v>
      </c>
      <c r="K4361" s="1979"/>
      <c r="L4361" s="185"/>
      <c r="N4361" s="185">
        <f t="shared" si="68"/>
        <v>0</v>
      </c>
    </row>
    <row r="4362" spans="2:14">
      <c r="B4362" s="46"/>
      <c r="C4362" s="46"/>
      <c r="D4362" s="1671">
        <v>2110200</v>
      </c>
      <c r="E4362" s="1680" t="s">
        <v>148</v>
      </c>
      <c r="F4362" s="1971">
        <v>0</v>
      </c>
      <c r="H4362" s="46"/>
      <c r="I4362" s="46"/>
      <c r="J4362" s="1671">
        <v>2110200</v>
      </c>
      <c r="K4362" s="1680" t="s">
        <v>148</v>
      </c>
      <c r="L4362" s="1971">
        <v>0</v>
      </c>
      <c r="N4362" s="1971">
        <f t="shared" si="68"/>
        <v>0</v>
      </c>
    </row>
    <row r="4363" spans="2:14">
      <c r="B4363" s="46"/>
      <c r="C4363" s="46"/>
      <c r="D4363" s="61">
        <v>2110202</v>
      </c>
      <c r="E4363" s="74" t="s">
        <v>1329</v>
      </c>
      <c r="F4363" s="185">
        <v>0</v>
      </c>
      <c r="H4363" s="46"/>
      <c r="I4363" s="46"/>
      <c r="J4363" s="61">
        <v>2110202</v>
      </c>
      <c r="K4363" s="74" t="s">
        <v>1329</v>
      </c>
      <c r="L4363" s="185">
        <v>0</v>
      </c>
      <c r="N4363" s="185">
        <f t="shared" si="68"/>
        <v>0</v>
      </c>
    </row>
    <row r="4364" spans="2:14">
      <c r="B4364" s="46"/>
      <c r="C4364" s="46"/>
      <c r="D4364" s="1671">
        <v>2210100</v>
      </c>
      <c r="E4364" s="1680" t="s">
        <v>285</v>
      </c>
      <c r="F4364" s="1971">
        <v>40020</v>
      </c>
      <c r="H4364" s="46"/>
      <c r="I4364" s="46"/>
      <c r="J4364" s="1671">
        <v>2210100</v>
      </c>
      <c r="K4364" s="1680" t="s">
        <v>285</v>
      </c>
      <c r="L4364" s="1971">
        <v>40020</v>
      </c>
      <c r="N4364" s="1971">
        <f t="shared" si="68"/>
        <v>0</v>
      </c>
    </row>
    <row r="4365" spans="2:14">
      <c r="B4365" s="46"/>
      <c r="C4365" s="46"/>
      <c r="D4365" s="61">
        <v>2210101</v>
      </c>
      <c r="E4365" s="74" t="s">
        <v>17</v>
      </c>
      <c r="F4365" s="185">
        <v>26680</v>
      </c>
      <c r="H4365" s="46"/>
      <c r="I4365" s="46"/>
      <c r="J4365" s="61">
        <v>2210101</v>
      </c>
      <c r="K4365" s="74" t="s">
        <v>17</v>
      </c>
      <c r="L4365" s="185">
        <v>26680</v>
      </c>
      <c r="N4365" s="185">
        <f t="shared" si="68"/>
        <v>0</v>
      </c>
    </row>
    <row r="4366" spans="2:14">
      <c r="B4366" s="46"/>
      <c r="C4366" s="46"/>
      <c r="D4366" s="61">
        <v>2210102</v>
      </c>
      <c r="E4366" s="74" t="s">
        <v>18</v>
      </c>
      <c r="F4366" s="185">
        <v>13340</v>
      </c>
      <c r="H4366" s="46"/>
      <c r="I4366" s="46"/>
      <c r="J4366" s="61">
        <v>2210102</v>
      </c>
      <c r="K4366" s="74" t="s">
        <v>18</v>
      </c>
      <c r="L4366" s="185">
        <v>13340</v>
      </c>
      <c r="N4366" s="185">
        <f t="shared" si="68"/>
        <v>0</v>
      </c>
    </row>
    <row r="4367" spans="2:14">
      <c r="B4367" s="46"/>
      <c r="C4367" s="46"/>
      <c r="D4367" s="1671">
        <v>2210200</v>
      </c>
      <c r="E4367" s="1680" t="s">
        <v>286</v>
      </c>
      <c r="F4367" s="1971">
        <v>34243</v>
      </c>
      <c r="H4367" s="46"/>
      <c r="I4367" s="46"/>
      <c r="J4367" s="1671">
        <v>2210200</v>
      </c>
      <c r="K4367" s="1680" t="s">
        <v>286</v>
      </c>
      <c r="L4367" s="1971">
        <v>34243</v>
      </c>
      <c r="N4367" s="1971">
        <f t="shared" si="68"/>
        <v>0</v>
      </c>
    </row>
    <row r="4368" spans="2:14">
      <c r="B4368" s="46"/>
      <c r="C4368" s="46"/>
      <c r="D4368" s="61">
        <v>2210201</v>
      </c>
      <c r="E4368" s="74" t="s">
        <v>21</v>
      </c>
      <c r="F4368" s="185">
        <v>34243</v>
      </c>
      <c r="H4368" s="46"/>
      <c r="I4368" s="46"/>
      <c r="J4368" s="61">
        <v>2210201</v>
      </c>
      <c r="K4368" s="74" t="s">
        <v>21</v>
      </c>
      <c r="L4368" s="185">
        <v>34243</v>
      </c>
      <c r="N4368" s="185">
        <f t="shared" si="68"/>
        <v>0</v>
      </c>
    </row>
    <row r="4369" spans="2:14">
      <c r="B4369" s="46"/>
      <c r="C4369" s="46"/>
      <c r="D4369" s="1671">
        <v>2210300</v>
      </c>
      <c r="E4369" s="1680" t="s">
        <v>267</v>
      </c>
      <c r="F4369" s="1971">
        <v>974281</v>
      </c>
      <c r="H4369" s="46"/>
      <c r="I4369" s="46"/>
      <c r="J4369" s="1671">
        <v>2210300</v>
      </c>
      <c r="K4369" s="1680" t="s">
        <v>267</v>
      </c>
      <c r="L4369" s="1971">
        <v>974281</v>
      </c>
      <c r="N4369" s="1971">
        <f t="shared" si="68"/>
        <v>0</v>
      </c>
    </row>
    <row r="4370" spans="2:14">
      <c r="B4370" s="46"/>
      <c r="C4370" s="46"/>
      <c r="D4370" s="61">
        <v>2210301</v>
      </c>
      <c r="E4370" s="74" t="s">
        <v>25</v>
      </c>
      <c r="F4370" s="185">
        <v>43982</v>
      </c>
      <c r="H4370" s="46"/>
      <c r="I4370" s="46"/>
      <c r="J4370" s="61">
        <v>2210301</v>
      </c>
      <c r="K4370" s="74" t="s">
        <v>25</v>
      </c>
      <c r="L4370" s="185">
        <v>43982</v>
      </c>
      <c r="N4370" s="185">
        <f t="shared" si="68"/>
        <v>0</v>
      </c>
    </row>
    <row r="4371" spans="2:14">
      <c r="B4371" s="46"/>
      <c r="C4371" s="46"/>
      <c r="D4371" s="61">
        <v>2210302</v>
      </c>
      <c r="E4371" s="74" t="s">
        <v>269</v>
      </c>
      <c r="F4371" s="185">
        <v>208025</v>
      </c>
      <c r="H4371" s="46"/>
      <c r="I4371" s="46"/>
      <c r="J4371" s="61">
        <v>2210302</v>
      </c>
      <c r="K4371" s="74" t="s">
        <v>269</v>
      </c>
      <c r="L4371" s="185">
        <v>208025</v>
      </c>
      <c r="N4371" s="185">
        <f t="shared" si="68"/>
        <v>0</v>
      </c>
    </row>
    <row r="4372" spans="2:14">
      <c r="B4372" s="46"/>
      <c r="C4372" s="46"/>
      <c r="D4372" s="61">
        <v>2210303</v>
      </c>
      <c r="E4372" s="74" t="s">
        <v>27</v>
      </c>
      <c r="F4372" s="185">
        <v>368274</v>
      </c>
      <c r="H4372" s="46"/>
      <c r="I4372" s="46"/>
      <c r="J4372" s="61">
        <v>2210303</v>
      </c>
      <c r="K4372" s="74" t="s">
        <v>27</v>
      </c>
      <c r="L4372" s="185">
        <v>368274</v>
      </c>
      <c r="N4372" s="185">
        <f t="shared" si="68"/>
        <v>0</v>
      </c>
    </row>
    <row r="4373" spans="2:14">
      <c r="B4373" s="46"/>
      <c r="C4373" s="46"/>
      <c r="D4373" s="61">
        <v>2210309</v>
      </c>
      <c r="E4373" s="74" t="s">
        <v>764</v>
      </c>
      <c r="F4373" s="185">
        <v>354000</v>
      </c>
      <c r="H4373" s="46"/>
      <c r="I4373" s="46"/>
      <c r="J4373" s="61">
        <v>2210309</v>
      </c>
      <c r="K4373" s="74" t="s">
        <v>764</v>
      </c>
      <c r="L4373" s="185">
        <v>354000</v>
      </c>
      <c r="N4373" s="185">
        <f t="shared" si="68"/>
        <v>0</v>
      </c>
    </row>
    <row r="4374" spans="2:14">
      <c r="B4374" s="46"/>
      <c r="C4374" s="46"/>
      <c r="D4374" s="1671">
        <v>2210700</v>
      </c>
      <c r="E4374" s="1680" t="s">
        <v>271</v>
      </c>
      <c r="F4374" s="1971">
        <v>319000</v>
      </c>
      <c r="H4374" s="46"/>
      <c r="I4374" s="46"/>
      <c r="J4374" s="1671">
        <v>2210700</v>
      </c>
      <c r="K4374" s="1680" t="s">
        <v>271</v>
      </c>
      <c r="L4374" s="1971">
        <v>319000</v>
      </c>
      <c r="N4374" s="1971">
        <f t="shared" si="68"/>
        <v>0</v>
      </c>
    </row>
    <row r="4375" spans="2:14">
      <c r="B4375" s="46"/>
      <c r="C4375" s="46"/>
      <c r="D4375" s="61">
        <v>2210701</v>
      </c>
      <c r="E4375" s="74" t="s">
        <v>287</v>
      </c>
      <c r="F4375" s="185">
        <v>116000</v>
      </c>
      <c r="H4375" s="46"/>
      <c r="I4375" s="46"/>
      <c r="J4375" s="61">
        <v>2210701</v>
      </c>
      <c r="K4375" s="74" t="s">
        <v>287</v>
      </c>
      <c r="L4375" s="185">
        <v>116000</v>
      </c>
      <c r="N4375" s="185">
        <f t="shared" si="68"/>
        <v>0</v>
      </c>
    </row>
    <row r="4376" spans="2:14">
      <c r="B4376" s="46"/>
      <c r="C4376" s="46"/>
      <c r="D4376" s="61">
        <v>2210710</v>
      </c>
      <c r="E4376" s="74" t="s">
        <v>39</v>
      </c>
      <c r="F4376" s="185">
        <v>203000</v>
      </c>
      <c r="H4376" s="46"/>
      <c r="I4376" s="46"/>
      <c r="J4376" s="61">
        <v>2210710</v>
      </c>
      <c r="K4376" s="74" t="s">
        <v>39</v>
      </c>
      <c r="L4376" s="185">
        <v>203000</v>
      </c>
      <c r="N4376" s="185">
        <f t="shared" si="68"/>
        <v>0</v>
      </c>
    </row>
    <row r="4377" spans="2:14">
      <c r="B4377" s="46"/>
      <c r="C4377" s="46"/>
      <c r="D4377" s="1671">
        <v>2211100</v>
      </c>
      <c r="E4377" s="1680" t="s">
        <v>51</v>
      </c>
      <c r="F4377" s="1971">
        <v>413638</v>
      </c>
      <c r="H4377" s="46"/>
      <c r="I4377" s="46"/>
      <c r="J4377" s="1671">
        <v>2211100</v>
      </c>
      <c r="K4377" s="1680" t="s">
        <v>51</v>
      </c>
      <c r="L4377" s="1971">
        <v>413638</v>
      </c>
      <c r="N4377" s="1971">
        <f t="shared" si="68"/>
        <v>0</v>
      </c>
    </row>
    <row r="4378" spans="2:14">
      <c r="B4378" s="46"/>
      <c r="C4378" s="46"/>
      <c r="D4378" s="61">
        <v>2211101</v>
      </c>
      <c r="E4378" s="74" t="s">
        <v>289</v>
      </c>
      <c r="F4378" s="185">
        <v>149513</v>
      </c>
      <c r="H4378" s="46"/>
      <c r="I4378" s="46"/>
      <c r="J4378" s="61">
        <v>2211101</v>
      </c>
      <c r="K4378" s="74" t="s">
        <v>289</v>
      </c>
      <c r="L4378" s="185">
        <v>149513</v>
      </c>
      <c r="N4378" s="185">
        <f t="shared" si="68"/>
        <v>0</v>
      </c>
    </row>
    <row r="4379" spans="2:14">
      <c r="B4379" s="46"/>
      <c r="C4379" s="46"/>
      <c r="D4379" s="61">
        <v>2211102</v>
      </c>
      <c r="E4379" s="74" t="s">
        <v>53</v>
      </c>
      <c r="F4379" s="185">
        <v>119260</v>
      </c>
      <c r="H4379" s="46"/>
      <c r="I4379" s="46"/>
      <c r="J4379" s="61">
        <v>2211102</v>
      </c>
      <c r="K4379" s="74" t="s">
        <v>53</v>
      </c>
      <c r="L4379" s="185">
        <v>119260</v>
      </c>
      <c r="N4379" s="185">
        <f t="shared" si="68"/>
        <v>0</v>
      </c>
    </row>
    <row r="4380" spans="2:14">
      <c r="B4380" s="46"/>
      <c r="C4380" s="46"/>
      <c r="D4380" s="61">
        <v>2211103</v>
      </c>
      <c r="E4380" s="74" t="s">
        <v>54</v>
      </c>
      <c r="F4380" s="185">
        <v>144865</v>
      </c>
      <c r="H4380" s="46"/>
      <c r="I4380" s="46"/>
      <c r="J4380" s="61">
        <v>2211103</v>
      </c>
      <c r="K4380" s="74" t="s">
        <v>54</v>
      </c>
      <c r="L4380" s="185">
        <v>144865</v>
      </c>
      <c r="N4380" s="185">
        <f t="shared" si="68"/>
        <v>0</v>
      </c>
    </row>
    <row r="4381" spans="2:14">
      <c r="B4381" s="46"/>
      <c r="C4381" s="46"/>
      <c r="D4381" s="1671">
        <v>2211200</v>
      </c>
      <c r="E4381" s="1680" t="s">
        <v>55</v>
      </c>
      <c r="F4381" s="1971">
        <v>3178296</v>
      </c>
      <c r="H4381" s="46"/>
      <c r="I4381" s="46"/>
      <c r="J4381" s="1671">
        <v>2211200</v>
      </c>
      <c r="K4381" s="1680" t="s">
        <v>55</v>
      </c>
      <c r="L4381" s="1971">
        <v>3178296</v>
      </c>
      <c r="N4381" s="1971">
        <f t="shared" si="68"/>
        <v>0</v>
      </c>
    </row>
    <row r="4382" spans="2:14">
      <c r="B4382" s="46"/>
      <c r="C4382" s="46"/>
      <c r="D4382" s="61">
        <v>2211201</v>
      </c>
      <c r="E4382" s="74" t="s">
        <v>56</v>
      </c>
      <c r="F4382" s="185">
        <v>608417</v>
      </c>
      <c r="H4382" s="46"/>
      <c r="I4382" s="46"/>
      <c r="J4382" s="61">
        <v>2211201</v>
      </c>
      <c r="K4382" s="74" t="s">
        <v>56</v>
      </c>
      <c r="L4382" s="185">
        <v>608417</v>
      </c>
      <c r="N4382" s="185">
        <f t="shared" si="68"/>
        <v>0</v>
      </c>
    </row>
    <row r="4383" spans="2:14">
      <c r="B4383" s="46"/>
      <c r="C4383" s="46"/>
      <c r="D4383" s="80">
        <v>2211202</v>
      </c>
      <c r="E4383" s="158" t="s">
        <v>1330</v>
      </c>
      <c r="F4383" s="1973">
        <v>2569879</v>
      </c>
      <c r="H4383" s="46"/>
      <c r="I4383" s="46"/>
      <c r="J4383" s="80">
        <v>2211202</v>
      </c>
      <c r="K4383" s="158" t="s">
        <v>1330</v>
      </c>
      <c r="L4383" s="1973">
        <v>2569879</v>
      </c>
      <c r="N4383" s="1973">
        <f t="shared" si="68"/>
        <v>0</v>
      </c>
    </row>
    <row r="4384" spans="2:14">
      <c r="B4384" s="46"/>
      <c r="C4384" s="46"/>
      <c r="D4384" s="1671">
        <v>2211300</v>
      </c>
      <c r="E4384" s="1680" t="s">
        <v>706</v>
      </c>
      <c r="F4384" s="1971">
        <v>55216</v>
      </c>
      <c r="H4384" s="46"/>
      <c r="I4384" s="46"/>
      <c r="J4384" s="1671">
        <v>2211300</v>
      </c>
      <c r="K4384" s="1680" t="s">
        <v>706</v>
      </c>
      <c r="L4384" s="1971">
        <v>55216</v>
      </c>
      <c r="N4384" s="1971">
        <f t="shared" si="68"/>
        <v>0</v>
      </c>
    </row>
    <row r="4385" spans="2:14">
      <c r="B4385" s="46"/>
      <c r="C4385" s="46"/>
      <c r="D4385" s="61">
        <v>2211305</v>
      </c>
      <c r="E4385" s="74" t="s">
        <v>365</v>
      </c>
      <c r="F4385" s="185">
        <v>55216</v>
      </c>
      <c r="H4385" s="46"/>
      <c r="I4385" s="46"/>
      <c r="J4385" s="61">
        <v>2211305</v>
      </c>
      <c r="K4385" s="74" t="s">
        <v>365</v>
      </c>
      <c r="L4385" s="185">
        <v>55216</v>
      </c>
      <c r="N4385" s="185">
        <f t="shared" si="68"/>
        <v>0</v>
      </c>
    </row>
    <row r="4386" spans="2:14">
      <c r="B4386" s="46"/>
      <c r="C4386" s="46"/>
      <c r="D4386" s="1671">
        <v>2220100</v>
      </c>
      <c r="E4386" s="1680" t="s">
        <v>200</v>
      </c>
      <c r="F4386" s="1971">
        <v>238518</v>
      </c>
      <c r="H4386" s="46"/>
      <c r="I4386" s="46"/>
      <c r="J4386" s="1671">
        <v>2220100</v>
      </c>
      <c r="K4386" s="1680" t="s">
        <v>200</v>
      </c>
      <c r="L4386" s="1971">
        <v>238518</v>
      </c>
      <c r="N4386" s="1971">
        <f t="shared" si="68"/>
        <v>0</v>
      </c>
    </row>
    <row r="4387" spans="2:14">
      <c r="B4387" s="46"/>
      <c r="C4387" s="46"/>
      <c r="D4387" s="61">
        <v>2220101</v>
      </c>
      <c r="E4387" s="74" t="s">
        <v>200</v>
      </c>
      <c r="F4387" s="185">
        <v>238518</v>
      </c>
      <c r="H4387" s="46"/>
      <c r="I4387" s="46"/>
      <c r="J4387" s="61">
        <v>2220101</v>
      </c>
      <c r="K4387" s="74" t="s">
        <v>200</v>
      </c>
      <c r="L4387" s="185">
        <v>238518</v>
      </c>
      <c r="N4387" s="185">
        <f t="shared" si="68"/>
        <v>0</v>
      </c>
    </row>
    <row r="4388" spans="2:14">
      <c r="B4388" s="46"/>
      <c r="C4388" s="46"/>
      <c r="D4388" s="1671">
        <v>2220200</v>
      </c>
      <c r="E4388" s="1680" t="s">
        <v>291</v>
      </c>
      <c r="F4388" s="1971">
        <v>15202976</v>
      </c>
      <c r="H4388" s="46"/>
      <c r="I4388" s="46"/>
      <c r="J4388" s="1671">
        <v>2220200</v>
      </c>
      <c r="K4388" s="1680" t="s">
        <v>291</v>
      </c>
      <c r="L4388" s="1971">
        <v>15202976</v>
      </c>
      <c r="N4388" s="1971">
        <f t="shared" si="68"/>
        <v>0</v>
      </c>
    </row>
    <row r="4389" spans="2:14">
      <c r="B4389" s="46"/>
      <c r="C4389" s="46"/>
      <c r="D4389" s="61">
        <v>2220201</v>
      </c>
      <c r="E4389" s="74" t="s">
        <v>1331</v>
      </c>
      <c r="F4389" s="185">
        <v>15064867</v>
      </c>
      <c r="H4389" s="46"/>
      <c r="I4389" s="46"/>
      <c r="J4389" s="61">
        <v>2220201</v>
      </c>
      <c r="K4389" s="74" t="s">
        <v>1331</v>
      </c>
      <c r="L4389" s="185">
        <v>15064867</v>
      </c>
      <c r="N4389" s="185">
        <f t="shared" si="68"/>
        <v>0</v>
      </c>
    </row>
    <row r="4390" spans="2:14">
      <c r="B4390" s="46"/>
      <c r="C4390" s="46"/>
      <c r="D4390" s="61">
        <v>2220210</v>
      </c>
      <c r="E4390" s="74" t="s">
        <v>163</v>
      </c>
      <c r="F4390" s="185">
        <v>138109</v>
      </c>
      <c r="H4390" s="46"/>
      <c r="I4390" s="46"/>
      <c r="J4390" s="61">
        <v>2220210</v>
      </c>
      <c r="K4390" s="74" t="s">
        <v>163</v>
      </c>
      <c r="L4390" s="185">
        <v>138109</v>
      </c>
      <c r="N4390" s="185">
        <f t="shared" si="68"/>
        <v>0</v>
      </c>
    </row>
    <row r="4391" spans="2:14">
      <c r="B4391" s="46"/>
      <c r="C4391" s="46"/>
      <c r="D4391" s="1671"/>
      <c r="E4391" s="1980" t="s">
        <v>128</v>
      </c>
      <c r="F4391" s="1971">
        <v>20456188</v>
      </c>
      <c r="H4391" s="46"/>
      <c r="I4391" s="46"/>
      <c r="J4391" s="1671"/>
      <c r="K4391" s="1980" t="s">
        <v>128</v>
      </c>
      <c r="L4391" s="1971">
        <v>20456188</v>
      </c>
      <c r="N4391" s="1971">
        <f t="shared" si="68"/>
        <v>0</v>
      </c>
    </row>
    <row r="4392" spans="2:14">
      <c r="B4392" s="46"/>
      <c r="C4392" s="46"/>
      <c r="D4392" s="1671"/>
      <c r="E4392" s="1981"/>
      <c r="F4392" s="1971"/>
      <c r="H4392" s="46"/>
      <c r="I4392" s="46"/>
      <c r="J4392" s="1671"/>
      <c r="K4392" s="1981"/>
      <c r="L4392" s="1971"/>
      <c r="N4392" s="1971">
        <f t="shared" si="68"/>
        <v>0</v>
      </c>
    </row>
    <row r="4393" spans="2:14">
      <c r="B4393" s="46"/>
      <c r="C4393" s="46"/>
      <c r="D4393" s="1671"/>
      <c r="E4393" s="1680" t="s">
        <v>92</v>
      </c>
      <c r="F4393" s="1971"/>
      <c r="H4393" s="46"/>
      <c r="I4393" s="46"/>
      <c r="J4393" s="1671"/>
      <c r="K4393" s="1680" t="s">
        <v>92</v>
      </c>
      <c r="L4393" s="1971"/>
      <c r="N4393" s="1971">
        <f t="shared" si="68"/>
        <v>0</v>
      </c>
    </row>
    <row r="4394" spans="2:14">
      <c r="B4394" s="46"/>
      <c r="C4394" s="46"/>
      <c r="D4394" s="1671"/>
      <c r="E4394" s="1970" t="s">
        <v>765</v>
      </c>
      <c r="F4394" s="1971"/>
      <c r="H4394" s="46"/>
      <c r="I4394" s="46"/>
      <c r="J4394" s="1671"/>
      <c r="K4394" s="1970" t="s">
        <v>765</v>
      </c>
      <c r="L4394" s="1971"/>
      <c r="N4394" s="1971">
        <f t="shared" si="68"/>
        <v>0</v>
      </c>
    </row>
    <row r="4395" spans="2:14">
      <c r="B4395" s="46"/>
      <c r="C4395" s="46"/>
      <c r="D4395" s="1671">
        <v>3110500</v>
      </c>
      <c r="E4395" s="1680" t="s">
        <v>260</v>
      </c>
      <c r="F4395" s="1971">
        <v>4619106</v>
      </c>
      <c r="H4395" s="46"/>
      <c r="I4395" s="46"/>
      <c r="J4395" s="1671">
        <v>3110500</v>
      </c>
      <c r="K4395" s="1680" t="s">
        <v>260</v>
      </c>
      <c r="L4395" s="1971">
        <v>4619106</v>
      </c>
      <c r="N4395" s="1971">
        <f t="shared" si="68"/>
        <v>0</v>
      </c>
    </row>
    <row r="4396" spans="2:14">
      <c r="B4396" s="46"/>
      <c r="C4396" s="46"/>
      <c r="D4396" s="61">
        <v>3110599</v>
      </c>
      <c r="E4396" s="1616" t="s">
        <v>766</v>
      </c>
      <c r="F4396" s="1982">
        <v>4619106</v>
      </c>
      <c r="H4396" s="46"/>
      <c r="I4396" s="46"/>
      <c r="J4396" s="61">
        <v>3110599</v>
      </c>
      <c r="K4396" s="1616" t="s">
        <v>766</v>
      </c>
      <c r="L4396" s="1982">
        <v>4619106</v>
      </c>
      <c r="N4396" s="1982">
        <f t="shared" si="68"/>
        <v>0</v>
      </c>
    </row>
    <row r="4397" spans="2:14">
      <c r="B4397" s="46"/>
      <c r="C4397" s="46"/>
      <c r="D4397" s="1671">
        <v>3111100</v>
      </c>
      <c r="E4397" s="1680" t="s">
        <v>73</v>
      </c>
      <c r="F4397" s="1983">
        <v>90000</v>
      </c>
      <c r="H4397" s="46"/>
      <c r="I4397" s="46"/>
      <c r="J4397" s="1671">
        <v>3111100</v>
      </c>
      <c r="K4397" s="1680" t="s">
        <v>73</v>
      </c>
      <c r="L4397" s="1983">
        <v>90000</v>
      </c>
      <c r="N4397" s="1983">
        <f t="shared" si="68"/>
        <v>0</v>
      </c>
    </row>
    <row r="4398" spans="2:14">
      <c r="B4398" s="46"/>
      <c r="C4398" s="46"/>
      <c r="D4398" s="61">
        <v>3111103</v>
      </c>
      <c r="E4398" s="158" t="s">
        <v>1332</v>
      </c>
      <c r="F4398" s="1982">
        <v>90000</v>
      </c>
      <c r="H4398" s="46"/>
      <c r="I4398" s="46"/>
      <c r="J4398" s="61">
        <v>3111103</v>
      </c>
      <c r="K4398" s="158" t="s">
        <v>1332</v>
      </c>
      <c r="L4398" s="1982">
        <v>90000</v>
      </c>
      <c r="N4398" s="1982">
        <f t="shared" si="68"/>
        <v>0</v>
      </c>
    </row>
    <row r="4399" spans="2:14">
      <c r="B4399" s="46"/>
      <c r="C4399" s="46"/>
      <c r="D4399" s="1543">
        <v>4550200</v>
      </c>
      <c r="E4399" s="1680" t="s">
        <v>760</v>
      </c>
      <c r="F4399" s="1983">
        <v>163015152</v>
      </c>
      <c r="H4399" s="46"/>
      <c r="I4399" s="46"/>
      <c r="J4399" s="1543">
        <v>4550200</v>
      </c>
      <c r="K4399" s="1680" t="s">
        <v>760</v>
      </c>
      <c r="L4399" s="1983">
        <v>163015152</v>
      </c>
      <c r="N4399" s="1983">
        <f t="shared" si="68"/>
        <v>0</v>
      </c>
    </row>
    <row r="4400" spans="2:14">
      <c r="B4400" s="46"/>
      <c r="C4400" s="46"/>
      <c r="D4400" s="39">
        <v>4550201</v>
      </c>
      <c r="E4400" s="74" t="s">
        <v>767</v>
      </c>
      <c r="F4400" s="1982">
        <v>151515152</v>
      </c>
      <c r="H4400" s="46"/>
      <c r="I4400" s="46"/>
      <c r="J4400" s="39">
        <v>4550201</v>
      </c>
      <c r="K4400" s="74" t="s">
        <v>767</v>
      </c>
      <c r="L4400" s="1982">
        <v>151515152</v>
      </c>
      <c r="N4400" s="1982">
        <f t="shared" si="68"/>
        <v>0</v>
      </c>
    </row>
    <row r="4401" spans="2:14">
      <c r="B4401" s="46"/>
      <c r="C4401" s="46"/>
      <c r="D4401" s="39"/>
      <c r="E4401" s="74" t="s">
        <v>1333</v>
      </c>
      <c r="F4401" s="1982">
        <v>11500000</v>
      </c>
      <c r="H4401" s="46"/>
      <c r="I4401" s="46"/>
      <c r="J4401" s="39"/>
      <c r="K4401" s="74" t="s">
        <v>1333</v>
      </c>
      <c r="L4401" s="1982">
        <v>11500000</v>
      </c>
      <c r="N4401" s="1982">
        <f t="shared" si="68"/>
        <v>0</v>
      </c>
    </row>
    <row r="4402" spans="2:14">
      <c r="B4402" s="46"/>
      <c r="C4402" s="46"/>
      <c r="D4402" s="1671"/>
      <c r="E4402" s="1984" t="s">
        <v>167</v>
      </c>
      <c r="F4402" s="1983">
        <v>167724258</v>
      </c>
      <c r="H4402" s="46"/>
      <c r="I4402" s="46"/>
      <c r="J4402" s="1671"/>
      <c r="K4402" s="1984" t="s">
        <v>167</v>
      </c>
      <c r="L4402" s="1983">
        <v>167724258</v>
      </c>
      <c r="N4402" s="1983">
        <f t="shared" si="68"/>
        <v>0</v>
      </c>
    </row>
    <row r="4403" spans="2:14">
      <c r="B4403" s="46"/>
      <c r="C4403" s="46"/>
      <c r="D4403" s="1671"/>
      <c r="E4403" s="1985" t="s">
        <v>84</v>
      </c>
      <c r="F4403" s="1971">
        <v>188180446</v>
      </c>
      <c r="H4403" s="46"/>
      <c r="I4403" s="46"/>
      <c r="J4403" s="1671"/>
      <c r="K4403" s="1985" t="s">
        <v>84</v>
      </c>
      <c r="L4403" s="1971">
        <v>188180446</v>
      </c>
      <c r="N4403" s="1971">
        <f t="shared" si="68"/>
        <v>0</v>
      </c>
    </row>
    <row r="4404" spans="2:14">
      <c r="B4404" s="46"/>
      <c r="C4404" s="46"/>
      <c r="D4404" s="61"/>
      <c r="E4404" s="74"/>
      <c r="F4404" s="185"/>
      <c r="H4404" s="46"/>
      <c r="I4404" s="46"/>
      <c r="J4404" s="61"/>
      <c r="K4404" s="74"/>
      <c r="L4404" s="185"/>
      <c r="N4404" s="185">
        <f t="shared" si="68"/>
        <v>0</v>
      </c>
    </row>
    <row r="4405" spans="2:14">
      <c r="B4405" s="46"/>
      <c r="C4405" s="46"/>
      <c r="D4405" s="1978" t="s">
        <v>768</v>
      </c>
      <c r="E4405" s="74"/>
      <c r="F4405" s="185"/>
      <c r="H4405" s="46"/>
      <c r="I4405" s="46"/>
      <c r="J4405" s="1978" t="s">
        <v>768</v>
      </c>
      <c r="K4405" s="74"/>
      <c r="L4405" s="185"/>
      <c r="N4405" s="185">
        <f t="shared" si="68"/>
        <v>0</v>
      </c>
    </row>
    <row r="4406" spans="2:14">
      <c r="B4406" s="46"/>
      <c r="C4406" s="46"/>
      <c r="D4406" s="1671">
        <v>2110200</v>
      </c>
      <c r="E4406" s="1680" t="s">
        <v>148</v>
      </c>
      <c r="F4406" s="1971">
        <v>6860000</v>
      </c>
      <c r="H4406" s="46"/>
      <c r="I4406" s="46"/>
      <c r="J4406" s="1671">
        <v>2110200</v>
      </c>
      <c r="K4406" s="1680" t="s">
        <v>148</v>
      </c>
      <c r="L4406" s="1971">
        <v>6860000</v>
      </c>
      <c r="N4406" s="1971">
        <f t="shared" si="68"/>
        <v>0</v>
      </c>
    </row>
    <row r="4407" spans="2:14">
      <c r="B4407" s="46"/>
      <c r="C4407" s="46"/>
      <c r="D4407" s="61">
        <v>2110202</v>
      </c>
      <c r="E4407" s="74" t="s">
        <v>1334</v>
      </c>
      <c r="F4407" s="185">
        <v>6860000</v>
      </c>
      <c r="H4407" s="46"/>
      <c r="I4407" s="46"/>
      <c r="J4407" s="61">
        <v>2110202</v>
      </c>
      <c r="K4407" s="74" t="s">
        <v>1334</v>
      </c>
      <c r="L4407" s="185">
        <v>6860000</v>
      </c>
      <c r="N4407" s="185">
        <f t="shared" si="68"/>
        <v>0</v>
      </c>
    </row>
    <row r="4408" spans="2:14">
      <c r="B4408" s="46"/>
      <c r="C4408" s="46"/>
      <c r="D4408" s="1671">
        <v>2210100</v>
      </c>
      <c r="E4408" s="1680" t="s">
        <v>285</v>
      </c>
      <c r="F4408" s="1971">
        <v>277363</v>
      </c>
      <c r="H4408" s="46"/>
      <c r="I4408" s="46"/>
      <c r="J4408" s="1671">
        <v>2210100</v>
      </c>
      <c r="K4408" s="1680" t="s">
        <v>285</v>
      </c>
      <c r="L4408" s="1971">
        <v>277363</v>
      </c>
      <c r="N4408" s="1971">
        <f t="shared" si="68"/>
        <v>0</v>
      </c>
    </row>
    <row r="4409" spans="2:14">
      <c r="B4409" s="46"/>
      <c r="C4409" s="46"/>
      <c r="D4409" s="61">
        <v>2210101</v>
      </c>
      <c r="E4409" s="74" t="s">
        <v>17</v>
      </c>
      <c r="F4409" s="185">
        <v>184200</v>
      </c>
      <c r="H4409" s="46"/>
      <c r="I4409" s="46"/>
      <c r="J4409" s="61">
        <v>2210101</v>
      </c>
      <c r="K4409" s="74" t="s">
        <v>17</v>
      </c>
      <c r="L4409" s="185">
        <v>184200</v>
      </c>
      <c r="N4409" s="185">
        <f t="shared" si="68"/>
        <v>0</v>
      </c>
    </row>
    <row r="4410" spans="2:14">
      <c r="B4410" s="46"/>
      <c r="C4410" s="46"/>
      <c r="D4410" s="61">
        <v>2210102</v>
      </c>
      <c r="E4410" s="74" t="s">
        <v>18</v>
      </c>
      <c r="F4410" s="185">
        <v>93163</v>
      </c>
      <c r="H4410" s="46"/>
      <c r="I4410" s="46"/>
      <c r="J4410" s="61">
        <v>2210102</v>
      </c>
      <c r="K4410" s="74" t="s">
        <v>18</v>
      </c>
      <c r="L4410" s="185">
        <v>93163</v>
      </c>
      <c r="N4410" s="185">
        <f t="shared" si="68"/>
        <v>0</v>
      </c>
    </row>
    <row r="4411" spans="2:14">
      <c r="B4411" s="46"/>
      <c r="C4411" s="46"/>
      <c r="D4411" s="1671">
        <v>2210200</v>
      </c>
      <c r="E4411" s="1680" t="s">
        <v>286</v>
      </c>
      <c r="F4411" s="1971">
        <v>437317</v>
      </c>
      <c r="H4411" s="46"/>
      <c r="I4411" s="46"/>
      <c r="J4411" s="1671">
        <v>2210200</v>
      </c>
      <c r="K4411" s="1680" t="s">
        <v>286</v>
      </c>
      <c r="L4411" s="1971">
        <v>437317</v>
      </c>
      <c r="N4411" s="1971">
        <f t="shared" si="68"/>
        <v>0</v>
      </c>
    </row>
    <row r="4412" spans="2:14">
      <c r="B4412" s="46"/>
      <c r="C4412" s="46"/>
      <c r="D4412" s="61">
        <v>2210201</v>
      </c>
      <c r="E4412" s="74" t="s">
        <v>21</v>
      </c>
      <c r="F4412" s="185">
        <v>238000</v>
      </c>
      <c r="H4412" s="46"/>
      <c r="I4412" s="46"/>
      <c r="J4412" s="61">
        <v>2210201</v>
      </c>
      <c r="K4412" s="74" t="s">
        <v>21</v>
      </c>
      <c r="L4412" s="185">
        <v>238000</v>
      </c>
      <c r="N4412" s="185">
        <f t="shared" si="68"/>
        <v>0</v>
      </c>
    </row>
    <row r="4413" spans="2:14">
      <c r="B4413" s="46"/>
      <c r="C4413" s="46"/>
      <c r="D4413" s="61">
        <v>2210202</v>
      </c>
      <c r="E4413" s="1616" t="s">
        <v>22</v>
      </c>
      <c r="F4413" s="185">
        <v>174000</v>
      </c>
      <c r="H4413" s="46"/>
      <c r="I4413" s="46"/>
      <c r="J4413" s="61">
        <v>2210202</v>
      </c>
      <c r="K4413" s="1616" t="s">
        <v>22</v>
      </c>
      <c r="L4413" s="185">
        <v>174000</v>
      </c>
      <c r="N4413" s="185">
        <f t="shared" si="68"/>
        <v>0</v>
      </c>
    </row>
    <row r="4414" spans="2:14">
      <c r="B4414" s="46"/>
      <c r="C4414" s="46"/>
      <c r="D4414" s="61">
        <v>2210207</v>
      </c>
      <c r="E4414" s="74" t="s">
        <v>769</v>
      </c>
      <c r="F4414" s="185">
        <v>25317</v>
      </c>
      <c r="H4414" s="46"/>
      <c r="I4414" s="46"/>
      <c r="J4414" s="61">
        <v>2210207</v>
      </c>
      <c r="K4414" s="74" t="s">
        <v>769</v>
      </c>
      <c r="L4414" s="185">
        <v>25317</v>
      </c>
      <c r="N4414" s="185">
        <f t="shared" si="68"/>
        <v>0</v>
      </c>
    </row>
    <row r="4415" spans="2:14">
      <c r="B4415" s="46"/>
      <c r="C4415" s="46"/>
      <c r="D4415" s="1671">
        <v>2210300</v>
      </c>
      <c r="E4415" s="1680" t="s">
        <v>267</v>
      </c>
      <c r="F4415" s="1971">
        <v>1518615</v>
      </c>
      <c r="H4415" s="46"/>
      <c r="I4415" s="46"/>
      <c r="J4415" s="1671">
        <v>2210300</v>
      </c>
      <c r="K4415" s="1680" t="s">
        <v>267</v>
      </c>
      <c r="L4415" s="1971">
        <v>1518615</v>
      </c>
      <c r="N4415" s="1971">
        <f t="shared" si="68"/>
        <v>0</v>
      </c>
    </row>
    <row r="4416" spans="2:14">
      <c r="B4416" s="46"/>
      <c r="C4416" s="46"/>
      <c r="D4416" s="61">
        <v>2210301</v>
      </c>
      <c r="E4416" s="74" t="s">
        <v>25</v>
      </c>
      <c r="F4416" s="185">
        <v>346885</v>
      </c>
      <c r="H4416" s="46"/>
      <c r="I4416" s="46"/>
      <c r="J4416" s="61">
        <v>2210301</v>
      </c>
      <c r="K4416" s="74" t="s">
        <v>25</v>
      </c>
      <c r="L4416" s="185">
        <v>346885</v>
      </c>
      <c r="N4416" s="185">
        <f t="shared" si="68"/>
        <v>0</v>
      </c>
    </row>
    <row r="4417" spans="2:14">
      <c r="B4417" s="46"/>
      <c r="C4417" s="46"/>
      <c r="D4417" s="61">
        <v>2210302</v>
      </c>
      <c r="E4417" s="74" t="s">
        <v>485</v>
      </c>
      <c r="F4417" s="185">
        <v>449560</v>
      </c>
      <c r="H4417" s="46"/>
      <c r="I4417" s="46"/>
      <c r="J4417" s="61">
        <v>2210302</v>
      </c>
      <c r="K4417" s="74" t="s">
        <v>485</v>
      </c>
      <c r="L4417" s="185">
        <v>449560</v>
      </c>
      <c r="N4417" s="185">
        <f t="shared" si="68"/>
        <v>0</v>
      </c>
    </row>
    <row r="4418" spans="2:14">
      <c r="B4418" s="46"/>
      <c r="C4418" s="46"/>
      <c r="D4418" s="61">
        <v>2210303</v>
      </c>
      <c r="E4418" s="74" t="s">
        <v>27</v>
      </c>
      <c r="F4418" s="185">
        <v>722170</v>
      </c>
      <c r="H4418" s="46"/>
      <c r="I4418" s="46"/>
      <c r="J4418" s="61">
        <v>2210303</v>
      </c>
      <c r="K4418" s="74" t="s">
        <v>27</v>
      </c>
      <c r="L4418" s="185">
        <v>722170</v>
      </c>
      <c r="N4418" s="185">
        <f t="shared" si="68"/>
        <v>0</v>
      </c>
    </row>
    <row r="4419" spans="2:14">
      <c r="B4419" s="46"/>
      <c r="C4419" s="46"/>
      <c r="D4419" s="1671">
        <v>2210500</v>
      </c>
      <c r="E4419" s="1680" t="s">
        <v>31</v>
      </c>
      <c r="F4419" s="1971">
        <v>381200</v>
      </c>
      <c r="H4419" s="46"/>
      <c r="I4419" s="46"/>
      <c r="J4419" s="1671">
        <v>2210500</v>
      </c>
      <c r="K4419" s="1680" t="s">
        <v>31</v>
      </c>
      <c r="L4419" s="1971">
        <v>381200</v>
      </c>
      <c r="N4419" s="1971">
        <f t="shared" si="68"/>
        <v>0</v>
      </c>
    </row>
    <row r="4420" spans="2:14">
      <c r="B4420" s="46"/>
      <c r="C4420" s="46"/>
      <c r="D4420" s="61">
        <v>2210599</v>
      </c>
      <c r="E4420" s="74" t="s">
        <v>1774</v>
      </c>
      <c r="F4420" s="185">
        <v>381200</v>
      </c>
      <c r="H4420" s="46"/>
      <c r="I4420" s="46"/>
      <c r="J4420" s="61">
        <v>2210599</v>
      </c>
      <c r="K4420" s="74" t="s">
        <v>1774</v>
      </c>
      <c r="L4420" s="185">
        <v>381200</v>
      </c>
      <c r="N4420" s="185">
        <f t="shared" si="68"/>
        <v>0</v>
      </c>
    </row>
    <row r="4421" spans="2:14">
      <c r="B4421" s="46"/>
      <c r="C4421" s="46"/>
      <c r="D4421" s="1671">
        <v>2210600</v>
      </c>
      <c r="E4421" s="1680" t="s">
        <v>770</v>
      </c>
      <c r="F4421" s="1971">
        <v>65054</v>
      </c>
      <c r="H4421" s="46"/>
      <c r="I4421" s="46"/>
      <c r="J4421" s="1671">
        <v>2210600</v>
      </c>
      <c r="K4421" s="1680" t="s">
        <v>770</v>
      </c>
      <c r="L4421" s="1971">
        <v>65054</v>
      </c>
      <c r="N4421" s="1971">
        <f t="shared" si="68"/>
        <v>0</v>
      </c>
    </row>
    <row r="4422" spans="2:14">
      <c r="B4422" s="46"/>
      <c r="C4422" s="46"/>
      <c r="D4422" s="61">
        <v>2210604</v>
      </c>
      <c r="E4422" s="74" t="s">
        <v>193</v>
      </c>
      <c r="F4422" s="185">
        <v>65054</v>
      </c>
      <c r="H4422" s="46"/>
      <c r="I4422" s="46"/>
      <c r="J4422" s="61">
        <v>2210604</v>
      </c>
      <c r="K4422" s="74" t="s">
        <v>193</v>
      </c>
      <c r="L4422" s="185">
        <v>65054</v>
      </c>
      <c r="N4422" s="185">
        <f t="shared" si="68"/>
        <v>0</v>
      </c>
    </row>
    <row r="4423" spans="2:14">
      <c r="B4423" s="46"/>
      <c r="C4423" s="46"/>
      <c r="D4423" s="1671">
        <v>2210700</v>
      </c>
      <c r="E4423" s="1680" t="s">
        <v>271</v>
      </c>
      <c r="F4423" s="1971">
        <v>1536099</v>
      </c>
      <c r="H4423" s="46"/>
      <c r="I4423" s="46"/>
      <c r="J4423" s="1671">
        <v>2210700</v>
      </c>
      <c r="K4423" s="1680" t="s">
        <v>271</v>
      </c>
      <c r="L4423" s="1971">
        <v>1536099</v>
      </c>
      <c r="N4423" s="1971">
        <f t="shared" si="68"/>
        <v>0</v>
      </c>
    </row>
    <row r="4424" spans="2:14">
      <c r="B4424" s="46"/>
      <c r="C4424" s="46"/>
      <c r="D4424" s="61">
        <v>2210701</v>
      </c>
      <c r="E4424" s="74" t="s">
        <v>771</v>
      </c>
      <c r="F4424" s="185">
        <v>886766</v>
      </c>
      <c r="H4424" s="46"/>
      <c r="I4424" s="46"/>
      <c r="J4424" s="61">
        <v>2210701</v>
      </c>
      <c r="K4424" s="74" t="s">
        <v>771</v>
      </c>
      <c r="L4424" s="185">
        <v>886766</v>
      </c>
      <c r="N4424" s="185">
        <f t="shared" ref="N4424:N4487" si="69">F4424-L4424</f>
        <v>0</v>
      </c>
    </row>
    <row r="4425" spans="2:14">
      <c r="B4425" s="46"/>
      <c r="C4425" s="46"/>
      <c r="D4425" s="61">
        <v>2210704</v>
      </c>
      <c r="E4425" s="74" t="s">
        <v>38</v>
      </c>
      <c r="F4425" s="185">
        <v>258593</v>
      </c>
      <c r="H4425" s="46"/>
      <c r="I4425" s="46"/>
      <c r="J4425" s="61">
        <v>2210704</v>
      </c>
      <c r="K4425" s="74" t="s">
        <v>38</v>
      </c>
      <c r="L4425" s="185">
        <v>258593</v>
      </c>
      <c r="N4425" s="185">
        <f t="shared" si="69"/>
        <v>0</v>
      </c>
    </row>
    <row r="4426" spans="2:14">
      <c r="B4426" s="46"/>
      <c r="C4426" s="46"/>
      <c r="D4426" s="61">
        <v>2210710</v>
      </c>
      <c r="E4426" s="74" t="s">
        <v>308</v>
      </c>
      <c r="F4426" s="185">
        <v>390740</v>
      </c>
      <c r="H4426" s="46"/>
      <c r="I4426" s="46"/>
      <c r="J4426" s="61">
        <v>2210710</v>
      </c>
      <c r="K4426" s="74" t="s">
        <v>308</v>
      </c>
      <c r="L4426" s="185">
        <v>390740</v>
      </c>
      <c r="N4426" s="185">
        <f t="shared" si="69"/>
        <v>0</v>
      </c>
    </row>
    <row r="4427" spans="2:14">
      <c r="B4427" s="46"/>
      <c r="C4427" s="46"/>
      <c r="D4427" s="1671">
        <v>2210800</v>
      </c>
      <c r="E4427" s="1680" t="s">
        <v>42</v>
      </c>
      <c r="F4427" s="1971">
        <v>376288</v>
      </c>
      <c r="H4427" s="46"/>
      <c r="I4427" s="46"/>
      <c r="J4427" s="1671">
        <v>2210800</v>
      </c>
      <c r="K4427" s="1680" t="s">
        <v>42</v>
      </c>
      <c r="L4427" s="1971">
        <v>376288</v>
      </c>
      <c r="N4427" s="1971">
        <f t="shared" si="69"/>
        <v>0</v>
      </c>
    </row>
    <row r="4428" spans="2:14">
      <c r="B4428" s="46"/>
      <c r="C4428" s="46"/>
      <c r="D4428" s="61">
        <v>2210801</v>
      </c>
      <c r="E4428" s="74" t="s">
        <v>772</v>
      </c>
      <c r="F4428" s="185">
        <v>376288</v>
      </c>
      <c r="H4428" s="46"/>
      <c r="I4428" s="46"/>
      <c r="J4428" s="61">
        <v>2210801</v>
      </c>
      <c r="K4428" s="74" t="s">
        <v>772</v>
      </c>
      <c r="L4428" s="185">
        <v>376288</v>
      </c>
      <c r="N4428" s="185">
        <f t="shared" si="69"/>
        <v>0</v>
      </c>
    </row>
    <row r="4429" spans="2:14">
      <c r="B4429" s="46"/>
      <c r="C4429" s="46"/>
      <c r="D4429" s="1671">
        <v>2211000</v>
      </c>
      <c r="E4429" s="1680" t="s">
        <v>118</v>
      </c>
      <c r="F4429" s="1971">
        <v>581257</v>
      </c>
      <c r="H4429" s="46"/>
      <c r="I4429" s="46"/>
      <c r="J4429" s="1671">
        <v>2211000</v>
      </c>
      <c r="K4429" s="1680" t="s">
        <v>118</v>
      </c>
      <c r="L4429" s="1971">
        <v>581257</v>
      </c>
      <c r="N4429" s="1971">
        <f t="shared" si="69"/>
        <v>0</v>
      </c>
    </row>
    <row r="4430" spans="2:14">
      <c r="B4430" s="46"/>
      <c r="C4430" s="46"/>
      <c r="D4430" s="61">
        <v>2211005</v>
      </c>
      <c r="E4430" s="74" t="s">
        <v>773</v>
      </c>
      <c r="F4430" s="185">
        <v>27840</v>
      </c>
      <c r="H4430" s="46"/>
      <c r="I4430" s="46"/>
      <c r="J4430" s="61">
        <v>2211005</v>
      </c>
      <c r="K4430" s="74" t="s">
        <v>773</v>
      </c>
      <c r="L4430" s="185">
        <v>27840</v>
      </c>
      <c r="N4430" s="185">
        <f t="shared" si="69"/>
        <v>0</v>
      </c>
    </row>
    <row r="4431" spans="2:14">
      <c r="B4431" s="46"/>
      <c r="C4431" s="46"/>
      <c r="D4431" s="61">
        <v>2211007</v>
      </c>
      <c r="E4431" s="74" t="s">
        <v>309</v>
      </c>
      <c r="F4431" s="185">
        <v>387079</v>
      </c>
      <c r="H4431" s="46"/>
      <c r="I4431" s="46"/>
      <c r="J4431" s="61">
        <v>2211007</v>
      </c>
      <c r="K4431" s="74" t="s">
        <v>309</v>
      </c>
      <c r="L4431" s="185">
        <v>387079</v>
      </c>
      <c r="N4431" s="185">
        <f t="shared" si="69"/>
        <v>0</v>
      </c>
    </row>
    <row r="4432" spans="2:14">
      <c r="B4432" s="46"/>
      <c r="C4432" s="46"/>
      <c r="D4432" s="61">
        <v>2211023</v>
      </c>
      <c r="E4432" s="74" t="s">
        <v>774</v>
      </c>
      <c r="F4432" s="185">
        <v>166338</v>
      </c>
      <c r="H4432" s="46"/>
      <c r="I4432" s="46"/>
      <c r="J4432" s="61">
        <v>2211023</v>
      </c>
      <c r="K4432" s="74" t="s">
        <v>774</v>
      </c>
      <c r="L4432" s="185">
        <v>166338</v>
      </c>
      <c r="N4432" s="185">
        <f t="shared" si="69"/>
        <v>0</v>
      </c>
    </row>
    <row r="4433" spans="2:14">
      <c r="B4433" s="46"/>
      <c r="C4433" s="46"/>
      <c r="D4433" s="1671">
        <v>2211100</v>
      </c>
      <c r="E4433" s="1680" t="s">
        <v>276</v>
      </c>
      <c r="F4433" s="1971">
        <v>931649</v>
      </c>
      <c r="H4433" s="46"/>
      <c r="I4433" s="46"/>
      <c r="J4433" s="1671">
        <v>2211100</v>
      </c>
      <c r="K4433" s="1680" t="s">
        <v>276</v>
      </c>
      <c r="L4433" s="1971">
        <v>931649</v>
      </c>
      <c r="N4433" s="1971">
        <f t="shared" si="69"/>
        <v>0</v>
      </c>
    </row>
    <row r="4434" spans="2:14">
      <c r="B4434" s="46"/>
      <c r="C4434" s="46"/>
      <c r="D4434" s="61">
        <v>2211101</v>
      </c>
      <c r="E4434" s="74" t="s">
        <v>289</v>
      </c>
      <c r="F4434" s="185">
        <v>358372</v>
      </c>
      <c r="H4434" s="46"/>
      <c r="I4434" s="46"/>
      <c r="J4434" s="61">
        <v>2211101</v>
      </c>
      <c r="K4434" s="74" t="s">
        <v>289</v>
      </c>
      <c r="L4434" s="185">
        <v>358372</v>
      </c>
      <c r="N4434" s="185">
        <f t="shared" si="69"/>
        <v>0</v>
      </c>
    </row>
    <row r="4435" spans="2:14">
      <c r="B4435" s="46"/>
      <c r="C4435" s="46"/>
      <c r="D4435" s="61">
        <v>2211102</v>
      </c>
      <c r="E4435" s="74" t="s">
        <v>53</v>
      </c>
      <c r="F4435" s="185">
        <v>481400</v>
      </c>
      <c r="H4435" s="46"/>
      <c r="I4435" s="46"/>
      <c r="J4435" s="61">
        <v>2211102</v>
      </c>
      <c r="K4435" s="74" t="s">
        <v>53</v>
      </c>
      <c r="L4435" s="185">
        <v>481400</v>
      </c>
      <c r="N4435" s="185">
        <f t="shared" si="69"/>
        <v>0</v>
      </c>
    </row>
    <row r="4436" spans="2:14">
      <c r="B4436" s="46"/>
      <c r="C4436" s="46"/>
      <c r="D4436" s="61">
        <v>2211103</v>
      </c>
      <c r="E4436" s="74" t="s">
        <v>54</v>
      </c>
      <c r="F4436" s="185">
        <v>91877</v>
      </c>
      <c r="H4436" s="46"/>
      <c r="I4436" s="46"/>
      <c r="J4436" s="61">
        <v>2211103</v>
      </c>
      <c r="K4436" s="74" t="s">
        <v>54</v>
      </c>
      <c r="L4436" s="185">
        <v>91877</v>
      </c>
      <c r="N4436" s="185">
        <f t="shared" si="69"/>
        <v>0</v>
      </c>
    </row>
    <row r="4437" spans="2:14">
      <c r="B4437" s="46"/>
      <c r="C4437" s="46"/>
      <c r="D4437" s="1671">
        <v>2211200</v>
      </c>
      <c r="E4437" s="1680" t="s">
        <v>55</v>
      </c>
      <c r="F4437" s="1971">
        <v>1414000</v>
      </c>
      <c r="H4437" s="46"/>
      <c r="I4437" s="46"/>
      <c r="J4437" s="1671">
        <v>2211200</v>
      </c>
      <c r="K4437" s="1680" t="s">
        <v>55</v>
      </c>
      <c r="L4437" s="1971">
        <v>1414000</v>
      </c>
      <c r="N4437" s="1971">
        <f t="shared" si="69"/>
        <v>0</v>
      </c>
    </row>
    <row r="4438" spans="2:14">
      <c r="B4438" s="46"/>
      <c r="C4438" s="46"/>
      <c r="D4438" s="61">
        <v>2211201</v>
      </c>
      <c r="E4438" s="74" t="s">
        <v>56</v>
      </c>
      <c r="F4438" s="185">
        <v>1414000</v>
      </c>
      <c r="H4438" s="46"/>
      <c r="I4438" s="46"/>
      <c r="J4438" s="61">
        <v>2211201</v>
      </c>
      <c r="K4438" s="74" t="s">
        <v>56</v>
      </c>
      <c r="L4438" s="185">
        <v>1414000</v>
      </c>
      <c r="N4438" s="185">
        <f t="shared" si="69"/>
        <v>0</v>
      </c>
    </row>
    <row r="4439" spans="2:14">
      <c r="B4439" s="46"/>
      <c r="C4439" s="46"/>
      <c r="D4439" s="1671">
        <v>2211300</v>
      </c>
      <c r="E4439" s="1680" t="s">
        <v>706</v>
      </c>
      <c r="F4439" s="1971">
        <v>226400</v>
      </c>
      <c r="H4439" s="46"/>
      <c r="I4439" s="46"/>
      <c r="J4439" s="1671">
        <v>2211300</v>
      </c>
      <c r="K4439" s="1680" t="s">
        <v>706</v>
      </c>
      <c r="L4439" s="1971">
        <v>226400</v>
      </c>
      <c r="N4439" s="1971">
        <f t="shared" si="69"/>
        <v>0</v>
      </c>
    </row>
    <row r="4440" spans="2:14">
      <c r="B4440" s="46"/>
      <c r="C4440" s="46"/>
      <c r="D4440" s="61">
        <v>2211305</v>
      </c>
      <c r="E4440" s="74" t="s">
        <v>775</v>
      </c>
      <c r="F4440" s="185">
        <v>226400</v>
      </c>
      <c r="H4440" s="46"/>
      <c r="I4440" s="46"/>
      <c r="J4440" s="61">
        <v>2211305</v>
      </c>
      <c r="K4440" s="74" t="s">
        <v>775</v>
      </c>
      <c r="L4440" s="185">
        <v>226400</v>
      </c>
      <c r="N4440" s="185">
        <f t="shared" si="69"/>
        <v>0</v>
      </c>
    </row>
    <row r="4441" spans="2:14">
      <c r="B4441" s="46"/>
      <c r="C4441" s="46"/>
      <c r="D4441" s="1671">
        <v>2220100</v>
      </c>
      <c r="E4441" s="1680" t="s">
        <v>200</v>
      </c>
      <c r="F4441" s="1971">
        <v>908527</v>
      </c>
      <c r="H4441" s="46"/>
      <c r="I4441" s="46"/>
      <c r="J4441" s="1671">
        <v>2220100</v>
      </c>
      <c r="K4441" s="1680" t="s">
        <v>200</v>
      </c>
      <c r="L4441" s="1971">
        <v>908527</v>
      </c>
      <c r="N4441" s="1971">
        <f t="shared" si="69"/>
        <v>0</v>
      </c>
    </row>
    <row r="4442" spans="2:14">
      <c r="B4442" s="46"/>
      <c r="C4442" s="46"/>
      <c r="D4442" s="61">
        <v>2220101</v>
      </c>
      <c r="E4442" s="74" t="s">
        <v>200</v>
      </c>
      <c r="F4442" s="185">
        <v>908527</v>
      </c>
      <c r="H4442" s="46"/>
      <c r="I4442" s="46"/>
      <c r="J4442" s="61">
        <v>2220101</v>
      </c>
      <c r="K4442" s="74" t="s">
        <v>200</v>
      </c>
      <c r="L4442" s="185">
        <v>908527</v>
      </c>
      <c r="N4442" s="185">
        <f t="shared" si="69"/>
        <v>0</v>
      </c>
    </row>
    <row r="4443" spans="2:14">
      <c r="B4443" s="46"/>
      <c r="C4443" s="46"/>
      <c r="D4443" s="1671">
        <v>2220200</v>
      </c>
      <c r="E4443" s="1680" t="s">
        <v>124</v>
      </c>
      <c r="F4443" s="1971">
        <v>963223</v>
      </c>
      <c r="H4443" s="46"/>
      <c r="I4443" s="46"/>
      <c r="J4443" s="1671">
        <v>2220200</v>
      </c>
      <c r="K4443" s="1680" t="s">
        <v>124</v>
      </c>
      <c r="L4443" s="1971">
        <v>963223</v>
      </c>
      <c r="N4443" s="1971">
        <f t="shared" si="69"/>
        <v>0</v>
      </c>
    </row>
    <row r="4444" spans="2:14">
      <c r="B4444" s="46"/>
      <c r="C4444" s="46"/>
      <c r="D4444" s="61">
        <v>2220201</v>
      </c>
      <c r="E4444" s="74" t="s">
        <v>292</v>
      </c>
      <c r="F4444" s="185">
        <v>223880</v>
      </c>
      <c r="H4444" s="46"/>
      <c r="I4444" s="46"/>
      <c r="J4444" s="61">
        <v>2220201</v>
      </c>
      <c r="K4444" s="74" t="s">
        <v>292</v>
      </c>
      <c r="L4444" s="185">
        <v>223880</v>
      </c>
      <c r="N4444" s="185">
        <f t="shared" si="69"/>
        <v>0</v>
      </c>
    </row>
    <row r="4445" spans="2:14">
      <c r="B4445" s="46"/>
      <c r="C4445" s="46"/>
      <c r="D4445" s="61">
        <v>2220202</v>
      </c>
      <c r="E4445" s="74" t="s">
        <v>87</v>
      </c>
      <c r="F4445" s="185">
        <v>270219</v>
      </c>
      <c r="H4445" s="46"/>
      <c r="I4445" s="46"/>
      <c r="J4445" s="61">
        <v>2220202</v>
      </c>
      <c r="K4445" s="74" t="s">
        <v>87</v>
      </c>
      <c r="L4445" s="185">
        <v>270219</v>
      </c>
      <c r="N4445" s="185">
        <f t="shared" si="69"/>
        <v>0</v>
      </c>
    </row>
    <row r="4446" spans="2:14">
      <c r="B4446" s="46"/>
      <c r="C4446" s="46"/>
      <c r="D4446" s="61">
        <v>2220205</v>
      </c>
      <c r="E4446" s="74" t="s">
        <v>125</v>
      </c>
      <c r="F4446" s="185">
        <v>256844</v>
      </c>
      <c r="H4446" s="46"/>
      <c r="I4446" s="46"/>
      <c r="J4446" s="61">
        <v>2220205</v>
      </c>
      <c r="K4446" s="74" t="s">
        <v>125</v>
      </c>
      <c r="L4446" s="185">
        <v>256844</v>
      </c>
      <c r="N4446" s="185">
        <f t="shared" si="69"/>
        <v>0</v>
      </c>
    </row>
    <row r="4447" spans="2:14">
      <c r="B4447" s="46"/>
      <c r="C4447" s="46"/>
      <c r="D4447" s="61">
        <v>2220210</v>
      </c>
      <c r="E4447" s="74" t="s">
        <v>163</v>
      </c>
      <c r="F4447" s="185">
        <v>212280</v>
      </c>
      <c r="H4447" s="46"/>
      <c r="I4447" s="46"/>
      <c r="J4447" s="61">
        <v>2220210</v>
      </c>
      <c r="K4447" s="74" t="s">
        <v>163</v>
      </c>
      <c r="L4447" s="185">
        <v>212280</v>
      </c>
      <c r="N4447" s="185">
        <f t="shared" si="69"/>
        <v>0</v>
      </c>
    </row>
    <row r="4448" spans="2:14">
      <c r="B4448" s="46"/>
      <c r="C4448" s="46"/>
      <c r="D4448" s="1671">
        <v>2640400</v>
      </c>
      <c r="E4448" s="1680" t="s">
        <v>776</v>
      </c>
      <c r="F4448" s="1971">
        <v>4567800</v>
      </c>
      <c r="H4448" s="46"/>
      <c r="I4448" s="46"/>
      <c r="J4448" s="1671">
        <v>2640400</v>
      </c>
      <c r="K4448" s="1680" t="s">
        <v>776</v>
      </c>
      <c r="L4448" s="1971">
        <v>4567800</v>
      </c>
      <c r="N4448" s="1971">
        <f t="shared" si="69"/>
        <v>0</v>
      </c>
    </row>
    <row r="4449" spans="2:14">
      <c r="B4449" s="46"/>
      <c r="C4449" s="46"/>
      <c r="D4449" s="61">
        <v>2640499</v>
      </c>
      <c r="E4449" s="74" t="s">
        <v>777</v>
      </c>
      <c r="F4449" s="185">
        <v>4567800</v>
      </c>
      <c r="H4449" s="46"/>
      <c r="I4449" s="46"/>
      <c r="J4449" s="61">
        <v>2640499</v>
      </c>
      <c r="K4449" s="74" t="s">
        <v>777</v>
      </c>
      <c r="L4449" s="185">
        <v>4567800</v>
      </c>
      <c r="N4449" s="185">
        <f t="shared" si="69"/>
        <v>0</v>
      </c>
    </row>
    <row r="4450" spans="2:14">
      <c r="B4450" s="46"/>
      <c r="C4450" s="46"/>
      <c r="D4450" s="1671">
        <v>3110300</v>
      </c>
      <c r="E4450" s="1680" t="s">
        <v>293</v>
      </c>
      <c r="F4450" s="1971">
        <v>380000</v>
      </c>
      <c r="H4450" s="46"/>
      <c r="I4450" s="46"/>
      <c r="J4450" s="1671">
        <v>3110300</v>
      </c>
      <c r="K4450" s="1680" t="s">
        <v>293</v>
      </c>
      <c r="L4450" s="1971">
        <v>380000</v>
      </c>
      <c r="N4450" s="1971">
        <f t="shared" si="69"/>
        <v>0</v>
      </c>
    </row>
    <row r="4451" spans="2:14">
      <c r="B4451" s="46"/>
      <c r="C4451" s="46"/>
      <c r="D4451" s="61">
        <v>3110302</v>
      </c>
      <c r="E4451" s="74" t="s">
        <v>252</v>
      </c>
      <c r="F4451" s="185">
        <v>260000</v>
      </c>
      <c r="H4451" s="46"/>
      <c r="I4451" s="46"/>
      <c r="J4451" s="61">
        <v>3110302</v>
      </c>
      <c r="K4451" s="74" t="s">
        <v>252</v>
      </c>
      <c r="L4451" s="185">
        <v>260000</v>
      </c>
      <c r="N4451" s="185">
        <f t="shared" si="69"/>
        <v>0</v>
      </c>
    </row>
    <row r="4452" spans="2:14">
      <c r="B4452" s="46"/>
      <c r="C4452" s="46"/>
      <c r="D4452" s="61">
        <v>3111002</v>
      </c>
      <c r="E4452" s="74" t="s">
        <v>1335</v>
      </c>
      <c r="F4452" s="185">
        <v>120000</v>
      </c>
      <c r="H4452" s="46"/>
      <c r="I4452" s="46"/>
      <c r="J4452" s="61">
        <v>3111002</v>
      </c>
      <c r="K4452" s="74" t="s">
        <v>1335</v>
      </c>
      <c r="L4452" s="185">
        <v>120000</v>
      </c>
      <c r="N4452" s="185">
        <f t="shared" si="69"/>
        <v>0</v>
      </c>
    </row>
    <row r="4453" spans="2:14" ht="30">
      <c r="B4453" s="46"/>
      <c r="C4453" s="46"/>
      <c r="D4453" s="1671">
        <v>3111400</v>
      </c>
      <c r="E4453" s="1680" t="s">
        <v>294</v>
      </c>
      <c r="F4453" s="1971">
        <v>315242</v>
      </c>
      <c r="H4453" s="46"/>
      <c r="I4453" s="46"/>
      <c r="J4453" s="1671">
        <v>3111400</v>
      </c>
      <c r="K4453" s="1680" t="s">
        <v>294</v>
      </c>
      <c r="L4453" s="1971">
        <v>315242</v>
      </c>
      <c r="N4453" s="1971">
        <f t="shared" si="69"/>
        <v>0</v>
      </c>
    </row>
    <row r="4454" spans="2:14">
      <c r="B4454" s="46"/>
      <c r="C4454" s="46"/>
      <c r="D4454" s="39">
        <v>3111499</v>
      </c>
      <c r="E4454" s="99" t="s">
        <v>1336</v>
      </c>
      <c r="F4454" s="185">
        <v>315242</v>
      </c>
      <c r="H4454" s="46"/>
      <c r="I4454" s="46"/>
      <c r="J4454" s="39">
        <v>3111499</v>
      </c>
      <c r="K4454" s="99" t="s">
        <v>1336</v>
      </c>
      <c r="L4454" s="185">
        <v>315242</v>
      </c>
      <c r="N4454" s="185">
        <f t="shared" si="69"/>
        <v>0</v>
      </c>
    </row>
    <row r="4455" spans="2:14">
      <c r="B4455" s="46"/>
      <c r="C4455" s="46"/>
      <c r="D4455" s="1671"/>
      <c r="E4455" s="1976" t="s">
        <v>778</v>
      </c>
      <c r="F4455" s="1971">
        <v>21740034</v>
      </c>
      <c r="H4455" s="46"/>
      <c r="I4455" s="46"/>
      <c r="J4455" s="1671"/>
      <c r="K4455" s="1976" t="s">
        <v>778</v>
      </c>
      <c r="L4455" s="1971">
        <v>21740034</v>
      </c>
      <c r="N4455" s="1971">
        <f t="shared" si="69"/>
        <v>0</v>
      </c>
    </row>
    <row r="4456" spans="2:14">
      <c r="B4456" s="46"/>
      <c r="C4456" s="46"/>
      <c r="D4456" s="1671"/>
      <c r="E4456" s="1886"/>
      <c r="F4456" s="1971"/>
      <c r="H4456" s="46"/>
      <c r="I4456" s="46"/>
      <c r="J4456" s="1671"/>
      <c r="K4456" s="1886"/>
      <c r="L4456" s="1971"/>
      <c r="N4456" s="1971">
        <f t="shared" si="69"/>
        <v>0</v>
      </c>
    </row>
    <row r="4457" spans="2:14">
      <c r="B4457" s="46"/>
      <c r="C4457" s="46"/>
      <c r="D4457" s="1671"/>
      <c r="E4457" s="1680" t="s">
        <v>92</v>
      </c>
      <c r="F4457" s="1971"/>
      <c r="H4457" s="46"/>
      <c r="I4457" s="46"/>
      <c r="J4457" s="1671"/>
      <c r="K4457" s="1680" t="s">
        <v>92</v>
      </c>
      <c r="L4457" s="1971"/>
      <c r="N4457" s="1971">
        <f t="shared" si="69"/>
        <v>0</v>
      </c>
    </row>
    <row r="4458" spans="2:14">
      <c r="B4458" s="46"/>
      <c r="C4458" s="46"/>
      <c r="D4458" s="1671">
        <v>2210500</v>
      </c>
      <c r="E4458" s="1680" t="s">
        <v>31</v>
      </c>
      <c r="F4458" s="1971">
        <v>15000000</v>
      </c>
      <c r="H4458" s="46"/>
      <c r="I4458" s="46"/>
      <c r="J4458" s="1671">
        <v>2210500</v>
      </c>
      <c r="K4458" s="1680" t="s">
        <v>31</v>
      </c>
      <c r="L4458" s="1971">
        <v>15000000</v>
      </c>
      <c r="N4458" s="1971">
        <f t="shared" si="69"/>
        <v>0</v>
      </c>
    </row>
    <row r="4459" spans="2:14">
      <c r="B4459" s="46"/>
      <c r="C4459" s="46"/>
      <c r="D4459" s="61">
        <v>2210505</v>
      </c>
      <c r="E4459" s="74" t="s">
        <v>192</v>
      </c>
      <c r="F4459" s="185">
        <v>15000000</v>
      </c>
      <c r="H4459" s="46"/>
      <c r="I4459" s="46"/>
      <c r="J4459" s="61">
        <v>2210505</v>
      </c>
      <c r="K4459" s="74" t="s">
        <v>192</v>
      </c>
      <c r="L4459" s="185">
        <v>15000000</v>
      </c>
      <c r="N4459" s="185">
        <f t="shared" si="69"/>
        <v>0</v>
      </c>
    </row>
    <row r="4460" spans="2:14">
      <c r="B4460" s="46"/>
      <c r="C4460" s="46"/>
      <c r="D4460" s="1671">
        <v>2211000</v>
      </c>
      <c r="E4460" s="1680" t="s">
        <v>118</v>
      </c>
      <c r="F4460" s="1971">
        <v>1771406</v>
      </c>
      <c r="H4460" s="46"/>
      <c r="I4460" s="46"/>
      <c r="J4460" s="1671">
        <v>2211000</v>
      </c>
      <c r="K4460" s="1680" t="s">
        <v>118</v>
      </c>
      <c r="L4460" s="1971">
        <v>1771406</v>
      </c>
      <c r="N4460" s="1971">
        <f t="shared" si="69"/>
        <v>0</v>
      </c>
    </row>
    <row r="4461" spans="2:14">
      <c r="B4461" s="25"/>
      <c r="C4461" s="25"/>
      <c r="D4461" s="61">
        <v>2211007</v>
      </c>
      <c r="E4461" s="1986" t="s">
        <v>1337</v>
      </c>
      <c r="F4461" s="185">
        <v>771406</v>
      </c>
      <c r="H4461" s="25"/>
      <c r="I4461" s="25"/>
      <c r="J4461" s="61">
        <v>2211007</v>
      </c>
      <c r="K4461" s="1986" t="s">
        <v>1337</v>
      </c>
      <c r="L4461" s="185">
        <v>771406</v>
      </c>
      <c r="N4461" s="185">
        <f t="shared" si="69"/>
        <v>0</v>
      </c>
    </row>
    <row r="4462" spans="2:14">
      <c r="B4462" s="46"/>
      <c r="C4462" s="46"/>
      <c r="D4462" s="61">
        <v>2211007</v>
      </c>
      <c r="E4462" s="74" t="s">
        <v>1338</v>
      </c>
      <c r="F4462" s="185">
        <v>1000000</v>
      </c>
      <c r="H4462" s="46"/>
      <c r="I4462" s="46"/>
      <c r="J4462" s="61">
        <v>2211007</v>
      </c>
      <c r="K4462" s="74" t="s">
        <v>1338</v>
      </c>
      <c r="L4462" s="185">
        <v>1000000</v>
      </c>
      <c r="N4462" s="185">
        <f t="shared" si="69"/>
        <v>0</v>
      </c>
    </row>
    <row r="4463" spans="2:14">
      <c r="B4463" s="46"/>
      <c r="C4463" s="46"/>
      <c r="D4463" s="1671">
        <v>3110500</v>
      </c>
      <c r="E4463" s="1680" t="s">
        <v>260</v>
      </c>
      <c r="F4463" s="1971">
        <v>6912055</v>
      </c>
      <c r="H4463" s="46"/>
      <c r="I4463" s="46"/>
      <c r="J4463" s="1671">
        <v>3110500</v>
      </c>
      <c r="K4463" s="1680" t="s">
        <v>260</v>
      </c>
      <c r="L4463" s="1971">
        <v>6912055</v>
      </c>
      <c r="N4463" s="1971">
        <f t="shared" si="69"/>
        <v>0</v>
      </c>
    </row>
    <row r="4464" spans="2:14">
      <c r="B4464" s="46"/>
      <c r="C4464" s="46"/>
      <c r="D4464" s="61">
        <v>3110504</v>
      </c>
      <c r="E4464" s="74" t="s">
        <v>1339</v>
      </c>
      <c r="F4464" s="185">
        <v>5412055</v>
      </c>
      <c r="H4464" s="46"/>
      <c r="I4464" s="46"/>
      <c r="J4464" s="61">
        <v>3110504</v>
      </c>
      <c r="K4464" s="74" t="s">
        <v>1339</v>
      </c>
      <c r="L4464" s="185">
        <v>5412055</v>
      </c>
      <c r="N4464" s="185">
        <f t="shared" si="69"/>
        <v>0</v>
      </c>
    </row>
    <row r="4465" spans="2:14">
      <c r="B4465" s="46"/>
      <c r="C4465" s="46"/>
      <c r="D4465" s="61">
        <v>3110504</v>
      </c>
      <c r="E4465" s="74" t="s">
        <v>1340</v>
      </c>
      <c r="F4465" s="185">
        <v>1500000</v>
      </c>
      <c r="H4465" s="46"/>
      <c r="I4465" s="46"/>
      <c r="J4465" s="61">
        <v>3110504</v>
      </c>
      <c r="K4465" s="74" t="s">
        <v>1340</v>
      </c>
      <c r="L4465" s="185">
        <v>1500000</v>
      </c>
      <c r="N4465" s="185">
        <f t="shared" si="69"/>
        <v>0</v>
      </c>
    </row>
    <row r="4466" spans="2:14">
      <c r="B4466" s="46"/>
      <c r="C4466" s="46"/>
      <c r="D4466" s="1671">
        <v>3111000</v>
      </c>
      <c r="E4466" s="1680" t="s">
        <v>779</v>
      </c>
      <c r="F4466" s="1971">
        <v>649013</v>
      </c>
      <c r="H4466" s="46"/>
      <c r="I4466" s="46"/>
      <c r="J4466" s="1671">
        <v>3111000</v>
      </c>
      <c r="K4466" s="1680" t="s">
        <v>779</v>
      </c>
      <c r="L4466" s="1971">
        <v>649013</v>
      </c>
      <c r="N4466" s="1971">
        <f t="shared" si="69"/>
        <v>0</v>
      </c>
    </row>
    <row r="4467" spans="2:14" ht="30">
      <c r="B4467" s="46"/>
      <c r="C4467" s="46"/>
      <c r="D4467" s="61">
        <v>3111002</v>
      </c>
      <c r="E4467" s="74" t="s">
        <v>780</v>
      </c>
      <c r="F4467" s="185">
        <v>649013</v>
      </c>
      <c r="H4467" s="46"/>
      <c r="I4467" s="46"/>
      <c r="J4467" s="61">
        <v>3111002</v>
      </c>
      <c r="K4467" s="74" t="s">
        <v>780</v>
      </c>
      <c r="L4467" s="185">
        <v>649013</v>
      </c>
      <c r="N4467" s="185">
        <f t="shared" si="69"/>
        <v>0</v>
      </c>
    </row>
    <row r="4468" spans="2:14" ht="30">
      <c r="B4468" s="46"/>
      <c r="C4468" s="46"/>
      <c r="D4468" s="1671">
        <v>3111400</v>
      </c>
      <c r="E4468" s="1680" t="s">
        <v>294</v>
      </c>
      <c r="F4468" s="1971">
        <v>3453655</v>
      </c>
      <c r="H4468" s="46"/>
      <c r="I4468" s="46"/>
      <c r="J4468" s="1671">
        <v>3111400</v>
      </c>
      <c r="K4468" s="1680" t="s">
        <v>294</v>
      </c>
      <c r="L4468" s="1971">
        <v>3453655</v>
      </c>
      <c r="N4468" s="1971">
        <f t="shared" si="69"/>
        <v>0</v>
      </c>
    </row>
    <row r="4469" spans="2:14">
      <c r="B4469" s="46"/>
      <c r="C4469" s="46"/>
      <c r="D4469" s="39">
        <v>3111499</v>
      </c>
      <c r="E4469" s="99" t="s">
        <v>1341</v>
      </c>
      <c r="F4469" s="1987">
        <v>3453655</v>
      </c>
      <c r="H4469" s="46"/>
      <c r="I4469" s="46"/>
      <c r="J4469" s="39">
        <v>3111499</v>
      </c>
      <c r="K4469" s="99" t="s">
        <v>1341</v>
      </c>
      <c r="L4469" s="1987">
        <v>3453655</v>
      </c>
      <c r="N4469" s="1987">
        <f t="shared" si="69"/>
        <v>0</v>
      </c>
    </row>
    <row r="4470" spans="2:14">
      <c r="B4470" s="46"/>
      <c r="C4470" s="46"/>
      <c r="D4470" s="1988"/>
      <c r="E4470" s="1680" t="s">
        <v>445</v>
      </c>
      <c r="F4470" s="1971">
        <v>27786129</v>
      </c>
      <c r="H4470" s="46"/>
      <c r="I4470" s="46"/>
      <c r="J4470" s="1988"/>
      <c r="K4470" s="1680" t="s">
        <v>445</v>
      </c>
      <c r="L4470" s="1971">
        <v>27786129</v>
      </c>
      <c r="N4470" s="1971">
        <f t="shared" si="69"/>
        <v>0</v>
      </c>
    </row>
    <row r="4471" spans="2:14">
      <c r="B4471" s="46"/>
      <c r="C4471" s="46"/>
      <c r="D4471" s="61"/>
      <c r="E4471" s="1985" t="s">
        <v>84</v>
      </c>
      <c r="F4471" s="1971">
        <v>49526163</v>
      </c>
      <c r="H4471" s="46"/>
      <c r="I4471" s="46"/>
      <c r="J4471" s="61"/>
      <c r="K4471" s="1985" t="s">
        <v>84</v>
      </c>
      <c r="L4471" s="1971">
        <v>49526163</v>
      </c>
      <c r="N4471" s="1971">
        <f t="shared" si="69"/>
        <v>0</v>
      </c>
    </row>
    <row r="4472" spans="2:14">
      <c r="B4472" s="46"/>
      <c r="C4472" s="46"/>
      <c r="D4472" s="1671"/>
      <c r="E4472" s="158"/>
      <c r="F4472" s="1971"/>
      <c r="H4472" s="46"/>
      <c r="I4472" s="46"/>
      <c r="J4472" s="1671"/>
      <c r="K4472" s="158"/>
      <c r="L4472" s="1971"/>
      <c r="N4472" s="1971">
        <f t="shared" si="69"/>
        <v>0</v>
      </c>
    </row>
    <row r="4473" spans="2:14">
      <c r="B4473" s="46"/>
      <c r="C4473" s="46"/>
      <c r="D4473" s="1880" t="s">
        <v>781</v>
      </c>
      <c r="E4473" s="74"/>
      <c r="F4473" s="185"/>
      <c r="H4473" s="46"/>
      <c r="I4473" s="46"/>
      <c r="J4473" s="1880" t="s">
        <v>781</v>
      </c>
      <c r="K4473" s="74"/>
      <c r="L4473" s="185"/>
      <c r="N4473" s="185">
        <f t="shared" si="69"/>
        <v>0</v>
      </c>
    </row>
    <row r="4474" spans="2:14">
      <c r="B4474" s="46"/>
      <c r="C4474" s="46"/>
      <c r="D4474" s="1969" t="s">
        <v>782</v>
      </c>
      <c r="E4474" s="1680"/>
      <c r="F4474" s="1971"/>
      <c r="H4474" s="46"/>
      <c r="I4474" s="46"/>
      <c r="J4474" s="1969" t="s">
        <v>782</v>
      </c>
      <c r="K4474" s="1680"/>
      <c r="L4474" s="1971"/>
      <c r="N4474" s="1971">
        <f t="shared" si="69"/>
        <v>0</v>
      </c>
    </row>
    <row r="4475" spans="2:14">
      <c r="B4475" s="46"/>
      <c r="C4475" s="46"/>
      <c r="D4475" s="1671" t="s">
        <v>783</v>
      </c>
      <c r="E4475" s="1680"/>
      <c r="F4475" s="1971"/>
      <c r="H4475" s="46"/>
      <c r="I4475" s="46"/>
      <c r="J4475" s="1671" t="s">
        <v>783</v>
      </c>
      <c r="K4475" s="1680"/>
      <c r="L4475" s="1971"/>
      <c r="N4475" s="1971">
        <f t="shared" si="69"/>
        <v>0</v>
      </c>
    </row>
    <row r="4476" spans="2:14">
      <c r="B4476" s="46"/>
      <c r="C4476" s="46"/>
      <c r="D4476" s="1671">
        <v>2210100</v>
      </c>
      <c r="E4476" s="1680" t="s">
        <v>16</v>
      </c>
      <c r="F4476" s="1971">
        <v>28700</v>
      </c>
      <c r="H4476" s="46"/>
      <c r="I4476" s="46"/>
      <c r="J4476" s="1671">
        <v>2210100</v>
      </c>
      <c r="K4476" s="1680" t="s">
        <v>16</v>
      </c>
      <c r="L4476" s="1971">
        <v>28700</v>
      </c>
      <c r="N4476" s="1971">
        <f t="shared" si="69"/>
        <v>0</v>
      </c>
    </row>
    <row r="4477" spans="2:14">
      <c r="B4477" s="46"/>
      <c r="C4477" s="46"/>
      <c r="D4477" s="61">
        <v>2210101</v>
      </c>
      <c r="E4477" s="74" t="s">
        <v>784</v>
      </c>
      <c r="F4477" s="185">
        <v>15800</v>
      </c>
      <c r="H4477" s="46"/>
      <c r="I4477" s="46"/>
      <c r="J4477" s="61">
        <v>2210101</v>
      </c>
      <c r="K4477" s="74" t="s">
        <v>784</v>
      </c>
      <c r="L4477" s="185">
        <v>15800</v>
      </c>
      <c r="N4477" s="185">
        <f t="shared" si="69"/>
        <v>0</v>
      </c>
    </row>
    <row r="4478" spans="2:14">
      <c r="B4478" s="25"/>
      <c r="C4478" s="25"/>
      <c r="D4478" s="61">
        <v>2210102</v>
      </c>
      <c r="E4478" s="74" t="s">
        <v>785</v>
      </c>
      <c r="F4478" s="185">
        <v>12900</v>
      </c>
      <c r="H4478" s="25"/>
      <c r="I4478" s="25"/>
      <c r="J4478" s="61">
        <v>2210102</v>
      </c>
      <c r="K4478" s="74" t="s">
        <v>785</v>
      </c>
      <c r="L4478" s="185">
        <v>12900</v>
      </c>
      <c r="N4478" s="185">
        <f t="shared" si="69"/>
        <v>0</v>
      </c>
    </row>
    <row r="4479" spans="2:14">
      <c r="B4479" s="25"/>
      <c r="C4479" s="25"/>
      <c r="D4479" s="1671">
        <v>2210200</v>
      </c>
      <c r="E4479" s="1680" t="s">
        <v>20</v>
      </c>
      <c r="F4479" s="1971">
        <v>55800</v>
      </c>
      <c r="H4479" s="25"/>
      <c r="I4479" s="25"/>
      <c r="J4479" s="1671">
        <v>2210200</v>
      </c>
      <c r="K4479" s="1680" t="s">
        <v>20</v>
      </c>
      <c r="L4479" s="1971">
        <v>55800</v>
      </c>
      <c r="N4479" s="1971">
        <f t="shared" si="69"/>
        <v>0</v>
      </c>
    </row>
    <row r="4480" spans="2:14">
      <c r="B4480" s="25"/>
      <c r="C4480" s="25"/>
      <c r="D4480" s="61">
        <v>2210201</v>
      </c>
      <c r="E4480" s="74" t="s">
        <v>786</v>
      </c>
      <c r="F4480" s="185">
        <v>55800</v>
      </c>
      <c r="H4480" s="25"/>
      <c r="I4480" s="25"/>
      <c r="J4480" s="61">
        <v>2210201</v>
      </c>
      <c r="K4480" s="74" t="s">
        <v>786</v>
      </c>
      <c r="L4480" s="185">
        <v>55800</v>
      </c>
      <c r="N4480" s="185">
        <f t="shared" si="69"/>
        <v>0</v>
      </c>
    </row>
    <row r="4481" spans="2:14">
      <c r="B4481" s="46"/>
      <c r="C4481" s="46"/>
      <c r="D4481" s="1671">
        <v>2210300</v>
      </c>
      <c r="E4481" s="1680" t="s">
        <v>267</v>
      </c>
      <c r="F4481" s="1971">
        <v>616000</v>
      </c>
      <c r="H4481" s="46"/>
      <c r="I4481" s="46"/>
      <c r="J4481" s="1671">
        <v>2210300</v>
      </c>
      <c r="K4481" s="1680" t="s">
        <v>267</v>
      </c>
      <c r="L4481" s="1971">
        <v>616000</v>
      </c>
      <c r="N4481" s="1971">
        <f t="shared" si="69"/>
        <v>0</v>
      </c>
    </row>
    <row r="4482" spans="2:14">
      <c r="B4482" s="46"/>
      <c r="C4482" s="46"/>
      <c r="D4482" s="61">
        <v>2210301</v>
      </c>
      <c r="E4482" s="74" t="s">
        <v>25</v>
      </c>
      <c r="F4482" s="185">
        <v>158000</v>
      </c>
      <c r="H4482" s="46"/>
      <c r="I4482" s="46"/>
      <c r="J4482" s="61">
        <v>2210301</v>
      </c>
      <c r="K4482" s="74" t="s">
        <v>25</v>
      </c>
      <c r="L4482" s="185">
        <v>158000</v>
      </c>
      <c r="N4482" s="185">
        <f t="shared" si="69"/>
        <v>0</v>
      </c>
    </row>
    <row r="4483" spans="2:14">
      <c r="B4483" s="46"/>
      <c r="C4483" s="46"/>
      <c r="D4483" s="61">
        <v>2210302</v>
      </c>
      <c r="E4483" s="74" t="s">
        <v>787</v>
      </c>
      <c r="F4483" s="185">
        <v>129000</v>
      </c>
      <c r="H4483" s="46"/>
      <c r="I4483" s="46"/>
      <c r="J4483" s="61">
        <v>2210302</v>
      </c>
      <c r="K4483" s="74" t="s">
        <v>787</v>
      </c>
      <c r="L4483" s="185">
        <v>129000</v>
      </c>
      <c r="N4483" s="185">
        <f t="shared" si="69"/>
        <v>0</v>
      </c>
    </row>
    <row r="4484" spans="2:14">
      <c r="B4484" s="46"/>
      <c r="C4484" s="46"/>
      <c r="D4484" s="61">
        <v>2210303</v>
      </c>
      <c r="E4484" s="74" t="s">
        <v>27</v>
      </c>
      <c r="F4484" s="185">
        <v>329000</v>
      </c>
      <c r="H4484" s="46"/>
      <c r="I4484" s="46"/>
      <c r="J4484" s="61">
        <v>2210303</v>
      </c>
      <c r="K4484" s="74" t="s">
        <v>27</v>
      </c>
      <c r="L4484" s="185">
        <v>329000</v>
      </c>
      <c r="N4484" s="185">
        <f t="shared" si="69"/>
        <v>0</v>
      </c>
    </row>
    <row r="4485" spans="2:14">
      <c r="B4485" s="46"/>
      <c r="C4485" s="46"/>
      <c r="D4485" s="1671">
        <v>2210500</v>
      </c>
      <c r="E4485" s="1680" t="s">
        <v>31</v>
      </c>
      <c r="F4485" s="1971">
        <v>67748</v>
      </c>
      <c r="H4485" s="46"/>
      <c r="I4485" s="46"/>
      <c r="J4485" s="1671">
        <v>2210500</v>
      </c>
      <c r="K4485" s="1680" t="s">
        <v>31</v>
      </c>
      <c r="L4485" s="1971">
        <v>67748</v>
      </c>
      <c r="N4485" s="1971">
        <f t="shared" si="69"/>
        <v>0</v>
      </c>
    </row>
    <row r="4486" spans="2:14">
      <c r="B4486" s="46"/>
      <c r="C4486" s="46"/>
      <c r="D4486" s="61">
        <v>2210502</v>
      </c>
      <c r="E4486" s="74" t="s">
        <v>788</v>
      </c>
      <c r="F4486" s="185">
        <v>54437</v>
      </c>
      <c r="H4486" s="46"/>
      <c r="I4486" s="46"/>
      <c r="J4486" s="61">
        <v>2210502</v>
      </c>
      <c r="K4486" s="74" t="s">
        <v>788</v>
      </c>
      <c r="L4486" s="185">
        <v>54437</v>
      </c>
      <c r="N4486" s="185">
        <f t="shared" si="69"/>
        <v>0</v>
      </c>
    </row>
    <row r="4487" spans="2:14">
      <c r="B4487" s="46"/>
      <c r="C4487" s="46"/>
      <c r="D4487" s="61">
        <v>2210503</v>
      </c>
      <c r="E4487" s="74" t="s">
        <v>32</v>
      </c>
      <c r="F4487" s="185">
        <v>13311</v>
      </c>
      <c r="H4487" s="46"/>
      <c r="I4487" s="46"/>
      <c r="J4487" s="61">
        <v>2210503</v>
      </c>
      <c r="K4487" s="74" t="s">
        <v>32</v>
      </c>
      <c r="L4487" s="185">
        <v>13311</v>
      </c>
      <c r="N4487" s="185">
        <f t="shared" si="69"/>
        <v>0</v>
      </c>
    </row>
    <row r="4488" spans="2:14">
      <c r="B4488" s="1967"/>
      <c r="C4488" s="1967"/>
      <c r="D4488" s="1671">
        <v>2210700</v>
      </c>
      <c r="E4488" s="1680" t="s">
        <v>114</v>
      </c>
      <c r="F4488" s="1971">
        <v>107160</v>
      </c>
      <c r="H4488" s="1967"/>
      <c r="I4488" s="1967"/>
      <c r="J4488" s="1671">
        <v>2210700</v>
      </c>
      <c r="K4488" s="1680" t="s">
        <v>114</v>
      </c>
      <c r="L4488" s="1971">
        <v>107160</v>
      </c>
      <c r="N4488" s="1971">
        <f t="shared" ref="N4488:N4551" si="70">F4488-L4488</f>
        <v>0</v>
      </c>
    </row>
    <row r="4489" spans="2:14">
      <c r="B4489" s="46"/>
      <c r="C4489" s="46"/>
      <c r="D4489" s="61">
        <v>2210701</v>
      </c>
      <c r="E4489" s="74" t="s">
        <v>789</v>
      </c>
      <c r="F4489" s="185">
        <v>30160</v>
      </c>
      <c r="H4489" s="46"/>
      <c r="I4489" s="46"/>
      <c r="J4489" s="61">
        <v>2210701</v>
      </c>
      <c r="K4489" s="74" t="s">
        <v>789</v>
      </c>
      <c r="L4489" s="185">
        <v>30160</v>
      </c>
      <c r="N4489" s="185">
        <f t="shared" si="70"/>
        <v>0</v>
      </c>
    </row>
    <row r="4490" spans="2:14">
      <c r="B4490" s="46"/>
      <c r="C4490" s="46"/>
      <c r="D4490" s="61">
        <v>2210704</v>
      </c>
      <c r="E4490" s="74" t="s">
        <v>790</v>
      </c>
      <c r="F4490" s="185">
        <v>19000</v>
      </c>
      <c r="H4490" s="46"/>
      <c r="I4490" s="46"/>
      <c r="J4490" s="61">
        <v>2210704</v>
      </c>
      <c r="K4490" s="74" t="s">
        <v>790</v>
      </c>
      <c r="L4490" s="185">
        <v>19000</v>
      </c>
      <c r="N4490" s="185">
        <f t="shared" si="70"/>
        <v>0</v>
      </c>
    </row>
    <row r="4491" spans="2:14">
      <c r="B4491" s="46"/>
      <c r="C4491" s="46"/>
      <c r="D4491" s="61">
        <v>2210710</v>
      </c>
      <c r="E4491" s="74" t="s">
        <v>39</v>
      </c>
      <c r="F4491" s="185">
        <v>58000</v>
      </c>
      <c r="H4491" s="46"/>
      <c r="I4491" s="46"/>
      <c r="J4491" s="61">
        <v>2210710</v>
      </c>
      <c r="K4491" s="74" t="s">
        <v>39</v>
      </c>
      <c r="L4491" s="185">
        <v>58000</v>
      </c>
      <c r="N4491" s="185">
        <f t="shared" si="70"/>
        <v>0</v>
      </c>
    </row>
    <row r="4492" spans="2:14">
      <c r="B4492" s="46"/>
      <c r="C4492" s="46"/>
      <c r="D4492" s="1671">
        <v>2210800</v>
      </c>
      <c r="E4492" s="1680" t="s">
        <v>42</v>
      </c>
      <c r="F4492" s="1971">
        <v>126622</v>
      </c>
      <c r="H4492" s="46"/>
      <c r="I4492" s="46"/>
      <c r="J4492" s="1671">
        <v>2210800</v>
      </c>
      <c r="K4492" s="1680" t="s">
        <v>42</v>
      </c>
      <c r="L4492" s="1971">
        <v>126622</v>
      </c>
      <c r="N4492" s="1971">
        <f t="shared" si="70"/>
        <v>0</v>
      </c>
    </row>
    <row r="4493" spans="2:14">
      <c r="B4493" s="46"/>
      <c r="C4493" s="46"/>
      <c r="D4493" s="61">
        <v>2210801</v>
      </c>
      <c r="E4493" s="74" t="s">
        <v>43</v>
      </c>
      <c r="F4493" s="185">
        <v>126622</v>
      </c>
      <c r="H4493" s="46"/>
      <c r="I4493" s="46"/>
      <c r="J4493" s="61">
        <v>2210801</v>
      </c>
      <c r="K4493" s="74" t="s">
        <v>43</v>
      </c>
      <c r="L4493" s="185">
        <v>126622</v>
      </c>
      <c r="N4493" s="185">
        <f t="shared" si="70"/>
        <v>0</v>
      </c>
    </row>
    <row r="4494" spans="2:14">
      <c r="B4494" s="46"/>
      <c r="C4494" s="46"/>
      <c r="D4494" s="1671">
        <v>2211000</v>
      </c>
      <c r="E4494" s="1680" t="s">
        <v>118</v>
      </c>
      <c r="F4494" s="1971">
        <v>358000</v>
      </c>
      <c r="H4494" s="46"/>
      <c r="I4494" s="46"/>
      <c r="J4494" s="1671">
        <v>2211000</v>
      </c>
      <c r="K4494" s="1680" t="s">
        <v>118</v>
      </c>
      <c r="L4494" s="1971">
        <v>358000</v>
      </c>
      <c r="N4494" s="1971">
        <f t="shared" si="70"/>
        <v>0</v>
      </c>
    </row>
    <row r="4495" spans="2:14">
      <c r="B4495" s="46"/>
      <c r="C4495" s="46"/>
      <c r="D4495" s="61">
        <v>2211007</v>
      </c>
      <c r="E4495" s="74" t="s">
        <v>791</v>
      </c>
      <c r="F4495" s="185">
        <v>358000</v>
      </c>
      <c r="H4495" s="46"/>
      <c r="I4495" s="46"/>
      <c r="J4495" s="61">
        <v>2211007</v>
      </c>
      <c r="K4495" s="74" t="s">
        <v>791</v>
      </c>
      <c r="L4495" s="185">
        <v>358000</v>
      </c>
      <c r="N4495" s="185">
        <f t="shared" si="70"/>
        <v>0</v>
      </c>
    </row>
    <row r="4496" spans="2:14">
      <c r="B4496" s="46"/>
      <c r="C4496" s="46"/>
      <c r="D4496" s="1671">
        <v>2211100</v>
      </c>
      <c r="E4496" s="1680" t="s">
        <v>51</v>
      </c>
      <c r="F4496" s="1971">
        <v>434576</v>
      </c>
      <c r="H4496" s="46"/>
      <c r="I4496" s="46"/>
      <c r="J4496" s="1671">
        <v>2211100</v>
      </c>
      <c r="K4496" s="1680" t="s">
        <v>51</v>
      </c>
      <c r="L4496" s="1971">
        <v>434576</v>
      </c>
      <c r="N4496" s="1971">
        <f t="shared" si="70"/>
        <v>0</v>
      </c>
    </row>
    <row r="4497" spans="2:14">
      <c r="B4497" s="46"/>
      <c r="C4497" s="46"/>
      <c r="D4497" s="61">
        <v>2211101</v>
      </c>
      <c r="E4497" s="74" t="s">
        <v>792</v>
      </c>
      <c r="F4497" s="185">
        <v>139370</v>
      </c>
      <c r="H4497" s="46"/>
      <c r="I4497" s="46"/>
      <c r="J4497" s="61">
        <v>2211101</v>
      </c>
      <c r="K4497" s="74" t="s">
        <v>792</v>
      </c>
      <c r="L4497" s="185">
        <v>139370</v>
      </c>
      <c r="N4497" s="185">
        <f t="shared" si="70"/>
        <v>0</v>
      </c>
    </row>
    <row r="4498" spans="2:14">
      <c r="B4498" s="46"/>
      <c r="C4498" s="46"/>
      <c r="D4498" s="61">
        <v>2211102</v>
      </c>
      <c r="E4498" s="74" t="s">
        <v>793</v>
      </c>
      <c r="F4498" s="185">
        <v>175955</v>
      </c>
      <c r="H4498" s="46"/>
      <c r="I4498" s="46"/>
      <c r="J4498" s="61">
        <v>2211102</v>
      </c>
      <c r="K4498" s="74" t="s">
        <v>793</v>
      </c>
      <c r="L4498" s="185">
        <v>175955</v>
      </c>
      <c r="N4498" s="185">
        <f t="shared" si="70"/>
        <v>0</v>
      </c>
    </row>
    <row r="4499" spans="2:14">
      <c r="B4499" s="46"/>
      <c r="C4499" s="46"/>
      <c r="D4499" s="61">
        <v>2211103</v>
      </c>
      <c r="E4499" s="74" t="s">
        <v>54</v>
      </c>
      <c r="F4499" s="185">
        <v>119251</v>
      </c>
      <c r="H4499" s="46"/>
      <c r="I4499" s="46"/>
      <c r="J4499" s="61">
        <v>2211103</v>
      </c>
      <c r="K4499" s="74" t="s">
        <v>54</v>
      </c>
      <c r="L4499" s="185">
        <v>119251</v>
      </c>
      <c r="N4499" s="185">
        <f t="shared" si="70"/>
        <v>0</v>
      </c>
    </row>
    <row r="4500" spans="2:14">
      <c r="B4500" s="46"/>
      <c r="C4500" s="46"/>
      <c r="D4500" s="1671">
        <v>2211200</v>
      </c>
      <c r="E4500" s="1680" t="s">
        <v>55</v>
      </c>
      <c r="F4500" s="1971">
        <v>273335</v>
      </c>
      <c r="H4500" s="46"/>
      <c r="I4500" s="46"/>
      <c r="J4500" s="1671">
        <v>2211200</v>
      </c>
      <c r="K4500" s="1680" t="s">
        <v>55</v>
      </c>
      <c r="L4500" s="1971">
        <v>273335</v>
      </c>
      <c r="N4500" s="1971">
        <f t="shared" si="70"/>
        <v>0</v>
      </c>
    </row>
    <row r="4501" spans="2:14">
      <c r="B4501" s="46"/>
      <c r="C4501" s="46"/>
      <c r="D4501" s="61">
        <v>2211201</v>
      </c>
      <c r="E4501" s="74" t="s">
        <v>56</v>
      </c>
      <c r="F4501" s="185">
        <v>273335</v>
      </c>
      <c r="H4501" s="46"/>
      <c r="I4501" s="46"/>
      <c r="J4501" s="61">
        <v>2211201</v>
      </c>
      <c r="K4501" s="74" t="s">
        <v>56</v>
      </c>
      <c r="L4501" s="185">
        <v>273335</v>
      </c>
      <c r="N4501" s="185">
        <f t="shared" si="70"/>
        <v>0</v>
      </c>
    </row>
    <row r="4502" spans="2:14">
      <c r="B4502" s="46"/>
      <c r="C4502" s="46"/>
      <c r="D4502" s="1671">
        <v>2211300</v>
      </c>
      <c r="E4502" s="1680" t="s">
        <v>57</v>
      </c>
      <c r="F4502" s="1971">
        <v>29680</v>
      </c>
      <c r="H4502" s="46"/>
      <c r="I4502" s="46"/>
      <c r="J4502" s="1671">
        <v>2211300</v>
      </c>
      <c r="K4502" s="1680" t="s">
        <v>57</v>
      </c>
      <c r="L4502" s="1971">
        <v>29680</v>
      </c>
      <c r="N4502" s="1971">
        <f t="shared" si="70"/>
        <v>0</v>
      </c>
    </row>
    <row r="4503" spans="2:14">
      <c r="B4503" s="46"/>
      <c r="C4503" s="46"/>
      <c r="D4503" s="61">
        <v>2211305</v>
      </c>
      <c r="E4503" s="74" t="s">
        <v>365</v>
      </c>
      <c r="F4503" s="185">
        <v>29680</v>
      </c>
      <c r="H4503" s="46"/>
      <c r="I4503" s="46"/>
      <c r="J4503" s="61">
        <v>2211305</v>
      </c>
      <c r="K4503" s="74" t="s">
        <v>365</v>
      </c>
      <c r="L4503" s="185">
        <v>29680</v>
      </c>
      <c r="N4503" s="185">
        <f t="shared" si="70"/>
        <v>0</v>
      </c>
    </row>
    <row r="4504" spans="2:14">
      <c r="B4504" s="46"/>
      <c r="C4504" s="46"/>
      <c r="D4504" s="1671">
        <v>2220100</v>
      </c>
      <c r="E4504" s="1680" t="s">
        <v>200</v>
      </c>
      <c r="F4504" s="1971">
        <v>182555</v>
      </c>
      <c r="H4504" s="46"/>
      <c r="I4504" s="46"/>
      <c r="J4504" s="1671">
        <v>2220100</v>
      </c>
      <c r="K4504" s="1680" t="s">
        <v>200</v>
      </c>
      <c r="L4504" s="1971">
        <v>182555</v>
      </c>
      <c r="N4504" s="1971">
        <f t="shared" si="70"/>
        <v>0</v>
      </c>
    </row>
    <row r="4505" spans="2:14">
      <c r="B4505" s="46"/>
      <c r="C4505" s="46"/>
      <c r="D4505" s="61">
        <v>2220101</v>
      </c>
      <c r="E4505" s="74" t="s">
        <v>200</v>
      </c>
      <c r="F4505" s="185">
        <v>182555</v>
      </c>
      <c r="H4505" s="46"/>
      <c r="I4505" s="46"/>
      <c r="J4505" s="61">
        <v>2220101</v>
      </c>
      <c r="K4505" s="74" t="s">
        <v>200</v>
      </c>
      <c r="L4505" s="185">
        <v>182555</v>
      </c>
      <c r="N4505" s="185">
        <f t="shared" si="70"/>
        <v>0</v>
      </c>
    </row>
    <row r="4506" spans="2:14">
      <c r="B4506" s="46"/>
      <c r="C4506" s="46"/>
      <c r="D4506" s="1671">
        <v>2220200</v>
      </c>
      <c r="E4506" s="1680" t="s">
        <v>124</v>
      </c>
      <c r="F4506" s="1971">
        <v>372500</v>
      </c>
      <c r="H4506" s="46"/>
      <c r="I4506" s="46"/>
      <c r="J4506" s="1671">
        <v>2220200</v>
      </c>
      <c r="K4506" s="1680" t="s">
        <v>124</v>
      </c>
      <c r="L4506" s="1971">
        <v>372500</v>
      </c>
      <c r="N4506" s="1971">
        <f t="shared" si="70"/>
        <v>0</v>
      </c>
    </row>
    <row r="4507" spans="2:14">
      <c r="B4507" s="46"/>
      <c r="C4507" s="46"/>
      <c r="D4507" s="61">
        <v>2220202</v>
      </c>
      <c r="E4507" s="74" t="s">
        <v>794</v>
      </c>
      <c r="F4507" s="185">
        <v>126100</v>
      </c>
      <c r="H4507" s="46"/>
      <c r="I4507" s="46"/>
      <c r="J4507" s="61">
        <v>2220202</v>
      </c>
      <c r="K4507" s="74" t="s">
        <v>794</v>
      </c>
      <c r="L4507" s="185">
        <v>126100</v>
      </c>
      <c r="N4507" s="185">
        <f t="shared" si="70"/>
        <v>0</v>
      </c>
    </row>
    <row r="4508" spans="2:14">
      <c r="B4508" s="46"/>
      <c r="C4508" s="46"/>
      <c r="D4508" s="61">
        <v>2220205</v>
      </c>
      <c r="E4508" s="74" t="s">
        <v>1342</v>
      </c>
      <c r="F4508" s="185">
        <v>129000</v>
      </c>
      <c r="H4508" s="46"/>
      <c r="I4508" s="46"/>
      <c r="J4508" s="61">
        <v>2220205</v>
      </c>
      <c r="K4508" s="74" t="s">
        <v>1342</v>
      </c>
      <c r="L4508" s="185">
        <v>129000</v>
      </c>
      <c r="N4508" s="185">
        <f t="shared" si="70"/>
        <v>0</v>
      </c>
    </row>
    <row r="4509" spans="2:14">
      <c r="B4509" s="46"/>
      <c r="C4509" s="46"/>
      <c r="D4509" s="61">
        <v>2220210</v>
      </c>
      <c r="E4509" s="74" t="s">
        <v>795</v>
      </c>
      <c r="F4509" s="185">
        <v>117400</v>
      </c>
      <c r="H4509" s="46"/>
      <c r="I4509" s="46"/>
      <c r="J4509" s="61">
        <v>2220210</v>
      </c>
      <c r="K4509" s="74" t="s">
        <v>795</v>
      </c>
      <c r="L4509" s="185">
        <v>117400</v>
      </c>
      <c r="N4509" s="185">
        <f t="shared" si="70"/>
        <v>0</v>
      </c>
    </row>
    <row r="4510" spans="2:14">
      <c r="B4510" s="46"/>
      <c r="C4510" s="46"/>
      <c r="D4510" s="1671">
        <v>3110300</v>
      </c>
      <c r="E4510" s="1680" t="s">
        <v>293</v>
      </c>
      <c r="F4510" s="1971">
        <v>158000</v>
      </c>
      <c r="H4510" s="46"/>
      <c r="I4510" s="46"/>
      <c r="J4510" s="1671">
        <v>3110300</v>
      </c>
      <c r="K4510" s="1680" t="s">
        <v>293</v>
      </c>
      <c r="L4510" s="1971">
        <v>158000</v>
      </c>
      <c r="N4510" s="1971">
        <f t="shared" si="70"/>
        <v>0</v>
      </c>
    </row>
    <row r="4511" spans="2:14">
      <c r="B4511" s="46"/>
      <c r="C4511" s="46"/>
      <c r="D4511" s="61">
        <v>3110302</v>
      </c>
      <c r="E4511" s="74" t="s">
        <v>252</v>
      </c>
      <c r="F4511" s="185">
        <v>158000</v>
      </c>
      <c r="H4511" s="46"/>
      <c r="I4511" s="46"/>
      <c r="J4511" s="61">
        <v>3110302</v>
      </c>
      <c r="K4511" s="74" t="s">
        <v>252</v>
      </c>
      <c r="L4511" s="185">
        <v>158000</v>
      </c>
      <c r="N4511" s="185">
        <f t="shared" si="70"/>
        <v>0</v>
      </c>
    </row>
    <row r="4512" spans="2:14">
      <c r="B4512" s="46"/>
      <c r="C4512" s="46"/>
      <c r="D4512" s="80"/>
      <c r="E4512" s="1976" t="s">
        <v>796</v>
      </c>
      <c r="F4512" s="1971">
        <v>2810676</v>
      </c>
      <c r="H4512" s="46"/>
      <c r="I4512" s="46"/>
      <c r="J4512" s="80"/>
      <c r="K4512" s="1976" t="s">
        <v>796</v>
      </c>
      <c r="L4512" s="1971">
        <v>2810676</v>
      </c>
      <c r="N4512" s="1971">
        <f t="shared" si="70"/>
        <v>0</v>
      </c>
    </row>
    <row r="4513" spans="2:14">
      <c r="B4513" s="46"/>
      <c r="C4513" s="46"/>
      <c r="D4513" s="80"/>
      <c r="E4513" s="1976"/>
      <c r="F4513" s="1971"/>
      <c r="H4513" s="46"/>
      <c r="I4513" s="46"/>
      <c r="J4513" s="80"/>
      <c r="K4513" s="1976"/>
      <c r="L4513" s="1971"/>
      <c r="N4513" s="1971">
        <f t="shared" si="70"/>
        <v>0</v>
      </c>
    </row>
    <row r="4514" spans="2:14">
      <c r="B4514" s="46"/>
      <c r="C4514" s="46"/>
      <c r="D4514" s="80"/>
      <c r="E4514" s="1976"/>
      <c r="F4514" s="1971"/>
      <c r="H4514" s="46"/>
      <c r="I4514" s="46"/>
      <c r="J4514" s="80"/>
      <c r="K4514" s="1976"/>
      <c r="L4514" s="1971"/>
      <c r="N4514" s="1971">
        <f t="shared" si="70"/>
        <v>0</v>
      </c>
    </row>
    <row r="4515" spans="2:14">
      <c r="B4515" s="46"/>
      <c r="C4515" s="46"/>
      <c r="D4515" s="1671"/>
      <c r="E4515" s="1680" t="s">
        <v>92</v>
      </c>
      <c r="F4515" s="1971"/>
      <c r="H4515" s="46"/>
      <c r="I4515" s="46"/>
      <c r="J4515" s="1671"/>
      <c r="K4515" s="1680" t="s">
        <v>92</v>
      </c>
      <c r="L4515" s="1971"/>
      <c r="N4515" s="1971">
        <f t="shared" si="70"/>
        <v>0</v>
      </c>
    </row>
    <row r="4516" spans="2:14">
      <c r="B4516" s="46"/>
      <c r="C4516" s="46"/>
      <c r="D4516" s="1671">
        <v>3110500</v>
      </c>
      <c r="E4516" s="1680" t="s">
        <v>260</v>
      </c>
      <c r="F4516" s="1971">
        <v>4698400</v>
      </c>
      <c r="H4516" s="46"/>
      <c r="I4516" s="46"/>
      <c r="J4516" s="1671">
        <v>3110500</v>
      </c>
      <c r="K4516" s="1680" t="s">
        <v>260</v>
      </c>
      <c r="L4516" s="1971">
        <v>4698400</v>
      </c>
      <c r="N4516" s="1971">
        <f t="shared" si="70"/>
        <v>0</v>
      </c>
    </row>
    <row r="4517" spans="2:14">
      <c r="B4517" s="46"/>
      <c r="C4517" s="46"/>
      <c r="D4517" s="61">
        <v>3110504</v>
      </c>
      <c r="E4517" s="74" t="s">
        <v>1343</v>
      </c>
      <c r="F4517" s="185">
        <v>2218400</v>
      </c>
      <c r="H4517" s="46"/>
      <c r="I4517" s="46"/>
      <c r="J4517" s="61">
        <v>3110504</v>
      </c>
      <c r="K4517" s="74" t="s">
        <v>1343</v>
      </c>
      <c r="L4517" s="185">
        <v>2218400</v>
      </c>
      <c r="N4517" s="185">
        <f t="shared" si="70"/>
        <v>0</v>
      </c>
    </row>
    <row r="4518" spans="2:14">
      <c r="B4518" s="46"/>
      <c r="C4518" s="46"/>
      <c r="D4518" s="61"/>
      <c r="E4518" s="74" t="s">
        <v>1344</v>
      </c>
      <c r="F4518" s="185">
        <v>2480000</v>
      </c>
      <c r="H4518" s="46"/>
      <c r="I4518" s="46"/>
      <c r="J4518" s="61"/>
      <c r="K4518" s="74" t="s">
        <v>1344</v>
      </c>
      <c r="L4518" s="185">
        <v>2480000</v>
      </c>
      <c r="N4518" s="185">
        <f t="shared" si="70"/>
        <v>0</v>
      </c>
    </row>
    <row r="4519" spans="2:14">
      <c r="B4519" s="46"/>
      <c r="C4519" s="46"/>
      <c r="D4519" s="1671"/>
      <c r="E4519" s="1584" t="s">
        <v>310</v>
      </c>
      <c r="F4519" s="1971">
        <v>4698400</v>
      </c>
      <c r="H4519" s="46"/>
      <c r="I4519" s="46"/>
      <c r="J4519" s="1671"/>
      <c r="K4519" s="1584" t="s">
        <v>310</v>
      </c>
      <c r="L4519" s="1971">
        <v>4698400</v>
      </c>
      <c r="N4519" s="1971">
        <f t="shared" si="70"/>
        <v>0</v>
      </c>
    </row>
    <row r="4520" spans="2:14">
      <c r="B4520" s="46"/>
      <c r="C4520" s="46"/>
      <c r="D4520" s="61"/>
      <c r="E4520" s="1680" t="s">
        <v>84</v>
      </c>
      <c r="F4520" s="1971">
        <v>7509076</v>
      </c>
      <c r="H4520" s="46"/>
      <c r="I4520" s="46"/>
      <c r="J4520" s="61"/>
      <c r="K4520" s="1680" t="s">
        <v>84</v>
      </c>
      <c r="L4520" s="1971">
        <v>7509076</v>
      </c>
      <c r="N4520" s="1971">
        <f t="shared" si="70"/>
        <v>0</v>
      </c>
    </row>
    <row r="4521" spans="2:14">
      <c r="B4521" s="46"/>
      <c r="C4521" s="46"/>
      <c r="D4521" s="61"/>
      <c r="E4521" s="1680" t="s">
        <v>797</v>
      </c>
      <c r="F4521" s="1971">
        <v>282284666</v>
      </c>
      <c r="H4521" s="46"/>
      <c r="I4521" s="46"/>
      <c r="J4521" s="61"/>
      <c r="K4521" s="1680" t="s">
        <v>797</v>
      </c>
      <c r="L4521" s="1971">
        <v>268284666</v>
      </c>
      <c r="N4521" s="1971">
        <f t="shared" si="70"/>
        <v>14000000</v>
      </c>
    </row>
    <row r="4522" spans="2:14">
      <c r="B4522" s="46"/>
      <c r="C4522" s="46"/>
      <c r="D4522" s="61"/>
      <c r="E4522" s="1680" t="s">
        <v>798</v>
      </c>
      <c r="F4522" s="1971">
        <v>323253596</v>
      </c>
      <c r="H4522" s="46"/>
      <c r="I4522" s="46"/>
      <c r="J4522" s="61"/>
      <c r="K4522" s="1680" t="s">
        <v>798</v>
      </c>
      <c r="L4522" s="1971">
        <v>323253596</v>
      </c>
      <c r="N4522" s="1971">
        <f t="shared" si="70"/>
        <v>0</v>
      </c>
    </row>
    <row r="4523" spans="2:14">
      <c r="B4523" s="46"/>
      <c r="C4523" s="46"/>
      <c r="D4523" s="1507" t="s">
        <v>799</v>
      </c>
      <c r="E4523" s="158"/>
      <c r="F4523" s="1973"/>
      <c r="H4523" s="46"/>
      <c r="I4523" s="46"/>
      <c r="J4523" s="1507" t="s">
        <v>799</v>
      </c>
      <c r="K4523" s="158"/>
      <c r="L4523" s="1973"/>
      <c r="N4523" s="1973">
        <f t="shared" si="70"/>
        <v>0</v>
      </c>
    </row>
    <row r="4524" spans="2:14">
      <c r="B4524" s="46"/>
      <c r="C4524" s="46"/>
      <c r="D4524" s="1989" t="s">
        <v>264</v>
      </c>
      <c r="E4524" s="1922"/>
      <c r="F4524" s="1990"/>
      <c r="H4524" s="46"/>
      <c r="I4524" s="46"/>
      <c r="J4524" s="1989" t="s">
        <v>264</v>
      </c>
      <c r="K4524" s="1922"/>
      <c r="L4524" s="1990"/>
      <c r="N4524" s="1990">
        <f t="shared" si="70"/>
        <v>0</v>
      </c>
    </row>
    <row r="4525" spans="2:14">
      <c r="B4525" s="46"/>
      <c r="C4525" s="46"/>
      <c r="D4525" s="1969" t="s">
        <v>265</v>
      </c>
      <c r="E4525" s="1970"/>
      <c r="F4525" s="1971"/>
      <c r="H4525" s="46"/>
      <c r="I4525" s="46"/>
      <c r="J4525" s="1969" t="s">
        <v>265</v>
      </c>
      <c r="K4525" s="1970"/>
      <c r="L4525" s="1971"/>
      <c r="N4525" s="1971">
        <f t="shared" si="70"/>
        <v>0</v>
      </c>
    </row>
    <row r="4526" spans="2:14">
      <c r="B4526" s="46"/>
      <c r="C4526" s="46"/>
      <c r="D4526" s="1671">
        <v>2110100</v>
      </c>
      <c r="E4526" s="1680" t="s">
        <v>13</v>
      </c>
      <c r="F4526" s="1971">
        <v>54079625</v>
      </c>
      <c r="H4526" s="46"/>
      <c r="I4526" s="46"/>
      <c r="J4526" s="1671">
        <v>2110100</v>
      </c>
      <c r="K4526" s="1680" t="s">
        <v>13</v>
      </c>
      <c r="L4526" s="1971">
        <v>54079625</v>
      </c>
      <c r="N4526" s="1971">
        <f t="shared" si="70"/>
        <v>0</v>
      </c>
    </row>
    <row r="4527" spans="2:14">
      <c r="B4527" s="46"/>
      <c r="C4527" s="46"/>
      <c r="D4527" s="61">
        <v>2110101</v>
      </c>
      <c r="E4527" s="74" t="s">
        <v>800</v>
      </c>
      <c r="F4527" s="185">
        <v>54079625</v>
      </c>
      <c r="H4527" s="46"/>
      <c r="I4527" s="46"/>
      <c r="J4527" s="61">
        <v>2110101</v>
      </c>
      <c r="K4527" s="74" t="s">
        <v>800</v>
      </c>
      <c r="L4527" s="185">
        <v>54079625</v>
      </c>
      <c r="N4527" s="185">
        <f t="shared" si="70"/>
        <v>0</v>
      </c>
    </row>
    <row r="4528" spans="2:14">
      <c r="B4528" s="46"/>
      <c r="C4528" s="46"/>
      <c r="D4528" s="1671">
        <v>2210100</v>
      </c>
      <c r="E4528" s="1680" t="s">
        <v>16</v>
      </c>
      <c r="F4528" s="1971">
        <v>130852</v>
      </c>
      <c r="H4528" s="46"/>
      <c r="I4528" s="46"/>
      <c r="J4528" s="1671">
        <v>2210100</v>
      </c>
      <c r="K4528" s="1680" t="s">
        <v>16</v>
      </c>
      <c r="L4528" s="1971">
        <v>130852</v>
      </c>
      <c r="N4528" s="1971">
        <f t="shared" si="70"/>
        <v>0</v>
      </c>
    </row>
    <row r="4529" spans="2:14">
      <c r="B4529" s="46"/>
      <c r="C4529" s="46"/>
      <c r="D4529" s="61">
        <v>2210101</v>
      </c>
      <c r="E4529" s="74" t="s">
        <v>17</v>
      </c>
      <c r="F4529" s="185">
        <v>75752</v>
      </c>
      <c r="H4529" s="46"/>
      <c r="I4529" s="46"/>
      <c r="J4529" s="61">
        <v>2210101</v>
      </c>
      <c r="K4529" s="74" t="s">
        <v>17</v>
      </c>
      <c r="L4529" s="185">
        <v>75752</v>
      </c>
      <c r="N4529" s="185">
        <f t="shared" si="70"/>
        <v>0</v>
      </c>
    </row>
    <row r="4530" spans="2:14">
      <c r="B4530" s="46"/>
      <c r="C4530" s="46"/>
      <c r="D4530" s="61">
        <v>2210102</v>
      </c>
      <c r="E4530" s="74" t="s">
        <v>18</v>
      </c>
      <c r="F4530" s="185">
        <v>55100</v>
      </c>
      <c r="H4530" s="46"/>
      <c r="I4530" s="46"/>
      <c r="J4530" s="61">
        <v>2210102</v>
      </c>
      <c r="K4530" s="74" t="s">
        <v>18</v>
      </c>
      <c r="L4530" s="185">
        <v>55100</v>
      </c>
      <c r="N4530" s="185">
        <f t="shared" si="70"/>
        <v>0</v>
      </c>
    </row>
    <row r="4531" spans="2:14">
      <c r="B4531" s="46"/>
      <c r="C4531" s="46"/>
      <c r="D4531" s="1671">
        <v>2210200</v>
      </c>
      <c r="E4531" s="1680" t="s">
        <v>20</v>
      </c>
      <c r="F4531" s="1971">
        <v>124397</v>
      </c>
      <c r="H4531" s="46"/>
      <c r="I4531" s="46"/>
      <c r="J4531" s="1671">
        <v>2210200</v>
      </c>
      <c r="K4531" s="1680" t="s">
        <v>20</v>
      </c>
      <c r="L4531" s="1971">
        <v>124397</v>
      </c>
      <c r="N4531" s="1971">
        <f t="shared" si="70"/>
        <v>0</v>
      </c>
    </row>
    <row r="4532" spans="2:14">
      <c r="B4532" s="46"/>
      <c r="C4532" s="46"/>
      <c r="D4532" s="61">
        <v>2210201</v>
      </c>
      <c r="E4532" s="74" t="s">
        <v>21</v>
      </c>
      <c r="F4532" s="185">
        <v>102458</v>
      </c>
      <c r="H4532" s="46"/>
      <c r="I4532" s="46"/>
      <c r="J4532" s="61">
        <v>2210201</v>
      </c>
      <c r="K4532" s="74" t="s">
        <v>21</v>
      </c>
      <c r="L4532" s="185">
        <v>102458</v>
      </c>
      <c r="N4532" s="185">
        <f t="shared" si="70"/>
        <v>0</v>
      </c>
    </row>
    <row r="4533" spans="2:14">
      <c r="B4533" s="46"/>
      <c r="C4533" s="46"/>
      <c r="D4533" s="61">
        <v>2210203</v>
      </c>
      <c r="E4533" s="74" t="s">
        <v>23</v>
      </c>
      <c r="F4533" s="185">
        <v>21939</v>
      </c>
      <c r="H4533" s="46"/>
      <c r="I4533" s="46"/>
      <c r="J4533" s="61">
        <v>2210203</v>
      </c>
      <c r="K4533" s="74" t="s">
        <v>23</v>
      </c>
      <c r="L4533" s="185">
        <v>21939</v>
      </c>
      <c r="N4533" s="185">
        <f t="shared" si="70"/>
        <v>0</v>
      </c>
    </row>
    <row r="4534" spans="2:14">
      <c r="B4534" s="46"/>
      <c r="C4534" s="46"/>
      <c r="D4534" s="1671">
        <v>2210300</v>
      </c>
      <c r="E4534" s="1680" t="s">
        <v>267</v>
      </c>
      <c r="F4534" s="1971">
        <v>1573543</v>
      </c>
      <c r="H4534" s="46"/>
      <c r="I4534" s="46"/>
      <c r="J4534" s="1671">
        <v>2210300</v>
      </c>
      <c r="K4534" s="1680" t="s">
        <v>267</v>
      </c>
      <c r="L4534" s="1971">
        <v>1573543</v>
      </c>
      <c r="N4534" s="1971">
        <f t="shared" si="70"/>
        <v>0</v>
      </c>
    </row>
    <row r="4535" spans="2:14">
      <c r="B4535" s="46"/>
      <c r="C4535" s="46"/>
      <c r="D4535" s="61">
        <v>2210301</v>
      </c>
      <c r="E4535" s="74" t="s">
        <v>268</v>
      </c>
      <c r="F4535" s="185">
        <v>523985</v>
      </c>
      <c r="H4535" s="46"/>
      <c r="I4535" s="46"/>
      <c r="J4535" s="61">
        <v>2210301</v>
      </c>
      <c r="K4535" s="74" t="s">
        <v>268</v>
      </c>
      <c r="L4535" s="185">
        <v>523985</v>
      </c>
      <c r="N4535" s="185">
        <f t="shared" si="70"/>
        <v>0</v>
      </c>
    </row>
    <row r="4536" spans="2:14">
      <c r="B4536" s="46"/>
      <c r="C4536" s="46"/>
      <c r="D4536" s="61">
        <v>2210302</v>
      </c>
      <c r="E4536" s="74" t="s">
        <v>269</v>
      </c>
      <c r="F4536" s="185">
        <v>448380</v>
      </c>
      <c r="H4536" s="46"/>
      <c r="I4536" s="46"/>
      <c r="J4536" s="61">
        <v>2210302</v>
      </c>
      <c r="K4536" s="74" t="s">
        <v>269</v>
      </c>
      <c r="L4536" s="185">
        <v>448380</v>
      </c>
      <c r="N4536" s="185">
        <f t="shared" si="70"/>
        <v>0</v>
      </c>
    </row>
    <row r="4537" spans="2:14">
      <c r="B4537" s="46"/>
      <c r="C4537" s="46"/>
      <c r="D4537" s="61">
        <v>2210303</v>
      </c>
      <c r="E4537" s="74" t="s">
        <v>27</v>
      </c>
      <c r="F4537" s="185">
        <v>601178</v>
      </c>
      <c r="H4537" s="46"/>
      <c r="I4537" s="46"/>
      <c r="J4537" s="61">
        <v>2210303</v>
      </c>
      <c r="K4537" s="74" t="s">
        <v>27</v>
      </c>
      <c r="L4537" s="185">
        <v>601178</v>
      </c>
      <c r="N4537" s="185">
        <f t="shared" si="70"/>
        <v>0</v>
      </c>
    </row>
    <row r="4538" spans="2:14">
      <c r="B4538" s="46"/>
      <c r="C4538" s="46"/>
      <c r="D4538" s="1671">
        <v>2210400</v>
      </c>
      <c r="E4538" s="1680" t="s">
        <v>189</v>
      </c>
      <c r="F4538" s="1971">
        <v>74375</v>
      </c>
      <c r="H4538" s="46"/>
      <c r="I4538" s="46"/>
      <c r="J4538" s="1671">
        <v>2210400</v>
      </c>
      <c r="K4538" s="1680" t="s">
        <v>189</v>
      </c>
      <c r="L4538" s="1971">
        <v>74375</v>
      </c>
      <c r="N4538" s="1971">
        <f t="shared" si="70"/>
        <v>0</v>
      </c>
    </row>
    <row r="4539" spans="2:14">
      <c r="B4539" s="1967"/>
      <c r="C4539" s="1967"/>
      <c r="D4539" s="61">
        <v>2210401</v>
      </c>
      <c r="E4539" s="74" t="s">
        <v>190</v>
      </c>
      <c r="F4539" s="185">
        <v>20300</v>
      </c>
      <c r="H4539" s="1967"/>
      <c r="I4539" s="1967"/>
      <c r="J4539" s="61">
        <v>2210401</v>
      </c>
      <c r="K4539" s="74" t="s">
        <v>190</v>
      </c>
      <c r="L4539" s="185">
        <v>20300</v>
      </c>
      <c r="N4539" s="185">
        <f t="shared" si="70"/>
        <v>0</v>
      </c>
    </row>
    <row r="4540" spans="2:14">
      <c r="B4540" s="46"/>
      <c r="C4540" s="46"/>
      <c r="D4540" s="61">
        <v>2210402</v>
      </c>
      <c r="E4540" s="74" t="s">
        <v>270</v>
      </c>
      <c r="F4540" s="185">
        <v>40600</v>
      </c>
      <c r="H4540" s="46"/>
      <c r="I4540" s="46"/>
      <c r="J4540" s="61">
        <v>2210402</v>
      </c>
      <c r="K4540" s="74" t="s">
        <v>270</v>
      </c>
      <c r="L4540" s="185">
        <v>40600</v>
      </c>
      <c r="N4540" s="185">
        <f t="shared" si="70"/>
        <v>0</v>
      </c>
    </row>
    <row r="4541" spans="2:14">
      <c r="B4541" s="46"/>
      <c r="C4541" s="46"/>
      <c r="D4541" s="61">
        <v>2210403</v>
      </c>
      <c r="E4541" s="74" t="s">
        <v>28</v>
      </c>
      <c r="F4541" s="185">
        <v>13475</v>
      </c>
      <c r="H4541" s="46"/>
      <c r="I4541" s="46"/>
      <c r="J4541" s="61">
        <v>2210403</v>
      </c>
      <c r="K4541" s="74" t="s">
        <v>28</v>
      </c>
      <c r="L4541" s="185">
        <v>13475</v>
      </c>
      <c r="N4541" s="185">
        <f t="shared" si="70"/>
        <v>0</v>
      </c>
    </row>
    <row r="4542" spans="2:14">
      <c r="B4542" s="46"/>
      <c r="C4542" s="46"/>
      <c r="D4542" s="1671">
        <v>2210500</v>
      </c>
      <c r="E4542" s="1680" t="s">
        <v>31</v>
      </c>
      <c r="F4542" s="1971">
        <v>162239</v>
      </c>
      <c r="H4542" s="46"/>
      <c r="I4542" s="46"/>
      <c r="J4542" s="1671">
        <v>2210500</v>
      </c>
      <c r="K4542" s="1680" t="s">
        <v>31</v>
      </c>
      <c r="L4542" s="1971">
        <v>162239</v>
      </c>
      <c r="N4542" s="1971">
        <f t="shared" si="70"/>
        <v>0</v>
      </c>
    </row>
    <row r="4543" spans="2:14">
      <c r="B4543" s="46"/>
      <c r="C4543" s="46"/>
      <c r="D4543" s="61">
        <v>2210502</v>
      </c>
      <c r="E4543" s="74" t="s">
        <v>105</v>
      </c>
      <c r="F4543" s="1972">
        <v>62640</v>
      </c>
      <c r="H4543" s="46"/>
      <c r="I4543" s="46"/>
      <c r="J4543" s="61">
        <v>2210502</v>
      </c>
      <c r="K4543" s="74" t="s">
        <v>105</v>
      </c>
      <c r="L4543" s="1972">
        <v>62640</v>
      </c>
      <c r="N4543" s="1972">
        <f t="shared" si="70"/>
        <v>0</v>
      </c>
    </row>
    <row r="4544" spans="2:14">
      <c r="B4544" s="46"/>
      <c r="C4544" s="46"/>
      <c r="D4544" s="61">
        <v>2210503</v>
      </c>
      <c r="E4544" s="74" t="s">
        <v>32</v>
      </c>
      <c r="F4544" s="185">
        <v>17539</v>
      </c>
      <c r="H4544" s="46"/>
      <c r="I4544" s="46"/>
      <c r="J4544" s="61">
        <v>2210503</v>
      </c>
      <c r="K4544" s="74" t="s">
        <v>32</v>
      </c>
      <c r="L4544" s="185">
        <v>17539</v>
      </c>
      <c r="N4544" s="185">
        <f t="shared" si="70"/>
        <v>0</v>
      </c>
    </row>
    <row r="4545" spans="2:14">
      <c r="B4545" s="46"/>
      <c r="C4545" s="46"/>
      <c r="D4545" s="61">
        <v>2210504</v>
      </c>
      <c r="E4545" s="74" t="s">
        <v>33</v>
      </c>
      <c r="F4545" s="185">
        <v>82060</v>
      </c>
      <c r="H4545" s="46"/>
      <c r="I4545" s="46"/>
      <c r="J4545" s="61">
        <v>2210504</v>
      </c>
      <c r="K4545" s="74" t="s">
        <v>33</v>
      </c>
      <c r="L4545" s="185">
        <v>82060</v>
      </c>
      <c r="N4545" s="185">
        <f t="shared" si="70"/>
        <v>0</v>
      </c>
    </row>
    <row r="4546" spans="2:14">
      <c r="B4546" s="46"/>
      <c r="C4546" s="46"/>
      <c r="D4546" s="1671">
        <v>2210700</v>
      </c>
      <c r="E4546" s="1680" t="s">
        <v>271</v>
      </c>
      <c r="F4546" s="1971">
        <v>1434360</v>
      </c>
      <c r="H4546" s="46"/>
      <c r="I4546" s="46"/>
      <c r="J4546" s="1671">
        <v>2210700</v>
      </c>
      <c r="K4546" s="1680" t="s">
        <v>271</v>
      </c>
      <c r="L4546" s="1971">
        <v>1434360</v>
      </c>
      <c r="N4546" s="1971">
        <f t="shared" si="70"/>
        <v>0</v>
      </c>
    </row>
    <row r="4547" spans="2:14">
      <c r="B4547" s="46"/>
      <c r="C4547" s="46"/>
      <c r="D4547" s="61">
        <v>2210701</v>
      </c>
      <c r="E4547" s="74" t="s">
        <v>272</v>
      </c>
      <c r="F4547" s="185">
        <v>618974</v>
      </c>
      <c r="H4547" s="46"/>
      <c r="I4547" s="46"/>
      <c r="J4547" s="61">
        <v>2210701</v>
      </c>
      <c r="K4547" s="74" t="s">
        <v>272</v>
      </c>
      <c r="L4547" s="185">
        <v>618974</v>
      </c>
      <c r="N4547" s="185">
        <f t="shared" si="70"/>
        <v>0</v>
      </c>
    </row>
    <row r="4548" spans="2:14">
      <c r="B4548" s="46"/>
      <c r="C4548" s="46"/>
      <c r="D4548" s="61">
        <v>2210703</v>
      </c>
      <c r="E4548" s="74" t="s">
        <v>273</v>
      </c>
      <c r="F4548" s="185">
        <v>114975</v>
      </c>
      <c r="H4548" s="46"/>
      <c r="I4548" s="46"/>
      <c r="J4548" s="61">
        <v>2210703</v>
      </c>
      <c r="K4548" s="74" t="s">
        <v>273</v>
      </c>
      <c r="L4548" s="185">
        <v>114975</v>
      </c>
      <c r="N4548" s="185">
        <f t="shared" si="70"/>
        <v>0</v>
      </c>
    </row>
    <row r="4549" spans="2:14">
      <c r="B4549" s="46"/>
      <c r="C4549" s="46"/>
      <c r="D4549" s="61">
        <v>2210704</v>
      </c>
      <c r="E4549" s="74" t="s">
        <v>274</v>
      </c>
      <c r="F4549" s="185">
        <v>127841</v>
      </c>
      <c r="H4549" s="46"/>
      <c r="I4549" s="46"/>
      <c r="J4549" s="61">
        <v>2210704</v>
      </c>
      <c r="K4549" s="74" t="s">
        <v>274</v>
      </c>
      <c r="L4549" s="185">
        <v>127841</v>
      </c>
      <c r="N4549" s="185">
        <f t="shared" si="70"/>
        <v>0</v>
      </c>
    </row>
    <row r="4550" spans="2:14">
      <c r="B4550" s="46"/>
      <c r="C4550" s="46"/>
      <c r="D4550" s="61">
        <v>2210710</v>
      </c>
      <c r="E4550" s="74" t="s">
        <v>39</v>
      </c>
      <c r="F4550" s="185">
        <v>572570</v>
      </c>
      <c r="H4550" s="46"/>
      <c r="I4550" s="46"/>
      <c r="J4550" s="61">
        <v>2210710</v>
      </c>
      <c r="K4550" s="74" t="s">
        <v>39</v>
      </c>
      <c r="L4550" s="185">
        <v>572570</v>
      </c>
      <c r="N4550" s="185">
        <f t="shared" si="70"/>
        <v>0</v>
      </c>
    </row>
    <row r="4551" spans="2:14">
      <c r="B4551" s="46"/>
      <c r="C4551" s="46"/>
      <c r="D4551" s="1671">
        <v>2210800</v>
      </c>
      <c r="E4551" s="1680" t="s">
        <v>42</v>
      </c>
      <c r="F4551" s="1971">
        <v>461540</v>
      </c>
      <c r="H4551" s="46"/>
      <c r="I4551" s="46"/>
      <c r="J4551" s="1671">
        <v>2210800</v>
      </c>
      <c r="K4551" s="1680" t="s">
        <v>42</v>
      </c>
      <c r="L4551" s="1971">
        <v>461540</v>
      </c>
      <c r="N4551" s="1971">
        <f t="shared" si="70"/>
        <v>0</v>
      </c>
    </row>
    <row r="4552" spans="2:14">
      <c r="B4552" s="46"/>
      <c r="C4552" s="46"/>
      <c r="D4552" s="61">
        <v>2210801</v>
      </c>
      <c r="E4552" s="74" t="s">
        <v>275</v>
      </c>
      <c r="F4552" s="185">
        <v>312456</v>
      </c>
      <c r="H4552" s="46"/>
      <c r="I4552" s="46"/>
      <c r="J4552" s="61">
        <v>2210801</v>
      </c>
      <c r="K4552" s="74" t="s">
        <v>275</v>
      </c>
      <c r="L4552" s="185">
        <v>312456</v>
      </c>
      <c r="N4552" s="185">
        <f t="shared" ref="N4552:N4615" si="71">F4552-L4552</f>
        <v>0</v>
      </c>
    </row>
    <row r="4553" spans="2:14">
      <c r="B4553" s="46"/>
      <c r="C4553" s="46"/>
      <c r="D4553" s="61">
        <v>2210802</v>
      </c>
      <c r="E4553" s="74" t="s">
        <v>97</v>
      </c>
      <c r="F4553" s="185">
        <v>149084</v>
      </c>
      <c r="H4553" s="46"/>
      <c r="I4553" s="46"/>
      <c r="J4553" s="61">
        <v>2210802</v>
      </c>
      <c r="K4553" s="74" t="s">
        <v>97</v>
      </c>
      <c r="L4553" s="185">
        <v>149084</v>
      </c>
      <c r="N4553" s="185">
        <f t="shared" si="71"/>
        <v>0</v>
      </c>
    </row>
    <row r="4554" spans="2:14">
      <c r="B4554" s="46"/>
      <c r="C4554" s="46"/>
      <c r="D4554" s="1671">
        <v>2211100</v>
      </c>
      <c r="E4554" s="1680" t="s">
        <v>276</v>
      </c>
      <c r="F4554" s="1971">
        <v>248441</v>
      </c>
      <c r="H4554" s="46"/>
      <c r="I4554" s="46"/>
      <c r="J4554" s="1671">
        <v>2211100</v>
      </c>
      <c r="K4554" s="1680" t="s">
        <v>276</v>
      </c>
      <c r="L4554" s="1971">
        <v>248441</v>
      </c>
      <c r="N4554" s="1971">
        <f t="shared" si="71"/>
        <v>0</v>
      </c>
    </row>
    <row r="4555" spans="2:14">
      <c r="B4555" s="46"/>
      <c r="C4555" s="46"/>
      <c r="D4555" s="61">
        <v>2211101</v>
      </c>
      <c r="E4555" s="74" t="s">
        <v>277</v>
      </c>
      <c r="F4555" s="185">
        <v>116651</v>
      </c>
      <c r="H4555" s="46"/>
      <c r="I4555" s="46"/>
      <c r="J4555" s="61">
        <v>2211101</v>
      </c>
      <c r="K4555" s="74" t="s">
        <v>277</v>
      </c>
      <c r="L4555" s="185">
        <v>116651</v>
      </c>
      <c r="N4555" s="185">
        <f t="shared" si="71"/>
        <v>0</v>
      </c>
    </row>
    <row r="4556" spans="2:14">
      <c r="B4556" s="46"/>
      <c r="C4556" s="46"/>
      <c r="D4556" s="61">
        <v>2211102</v>
      </c>
      <c r="E4556" s="74" t="s">
        <v>53</v>
      </c>
      <c r="F4556" s="185">
        <v>73705</v>
      </c>
      <c r="H4556" s="46"/>
      <c r="I4556" s="46"/>
      <c r="J4556" s="61">
        <v>2211102</v>
      </c>
      <c r="K4556" s="74" t="s">
        <v>53</v>
      </c>
      <c r="L4556" s="185">
        <v>73705</v>
      </c>
      <c r="N4556" s="185">
        <f t="shared" si="71"/>
        <v>0</v>
      </c>
    </row>
    <row r="4557" spans="2:14">
      <c r="B4557" s="46"/>
      <c r="C4557" s="46"/>
      <c r="D4557" s="61">
        <v>2211103</v>
      </c>
      <c r="E4557" s="74" t="s">
        <v>54</v>
      </c>
      <c r="F4557" s="185">
        <v>58085</v>
      </c>
      <c r="H4557" s="46"/>
      <c r="I4557" s="46"/>
      <c r="J4557" s="61">
        <v>2211103</v>
      </c>
      <c r="K4557" s="74" t="s">
        <v>54</v>
      </c>
      <c r="L4557" s="185">
        <v>58085</v>
      </c>
      <c r="N4557" s="185">
        <f t="shared" si="71"/>
        <v>0</v>
      </c>
    </row>
    <row r="4558" spans="2:14">
      <c r="B4558" s="46"/>
      <c r="C4558" s="46"/>
      <c r="D4558" s="1671">
        <v>2211200</v>
      </c>
      <c r="E4558" s="1680" t="s">
        <v>55</v>
      </c>
      <c r="F4558" s="1971">
        <v>796340</v>
      </c>
      <c r="H4558" s="46"/>
      <c r="I4558" s="46"/>
      <c r="J4558" s="1671">
        <v>2211200</v>
      </c>
      <c r="K4558" s="1680" t="s">
        <v>55</v>
      </c>
      <c r="L4558" s="1971">
        <v>796340</v>
      </c>
      <c r="N4558" s="1971">
        <f t="shared" si="71"/>
        <v>0</v>
      </c>
    </row>
    <row r="4559" spans="2:14">
      <c r="B4559" s="46"/>
      <c r="C4559" s="46"/>
      <c r="D4559" s="61">
        <v>2211201</v>
      </c>
      <c r="E4559" s="74" t="s">
        <v>56</v>
      </c>
      <c r="F4559" s="185">
        <v>796340</v>
      </c>
      <c r="H4559" s="46"/>
      <c r="I4559" s="46"/>
      <c r="J4559" s="61">
        <v>2211201</v>
      </c>
      <c r="K4559" s="74" t="s">
        <v>56</v>
      </c>
      <c r="L4559" s="185">
        <v>796340</v>
      </c>
      <c r="N4559" s="185">
        <f t="shared" si="71"/>
        <v>0</v>
      </c>
    </row>
    <row r="4560" spans="2:14">
      <c r="B4560" s="46"/>
      <c r="C4560" s="46"/>
      <c r="D4560" s="1671">
        <v>2220100</v>
      </c>
      <c r="E4560" s="1680" t="s">
        <v>200</v>
      </c>
      <c r="F4560" s="1971">
        <v>154471</v>
      </c>
      <c r="H4560" s="46"/>
      <c r="I4560" s="46"/>
      <c r="J4560" s="1671">
        <v>2220100</v>
      </c>
      <c r="K4560" s="1680" t="s">
        <v>200</v>
      </c>
      <c r="L4560" s="1971">
        <v>154471</v>
      </c>
      <c r="N4560" s="1971">
        <f t="shared" si="71"/>
        <v>0</v>
      </c>
    </row>
    <row r="4561" spans="2:14">
      <c r="B4561" s="46"/>
      <c r="C4561" s="46"/>
      <c r="D4561" s="61">
        <v>2220101</v>
      </c>
      <c r="E4561" s="74" t="s">
        <v>200</v>
      </c>
      <c r="F4561" s="185">
        <v>154471</v>
      </c>
      <c r="H4561" s="46"/>
      <c r="I4561" s="46"/>
      <c r="J4561" s="61">
        <v>2220101</v>
      </c>
      <c r="K4561" s="74" t="s">
        <v>200</v>
      </c>
      <c r="L4561" s="185">
        <v>154471</v>
      </c>
      <c r="N4561" s="185">
        <f t="shared" si="71"/>
        <v>0</v>
      </c>
    </row>
    <row r="4562" spans="2:14">
      <c r="B4562" s="46"/>
      <c r="C4562" s="46"/>
      <c r="D4562" s="1671">
        <v>2220200</v>
      </c>
      <c r="E4562" s="1680" t="s">
        <v>124</v>
      </c>
      <c r="F4562" s="1971">
        <v>76845</v>
      </c>
      <c r="H4562" s="46"/>
      <c r="I4562" s="46"/>
      <c r="J4562" s="1671">
        <v>2220200</v>
      </c>
      <c r="K4562" s="1680" t="s">
        <v>124</v>
      </c>
      <c r="L4562" s="1971">
        <v>76845</v>
      </c>
      <c r="N4562" s="1971">
        <f t="shared" si="71"/>
        <v>0</v>
      </c>
    </row>
    <row r="4563" spans="2:14">
      <c r="B4563" s="46"/>
      <c r="C4563" s="46"/>
      <c r="D4563" s="61">
        <v>2220210</v>
      </c>
      <c r="E4563" s="74" t="s">
        <v>163</v>
      </c>
      <c r="F4563" s="185">
        <v>76845</v>
      </c>
      <c r="H4563" s="46"/>
      <c r="I4563" s="46"/>
      <c r="J4563" s="61">
        <v>2220210</v>
      </c>
      <c r="K4563" s="74" t="s">
        <v>163</v>
      </c>
      <c r="L4563" s="185">
        <v>76845</v>
      </c>
      <c r="N4563" s="185">
        <f t="shared" si="71"/>
        <v>0</v>
      </c>
    </row>
    <row r="4564" spans="2:14">
      <c r="B4564" s="46"/>
      <c r="C4564" s="46"/>
      <c r="D4564" s="1671">
        <v>3111000</v>
      </c>
      <c r="E4564" s="1680" t="s">
        <v>69</v>
      </c>
      <c r="F4564" s="1971">
        <v>373802</v>
      </c>
      <c r="H4564" s="46"/>
      <c r="I4564" s="46"/>
      <c r="J4564" s="1671">
        <v>3111000</v>
      </c>
      <c r="K4564" s="1680" t="s">
        <v>69</v>
      </c>
      <c r="L4564" s="1971">
        <v>373802</v>
      </c>
      <c r="N4564" s="1971">
        <f t="shared" si="71"/>
        <v>0</v>
      </c>
    </row>
    <row r="4565" spans="2:14">
      <c r="B4565" s="46"/>
      <c r="C4565" s="46"/>
      <c r="D4565" s="1991">
        <v>3111001</v>
      </c>
      <c r="E4565" s="1992" t="s">
        <v>70</v>
      </c>
      <c r="F4565" s="185">
        <v>125123</v>
      </c>
      <c r="H4565" s="46"/>
      <c r="I4565" s="46"/>
      <c r="J4565" s="1991">
        <v>3111001</v>
      </c>
      <c r="K4565" s="1992" t="s">
        <v>70</v>
      </c>
      <c r="L4565" s="185">
        <v>125123</v>
      </c>
      <c r="N4565" s="185">
        <f t="shared" si="71"/>
        <v>0</v>
      </c>
    </row>
    <row r="4566" spans="2:14">
      <c r="B4566" s="46"/>
      <c r="C4566" s="46"/>
      <c r="D4566" s="61">
        <v>3111002</v>
      </c>
      <c r="E4566" s="74" t="s">
        <v>71</v>
      </c>
      <c r="F4566" s="185">
        <v>248679</v>
      </c>
      <c r="H4566" s="46"/>
      <c r="I4566" s="46"/>
      <c r="J4566" s="61">
        <v>3111002</v>
      </c>
      <c r="K4566" s="74" t="s">
        <v>71</v>
      </c>
      <c r="L4566" s="185">
        <v>248679</v>
      </c>
      <c r="N4566" s="185">
        <f t="shared" si="71"/>
        <v>0</v>
      </c>
    </row>
    <row r="4567" spans="2:14">
      <c r="B4567" s="46"/>
      <c r="C4567" s="46"/>
      <c r="D4567" s="61"/>
      <c r="E4567" s="1680" t="s">
        <v>278</v>
      </c>
      <c r="F4567" s="1971">
        <v>59690830</v>
      </c>
      <c r="H4567" s="46"/>
      <c r="I4567" s="46"/>
      <c r="J4567" s="61"/>
      <c r="K4567" s="1680" t="s">
        <v>278</v>
      </c>
      <c r="L4567" s="1971">
        <v>59690830</v>
      </c>
      <c r="N4567" s="1971">
        <f t="shared" si="71"/>
        <v>0</v>
      </c>
    </row>
    <row r="4568" spans="2:14">
      <c r="B4568" s="46"/>
      <c r="C4568" s="46"/>
      <c r="D4568" s="61"/>
      <c r="E4568" s="1680"/>
      <c r="F4568" s="1971"/>
      <c r="H4568" s="46"/>
      <c r="I4568" s="46"/>
      <c r="J4568" s="61"/>
      <c r="K4568" s="1680"/>
      <c r="L4568" s="1971"/>
      <c r="N4568" s="1971">
        <f t="shared" si="71"/>
        <v>0</v>
      </c>
    </row>
    <row r="4569" spans="2:14">
      <c r="B4569" s="46"/>
      <c r="C4569" s="46"/>
      <c r="D4569" s="61"/>
      <c r="E4569" s="1680"/>
      <c r="F4569" s="1971"/>
      <c r="H4569" s="46"/>
      <c r="I4569" s="46"/>
      <c r="J4569" s="61"/>
      <c r="K4569" s="1680"/>
      <c r="L4569" s="1971"/>
      <c r="N4569" s="1971">
        <f t="shared" si="71"/>
        <v>0</v>
      </c>
    </row>
    <row r="4570" spans="2:14">
      <c r="B4570" s="46"/>
      <c r="C4570" s="46"/>
      <c r="D4570" s="1968" t="s">
        <v>801</v>
      </c>
      <c r="E4570" s="1680"/>
      <c r="F4570" s="1971"/>
      <c r="H4570" s="46"/>
      <c r="I4570" s="46"/>
      <c r="J4570" s="1968" t="s">
        <v>801</v>
      </c>
      <c r="K4570" s="1680"/>
      <c r="L4570" s="1971"/>
      <c r="N4570" s="1971">
        <f t="shared" si="71"/>
        <v>0</v>
      </c>
    </row>
    <row r="4571" spans="2:14">
      <c r="B4571" s="46"/>
      <c r="C4571" s="46"/>
      <c r="D4571" s="1969" t="s">
        <v>802</v>
      </c>
      <c r="E4571" s="1680"/>
      <c r="F4571" s="1971"/>
      <c r="H4571" s="46"/>
      <c r="I4571" s="46"/>
      <c r="J4571" s="1969" t="s">
        <v>802</v>
      </c>
      <c r="K4571" s="1680"/>
      <c r="L4571" s="1971"/>
      <c r="N4571" s="1971">
        <f t="shared" si="71"/>
        <v>0</v>
      </c>
    </row>
    <row r="4572" spans="2:14">
      <c r="B4572" s="46"/>
      <c r="C4572" s="46"/>
      <c r="D4572" s="1671" t="s">
        <v>803</v>
      </c>
      <c r="E4572" s="1680"/>
      <c r="F4572" s="1971"/>
      <c r="H4572" s="46"/>
      <c r="I4572" s="46"/>
      <c r="J4572" s="1671" t="s">
        <v>803</v>
      </c>
      <c r="K4572" s="1680"/>
      <c r="L4572" s="1971"/>
      <c r="N4572" s="1971">
        <f t="shared" si="71"/>
        <v>0</v>
      </c>
    </row>
    <row r="4573" spans="2:14">
      <c r="B4573" s="46"/>
      <c r="C4573" s="46"/>
      <c r="D4573" s="1671">
        <v>2210100</v>
      </c>
      <c r="E4573" s="1680" t="s">
        <v>16</v>
      </c>
      <c r="F4573" s="1971">
        <v>63140</v>
      </c>
      <c r="H4573" s="46"/>
      <c r="I4573" s="46"/>
      <c r="J4573" s="1671">
        <v>2210100</v>
      </c>
      <c r="K4573" s="1680" t="s">
        <v>16</v>
      </c>
      <c r="L4573" s="1971">
        <v>63140</v>
      </c>
      <c r="N4573" s="1971">
        <f t="shared" si="71"/>
        <v>0</v>
      </c>
    </row>
    <row r="4574" spans="2:14">
      <c r="B4574" s="46"/>
      <c r="C4574" s="46"/>
      <c r="D4574" s="61">
        <v>2210101</v>
      </c>
      <c r="E4574" s="74" t="s">
        <v>784</v>
      </c>
      <c r="F4574" s="185">
        <v>39463</v>
      </c>
      <c r="H4574" s="46"/>
      <c r="I4574" s="46"/>
      <c r="J4574" s="61">
        <v>2210101</v>
      </c>
      <c r="K4574" s="74" t="s">
        <v>784</v>
      </c>
      <c r="L4574" s="185">
        <v>39463</v>
      </c>
      <c r="N4574" s="185">
        <f t="shared" si="71"/>
        <v>0</v>
      </c>
    </row>
    <row r="4575" spans="2:14">
      <c r="B4575" s="46"/>
      <c r="C4575" s="46"/>
      <c r="D4575" s="61">
        <v>2210102</v>
      </c>
      <c r="E4575" s="74" t="s">
        <v>785</v>
      </c>
      <c r="F4575" s="185">
        <v>23677</v>
      </c>
      <c r="H4575" s="46"/>
      <c r="I4575" s="46"/>
      <c r="J4575" s="61">
        <v>2210102</v>
      </c>
      <c r="K4575" s="74" t="s">
        <v>785</v>
      </c>
      <c r="L4575" s="185">
        <v>23677</v>
      </c>
      <c r="N4575" s="185">
        <f t="shared" si="71"/>
        <v>0</v>
      </c>
    </row>
    <row r="4576" spans="2:14">
      <c r="B4576" s="46"/>
      <c r="C4576" s="46"/>
      <c r="D4576" s="1671">
        <v>2210200</v>
      </c>
      <c r="E4576" s="1680" t="s">
        <v>20</v>
      </c>
      <c r="F4576" s="1971">
        <v>119389</v>
      </c>
      <c r="H4576" s="46"/>
      <c r="I4576" s="46"/>
      <c r="J4576" s="1671">
        <v>2210200</v>
      </c>
      <c r="K4576" s="1680" t="s">
        <v>20</v>
      </c>
      <c r="L4576" s="1971">
        <v>119389</v>
      </c>
      <c r="N4576" s="1971">
        <f t="shared" si="71"/>
        <v>0</v>
      </c>
    </row>
    <row r="4577" spans="2:14">
      <c r="B4577" s="46"/>
      <c r="C4577" s="46"/>
      <c r="D4577" s="61">
        <v>2210201</v>
      </c>
      <c r="E4577" s="74" t="s">
        <v>786</v>
      </c>
      <c r="F4577" s="185">
        <v>90389</v>
      </c>
      <c r="H4577" s="46"/>
      <c r="I4577" s="46"/>
      <c r="J4577" s="61">
        <v>2210201</v>
      </c>
      <c r="K4577" s="74" t="s">
        <v>786</v>
      </c>
      <c r="L4577" s="185">
        <v>90389</v>
      </c>
      <c r="N4577" s="185">
        <f t="shared" si="71"/>
        <v>0</v>
      </c>
    </row>
    <row r="4578" spans="2:14">
      <c r="B4578" s="46"/>
      <c r="C4578" s="46"/>
      <c r="D4578" s="61">
        <v>2210202</v>
      </c>
      <c r="E4578" s="74" t="s">
        <v>804</v>
      </c>
      <c r="F4578" s="185">
        <v>29000</v>
      </c>
      <c r="H4578" s="46"/>
      <c r="I4578" s="46"/>
      <c r="J4578" s="61">
        <v>2210202</v>
      </c>
      <c r="K4578" s="74" t="s">
        <v>804</v>
      </c>
      <c r="L4578" s="185">
        <v>29000</v>
      </c>
      <c r="N4578" s="185">
        <f t="shared" si="71"/>
        <v>0</v>
      </c>
    </row>
    <row r="4579" spans="2:14">
      <c r="B4579" s="46"/>
      <c r="C4579" s="46"/>
      <c r="D4579" s="1671">
        <v>2210300</v>
      </c>
      <c r="E4579" s="1680" t="s">
        <v>267</v>
      </c>
      <c r="F4579" s="1971">
        <v>1102107</v>
      </c>
      <c r="H4579" s="46"/>
      <c r="I4579" s="46"/>
      <c r="J4579" s="1671">
        <v>2210300</v>
      </c>
      <c r="K4579" s="1680" t="s">
        <v>267</v>
      </c>
      <c r="L4579" s="1971">
        <v>1102107</v>
      </c>
      <c r="N4579" s="1971">
        <f t="shared" si="71"/>
        <v>0</v>
      </c>
    </row>
    <row r="4580" spans="2:14">
      <c r="B4580" s="46"/>
      <c r="C4580" s="46"/>
      <c r="D4580" s="61">
        <v>2210301</v>
      </c>
      <c r="E4580" s="74" t="s">
        <v>25</v>
      </c>
      <c r="F4580" s="185">
        <v>190936</v>
      </c>
      <c r="H4580" s="46"/>
      <c r="I4580" s="46"/>
      <c r="J4580" s="61">
        <v>2210301</v>
      </c>
      <c r="K4580" s="74" t="s">
        <v>25</v>
      </c>
      <c r="L4580" s="185">
        <v>190936</v>
      </c>
      <c r="N4580" s="185">
        <f t="shared" si="71"/>
        <v>0</v>
      </c>
    </row>
    <row r="4581" spans="2:14">
      <c r="B4581" s="46"/>
      <c r="C4581" s="46"/>
      <c r="D4581" s="61">
        <v>2210302</v>
      </c>
      <c r="E4581" s="74" t="s">
        <v>787</v>
      </c>
      <c r="F4581" s="185">
        <v>476180</v>
      </c>
      <c r="H4581" s="46"/>
      <c r="I4581" s="46"/>
      <c r="J4581" s="61">
        <v>2210302</v>
      </c>
      <c r="K4581" s="74" t="s">
        <v>787</v>
      </c>
      <c r="L4581" s="185">
        <v>476180</v>
      </c>
      <c r="N4581" s="185">
        <f t="shared" si="71"/>
        <v>0</v>
      </c>
    </row>
    <row r="4582" spans="2:14">
      <c r="B4582" s="46"/>
      <c r="C4582" s="46"/>
      <c r="D4582" s="61">
        <v>2210303</v>
      </c>
      <c r="E4582" s="74" t="s">
        <v>27</v>
      </c>
      <c r="F4582" s="185">
        <v>434991</v>
      </c>
      <c r="H4582" s="46"/>
      <c r="I4582" s="46"/>
      <c r="J4582" s="61">
        <v>2210303</v>
      </c>
      <c r="K4582" s="74" t="s">
        <v>27</v>
      </c>
      <c r="L4582" s="185">
        <v>434991</v>
      </c>
      <c r="N4582" s="185">
        <f t="shared" si="71"/>
        <v>0</v>
      </c>
    </row>
    <row r="4583" spans="2:14">
      <c r="B4583" s="46"/>
      <c r="C4583" s="46"/>
      <c r="D4583" s="1671">
        <v>2210500</v>
      </c>
      <c r="E4583" s="1680" t="s">
        <v>31</v>
      </c>
      <c r="F4583" s="1971">
        <v>31088</v>
      </c>
      <c r="H4583" s="46"/>
      <c r="I4583" s="46"/>
      <c r="J4583" s="1671">
        <v>2210500</v>
      </c>
      <c r="K4583" s="1680" t="s">
        <v>31</v>
      </c>
      <c r="L4583" s="1971">
        <v>31088</v>
      </c>
      <c r="N4583" s="1971">
        <f t="shared" si="71"/>
        <v>0</v>
      </c>
    </row>
    <row r="4584" spans="2:14">
      <c r="B4584" s="46"/>
      <c r="C4584" s="46"/>
      <c r="D4584" s="61">
        <v>2210504</v>
      </c>
      <c r="E4584" s="74" t="s">
        <v>33</v>
      </c>
      <c r="F4584" s="185">
        <v>31088</v>
      </c>
      <c r="H4584" s="46"/>
      <c r="I4584" s="46"/>
      <c r="J4584" s="61">
        <v>2210504</v>
      </c>
      <c r="K4584" s="74" t="s">
        <v>33</v>
      </c>
      <c r="L4584" s="185">
        <v>31088</v>
      </c>
      <c r="N4584" s="185">
        <f t="shared" si="71"/>
        <v>0</v>
      </c>
    </row>
    <row r="4585" spans="2:14">
      <c r="B4585" s="1967"/>
      <c r="C4585" s="1967"/>
      <c r="D4585" s="1671">
        <v>2210700</v>
      </c>
      <c r="E4585" s="1680" t="s">
        <v>114</v>
      </c>
      <c r="F4585" s="1971">
        <v>1089060</v>
      </c>
      <c r="H4585" s="1967"/>
      <c r="I4585" s="1967"/>
      <c r="J4585" s="1671">
        <v>2210700</v>
      </c>
      <c r="K4585" s="1680" t="s">
        <v>114</v>
      </c>
      <c r="L4585" s="1971">
        <v>1089060</v>
      </c>
      <c r="N4585" s="1971">
        <f t="shared" si="71"/>
        <v>0</v>
      </c>
    </row>
    <row r="4586" spans="2:14">
      <c r="B4586" s="1967"/>
      <c r="C4586" s="1967"/>
      <c r="D4586" s="61">
        <v>2210701</v>
      </c>
      <c r="E4586" s="74" t="s">
        <v>287</v>
      </c>
      <c r="F4586" s="185">
        <v>498560</v>
      </c>
      <c r="H4586" s="1967"/>
      <c r="I4586" s="1967"/>
      <c r="J4586" s="61">
        <v>2210701</v>
      </c>
      <c r="K4586" s="74" t="s">
        <v>287</v>
      </c>
      <c r="L4586" s="185">
        <v>498560</v>
      </c>
      <c r="N4586" s="185">
        <f t="shared" si="71"/>
        <v>0</v>
      </c>
    </row>
    <row r="4587" spans="2:14">
      <c r="B4587" s="46"/>
      <c r="C4587" s="46"/>
      <c r="D4587" s="61">
        <v>2210704</v>
      </c>
      <c r="E4587" s="74" t="s">
        <v>790</v>
      </c>
      <c r="F4587" s="185">
        <v>36020</v>
      </c>
      <c r="H4587" s="46"/>
      <c r="I4587" s="46"/>
      <c r="J4587" s="61">
        <v>2210704</v>
      </c>
      <c r="K4587" s="74" t="s">
        <v>790</v>
      </c>
      <c r="L4587" s="185">
        <v>36020</v>
      </c>
      <c r="N4587" s="185">
        <f t="shared" si="71"/>
        <v>0</v>
      </c>
    </row>
    <row r="4588" spans="2:14">
      <c r="B4588" s="46"/>
      <c r="C4588" s="46"/>
      <c r="D4588" s="61">
        <v>2210710</v>
      </c>
      <c r="E4588" s="74" t="s">
        <v>288</v>
      </c>
      <c r="F4588" s="185">
        <v>554480</v>
      </c>
      <c r="H4588" s="46"/>
      <c r="I4588" s="46"/>
      <c r="J4588" s="61">
        <v>2210710</v>
      </c>
      <c r="K4588" s="74" t="s">
        <v>288</v>
      </c>
      <c r="L4588" s="185">
        <v>554480</v>
      </c>
      <c r="N4588" s="185">
        <f t="shared" si="71"/>
        <v>0</v>
      </c>
    </row>
    <row r="4589" spans="2:14">
      <c r="B4589" s="46"/>
      <c r="C4589" s="46"/>
      <c r="D4589" s="1671">
        <v>2210800</v>
      </c>
      <c r="E4589" s="1680" t="s">
        <v>42</v>
      </c>
      <c r="F4589" s="1971">
        <v>62384</v>
      </c>
      <c r="H4589" s="46"/>
      <c r="I4589" s="46"/>
      <c r="J4589" s="1671">
        <v>2210800</v>
      </c>
      <c r="K4589" s="1680" t="s">
        <v>42</v>
      </c>
      <c r="L4589" s="1971">
        <v>62384</v>
      </c>
      <c r="N4589" s="1971">
        <f t="shared" si="71"/>
        <v>0</v>
      </c>
    </row>
    <row r="4590" spans="2:14">
      <c r="B4590" s="46"/>
      <c r="C4590" s="46"/>
      <c r="D4590" s="61">
        <v>2210801</v>
      </c>
      <c r="E4590" s="74" t="s">
        <v>43</v>
      </c>
      <c r="F4590" s="185">
        <v>62384</v>
      </c>
      <c r="H4590" s="46"/>
      <c r="I4590" s="46"/>
      <c r="J4590" s="61">
        <v>2210801</v>
      </c>
      <c r="K4590" s="74" t="s">
        <v>43</v>
      </c>
      <c r="L4590" s="185">
        <v>62384</v>
      </c>
      <c r="N4590" s="185">
        <f t="shared" si="71"/>
        <v>0</v>
      </c>
    </row>
    <row r="4591" spans="2:14">
      <c r="B4591" s="46"/>
      <c r="C4591" s="46"/>
      <c r="D4591" s="1671">
        <v>2211000</v>
      </c>
      <c r="E4591" s="1680" t="s">
        <v>118</v>
      </c>
      <c r="F4591" s="1971">
        <v>504160</v>
      </c>
      <c r="H4591" s="46"/>
      <c r="I4591" s="46"/>
      <c r="J4591" s="1671">
        <v>2211000</v>
      </c>
      <c r="K4591" s="1680" t="s">
        <v>118</v>
      </c>
      <c r="L4591" s="1971">
        <v>504160</v>
      </c>
      <c r="N4591" s="1971">
        <f t="shared" si="71"/>
        <v>0</v>
      </c>
    </row>
    <row r="4592" spans="2:14">
      <c r="B4592" s="46"/>
      <c r="C4592" s="46"/>
      <c r="D4592" s="61">
        <v>2211023</v>
      </c>
      <c r="E4592" s="74" t="s">
        <v>805</v>
      </c>
      <c r="F4592" s="185">
        <v>504160</v>
      </c>
      <c r="H4592" s="46"/>
      <c r="I4592" s="46"/>
      <c r="J4592" s="61">
        <v>2211023</v>
      </c>
      <c r="K4592" s="74" t="s">
        <v>805</v>
      </c>
      <c r="L4592" s="185">
        <v>504160</v>
      </c>
      <c r="N4592" s="185">
        <f t="shared" si="71"/>
        <v>0</v>
      </c>
    </row>
    <row r="4593" spans="2:14">
      <c r="B4593" s="46"/>
      <c r="C4593" s="46"/>
      <c r="D4593" s="1671">
        <v>2211100</v>
      </c>
      <c r="E4593" s="1680" t="s">
        <v>51</v>
      </c>
      <c r="F4593" s="1971">
        <v>172774</v>
      </c>
      <c r="H4593" s="46"/>
      <c r="I4593" s="46"/>
      <c r="J4593" s="1671">
        <v>2211100</v>
      </c>
      <c r="K4593" s="1680" t="s">
        <v>51</v>
      </c>
      <c r="L4593" s="1971">
        <v>172774</v>
      </c>
      <c r="N4593" s="1971">
        <f t="shared" si="71"/>
        <v>0</v>
      </c>
    </row>
    <row r="4594" spans="2:14">
      <c r="B4594" s="46"/>
      <c r="C4594" s="46"/>
      <c r="D4594" s="61">
        <v>2211101</v>
      </c>
      <c r="E4594" s="74" t="s">
        <v>792</v>
      </c>
      <c r="F4594" s="185">
        <v>77369</v>
      </c>
      <c r="H4594" s="46"/>
      <c r="I4594" s="46"/>
      <c r="J4594" s="61">
        <v>2211101</v>
      </c>
      <c r="K4594" s="74" t="s">
        <v>792</v>
      </c>
      <c r="L4594" s="185">
        <v>77369</v>
      </c>
      <c r="N4594" s="185">
        <f t="shared" si="71"/>
        <v>0</v>
      </c>
    </row>
    <row r="4595" spans="2:14">
      <c r="B4595" s="46"/>
      <c r="C4595" s="46"/>
      <c r="D4595" s="61">
        <v>2211102</v>
      </c>
      <c r="E4595" s="74" t="s">
        <v>793</v>
      </c>
      <c r="F4595" s="185">
        <v>73080</v>
      </c>
      <c r="H4595" s="46"/>
      <c r="I4595" s="46"/>
      <c r="J4595" s="61">
        <v>2211102</v>
      </c>
      <c r="K4595" s="74" t="s">
        <v>793</v>
      </c>
      <c r="L4595" s="185">
        <v>73080</v>
      </c>
      <c r="N4595" s="185">
        <f t="shared" si="71"/>
        <v>0</v>
      </c>
    </row>
    <row r="4596" spans="2:14">
      <c r="B4596" s="46"/>
      <c r="C4596" s="46"/>
      <c r="D4596" s="61">
        <v>2211103</v>
      </c>
      <c r="E4596" s="74" t="s">
        <v>54</v>
      </c>
      <c r="F4596" s="185">
        <v>22325</v>
      </c>
      <c r="H4596" s="46"/>
      <c r="I4596" s="46"/>
      <c r="J4596" s="61">
        <v>2211103</v>
      </c>
      <c r="K4596" s="74" t="s">
        <v>54</v>
      </c>
      <c r="L4596" s="185">
        <v>22325</v>
      </c>
      <c r="N4596" s="185">
        <f t="shared" si="71"/>
        <v>0</v>
      </c>
    </row>
    <row r="4597" spans="2:14">
      <c r="B4597" s="46"/>
      <c r="C4597" s="46"/>
      <c r="D4597" s="1671">
        <v>2211200</v>
      </c>
      <c r="E4597" s="1680" t="s">
        <v>55</v>
      </c>
      <c r="F4597" s="1971">
        <v>894740</v>
      </c>
      <c r="H4597" s="46"/>
      <c r="I4597" s="46"/>
      <c r="J4597" s="1671">
        <v>2211200</v>
      </c>
      <c r="K4597" s="1680" t="s">
        <v>55</v>
      </c>
      <c r="L4597" s="1971">
        <v>894740</v>
      </c>
      <c r="N4597" s="1971">
        <f t="shared" si="71"/>
        <v>0</v>
      </c>
    </row>
    <row r="4598" spans="2:14">
      <c r="B4598" s="46"/>
      <c r="C4598" s="46"/>
      <c r="D4598" s="61">
        <v>2211201</v>
      </c>
      <c r="E4598" s="74" t="s">
        <v>56</v>
      </c>
      <c r="F4598" s="185">
        <v>894740</v>
      </c>
      <c r="H4598" s="46"/>
      <c r="I4598" s="46"/>
      <c r="J4598" s="61">
        <v>2211201</v>
      </c>
      <c r="K4598" s="74" t="s">
        <v>56</v>
      </c>
      <c r="L4598" s="185">
        <v>894740</v>
      </c>
      <c r="N4598" s="185">
        <f t="shared" si="71"/>
        <v>0</v>
      </c>
    </row>
    <row r="4599" spans="2:14">
      <c r="B4599" s="46"/>
      <c r="C4599" s="46"/>
      <c r="D4599" s="1671">
        <v>2211300</v>
      </c>
      <c r="E4599" s="1680" t="s">
        <v>57</v>
      </c>
      <c r="F4599" s="1971">
        <v>107841</v>
      </c>
      <c r="H4599" s="46"/>
      <c r="I4599" s="46"/>
      <c r="J4599" s="1671">
        <v>2211300</v>
      </c>
      <c r="K4599" s="1680" t="s">
        <v>57</v>
      </c>
      <c r="L4599" s="1971">
        <v>107841</v>
      </c>
      <c r="N4599" s="1971">
        <f t="shared" si="71"/>
        <v>0</v>
      </c>
    </row>
    <row r="4600" spans="2:14">
      <c r="B4600" s="46"/>
      <c r="C4600" s="46"/>
      <c r="D4600" s="61">
        <v>2211305</v>
      </c>
      <c r="E4600" s="74" t="s">
        <v>365</v>
      </c>
      <c r="F4600" s="185">
        <v>107841</v>
      </c>
      <c r="H4600" s="46"/>
      <c r="I4600" s="46"/>
      <c r="J4600" s="61">
        <v>2211305</v>
      </c>
      <c r="K4600" s="74" t="s">
        <v>365</v>
      </c>
      <c r="L4600" s="185">
        <v>107841</v>
      </c>
      <c r="N4600" s="185">
        <f t="shared" si="71"/>
        <v>0</v>
      </c>
    </row>
    <row r="4601" spans="2:14">
      <c r="B4601" s="46"/>
      <c r="C4601" s="46"/>
      <c r="D4601" s="1671">
        <v>2220100</v>
      </c>
      <c r="E4601" s="1680" t="s">
        <v>200</v>
      </c>
      <c r="F4601" s="1971">
        <v>502671</v>
      </c>
      <c r="H4601" s="46"/>
      <c r="I4601" s="46"/>
      <c r="J4601" s="1671">
        <v>2220100</v>
      </c>
      <c r="K4601" s="1680" t="s">
        <v>200</v>
      </c>
      <c r="L4601" s="1971">
        <v>502671</v>
      </c>
      <c r="N4601" s="1971">
        <f t="shared" si="71"/>
        <v>0</v>
      </c>
    </row>
    <row r="4602" spans="2:14">
      <c r="B4602" s="46"/>
      <c r="C4602" s="46"/>
      <c r="D4602" s="61">
        <v>2220101</v>
      </c>
      <c r="E4602" s="74" t="s">
        <v>200</v>
      </c>
      <c r="F4602" s="185">
        <v>502671</v>
      </c>
      <c r="H4602" s="46"/>
      <c r="I4602" s="46"/>
      <c r="J4602" s="61">
        <v>2220101</v>
      </c>
      <c r="K4602" s="74" t="s">
        <v>200</v>
      </c>
      <c r="L4602" s="185">
        <v>502671</v>
      </c>
      <c r="N4602" s="185">
        <f t="shared" si="71"/>
        <v>0</v>
      </c>
    </row>
    <row r="4603" spans="2:14">
      <c r="B4603" s="46"/>
      <c r="C4603" s="46"/>
      <c r="D4603" s="1671">
        <v>2220200</v>
      </c>
      <c r="E4603" s="1680" t="s">
        <v>124</v>
      </c>
      <c r="F4603" s="1971">
        <v>184340</v>
      </c>
      <c r="H4603" s="46"/>
      <c r="I4603" s="46"/>
      <c r="J4603" s="1671">
        <v>2220200</v>
      </c>
      <c r="K4603" s="1680" t="s">
        <v>124</v>
      </c>
      <c r="L4603" s="1971">
        <v>184340</v>
      </c>
      <c r="N4603" s="1971">
        <f t="shared" si="71"/>
        <v>0</v>
      </c>
    </row>
    <row r="4604" spans="2:14">
      <c r="B4604" s="46"/>
      <c r="C4604" s="46"/>
      <c r="D4604" s="61">
        <v>2220202</v>
      </c>
      <c r="E4604" s="74" t="s">
        <v>794</v>
      </c>
      <c r="F4604" s="185">
        <v>98560</v>
      </c>
      <c r="H4604" s="46"/>
      <c r="I4604" s="46"/>
      <c r="J4604" s="61">
        <v>2220202</v>
      </c>
      <c r="K4604" s="74" t="s">
        <v>794</v>
      </c>
      <c r="L4604" s="185">
        <v>98560</v>
      </c>
      <c r="N4604" s="185">
        <f t="shared" si="71"/>
        <v>0</v>
      </c>
    </row>
    <row r="4605" spans="2:14">
      <c r="B4605" s="46"/>
      <c r="C4605" s="46"/>
      <c r="D4605" s="61">
        <v>2220205</v>
      </c>
      <c r="E4605" s="74" t="s">
        <v>806</v>
      </c>
      <c r="F4605" s="185">
        <v>56780</v>
      </c>
      <c r="H4605" s="46"/>
      <c r="I4605" s="46"/>
      <c r="J4605" s="61">
        <v>2220205</v>
      </c>
      <c r="K4605" s="74" t="s">
        <v>806</v>
      </c>
      <c r="L4605" s="185">
        <v>56780</v>
      </c>
      <c r="N4605" s="185">
        <f t="shared" si="71"/>
        <v>0</v>
      </c>
    </row>
    <row r="4606" spans="2:14">
      <c r="B4606" s="46"/>
      <c r="C4606" s="46"/>
      <c r="D4606" s="61">
        <v>2220210</v>
      </c>
      <c r="E4606" s="74" t="s">
        <v>795</v>
      </c>
      <c r="F4606" s="185">
        <v>29000</v>
      </c>
      <c r="H4606" s="46"/>
      <c r="I4606" s="46"/>
      <c r="J4606" s="61">
        <v>2220210</v>
      </c>
      <c r="K4606" s="74" t="s">
        <v>795</v>
      </c>
      <c r="L4606" s="185">
        <v>29000</v>
      </c>
      <c r="N4606" s="185">
        <f t="shared" si="71"/>
        <v>0</v>
      </c>
    </row>
    <row r="4607" spans="2:14" ht="30">
      <c r="B4607" s="46"/>
      <c r="C4607" s="46"/>
      <c r="D4607" s="1671">
        <v>3111400</v>
      </c>
      <c r="E4607" s="1680" t="s">
        <v>294</v>
      </c>
      <c r="F4607" s="1971">
        <v>525678</v>
      </c>
      <c r="H4607" s="46"/>
      <c r="I4607" s="46"/>
      <c r="J4607" s="1671">
        <v>3111400</v>
      </c>
      <c r="K4607" s="1680" t="s">
        <v>294</v>
      </c>
      <c r="L4607" s="1971">
        <v>525678</v>
      </c>
      <c r="N4607" s="1971">
        <f t="shared" si="71"/>
        <v>0</v>
      </c>
    </row>
    <row r="4608" spans="2:14" ht="30">
      <c r="B4608" s="46"/>
      <c r="C4608" s="46"/>
      <c r="D4608" s="61">
        <v>3111499</v>
      </c>
      <c r="E4608" s="99" t="s">
        <v>1775</v>
      </c>
      <c r="F4608" s="185">
        <v>525678</v>
      </c>
      <c r="H4608" s="46"/>
      <c r="I4608" s="46"/>
      <c r="J4608" s="61">
        <v>3111499</v>
      </c>
      <c r="K4608" s="99" t="s">
        <v>1775</v>
      </c>
      <c r="L4608" s="185">
        <v>525678</v>
      </c>
      <c r="N4608" s="185">
        <f t="shared" si="71"/>
        <v>0</v>
      </c>
    </row>
    <row r="4609" spans="2:14">
      <c r="B4609" s="46"/>
      <c r="C4609" s="46"/>
      <c r="D4609" s="61"/>
      <c r="E4609" s="1976" t="s">
        <v>796</v>
      </c>
      <c r="F4609" s="1971">
        <v>5359372</v>
      </c>
      <c r="H4609" s="46"/>
      <c r="I4609" s="46"/>
      <c r="J4609" s="61"/>
      <c r="K4609" s="1976" t="s">
        <v>796</v>
      </c>
      <c r="L4609" s="1971">
        <v>5359372</v>
      </c>
      <c r="N4609" s="1971">
        <f t="shared" si="71"/>
        <v>0</v>
      </c>
    </row>
    <row r="4610" spans="2:14">
      <c r="B4610" s="46"/>
      <c r="C4610" s="46"/>
      <c r="D4610" s="61"/>
      <c r="E4610" s="1976"/>
      <c r="F4610" s="1971"/>
      <c r="H4610" s="46"/>
      <c r="I4610" s="46"/>
      <c r="J4610" s="61"/>
      <c r="K4610" s="1976"/>
      <c r="L4610" s="1971"/>
      <c r="N4610" s="1971">
        <f t="shared" si="71"/>
        <v>0</v>
      </c>
    </row>
    <row r="4611" spans="2:14">
      <c r="B4611" s="46"/>
      <c r="C4611" s="46"/>
      <c r="D4611" s="61"/>
      <c r="E4611" s="1976"/>
      <c r="F4611" s="1971"/>
      <c r="H4611" s="46"/>
      <c r="I4611" s="46"/>
      <c r="J4611" s="61"/>
      <c r="K4611" s="1976"/>
      <c r="L4611" s="1971"/>
      <c r="N4611" s="1971">
        <f t="shared" si="71"/>
        <v>0</v>
      </c>
    </row>
    <row r="4612" spans="2:14">
      <c r="B4612" s="46"/>
      <c r="C4612" s="46"/>
      <c r="D4612" s="1671"/>
      <c r="E4612" s="1680" t="s">
        <v>92</v>
      </c>
      <c r="F4612" s="1971"/>
      <c r="H4612" s="46"/>
      <c r="I4612" s="46"/>
      <c r="J4612" s="1671"/>
      <c r="K4612" s="1680" t="s">
        <v>92</v>
      </c>
      <c r="L4612" s="1971"/>
      <c r="N4612" s="1971">
        <f t="shared" si="71"/>
        <v>0</v>
      </c>
    </row>
    <row r="4613" spans="2:14">
      <c r="B4613" s="46"/>
      <c r="C4613" s="46"/>
      <c r="D4613" s="1671">
        <v>2211000</v>
      </c>
      <c r="E4613" s="1680" t="s">
        <v>118</v>
      </c>
      <c r="F4613" s="1971">
        <v>3000000</v>
      </c>
      <c r="H4613" s="46"/>
      <c r="I4613" s="46"/>
      <c r="J4613" s="1671">
        <v>2211000</v>
      </c>
      <c r="K4613" s="1680" t="s">
        <v>118</v>
      </c>
      <c r="L4613" s="1971">
        <v>3000000</v>
      </c>
      <c r="N4613" s="1971">
        <f t="shared" si="71"/>
        <v>0</v>
      </c>
    </row>
    <row r="4614" spans="2:14" ht="30">
      <c r="B4614" s="46"/>
      <c r="C4614" s="46"/>
      <c r="D4614" s="61">
        <v>2211007</v>
      </c>
      <c r="E4614" s="74" t="s">
        <v>1345</v>
      </c>
      <c r="F4614" s="185">
        <v>3000000</v>
      </c>
      <c r="H4614" s="46"/>
      <c r="I4614" s="46"/>
      <c r="J4614" s="61">
        <v>2211007</v>
      </c>
      <c r="K4614" s="74" t="s">
        <v>1345</v>
      </c>
      <c r="L4614" s="185">
        <v>3000000</v>
      </c>
      <c r="N4614" s="185">
        <f t="shared" si="71"/>
        <v>0</v>
      </c>
    </row>
    <row r="4615" spans="2:14">
      <c r="B4615" s="46"/>
      <c r="C4615" s="46"/>
      <c r="D4615" s="1671">
        <v>3111300</v>
      </c>
      <c r="E4615" s="1584" t="s">
        <v>539</v>
      </c>
      <c r="F4615" s="1971">
        <v>1000000</v>
      </c>
      <c r="H4615" s="46"/>
      <c r="I4615" s="46"/>
      <c r="J4615" s="1671">
        <v>3111300</v>
      </c>
      <c r="K4615" s="1584" t="s">
        <v>539</v>
      </c>
      <c r="L4615" s="1971">
        <v>1000000</v>
      </c>
      <c r="N4615" s="1971">
        <f t="shared" si="71"/>
        <v>0</v>
      </c>
    </row>
    <row r="4616" spans="2:14">
      <c r="B4616" s="46"/>
      <c r="C4616" s="46"/>
      <c r="D4616" s="61">
        <v>3111302</v>
      </c>
      <c r="E4616" s="1585" t="s">
        <v>1346</v>
      </c>
      <c r="F4616" s="185">
        <v>1000000</v>
      </c>
      <c r="H4616" s="46"/>
      <c r="I4616" s="46"/>
      <c r="J4616" s="61">
        <v>3111302</v>
      </c>
      <c r="K4616" s="1585" t="s">
        <v>1346</v>
      </c>
      <c r="L4616" s="185">
        <v>1000000</v>
      </c>
      <c r="N4616" s="185">
        <f t="shared" ref="N4616:N4679" si="72">F4616-L4616</f>
        <v>0</v>
      </c>
    </row>
    <row r="4617" spans="2:14" ht="30">
      <c r="B4617" s="46"/>
      <c r="C4617" s="46"/>
      <c r="D4617" s="1671">
        <v>3111400</v>
      </c>
      <c r="E4617" s="1680" t="s">
        <v>294</v>
      </c>
      <c r="F4617" s="1971">
        <v>1200000</v>
      </c>
      <c r="H4617" s="46"/>
      <c r="I4617" s="46"/>
      <c r="J4617" s="1671">
        <v>3111400</v>
      </c>
      <c r="K4617" s="1680" t="s">
        <v>294</v>
      </c>
      <c r="L4617" s="1971">
        <v>1200000</v>
      </c>
      <c r="N4617" s="1971">
        <f t="shared" si="72"/>
        <v>0</v>
      </c>
    </row>
    <row r="4618" spans="2:14" ht="30">
      <c r="B4618" s="46"/>
      <c r="C4618" s="46"/>
      <c r="D4618" s="61">
        <v>3111499</v>
      </c>
      <c r="E4618" s="99" t="s">
        <v>1347</v>
      </c>
      <c r="F4618" s="185">
        <v>1200000</v>
      </c>
      <c r="H4618" s="46"/>
      <c r="I4618" s="46"/>
      <c r="J4618" s="61">
        <v>3111499</v>
      </c>
      <c r="K4618" s="99" t="s">
        <v>1347</v>
      </c>
      <c r="L4618" s="185">
        <v>1200000</v>
      </c>
      <c r="N4618" s="185">
        <f t="shared" si="72"/>
        <v>0</v>
      </c>
    </row>
    <row r="4619" spans="2:14">
      <c r="B4619" s="46"/>
      <c r="C4619" s="46"/>
      <c r="D4619" s="61"/>
      <c r="E4619" s="1584" t="s">
        <v>261</v>
      </c>
      <c r="F4619" s="1971">
        <v>5200000</v>
      </c>
      <c r="H4619" s="46"/>
      <c r="I4619" s="46"/>
      <c r="J4619" s="61"/>
      <c r="K4619" s="1584" t="s">
        <v>261</v>
      </c>
      <c r="L4619" s="1971">
        <v>5200000</v>
      </c>
      <c r="N4619" s="1971">
        <f t="shared" si="72"/>
        <v>0</v>
      </c>
    </row>
    <row r="4620" spans="2:14">
      <c r="B4620" s="46"/>
      <c r="C4620" s="46"/>
      <c r="D4620" s="61"/>
      <c r="E4620" s="1584" t="s">
        <v>807</v>
      </c>
      <c r="F4620" s="1971">
        <v>10559372</v>
      </c>
      <c r="H4620" s="46"/>
      <c r="I4620" s="46"/>
      <c r="J4620" s="61"/>
      <c r="K4620" s="1584" t="s">
        <v>807</v>
      </c>
      <c r="L4620" s="1971">
        <v>10559372</v>
      </c>
      <c r="N4620" s="1971">
        <f t="shared" si="72"/>
        <v>0</v>
      </c>
    </row>
    <row r="4621" spans="2:14">
      <c r="B4621" s="46"/>
      <c r="C4621" s="46"/>
      <c r="D4621" s="61"/>
      <c r="E4621" s="1584"/>
      <c r="F4621" s="1971"/>
      <c r="H4621" s="46"/>
      <c r="I4621" s="46"/>
      <c r="J4621" s="61"/>
      <c r="K4621" s="1584"/>
      <c r="L4621" s="1971"/>
      <c r="N4621" s="1971">
        <f t="shared" si="72"/>
        <v>0</v>
      </c>
    </row>
    <row r="4622" spans="2:14">
      <c r="B4622" s="46"/>
      <c r="C4622" s="46"/>
      <c r="D4622" s="61"/>
      <c r="E4622" s="1584"/>
      <c r="F4622" s="1971"/>
      <c r="H4622" s="46"/>
      <c r="I4622" s="46"/>
      <c r="J4622" s="61"/>
      <c r="K4622" s="1584"/>
      <c r="L4622" s="1971"/>
      <c r="N4622" s="1971">
        <f t="shared" si="72"/>
        <v>0</v>
      </c>
    </row>
    <row r="4623" spans="2:14">
      <c r="B4623" s="46"/>
      <c r="C4623" s="46"/>
      <c r="D4623" s="1969" t="s">
        <v>808</v>
      </c>
      <c r="E4623" s="1680"/>
      <c r="F4623" s="1971"/>
      <c r="H4623" s="46"/>
      <c r="I4623" s="46"/>
      <c r="J4623" s="1969" t="s">
        <v>808</v>
      </c>
      <c r="K4623" s="1680"/>
      <c r="L4623" s="1971"/>
      <c r="N4623" s="1971">
        <f t="shared" si="72"/>
        <v>0</v>
      </c>
    </row>
    <row r="4624" spans="2:14">
      <c r="B4624" s="46"/>
      <c r="C4624" s="46"/>
      <c r="D4624" s="1671">
        <v>2210100</v>
      </c>
      <c r="E4624" s="1680" t="s">
        <v>285</v>
      </c>
      <c r="F4624" s="1971">
        <v>84152</v>
      </c>
      <c r="H4624" s="46"/>
      <c r="I4624" s="46"/>
      <c r="J4624" s="1671">
        <v>2210100</v>
      </c>
      <c r="K4624" s="1680" t="s">
        <v>285</v>
      </c>
      <c r="L4624" s="1971">
        <v>84152</v>
      </c>
      <c r="N4624" s="1971">
        <f t="shared" si="72"/>
        <v>0</v>
      </c>
    </row>
    <row r="4625" spans="2:14">
      <c r="B4625" s="46"/>
      <c r="C4625" s="46"/>
      <c r="D4625" s="61">
        <v>2210101</v>
      </c>
      <c r="E4625" s="74" t="s">
        <v>17</v>
      </c>
      <c r="F4625" s="185">
        <v>63052</v>
      </c>
      <c r="H4625" s="46"/>
      <c r="I4625" s="46"/>
      <c r="J4625" s="61">
        <v>2210101</v>
      </c>
      <c r="K4625" s="74" t="s">
        <v>17</v>
      </c>
      <c r="L4625" s="185">
        <v>63052</v>
      </c>
      <c r="N4625" s="185">
        <f t="shared" si="72"/>
        <v>0</v>
      </c>
    </row>
    <row r="4626" spans="2:14">
      <c r="B4626" s="46"/>
      <c r="C4626" s="46"/>
      <c r="D4626" s="61">
        <v>2210102</v>
      </c>
      <c r="E4626" s="74" t="s">
        <v>18</v>
      </c>
      <c r="F4626" s="185">
        <v>21100</v>
      </c>
      <c r="H4626" s="46"/>
      <c r="I4626" s="46"/>
      <c r="J4626" s="61">
        <v>2210102</v>
      </c>
      <c r="K4626" s="74" t="s">
        <v>18</v>
      </c>
      <c r="L4626" s="185">
        <v>21100</v>
      </c>
      <c r="N4626" s="185">
        <f t="shared" si="72"/>
        <v>0</v>
      </c>
    </row>
    <row r="4627" spans="2:14">
      <c r="B4627" s="46"/>
      <c r="C4627" s="46"/>
      <c r="D4627" s="1671">
        <v>2210200</v>
      </c>
      <c r="E4627" s="1680" t="s">
        <v>286</v>
      </c>
      <c r="F4627" s="1971">
        <v>112949</v>
      </c>
      <c r="H4627" s="46"/>
      <c r="I4627" s="46"/>
      <c r="J4627" s="1671">
        <v>2210200</v>
      </c>
      <c r="K4627" s="1680" t="s">
        <v>286</v>
      </c>
      <c r="L4627" s="1971">
        <v>112949</v>
      </c>
      <c r="N4627" s="1971">
        <f t="shared" si="72"/>
        <v>0</v>
      </c>
    </row>
    <row r="4628" spans="2:14">
      <c r="B4628" s="46"/>
      <c r="C4628" s="46"/>
      <c r="D4628" s="61">
        <v>2210201</v>
      </c>
      <c r="E4628" s="74" t="s">
        <v>21</v>
      </c>
      <c r="F4628" s="185">
        <v>112949</v>
      </c>
      <c r="H4628" s="46"/>
      <c r="I4628" s="46"/>
      <c r="J4628" s="61">
        <v>2210201</v>
      </c>
      <c r="K4628" s="74" t="s">
        <v>21</v>
      </c>
      <c r="L4628" s="185">
        <v>112949</v>
      </c>
      <c r="N4628" s="185">
        <f t="shared" si="72"/>
        <v>0</v>
      </c>
    </row>
    <row r="4629" spans="2:14">
      <c r="B4629" s="46"/>
      <c r="C4629" s="46"/>
      <c r="D4629" s="1671">
        <v>2210300</v>
      </c>
      <c r="E4629" s="1680" t="s">
        <v>267</v>
      </c>
      <c r="F4629" s="1971">
        <v>1014425</v>
      </c>
      <c r="H4629" s="46"/>
      <c r="I4629" s="46"/>
      <c r="J4629" s="1671">
        <v>2210300</v>
      </c>
      <c r="K4629" s="1680" t="s">
        <v>267</v>
      </c>
      <c r="L4629" s="1971">
        <v>1014425</v>
      </c>
      <c r="N4629" s="1971">
        <f t="shared" si="72"/>
        <v>0</v>
      </c>
    </row>
    <row r="4630" spans="2:14">
      <c r="B4630" s="46"/>
      <c r="C4630" s="46"/>
      <c r="D4630" s="61">
        <v>2210301</v>
      </c>
      <c r="E4630" s="74" t="s">
        <v>25</v>
      </c>
      <c r="F4630" s="185">
        <v>69600</v>
      </c>
      <c r="H4630" s="46"/>
      <c r="I4630" s="46"/>
      <c r="J4630" s="61">
        <v>2210301</v>
      </c>
      <c r="K4630" s="74" t="s">
        <v>25</v>
      </c>
      <c r="L4630" s="185">
        <v>69600</v>
      </c>
      <c r="N4630" s="185">
        <f t="shared" si="72"/>
        <v>0</v>
      </c>
    </row>
    <row r="4631" spans="2:14">
      <c r="B4631" s="46"/>
      <c r="C4631" s="46"/>
      <c r="D4631" s="61">
        <v>2210302</v>
      </c>
      <c r="E4631" s="74" t="s">
        <v>787</v>
      </c>
      <c r="F4631" s="185">
        <v>312240</v>
      </c>
      <c r="H4631" s="46"/>
      <c r="I4631" s="46"/>
      <c r="J4631" s="61">
        <v>2210302</v>
      </c>
      <c r="K4631" s="74" t="s">
        <v>787</v>
      </c>
      <c r="L4631" s="185">
        <v>312240</v>
      </c>
      <c r="N4631" s="185">
        <f t="shared" si="72"/>
        <v>0</v>
      </c>
    </row>
    <row r="4632" spans="2:14">
      <c r="B4632" s="46"/>
      <c r="C4632" s="46"/>
      <c r="D4632" s="61">
        <v>2210303</v>
      </c>
      <c r="E4632" s="74" t="s">
        <v>27</v>
      </c>
      <c r="F4632" s="185">
        <v>632585</v>
      </c>
      <c r="H4632" s="46"/>
      <c r="I4632" s="46"/>
      <c r="J4632" s="61">
        <v>2210303</v>
      </c>
      <c r="K4632" s="74" t="s">
        <v>27</v>
      </c>
      <c r="L4632" s="185">
        <v>632585</v>
      </c>
      <c r="N4632" s="185">
        <f t="shared" si="72"/>
        <v>0</v>
      </c>
    </row>
    <row r="4633" spans="2:14">
      <c r="B4633" s="46"/>
      <c r="C4633" s="46"/>
      <c r="D4633" s="1671">
        <v>2210500</v>
      </c>
      <c r="E4633" s="1680" t="s">
        <v>31</v>
      </c>
      <c r="F4633" s="1971">
        <v>26028</v>
      </c>
      <c r="H4633" s="46"/>
      <c r="I4633" s="46"/>
      <c r="J4633" s="1671">
        <v>2210500</v>
      </c>
      <c r="K4633" s="1680" t="s">
        <v>31</v>
      </c>
      <c r="L4633" s="1971">
        <v>26028</v>
      </c>
      <c r="N4633" s="1971">
        <f t="shared" si="72"/>
        <v>0</v>
      </c>
    </row>
    <row r="4634" spans="2:14">
      <c r="B4634" s="46"/>
      <c r="C4634" s="46"/>
      <c r="D4634" s="61">
        <v>2210502</v>
      </c>
      <c r="E4634" s="74" t="s">
        <v>105</v>
      </c>
      <c r="F4634" s="185">
        <v>8628</v>
      </c>
      <c r="H4634" s="46"/>
      <c r="I4634" s="46"/>
      <c r="J4634" s="61">
        <v>2210502</v>
      </c>
      <c r="K4634" s="74" t="s">
        <v>105</v>
      </c>
      <c r="L4634" s="185">
        <v>8628</v>
      </c>
      <c r="N4634" s="185">
        <f t="shared" si="72"/>
        <v>0</v>
      </c>
    </row>
    <row r="4635" spans="2:14">
      <c r="B4635" s="46"/>
      <c r="C4635" s="46"/>
      <c r="D4635" s="61">
        <v>2210503</v>
      </c>
      <c r="E4635" s="74" t="s">
        <v>32</v>
      </c>
      <c r="F4635" s="185">
        <v>17400</v>
      </c>
      <c r="H4635" s="46"/>
      <c r="I4635" s="46"/>
      <c r="J4635" s="61">
        <v>2210503</v>
      </c>
      <c r="K4635" s="74" t="s">
        <v>32</v>
      </c>
      <c r="L4635" s="185">
        <v>17400</v>
      </c>
      <c r="N4635" s="185">
        <f t="shared" si="72"/>
        <v>0</v>
      </c>
    </row>
    <row r="4636" spans="2:14">
      <c r="B4636" s="46"/>
      <c r="C4636" s="46"/>
      <c r="D4636" s="1671">
        <v>2210700</v>
      </c>
      <c r="E4636" s="1680" t="s">
        <v>271</v>
      </c>
      <c r="F4636" s="1971">
        <v>517199</v>
      </c>
      <c r="H4636" s="46"/>
      <c r="I4636" s="46"/>
      <c r="J4636" s="1671">
        <v>2210700</v>
      </c>
      <c r="K4636" s="1680" t="s">
        <v>271</v>
      </c>
      <c r="L4636" s="1971">
        <v>517199</v>
      </c>
      <c r="N4636" s="1971">
        <f t="shared" si="72"/>
        <v>0</v>
      </c>
    </row>
    <row r="4637" spans="2:14">
      <c r="B4637" s="46"/>
      <c r="C4637" s="46"/>
      <c r="D4637" s="61">
        <v>2210701</v>
      </c>
      <c r="E4637" s="74" t="s">
        <v>287</v>
      </c>
      <c r="F4637" s="185">
        <v>488199</v>
      </c>
      <c r="H4637" s="46"/>
      <c r="I4637" s="46"/>
      <c r="J4637" s="61">
        <v>2210701</v>
      </c>
      <c r="K4637" s="74" t="s">
        <v>287</v>
      </c>
      <c r="L4637" s="185">
        <v>488199</v>
      </c>
      <c r="N4637" s="185">
        <f t="shared" si="72"/>
        <v>0</v>
      </c>
    </row>
    <row r="4638" spans="2:14">
      <c r="B4638" s="46"/>
      <c r="C4638" s="46"/>
      <c r="D4638" s="61">
        <v>2210704</v>
      </c>
      <c r="E4638" s="74" t="s">
        <v>38</v>
      </c>
      <c r="F4638" s="185">
        <v>29000</v>
      </c>
      <c r="H4638" s="46"/>
      <c r="I4638" s="46"/>
      <c r="J4638" s="61">
        <v>2210704</v>
      </c>
      <c r="K4638" s="74" t="s">
        <v>38</v>
      </c>
      <c r="L4638" s="185">
        <v>29000</v>
      </c>
      <c r="N4638" s="185">
        <f t="shared" si="72"/>
        <v>0</v>
      </c>
    </row>
    <row r="4639" spans="2:14">
      <c r="B4639" s="46"/>
      <c r="C4639" s="46"/>
      <c r="D4639" s="1671">
        <v>2210800</v>
      </c>
      <c r="E4639" s="1680" t="s">
        <v>42</v>
      </c>
      <c r="F4639" s="1971">
        <v>152035</v>
      </c>
      <c r="H4639" s="46"/>
      <c r="I4639" s="46"/>
      <c r="J4639" s="1671">
        <v>2210800</v>
      </c>
      <c r="K4639" s="1680" t="s">
        <v>42</v>
      </c>
      <c r="L4639" s="1971">
        <v>152035</v>
      </c>
      <c r="N4639" s="1971">
        <f t="shared" si="72"/>
        <v>0</v>
      </c>
    </row>
    <row r="4640" spans="2:14">
      <c r="B4640" s="46"/>
      <c r="C4640" s="46"/>
      <c r="D4640" s="61">
        <v>2210801</v>
      </c>
      <c r="E4640" s="74" t="s">
        <v>43</v>
      </c>
      <c r="F4640" s="185">
        <v>152035</v>
      </c>
      <c r="H4640" s="46"/>
      <c r="I4640" s="46"/>
      <c r="J4640" s="61">
        <v>2210801</v>
      </c>
      <c r="K4640" s="74" t="s">
        <v>43</v>
      </c>
      <c r="L4640" s="185">
        <v>152035</v>
      </c>
      <c r="N4640" s="185">
        <f t="shared" si="72"/>
        <v>0</v>
      </c>
    </row>
    <row r="4641" spans="2:14">
      <c r="B4641" s="46"/>
      <c r="C4641" s="46"/>
      <c r="D4641" s="1671">
        <v>2211000</v>
      </c>
      <c r="E4641" s="1680" t="s">
        <v>118</v>
      </c>
      <c r="F4641" s="1971">
        <v>490242</v>
      </c>
      <c r="H4641" s="46"/>
      <c r="I4641" s="46"/>
      <c r="J4641" s="1671">
        <v>2211000</v>
      </c>
      <c r="K4641" s="1680" t="s">
        <v>118</v>
      </c>
      <c r="L4641" s="1971">
        <v>490242</v>
      </c>
      <c r="N4641" s="1971">
        <f t="shared" si="72"/>
        <v>0</v>
      </c>
    </row>
    <row r="4642" spans="2:14">
      <c r="B4642" s="46"/>
      <c r="C4642" s="46"/>
      <c r="D4642" s="61">
        <v>2211023</v>
      </c>
      <c r="E4642" s="74" t="s">
        <v>1776</v>
      </c>
      <c r="F4642" s="185">
        <v>490242</v>
      </c>
      <c r="H4642" s="46"/>
      <c r="I4642" s="46"/>
      <c r="J4642" s="61">
        <v>2211023</v>
      </c>
      <c r="K4642" s="74" t="s">
        <v>1776</v>
      </c>
      <c r="L4642" s="185">
        <v>490242</v>
      </c>
      <c r="N4642" s="185">
        <f t="shared" si="72"/>
        <v>0</v>
      </c>
    </row>
    <row r="4643" spans="2:14">
      <c r="B4643" s="46"/>
      <c r="C4643" s="46"/>
      <c r="D4643" s="1671">
        <v>2211100</v>
      </c>
      <c r="E4643" s="1680" t="s">
        <v>276</v>
      </c>
      <c r="F4643" s="1971">
        <v>334091</v>
      </c>
      <c r="H4643" s="46"/>
      <c r="I4643" s="46"/>
      <c r="J4643" s="1671">
        <v>2211100</v>
      </c>
      <c r="K4643" s="1680" t="s">
        <v>276</v>
      </c>
      <c r="L4643" s="1971">
        <v>334091</v>
      </c>
      <c r="N4643" s="1971">
        <f t="shared" si="72"/>
        <v>0</v>
      </c>
    </row>
    <row r="4644" spans="2:14">
      <c r="B4644" s="46"/>
      <c r="C4644" s="46"/>
      <c r="D4644" s="61">
        <v>2211101</v>
      </c>
      <c r="E4644" s="74" t="s">
        <v>289</v>
      </c>
      <c r="F4644" s="185">
        <v>100394</v>
      </c>
      <c r="H4644" s="46"/>
      <c r="I4644" s="46"/>
      <c r="J4644" s="61">
        <v>2211101</v>
      </c>
      <c r="K4644" s="74" t="s">
        <v>289</v>
      </c>
      <c r="L4644" s="185">
        <v>100394</v>
      </c>
      <c r="N4644" s="185">
        <f t="shared" si="72"/>
        <v>0</v>
      </c>
    </row>
    <row r="4645" spans="2:14">
      <c r="B4645" s="46"/>
      <c r="C4645" s="46"/>
      <c r="D4645" s="61">
        <v>2211102</v>
      </c>
      <c r="E4645" s="74" t="s">
        <v>53</v>
      </c>
      <c r="F4645" s="185">
        <v>135090</v>
      </c>
      <c r="H4645" s="46"/>
      <c r="I4645" s="46"/>
      <c r="J4645" s="61">
        <v>2211102</v>
      </c>
      <c r="K4645" s="74" t="s">
        <v>53</v>
      </c>
      <c r="L4645" s="185">
        <v>135090</v>
      </c>
      <c r="N4645" s="185">
        <f t="shared" si="72"/>
        <v>0</v>
      </c>
    </row>
    <row r="4646" spans="2:14">
      <c r="B4646" s="46"/>
      <c r="C4646" s="46"/>
      <c r="D4646" s="61">
        <v>2211103</v>
      </c>
      <c r="E4646" s="74" t="s">
        <v>54</v>
      </c>
      <c r="F4646" s="185">
        <v>98607</v>
      </c>
      <c r="H4646" s="46"/>
      <c r="I4646" s="46"/>
      <c r="J4646" s="61">
        <v>2211103</v>
      </c>
      <c r="K4646" s="74" t="s">
        <v>54</v>
      </c>
      <c r="L4646" s="185">
        <v>98607</v>
      </c>
      <c r="N4646" s="185">
        <f t="shared" si="72"/>
        <v>0</v>
      </c>
    </row>
    <row r="4647" spans="2:14">
      <c r="B4647" s="46"/>
      <c r="C4647" s="46"/>
      <c r="D4647" s="1671">
        <v>2211200</v>
      </c>
      <c r="E4647" s="1680" t="s">
        <v>55</v>
      </c>
      <c r="F4647" s="1971">
        <v>807067</v>
      </c>
      <c r="H4647" s="46"/>
      <c r="I4647" s="46"/>
      <c r="J4647" s="1671">
        <v>2211200</v>
      </c>
      <c r="K4647" s="1680" t="s">
        <v>55</v>
      </c>
      <c r="L4647" s="1971">
        <v>807067</v>
      </c>
      <c r="N4647" s="1971">
        <f t="shared" si="72"/>
        <v>0</v>
      </c>
    </row>
    <row r="4648" spans="2:14">
      <c r="B4648" s="46"/>
      <c r="C4648" s="46"/>
      <c r="D4648" s="61">
        <v>2211201</v>
      </c>
      <c r="E4648" s="74" t="s">
        <v>56</v>
      </c>
      <c r="F4648" s="185">
        <v>807067</v>
      </c>
      <c r="H4648" s="46"/>
      <c r="I4648" s="46"/>
      <c r="J4648" s="61">
        <v>2211201</v>
      </c>
      <c r="K4648" s="74" t="s">
        <v>56</v>
      </c>
      <c r="L4648" s="185">
        <v>807067</v>
      </c>
      <c r="N4648" s="185">
        <f t="shared" si="72"/>
        <v>0</v>
      </c>
    </row>
    <row r="4649" spans="2:14">
      <c r="B4649" s="46"/>
      <c r="C4649" s="46"/>
      <c r="D4649" s="1671">
        <v>2220100</v>
      </c>
      <c r="E4649" s="1680" t="s">
        <v>200</v>
      </c>
      <c r="F4649" s="1971">
        <v>506000</v>
      </c>
      <c r="H4649" s="46"/>
      <c r="I4649" s="46"/>
      <c r="J4649" s="1671">
        <v>2220100</v>
      </c>
      <c r="K4649" s="1680" t="s">
        <v>200</v>
      </c>
      <c r="L4649" s="1971">
        <v>506000</v>
      </c>
      <c r="N4649" s="1971">
        <f t="shared" si="72"/>
        <v>0</v>
      </c>
    </row>
    <row r="4650" spans="2:14">
      <c r="B4650" s="46"/>
      <c r="C4650" s="46"/>
      <c r="D4650" s="61">
        <v>2220101</v>
      </c>
      <c r="E4650" s="74" t="s">
        <v>200</v>
      </c>
      <c r="F4650" s="185">
        <v>506000</v>
      </c>
      <c r="H4650" s="46"/>
      <c r="I4650" s="46"/>
      <c r="J4650" s="61">
        <v>2220101</v>
      </c>
      <c r="K4650" s="74" t="s">
        <v>200</v>
      </c>
      <c r="L4650" s="185">
        <v>506000</v>
      </c>
      <c r="N4650" s="185">
        <f t="shared" si="72"/>
        <v>0</v>
      </c>
    </row>
    <row r="4651" spans="2:14" ht="30">
      <c r="B4651" s="46"/>
      <c r="C4651" s="46"/>
      <c r="D4651" s="1671">
        <v>3111400</v>
      </c>
      <c r="E4651" s="1680" t="s">
        <v>294</v>
      </c>
      <c r="F4651" s="1971">
        <v>586890</v>
      </c>
      <c r="H4651" s="46"/>
      <c r="I4651" s="46"/>
      <c r="J4651" s="1671">
        <v>3111400</v>
      </c>
      <c r="K4651" s="1680" t="s">
        <v>294</v>
      </c>
      <c r="L4651" s="1971">
        <v>586890</v>
      </c>
      <c r="N4651" s="1971">
        <f t="shared" si="72"/>
        <v>0</v>
      </c>
    </row>
    <row r="4652" spans="2:14" ht="30">
      <c r="B4652" s="46"/>
      <c r="C4652" s="46"/>
      <c r="D4652" s="61">
        <v>3111401</v>
      </c>
      <c r="E4652" s="74" t="s">
        <v>1777</v>
      </c>
      <c r="F4652" s="185">
        <v>586890</v>
      </c>
      <c r="H4652" s="46"/>
      <c r="I4652" s="46"/>
      <c r="J4652" s="61">
        <v>3111401</v>
      </c>
      <c r="K4652" s="74" t="s">
        <v>1777</v>
      </c>
      <c r="L4652" s="185">
        <v>586890</v>
      </c>
      <c r="N4652" s="185">
        <f t="shared" si="72"/>
        <v>0</v>
      </c>
    </row>
    <row r="4653" spans="2:14">
      <c r="B4653" s="46"/>
      <c r="C4653" s="46"/>
      <c r="D4653" s="61"/>
      <c r="E4653" s="1976" t="s">
        <v>796</v>
      </c>
      <c r="F4653" s="1971">
        <v>4631078</v>
      </c>
      <c r="H4653" s="46"/>
      <c r="I4653" s="46"/>
      <c r="J4653" s="61"/>
      <c r="K4653" s="1976" t="s">
        <v>796</v>
      </c>
      <c r="L4653" s="1971">
        <v>4631078</v>
      </c>
      <c r="N4653" s="1971">
        <f t="shared" si="72"/>
        <v>0</v>
      </c>
    </row>
    <row r="4654" spans="2:14">
      <c r="B4654" s="46"/>
      <c r="C4654" s="46"/>
      <c r="D4654" s="61"/>
      <c r="E4654" s="1976"/>
      <c r="F4654" s="1971"/>
      <c r="H4654" s="46"/>
      <c r="I4654" s="46"/>
      <c r="J4654" s="61"/>
      <c r="K4654" s="1976"/>
      <c r="L4654" s="1971"/>
      <c r="N4654" s="1971">
        <f t="shared" si="72"/>
        <v>0</v>
      </c>
    </row>
    <row r="4655" spans="2:14">
      <c r="B4655" s="46"/>
      <c r="C4655" s="46"/>
      <c r="D4655" s="61"/>
      <c r="E4655" s="1976"/>
      <c r="F4655" s="1971"/>
      <c r="H4655" s="46"/>
      <c r="I4655" s="46"/>
      <c r="J4655" s="61"/>
      <c r="K4655" s="1976"/>
      <c r="L4655" s="1971"/>
      <c r="N4655" s="1971">
        <f t="shared" si="72"/>
        <v>0</v>
      </c>
    </row>
    <row r="4656" spans="2:14">
      <c r="B4656" s="46"/>
      <c r="C4656" s="46"/>
      <c r="D4656" s="1671"/>
      <c r="E4656" s="1680" t="s">
        <v>92</v>
      </c>
      <c r="F4656" s="1971"/>
      <c r="H4656" s="46"/>
      <c r="I4656" s="46"/>
      <c r="J4656" s="1671"/>
      <c r="K4656" s="1680" t="s">
        <v>92</v>
      </c>
      <c r="L4656" s="1971"/>
      <c r="N4656" s="1971">
        <f t="shared" si="72"/>
        <v>0</v>
      </c>
    </row>
    <row r="4657" spans="2:14">
      <c r="B4657" s="46"/>
      <c r="C4657" s="46"/>
      <c r="D4657" s="1671">
        <v>2211000</v>
      </c>
      <c r="E4657" s="1680" t="s">
        <v>118</v>
      </c>
      <c r="F4657" s="1971">
        <v>2000000</v>
      </c>
      <c r="H4657" s="46"/>
      <c r="I4657" s="46"/>
      <c r="J4657" s="1671">
        <v>2211000</v>
      </c>
      <c r="K4657" s="1680" t="s">
        <v>118</v>
      </c>
      <c r="L4657" s="1971">
        <v>2000000</v>
      </c>
      <c r="N4657" s="1971">
        <f t="shared" si="72"/>
        <v>0</v>
      </c>
    </row>
    <row r="4658" spans="2:14">
      <c r="B4658" s="46"/>
      <c r="C4658" s="46"/>
      <c r="D4658" s="61">
        <v>2211026</v>
      </c>
      <c r="E4658" s="74" t="s">
        <v>1348</v>
      </c>
      <c r="F4658" s="185">
        <v>2000000</v>
      </c>
      <c r="H4658" s="46"/>
      <c r="I4658" s="46"/>
      <c r="J4658" s="61">
        <v>2211026</v>
      </c>
      <c r="K4658" s="74" t="s">
        <v>1348</v>
      </c>
      <c r="L4658" s="185">
        <v>2000000</v>
      </c>
      <c r="N4658" s="185">
        <f t="shared" si="72"/>
        <v>0</v>
      </c>
    </row>
    <row r="4659" spans="2:14">
      <c r="B4659" s="46"/>
      <c r="C4659" s="46"/>
      <c r="D4659" s="1671">
        <v>3110500</v>
      </c>
      <c r="E4659" s="1680" t="s">
        <v>260</v>
      </c>
      <c r="F4659" s="1971">
        <v>3050487</v>
      </c>
      <c r="H4659" s="46"/>
      <c r="I4659" s="46"/>
      <c r="J4659" s="1671">
        <v>3110500</v>
      </c>
      <c r="K4659" s="1680" t="s">
        <v>260</v>
      </c>
      <c r="L4659" s="1971">
        <v>3050487</v>
      </c>
      <c r="N4659" s="1971">
        <f t="shared" si="72"/>
        <v>0</v>
      </c>
    </row>
    <row r="4660" spans="2:14">
      <c r="B4660" s="46"/>
      <c r="C4660" s="46"/>
      <c r="D4660" s="61">
        <v>3110504</v>
      </c>
      <c r="E4660" s="74" t="s">
        <v>1778</v>
      </c>
      <c r="F4660" s="185">
        <v>2000000</v>
      </c>
      <c r="H4660" s="46"/>
      <c r="I4660" s="46"/>
      <c r="J4660" s="61">
        <v>3110504</v>
      </c>
      <c r="K4660" s="74" t="s">
        <v>1778</v>
      </c>
      <c r="L4660" s="185">
        <v>2000000</v>
      </c>
      <c r="N4660" s="185">
        <f t="shared" si="72"/>
        <v>0</v>
      </c>
    </row>
    <row r="4661" spans="2:14">
      <c r="B4661" s="46"/>
      <c r="C4661" s="46"/>
      <c r="D4661" s="61">
        <v>3110505</v>
      </c>
      <c r="E4661" s="74" t="s">
        <v>1779</v>
      </c>
      <c r="F4661" s="185">
        <v>1050487</v>
      </c>
      <c r="H4661" s="46"/>
      <c r="I4661" s="46"/>
      <c r="J4661" s="61">
        <v>3110505</v>
      </c>
      <c r="K4661" s="74" t="s">
        <v>1779</v>
      </c>
      <c r="L4661" s="185">
        <v>1050487</v>
      </c>
      <c r="N4661" s="185">
        <f t="shared" si="72"/>
        <v>0</v>
      </c>
    </row>
    <row r="4662" spans="2:14">
      <c r="B4662" s="46"/>
      <c r="C4662" s="46"/>
      <c r="D4662" s="1671"/>
      <c r="E4662" s="1970" t="s">
        <v>261</v>
      </c>
      <c r="F4662" s="1971">
        <v>5050487</v>
      </c>
      <c r="H4662" s="46"/>
      <c r="I4662" s="46"/>
      <c r="J4662" s="1671"/>
      <c r="K4662" s="1970" t="s">
        <v>261</v>
      </c>
      <c r="L4662" s="1971">
        <v>5050487</v>
      </c>
      <c r="N4662" s="1971">
        <f t="shared" si="72"/>
        <v>0</v>
      </c>
    </row>
    <row r="4663" spans="2:14">
      <c r="B4663" s="46"/>
      <c r="C4663" s="46"/>
      <c r="D4663" s="1671"/>
      <c r="E4663" s="1985" t="s">
        <v>84</v>
      </c>
      <c r="F4663" s="1971">
        <v>9681565</v>
      </c>
      <c r="H4663" s="46"/>
      <c r="I4663" s="46"/>
      <c r="J4663" s="1671"/>
      <c r="K4663" s="1985" t="s">
        <v>84</v>
      </c>
      <c r="L4663" s="1971">
        <v>9681565</v>
      </c>
      <c r="N4663" s="1971">
        <f t="shared" si="72"/>
        <v>0</v>
      </c>
    </row>
    <row r="4664" spans="2:14">
      <c r="B4664" s="46"/>
      <c r="C4664" s="46"/>
      <c r="D4664" s="1671"/>
      <c r="E4664" s="1620" t="s">
        <v>809</v>
      </c>
      <c r="F4664" s="1993">
        <v>69681280</v>
      </c>
      <c r="H4664" s="46"/>
      <c r="I4664" s="46"/>
      <c r="J4664" s="1671"/>
      <c r="K4664" s="1620" t="s">
        <v>809</v>
      </c>
      <c r="L4664" s="1993">
        <v>69681280</v>
      </c>
      <c r="N4664" s="1993">
        <f t="shared" si="72"/>
        <v>0</v>
      </c>
    </row>
    <row r="4665" spans="2:14">
      <c r="B4665" s="46"/>
      <c r="C4665" s="46"/>
      <c r="D4665" s="1671"/>
      <c r="E4665" s="1620" t="s">
        <v>810</v>
      </c>
      <c r="F4665" s="1993">
        <v>10250487</v>
      </c>
      <c r="H4665" s="46"/>
      <c r="I4665" s="46"/>
      <c r="J4665" s="1671"/>
      <c r="K4665" s="1620" t="s">
        <v>810</v>
      </c>
      <c r="L4665" s="1993">
        <v>10250487</v>
      </c>
      <c r="N4665" s="1993">
        <f t="shared" si="72"/>
        <v>0</v>
      </c>
    </row>
    <row r="4666" spans="2:14">
      <c r="B4666" s="46"/>
      <c r="C4666" s="46"/>
      <c r="D4666" s="1671"/>
      <c r="E4666" s="1620" t="s">
        <v>811</v>
      </c>
      <c r="F4666" s="1993">
        <v>79931767</v>
      </c>
      <c r="H4666" s="46"/>
      <c r="I4666" s="46"/>
      <c r="J4666" s="1671"/>
      <c r="K4666" s="1620" t="s">
        <v>811</v>
      </c>
      <c r="L4666" s="1993">
        <v>79931767</v>
      </c>
      <c r="N4666" s="1993">
        <f t="shared" si="72"/>
        <v>0</v>
      </c>
    </row>
    <row r="4667" spans="2:14">
      <c r="B4667" s="46"/>
      <c r="C4667" s="46"/>
      <c r="D4667" s="1671"/>
      <c r="E4667" s="1620" t="s">
        <v>313</v>
      </c>
      <c r="F4667" s="1993">
        <v>351965946</v>
      </c>
      <c r="H4667" s="46"/>
      <c r="I4667" s="46"/>
      <c r="J4667" s="1671"/>
      <c r="K4667" s="1620" t="s">
        <v>313</v>
      </c>
      <c r="L4667" s="1993">
        <v>337965946</v>
      </c>
      <c r="N4667" s="1993">
        <f t="shared" si="72"/>
        <v>14000000</v>
      </c>
    </row>
    <row r="4668" spans="2:14">
      <c r="B4668" s="46"/>
      <c r="C4668" s="46"/>
      <c r="D4668" s="80"/>
      <c r="E4668" s="1620" t="s">
        <v>606</v>
      </c>
      <c r="F4668" s="1993">
        <v>333504083</v>
      </c>
      <c r="H4668" s="46"/>
      <c r="I4668" s="46"/>
      <c r="J4668" s="80"/>
      <c r="K4668" s="1620" t="s">
        <v>606</v>
      </c>
      <c r="L4668" s="1993">
        <v>333504083</v>
      </c>
      <c r="N4668" s="1993">
        <f t="shared" si="72"/>
        <v>0</v>
      </c>
    </row>
    <row r="4669" spans="2:14">
      <c r="B4669" s="46"/>
      <c r="C4669" s="46"/>
      <c r="D4669" s="1994" t="s">
        <v>1275</v>
      </c>
      <c r="E4669" s="1995"/>
      <c r="F4669" s="1993">
        <v>685470029</v>
      </c>
      <c r="H4669" s="46"/>
      <c r="I4669" s="46"/>
      <c r="J4669" s="1994" t="s">
        <v>1275</v>
      </c>
      <c r="K4669" s="1995"/>
      <c r="L4669" s="1993">
        <v>671470029</v>
      </c>
      <c r="N4669" s="1993">
        <f t="shared" si="72"/>
        <v>14000000</v>
      </c>
    </row>
    <row r="4670" spans="2:14">
      <c r="B4670" s="46"/>
      <c r="C4670" s="46"/>
      <c r="D4670" s="80"/>
      <c r="E4670" s="1620"/>
      <c r="F4670" s="1660"/>
      <c r="H4670" s="46"/>
      <c r="I4670" s="46"/>
      <c r="J4670" s="80"/>
      <c r="K4670" s="1620"/>
      <c r="L4670" s="1660"/>
      <c r="N4670" s="1660">
        <f t="shared" si="72"/>
        <v>0</v>
      </c>
    </row>
    <row r="4671" spans="2:14">
      <c r="B4671" s="46"/>
      <c r="C4671" s="46"/>
      <c r="D4671" s="80"/>
      <c r="E4671" s="1620"/>
      <c r="F4671" s="1660"/>
      <c r="H4671" s="46"/>
      <c r="I4671" s="46"/>
      <c r="J4671" s="80"/>
      <c r="K4671" s="1620"/>
      <c r="L4671" s="1660"/>
      <c r="N4671" s="1660">
        <f t="shared" si="72"/>
        <v>0</v>
      </c>
    </row>
    <row r="4672" spans="2:14">
      <c r="B4672" s="46"/>
      <c r="C4672" s="46"/>
      <c r="D4672" s="1507" t="s">
        <v>1259</v>
      </c>
      <c r="E4672" s="1505"/>
      <c r="F4672" s="1996"/>
      <c r="H4672" s="46"/>
      <c r="I4672" s="46"/>
      <c r="J4672" s="1507" t="s">
        <v>1259</v>
      </c>
      <c r="K4672" s="1505"/>
      <c r="L4672" s="1996"/>
      <c r="N4672" s="1996">
        <f t="shared" si="72"/>
        <v>0</v>
      </c>
    </row>
    <row r="4673" spans="2:14">
      <c r="B4673" s="46"/>
      <c r="C4673" s="46"/>
      <c r="D4673" s="1997" t="s">
        <v>355</v>
      </c>
      <c r="E4673" s="1998"/>
      <c r="F4673" s="1999">
        <v>0</v>
      </c>
      <c r="H4673" s="46"/>
      <c r="I4673" s="46"/>
      <c r="J4673" s="1997" t="s">
        <v>355</v>
      </c>
      <c r="K4673" s="1998"/>
      <c r="L4673" s="1999">
        <v>0</v>
      </c>
      <c r="N4673" s="1999">
        <f t="shared" si="72"/>
        <v>0</v>
      </c>
    </row>
    <row r="4674" spans="2:14">
      <c r="B4674" s="46"/>
      <c r="C4674" s="46"/>
      <c r="D4674" s="1728">
        <v>2110100</v>
      </c>
      <c r="E4674" s="2000" t="s">
        <v>13</v>
      </c>
      <c r="F4674" s="2001">
        <v>56983440</v>
      </c>
      <c r="H4674" s="46"/>
      <c r="I4674" s="46"/>
      <c r="J4674" s="1728">
        <v>2110100</v>
      </c>
      <c r="K4674" s="2000" t="s">
        <v>13</v>
      </c>
      <c r="L4674" s="2001">
        <v>56983440</v>
      </c>
      <c r="N4674" s="2001">
        <f t="shared" si="72"/>
        <v>0</v>
      </c>
    </row>
    <row r="4675" spans="2:14">
      <c r="B4675" s="46"/>
      <c r="C4675" s="46"/>
      <c r="D4675" s="105">
        <v>2110101</v>
      </c>
      <c r="E4675" s="2002" t="s">
        <v>14</v>
      </c>
      <c r="F4675" s="2003">
        <v>56983440</v>
      </c>
      <c r="H4675" s="46"/>
      <c r="I4675" s="46"/>
      <c r="J4675" s="105">
        <v>2110101</v>
      </c>
      <c r="K4675" s="2002" t="s">
        <v>14</v>
      </c>
      <c r="L4675" s="2003">
        <v>56983440</v>
      </c>
      <c r="N4675" s="2003">
        <f t="shared" si="72"/>
        <v>0</v>
      </c>
    </row>
    <row r="4676" spans="2:14">
      <c r="B4676" s="46"/>
      <c r="C4676" s="46"/>
      <c r="D4676" s="1728">
        <v>2210100</v>
      </c>
      <c r="E4676" s="2000" t="s">
        <v>16</v>
      </c>
      <c r="F4676" s="2001">
        <v>400000</v>
      </c>
      <c r="H4676" s="46"/>
      <c r="I4676" s="46"/>
      <c r="J4676" s="1728">
        <v>2210100</v>
      </c>
      <c r="K4676" s="2000" t="s">
        <v>16</v>
      </c>
      <c r="L4676" s="2001">
        <v>400000</v>
      </c>
      <c r="N4676" s="2001">
        <f t="shared" si="72"/>
        <v>0</v>
      </c>
    </row>
    <row r="4677" spans="2:14">
      <c r="B4677" s="46"/>
      <c r="C4677" s="46"/>
      <c r="D4677" s="105">
        <v>2210101</v>
      </c>
      <c r="E4677" s="2002" t="s">
        <v>17</v>
      </c>
      <c r="F4677" s="189">
        <v>300000</v>
      </c>
      <c r="H4677" s="46"/>
      <c r="I4677" s="46"/>
      <c r="J4677" s="105">
        <v>2210101</v>
      </c>
      <c r="K4677" s="2002" t="s">
        <v>17</v>
      </c>
      <c r="L4677" s="189">
        <v>300000</v>
      </c>
      <c r="N4677" s="189">
        <f t="shared" si="72"/>
        <v>0</v>
      </c>
    </row>
    <row r="4678" spans="2:14">
      <c r="B4678" s="46"/>
      <c r="C4678" s="46"/>
      <c r="D4678" s="105">
        <v>2210102</v>
      </c>
      <c r="E4678" s="2002" t="s">
        <v>18</v>
      </c>
      <c r="F4678" s="189">
        <v>100000</v>
      </c>
      <c r="H4678" s="46"/>
      <c r="I4678" s="46"/>
      <c r="J4678" s="105">
        <v>2210102</v>
      </c>
      <c r="K4678" s="2002" t="s">
        <v>18</v>
      </c>
      <c r="L4678" s="189">
        <v>100000</v>
      </c>
      <c r="N4678" s="189">
        <f t="shared" si="72"/>
        <v>0</v>
      </c>
    </row>
    <row r="4679" spans="2:14">
      <c r="B4679" s="46"/>
      <c r="C4679" s="46"/>
      <c r="D4679" s="1728">
        <v>2210200</v>
      </c>
      <c r="E4679" s="2000" t="s">
        <v>20</v>
      </c>
      <c r="F4679" s="2001">
        <v>667000</v>
      </c>
      <c r="H4679" s="46"/>
      <c r="I4679" s="46"/>
      <c r="J4679" s="1728">
        <v>2210200</v>
      </c>
      <c r="K4679" s="2000" t="s">
        <v>20</v>
      </c>
      <c r="L4679" s="2001">
        <v>667000</v>
      </c>
      <c r="N4679" s="2001">
        <f t="shared" si="72"/>
        <v>0</v>
      </c>
    </row>
    <row r="4680" spans="2:14">
      <c r="B4680" s="46"/>
      <c r="C4680" s="46"/>
      <c r="D4680" s="105">
        <v>2210201</v>
      </c>
      <c r="E4680" s="2002" t="s">
        <v>187</v>
      </c>
      <c r="F4680" s="189">
        <v>319000</v>
      </c>
      <c r="H4680" s="46"/>
      <c r="I4680" s="46"/>
      <c r="J4680" s="105">
        <v>2210201</v>
      </c>
      <c r="K4680" s="2002" t="s">
        <v>187</v>
      </c>
      <c r="L4680" s="189">
        <v>319000</v>
      </c>
      <c r="N4680" s="189">
        <f t="shared" ref="N4680:N4743" si="73">F4680-L4680</f>
        <v>0</v>
      </c>
    </row>
    <row r="4681" spans="2:14">
      <c r="B4681" s="46"/>
      <c r="C4681" s="46"/>
      <c r="D4681" s="105">
        <v>2210202</v>
      </c>
      <c r="E4681" s="2002" t="s">
        <v>359</v>
      </c>
      <c r="F4681" s="189">
        <v>290000</v>
      </c>
      <c r="H4681" s="46"/>
      <c r="I4681" s="46"/>
      <c r="J4681" s="105">
        <v>2210202</v>
      </c>
      <c r="K4681" s="2002" t="s">
        <v>359</v>
      </c>
      <c r="L4681" s="189">
        <v>290000</v>
      </c>
      <c r="N4681" s="189">
        <f t="shared" si="73"/>
        <v>0</v>
      </c>
    </row>
    <row r="4682" spans="2:14">
      <c r="B4682" s="46"/>
      <c r="C4682" s="46"/>
      <c r="D4682" s="105">
        <v>2210203</v>
      </c>
      <c r="E4682" s="2002" t="s">
        <v>23</v>
      </c>
      <c r="F4682" s="189">
        <v>58000</v>
      </c>
      <c r="H4682" s="46"/>
      <c r="I4682" s="46"/>
      <c r="J4682" s="105">
        <v>2210203</v>
      </c>
      <c r="K4682" s="2002" t="s">
        <v>23</v>
      </c>
      <c r="L4682" s="189">
        <v>58000</v>
      </c>
      <c r="N4682" s="189">
        <f t="shared" si="73"/>
        <v>0</v>
      </c>
    </row>
    <row r="4683" spans="2:14">
      <c r="B4683" s="46"/>
      <c r="C4683" s="46"/>
      <c r="D4683" s="1728">
        <v>2210300</v>
      </c>
      <c r="E4683" s="2000" t="s">
        <v>24</v>
      </c>
      <c r="F4683" s="2001">
        <v>1924000</v>
      </c>
      <c r="H4683" s="46"/>
      <c r="I4683" s="46"/>
      <c r="J4683" s="1728">
        <v>2210300</v>
      </c>
      <c r="K4683" s="2000" t="s">
        <v>24</v>
      </c>
      <c r="L4683" s="2001">
        <v>1924000</v>
      </c>
      <c r="N4683" s="2001">
        <f t="shared" si="73"/>
        <v>0</v>
      </c>
    </row>
    <row r="4684" spans="2:14">
      <c r="B4684" s="46"/>
      <c r="C4684" s="46"/>
      <c r="D4684" s="105">
        <v>2210301</v>
      </c>
      <c r="E4684" s="2002" t="s">
        <v>188</v>
      </c>
      <c r="F4684" s="189">
        <v>580000</v>
      </c>
      <c r="H4684" s="46"/>
      <c r="I4684" s="46"/>
      <c r="J4684" s="105">
        <v>2210301</v>
      </c>
      <c r="K4684" s="2002" t="s">
        <v>188</v>
      </c>
      <c r="L4684" s="189">
        <v>580000</v>
      </c>
      <c r="N4684" s="189">
        <f t="shared" si="73"/>
        <v>0</v>
      </c>
    </row>
    <row r="4685" spans="2:14">
      <c r="B4685" s="46"/>
      <c r="C4685" s="46"/>
      <c r="D4685" s="105">
        <v>2210302</v>
      </c>
      <c r="E4685" s="2002" t="s">
        <v>26</v>
      </c>
      <c r="F4685" s="189">
        <v>500000</v>
      </c>
      <c r="H4685" s="46"/>
      <c r="I4685" s="46"/>
      <c r="J4685" s="105">
        <v>2210302</v>
      </c>
      <c r="K4685" s="2002" t="s">
        <v>26</v>
      </c>
      <c r="L4685" s="189">
        <v>500000</v>
      </c>
      <c r="N4685" s="189">
        <f t="shared" si="73"/>
        <v>0</v>
      </c>
    </row>
    <row r="4686" spans="2:14">
      <c r="B4686" s="46"/>
      <c r="C4686" s="46"/>
      <c r="D4686" s="105">
        <v>2210303</v>
      </c>
      <c r="E4686" s="2002" t="s">
        <v>223</v>
      </c>
      <c r="F4686" s="189">
        <v>844000</v>
      </c>
      <c r="H4686" s="46"/>
      <c r="I4686" s="46"/>
      <c r="J4686" s="105">
        <v>2210303</v>
      </c>
      <c r="K4686" s="2002" t="s">
        <v>223</v>
      </c>
      <c r="L4686" s="189">
        <v>844000</v>
      </c>
      <c r="N4686" s="189">
        <f t="shared" si="73"/>
        <v>0</v>
      </c>
    </row>
    <row r="4687" spans="2:14">
      <c r="B4687" s="46"/>
      <c r="C4687" s="46"/>
      <c r="D4687" s="1728">
        <v>2210500</v>
      </c>
      <c r="E4687" s="2000" t="s">
        <v>31</v>
      </c>
      <c r="F4687" s="2001">
        <v>375400</v>
      </c>
      <c r="H4687" s="46"/>
      <c r="I4687" s="46"/>
      <c r="J4687" s="1728">
        <v>2210500</v>
      </c>
      <c r="K4687" s="2000" t="s">
        <v>31</v>
      </c>
      <c r="L4687" s="2001">
        <v>375400</v>
      </c>
      <c r="N4687" s="2001">
        <f t="shared" si="73"/>
        <v>0</v>
      </c>
    </row>
    <row r="4688" spans="2:14">
      <c r="B4688" s="46"/>
      <c r="C4688" s="46"/>
      <c r="D4688" s="105">
        <v>2210502</v>
      </c>
      <c r="E4688" s="2002" t="s">
        <v>105</v>
      </c>
      <c r="F4688" s="189">
        <v>100000</v>
      </c>
      <c r="H4688" s="46"/>
      <c r="I4688" s="46"/>
      <c r="J4688" s="105">
        <v>2210502</v>
      </c>
      <c r="K4688" s="2002" t="s">
        <v>105</v>
      </c>
      <c r="L4688" s="189">
        <v>100000</v>
      </c>
      <c r="N4688" s="189">
        <f t="shared" si="73"/>
        <v>0</v>
      </c>
    </row>
    <row r="4689" spans="2:14">
      <c r="B4689" s="46"/>
      <c r="C4689" s="46"/>
      <c r="D4689" s="105">
        <v>2210503</v>
      </c>
      <c r="E4689" s="2002" t="s">
        <v>32</v>
      </c>
      <c r="F4689" s="189">
        <v>75400</v>
      </c>
      <c r="H4689" s="46"/>
      <c r="I4689" s="46"/>
      <c r="J4689" s="105">
        <v>2210503</v>
      </c>
      <c r="K4689" s="2002" t="s">
        <v>32</v>
      </c>
      <c r="L4689" s="189">
        <v>75400</v>
      </c>
      <c r="N4689" s="189">
        <f t="shared" si="73"/>
        <v>0</v>
      </c>
    </row>
    <row r="4690" spans="2:14">
      <c r="B4690" s="46"/>
      <c r="C4690" s="46"/>
      <c r="D4690" s="105">
        <v>2210504</v>
      </c>
      <c r="E4690" s="2002" t="s">
        <v>33</v>
      </c>
      <c r="F4690" s="189">
        <v>200000</v>
      </c>
      <c r="H4690" s="46"/>
      <c r="I4690" s="46"/>
      <c r="J4690" s="105">
        <v>2210504</v>
      </c>
      <c r="K4690" s="2002" t="s">
        <v>33</v>
      </c>
      <c r="L4690" s="189">
        <v>200000</v>
      </c>
      <c r="N4690" s="189">
        <f t="shared" si="73"/>
        <v>0</v>
      </c>
    </row>
    <row r="4691" spans="2:14">
      <c r="B4691" s="46"/>
      <c r="C4691" s="46"/>
      <c r="D4691" s="1728">
        <v>2210700</v>
      </c>
      <c r="E4691" s="2000" t="s">
        <v>35</v>
      </c>
      <c r="F4691" s="2001">
        <v>551000</v>
      </c>
      <c r="H4691" s="46"/>
      <c r="I4691" s="46"/>
      <c r="J4691" s="1728">
        <v>2210700</v>
      </c>
      <c r="K4691" s="2000" t="s">
        <v>35</v>
      </c>
      <c r="L4691" s="2001">
        <v>551000</v>
      </c>
      <c r="N4691" s="2001">
        <f t="shared" si="73"/>
        <v>0</v>
      </c>
    </row>
    <row r="4692" spans="2:14">
      <c r="B4692" s="46"/>
      <c r="C4692" s="46"/>
      <c r="D4692" s="105">
        <v>2210701</v>
      </c>
      <c r="E4692" s="2002" t="s">
        <v>190</v>
      </c>
      <c r="F4692" s="189">
        <v>290000</v>
      </c>
      <c r="H4692" s="46"/>
      <c r="I4692" s="46"/>
      <c r="J4692" s="105">
        <v>2210701</v>
      </c>
      <c r="K4692" s="2002" t="s">
        <v>190</v>
      </c>
      <c r="L4692" s="189">
        <v>290000</v>
      </c>
      <c r="N4692" s="189">
        <f t="shared" si="73"/>
        <v>0</v>
      </c>
    </row>
    <row r="4693" spans="2:14">
      <c r="B4693" s="46"/>
      <c r="C4693" s="46"/>
      <c r="D4693" s="105">
        <v>2210704</v>
      </c>
      <c r="E4693" s="2002" t="s">
        <v>38</v>
      </c>
      <c r="F4693" s="189">
        <v>58000</v>
      </c>
      <c r="H4693" s="46"/>
      <c r="I4693" s="46"/>
      <c r="J4693" s="105">
        <v>2210704</v>
      </c>
      <c r="K4693" s="2002" t="s">
        <v>38</v>
      </c>
      <c r="L4693" s="189">
        <v>58000</v>
      </c>
      <c r="N4693" s="189">
        <f t="shared" si="73"/>
        <v>0</v>
      </c>
    </row>
    <row r="4694" spans="2:14">
      <c r="B4694" s="46"/>
      <c r="C4694" s="46"/>
      <c r="D4694" s="105">
        <v>2210710</v>
      </c>
      <c r="E4694" s="2002" t="s">
        <v>361</v>
      </c>
      <c r="F4694" s="189">
        <v>203000</v>
      </c>
      <c r="H4694" s="46"/>
      <c r="I4694" s="46"/>
      <c r="J4694" s="105">
        <v>2210710</v>
      </c>
      <c r="K4694" s="2002" t="s">
        <v>361</v>
      </c>
      <c r="L4694" s="189">
        <v>203000</v>
      </c>
      <c r="N4694" s="189">
        <f t="shared" si="73"/>
        <v>0</v>
      </c>
    </row>
    <row r="4695" spans="2:14">
      <c r="B4695" s="46"/>
      <c r="C4695" s="46"/>
      <c r="D4695" s="1728">
        <v>2210800</v>
      </c>
      <c r="E4695" s="2000" t="s">
        <v>42</v>
      </c>
      <c r="F4695" s="2001">
        <v>200000</v>
      </c>
      <c r="H4695" s="46"/>
      <c r="I4695" s="46"/>
      <c r="J4695" s="1728">
        <v>2210800</v>
      </c>
      <c r="K4695" s="2000" t="s">
        <v>42</v>
      </c>
      <c r="L4695" s="2001">
        <v>200000</v>
      </c>
      <c r="N4695" s="2001">
        <f t="shared" si="73"/>
        <v>0</v>
      </c>
    </row>
    <row r="4696" spans="2:14">
      <c r="B4696" s="46"/>
      <c r="C4696" s="46"/>
      <c r="D4696" s="105">
        <v>2210801</v>
      </c>
      <c r="E4696" s="2002" t="s">
        <v>195</v>
      </c>
      <c r="F4696" s="189">
        <v>200000</v>
      </c>
      <c r="H4696" s="46"/>
      <c r="I4696" s="46"/>
      <c r="J4696" s="105">
        <v>2210801</v>
      </c>
      <c r="K4696" s="2002" t="s">
        <v>195</v>
      </c>
      <c r="L4696" s="189">
        <v>200000</v>
      </c>
      <c r="N4696" s="189">
        <f t="shared" si="73"/>
        <v>0</v>
      </c>
    </row>
    <row r="4697" spans="2:14">
      <c r="B4697" s="46"/>
      <c r="C4697" s="46"/>
      <c r="D4697" s="1728">
        <v>2211100</v>
      </c>
      <c r="E4697" s="2000" t="s">
        <v>51</v>
      </c>
      <c r="F4697" s="2001">
        <v>2145000</v>
      </c>
      <c r="H4697" s="46"/>
      <c r="I4697" s="46"/>
      <c r="J4697" s="1728">
        <v>2211100</v>
      </c>
      <c r="K4697" s="2000" t="s">
        <v>51</v>
      </c>
      <c r="L4697" s="2001">
        <v>2145000</v>
      </c>
      <c r="N4697" s="2001">
        <f t="shared" si="73"/>
        <v>0</v>
      </c>
    </row>
    <row r="4698" spans="2:14">
      <c r="B4698" s="46"/>
      <c r="C4698" s="46"/>
      <c r="D4698" s="105">
        <v>2211101</v>
      </c>
      <c r="E4698" s="2002" t="s">
        <v>1394</v>
      </c>
      <c r="F4698" s="189">
        <v>1058000</v>
      </c>
      <c r="H4698" s="46"/>
      <c r="I4698" s="46"/>
      <c r="J4698" s="105">
        <v>2211101</v>
      </c>
      <c r="K4698" s="2002" t="s">
        <v>1394</v>
      </c>
      <c r="L4698" s="189">
        <v>1058000</v>
      </c>
      <c r="N4698" s="189">
        <f t="shared" si="73"/>
        <v>0</v>
      </c>
    </row>
    <row r="4699" spans="2:14">
      <c r="B4699" s="46"/>
      <c r="C4699" s="46"/>
      <c r="D4699" s="105">
        <v>2211102</v>
      </c>
      <c r="E4699" s="2002" t="s">
        <v>1395</v>
      </c>
      <c r="F4699" s="189">
        <v>1000000</v>
      </c>
      <c r="H4699" s="46"/>
      <c r="I4699" s="46"/>
      <c r="J4699" s="105">
        <v>2211102</v>
      </c>
      <c r="K4699" s="2002" t="s">
        <v>1395</v>
      </c>
      <c r="L4699" s="189">
        <v>1000000</v>
      </c>
      <c r="N4699" s="189">
        <f t="shared" si="73"/>
        <v>0</v>
      </c>
    </row>
    <row r="4700" spans="2:14">
      <c r="B4700" s="46"/>
      <c r="C4700" s="46"/>
      <c r="D4700" s="105">
        <v>2211103</v>
      </c>
      <c r="E4700" s="2002" t="s">
        <v>54</v>
      </c>
      <c r="F4700" s="189">
        <v>87000</v>
      </c>
      <c r="H4700" s="46"/>
      <c r="I4700" s="46"/>
      <c r="J4700" s="105">
        <v>2211103</v>
      </c>
      <c r="K4700" s="2002" t="s">
        <v>54</v>
      </c>
      <c r="L4700" s="189">
        <v>87000</v>
      </c>
      <c r="N4700" s="189">
        <f t="shared" si="73"/>
        <v>0</v>
      </c>
    </row>
    <row r="4701" spans="2:14">
      <c r="B4701" s="46"/>
      <c r="C4701" s="46"/>
      <c r="D4701" s="1728">
        <v>2211300</v>
      </c>
      <c r="E4701" s="2000" t="s">
        <v>57</v>
      </c>
      <c r="F4701" s="2001">
        <v>1100000</v>
      </c>
      <c r="H4701" s="46"/>
      <c r="I4701" s="46"/>
      <c r="J4701" s="1728">
        <v>2211300</v>
      </c>
      <c r="K4701" s="2000" t="s">
        <v>57</v>
      </c>
      <c r="L4701" s="2001">
        <v>1100000</v>
      </c>
      <c r="N4701" s="2001">
        <f t="shared" si="73"/>
        <v>0</v>
      </c>
    </row>
    <row r="4702" spans="2:14">
      <c r="B4702" s="46"/>
      <c r="C4702" s="46"/>
      <c r="D4702" s="105">
        <v>2211306</v>
      </c>
      <c r="E4702" s="2002" t="s">
        <v>58</v>
      </c>
      <c r="F4702" s="189">
        <v>100000</v>
      </c>
      <c r="H4702" s="46"/>
      <c r="I4702" s="46"/>
      <c r="J4702" s="105">
        <v>2211306</v>
      </c>
      <c r="K4702" s="2002" t="s">
        <v>58</v>
      </c>
      <c r="L4702" s="189">
        <v>100000</v>
      </c>
      <c r="N4702" s="189">
        <f t="shared" si="73"/>
        <v>0</v>
      </c>
    </row>
    <row r="4703" spans="2:14">
      <c r="B4703" s="46"/>
      <c r="C4703" s="46"/>
      <c r="D4703" s="105">
        <v>2211201</v>
      </c>
      <c r="E4703" s="2002" t="s">
        <v>56</v>
      </c>
      <c r="F4703" s="189">
        <v>1000000</v>
      </c>
      <c r="H4703" s="46"/>
      <c r="I4703" s="46"/>
      <c r="J4703" s="105">
        <v>2211201</v>
      </c>
      <c r="K4703" s="2002" t="s">
        <v>56</v>
      </c>
      <c r="L4703" s="189">
        <v>1000000</v>
      </c>
      <c r="N4703" s="189">
        <f t="shared" si="73"/>
        <v>0</v>
      </c>
    </row>
    <row r="4704" spans="2:14">
      <c r="B4704" s="46"/>
      <c r="C4704" s="46"/>
      <c r="D4704" s="1728">
        <v>2211200</v>
      </c>
      <c r="E4704" s="2000" t="s">
        <v>55</v>
      </c>
      <c r="F4704" s="2001">
        <v>0</v>
      </c>
      <c r="H4704" s="46"/>
      <c r="I4704" s="46"/>
      <c r="J4704" s="1728">
        <v>2211200</v>
      </c>
      <c r="K4704" s="2000" t="s">
        <v>55</v>
      </c>
      <c r="L4704" s="2001">
        <v>0</v>
      </c>
      <c r="N4704" s="2001">
        <f t="shared" si="73"/>
        <v>0</v>
      </c>
    </row>
    <row r="4705" spans="2:14">
      <c r="B4705" s="46"/>
      <c r="C4705" s="46"/>
      <c r="D4705" s="1729">
        <v>2211201</v>
      </c>
      <c r="E4705" s="106" t="s">
        <v>56</v>
      </c>
      <c r="F4705" s="2004">
        <v>0</v>
      </c>
      <c r="H4705" s="46"/>
      <c r="I4705" s="46"/>
      <c r="J4705" s="1729">
        <v>2211201</v>
      </c>
      <c r="K4705" s="106" t="s">
        <v>56</v>
      </c>
      <c r="L4705" s="2004">
        <v>0</v>
      </c>
      <c r="N4705" s="2004">
        <f t="shared" si="73"/>
        <v>0</v>
      </c>
    </row>
    <row r="4706" spans="2:14">
      <c r="B4706" s="46"/>
      <c r="C4706" s="46"/>
      <c r="D4706" s="1728">
        <v>2220100</v>
      </c>
      <c r="E4706" s="2000" t="s">
        <v>62</v>
      </c>
      <c r="F4706" s="2001">
        <v>295000</v>
      </c>
      <c r="H4706" s="46"/>
      <c r="I4706" s="46"/>
      <c r="J4706" s="1728">
        <v>2220100</v>
      </c>
      <c r="K4706" s="2000" t="s">
        <v>62</v>
      </c>
      <c r="L4706" s="2001">
        <v>295000</v>
      </c>
      <c r="N4706" s="2001">
        <f t="shared" si="73"/>
        <v>0</v>
      </c>
    </row>
    <row r="4707" spans="2:14">
      <c r="B4707" s="46"/>
      <c r="C4707" s="46"/>
      <c r="D4707" s="105">
        <v>2220101</v>
      </c>
      <c r="E4707" s="2002" t="s">
        <v>366</v>
      </c>
      <c r="F4707" s="189">
        <v>145000</v>
      </c>
      <c r="H4707" s="46"/>
      <c r="I4707" s="46"/>
      <c r="J4707" s="105">
        <v>2220101</v>
      </c>
      <c r="K4707" s="2002" t="s">
        <v>366</v>
      </c>
      <c r="L4707" s="189">
        <v>145000</v>
      </c>
      <c r="N4707" s="189">
        <f t="shared" si="73"/>
        <v>0</v>
      </c>
    </row>
    <row r="4708" spans="2:14">
      <c r="B4708" s="46"/>
      <c r="C4708" s="46"/>
      <c r="D4708" s="105">
        <v>2220105</v>
      </c>
      <c r="E4708" s="2002" t="s">
        <v>200</v>
      </c>
      <c r="F4708" s="189">
        <v>150000</v>
      </c>
      <c r="H4708" s="46"/>
      <c r="I4708" s="46"/>
      <c r="J4708" s="105">
        <v>2220105</v>
      </c>
      <c r="K4708" s="2002" t="s">
        <v>200</v>
      </c>
      <c r="L4708" s="189">
        <v>150000</v>
      </c>
      <c r="N4708" s="189">
        <f t="shared" si="73"/>
        <v>0</v>
      </c>
    </row>
    <row r="4709" spans="2:14">
      <c r="B4709" s="46"/>
      <c r="C4709" s="46"/>
      <c r="D4709" s="1728">
        <v>2220200</v>
      </c>
      <c r="E4709" s="2000" t="s">
        <v>124</v>
      </c>
      <c r="F4709" s="2001">
        <v>58000</v>
      </c>
      <c r="H4709" s="46"/>
      <c r="I4709" s="46"/>
      <c r="J4709" s="1728">
        <v>2220200</v>
      </c>
      <c r="K4709" s="2000" t="s">
        <v>124</v>
      </c>
      <c r="L4709" s="2001">
        <v>58000</v>
      </c>
      <c r="N4709" s="2001">
        <f t="shared" si="73"/>
        <v>0</v>
      </c>
    </row>
    <row r="4710" spans="2:14">
      <c r="B4710" s="46"/>
      <c r="C4710" s="46"/>
      <c r="D4710" s="105">
        <v>2220210</v>
      </c>
      <c r="E4710" s="2002" t="s">
        <v>163</v>
      </c>
      <c r="F4710" s="189">
        <v>58000</v>
      </c>
      <c r="H4710" s="46"/>
      <c r="I4710" s="46"/>
      <c r="J4710" s="105">
        <v>2220210</v>
      </c>
      <c r="K4710" s="2002" t="s">
        <v>163</v>
      </c>
      <c r="L4710" s="189">
        <v>58000</v>
      </c>
      <c r="N4710" s="189">
        <f t="shared" si="73"/>
        <v>0</v>
      </c>
    </row>
    <row r="4711" spans="2:14">
      <c r="B4711" s="46"/>
      <c r="C4711" s="46"/>
      <c r="D4711" s="1729"/>
      <c r="E4711" s="106"/>
      <c r="F4711" s="2004"/>
      <c r="H4711" s="46"/>
      <c r="I4711" s="46"/>
      <c r="J4711" s="1729"/>
      <c r="K4711" s="106"/>
      <c r="L4711" s="2004"/>
      <c r="N4711" s="2004">
        <f t="shared" si="73"/>
        <v>0</v>
      </c>
    </row>
    <row r="4712" spans="2:14">
      <c r="B4712" s="46"/>
      <c r="C4712" s="46"/>
      <c r="D4712" s="1729"/>
      <c r="E4712" s="106"/>
      <c r="F4712" s="2004"/>
      <c r="H4712" s="46"/>
      <c r="I4712" s="46"/>
      <c r="J4712" s="1729"/>
      <c r="K4712" s="106"/>
      <c r="L4712" s="2004"/>
      <c r="N4712" s="2004">
        <f t="shared" si="73"/>
        <v>0</v>
      </c>
    </row>
    <row r="4713" spans="2:14">
      <c r="B4713" s="46"/>
      <c r="C4713" s="46"/>
      <c r="D4713" s="2005" t="s">
        <v>370</v>
      </c>
      <c r="E4713" s="2006"/>
      <c r="F4713" s="1996">
        <v>64698840</v>
      </c>
      <c r="H4713" s="46"/>
      <c r="I4713" s="46"/>
      <c r="J4713" s="2005" t="s">
        <v>370</v>
      </c>
      <c r="K4713" s="2006"/>
      <c r="L4713" s="1996">
        <v>64698840</v>
      </c>
      <c r="N4713" s="1996">
        <f t="shared" si="73"/>
        <v>0</v>
      </c>
    </row>
    <row r="4714" spans="2:14">
      <c r="B4714" s="46"/>
      <c r="C4714" s="46"/>
      <c r="D4714" s="2005" t="s">
        <v>370</v>
      </c>
      <c r="E4714" s="2006"/>
      <c r="F4714" s="1996">
        <v>64698840</v>
      </c>
      <c r="H4714" s="46"/>
      <c r="I4714" s="46"/>
      <c r="J4714" s="2005" t="s">
        <v>370</v>
      </c>
      <c r="K4714" s="2006"/>
      <c r="L4714" s="1996">
        <v>64698840</v>
      </c>
      <c r="N4714" s="1996">
        <f t="shared" si="73"/>
        <v>0</v>
      </c>
    </row>
    <row r="4715" spans="2:14">
      <c r="B4715" s="46"/>
      <c r="C4715" s="46"/>
      <c r="D4715" s="1997"/>
      <c r="E4715" s="1998"/>
      <c r="F4715" s="2001"/>
      <c r="H4715" s="46"/>
      <c r="I4715" s="46"/>
      <c r="J4715" s="1997"/>
      <c r="K4715" s="1998"/>
      <c r="L4715" s="2001"/>
      <c r="N4715" s="2001">
        <f t="shared" si="73"/>
        <v>0</v>
      </c>
    </row>
    <row r="4716" spans="2:14">
      <c r="B4716" s="46"/>
      <c r="C4716" s="46"/>
      <c r="D4716" s="1997"/>
      <c r="E4716" s="1998"/>
      <c r="F4716" s="2001"/>
      <c r="H4716" s="46"/>
      <c r="I4716" s="46"/>
      <c r="J4716" s="1997"/>
      <c r="K4716" s="1998"/>
      <c r="L4716" s="2001"/>
      <c r="N4716" s="2001">
        <f t="shared" si="73"/>
        <v>0</v>
      </c>
    </row>
    <row r="4717" spans="2:14">
      <c r="B4717" s="46"/>
      <c r="C4717" s="46"/>
      <c r="D4717" s="2007" t="s">
        <v>813</v>
      </c>
      <c r="E4717" s="2008"/>
      <c r="F4717" s="1759"/>
      <c r="H4717" s="46"/>
      <c r="I4717" s="46"/>
      <c r="J4717" s="2007" t="s">
        <v>813</v>
      </c>
      <c r="K4717" s="2008"/>
      <c r="L4717" s="1759"/>
      <c r="N4717" s="1759">
        <f t="shared" si="73"/>
        <v>0</v>
      </c>
    </row>
    <row r="4718" spans="2:14">
      <c r="B4718" s="46"/>
      <c r="C4718" s="46"/>
      <c r="D4718" s="1507" t="s">
        <v>814</v>
      </c>
      <c r="E4718" s="1620"/>
      <c r="F4718" s="1759"/>
      <c r="H4718" s="46"/>
      <c r="I4718" s="46"/>
      <c r="J4718" s="1507" t="s">
        <v>814</v>
      </c>
      <c r="K4718" s="1620"/>
      <c r="L4718" s="1759"/>
      <c r="N4718" s="1759">
        <f t="shared" si="73"/>
        <v>0</v>
      </c>
    </row>
    <row r="4719" spans="2:14">
      <c r="B4719" s="46"/>
      <c r="C4719" s="46"/>
      <c r="D4719" s="1507" t="s">
        <v>815</v>
      </c>
      <c r="E4719" s="1620"/>
      <c r="F4719" s="1759"/>
      <c r="H4719" s="46"/>
      <c r="I4719" s="46"/>
      <c r="J4719" s="1507" t="s">
        <v>815</v>
      </c>
      <c r="K4719" s="1620"/>
      <c r="L4719" s="1759"/>
      <c r="N4719" s="1759">
        <f t="shared" si="73"/>
        <v>0</v>
      </c>
    </row>
    <row r="4720" spans="2:14">
      <c r="B4720" s="46"/>
      <c r="C4720" s="46"/>
      <c r="D4720" s="1597">
        <v>2210200</v>
      </c>
      <c r="E4720" s="2009" t="s">
        <v>20</v>
      </c>
      <c r="F4720" s="2010">
        <v>158000</v>
      </c>
      <c r="H4720" s="46"/>
      <c r="I4720" s="46"/>
      <c r="J4720" s="1597">
        <v>2210200</v>
      </c>
      <c r="K4720" s="2009" t="s">
        <v>20</v>
      </c>
      <c r="L4720" s="2010">
        <v>158000</v>
      </c>
      <c r="N4720" s="2010">
        <f t="shared" si="73"/>
        <v>0</v>
      </c>
    </row>
    <row r="4721" spans="2:14">
      <c r="B4721" s="46"/>
      <c r="C4721" s="46"/>
      <c r="D4721" s="105">
        <v>2210201</v>
      </c>
      <c r="E4721" s="2002" t="s">
        <v>187</v>
      </c>
      <c r="F4721" s="189">
        <v>100000</v>
      </c>
      <c r="H4721" s="46"/>
      <c r="I4721" s="46"/>
      <c r="J4721" s="105">
        <v>2210201</v>
      </c>
      <c r="K4721" s="2002" t="s">
        <v>187</v>
      </c>
      <c r="L4721" s="189">
        <v>100000</v>
      </c>
      <c r="N4721" s="189">
        <f t="shared" si="73"/>
        <v>0</v>
      </c>
    </row>
    <row r="4722" spans="2:14">
      <c r="B4722" s="46"/>
      <c r="C4722" s="46"/>
      <c r="D4722" s="105">
        <v>2210203</v>
      </c>
      <c r="E4722" s="2002" t="s">
        <v>23</v>
      </c>
      <c r="F4722" s="189">
        <v>58000</v>
      </c>
      <c r="H4722" s="46"/>
      <c r="I4722" s="46"/>
      <c r="J4722" s="105">
        <v>2210203</v>
      </c>
      <c r="K4722" s="2002" t="s">
        <v>23</v>
      </c>
      <c r="L4722" s="189">
        <v>58000</v>
      </c>
      <c r="N4722" s="189">
        <f t="shared" si="73"/>
        <v>0</v>
      </c>
    </row>
    <row r="4723" spans="2:14">
      <c r="B4723" s="46"/>
      <c r="C4723" s="46"/>
      <c r="D4723" s="1761">
        <v>2210300</v>
      </c>
      <c r="E4723" s="1958" t="s">
        <v>24</v>
      </c>
      <c r="F4723" s="1636">
        <v>748400</v>
      </c>
      <c r="H4723" s="46"/>
      <c r="I4723" s="46"/>
      <c r="J4723" s="1761">
        <v>2210300</v>
      </c>
      <c r="K4723" s="1958" t="s">
        <v>24</v>
      </c>
      <c r="L4723" s="1636">
        <v>748400</v>
      </c>
      <c r="N4723" s="1636">
        <f t="shared" si="73"/>
        <v>0</v>
      </c>
    </row>
    <row r="4724" spans="2:14">
      <c r="B4724" s="46"/>
      <c r="C4724" s="46"/>
      <c r="D4724" s="105">
        <v>2210303</v>
      </c>
      <c r="E4724" s="2002" t="s">
        <v>223</v>
      </c>
      <c r="F4724" s="169">
        <v>748400</v>
      </c>
      <c r="H4724" s="46"/>
      <c r="I4724" s="46"/>
      <c r="J4724" s="105">
        <v>2210303</v>
      </c>
      <c r="K4724" s="2002" t="s">
        <v>223</v>
      </c>
      <c r="L4724" s="169">
        <v>748400</v>
      </c>
      <c r="N4724" s="169">
        <f t="shared" si="73"/>
        <v>0</v>
      </c>
    </row>
    <row r="4725" spans="2:14">
      <c r="B4725" s="46"/>
      <c r="C4725" s="46"/>
      <c r="D4725" s="1597">
        <v>2210500</v>
      </c>
      <c r="E4725" s="2009" t="s">
        <v>31</v>
      </c>
      <c r="F4725" s="2010">
        <v>403000</v>
      </c>
      <c r="H4725" s="46"/>
      <c r="I4725" s="46"/>
      <c r="J4725" s="1597">
        <v>2210500</v>
      </c>
      <c r="K4725" s="2009" t="s">
        <v>31</v>
      </c>
      <c r="L4725" s="2010">
        <v>403000</v>
      </c>
      <c r="N4725" s="2010">
        <f t="shared" si="73"/>
        <v>0</v>
      </c>
    </row>
    <row r="4726" spans="2:14">
      <c r="B4726" s="46"/>
      <c r="C4726" s="46"/>
      <c r="D4726" s="105">
        <v>2210502</v>
      </c>
      <c r="E4726" s="2002" t="s">
        <v>105</v>
      </c>
      <c r="F4726" s="189">
        <v>100000</v>
      </c>
      <c r="H4726" s="46"/>
      <c r="I4726" s="46"/>
      <c r="J4726" s="105">
        <v>2210502</v>
      </c>
      <c r="K4726" s="2002" t="s">
        <v>105</v>
      </c>
      <c r="L4726" s="189">
        <v>100000</v>
      </c>
      <c r="N4726" s="189">
        <f t="shared" si="73"/>
        <v>0</v>
      </c>
    </row>
    <row r="4727" spans="2:14">
      <c r="B4727" s="46"/>
      <c r="C4727" s="46"/>
      <c r="D4727" s="105">
        <v>2210504</v>
      </c>
      <c r="E4727" s="2002" t="s">
        <v>33</v>
      </c>
      <c r="F4727" s="189">
        <v>100000</v>
      </c>
      <c r="H4727" s="46"/>
      <c r="I4727" s="46"/>
      <c r="J4727" s="105">
        <v>2210504</v>
      </c>
      <c r="K4727" s="2002" t="s">
        <v>33</v>
      </c>
      <c r="L4727" s="189">
        <v>100000</v>
      </c>
      <c r="N4727" s="189">
        <f t="shared" si="73"/>
        <v>0</v>
      </c>
    </row>
    <row r="4728" spans="2:14">
      <c r="B4728" s="46"/>
      <c r="C4728" s="46"/>
      <c r="D4728" s="105">
        <v>2210710</v>
      </c>
      <c r="E4728" s="2002" t="s">
        <v>361</v>
      </c>
      <c r="F4728" s="189">
        <v>203000</v>
      </c>
      <c r="H4728" s="46"/>
      <c r="I4728" s="46"/>
      <c r="J4728" s="105">
        <v>2210710</v>
      </c>
      <c r="K4728" s="2002" t="s">
        <v>361</v>
      </c>
      <c r="L4728" s="189">
        <v>203000</v>
      </c>
      <c r="N4728" s="189">
        <f t="shared" si="73"/>
        <v>0</v>
      </c>
    </row>
    <row r="4729" spans="2:14">
      <c r="B4729" s="46"/>
      <c r="C4729" s="46"/>
      <c r="D4729" s="1761">
        <v>2210800</v>
      </c>
      <c r="E4729" s="1958" t="s">
        <v>42</v>
      </c>
      <c r="F4729" s="1636">
        <v>200000</v>
      </c>
      <c r="H4729" s="46"/>
      <c r="I4729" s="46"/>
      <c r="J4729" s="1761">
        <v>2210800</v>
      </c>
      <c r="K4729" s="1958" t="s">
        <v>42</v>
      </c>
      <c r="L4729" s="1636">
        <v>200000</v>
      </c>
      <c r="N4729" s="1636">
        <f t="shared" si="73"/>
        <v>0</v>
      </c>
    </row>
    <row r="4730" spans="2:14">
      <c r="B4730" s="46"/>
      <c r="C4730" s="46"/>
      <c r="D4730" s="105">
        <v>2210801</v>
      </c>
      <c r="E4730" s="2002" t="s">
        <v>195</v>
      </c>
      <c r="F4730" s="189">
        <v>200000</v>
      </c>
      <c r="H4730" s="46"/>
      <c r="I4730" s="46"/>
      <c r="J4730" s="105">
        <v>2210801</v>
      </c>
      <c r="K4730" s="2002" t="s">
        <v>195</v>
      </c>
      <c r="L4730" s="189">
        <v>200000</v>
      </c>
      <c r="N4730" s="189">
        <f t="shared" si="73"/>
        <v>0</v>
      </c>
    </row>
    <row r="4731" spans="2:14">
      <c r="B4731" s="46"/>
      <c r="C4731" s="46"/>
      <c r="D4731" s="1597">
        <v>2211100</v>
      </c>
      <c r="E4731" s="2009" t="s">
        <v>51</v>
      </c>
      <c r="F4731" s="2010">
        <v>245000</v>
      </c>
      <c r="H4731" s="46"/>
      <c r="I4731" s="46"/>
      <c r="J4731" s="1597">
        <v>2211100</v>
      </c>
      <c r="K4731" s="2009" t="s">
        <v>51</v>
      </c>
      <c r="L4731" s="2010">
        <v>245000</v>
      </c>
      <c r="N4731" s="2010">
        <f t="shared" si="73"/>
        <v>0</v>
      </c>
    </row>
    <row r="4732" spans="2:14">
      <c r="B4732" s="46"/>
      <c r="C4732" s="46"/>
      <c r="D4732" s="105">
        <v>2211101</v>
      </c>
      <c r="E4732" s="2002" t="s">
        <v>289</v>
      </c>
      <c r="F4732" s="189">
        <v>58000</v>
      </c>
      <c r="H4732" s="46"/>
      <c r="I4732" s="46"/>
      <c r="J4732" s="105">
        <v>2211101</v>
      </c>
      <c r="K4732" s="2002" t="s">
        <v>289</v>
      </c>
      <c r="L4732" s="189">
        <v>58000</v>
      </c>
      <c r="N4732" s="189">
        <f t="shared" si="73"/>
        <v>0</v>
      </c>
    </row>
    <row r="4733" spans="2:14">
      <c r="B4733" s="46"/>
      <c r="C4733" s="46"/>
      <c r="D4733" s="105">
        <v>2211102</v>
      </c>
      <c r="E4733" s="2002" t="s">
        <v>53</v>
      </c>
      <c r="F4733" s="189">
        <v>100000</v>
      </c>
      <c r="H4733" s="46"/>
      <c r="I4733" s="46"/>
      <c r="J4733" s="105">
        <v>2211102</v>
      </c>
      <c r="K4733" s="2002" t="s">
        <v>53</v>
      </c>
      <c r="L4733" s="189">
        <v>100000</v>
      </c>
      <c r="N4733" s="189">
        <f t="shared" si="73"/>
        <v>0</v>
      </c>
    </row>
    <row r="4734" spans="2:14">
      <c r="B4734" s="46"/>
      <c r="C4734" s="46"/>
      <c r="D4734" s="105">
        <v>2211103</v>
      </c>
      <c r="E4734" s="2002" t="s">
        <v>54</v>
      </c>
      <c r="F4734" s="189">
        <v>87000</v>
      </c>
      <c r="H4734" s="46"/>
      <c r="I4734" s="46"/>
      <c r="J4734" s="105">
        <v>2211103</v>
      </c>
      <c r="K4734" s="2002" t="s">
        <v>54</v>
      </c>
      <c r="L4734" s="189">
        <v>87000</v>
      </c>
      <c r="N4734" s="189">
        <f t="shared" si="73"/>
        <v>0</v>
      </c>
    </row>
    <row r="4735" spans="2:14">
      <c r="B4735" s="46"/>
      <c r="C4735" s="46"/>
      <c r="D4735" s="1761">
        <v>2220200</v>
      </c>
      <c r="E4735" s="1958" t="s">
        <v>124</v>
      </c>
      <c r="F4735" s="1636">
        <v>308000</v>
      </c>
      <c r="H4735" s="46"/>
      <c r="I4735" s="46"/>
      <c r="J4735" s="1761">
        <v>2220200</v>
      </c>
      <c r="K4735" s="1958" t="s">
        <v>124</v>
      </c>
      <c r="L4735" s="1636">
        <v>308000</v>
      </c>
      <c r="N4735" s="1636">
        <f t="shared" si="73"/>
        <v>0</v>
      </c>
    </row>
    <row r="4736" spans="2:14">
      <c r="B4736" s="46"/>
      <c r="C4736" s="46"/>
      <c r="D4736" s="105">
        <v>2220210</v>
      </c>
      <c r="E4736" s="2002" t="s">
        <v>163</v>
      </c>
      <c r="F4736" s="189">
        <v>58000</v>
      </c>
      <c r="H4736" s="46"/>
      <c r="I4736" s="46"/>
      <c r="J4736" s="105">
        <v>2220210</v>
      </c>
      <c r="K4736" s="2002" t="s">
        <v>163</v>
      </c>
      <c r="L4736" s="189">
        <v>58000</v>
      </c>
      <c r="N4736" s="189">
        <f t="shared" si="73"/>
        <v>0</v>
      </c>
    </row>
    <row r="4737" spans="2:14">
      <c r="B4737" s="46"/>
      <c r="C4737" s="46"/>
      <c r="D4737" s="61">
        <v>2220204</v>
      </c>
      <c r="E4737" s="2011" t="s">
        <v>816</v>
      </c>
      <c r="F4737" s="169">
        <v>50000</v>
      </c>
      <c r="H4737" s="46"/>
      <c r="I4737" s="46"/>
      <c r="J4737" s="61">
        <v>2220204</v>
      </c>
      <c r="K4737" s="2011" t="s">
        <v>816</v>
      </c>
      <c r="L4737" s="169">
        <v>50000</v>
      </c>
      <c r="N4737" s="169">
        <f t="shared" si="73"/>
        <v>0</v>
      </c>
    </row>
    <row r="4738" spans="2:14">
      <c r="B4738" s="46"/>
      <c r="C4738" s="46"/>
      <c r="D4738" s="61">
        <v>2220205</v>
      </c>
      <c r="E4738" s="2011" t="s">
        <v>125</v>
      </c>
      <c r="F4738" s="169">
        <v>200000</v>
      </c>
      <c r="H4738" s="46"/>
      <c r="I4738" s="46"/>
      <c r="J4738" s="61">
        <v>2220205</v>
      </c>
      <c r="K4738" s="2011" t="s">
        <v>125</v>
      </c>
      <c r="L4738" s="169">
        <v>200000</v>
      </c>
      <c r="N4738" s="169">
        <f t="shared" si="73"/>
        <v>0</v>
      </c>
    </row>
    <row r="4739" spans="2:14">
      <c r="B4739" s="46"/>
      <c r="C4739" s="46"/>
      <c r="D4739" s="1659" t="s">
        <v>817</v>
      </c>
      <c r="E4739" s="2012"/>
      <c r="F4739" s="1660">
        <v>2062400</v>
      </c>
      <c r="H4739" s="46"/>
      <c r="I4739" s="46"/>
      <c r="J4739" s="1659" t="s">
        <v>817</v>
      </c>
      <c r="K4739" s="2012"/>
      <c r="L4739" s="1660">
        <v>2062400</v>
      </c>
      <c r="N4739" s="1660">
        <f t="shared" si="73"/>
        <v>0</v>
      </c>
    </row>
    <row r="4740" spans="2:14">
      <c r="B4740" s="46"/>
      <c r="C4740" s="46"/>
      <c r="D4740" s="1688"/>
      <c r="E4740" s="2013"/>
      <c r="F4740" s="1689"/>
      <c r="H4740" s="46"/>
      <c r="I4740" s="46"/>
      <c r="J4740" s="1688"/>
      <c r="K4740" s="2013"/>
      <c r="L4740" s="1689"/>
      <c r="N4740" s="1689">
        <f t="shared" si="73"/>
        <v>0</v>
      </c>
    </row>
    <row r="4741" spans="2:14">
      <c r="B4741" s="46"/>
      <c r="C4741" s="46"/>
      <c r="D4741" s="1671" t="s">
        <v>815</v>
      </c>
      <c r="E4741" s="1515"/>
      <c r="F4741" s="164"/>
      <c r="H4741" s="46"/>
      <c r="I4741" s="46"/>
      <c r="J4741" s="1671" t="s">
        <v>815</v>
      </c>
      <c r="K4741" s="1515"/>
      <c r="L4741" s="164"/>
      <c r="N4741" s="164">
        <f t="shared" si="73"/>
        <v>0</v>
      </c>
    </row>
    <row r="4742" spans="2:14">
      <c r="B4742" s="46"/>
      <c r="C4742" s="46"/>
      <c r="D4742" s="1671" t="s">
        <v>815</v>
      </c>
      <c r="E4742" s="1680"/>
      <c r="F4742" s="164"/>
      <c r="H4742" s="46"/>
      <c r="I4742" s="46"/>
      <c r="J4742" s="1671" t="s">
        <v>815</v>
      </c>
      <c r="K4742" s="1680"/>
      <c r="L4742" s="164"/>
      <c r="N4742" s="164">
        <f t="shared" si="73"/>
        <v>0</v>
      </c>
    </row>
    <row r="4743" spans="2:14" ht="30">
      <c r="B4743" s="46"/>
      <c r="C4743" s="46"/>
      <c r="D4743" s="1761">
        <v>3111400</v>
      </c>
      <c r="E4743" s="1958" t="s">
        <v>300</v>
      </c>
      <c r="F4743" s="1636">
        <v>0</v>
      </c>
      <c r="H4743" s="46"/>
      <c r="I4743" s="46"/>
      <c r="J4743" s="1761">
        <v>3111400</v>
      </c>
      <c r="K4743" s="1958" t="s">
        <v>300</v>
      </c>
      <c r="L4743" s="1636">
        <v>0</v>
      </c>
      <c r="N4743" s="1636">
        <f t="shared" si="73"/>
        <v>0</v>
      </c>
    </row>
    <row r="4744" spans="2:14" ht="30">
      <c r="B4744" s="46"/>
      <c r="C4744" s="46"/>
      <c r="D4744" s="62">
        <v>3111401</v>
      </c>
      <c r="E4744" s="1947" t="s">
        <v>818</v>
      </c>
      <c r="F4744" s="164">
        <v>0</v>
      </c>
      <c r="H4744" s="46"/>
      <c r="I4744" s="46"/>
      <c r="J4744" s="62">
        <v>3111401</v>
      </c>
      <c r="K4744" s="1947" t="s">
        <v>818</v>
      </c>
      <c r="L4744" s="164">
        <v>0</v>
      </c>
      <c r="N4744" s="164">
        <f t="shared" ref="N4744:N4807" si="74">F4744-L4744</f>
        <v>0</v>
      </c>
    </row>
    <row r="4745" spans="2:14" ht="30">
      <c r="B4745" s="46"/>
      <c r="C4745" s="46"/>
      <c r="D4745" s="62">
        <v>3111401</v>
      </c>
      <c r="E4745" s="158" t="s">
        <v>819</v>
      </c>
      <c r="F4745" s="164">
        <v>0</v>
      </c>
      <c r="H4745" s="46"/>
      <c r="I4745" s="46"/>
      <c r="J4745" s="62">
        <v>3111401</v>
      </c>
      <c r="K4745" s="158" t="s">
        <v>819</v>
      </c>
      <c r="L4745" s="164">
        <v>0</v>
      </c>
      <c r="N4745" s="164">
        <f t="shared" si="74"/>
        <v>0</v>
      </c>
    </row>
    <row r="4746" spans="2:14">
      <c r="B4746" s="46"/>
      <c r="C4746" s="46"/>
      <c r="D4746" s="62">
        <v>3111401</v>
      </c>
      <c r="E4746" s="158" t="s">
        <v>820</v>
      </c>
      <c r="F4746" s="164">
        <v>0</v>
      </c>
      <c r="H4746" s="46"/>
      <c r="I4746" s="46"/>
      <c r="J4746" s="62">
        <v>3111401</v>
      </c>
      <c r="K4746" s="158" t="s">
        <v>820</v>
      </c>
      <c r="L4746" s="164">
        <v>0</v>
      </c>
      <c r="N4746" s="164">
        <f t="shared" si="74"/>
        <v>0</v>
      </c>
    </row>
    <row r="4747" spans="2:14">
      <c r="B4747" s="46"/>
      <c r="C4747" s="46"/>
      <c r="D4747" s="62">
        <v>3111402</v>
      </c>
      <c r="E4747" s="1947" t="s">
        <v>821</v>
      </c>
      <c r="F4747" s="164">
        <v>0</v>
      </c>
      <c r="H4747" s="46"/>
      <c r="I4747" s="46"/>
      <c r="J4747" s="62">
        <v>3111402</v>
      </c>
      <c r="K4747" s="1947" t="s">
        <v>821</v>
      </c>
      <c r="L4747" s="164">
        <v>0</v>
      </c>
      <c r="N4747" s="164">
        <f t="shared" si="74"/>
        <v>0</v>
      </c>
    </row>
    <row r="4748" spans="2:14">
      <c r="B4748" s="46"/>
      <c r="C4748" s="46"/>
      <c r="D4748" s="62"/>
      <c r="E4748" s="158" t="s">
        <v>822</v>
      </c>
      <c r="F4748" s="164">
        <v>0</v>
      </c>
      <c r="H4748" s="46"/>
      <c r="I4748" s="46"/>
      <c r="J4748" s="62"/>
      <c r="K4748" s="158" t="s">
        <v>822</v>
      </c>
      <c r="L4748" s="164">
        <v>0</v>
      </c>
      <c r="N4748" s="164">
        <f t="shared" si="74"/>
        <v>0</v>
      </c>
    </row>
    <row r="4749" spans="2:14">
      <c r="B4749" s="46"/>
      <c r="C4749" s="46"/>
      <c r="D4749" s="1504" t="s">
        <v>606</v>
      </c>
      <c r="E4749" s="2014"/>
      <c r="F4749" s="1660">
        <v>0</v>
      </c>
      <c r="H4749" s="46"/>
      <c r="I4749" s="46"/>
      <c r="J4749" s="1504" t="s">
        <v>606</v>
      </c>
      <c r="K4749" s="2014"/>
      <c r="L4749" s="1660">
        <v>0</v>
      </c>
      <c r="N4749" s="1660">
        <f t="shared" si="74"/>
        <v>0</v>
      </c>
    </row>
    <row r="4750" spans="2:14">
      <c r="B4750" s="46"/>
      <c r="C4750" s="46"/>
      <c r="D4750" s="1659" t="s">
        <v>84</v>
      </c>
      <c r="E4750" s="2015"/>
      <c r="F4750" s="1722">
        <v>2062400</v>
      </c>
      <c r="H4750" s="46"/>
      <c r="I4750" s="46"/>
      <c r="J4750" s="1659" t="s">
        <v>84</v>
      </c>
      <c r="K4750" s="2015"/>
      <c r="L4750" s="1722">
        <v>2062400</v>
      </c>
      <c r="N4750" s="1722">
        <f t="shared" si="74"/>
        <v>0</v>
      </c>
    </row>
    <row r="4751" spans="2:14">
      <c r="B4751" s="46"/>
      <c r="C4751" s="46"/>
      <c r="D4751" s="1659"/>
      <c r="E4751" s="2015"/>
      <c r="F4751" s="1722"/>
      <c r="H4751" s="46"/>
      <c r="I4751" s="46"/>
      <c r="J4751" s="1659"/>
      <c r="K4751" s="2015"/>
      <c r="L4751" s="1722"/>
      <c r="N4751" s="1722">
        <f t="shared" si="74"/>
        <v>0</v>
      </c>
    </row>
    <row r="4752" spans="2:14">
      <c r="B4752" s="46"/>
      <c r="C4752" s="46"/>
      <c r="D4752" s="1659"/>
      <c r="E4752" s="2015"/>
      <c r="F4752" s="1722"/>
      <c r="H4752" s="46"/>
      <c r="I4752" s="46"/>
      <c r="J4752" s="1659"/>
      <c r="K4752" s="2015"/>
      <c r="L4752" s="1722"/>
      <c r="N4752" s="1722">
        <f t="shared" si="74"/>
        <v>0</v>
      </c>
    </row>
    <row r="4753" spans="2:14">
      <c r="B4753" s="46"/>
      <c r="C4753" s="46"/>
      <c r="D4753" s="1507" t="s">
        <v>823</v>
      </c>
      <c r="E4753" s="1620"/>
      <c r="F4753" s="2016">
        <v>0</v>
      </c>
      <c r="H4753" s="46"/>
      <c r="I4753" s="46"/>
      <c r="J4753" s="1507" t="s">
        <v>823</v>
      </c>
      <c r="K4753" s="1620"/>
      <c r="L4753" s="2016">
        <v>0</v>
      </c>
      <c r="N4753" s="2016">
        <f t="shared" si="74"/>
        <v>0</v>
      </c>
    </row>
    <row r="4754" spans="2:14">
      <c r="B4754" s="46"/>
      <c r="C4754" s="46"/>
      <c r="D4754" s="2017" t="s">
        <v>824</v>
      </c>
      <c r="E4754" s="2018"/>
      <c r="F4754" s="1999">
        <v>0</v>
      </c>
      <c r="H4754" s="46"/>
      <c r="I4754" s="46"/>
      <c r="J4754" s="2017" t="s">
        <v>824</v>
      </c>
      <c r="K4754" s="2018"/>
      <c r="L4754" s="1999">
        <v>0</v>
      </c>
      <c r="N4754" s="1999">
        <f t="shared" si="74"/>
        <v>0</v>
      </c>
    </row>
    <row r="4755" spans="2:14">
      <c r="B4755" s="46"/>
      <c r="C4755" s="46"/>
      <c r="D4755" s="2017" t="s">
        <v>825</v>
      </c>
      <c r="E4755" s="2018"/>
      <c r="F4755" s="1999">
        <v>0</v>
      </c>
      <c r="H4755" s="46"/>
      <c r="I4755" s="46"/>
      <c r="J4755" s="2017" t="s">
        <v>825</v>
      </c>
      <c r="K4755" s="2018"/>
      <c r="L4755" s="1999">
        <v>0</v>
      </c>
      <c r="N4755" s="1999">
        <f t="shared" si="74"/>
        <v>0</v>
      </c>
    </row>
    <row r="4756" spans="2:14">
      <c r="B4756" s="46"/>
      <c r="C4756" s="46"/>
      <c r="D4756" s="1597">
        <v>2210200</v>
      </c>
      <c r="E4756" s="2009" t="s">
        <v>20</v>
      </c>
      <c r="F4756" s="2010">
        <v>308000</v>
      </c>
      <c r="H4756" s="46"/>
      <c r="I4756" s="46"/>
      <c r="J4756" s="1597">
        <v>2210200</v>
      </c>
      <c r="K4756" s="2009" t="s">
        <v>20</v>
      </c>
      <c r="L4756" s="2010">
        <v>308000</v>
      </c>
      <c r="N4756" s="2010">
        <f t="shared" si="74"/>
        <v>0</v>
      </c>
    </row>
    <row r="4757" spans="2:14">
      <c r="B4757" s="46"/>
      <c r="C4757" s="46"/>
      <c r="D4757" s="105">
        <v>2210201</v>
      </c>
      <c r="E4757" s="2002" t="s">
        <v>187</v>
      </c>
      <c r="F4757" s="189">
        <v>100000</v>
      </c>
      <c r="H4757" s="46"/>
      <c r="I4757" s="46"/>
      <c r="J4757" s="105">
        <v>2210201</v>
      </c>
      <c r="K4757" s="2002" t="s">
        <v>187</v>
      </c>
      <c r="L4757" s="189">
        <v>100000</v>
      </c>
      <c r="N4757" s="189">
        <f t="shared" si="74"/>
        <v>0</v>
      </c>
    </row>
    <row r="4758" spans="2:14">
      <c r="B4758" s="46"/>
      <c r="C4758" s="46"/>
      <c r="D4758" s="105">
        <v>2210202</v>
      </c>
      <c r="E4758" s="2002" t="s">
        <v>359</v>
      </c>
      <c r="F4758" s="189">
        <v>150000</v>
      </c>
      <c r="H4758" s="46"/>
      <c r="I4758" s="46"/>
      <c r="J4758" s="105">
        <v>2210202</v>
      </c>
      <c r="K4758" s="2002" t="s">
        <v>359</v>
      </c>
      <c r="L4758" s="189">
        <v>150000</v>
      </c>
      <c r="N4758" s="189">
        <f t="shared" si="74"/>
        <v>0</v>
      </c>
    </row>
    <row r="4759" spans="2:14">
      <c r="B4759" s="46"/>
      <c r="C4759" s="46"/>
      <c r="D4759" s="105">
        <v>2210203</v>
      </c>
      <c r="E4759" s="2002" t="s">
        <v>23</v>
      </c>
      <c r="F4759" s="189">
        <v>58000</v>
      </c>
      <c r="H4759" s="46"/>
      <c r="I4759" s="46"/>
      <c r="J4759" s="105">
        <v>2210203</v>
      </c>
      <c r="K4759" s="2002" t="s">
        <v>23</v>
      </c>
      <c r="L4759" s="189">
        <v>58000</v>
      </c>
      <c r="N4759" s="189">
        <f t="shared" si="74"/>
        <v>0</v>
      </c>
    </row>
    <row r="4760" spans="2:14">
      <c r="B4760" s="46"/>
      <c r="C4760" s="46"/>
      <c r="D4760" s="1728">
        <v>2210300</v>
      </c>
      <c r="E4760" s="2000" t="s">
        <v>24</v>
      </c>
      <c r="F4760" s="2001">
        <v>2084000</v>
      </c>
      <c r="H4760" s="46"/>
      <c r="I4760" s="46"/>
      <c r="J4760" s="1728">
        <v>2210300</v>
      </c>
      <c r="K4760" s="2000" t="s">
        <v>24</v>
      </c>
      <c r="L4760" s="2001">
        <v>2084000</v>
      </c>
      <c r="N4760" s="2001">
        <f t="shared" si="74"/>
        <v>0</v>
      </c>
    </row>
    <row r="4761" spans="2:14">
      <c r="B4761" s="46"/>
      <c r="C4761" s="46"/>
      <c r="D4761" s="105">
        <v>2210301</v>
      </c>
      <c r="E4761" s="2002" t="s">
        <v>188</v>
      </c>
      <c r="F4761" s="189">
        <v>580000</v>
      </c>
      <c r="H4761" s="46"/>
      <c r="I4761" s="46"/>
      <c r="J4761" s="105">
        <v>2210301</v>
      </c>
      <c r="K4761" s="2002" t="s">
        <v>188</v>
      </c>
      <c r="L4761" s="189">
        <v>580000</v>
      </c>
      <c r="N4761" s="189">
        <f t="shared" si="74"/>
        <v>0</v>
      </c>
    </row>
    <row r="4762" spans="2:14">
      <c r="B4762" s="46"/>
      <c r="C4762" s="46"/>
      <c r="D4762" s="105">
        <v>2210302</v>
      </c>
      <c r="E4762" s="2002" t="s">
        <v>26</v>
      </c>
      <c r="F4762" s="189">
        <v>860000</v>
      </c>
      <c r="H4762" s="46"/>
      <c r="I4762" s="46"/>
      <c r="J4762" s="105">
        <v>2210302</v>
      </c>
      <c r="K4762" s="2002" t="s">
        <v>26</v>
      </c>
      <c r="L4762" s="189">
        <v>860000</v>
      </c>
      <c r="N4762" s="189">
        <f t="shared" si="74"/>
        <v>0</v>
      </c>
    </row>
    <row r="4763" spans="2:14">
      <c r="B4763" s="46"/>
      <c r="C4763" s="46"/>
      <c r="D4763" s="105">
        <v>2210303</v>
      </c>
      <c r="E4763" s="2002" t="s">
        <v>223</v>
      </c>
      <c r="F4763" s="189">
        <v>644000</v>
      </c>
      <c r="H4763" s="46"/>
      <c r="I4763" s="46"/>
      <c r="J4763" s="105">
        <v>2210303</v>
      </c>
      <c r="K4763" s="2002" t="s">
        <v>223</v>
      </c>
      <c r="L4763" s="189">
        <v>644000</v>
      </c>
      <c r="N4763" s="189">
        <f t="shared" si="74"/>
        <v>0</v>
      </c>
    </row>
    <row r="4764" spans="2:14">
      <c r="B4764" s="46"/>
      <c r="C4764" s="46"/>
      <c r="D4764" s="1597">
        <v>2210500</v>
      </c>
      <c r="E4764" s="2009" t="s">
        <v>31</v>
      </c>
      <c r="F4764" s="2010">
        <v>975400</v>
      </c>
      <c r="H4764" s="46"/>
      <c r="I4764" s="46"/>
      <c r="J4764" s="1597">
        <v>2210500</v>
      </c>
      <c r="K4764" s="2009" t="s">
        <v>31</v>
      </c>
      <c r="L4764" s="2010">
        <v>975400</v>
      </c>
      <c r="N4764" s="2010">
        <f t="shared" si="74"/>
        <v>0</v>
      </c>
    </row>
    <row r="4765" spans="2:14">
      <c r="B4765" s="46"/>
      <c r="C4765" s="46"/>
      <c r="D4765" s="105">
        <v>2210502</v>
      </c>
      <c r="E4765" s="2002" t="s">
        <v>105</v>
      </c>
      <c r="F4765" s="189">
        <v>200000</v>
      </c>
      <c r="H4765" s="46"/>
      <c r="I4765" s="46"/>
      <c r="J4765" s="105">
        <v>2210502</v>
      </c>
      <c r="K4765" s="2002" t="s">
        <v>105</v>
      </c>
      <c r="L4765" s="189">
        <v>200000</v>
      </c>
      <c r="N4765" s="189">
        <f t="shared" si="74"/>
        <v>0</v>
      </c>
    </row>
    <row r="4766" spans="2:14">
      <c r="B4766" s="46"/>
      <c r="C4766" s="46"/>
      <c r="D4766" s="105">
        <v>2210503</v>
      </c>
      <c r="E4766" s="2002" t="s">
        <v>32</v>
      </c>
      <c r="F4766" s="189">
        <v>75400</v>
      </c>
      <c r="H4766" s="46"/>
      <c r="I4766" s="46"/>
      <c r="J4766" s="105">
        <v>2210503</v>
      </c>
      <c r="K4766" s="2002" t="s">
        <v>32</v>
      </c>
      <c r="L4766" s="189">
        <v>75400</v>
      </c>
      <c r="N4766" s="189">
        <f t="shared" si="74"/>
        <v>0</v>
      </c>
    </row>
    <row r="4767" spans="2:14">
      <c r="B4767" s="46"/>
      <c r="C4767" s="46"/>
      <c r="D4767" s="105">
        <v>2210504</v>
      </c>
      <c r="E4767" s="2002" t="s">
        <v>33</v>
      </c>
      <c r="F4767" s="189">
        <v>700000</v>
      </c>
      <c r="H4767" s="46"/>
      <c r="I4767" s="46"/>
      <c r="J4767" s="105">
        <v>2210504</v>
      </c>
      <c r="K4767" s="2002" t="s">
        <v>33</v>
      </c>
      <c r="L4767" s="189">
        <v>700000</v>
      </c>
      <c r="N4767" s="189">
        <f t="shared" si="74"/>
        <v>0</v>
      </c>
    </row>
    <row r="4768" spans="2:14">
      <c r="B4768" s="46"/>
      <c r="C4768" s="46"/>
      <c r="D4768" s="1597">
        <v>2210700</v>
      </c>
      <c r="E4768" s="2009" t="s">
        <v>35</v>
      </c>
      <c r="F4768" s="2010">
        <v>551000</v>
      </c>
      <c r="H4768" s="46"/>
      <c r="I4768" s="46"/>
      <c r="J4768" s="1597">
        <v>2210700</v>
      </c>
      <c r="K4768" s="2009" t="s">
        <v>35</v>
      </c>
      <c r="L4768" s="2010">
        <v>551000</v>
      </c>
      <c r="N4768" s="2010">
        <f t="shared" si="74"/>
        <v>0</v>
      </c>
    </row>
    <row r="4769" spans="2:14">
      <c r="B4769" s="46"/>
      <c r="C4769" s="46"/>
      <c r="D4769" s="105">
        <v>2210701</v>
      </c>
      <c r="E4769" s="2002" t="s">
        <v>190</v>
      </c>
      <c r="F4769" s="189">
        <v>290000</v>
      </c>
      <c r="H4769" s="46"/>
      <c r="I4769" s="46"/>
      <c r="J4769" s="105">
        <v>2210701</v>
      </c>
      <c r="K4769" s="2002" t="s">
        <v>190</v>
      </c>
      <c r="L4769" s="189">
        <v>290000</v>
      </c>
      <c r="N4769" s="189">
        <f t="shared" si="74"/>
        <v>0</v>
      </c>
    </row>
    <row r="4770" spans="2:14">
      <c r="B4770" s="46"/>
      <c r="C4770" s="46"/>
      <c r="D4770" s="105">
        <v>2210704</v>
      </c>
      <c r="E4770" s="2002" t="s">
        <v>38</v>
      </c>
      <c r="F4770" s="189">
        <v>58000</v>
      </c>
      <c r="H4770" s="46"/>
      <c r="I4770" s="46"/>
      <c r="J4770" s="105">
        <v>2210704</v>
      </c>
      <c r="K4770" s="2002" t="s">
        <v>38</v>
      </c>
      <c r="L4770" s="189">
        <v>58000</v>
      </c>
      <c r="N4770" s="189">
        <f t="shared" si="74"/>
        <v>0</v>
      </c>
    </row>
    <row r="4771" spans="2:14">
      <c r="B4771" s="46"/>
      <c r="C4771" s="46"/>
      <c r="D4771" s="105">
        <v>2210710</v>
      </c>
      <c r="E4771" s="2002" t="s">
        <v>361</v>
      </c>
      <c r="F4771" s="189">
        <v>203000</v>
      </c>
      <c r="H4771" s="46"/>
      <c r="I4771" s="46"/>
      <c r="J4771" s="105">
        <v>2210710</v>
      </c>
      <c r="K4771" s="2002" t="s">
        <v>361</v>
      </c>
      <c r="L4771" s="189">
        <v>203000</v>
      </c>
      <c r="N4771" s="189">
        <f t="shared" si="74"/>
        <v>0</v>
      </c>
    </row>
    <row r="4772" spans="2:14">
      <c r="B4772" s="46"/>
      <c r="C4772" s="46"/>
      <c r="D4772" s="1728">
        <v>2210800</v>
      </c>
      <c r="E4772" s="1998" t="s">
        <v>42</v>
      </c>
      <c r="F4772" s="2001">
        <v>145000</v>
      </c>
      <c r="H4772" s="46"/>
      <c r="I4772" s="46"/>
      <c r="J4772" s="1728">
        <v>2210800</v>
      </c>
      <c r="K4772" s="1998" t="s">
        <v>42</v>
      </c>
      <c r="L4772" s="2001">
        <v>145000</v>
      </c>
      <c r="N4772" s="2001">
        <f t="shared" si="74"/>
        <v>0</v>
      </c>
    </row>
    <row r="4773" spans="2:14">
      <c r="B4773" s="46"/>
      <c r="C4773" s="46"/>
      <c r="D4773" s="105">
        <v>2210801</v>
      </c>
      <c r="E4773" s="2002" t="s">
        <v>195</v>
      </c>
      <c r="F4773" s="189">
        <v>145000</v>
      </c>
      <c r="H4773" s="46"/>
      <c r="I4773" s="46"/>
      <c r="J4773" s="105">
        <v>2210801</v>
      </c>
      <c r="K4773" s="2002" t="s">
        <v>195</v>
      </c>
      <c r="L4773" s="189">
        <v>145000</v>
      </c>
      <c r="N4773" s="189">
        <f t="shared" si="74"/>
        <v>0</v>
      </c>
    </row>
    <row r="4774" spans="2:14">
      <c r="B4774" s="46"/>
      <c r="C4774" s="46"/>
      <c r="D4774" s="1597">
        <v>2211100</v>
      </c>
      <c r="E4774" s="2009" t="s">
        <v>51</v>
      </c>
      <c r="F4774" s="2010">
        <v>293083.98</v>
      </c>
      <c r="H4774" s="46"/>
      <c r="I4774" s="46"/>
      <c r="J4774" s="1597">
        <v>2211100</v>
      </c>
      <c r="K4774" s="2009" t="s">
        <v>51</v>
      </c>
      <c r="L4774" s="2010">
        <v>293083.98</v>
      </c>
      <c r="N4774" s="2010">
        <f t="shared" si="74"/>
        <v>0</v>
      </c>
    </row>
    <row r="4775" spans="2:14">
      <c r="B4775" s="46"/>
      <c r="C4775" s="46"/>
      <c r="D4775" s="105">
        <v>2211101</v>
      </c>
      <c r="E4775" s="2002" t="s">
        <v>289</v>
      </c>
      <c r="F4775" s="189">
        <v>58000</v>
      </c>
      <c r="H4775" s="46"/>
      <c r="I4775" s="46"/>
      <c r="J4775" s="105">
        <v>2211101</v>
      </c>
      <c r="K4775" s="2002" t="s">
        <v>289</v>
      </c>
      <c r="L4775" s="189">
        <v>58000</v>
      </c>
      <c r="N4775" s="189">
        <f t="shared" si="74"/>
        <v>0</v>
      </c>
    </row>
    <row r="4776" spans="2:14">
      <c r="B4776" s="46"/>
      <c r="C4776" s="46"/>
      <c r="D4776" s="105">
        <v>2211102</v>
      </c>
      <c r="E4776" s="2002" t="s">
        <v>53</v>
      </c>
      <c r="F4776" s="189">
        <v>148083.98000000001</v>
      </c>
      <c r="H4776" s="46"/>
      <c r="I4776" s="46"/>
      <c r="J4776" s="105">
        <v>2211102</v>
      </c>
      <c r="K4776" s="2002" t="s">
        <v>53</v>
      </c>
      <c r="L4776" s="189">
        <v>148083.98000000001</v>
      </c>
      <c r="N4776" s="189">
        <f t="shared" si="74"/>
        <v>0</v>
      </c>
    </row>
    <row r="4777" spans="2:14">
      <c r="B4777" s="46"/>
      <c r="C4777" s="46"/>
      <c r="D4777" s="105">
        <v>2211103</v>
      </c>
      <c r="E4777" s="2002" t="s">
        <v>54</v>
      </c>
      <c r="F4777" s="189">
        <v>87000</v>
      </c>
      <c r="H4777" s="46"/>
      <c r="I4777" s="46"/>
      <c r="J4777" s="105">
        <v>2211103</v>
      </c>
      <c r="K4777" s="2002" t="s">
        <v>54</v>
      </c>
      <c r="L4777" s="189">
        <v>87000</v>
      </c>
      <c r="N4777" s="189">
        <f t="shared" si="74"/>
        <v>0</v>
      </c>
    </row>
    <row r="4778" spans="2:14">
      <c r="B4778" s="46"/>
      <c r="C4778" s="46"/>
      <c r="D4778" s="1597">
        <v>2211300</v>
      </c>
      <c r="E4778" s="2009" t="s">
        <v>57</v>
      </c>
      <c r="F4778" s="2010">
        <v>632000</v>
      </c>
      <c r="H4778" s="46"/>
      <c r="I4778" s="46"/>
      <c r="J4778" s="1597">
        <v>2211300</v>
      </c>
      <c r="K4778" s="2009" t="s">
        <v>57</v>
      </c>
      <c r="L4778" s="2010">
        <v>632000</v>
      </c>
      <c r="N4778" s="2010">
        <f t="shared" si="74"/>
        <v>0</v>
      </c>
    </row>
    <row r="4779" spans="2:14">
      <c r="B4779" s="46"/>
      <c r="C4779" s="46"/>
      <c r="D4779" s="105">
        <v>2211306</v>
      </c>
      <c r="E4779" s="2002" t="s">
        <v>58</v>
      </c>
      <c r="F4779" s="189">
        <v>232000</v>
      </c>
      <c r="H4779" s="46"/>
      <c r="I4779" s="46"/>
      <c r="J4779" s="105">
        <v>2211306</v>
      </c>
      <c r="K4779" s="2002" t="s">
        <v>58</v>
      </c>
      <c r="L4779" s="189">
        <v>232000</v>
      </c>
      <c r="N4779" s="189">
        <f t="shared" si="74"/>
        <v>0</v>
      </c>
    </row>
    <row r="4780" spans="2:14">
      <c r="B4780" s="46"/>
      <c r="C4780" s="46"/>
      <c r="D4780" s="105">
        <v>2210804</v>
      </c>
      <c r="E4780" s="2002" t="s">
        <v>828</v>
      </c>
      <c r="F4780" s="189">
        <v>200000</v>
      </c>
      <c r="H4780" s="46"/>
      <c r="I4780" s="46"/>
      <c r="J4780" s="105">
        <v>2210804</v>
      </c>
      <c r="K4780" s="2002" t="s">
        <v>828</v>
      </c>
      <c r="L4780" s="189">
        <v>200000</v>
      </c>
      <c r="N4780" s="189">
        <f t="shared" si="74"/>
        <v>0</v>
      </c>
    </row>
    <row r="4781" spans="2:14">
      <c r="B4781" s="46"/>
      <c r="C4781" s="46"/>
      <c r="D4781" s="105">
        <v>2211324</v>
      </c>
      <c r="E4781" s="2002" t="s">
        <v>812</v>
      </c>
      <c r="F4781" s="189">
        <v>200000</v>
      </c>
      <c r="H4781" s="46"/>
      <c r="I4781" s="46"/>
      <c r="J4781" s="105">
        <v>2211324</v>
      </c>
      <c r="K4781" s="2002" t="s">
        <v>812</v>
      </c>
      <c r="L4781" s="189">
        <v>200000</v>
      </c>
      <c r="N4781" s="189">
        <f t="shared" si="74"/>
        <v>0</v>
      </c>
    </row>
    <row r="4782" spans="2:14">
      <c r="B4782" s="46"/>
      <c r="C4782" s="46"/>
      <c r="D4782" s="1728">
        <v>2211200</v>
      </c>
      <c r="E4782" s="2000" t="s">
        <v>55</v>
      </c>
      <c r="F4782" s="2001">
        <v>700000</v>
      </c>
      <c r="H4782" s="46"/>
      <c r="I4782" s="46"/>
      <c r="J4782" s="1728">
        <v>2211200</v>
      </c>
      <c r="K4782" s="2000" t="s">
        <v>55</v>
      </c>
      <c r="L4782" s="2001">
        <v>700000</v>
      </c>
      <c r="N4782" s="2001">
        <f t="shared" si="74"/>
        <v>0</v>
      </c>
    </row>
    <row r="4783" spans="2:14">
      <c r="B4783" s="46"/>
      <c r="C4783" s="46"/>
      <c r="D4783" s="105">
        <v>2211201</v>
      </c>
      <c r="E4783" s="2002" t="s">
        <v>56</v>
      </c>
      <c r="F4783" s="189">
        <v>700000</v>
      </c>
      <c r="H4783" s="46"/>
      <c r="I4783" s="46"/>
      <c r="J4783" s="105">
        <v>2211201</v>
      </c>
      <c r="K4783" s="2002" t="s">
        <v>56</v>
      </c>
      <c r="L4783" s="189">
        <v>700000</v>
      </c>
      <c r="N4783" s="189">
        <f t="shared" si="74"/>
        <v>0</v>
      </c>
    </row>
    <row r="4784" spans="2:14">
      <c r="B4784" s="46"/>
      <c r="C4784" s="46"/>
      <c r="D4784" s="1597">
        <v>2220100</v>
      </c>
      <c r="E4784" s="2009" t="s">
        <v>62</v>
      </c>
      <c r="F4784" s="2010">
        <v>348000</v>
      </c>
      <c r="H4784" s="46"/>
      <c r="I4784" s="46"/>
      <c r="J4784" s="1597">
        <v>2220100</v>
      </c>
      <c r="K4784" s="2009" t="s">
        <v>62</v>
      </c>
      <c r="L4784" s="2010">
        <v>348000</v>
      </c>
      <c r="N4784" s="2010">
        <f t="shared" si="74"/>
        <v>0</v>
      </c>
    </row>
    <row r="4785" spans="2:14">
      <c r="B4785" s="46"/>
      <c r="C4785" s="46"/>
      <c r="D4785" s="105">
        <v>2220101</v>
      </c>
      <c r="E4785" s="2002" t="s">
        <v>366</v>
      </c>
      <c r="F4785" s="189">
        <v>145000</v>
      </c>
      <c r="H4785" s="46"/>
      <c r="I4785" s="46"/>
      <c r="J4785" s="105">
        <v>2220101</v>
      </c>
      <c r="K4785" s="2002" t="s">
        <v>366</v>
      </c>
      <c r="L4785" s="189">
        <v>145000</v>
      </c>
      <c r="N4785" s="189">
        <f t="shared" si="74"/>
        <v>0</v>
      </c>
    </row>
    <row r="4786" spans="2:14">
      <c r="B4786" s="46"/>
      <c r="C4786" s="46"/>
      <c r="D4786" s="105">
        <v>2220105</v>
      </c>
      <c r="E4786" s="2002" t="s">
        <v>200</v>
      </c>
      <c r="F4786" s="189">
        <v>203000</v>
      </c>
      <c r="H4786" s="46"/>
      <c r="I4786" s="46"/>
      <c r="J4786" s="105">
        <v>2220105</v>
      </c>
      <c r="K4786" s="2002" t="s">
        <v>200</v>
      </c>
      <c r="L4786" s="189">
        <v>203000</v>
      </c>
      <c r="N4786" s="189">
        <f t="shared" si="74"/>
        <v>0</v>
      </c>
    </row>
    <row r="4787" spans="2:14">
      <c r="B4787" s="46"/>
      <c r="C4787" s="46"/>
      <c r="D4787" s="1597">
        <v>2220200</v>
      </c>
      <c r="E4787" s="2009" t="s">
        <v>124</v>
      </c>
      <c r="F4787" s="2010">
        <v>58000</v>
      </c>
      <c r="H4787" s="46"/>
      <c r="I4787" s="46"/>
      <c r="J4787" s="1597">
        <v>2220200</v>
      </c>
      <c r="K4787" s="2009" t="s">
        <v>124</v>
      </c>
      <c r="L4787" s="2010">
        <v>58000</v>
      </c>
      <c r="N4787" s="2010">
        <f t="shared" si="74"/>
        <v>0</v>
      </c>
    </row>
    <row r="4788" spans="2:14">
      <c r="B4788" s="46"/>
      <c r="C4788" s="46"/>
      <c r="D4788" s="105">
        <v>2220210</v>
      </c>
      <c r="E4788" s="2002" t="s">
        <v>163</v>
      </c>
      <c r="F4788" s="189">
        <v>58000</v>
      </c>
      <c r="H4788" s="46"/>
      <c r="I4788" s="46"/>
      <c r="J4788" s="105">
        <v>2220210</v>
      </c>
      <c r="K4788" s="2002" t="s">
        <v>163</v>
      </c>
      <c r="L4788" s="189">
        <v>58000</v>
      </c>
      <c r="N4788" s="189">
        <f t="shared" si="74"/>
        <v>0</v>
      </c>
    </row>
    <row r="4789" spans="2:14">
      <c r="B4789" s="46"/>
      <c r="C4789" s="46"/>
      <c r="D4789" s="2005" t="s">
        <v>826</v>
      </c>
      <c r="E4789" s="2006"/>
      <c r="F4789" s="1996">
        <v>6094483.9800000004</v>
      </c>
      <c r="H4789" s="46"/>
      <c r="I4789" s="46"/>
      <c r="J4789" s="2005" t="s">
        <v>826</v>
      </c>
      <c r="K4789" s="2006"/>
      <c r="L4789" s="1996">
        <v>6094483.9800000004</v>
      </c>
      <c r="N4789" s="1996">
        <f t="shared" si="74"/>
        <v>0</v>
      </c>
    </row>
    <row r="4790" spans="2:14">
      <c r="B4790" s="46"/>
      <c r="C4790" s="46"/>
      <c r="D4790" s="2005" t="s">
        <v>84</v>
      </c>
      <c r="E4790" s="2019"/>
      <c r="F4790" s="1996">
        <v>6094483.9800000004</v>
      </c>
      <c r="H4790" s="46"/>
      <c r="I4790" s="46"/>
      <c r="J4790" s="2005" t="s">
        <v>84</v>
      </c>
      <c r="K4790" s="2019"/>
      <c r="L4790" s="1996">
        <v>6094483.9800000004</v>
      </c>
      <c r="N4790" s="1996">
        <f t="shared" si="74"/>
        <v>0</v>
      </c>
    </row>
    <row r="4791" spans="2:14">
      <c r="B4791" s="46"/>
      <c r="C4791" s="46"/>
      <c r="D4791" s="1997"/>
      <c r="E4791" s="2020"/>
      <c r="F4791" s="2001">
        <v>0</v>
      </c>
      <c r="H4791" s="46"/>
      <c r="I4791" s="46"/>
      <c r="J4791" s="1997"/>
      <c r="K4791" s="2020"/>
      <c r="L4791" s="2001">
        <v>0</v>
      </c>
      <c r="N4791" s="2001">
        <f t="shared" si="74"/>
        <v>0</v>
      </c>
    </row>
    <row r="4792" spans="2:14">
      <c r="B4792" s="46"/>
      <c r="C4792" s="46"/>
      <c r="D4792" s="1997"/>
      <c r="E4792" s="2020"/>
      <c r="F4792" s="2001">
        <v>0</v>
      </c>
      <c r="H4792" s="46"/>
      <c r="I4792" s="46"/>
      <c r="J4792" s="1997"/>
      <c r="K4792" s="2020"/>
      <c r="L4792" s="2001">
        <v>0</v>
      </c>
      <c r="N4792" s="2001">
        <f t="shared" si="74"/>
        <v>0</v>
      </c>
    </row>
    <row r="4793" spans="2:14">
      <c r="B4793" s="46"/>
      <c r="C4793" s="46"/>
      <c r="D4793" s="2021" t="s">
        <v>827</v>
      </c>
      <c r="E4793" s="2022"/>
      <c r="F4793" s="1996">
        <v>0</v>
      </c>
      <c r="H4793" s="46"/>
      <c r="I4793" s="46"/>
      <c r="J4793" s="2021" t="s">
        <v>827</v>
      </c>
      <c r="K4793" s="2022"/>
      <c r="L4793" s="1996">
        <v>0</v>
      </c>
      <c r="N4793" s="1996">
        <f t="shared" si="74"/>
        <v>0</v>
      </c>
    </row>
    <row r="4794" spans="2:14">
      <c r="B4794" s="46"/>
      <c r="C4794" s="46"/>
      <c r="D4794" s="1597">
        <v>2210200</v>
      </c>
      <c r="E4794" s="2009" t="s">
        <v>20</v>
      </c>
      <c r="F4794" s="2010">
        <v>307400</v>
      </c>
      <c r="H4794" s="46"/>
      <c r="I4794" s="46"/>
      <c r="J4794" s="1597">
        <v>2210200</v>
      </c>
      <c r="K4794" s="2009" t="s">
        <v>20</v>
      </c>
      <c r="L4794" s="2010">
        <v>307400</v>
      </c>
      <c r="N4794" s="2010">
        <f t="shared" si="74"/>
        <v>0</v>
      </c>
    </row>
    <row r="4795" spans="2:14">
      <c r="B4795" s="46"/>
      <c r="C4795" s="46"/>
      <c r="D4795" s="105">
        <v>2210201</v>
      </c>
      <c r="E4795" s="2002" t="s">
        <v>187</v>
      </c>
      <c r="F4795" s="189">
        <v>100000</v>
      </c>
      <c r="H4795" s="46"/>
      <c r="I4795" s="46"/>
      <c r="J4795" s="105">
        <v>2210201</v>
      </c>
      <c r="K4795" s="2002" t="s">
        <v>187</v>
      </c>
      <c r="L4795" s="189">
        <v>100000</v>
      </c>
      <c r="N4795" s="189">
        <f t="shared" si="74"/>
        <v>0</v>
      </c>
    </row>
    <row r="4796" spans="2:14">
      <c r="B4796" s="46"/>
      <c r="C4796" s="46"/>
      <c r="D4796" s="105">
        <v>2210202</v>
      </c>
      <c r="E4796" s="2002" t="s">
        <v>359</v>
      </c>
      <c r="F4796" s="189">
        <v>149400</v>
      </c>
      <c r="H4796" s="46"/>
      <c r="I4796" s="46"/>
      <c r="J4796" s="105">
        <v>2210202</v>
      </c>
      <c r="K4796" s="2002" t="s">
        <v>359</v>
      </c>
      <c r="L4796" s="189">
        <v>149400</v>
      </c>
      <c r="N4796" s="189">
        <f t="shared" si="74"/>
        <v>0</v>
      </c>
    </row>
    <row r="4797" spans="2:14">
      <c r="B4797" s="46"/>
      <c r="C4797" s="46"/>
      <c r="D4797" s="105">
        <v>2210203</v>
      </c>
      <c r="E4797" s="2002" t="s">
        <v>23</v>
      </c>
      <c r="F4797" s="189">
        <v>58000</v>
      </c>
      <c r="H4797" s="46"/>
      <c r="I4797" s="46"/>
      <c r="J4797" s="105">
        <v>2210203</v>
      </c>
      <c r="K4797" s="2002" t="s">
        <v>23</v>
      </c>
      <c r="L4797" s="189">
        <v>58000</v>
      </c>
      <c r="N4797" s="189">
        <f t="shared" si="74"/>
        <v>0</v>
      </c>
    </row>
    <row r="4798" spans="2:14">
      <c r="B4798" s="46"/>
      <c r="C4798" s="46"/>
      <c r="D4798" s="1597">
        <v>2210300</v>
      </c>
      <c r="E4798" s="2009" t="s">
        <v>24</v>
      </c>
      <c r="F4798" s="2010">
        <v>1524000</v>
      </c>
      <c r="H4798" s="46"/>
      <c r="I4798" s="46"/>
      <c r="J4798" s="1597">
        <v>2210300</v>
      </c>
      <c r="K4798" s="2009" t="s">
        <v>24</v>
      </c>
      <c r="L4798" s="2010">
        <v>1524000</v>
      </c>
      <c r="N4798" s="2010">
        <f t="shared" si="74"/>
        <v>0</v>
      </c>
    </row>
    <row r="4799" spans="2:14">
      <c r="B4799" s="46"/>
      <c r="C4799" s="46"/>
      <c r="D4799" s="105">
        <v>2210301</v>
      </c>
      <c r="E4799" s="2002" t="s">
        <v>188</v>
      </c>
      <c r="F4799" s="189">
        <v>480000</v>
      </c>
      <c r="H4799" s="46"/>
      <c r="I4799" s="46"/>
      <c r="J4799" s="105">
        <v>2210301</v>
      </c>
      <c r="K4799" s="2002" t="s">
        <v>188</v>
      </c>
      <c r="L4799" s="189">
        <v>480000</v>
      </c>
      <c r="N4799" s="189">
        <f t="shared" si="74"/>
        <v>0</v>
      </c>
    </row>
    <row r="4800" spans="2:14">
      <c r="B4800" s="46"/>
      <c r="C4800" s="46"/>
      <c r="D4800" s="105">
        <v>2210302</v>
      </c>
      <c r="E4800" s="2002" t="s">
        <v>26</v>
      </c>
      <c r="F4800" s="189">
        <v>500000</v>
      </c>
      <c r="H4800" s="46"/>
      <c r="I4800" s="46"/>
      <c r="J4800" s="105">
        <v>2210302</v>
      </c>
      <c r="K4800" s="2002" t="s">
        <v>26</v>
      </c>
      <c r="L4800" s="189">
        <v>500000</v>
      </c>
      <c r="N4800" s="189">
        <f t="shared" si="74"/>
        <v>0</v>
      </c>
    </row>
    <row r="4801" spans="2:14">
      <c r="B4801" s="46"/>
      <c r="C4801" s="46"/>
      <c r="D4801" s="105">
        <v>2210303</v>
      </c>
      <c r="E4801" s="2002" t="s">
        <v>223</v>
      </c>
      <c r="F4801" s="189">
        <v>544000</v>
      </c>
      <c r="H4801" s="46"/>
      <c r="I4801" s="46"/>
      <c r="J4801" s="105">
        <v>2210303</v>
      </c>
      <c r="K4801" s="2002" t="s">
        <v>223</v>
      </c>
      <c r="L4801" s="189">
        <v>544000</v>
      </c>
      <c r="N4801" s="189">
        <f t="shared" si="74"/>
        <v>0</v>
      </c>
    </row>
    <row r="4802" spans="2:14">
      <c r="B4802" s="46"/>
      <c r="C4802" s="46"/>
      <c r="D4802" s="1597">
        <v>2210500</v>
      </c>
      <c r="E4802" s="2009" t="s">
        <v>31</v>
      </c>
      <c r="F4802" s="2010">
        <v>325400</v>
      </c>
      <c r="H4802" s="46"/>
      <c r="I4802" s="46"/>
      <c r="J4802" s="1597">
        <v>2210500</v>
      </c>
      <c r="K4802" s="2009" t="s">
        <v>31</v>
      </c>
      <c r="L4802" s="2010">
        <v>325400</v>
      </c>
      <c r="N4802" s="2010">
        <f t="shared" si="74"/>
        <v>0</v>
      </c>
    </row>
    <row r="4803" spans="2:14">
      <c r="B4803" s="46"/>
      <c r="C4803" s="46"/>
      <c r="D4803" s="105">
        <v>2210502</v>
      </c>
      <c r="E4803" s="2002" t="s">
        <v>105</v>
      </c>
      <c r="F4803" s="189">
        <v>100000</v>
      </c>
      <c r="H4803" s="46"/>
      <c r="I4803" s="46"/>
      <c r="J4803" s="105">
        <v>2210502</v>
      </c>
      <c r="K4803" s="2002" t="s">
        <v>105</v>
      </c>
      <c r="L4803" s="189">
        <v>100000</v>
      </c>
      <c r="N4803" s="189">
        <f t="shared" si="74"/>
        <v>0</v>
      </c>
    </row>
    <row r="4804" spans="2:14">
      <c r="B4804" s="46"/>
      <c r="C4804" s="46"/>
      <c r="D4804" s="105">
        <v>2210503</v>
      </c>
      <c r="E4804" s="2002" t="s">
        <v>32</v>
      </c>
      <c r="F4804" s="189">
        <v>75400</v>
      </c>
      <c r="H4804" s="46"/>
      <c r="I4804" s="46"/>
      <c r="J4804" s="105">
        <v>2210503</v>
      </c>
      <c r="K4804" s="2002" t="s">
        <v>32</v>
      </c>
      <c r="L4804" s="189">
        <v>75400</v>
      </c>
      <c r="N4804" s="189">
        <f t="shared" si="74"/>
        <v>0</v>
      </c>
    </row>
    <row r="4805" spans="2:14">
      <c r="B4805" s="46"/>
      <c r="C4805" s="46"/>
      <c r="D4805" s="105">
        <v>2210504</v>
      </c>
      <c r="E4805" s="2002" t="s">
        <v>33</v>
      </c>
      <c r="F4805" s="189">
        <v>150000</v>
      </c>
      <c r="H4805" s="46"/>
      <c r="I4805" s="46"/>
      <c r="J4805" s="105">
        <v>2210504</v>
      </c>
      <c r="K4805" s="2002" t="s">
        <v>33</v>
      </c>
      <c r="L4805" s="189">
        <v>150000</v>
      </c>
      <c r="N4805" s="189">
        <f t="shared" si="74"/>
        <v>0</v>
      </c>
    </row>
    <row r="4806" spans="2:14">
      <c r="B4806" s="46"/>
      <c r="C4806" s="46"/>
      <c r="D4806" s="1597">
        <v>2210700</v>
      </c>
      <c r="E4806" s="2009" t="s">
        <v>35</v>
      </c>
      <c r="F4806" s="2010">
        <v>551000</v>
      </c>
      <c r="H4806" s="46"/>
      <c r="I4806" s="46"/>
      <c r="J4806" s="1597">
        <v>2210700</v>
      </c>
      <c r="K4806" s="2009" t="s">
        <v>35</v>
      </c>
      <c r="L4806" s="2010">
        <v>551000</v>
      </c>
      <c r="N4806" s="2010">
        <f t="shared" si="74"/>
        <v>0</v>
      </c>
    </row>
    <row r="4807" spans="2:14">
      <c r="B4807" s="46"/>
      <c r="C4807" s="46"/>
      <c r="D4807" s="105">
        <v>2210701</v>
      </c>
      <c r="E4807" s="2002" t="s">
        <v>190</v>
      </c>
      <c r="F4807" s="189">
        <v>290000</v>
      </c>
      <c r="H4807" s="46"/>
      <c r="I4807" s="46"/>
      <c r="J4807" s="105">
        <v>2210701</v>
      </c>
      <c r="K4807" s="2002" t="s">
        <v>190</v>
      </c>
      <c r="L4807" s="189">
        <v>290000</v>
      </c>
      <c r="N4807" s="189">
        <f t="shared" si="74"/>
        <v>0</v>
      </c>
    </row>
    <row r="4808" spans="2:14">
      <c r="B4808" s="46"/>
      <c r="C4808" s="46"/>
      <c r="D4808" s="105">
        <v>2210704</v>
      </c>
      <c r="E4808" s="2002" t="s">
        <v>38</v>
      </c>
      <c r="F4808" s="189">
        <v>58000</v>
      </c>
      <c r="H4808" s="46"/>
      <c r="I4808" s="46"/>
      <c r="J4808" s="105">
        <v>2210704</v>
      </c>
      <c r="K4808" s="2002" t="s">
        <v>38</v>
      </c>
      <c r="L4808" s="189">
        <v>58000</v>
      </c>
      <c r="N4808" s="189">
        <f t="shared" ref="N4808:N4871" si="75">F4808-L4808</f>
        <v>0</v>
      </c>
    </row>
    <row r="4809" spans="2:14">
      <c r="B4809" s="46"/>
      <c r="C4809" s="46"/>
      <c r="D4809" s="105">
        <v>2210710</v>
      </c>
      <c r="E4809" s="2002" t="s">
        <v>361</v>
      </c>
      <c r="F4809" s="189">
        <v>203000</v>
      </c>
      <c r="H4809" s="46"/>
      <c r="I4809" s="46"/>
      <c r="J4809" s="105">
        <v>2210710</v>
      </c>
      <c r="K4809" s="2002" t="s">
        <v>361</v>
      </c>
      <c r="L4809" s="189">
        <v>203000</v>
      </c>
      <c r="N4809" s="189">
        <f t="shared" si="75"/>
        <v>0</v>
      </c>
    </row>
    <row r="4810" spans="2:14">
      <c r="B4810" s="46"/>
      <c r="C4810" s="46"/>
      <c r="D4810" s="1728">
        <v>2210800</v>
      </c>
      <c r="E4810" s="1998" t="s">
        <v>42</v>
      </c>
      <c r="F4810" s="2001">
        <v>145000</v>
      </c>
      <c r="H4810" s="46"/>
      <c r="I4810" s="46"/>
      <c r="J4810" s="1728">
        <v>2210800</v>
      </c>
      <c r="K4810" s="1998" t="s">
        <v>42</v>
      </c>
      <c r="L4810" s="2001">
        <v>145000</v>
      </c>
      <c r="N4810" s="2001">
        <f t="shared" si="75"/>
        <v>0</v>
      </c>
    </row>
    <row r="4811" spans="2:14">
      <c r="B4811" s="46"/>
      <c r="C4811" s="46"/>
      <c r="D4811" s="105">
        <v>2210801</v>
      </c>
      <c r="E4811" s="2002" t="s">
        <v>195</v>
      </c>
      <c r="F4811" s="189">
        <v>145000</v>
      </c>
      <c r="H4811" s="46"/>
      <c r="I4811" s="46"/>
      <c r="J4811" s="105">
        <v>2210801</v>
      </c>
      <c r="K4811" s="2002" t="s">
        <v>195</v>
      </c>
      <c r="L4811" s="189">
        <v>145000</v>
      </c>
      <c r="N4811" s="189">
        <f t="shared" si="75"/>
        <v>0</v>
      </c>
    </row>
    <row r="4812" spans="2:14">
      <c r="B4812" s="46"/>
      <c r="C4812" s="46"/>
      <c r="D4812" s="1597">
        <v>2211100</v>
      </c>
      <c r="E4812" s="2009" t="s">
        <v>51</v>
      </c>
      <c r="F4812" s="2010">
        <v>245000</v>
      </c>
      <c r="H4812" s="46"/>
      <c r="I4812" s="46"/>
      <c r="J4812" s="1597">
        <v>2211100</v>
      </c>
      <c r="K4812" s="2009" t="s">
        <v>51</v>
      </c>
      <c r="L4812" s="2010">
        <v>245000</v>
      </c>
      <c r="N4812" s="2010">
        <f t="shared" si="75"/>
        <v>0</v>
      </c>
    </row>
    <row r="4813" spans="2:14">
      <c r="B4813" s="46"/>
      <c r="C4813" s="46"/>
      <c r="D4813" s="105">
        <v>2211101</v>
      </c>
      <c r="E4813" s="2002" t="s">
        <v>289</v>
      </c>
      <c r="F4813" s="189">
        <v>58000</v>
      </c>
      <c r="H4813" s="46"/>
      <c r="I4813" s="46"/>
      <c r="J4813" s="105">
        <v>2211101</v>
      </c>
      <c r="K4813" s="2002" t="s">
        <v>289</v>
      </c>
      <c r="L4813" s="189">
        <v>58000</v>
      </c>
      <c r="N4813" s="189">
        <f t="shared" si="75"/>
        <v>0</v>
      </c>
    </row>
    <row r="4814" spans="2:14">
      <c r="B4814" s="46"/>
      <c r="C4814" s="46"/>
      <c r="D4814" s="105">
        <v>2211102</v>
      </c>
      <c r="E4814" s="2002" t="s">
        <v>53</v>
      </c>
      <c r="F4814" s="189">
        <v>100000</v>
      </c>
      <c r="H4814" s="46"/>
      <c r="I4814" s="46"/>
      <c r="J4814" s="105">
        <v>2211102</v>
      </c>
      <c r="K4814" s="2002" t="s">
        <v>53</v>
      </c>
      <c r="L4814" s="189">
        <v>100000</v>
      </c>
      <c r="N4814" s="189">
        <f t="shared" si="75"/>
        <v>0</v>
      </c>
    </row>
    <row r="4815" spans="2:14">
      <c r="B4815" s="46"/>
      <c r="C4815" s="46"/>
      <c r="D4815" s="105">
        <v>2211103</v>
      </c>
      <c r="E4815" s="2002" t="s">
        <v>54</v>
      </c>
      <c r="F4815" s="189">
        <v>87000</v>
      </c>
      <c r="H4815" s="46"/>
      <c r="I4815" s="46"/>
      <c r="J4815" s="105">
        <v>2211103</v>
      </c>
      <c r="K4815" s="2002" t="s">
        <v>54</v>
      </c>
      <c r="L4815" s="189">
        <v>87000</v>
      </c>
      <c r="N4815" s="189">
        <f t="shared" si="75"/>
        <v>0</v>
      </c>
    </row>
    <row r="4816" spans="2:14">
      <c r="B4816" s="46"/>
      <c r="C4816" s="46"/>
      <c r="D4816" s="1597">
        <v>2211300</v>
      </c>
      <c r="E4816" s="2009" t="s">
        <v>57</v>
      </c>
      <c r="F4816" s="2010">
        <v>100000</v>
      </c>
      <c r="H4816" s="46"/>
      <c r="I4816" s="46"/>
      <c r="J4816" s="1597">
        <v>2211300</v>
      </c>
      <c r="K4816" s="2009" t="s">
        <v>57</v>
      </c>
      <c r="L4816" s="2010">
        <v>100000</v>
      </c>
      <c r="N4816" s="2010">
        <f t="shared" si="75"/>
        <v>0</v>
      </c>
    </row>
    <row r="4817" spans="2:14">
      <c r="B4817" s="46"/>
      <c r="C4817" s="46"/>
      <c r="D4817" s="105">
        <v>2211306</v>
      </c>
      <c r="E4817" s="2002" t="s">
        <v>58</v>
      </c>
      <c r="F4817" s="189">
        <v>100000</v>
      </c>
      <c r="H4817" s="46"/>
      <c r="I4817" s="46"/>
      <c r="J4817" s="105">
        <v>2211306</v>
      </c>
      <c r="K4817" s="2002" t="s">
        <v>58</v>
      </c>
      <c r="L4817" s="189">
        <v>100000</v>
      </c>
      <c r="N4817" s="189">
        <f t="shared" si="75"/>
        <v>0</v>
      </c>
    </row>
    <row r="4818" spans="2:14">
      <c r="B4818" s="46"/>
      <c r="C4818" s="46"/>
      <c r="D4818" s="1597">
        <v>2211200</v>
      </c>
      <c r="E4818" s="2009" t="s">
        <v>55</v>
      </c>
      <c r="F4818" s="2010">
        <v>580000</v>
      </c>
      <c r="H4818" s="46"/>
      <c r="I4818" s="46"/>
      <c r="J4818" s="1597">
        <v>2211200</v>
      </c>
      <c r="K4818" s="2009" t="s">
        <v>55</v>
      </c>
      <c r="L4818" s="2010">
        <v>580000</v>
      </c>
      <c r="N4818" s="2010">
        <f t="shared" si="75"/>
        <v>0</v>
      </c>
    </row>
    <row r="4819" spans="2:14">
      <c r="B4819" s="46"/>
      <c r="C4819" s="46"/>
      <c r="D4819" s="105">
        <v>2211201</v>
      </c>
      <c r="E4819" s="2002" t="s">
        <v>56</v>
      </c>
      <c r="F4819" s="189">
        <v>580000</v>
      </c>
      <c r="H4819" s="46"/>
      <c r="I4819" s="46"/>
      <c r="J4819" s="105">
        <v>2211201</v>
      </c>
      <c r="K4819" s="2002" t="s">
        <v>56</v>
      </c>
      <c r="L4819" s="189">
        <v>580000</v>
      </c>
      <c r="N4819" s="189">
        <f t="shared" si="75"/>
        <v>0</v>
      </c>
    </row>
    <row r="4820" spans="2:14">
      <c r="B4820" s="46"/>
      <c r="C4820" s="46"/>
      <c r="D4820" s="1597">
        <v>2220100</v>
      </c>
      <c r="E4820" s="2009" t="s">
        <v>62</v>
      </c>
      <c r="F4820" s="2010">
        <v>303000</v>
      </c>
      <c r="H4820" s="46"/>
      <c r="I4820" s="46"/>
      <c r="J4820" s="1597">
        <v>2220100</v>
      </c>
      <c r="K4820" s="2009" t="s">
        <v>62</v>
      </c>
      <c r="L4820" s="2010">
        <v>303000</v>
      </c>
      <c r="N4820" s="2010">
        <f t="shared" si="75"/>
        <v>0</v>
      </c>
    </row>
    <row r="4821" spans="2:14">
      <c r="B4821" s="46"/>
      <c r="C4821" s="46"/>
      <c r="D4821" s="105">
        <v>2220101</v>
      </c>
      <c r="E4821" s="2002" t="s">
        <v>366</v>
      </c>
      <c r="F4821" s="189">
        <v>100000</v>
      </c>
      <c r="H4821" s="46"/>
      <c r="I4821" s="46"/>
      <c r="J4821" s="105">
        <v>2220101</v>
      </c>
      <c r="K4821" s="2002" t="s">
        <v>366</v>
      </c>
      <c r="L4821" s="189">
        <v>100000</v>
      </c>
      <c r="N4821" s="189">
        <f t="shared" si="75"/>
        <v>0</v>
      </c>
    </row>
    <row r="4822" spans="2:14">
      <c r="B4822" s="46"/>
      <c r="C4822" s="46"/>
      <c r="D4822" s="105">
        <v>2220105</v>
      </c>
      <c r="E4822" s="2002" t="s">
        <v>200</v>
      </c>
      <c r="F4822" s="189">
        <v>203000</v>
      </c>
      <c r="H4822" s="46"/>
      <c r="I4822" s="46"/>
      <c r="J4822" s="105">
        <v>2220105</v>
      </c>
      <c r="K4822" s="2002" t="s">
        <v>200</v>
      </c>
      <c r="L4822" s="189">
        <v>203000</v>
      </c>
      <c r="N4822" s="189">
        <f t="shared" si="75"/>
        <v>0</v>
      </c>
    </row>
    <row r="4823" spans="2:14">
      <c r="B4823" s="46"/>
      <c r="C4823" s="46"/>
      <c r="D4823" s="1597">
        <v>2220200</v>
      </c>
      <c r="E4823" s="2009" t="s">
        <v>124</v>
      </c>
      <c r="F4823" s="2010">
        <v>1058000</v>
      </c>
      <c r="H4823" s="46"/>
      <c r="I4823" s="46"/>
      <c r="J4823" s="1597">
        <v>2220200</v>
      </c>
      <c r="K4823" s="2009" t="s">
        <v>124</v>
      </c>
      <c r="L4823" s="2010">
        <v>1058000</v>
      </c>
      <c r="N4823" s="2010">
        <f t="shared" si="75"/>
        <v>0</v>
      </c>
    </row>
    <row r="4824" spans="2:14">
      <c r="B4824" s="46"/>
      <c r="C4824" s="46"/>
      <c r="D4824" s="105">
        <v>2220210</v>
      </c>
      <c r="E4824" s="2002" t="s">
        <v>163</v>
      </c>
      <c r="F4824" s="189">
        <v>58000</v>
      </c>
      <c r="H4824" s="46"/>
      <c r="I4824" s="46"/>
      <c r="J4824" s="105">
        <v>2220210</v>
      </c>
      <c r="K4824" s="2002" t="s">
        <v>163</v>
      </c>
      <c r="L4824" s="189">
        <v>58000</v>
      </c>
      <c r="N4824" s="189">
        <f t="shared" si="75"/>
        <v>0</v>
      </c>
    </row>
    <row r="4825" spans="2:14">
      <c r="B4825" s="46"/>
      <c r="C4825" s="46"/>
      <c r="D4825" s="105">
        <v>2220201</v>
      </c>
      <c r="E4825" s="2002" t="s">
        <v>1396</v>
      </c>
      <c r="F4825" s="189">
        <v>1000000</v>
      </c>
      <c r="H4825" s="46"/>
      <c r="I4825" s="46"/>
      <c r="J4825" s="105">
        <v>2220201</v>
      </c>
      <c r="K4825" s="2002" t="s">
        <v>1396</v>
      </c>
      <c r="L4825" s="189">
        <v>1000000</v>
      </c>
      <c r="N4825" s="189">
        <f t="shared" si="75"/>
        <v>0</v>
      </c>
    </row>
    <row r="4826" spans="2:14">
      <c r="B4826" s="46"/>
      <c r="C4826" s="46"/>
      <c r="D4826" s="2005" t="s">
        <v>831</v>
      </c>
      <c r="E4826" s="2006"/>
      <c r="F4826" s="1996">
        <v>5138800</v>
      </c>
      <c r="H4826" s="46"/>
      <c r="I4826" s="46"/>
      <c r="J4826" s="2005" t="s">
        <v>831</v>
      </c>
      <c r="K4826" s="2006"/>
      <c r="L4826" s="1996">
        <v>5138800</v>
      </c>
      <c r="N4826" s="1996">
        <f t="shared" si="75"/>
        <v>0</v>
      </c>
    </row>
    <row r="4827" spans="2:14">
      <c r="B4827" s="46"/>
      <c r="C4827" s="46"/>
      <c r="D4827" s="1997"/>
      <c r="E4827" s="2020"/>
      <c r="F4827" s="2001">
        <v>0</v>
      </c>
      <c r="H4827" s="46"/>
      <c r="I4827" s="46"/>
      <c r="J4827" s="1997"/>
      <c r="K4827" s="2020"/>
      <c r="L4827" s="2001">
        <v>0</v>
      </c>
      <c r="N4827" s="2001">
        <f t="shared" si="75"/>
        <v>0</v>
      </c>
    </row>
    <row r="4828" spans="2:14">
      <c r="B4828" s="46"/>
      <c r="C4828" s="46"/>
      <c r="D4828" s="1997" t="s">
        <v>832</v>
      </c>
      <c r="E4828" s="1998"/>
      <c r="F4828" s="1999">
        <v>0</v>
      </c>
      <c r="H4828" s="46"/>
      <c r="I4828" s="46"/>
      <c r="J4828" s="1997" t="s">
        <v>832</v>
      </c>
      <c r="K4828" s="1998"/>
      <c r="L4828" s="1999">
        <v>0</v>
      </c>
      <c r="N4828" s="1999">
        <f t="shared" si="75"/>
        <v>0</v>
      </c>
    </row>
    <row r="4829" spans="2:14">
      <c r="B4829" s="46"/>
      <c r="C4829" s="46"/>
      <c r="D4829" s="1597">
        <v>3110500</v>
      </c>
      <c r="E4829" s="2009" t="s">
        <v>260</v>
      </c>
      <c r="F4829" s="2010">
        <v>6400000</v>
      </c>
      <c r="H4829" s="46"/>
      <c r="I4829" s="46"/>
      <c r="J4829" s="1597">
        <v>3110500</v>
      </c>
      <c r="K4829" s="2009" t="s">
        <v>260</v>
      </c>
      <c r="L4829" s="2010">
        <v>6400000</v>
      </c>
      <c r="N4829" s="2010">
        <f t="shared" si="75"/>
        <v>0</v>
      </c>
    </row>
    <row r="4830" spans="2:14">
      <c r="B4830" s="46"/>
      <c r="C4830" s="46"/>
      <c r="D4830" s="105">
        <v>3110504</v>
      </c>
      <c r="E4830" s="2002" t="s">
        <v>1397</v>
      </c>
      <c r="F4830" s="189">
        <v>1900000</v>
      </c>
      <c r="H4830" s="46"/>
      <c r="I4830" s="46"/>
      <c r="J4830" s="105">
        <v>3110504</v>
      </c>
      <c r="K4830" s="2002" t="s">
        <v>1397</v>
      </c>
      <c r="L4830" s="189">
        <v>1900000</v>
      </c>
      <c r="N4830" s="189">
        <f t="shared" si="75"/>
        <v>0</v>
      </c>
    </row>
    <row r="4831" spans="2:14">
      <c r="B4831" s="46"/>
      <c r="C4831" s="46"/>
      <c r="D4831" s="105">
        <v>3110505</v>
      </c>
      <c r="E4831" s="2002" t="s">
        <v>1398</v>
      </c>
      <c r="F4831" s="189">
        <v>4500000</v>
      </c>
      <c r="H4831" s="46"/>
      <c r="I4831" s="46"/>
      <c r="J4831" s="105">
        <v>3110505</v>
      </c>
      <c r="K4831" s="2002" t="s">
        <v>1398</v>
      </c>
      <c r="L4831" s="189">
        <v>4500000</v>
      </c>
      <c r="N4831" s="189">
        <f t="shared" si="75"/>
        <v>0</v>
      </c>
    </row>
    <row r="4832" spans="2:14">
      <c r="B4832" s="46"/>
      <c r="C4832" s="46"/>
      <c r="D4832" s="1597">
        <v>3111400</v>
      </c>
      <c r="E4832" s="2009" t="s">
        <v>829</v>
      </c>
      <c r="F4832" s="2010">
        <v>2000000</v>
      </c>
      <c r="H4832" s="46"/>
      <c r="I4832" s="46"/>
      <c r="J4832" s="1597">
        <v>3111400</v>
      </c>
      <c r="K4832" s="2009" t="s">
        <v>829</v>
      </c>
      <c r="L4832" s="2010">
        <v>2000000</v>
      </c>
      <c r="N4832" s="2010">
        <f t="shared" si="75"/>
        <v>0</v>
      </c>
    </row>
    <row r="4833" spans="2:14">
      <c r="B4833" s="46"/>
      <c r="C4833" s="46"/>
      <c r="D4833" s="105">
        <v>3111499</v>
      </c>
      <c r="E4833" s="2002" t="s">
        <v>830</v>
      </c>
      <c r="F4833" s="189">
        <v>2000000</v>
      </c>
      <c r="H4833" s="46"/>
      <c r="I4833" s="46"/>
      <c r="J4833" s="105">
        <v>3111499</v>
      </c>
      <c r="K4833" s="2002" t="s">
        <v>830</v>
      </c>
      <c r="L4833" s="189">
        <v>2000000</v>
      </c>
      <c r="N4833" s="189">
        <f t="shared" si="75"/>
        <v>0</v>
      </c>
    </row>
    <row r="4834" spans="2:14">
      <c r="B4834" s="27"/>
      <c r="C4834" s="27"/>
      <c r="D4834" s="1597">
        <v>3130100</v>
      </c>
      <c r="E4834" s="2009" t="s">
        <v>166</v>
      </c>
      <c r="F4834" s="2010">
        <v>7400000</v>
      </c>
      <c r="H4834" s="27"/>
      <c r="I4834" s="27"/>
      <c r="J4834" s="1597">
        <v>3130100</v>
      </c>
      <c r="K4834" s="2009" t="s">
        <v>166</v>
      </c>
      <c r="L4834" s="2010">
        <v>7400000</v>
      </c>
      <c r="N4834" s="2010">
        <f t="shared" si="75"/>
        <v>0</v>
      </c>
    </row>
    <row r="4835" spans="2:14">
      <c r="B4835" s="46"/>
      <c r="C4835" s="46"/>
      <c r="D4835" s="105">
        <v>3130101</v>
      </c>
      <c r="E4835" s="2002" t="s">
        <v>1814</v>
      </c>
      <c r="F4835" s="189">
        <v>7400000</v>
      </c>
      <c r="H4835" s="46"/>
      <c r="I4835" s="46"/>
      <c r="J4835" s="105">
        <v>3130101</v>
      </c>
      <c r="K4835" s="2002" t="s">
        <v>1814</v>
      </c>
      <c r="L4835" s="189">
        <v>7400000</v>
      </c>
      <c r="N4835" s="189">
        <f t="shared" si="75"/>
        <v>0</v>
      </c>
    </row>
    <row r="4836" spans="2:14">
      <c r="B4836" s="27"/>
      <c r="C4836" s="27"/>
      <c r="D4836" s="2005" t="s">
        <v>833</v>
      </c>
      <c r="E4836" s="2006"/>
      <c r="F4836" s="1996">
        <v>15800000</v>
      </c>
      <c r="H4836" s="27"/>
      <c r="I4836" s="27"/>
      <c r="J4836" s="2005" t="s">
        <v>833</v>
      </c>
      <c r="K4836" s="2006"/>
      <c r="L4836" s="1996">
        <v>15800000</v>
      </c>
      <c r="N4836" s="1996">
        <f t="shared" si="75"/>
        <v>0</v>
      </c>
    </row>
    <row r="4837" spans="2:14">
      <c r="B4837" s="46"/>
      <c r="C4837" s="46"/>
      <c r="D4837" s="2005" t="s">
        <v>84</v>
      </c>
      <c r="E4837" s="2019"/>
      <c r="F4837" s="1996">
        <v>20938800</v>
      </c>
      <c r="H4837" s="46"/>
      <c r="I4837" s="46"/>
      <c r="J4837" s="2005" t="s">
        <v>84</v>
      </c>
      <c r="K4837" s="2019"/>
      <c r="L4837" s="1996">
        <v>20938800</v>
      </c>
      <c r="N4837" s="1996">
        <f t="shared" si="75"/>
        <v>0</v>
      </c>
    </row>
    <row r="4838" spans="2:14">
      <c r="B4838" s="46"/>
      <c r="C4838" s="46"/>
      <c r="D4838" s="2005"/>
      <c r="E4838" s="2006"/>
      <c r="F4838" s="1996"/>
      <c r="H4838" s="46"/>
      <c r="I4838" s="46"/>
      <c r="J4838" s="2005"/>
      <c r="K4838" s="2006"/>
      <c r="L4838" s="1996"/>
      <c r="N4838" s="1996">
        <f t="shared" si="75"/>
        <v>0</v>
      </c>
    </row>
    <row r="4839" spans="2:14">
      <c r="B4839" s="46"/>
      <c r="C4839" s="46"/>
      <c r="D4839" s="2005" t="s">
        <v>100</v>
      </c>
      <c r="E4839" s="2006" t="s">
        <v>834</v>
      </c>
      <c r="F4839" s="2001"/>
      <c r="H4839" s="46"/>
      <c r="I4839" s="46"/>
      <c r="J4839" s="2005" t="s">
        <v>100</v>
      </c>
      <c r="K4839" s="2006" t="s">
        <v>834</v>
      </c>
      <c r="L4839" s="2001"/>
      <c r="N4839" s="2001">
        <f t="shared" si="75"/>
        <v>0</v>
      </c>
    </row>
    <row r="4840" spans="2:14">
      <c r="B4840" s="46"/>
      <c r="C4840" s="46"/>
      <c r="D4840" s="1507" t="s">
        <v>823</v>
      </c>
      <c r="E4840" s="1620"/>
      <c r="F4840" s="1999">
        <v>0</v>
      </c>
      <c r="H4840" s="46"/>
      <c r="I4840" s="46"/>
      <c r="J4840" s="1507" t="s">
        <v>823</v>
      </c>
      <c r="K4840" s="1620"/>
      <c r="L4840" s="1999">
        <v>0</v>
      </c>
      <c r="N4840" s="1999">
        <f t="shared" si="75"/>
        <v>0</v>
      </c>
    </row>
    <row r="4841" spans="2:14">
      <c r="B4841" s="46"/>
      <c r="C4841" s="46"/>
      <c r="D4841" s="1507" t="s">
        <v>835</v>
      </c>
      <c r="E4841" s="1620"/>
      <c r="F4841" s="1999">
        <v>0</v>
      </c>
      <c r="H4841" s="46"/>
      <c r="I4841" s="46"/>
      <c r="J4841" s="1507" t="s">
        <v>835</v>
      </c>
      <c r="K4841" s="1620"/>
      <c r="L4841" s="1999">
        <v>0</v>
      </c>
      <c r="N4841" s="1999">
        <f t="shared" si="75"/>
        <v>0</v>
      </c>
    </row>
    <row r="4842" spans="2:14">
      <c r="B4842" s="46"/>
      <c r="C4842" s="46"/>
      <c r="D4842" s="2021" t="s">
        <v>836</v>
      </c>
      <c r="E4842" s="2022"/>
      <c r="F4842" s="1999">
        <v>0</v>
      </c>
      <c r="H4842" s="46"/>
      <c r="I4842" s="46"/>
      <c r="J4842" s="2021" t="s">
        <v>836</v>
      </c>
      <c r="K4842" s="2022"/>
      <c r="L4842" s="1999">
        <v>0</v>
      </c>
      <c r="N4842" s="1999">
        <f t="shared" si="75"/>
        <v>0</v>
      </c>
    </row>
    <row r="4843" spans="2:14">
      <c r="B4843" s="46"/>
      <c r="C4843" s="46"/>
      <c r="D4843" s="1597">
        <v>2210200</v>
      </c>
      <c r="E4843" s="2009" t="s">
        <v>20</v>
      </c>
      <c r="F4843" s="2010">
        <v>258000</v>
      </c>
      <c r="H4843" s="46"/>
      <c r="I4843" s="46"/>
      <c r="J4843" s="1597">
        <v>2210200</v>
      </c>
      <c r="K4843" s="2009" t="s">
        <v>20</v>
      </c>
      <c r="L4843" s="2010">
        <v>258000</v>
      </c>
      <c r="N4843" s="2010">
        <f t="shared" si="75"/>
        <v>0</v>
      </c>
    </row>
    <row r="4844" spans="2:14">
      <c r="B4844" s="46"/>
      <c r="C4844" s="46"/>
      <c r="D4844" s="105">
        <v>2210201</v>
      </c>
      <c r="E4844" s="2002" t="s">
        <v>187</v>
      </c>
      <c r="F4844" s="189">
        <v>100000</v>
      </c>
      <c r="H4844" s="46"/>
      <c r="I4844" s="46"/>
      <c r="J4844" s="105">
        <v>2210201</v>
      </c>
      <c r="K4844" s="2002" t="s">
        <v>187</v>
      </c>
      <c r="L4844" s="189">
        <v>100000</v>
      </c>
      <c r="N4844" s="189">
        <f t="shared" si="75"/>
        <v>0</v>
      </c>
    </row>
    <row r="4845" spans="2:14">
      <c r="B4845" s="46"/>
      <c r="C4845" s="46"/>
      <c r="D4845" s="105">
        <v>2210202</v>
      </c>
      <c r="E4845" s="2002" t="s">
        <v>359</v>
      </c>
      <c r="F4845" s="189">
        <v>100000</v>
      </c>
      <c r="H4845" s="46"/>
      <c r="I4845" s="46"/>
      <c r="J4845" s="105">
        <v>2210202</v>
      </c>
      <c r="K4845" s="2002" t="s">
        <v>359</v>
      </c>
      <c r="L4845" s="189">
        <v>100000</v>
      </c>
      <c r="N4845" s="189">
        <f t="shared" si="75"/>
        <v>0</v>
      </c>
    </row>
    <row r="4846" spans="2:14">
      <c r="B4846" s="46"/>
      <c r="C4846" s="46"/>
      <c r="D4846" s="105">
        <v>2210203</v>
      </c>
      <c r="E4846" s="2002" t="s">
        <v>23</v>
      </c>
      <c r="F4846" s="189">
        <v>58000</v>
      </c>
      <c r="H4846" s="46"/>
      <c r="I4846" s="46"/>
      <c r="J4846" s="105">
        <v>2210203</v>
      </c>
      <c r="K4846" s="2002" t="s">
        <v>23</v>
      </c>
      <c r="L4846" s="189">
        <v>58000</v>
      </c>
      <c r="N4846" s="189">
        <f t="shared" si="75"/>
        <v>0</v>
      </c>
    </row>
    <row r="4847" spans="2:14">
      <c r="B4847" s="46"/>
      <c r="C4847" s="46"/>
      <c r="D4847" s="1597">
        <v>2210300</v>
      </c>
      <c r="E4847" s="2009" t="s">
        <v>24</v>
      </c>
      <c r="F4847" s="2010">
        <v>1330000</v>
      </c>
      <c r="H4847" s="46"/>
      <c r="I4847" s="46"/>
      <c r="J4847" s="1597">
        <v>2210300</v>
      </c>
      <c r="K4847" s="2009" t="s">
        <v>24</v>
      </c>
      <c r="L4847" s="2010">
        <v>1330000</v>
      </c>
      <c r="N4847" s="2010">
        <f t="shared" si="75"/>
        <v>0</v>
      </c>
    </row>
    <row r="4848" spans="2:14">
      <c r="B4848" s="46"/>
      <c r="C4848" s="46"/>
      <c r="D4848" s="105">
        <v>2210301</v>
      </c>
      <c r="E4848" s="2002" t="s">
        <v>188</v>
      </c>
      <c r="F4848" s="189">
        <v>380000</v>
      </c>
      <c r="H4848" s="46"/>
      <c r="I4848" s="46"/>
      <c r="J4848" s="105">
        <v>2210301</v>
      </c>
      <c r="K4848" s="2002" t="s">
        <v>188</v>
      </c>
      <c r="L4848" s="189">
        <v>380000</v>
      </c>
      <c r="N4848" s="189">
        <f t="shared" si="75"/>
        <v>0</v>
      </c>
    </row>
    <row r="4849" spans="2:14">
      <c r="B4849" s="46"/>
      <c r="C4849" s="46"/>
      <c r="D4849" s="105">
        <v>2210302</v>
      </c>
      <c r="E4849" s="2002" t="s">
        <v>26</v>
      </c>
      <c r="F4849" s="189">
        <v>400000</v>
      </c>
      <c r="H4849" s="46"/>
      <c r="I4849" s="46"/>
      <c r="J4849" s="105">
        <v>2210302</v>
      </c>
      <c r="K4849" s="2002" t="s">
        <v>26</v>
      </c>
      <c r="L4849" s="189">
        <v>400000</v>
      </c>
      <c r="N4849" s="189">
        <f t="shared" si="75"/>
        <v>0</v>
      </c>
    </row>
    <row r="4850" spans="2:14">
      <c r="B4850" s="46"/>
      <c r="C4850" s="46"/>
      <c r="D4850" s="105">
        <v>2210303</v>
      </c>
      <c r="E4850" s="2002" t="s">
        <v>223</v>
      </c>
      <c r="F4850" s="189">
        <v>550000</v>
      </c>
      <c r="H4850" s="46"/>
      <c r="I4850" s="46"/>
      <c r="J4850" s="105">
        <v>2210303</v>
      </c>
      <c r="K4850" s="2002" t="s">
        <v>223</v>
      </c>
      <c r="L4850" s="189">
        <v>550000</v>
      </c>
      <c r="N4850" s="189">
        <f t="shared" si="75"/>
        <v>0</v>
      </c>
    </row>
    <row r="4851" spans="2:14">
      <c r="B4851" s="46"/>
      <c r="C4851" s="46"/>
      <c r="D4851" s="1597">
        <v>2210500</v>
      </c>
      <c r="E4851" s="2009" t="s">
        <v>31</v>
      </c>
      <c r="F4851" s="2010">
        <v>625400</v>
      </c>
      <c r="H4851" s="46"/>
      <c r="I4851" s="46"/>
      <c r="J4851" s="1597">
        <v>2210500</v>
      </c>
      <c r="K4851" s="2009" t="s">
        <v>31</v>
      </c>
      <c r="L4851" s="2010">
        <v>625400</v>
      </c>
      <c r="N4851" s="2010">
        <f t="shared" si="75"/>
        <v>0</v>
      </c>
    </row>
    <row r="4852" spans="2:14">
      <c r="B4852" s="46"/>
      <c r="C4852" s="46"/>
      <c r="D4852" s="105">
        <v>2210502</v>
      </c>
      <c r="E4852" s="2002" t="s">
        <v>105</v>
      </c>
      <c r="F4852" s="189">
        <v>150000</v>
      </c>
      <c r="H4852" s="46"/>
      <c r="I4852" s="46"/>
      <c r="J4852" s="105">
        <v>2210502</v>
      </c>
      <c r="K4852" s="2002" t="s">
        <v>105</v>
      </c>
      <c r="L4852" s="189">
        <v>150000</v>
      </c>
      <c r="N4852" s="189">
        <f t="shared" si="75"/>
        <v>0</v>
      </c>
    </row>
    <row r="4853" spans="2:14">
      <c r="B4853" s="46"/>
      <c r="C4853" s="46"/>
      <c r="D4853" s="105">
        <v>2210503</v>
      </c>
      <c r="E4853" s="2002" t="s">
        <v>32</v>
      </c>
      <c r="F4853" s="189">
        <v>75400</v>
      </c>
      <c r="H4853" s="46"/>
      <c r="I4853" s="46"/>
      <c r="J4853" s="105">
        <v>2210503</v>
      </c>
      <c r="K4853" s="2002" t="s">
        <v>32</v>
      </c>
      <c r="L4853" s="189">
        <v>75400</v>
      </c>
      <c r="N4853" s="189">
        <f t="shared" si="75"/>
        <v>0</v>
      </c>
    </row>
    <row r="4854" spans="2:14">
      <c r="B4854" s="46"/>
      <c r="C4854" s="46"/>
      <c r="D4854" s="105">
        <v>2210504</v>
      </c>
      <c r="E4854" s="2002" t="s">
        <v>33</v>
      </c>
      <c r="F4854" s="189">
        <v>400000</v>
      </c>
      <c r="H4854" s="46"/>
      <c r="I4854" s="46"/>
      <c r="J4854" s="105">
        <v>2210504</v>
      </c>
      <c r="K4854" s="2002" t="s">
        <v>33</v>
      </c>
      <c r="L4854" s="189">
        <v>400000</v>
      </c>
      <c r="N4854" s="189">
        <f t="shared" si="75"/>
        <v>0</v>
      </c>
    </row>
    <row r="4855" spans="2:14">
      <c r="B4855" s="46"/>
      <c r="C4855" s="46"/>
      <c r="D4855" s="1597">
        <v>2210700</v>
      </c>
      <c r="E4855" s="2009" t="s">
        <v>35</v>
      </c>
      <c r="F4855" s="2010">
        <v>411000</v>
      </c>
      <c r="H4855" s="46"/>
      <c r="I4855" s="46"/>
      <c r="J4855" s="1597">
        <v>2210700</v>
      </c>
      <c r="K4855" s="2009" t="s">
        <v>35</v>
      </c>
      <c r="L4855" s="2010">
        <v>411000</v>
      </c>
      <c r="N4855" s="2010">
        <f t="shared" si="75"/>
        <v>0</v>
      </c>
    </row>
    <row r="4856" spans="2:14">
      <c r="B4856" s="46"/>
      <c r="C4856" s="46"/>
      <c r="D4856" s="105">
        <v>2210701</v>
      </c>
      <c r="E4856" s="2002" t="s">
        <v>190</v>
      </c>
      <c r="F4856" s="189">
        <v>150000</v>
      </c>
      <c r="H4856" s="46"/>
      <c r="I4856" s="46"/>
      <c r="J4856" s="105">
        <v>2210701</v>
      </c>
      <c r="K4856" s="2002" t="s">
        <v>190</v>
      </c>
      <c r="L4856" s="189">
        <v>150000</v>
      </c>
      <c r="N4856" s="189">
        <f t="shared" si="75"/>
        <v>0</v>
      </c>
    </row>
    <row r="4857" spans="2:14">
      <c r="B4857" s="46"/>
      <c r="C4857" s="46"/>
      <c r="D4857" s="105">
        <v>2210704</v>
      </c>
      <c r="E4857" s="2002" t="s">
        <v>38</v>
      </c>
      <c r="F4857" s="189">
        <v>58000</v>
      </c>
      <c r="H4857" s="46"/>
      <c r="I4857" s="46"/>
      <c r="J4857" s="105">
        <v>2210704</v>
      </c>
      <c r="K4857" s="2002" t="s">
        <v>38</v>
      </c>
      <c r="L4857" s="189">
        <v>58000</v>
      </c>
      <c r="N4857" s="189">
        <f t="shared" si="75"/>
        <v>0</v>
      </c>
    </row>
    <row r="4858" spans="2:14">
      <c r="B4858" s="46"/>
      <c r="C4858" s="46"/>
      <c r="D4858" s="105">
        <v>2210710</v>
      </c>
      <c r="E4858" s="2002" t="s">
        <v>361</v>
      </c>
      <c r="F4858" s="189">
        <v>203000</v>
      </c>
      <c r="H4858" s="46"/>
      <c r="I4858" s="46"/>
      <c r="J4858" s="105">
        <v>2210710</v>
      </c>
      <c r="K4858" s="2002" t="s">
        <v>361</v>
      </c>
      <c r="L4858" s="189">
        <v>203000</v>
      </c>
      <c r="N4858" s="189">
        <f t="shared" si="75"/>
        <v>0</v>
      </c>
    </row>
    <row r="4859" spans="2:14">
      <c r="B4859" s="46"/>
      <c r="C4859" s="46"/>
      <c r="D4859" s="1597">
        <v>2211100</v>
      </c>
      <c r="E4859" s="2009" t="s">
        <v>51</v>
      </c>
      <c r="F4859" s="2010">
        <v>295000</v>
      </c>
      <c r="H4859" s="46"/>
      <c r="I4859" s="46"/>
      <c r="J4859" s="1597">
        <v>2211100</v>
      </c>
      <c r="K4859" s="2009" t="s">
        <v>51</v>
      </c>
      <c r="L4859" s="2010">
        <v>295000</v>
      </c>
      <c r="N4859" s="2010">
        <f t="shared" si="75"/>
        <v>0</v>
      </c>
    </row>
    <row r="4860" spans="2:14">
      <c r="B4860" s="46"/>
      <c r="C4860" s="46"/>
      <c r="D4860" s="105">
        <v>2211101</v>
      </c>
      <c r="E4860" s="2002" t="s">
        <v>289</v>
      </c>
      <c r="F4860" s="189">
        <v>58000</v>
      </c>
      <c r="H4860" s="46"/>
      <c r="I4860" s="46"/>
      <c r="J4860" s="105">
        <v>2211101</v>
      </c>
      <c r="K4860" s="2002" t="s">
        <v>289</v>
      </c>
      <c r="L4860" s="189">
        <v>58000</v>
      </c>
      <c r="N4860" s="189">
        <f t="shared" si="75"/>
        <v>0</v>
      </c>
    </row>
    <row r="4861" spans="2:14">
      <c r="B4861" s="46"/>
      <c r="C4861" s="46"/>
      <c r="D4861" s="105">
        <v>2211102</v>
      </c>
      <c r="E4861" s="2002" t="s">
        <v>53</v>
      </c>
      <c r="F4861" s="189">
        <v>150000</v>
      </c>
      <c r="H4861" s="46"/>
      <c r="I4861" s="46"/>
      <c r="J4861" s="105">
        <v>2211102</v>
      </c>
      <c r="K4861" s="2002" t="s">
        <v>53</v>
      </c>
      <c r="L4861" s="189">
        <v>150000</v>
      </c>
      <c r="N4861" s="189">
        <f t="shared" si="75"/>
        <v>0</v>
      </c>
    </row>
    <row r="4862" spans="2:14">
      <c r="B4862" s="46"/>
      <c r="C4862" s="46"/>
      <c r="D4862" s="105">
        <v>2211103</v>
      </c>
      <c r="E4862" s="2002" t="s">
        <v>54</v>
      </c>
      <c r="F4862" s="189">
        <v>87000</v>
      </c>
      <c r="H4862" s="46"/>
      <c r="I4862" s="46"/>
      <c r="J4862" s="105">
        <v>2211103</v>
      </c>
      <c r="K4862" s="2002" t="s">
        <v>54</v>
      </c>
      <c r="L4862" s="189">
        <v>87000</v>
      </c>
      <c r="N4862" s="189">
        <f t="shared" si="75"/>
        <v>0</v>
      </c>
    </row>
    <row r="4863" spans="2:14">
      <c r="B4863" s="46"/>
      <c r="C4863" s="46"/>
      <c r="D4863" s="1597">
        <v>2211300</v>
      </c>
      <c r="E4863" s="2009" t="s">
        <v>57</v>
      </c>
      <c r="F4863" s="2010">
        <v>50000</v>
      </c>
      <c r="H4863" s="46"/>
      <c r="I4863" s="46"/>
      <c r="J4863" s="1597">
        <v>2211300</v>
      </c>
      <c r="K4863" s="2009" t="s">
        <v>57</v>
      </c>
      <c r="L4863" s="2010">
        <v>50000</v>
      </c>
      <c r="N4863" s="2010">
        <f t="shared" si="75"/>
        <v>0</v>
      </c>
    </row>
    <row r="4864" spans="2:14">
      <c r="B4864" s="46"/>
      <c r="C4864" s="46"/>
      <c r="D4864" s="105">
        <v>2211306</v>
      </c>
      <c r="E4864" s="2002" t="s">
        <v>58</v>
      </c>
      <c r="F4864" s="189">
        <v>50000</v>
      </c>
      <c r="H4864" s="46"/>
      <c r="I4864" s="46"/>
      <c r="J4864" s="105">
        <v>2211306</v>
      </c>
      <c r="K4864" s="2002" t="s">
        <v>58</v>
      </c>
      <c r="L4864" s="189">
        <v>50000</v>
      </c>
      <c r="N4864" s="189">
        <f t="shared" si="75"/>
        <v>0</v>
      </c>
    </row>
    <row r="4865" spans="2:14">
      <c r="B4865" s="46"/>
      <c r="C4865" s="46"/>
      <c r="D4865" s="1597">
        <v>2211200</v>
      </c>
      <c r="E4865" s="2009" t="s">
        <v>55</v>
      </c>
      <c r="F4865" s="2010">
        <v>500000</v>
      </c>
      <c r="H4865" s="46"/>
      <c r="I4865" s="46"/>
      <c r="J4865" s="1597">
        <v>2211200</v>
      </c>
      <c r="K4865" s="2009" t="s">
        <v>55</v>
      </c>
      <c r="L4865" s="2010">
        <v>500000</v>
      </c>
      <c r="N4865" s="2010">
        <f t="shared" si="75"/>
        <v>0</v>
      </c>
    </row>
    <row r="4866" spans="2:14">
      <c r="B4866" s="46"/>
      <c r="C4866" s="46"/>
      <c r="D4866" s="105">
        <v>2211201</v>
      </c>
      <c r="E4866" s="2002" t="s">
        <v>56</v>
      </c>
      <c r="F4866" s="189">
        <v>500000</v>
      </c>
      <c r="H4866" s="46"/>
      <c r="I4866" s="46"/>
      <c r="J4866" s="105">
        <v>2211201</v>
      </c>
      <c r="K4866" s="2002" t="s">
        <v>56</v>
      </c>
      <c r="L4866" s="189">
        <v>500000</v>
      </c>
      <c r="N4866" s="189">
        <f t="shared" si="75"/>
        <v>0</v>
      </c>
    </row>
    <row r="4867" spans="2:14">
      <c r="B4867" s="46"/>
      <c r="C4867" s="46"/>
      <c r="D4867" s="1597">
        <v>2220100</v>
      </c>
      <c r="E4867" s="2009" t="s">
        <v>62</v>
      </c>
      <c r="F4867" s="2010">
        <v>495600</v>
      </c>
      <c r="H4867" s="46"/>
      <c r="I4867" s="46"/>
      <c r="J4867" s="1597">
        <v>2220100</v>
      </c>
      <c r="K4867" s="2009" t="s">
        <v>62</v>
      </c>
      <c r="L4867" s="2010">
        <v>495600</v>
      </c>
      <c r="N4867" s="2010">
        <f t="shared" si="75"/>
        <v>0</v>
      </c>
    </row>
    <row r="4868" spans="2:14">
      <c r="B4868" s="46"/>
      <c r="C4868" s="46"/>
      <c r="D4868" s="105">
        <v>2220101</v>
      </c>
      <c r="E4868" s="2002" t="s">
        <v>366</v>
      </c>
      <c r="F4868" s="189">
        <v>292600</v>
      </c>
      <c r="H4868" s="46"/>
      <c r="I4868" s="46"/>
      <c r="J4868" s="105">
        <v>2220101</v>
      </c>
      <c r="K4868" s="2002" t="s">
        <v>366</v>
      </c>
      <c r="L4868" s="189">
        <v>292600</v>
      </c>
      <c r="N4868" s="189">
        <f t="shared" si="75"/>
        <v>0</v>
      </c>
    </row>
    <row r="4869" spans="2:14">
      <c r="B4869" s="46"/>
      <c r="C4869" s="46"/>
      <c r="D4869" s="105">
        <v>2220105</v>
      </c>
      <c r="E4869" s="2002" t="s">
        <v>200</v>
      </c>
      <c r="F4869" s="189">
        <v>203000</v>
      </c>
      <c r="H4869" s="46"/>
      <c r="I4869" s="46"/>
      <c r="J4869" s="105">
        <v>2220105</v>
      </c>
      <c r="K4869" s="2002" t="s">
        <v>200</v>
      </c>
      <c r="L4869" s="189">
        <v>203000</v>
      </c>
      <c r="N4869" s="189">
        <f t="shared" si="75"/>
        <v>0</v>
      </c>
    </row>
    <row r="4870" spans="2:14">
      <c r="B4870" s="46"/>
      <c r="C4870" s="46"/>
      <c r="D4870" s="2005" t="s">
        <v>837</v>
      </c>
      <c r="E4870" s="2006"/>
      <c r="F4870" s="1996">
        <v>3965000</v>
      </c>
      <c r="H4870" s="46"/>
      <c r="I4870" s="46"/>
      <c r="J4870" s="2005" t="s">
        <v>837</v>
      </c>
      <c r="K4870" s="2006"/>
      <c r="L4870" s="1996">
        <v>3965000</v>
      </c>
      <c r="N4870" s="1996">
        <f t="shared" si="75"/>
        <v>0</v>
      </c>
    </row>
    <row r="4871" spans="2:14">
      <c r="B4871" s="46"/>
      <c r="C4871" s="46"/>
      <c r="D4871" s="1997"/>
      <c r="E4871" s="2020"/>
      <c r="F4871" s="2001">
        <v>0</v>
      </c>
      <c r="H4871" s="46"/>
      <c r="I4871" s="46"/>
      <c r="J4871" s="1997"/>
      <c r="K4871" s="2020"/>
      <c r="L4871" s="2001">
        <v>0</v>
      </c>
      <c r="N4871" s="2001">
        <f t="shared" si="75"/>
        <v>0</v>
      </c>
    </row>
    <row r="4872" spans="2:14">
      <c r="B4872" s="46"/>
      <c r="C4872" s="46"/>
      <c r="D4872" s="2005" t="s">
        <v>838</v>
      </c>
      <c r="E4872" s="2006"/>
      <c r="F4872" s="2016">
        <v>0</v>
      </c>
      <c r="H4872" s="46"/>
      <c r="I4872" s="46"/>
      <c r="J4872" s="2005" t="s">
        <v>838</v>
      </c>
      <c r="K4872" s="2006"/>
      <c r="L4872" s="2016">
        <v>0</v>
      </c>
      <c r="N4872" s="2016">
        <f t="shared" ref="N4872:N4935" si="76">F4872-L4872</f>
        <v>0</v>
      </c>
    </row>
    <row r="4873" spans="2:14" ht="30">
      <c r="B4873" s="46"/>
      <c r="C4873" s="46"/>
      <c r="D4873" s="1597">
        <v>3111400</v>
      </c>
      <c r="E4873" s="2009" t="s">
        <v>839</v>
      </c>
      <c r="F4873" s="2010">
        <v>4831598</v>
      </c>
      <c r="H4873" s="46"/>
      <c r="I4873" s="46"/>
      <c r="J4873" s="1597">
        <v>3111400</v>
      </c>
      <c r="K4873" s="2009" t="s">
        <v>839</v>
      </c>
      <c r="L4873" s="2010">
        <v>4831598</v>
      </c>
      <c r="N4873" s="2010">
        <f t="shared" si="76"/>
        <v>0</v>
      </c>
    </row>
    <row r="4874" spans="2:14">
      <c r="B4874" s="46"/>
      <c r="C4874" s="46"/>
      <c r="D4874" s="105">
        <v>3111401</v>
      </c>
      <c r="E4874" s="158" t="s">
        <v>1399</v>
      </c>
      <c r="F4874" s="189">
        <v>1000000</v>
      </c>
      <c r="H4874" s="46"/>
      <c r="I4874" s="46"/>
      <c r="J4874" s="105">
        <v>3111401</v>
      </c>
      <c r="K4874" s="158" t="s">
        <v>1399</v>
      </c>
      <c r="L4874" s="189">
        <v>1000000</v>
      </c>
      <c r="N4874" s="189">
        <f t="shared" si="76"/>
        <v>0</v>
      </c>
    </row>
    <row r="4875" spans="2:14">
      <c r="B4875" s="46"/>
      <c r="C4875" s="46"/>
      <c r="D4875" s="105">
        <v>3111402</v>
      </c>
      <c r="E4875" s="158" t="s">
        <v>1400</v>
      </c>
      <c r="F4875" s="189">
        <v>2300000</v>
      </c>
      <c r="H4875" s="46"/>
      <c r="I4875" s="46"/>
      <c r="J4875" s="105">
        <v>3111402</v>
      </c>
      <c r="K4875" s="158" t="s">
        <v>1400</v>
      </c>
      <c r="L4875" s="189">
        <v>2300000</v>
      </c>
      <c r="N4875" s="189">
        <f t="shared" si="76"/>
        <v>0</v>
      </c>
    </row>
    <row r="4876" spans="2:14">
      <c r="B4876" s="46"/>
      <c r="C4876" s="46"/>
      <c r="D4876" s="105">
        <v>3110504</v>
      </c>
      <c r="E4876" s="158" t="s">
        <v>1401</v>
      </c>
      <c r="F4876" s="189">
        <v>1531598</v>
      </c>
      <c r="H4876" s="46"/>
      <c r="I4876" s="46"/>
      <c r="J4876" s="105">
        <v>3110504</v>
      </c>
      <c r="K4876" s="158" t="s">
        <v>1401</v>
      </c>
      <c r="L4876" s="189">
        <v>1531598</v>
      </c>
      <c r="N4876" s="189">
        <f t="shared" si="76"/>
        <v>0</v>
      </c>
    </row>
    <row r="4877" spans="2:14">
      <c r="B4877" s="46"/>
      <c r="C4877" s="46"/>
      <c r="D4877" s="2005" t="s">
        <v>840</v>
      </c>
      <c r="E4877" s="2006"/>
      <c r="F4877" s="1996">
        <v>4831598</v>
      </c>
      <c r="H4877" s="46"/>
      <c r="I4877" s="46"/>
      <c r="J4877" s="2005" t="s">
        <v>840</v>
      </c>
      <c r="K4877" s="2006"/>
      <c r="L4877" s="1996">
        <v>4831598</v>
      </c>
      <c r="N4877" s="1996">
        <f t="shared" si="76"/>
        <v>0</v>
      </c>
    </row>
    <row r="4878" spans="2:14">
      <c r="B4878" s="46"/>
      <c r="C4878" s="46"/>
      <c r="D4878" s="2005" t="s">
        <v>84</v>
      </c>
      <c r="E4878" s="2019"/>
      <c r="F4878" s="1996">
        <v>8796598</v>
      </c>
      <c r="H4878" s="46"/>
      <c r="I4878" s="46"/>
      <c r="J4878" s="2005" t="s">
        <v>84</v>
      </c>
      <c r="K4878" s="2019"/>
      <c r="L4878" s="1996">
        <v>8796598</v>
      </c>
      <c r="N4878" s="1996">
        <f t="shared" si="76"/>
        <v>0</v>
      </c>
    </row>
    <row r="4879" spans="2:14">
      <c r="B4879" s="46"/>
      <c r="C4879" s="46"/>
      <c r="D4879" s="2005" t="s">
        <v>841</v>
      </c>
      <c r="E4879" s="2019"/>
      <c r="F4879" s="1996"/>
      <c r="H4879" s="46"/>
      <c r="I4879" s="46"/>
      <c r="J4879" s="2005" t="s">
        <v>841</v>
      </c>
      <c r="K4879" s="2019"/>
      <c r="L4879" s="1996"/>
      <c r="N4879" s="1996">
        <f t="shared" si="76"/>
        <v>0</v>
      </c>
    </row>
    <row r="4880" spans="2:14">
      <c r="B4880" s="46"/>
      <c r="C4880" s="46"/>
      <c r="D4880" s="2005"/>
      <c r="E4880" s="2019"/>
      <c r="F4880" s="1996"/>
      <c r="H4880" s="46"/>
      <c r="I4880" s="46"/>
      <c r="J4880" s="2005"/>
      <c r="K4880" s="2019"/>
      <c r="L4880" s="1996"/>
      <c r="N4880" s="1996">
        <f t="shared" si="76"/>
        <v>0</v>
      </c>
    </row>
    <row r="4881" spans="2:14">
      <c r="B4881" s="46"/>
      <c r="C4881" s="46"/>
      <c r="D4881" s="2023" t="s">
        <v>842</v>
      </c>
      <c r="E4881" s="2024"/>
      <c r="F4881" s="164"/>
      <c r="H4881" s="46"/>
      <c r="I4881" s="46"/>
      <c r="J4881" s="2023" t="s">
        <v>842</v>
      </c>
      <c r="K4881" s="2024"/>
      <c r="L4881" s="164"/>
      <c r="N4881" s="164">
        <f t="shared" si="76"/>
        <v>0</v>
      </c>
    </row>
    <row r="4882" spans="2:14">
      <c r="B4882" s="46"/>
      <c r="C4882" s="46"/>
      <c r="D4882" s="1507" t="s">
        <v>843</v>
      </c>
      <c r="E4882" s="1680"/>
      <c r="F4882" s="164"/>
      <c r="H4882" s="46"/>
      <c r="I4882" s="46"/>
      <c r="J4882" s="1507" t="s">
        <v>843</v>
      </c>
      <c r="K4882" s="1680"/>
      <c r="L4882" s="164"/>
      <c r="N4882" s="164">
        <f t="shared" si="76"/>
        <v>0</v>
      </c>
    </row>
    <row r="4883" spans="2:14">
      <c r="B4883" s="46"/>
      <c r="C4883" s="46"/>
      <c r="D4883" s="1597">
        <v>2210200</v>
      </c>
      <c r="E4883" s="2009" t="s">
        <v>20</v>
      </c>
      <c r="F4883" s="2010">
        <v>258000</v>
      </c>
      <c r="H4883" s="46"/>
      <c r="I4883" s="46"/>
      <c r="J4883" s="1597">
        <v>2210200</v>
      </c>
      <c r="K4883" s="2009" t="s">
        <v>20</v>
      </c>
      <c r="L4883" s="2010">
        <v>258000</v>
      </c>
      <c r="N4883" s="2010">
        <f t="shared" si="76"/>
        <v>0</v>
      </c>
    </row>
    <row r="4884" spans="2:14">
      <c r="B4884" s="46"/>
      <c r="C4884" s="46"/>
      <c r="D4884" s="105">
        <v>2210201</v>
      </c>
      <c r="E4884" s="2002" t="s">
        <v>187</v>
      </c>
      <c r="F4884" s="189">
        <v>100000</v>
      </c>
      <c r="H4884" s="46"/>
      <c r="I4884" s="46"/>
      <c r="J4884" s="105">
        <v>2210201</v>
      </c>
      <c r="K4884" s="2002" t="s">
        <v>187</v>
      </c>
      <c r="L4884" s="189">
        <v>100000</v>
      </c>
      <c r="N4884" s="189">
        <f t="shared" si="76"/>
        <v>0</v>
      </c>
    </row>
    <row r="4885" spans="2:14">
      <c r="B4885" s="46"/>
      <c r="C4885" s="46"/>
      <c r="D4885" s="105">
        <v>2210202</v>
      </c>
      <c r="E4885" s="2002" t="s">
        <v>359</v>
      </c>
      <c r="F4885" s="189">
        <v>100000</v>
      </c>
      <c r="H4885" s="46"/>
      <c r="I4885" s="46"/>
      <c r="J4885" s="105">
        <v>2210202</v>
      </c>
      <c r="K4885" s="2002" t="s">
        <v>359</v>
      </c>
      <c r="L4885" s="189">
        <v>100000</v>
      </c>
      <c r="N4885" s="189">
        <f t="shared" si="76"/>
        <v>0</v>
      </c>
    </row>
    <row r="4886" spans="2:14">
      <c r="B4886" s="46"/>
      <c r="C4886" s="46"/>
      <c r="D4886" s="105">
        <v>2210203</v>
      </c>
      <c r="E4886" s="2002" t="s">
        <v>23</v>
      </c>
      <c r="F4886" s="189">
        <v>58000</v>
      </c>
      <c r="H4886" s="46"/>
      <c r="I4886" s="46"/>
      <c r="J4886" s="105">
        <v>2210203</v>
      </c>
      <c r="K4886" s="2002" t="s">
        <v>23</v>
      </c>
      <c r="L4886" s="189">
        <v>58000</v>
      </c>
      <c r="N4886" s="189">
        <f t="shared" si="76"/>
        <v>0</v>
      </c>
    </row>
    <row r="4887" spans="2:14">
      <c r="B4887" s="46"/>
      <c r="C4887" s="46"/>
      <c r="D4887" s="1597">
        <v>2210300</v>
      </c>
      <c r="E4887" s="2009" t="s">
        <v>24</v>
      </c>
      <c r="F4887" s="2010">
        <v>1462709.5200023651</v>
      </c>
      <c r="H4887" s="46"/>
      <c r="I4887" s="46"/>
      <c r="J4887" s="1597">
        <v>2210300</v>
      </c>
      <c r="K4887" s="2009" t="s">
        <v>24</v>
      </c>
      <c r="L4887" s="2010">
        <v>1462709.5200023651</v>
      </c>
      <c r="N4887" s="2010">
        <f t="shared" si="76"/>
        <v>0</v>
      </c>
    </row>
    <row r="4888" spans="2:14">
      <c r="B4888" s="46"/>
      <c r="C4888" s="46"/>
      <c r="D4888" s="105">
        <v>2210301</v>
      </c>
      <c r="E4888" s="2002" t="s">
        <v>188</v>
      </c>
      <c r="F4888" s="189">
        <v>206530.520002365</v>
      </c>
      <c r="H4888" s="46"/>
      <c r="I4888" s="46"/>
      <c r="J4888" s="105">
        <v>2210301</v>
      </c>
      <c r="K4888" s="2002" t="s">
        <v>188</v>
      </c>
      <c r="L4888" s="189">
        <v>206530.520002365</v>
      </c>
      <c r="N4888" s="189">
        <f t="shared" si="76"/>
        <v>0</v>
      </c>
    </row>
    <row r="4889" spans="2:14">
      <c r="B4889" s="46"/>
      <c r="C4889" s="46"/>
      <c r="D4889" s="105">
        <v>2210302</v>
      </c>
      <c r="E4889" s="2002" t="s">
        <v>26</v>
      </c>
      <c r="F4889" s="189">
        <v>500000</v>
      </c>
      <c r="H4889" s="46"/>
      <c r="I4889" s="46"/>
      <c r="J4889" s="105">
        <v>2210302</v>
      </c>
      <c r="K4889" s="2002" t="s">
        <v>26</v>
      </c>
      <c r="L4889" s="189">
        <v>500000</v>
      </c>
      <c r="N4889" s="189">
        <f t="shared" si="76"/>
        <v>0</v>
      </c>
    </row>
    <row r="4890" spans="2:14">
      <c r="B4890" s="46"/>
      <c r="C4890" s="46"/>
      <c r="D4890" s="105">
        <v>2210303</v>
      </c>
      <c r="E4890" s="2002" t="s">
        <v>223</v>
      </c>
      <c r="F4890" s="189">
        <v>756179</v>
      </c>
      <c r="H4890" s="46"/>
      <c r="I4890" s="46"/>
      <c r="J4890" s="105">
        <v>2210303</v>
      </c>
      <c r="K4890" s="2002" t="s">
        <v>223</v>
      </c>
      <c r="L4890" s="189">
        <v>756179</v>
      </c>
      <c r="N4890" s="189">
        <f t="shared" si="76"/>
        <v>0</v>
      </c>
    </row>
    <row r="4891" spans="2:14">
      <c r="B4891" s="46"/>
      <c r="C4891" s="46"/>
      <c r="D4891" s="1597">
        <v>2210500</v>
      </c>
      <c r="E4891" s="2009" t="s">
        <v>31</v>
      </c>
      <c r="F4891" s="2010">
        <v>415400</v>
      </c>
      <c r="H4891" s="46"/>
      <c r="I4891" s="46"/>
      <c r="J4891" s="1597">
        <v>2210500</v>
      </c>
      <c r="K4891" s="2009" t="s">
        <v>31</v>
      </c>
      <c r="L4891" s="2010">
        <v>415400</v>
      </c>
      <c r="N4891" s="2010">
        <f t="shared" si="76"/>
        <v>0</v>
      </c>
    </row>
    <row r="4892" spans="2:14">
      <c r="B4892" s="46"/>
      <c r="C4892" s="46"/>
      <c r="D4892" s="105">
        <v>2210502</v>
      </c>
      <c r="E4892" s="2002" t="s">
        <v>105</v>
      </c>
      <c r="F4892" s="189">
        <v>190000</v>
      </c>
      <c r="H4892" s="46"/>
      <c r="I4892" s="46"/>
      <c r="J4892" s="105">
        <v>2210502</v>
      </c>
      <c r="K4892" s="2002" t="s">
        <v>105</v>
      </c>
      <c r="L4892" s="189">
        <v>190000</v>
      </c>
      <c r="N4892" s="189">
        <f t="shared" si="76"/>
        <v>0</v>
      </c>
    </row>
    <row r="4893" spans="2:14">
      <c r="B4893" s="46"/>
      <c r="C4893" s="46"/>
      <c r="D4893" s="105">
        <v>2210503</v>
      </c>
      <c r="E4893" s="2002" t="s">
        <v>32</v>
      </c>
      <c r="F4893" s="189">
        <v>75400</v>
      </c>
      <c r="H4893" s="46"/>
      <c r="I4893" s="46"/>
      <c r="J4893" s="105">
        <v>2210503</v>
      </c>
      <c r="K4893" s="2002" t="s">
        <v>32</v>
      </c>
      <c r="L4893" s="189">
        <v>75400</v>
      </c>
      <c r="N4893" s="189">
        <f t="shared" si="76"/>
        <v>0</v>
      </c>
    </row>
    <row r="4894" spans="2:14">
      <c r="B4894" s="46"/>
      <c r="C4894" s="46"/>
      <c r="D4894" s="105">
        <v>2210504</v>
      </c>
      <c r="E4894" s="2002" t="s">
        <v>33</v>
      </c>
      <c r="F4894" s="189">
        <v>150000</v>
      </c>
      <c r="H4894" s="46"/>
      <c r="I4894" s="46"/>
      <c r="J4894" s="105">
        <v>2210504</v>
      </c>
      <c r="K4894" s="2002" t="s">
        <v>33</v>
      </c>
      <c r="L4894" s="189">
        <v>150000</v>
      </c>
      <c r="N4894" s="189">
        <f t="shared" si="76"/>
        <v>0</v>
      </c>
    </row>
    <row r="4895" spans="2:14">
      <c r="B4895" s="46"/>
      <c r="C4895" s="46"/>
      <c r="D4895" s="1597">
        <v>2210700</v>
      </c>
      <c r="E4895" s="2009" t="s">
        <v>35</v>
      </c>
      <c r="F4895" s="2010">
        <v>408000</v>
      </c>
      <c r="H4895" s="46"/>
      <c r="I4895" s="46"/>
      <c r="J4895" s="1597">
        <v>2210700</v>
      </c>
      <c r="K4895" s="2009" t="s">
        <v>35</v>
      </c>
      <c r="L4895" s="2010">
        <v>408000</v>
      </c>
      <c r="N4895" s="2010">
        <f t="shared" si="76"/>
        <v>0</v>
      </c>
    </row>
    <row r="4896" spans="2:14">
      <c r="B4896" s="46"/>
      <c r="C4896" s="46"/>
      <c r="D4896" s="105">
        <v>2210701</v>
      </c>
      <c r="E4896" s="2002" t="s">
        <v>190</v>
      </c>
      <c r="F4896" s="189">
        <v>200000</v>
      </c>
      <c r="H4896" s="46"/>
      <c r="I4896" s="46"/>
      <c r="J4896" s="105">
        <v>2210701</v>
      </c>
      <c r="K4896" s="2002" t="s">
        <v>190</v>
      </c>
      <c r="L4896" s="189">
        <v>200000</v>
      </c>
      <c r="N4896" s="189">
        <f t="shared" si="76"/>
        <v>0</v>
      </c>
    </row>
    <row r="4897" spans="2:14">
      <c r="B4897" s="46"/>
      <c r="C4897" s="46"/>
      <c r="D4897" s="105">
        <v>2210704</v>
      </c>
      <c r="E4897" s="2002" t="s">
        <v>38</v>
      </c>
      <c r="F4897" s="189">
        <v>58000</v>
      </c>
      <c r="H4897" s="46"/>
      <c r="I4897" s="46"/>
      <c r="J4897" s="105">
        <v>2210704</v>
      </c>
      <c r="K4897" s="2002" t="s">
        <v>38</v>
      </c>
      <c r="L4897" s="189">
        <v>58000</v>
      </c>
      <c r="N4897" s="189">
        <f t="shared" si="76"/>
        <v>0</v>
      </c>
    </row>
    <row r="4898" spans="2:14">
      <c r="B4898" s="46"/>
      <c r="C4898" s="46"/>
      <c r="D4898" s="105">
        <v>2210710</v>
      </c>
      <c r="E4898" s="2002" t="s">
        <v>361</v>
      </c>
      <c r="F4898" s="189">
        <v>150000</v>
      </c>
      <c r="H4898" s="46"/>
      <c r="I4898" s="46"/>
      <c r="J4898" s="105">
        <v>2210710</v>
      </c>
      <c r="K4898" s="2002" t="s">
        <v>361</v>
      </c>
      <c r="L4898" s="189">
        <v>150000</v>
      </c>
      <c r="N4898" s="189">
        <f t="shared" si="76"/>
        <v>0</v>
      </c>
    </row>
    <row r="4899" spans="2:14">
      <c r="B4899" s="46"/>
      <c r="C4899" s="46"/>
      <c r="D4899" s="1597">
        <v>2210800</v>
      </c>
      <c r="E4899" s="2009" t="s">
        <v>42</v>
      </c>
      <c r="F4899" s="2010">
        <v>145000</v>
      </c>
      <c r="H4899" s="46"/>
      <c r="I4899" s="46"/>
      <c r="J4899" s="1597">
        <v>2210800</v>
      </c>
      <c r="K4899" s="2009" t="s">
        <v>42</v>
      </c>
      <c r="L4899" s="2010">
        <v>145000</v>
      </c>
      <c r="N4899" s="2010">
        <f t="shared" si="76"/>
        <v>0</v>
      </c>
    </row>
    <row r="4900" spans="2:14">
      <c r="B4900" s="46"/>
      <c r="C4900" s="46"/>
      <c r="D4900" s="105">
        <v>2210801</v>
      </c>
      <c r="E4900" s="2002" t="s">
        <v>195</v>
      </c>
      <c r="F4900" s="189">
        <v>145000</v>
      </c>
      <c r="H4900" s="46"/>
      <c r="I4900" s="46"/>
      <c r="J4900" s="105">
        <v>2210801</v>
      </c>
      <c r="K4900" s="2002" t="s">
        <v>195</v>
      </c>
      <c r="L4900" s="189">
        <v>145000</v>
      </c>
      <c r="N4900" s="189">
        <f t="shared" si="76"/>
        <v>0</v>
      </c>
    </row>
    <row r="4901" spans="2:14">
      <c r="B4901" s="46"/>
      <c r="C4901" s="46"/>
      <c r="D4901" s="1597">
        <v>2211100</v>
      </c>
      <c r="E4901" s="2009" t="s">
        <v>51</v>
      </c>
      <c r="F4901" s="2010">
        <v>747000</v>
      </c>
      <c r="H4901" s="46"/>
      <c r="I4901" s="46"/>
      <c r="J4901" s="1597">
        <v>2211100</v>
      </c>
      <c r="K4901" s="2009" t="s">
        <v>51</v>
      </c>
      <c r="L4901" s="2010">
        <v>747000</v>
      </c>
      <c r="N4901" s="2010">
        <f t="shared" si="76"/>
        <v>0</v>
      </c>
    </row>
    <row r="4902" spans="2:14">
      <c r="B4902" s="46"/>
      <c r="C4902" s="46"/>
      <c r="D4902" s="105">
        <v>2211101</v>
      </c>
      <c r="E4902" s="2002" t="s">
        <v>289</v>
      </c>
      <c r="F4902" s="189">
        <v>260000</v>
      </c>
      <c r="H4902" s="46"/>
      <c r="I4902" s="46"/>
      <c r="J4902" s="105">
        <v>2211101</v>
      </c>
      <c r="K4902" s="2002" t="s">
        <v>289</v>
      </c>
      <c r="L4902" s="189">
        <v>260000</v>
      </c>
      <c r="N4902" s="189">
        <f t="shared" si="76"/>
        <v>0</v>
      </c>
    </row>
    <row r="4903" spans="2:14">
      <c r="B4903" s="46"/>
      <c r="C4903" s="46"/>
      <c r="D4903" s="105">
        <v>2211102</v>
      </c>
      <c r="E4903" s="2002" t="s">
        <v>53</v>
      </c>
      <c r="F4903" s="189">
        <v>200000</v>
      </c>
      <c r="H4903" s="46"/>
      <c r="I4903" s="46"/>
      <c r="J4903" s="105">
        <v>2211102</v>
      </c>
      <c r="K4903" s="2002" t="s">
        <v>53</v>
      </c>
      <c r="L4903" s="189">
        <v>200000</v>
      </c>
      <c r="N4903" s="189">
        <f t="shared" si="76"/>
        <v>0</v>
      </c>
    </row>
    <row r="4904" spans="2:14">
      <c r="B4904" s="46"/>
      <c r="C4904" s="46"/>
      <c r="D4904" s="105">
        <v>2211103</v>
      </c>
      <c r="E4904" s="2002" t="s">
        <v>54</v>
      </c>
      <c r="F4904" s="189">
        <v>287000</v>
      </c>
      <c r="H4904" s="46"/>
      <c r="I4904" s="46"/>
      <c r="J4904" s="105">
        <v>2211103</v>
      </c>
      <c r="K4904" s="2002" t="s">
        <v>54</v>
      </c>
      <c r="L4904" s="189">
        <v>287000</v>
      </c>
      <c r="N4904" s="189">
        <f t="shared" si="76"/>
        <v>0</v>
      </c>
    </row>
    <row r="4905" spans="2:14">
      <c r="B4905" s="46"/>
      <c r="C4905" s="46"/>
      <c r="D4905" s="1597">
        <v>2211300</v>
      </c>
      <c r="E4905" s="2009" t="s">
        <v>57</v>
      </c>
      <c r="F4905" s="2010">
        <v>232000</v>
      </c>
      <c r="H4905" s="46"/>
      <c r="I4905" s="46"/>
      <c r="J4905" s="1597">
        <v>2211300</v>
      </c>
      <c r="K4905" s="2009" t="s">
        <v>57</v>
      </c>
      <c r="L4905" s="2010">
        <v>232000</v>
      </c>
      <c r="N4905" s="2010">
        <f t="shared" si="76"/>
        <v>0</v>
      </c>
    </row>
    <row r="4906" spans="2:14">
      <c r="B4906" s="46"/>
      <c r="C4906" s="46"/>
      <c r="D4906" s="105">
        <v>2211306</v>
      </c>
      <c r="E4906" s="2002" t="s">
        <v>58</v>
      </c>
      <c r="F4906" s="189">
        <v>232000</v>
      </c>
      <c r="H4906" s="46"/>
      <c r="I4906" s="46"/>
      <c r="J4906" s="105">
        <v>2211306</v>
      </c>
      <c r="K4906" s="2002" t="s">
        <v>58</v>
      </c>
      <c r="L4906" s="189">
        <v>232000</v>
      </c>
      <c r="N4906" s="189">
        <f t="shared" si="76"/>
        <v>0</v>
      </c>
    </row>
    <row r="4907" spans="2:14">
      <c r="B4907" s="46"/>
      <c r="C4907" s="46"/>
      <c r="D4907" s="1597">
        <v>2211200</v>
      </c>
      <c r="E4907" s="2009" t="s">
        <v>55</v>
      </c>
      <c r="F4907" s="2010">
        <v>1200000</v>
      </c>
      <c r="H4907" s="46"/>
      <c r="I4907" s="46"/>
      <c r="J4907" s="1597">
        <v>2211200</v>
      </c>
      <c r="K4907" s="2009" t="s">
        <v>55</v>
      </c>
      <c r="L4907" s="2010">
        <v>1200000</v>
      </c>
      <c r="N4907" s="2010">
        <f t="shared" si="76"/>
        <v>0</v>
      </c>
    </row>
    <row r="4908" spans="2:14">
      <c r="B4908" s="46"/>
      <c r="C4908" s="46"/>
      <c r="D4908" s="105">
        <v>2211201</v>
      </c>
      <c r="E4908" s="2002" t="s">
        <v>56</v>
      </c>
      <c r="F4908" s="189">
        <v>1200000</v>
      </c>
      <c r="H4908" s="46"/>
      <c r="I4908" s="46"/>
      <c r="J4908" s="105">
        <v>2211201</v>
      </c>
      <c r="K4908" s="2002" t="s">
        <v>56</v>
      </c>
      <c r="L4908" s="189">
        <v>1200000</v>
      </c>
      <c r="N4908" s="189">
        <f t="shared" si="76"/>
        <v>0</v>
      </c>
    </row>
    <row r="4909" spans="2:14">
      <c r="B4909" s="46"/>
      <c r="C4909" s="46"/>
      <c r="D4909" s="1597">
        <v>2220100</v>
      </c>
      <c r="E4909" s="2009" t="s">
        <v>62</v>
      </c>
      <c r="F4909" s="2010">
        <v>748000</v>
      </c>
      <c r="H4909" s="46"/>
      <c r="I4909" s="46"/>
      <c r="J4909" s="1597">
        <v>2220100</v>
      </c>
      <c r="K4909" s="2009" t="s">
        <v>62</v>
      </c>
      <c r="L4909" s="2010">
        <v>748000</v>
      </c>
      <c r="N4909" s="2010">
        <f t="shared" si="76"/>
        <v>0</v>
      </c>
    </row>
    <row r="4910" spans="2:14">
      <c r="B4910" s="46"/>
      <c r="C4910" s="46"/>
      <c r="D4910" s="105">
        <v>2220101</v>
      </c>
      <c r="E4910" s="2002" t="s">
        <v>366</v>
      </c>
      <c r="F4910" s="189">
        <v>545000</v>
      </c>
      <c r="H4910" s="46"/>
      <c r="I4910" s="46"/>
      <c r="J4910" s="105">
        <v>2220101</v>
      </c>
      <c r="K4910" s="2002" t="s">
        <v>366</v>
      </c>
      <c r="L4910" s="189">
        <v>545000</v>
      </c>
      <c r="N4910" s="189">
        <f t="shared" si="76"/>
        <v>0</v>
      </c>
    </row>
    <row r="4911" spans="2:14">
      <c r="B4911" s="46"/>
      <c r="C4911" s="46"/>
      <c r="D4911" s="105">
        <v>2220105</v>
      </c>
      <c r="E4911" s="2002" t="s">
        <v>200</v>
      </c>
      <c r="F4911" s="189">
        <v>203000</v>
      </c>
      <c r="H4911" s="46"/>
      <c r="I4911" s="46"/>
      <c r="J4911" s="105">
        <v>2220105</v>
      </c>
      <c r="K4911" s="2002" t="s">
        <v>200</v>
      </c>
      <c r="L4911" s="189">
        <v>203000</v>
      </c>
      <c r="N4911" s="189">
        <f t="shared" si="76"/>
        <v>0</v>
      </c>
    </row>
    <row r="4912" spans="2:14">
      <c r="B4912" s="36"/>
      <c r="C4912" s="36"/>
      <c r="D4912" s="1710" t="s">
        <v>844</v>
      </c>
      <c r="E4912" s="2025"/>
      <c r="F4912" s="1660">
        <v>5616109.5200023651</v>
      </c>
      <c r="H4912" s="36"/>
      <c r="I4912" s="36"/>
      <c r="J4912" s="1710" t="s">
        <v>844</v>
      </c>
      <c r="K4912" s="2025"/>
      <c r="L4912" s="1660">
        <v>5616109.5200023651</v>
      </c>
      <c r="N4912" s="1660">
        <f t="shared" si="76"/>
        <v>0</v>
      </c>
    </row>
    <row r="4913" spans="2:14">
      <c r="B4913" s="46"/>
      <c r="C4913" s="46"/>
      <c r="D4913" s="1511"/>
      <c r="E4913" s="2026"/>
      <c r="F4913" s="1636"/>
      <c r="H4913" s="46"/>
      <c r="I4913" s="46"/>
      <c r="J4913" s="1511"/>
      <c r="K4913" s="2026"/>
      <c r="L4913" s="1636"/>
      <c r="N4913" s="1636">
        <f t="shared" si="76"/>
        <v>0</v>
      </c>
    </row>
    <row r="4914" spans="2:14">
      <c r="B4914" s="46"/>
      <c r="C4914" s="46"/>
      <c r="D4914" s="2023" t="s">
        <v>842</v>
      </c>
      <c r="E4914" s="2026"/>
      <c r="F4914" s="1636"/>
      <c r="H4914" s="46"/>
      <c r="I4914" s="46"/>
      <c r="J4914" s="2023" t="s">
        <v>842</v>
      </c>
      <c r="K4914" s="2026"/>
      <c r="L4914" s="1636"/>
      <c r="N4914" s="1636">
        <f t="shared" si="76"/>
        <v>0</v>
      </c>
    </row>
    <row r="4915" spans="2:14">
      <c r="B4915" s="46"/>
      <c r="C4915" s="46"/>
      <c r="D4915" s="1511"/>
      <c r="E4915" s="2025" t="s">
        <v>92</v>
      </c>
      <c r="F4915" s="1636"/>
      <c r="H4915" s="46"/>
      <c r="I4915" s="46"/>
      <c r="J4915" s="1511"/>
      <c r="K4915" s="2025" t="s">
        <v>92</v>
      </c>
      <c r="L4915" s="1636"/>
      <c r="N4915" s="1636">
        <f t="shared" si="76"/>
        <v>0</v>
      </c>
    </row>
    <row r="4916" spans="2:14">
      <c r="B4916" s="46"/>
      <c r="C4916" s="46"/>
      <c r="D4916" s="1597" t="s">
        <v>845</v>
      </c>
      <c r="E4916" s="1609" t="s">
        <v>57</v>
      </c>
      <c r="F4916" s="1847">
        <v>2812127</v>
      </c>
      <c r="H4916" s="46"/>
      <c r="I4916" s="46"/>
      <c r="J4916" s="1597" t="s">
        <v>845</v>
      </c>
      <c r="K4916" s="1609" t="s">
        <v>57</v>
      </c>
      <c r="L4916" s="1847">
        <v>2812127</v>
      </c>
      <c r="N4916" s="1847">
        <f t="shared" si="76"/>
        <v>0</v>
      </c>
    </row>
    <row r="4917" spans="2:14">
      <c r="B4917" s="46"/>
      <c r="C4917" s="46"/>
      <c r="D4917" s="105" t="s">
        <v>846</v>
      </c>
      <c r="E4917" s="158" t="s">
        <v>1402</v>
      </c>
      <c r="F4917" s="191">
        <v>2812127</v>
      </c>
      <c r="H4917" s="46"/>
      <c r="I4917" s="46"/>
      <c r="J4917" s="105" t="s">
        <v>846</v>
      </c>
      <c r="K4917" s="158" t="s">
        <v>1402</v>
      </c>
      <c r="L4917" s="191">
        <v>2812127</v>
      </c>
      <c r="N4917" s="191">
        <f t="shared" si="76"/>
        <v>0</v>
      </c>
    </row>
    <row r="4918" spans="2:14" ht="30">
      <c r="B4918" s="27"/>
      <c r="C4918" s="27"/>
      <c r="D4918" s="2027">
        <v>3111400</v>
      </c>
      <c r="E4918" s="2028" t="s">
        <v>300</v>
      </c>
      <c r="F4918" s="2010">
        <v>8000000</v>
      </c>
      <c r="H4918" s="27"/>
      <c r="I4918" s="27"/>
      <c r="J4918" s="2027">
        <v>3111400</v>
      </c>
      <c r="K4918" s="2028" t="s">
        <v>300</v>
      </c>
      <c r="L4918" s="2010">
        <v>8000000</v>
      </c>
      <c r="N4918" s="2010">
        <f t="shared" si="76"/>
        <v>0</v>
      </c>
    </row>
    <row r="4919" spans="2:14">
      <c r="B4919" s="46"/>
      <c r="C4919" s="46"/>
      <c r="D4919" s="91">
        <v>3111401</v>
      </c>
      <c r="E4919" s="158" t="s">
        <v>1403</v>
      </c>
      <c r="F4919" s="191">
        <v>8000000</v>
      </c>
      <c r="H4919" s="46"/>
      <c r="I4919" s="46"/>
      <c r="J4919" s="91">
        <v>3111401</v>
      </c>
      <c r="K4919" s="158" t="s">
        <v>1403</v>
      </c>
      <c r="L4919" s="191">
        <v>8000000</v>
      </c>
      <c r="N4919" s="191">
        <f t="shared" si="76"/>
        <v>0</v>
      </c>
    </row>
    <row r="4920" spans="2:14">
      <c r="B4920" s="27"/>
      <c r="C4920" s="27"/>
      <c r="D4920" s="2027">
        <v>3110200</v>
      </c>
      <c r="E4920" s="1546" t="s">
        <v>282</v>
      </c>
      <c r="F4920" s="1847">
        <v>15000000</v>
      </c>
      <c r="H4920" s="27"/>
      <c r="I4920" s="27"/>
      <c r="J4920" s="2027">
        <v>3110200</v>
      </c>
      <c r="K4920" s="1546" t="s">
        <v>282</v>
      </c>
      <c r="L4920" s="1847">
        <v>15000000</v>
      </c>
      <c r="N4920" s="1847">
        <f t="shared" si="76"/>
        <v>0</v>
      </c>
    </row>
    <row r="4921" spans="2:14" ht="45">
      <c r="B4921" s="46"/>
      <c r="C4921" s="46"/>
      <c r="D4921" s="91">
        <v>3110202</v>
      </c>
      <c r="E4921" s="158" t="s">
        <v>1820</v>
      </c>
      <c r="F4921" s="191">
        <v>15000000</v>
      </c>
      <c r="H4921" s="46"/>
      <c r="I4921" s="46"/>
      <c r="J4921" s="91">
        <v>3110202</v>
      </c>
      <c r="K4921" s="158" t="s">
        <v>1820</v>
      </c>
      <c r="L4921" s="191">
        <v>15000000</v>
      </c>
      <c r="N4921" s="191">
        <f t="shared" si="76"/>
        <v>0</v>
      </c>
    </row>
    <row r="4922" spans="2:14">
      <c r="B4922" s="46"/>
      <c r="C4922" s="46"/>
      <c r="D4922" s="1597">
        <v>3110500</v>
      </c>
      <c r="E4922" s="2009" t="s">
        <v>260</v>
      </c>
      <c r="F4922" s="1847">
        <v>207500000</v>
      </c>
      <c r="H4922" s="46"/>
      <c r="I4922" s="46"/>
      <c r="J4922" s="1597">
        <v>3110500</v>
      </c>
      <c r="K4922" s="2009" t="s">
        <v>260</v>
      </c>
      <c r="L4922" s="1847">
        <v>207500000</v>
      </c>
      <c r="N4922" s="1847">
        <f t="shared" si="76"/>
        <v>0</v>
      </c>
    </row>
    <row r="4923" spans="2:14">
      <c r="B4923" s="46"/>
      <c r="C4923" s="46"/>
      <c r="D4923" s="105">
        <v>3110501</v>
      </c>
      <c r="E4923" s="158" t="s">
        <v>1404</v>
      </c>
      <c r="F4923" s="191">
        <v>5000000</v>
      </c>
      <c r="H4923" s="46"/>
      <c r="I4923" s="46"/>
      <c r="J4923" s="105">
        <v>3110501</v>
      </c>
      <c r="K4923" s="158" t="s">
        <v>1404</v>
      </c>
      <c r="L4923" s="191">
        <v>5000000</v>
      </c>
      <c r="N4923" s="191">
        <f t="shared" si="76"/>
        <v>0</v>
      </c>
    </row>
    <row r="4924" spans="2:14" ht="30">
      <c r="B4924" s="46"/>
      <c r="C4924" s="46"/>
      <c r="D4924" s="105">
        <v>3110502</v>
      </c>
      <c r="E4924" s="158" t="s">
        <v>1405</v>
      </c>
      <c r="F4924" s="191">
        <v>5000000</v>
      </c>
      <c r="H4924" s="46"/>
      <c r="I4924" s="46"/>
      <c r="J4924" s="105">
        <v>3110502</v>
      </c>
      <c r="K4924" s="158" t="s">
        <v>1405</v>
      </c>
      <c r="L4924" s="191">
        <v>5000000</v>
      </c>
      <c r="N4924" s="191">
        <f t="shared" si="76"/>
        <v>0</v>
      </c>
    </row>
    <row r="4925" spans="2:14" ht="30">
      <c r="B4925" s="46"/>
      <c r="C4925" s="46"/>
      <c r="D4925" s="105">
        <v>3110505</v>
      </c>
      <c r="E4925" s="158" t="s">
        <v>1406</v>
      </c>
      <c r="F4925" s="191">
        <v>35000000</v>
      </c>
      <c r="H4925" s="46"/>
      <c r="I4925" s="46"/>
      <c r="J4925" s="105">
        <v>3110505</v>
      </c>
      <c r="K4925" s="158" t="s">
        <v>1406</v>
      </c>
      <c r="L4925" s="191">
        <v>35000000</v>
      </c>
      <c r="N4925" s="191">
        <f t="shared" si="76"/>
        <v>0</v>
      </c>
    </row>
    <row r="4926" spans="2:14">
      <c r="B4926" s="46"/>
      <c r="C4926" s="46"/>
      <c r="D4926" s="105">
        <v>3110506</v>
      </c>
      <c r="E4926" s="158" t="s">
        <v>1407</v>
      </c>
      <c r="F4926" s="191">
        <v>100000000</v>
      </c>
      <c r="H4926" s="46"/>
      <c r="I4926" s="46"/>
      <c r="J4926" s="105">
        <v>3110506</v>
      </c>
      <c r="K4926" s="158" t="s">
        <v>1407</v>
      </c>
      <c r="L4926" s="191">
        <v>100000000</v>
      </c>
      <c r="N4926" s="191">
        <f t="shared" si="76"/>
        <v>0</v>
      </c>
    </row>
    <row r="4927" spans="2:14">
      <c r="B4927" s="46"/>
      <c r="C4927" s="46"/>
      <c r="D4927" s="105">
        <v>3110507</v>
      </c>
      <c r="E4927" s="158" t="s">
        <v>1408</v>
      </c>
      <c r="F4927" s="191">
        <v>8000000</v>
      </c>
      <c r="H4927" s="46"/>
      <c r="I4927" s="46"/>
      <c r="J4927" s="105">
        <v>3110507</v>
      </c>
      <c r="K4927" s="158" t="s">
        <v>1408</v>
      </c>
      <c r="L4927" s="191">
        <v>8000000</v>
      </c>
      <c r="N4927" s="191">
        <f t="shared" si="76"/>
        <v>0</v>
      </c>
    </row>
    <row r="4928" spans="2:14">
      <c r="B4928" s="46"/>
      <c r="C4928" s="46"/>
      <c r="D4928" s="105">
        <v>3110508</v>
      </c>
      <c r="E4928" s="158" t="s">
        <v>1409</v>
      </c>
      <c r="F4928" s="191">
        <v>4000000</v>
      </c>
      <c r="H4928" s="46"/>
      <c r="I4928" s="46"/>
      <c r="J4928" s="105">
        <v>3110508</v>
      </c>
      <c r="K4928" s="158" t="s">
        <v>1409</v>
      </c>
      <c r="L4928" s="191">
        <v>4000000</v>
      </c>
      <c r="N4928" s="191">
        <f t="shared" si="76"/>
        <v>0</v>
      </c>
    </row>
    <row r="4929" spans="2:14" ht="30">
      <c r="B4929" s="46"/>
      <c r="C4929" s="46"/>
      <c r="D4929" s="105">
        <v>3110509</v>
      </c>
      <c r="E4929" s="158" t="s">
        <v>1410</v>
      </c>
      <c r="F4929" s="191">
        <v>4000000</v>
      </c>
      <c r="H4929" s="46"/>
      <c r="I4929" s="46"/>
      <c r="J4929" s="105">
        <v>3110509</v>
      </c>
      <c r="K4929" s="158" t="s">
        <v>1410</v>
      </c>
      <c r="L4929" s="191">
        <v>4000000</v>
      </c>
      <c r="N4929" s="191">
        <f t="shared" si="76"/>
        <v>0</v>
      </c>
    </row>
    <row r="4930" spans="2:14">
      <c r="B4930" s="46"/>
      <c r="C4930" s="46"/>
      <c r="D4930" s="105">
        <v>3110504</v>
      </c>
      <c r="E4930" s="158" t="s">
        <v>1411</v>
      </c>
      <c r="F4930" s="191">
        <v>35000000</v>
      </c>
      <c r="H4930" s="46"/>
      <c r="I4930" s="46"/>
      <c r="J4930" s="105">
        <v>3110504</v>
      </c>
      <c r="K4930" s="158" t="s">
        <v>1411</v>
      </c>
      <c r="L4930" s="191">
        <v>35000000</v>
      </c>
      <c r="N4930" s="191">
        <f t="shared" si="76"/>
        <v>0</v>
      </c>
    </row>
    <row r="4931" spans="2:14">
      <c r="B4931" s="46"/>
      <c r="C4931" s="46"/>
      <c r="D4931" s="105">
        <v>3110699</v>
      </c>
      <c r="E4931" s="158" t="s">
        <v>1412</v>
      </c>
      <c r="F4931" s="191">
        <v>11500000</v>
      </c>
      <c r="H4931" s="46"/>
      <c r="I4931" s="46"/>
      <c r="J4931" s="105">
        <v>3110699</v>
      </c>
      <c r="K4931" s="158" t="s">
        <v>1412</v>
      </c>
      <c r="L4931" s="191">
        <v>11500000</v>
      </c>
      <c r="N4931" s="191">
        <f t="shared" si="76"/>
        <v>0</v>
      </c>
    </row>
    <row r="4932" spans="2:14">
      <c r="B4932" s="46"/>
      <c r="C4932" s="46"/>
      <c r="D4932" s="2005"/>
      <c r="E4932" s="2029" t="s">
        <v>175</v>
      </c>
      <c r="F4932" s="1996">
        <v>233312127</v>
      </c>
      <c r="H4932" s="46"/>
      <c r="I4932" s="46"/>
      <c r="J4932" s="2005"/>
      <c r="K4932" s="2029" t="s">
        <v>175</v>
      </c>
      <c r="L4932" s="1996">
        <v>233312127</v>
      </c>
      <c r="N4932" s="1996">
        <f t="shared" si="76"/>
        <v>0</v>
      </c>
    </row>
    <row r="4933" spans="2:14">
      <c r="B4933" s="46"/>
      <c r="C4933" s="46"/>
      <c r="D4933" s="1997"/>
      <c r="E4933" s="2029" t="s">
        <v>84</v>
      </c>
      <c r="F4933" s="1996">
        <v>238928236.52000237</v>
      </c>
      <c r="H4933" s="46"/>
      <c r="I4933" s="46"/>
      <c r="J4933" s="1997"/>
      <c r="K4933" s="2029" t="s">
        <v>84</v>
      </c>
      <c r="L4933" s="1996">
        <v>238928236.52000237</v>
      </c>
      <c r="N4933" s="1996">
        <f t="shared" si="76"/>
        <v>0</v>
      </c>
    </row>
    <row r="4934" spans="2:14">
      <c r="B4934" s="46"/>
      <c r="C4934" s="46"/>
      <c r="D4934" s="1575"/>
      <c r="E4934" s="1576" t="s">
        <v>313</v>
      </c>
      <c r="F4934" s="1996">
        <v>87575633.500002369</v>
      </c>
      <c r="H4934" s="46"/>
      <c r="I4934" s="46"/>
      <c r="J4934" s="1575"/>
      <c r="K4934" s="1576" t="s">
        <v>313</v>
      </c>
      <c r="L4934" s="1996">
        <v>87575633.500002369</v>
      </c>
      <c r="N4934" s="1996">
        <f t="shared" si="76"/>
        <v>0</v>
      </c>
    </row>
    <row r="4935" spans="2:14">
      <c r="B4935" s="46"/>
      <c r="C4935" s="46"/>
      <c r="D4935" s="1575"/>
      <c r="E4935" s="1576" t="s">
        <v>175</v>
      </c>
      <c r="F4935" s="1996">
        <v>253943725</v>
      </c>
      <c r="H4935" s="46"/>
      <c r="I4935" s="46"/>
      <c r="J4935" s="1575"/>
      <c r="K4935" s="1576" t="s">
        <v>175</v>
      </c>
      <c r="L4935" s="1996">
        <v>253943725</v>
      </c>
      <c r="N4935" s="1996">
        <f t="shared" si="76"/>
        <v>0</v>
      </c>
    </row>
    <row r="4936" spans="2:14">
      <c r="B4936" s="46"/>
      <c r="C4936" s="46"/>
      <c r="D4936" s="2030" t="s">
        <v>1276</v>
      </c>
      <c r="E4936" s="2031"/>
      <c r="F4936" s="1996">
        <v>341519358.50000238</v>
      </c>
      <c r="H4936" s="46"/>
      <c r="I4936" s="46"/>
      <c r="J4936" s="2030" t="s">
        <v>1276</v>
      </c>
      <c r="K4936" s="2031"/>
      <c r="L4936" s="1996">
        <v>341519358.50000238</v>
      </c>
      <c r="N4936" s="1996">
        <f t="shared" ref="N4936:N4945" si="77">F4936-L4936</f>
        <v>0</v>
      </c>
    </row>
    <row r="4937" spans="2:14">
      <c r="N4937" s="102">
        <f t="shared" si="77"/>
        <v>0</v>
      </c>
    </row>
    <row r="4938" spans="2:14">
      <c r="N4938" s="102">
        <f t="shared" si="77"/>
        <v>0</v>
      </c>
    </row>
    <row r="4939" spans="2:14">
      <c r="B4939" s="1879"/>
      <c r="C4939" s="1879"/>
      <c r="D4939" s="2032"/>
      <c r="E4939" s="1576" t="s">
        <v>847</v>
      </c>
      <c r="F4939" s="1996">
        <v>7753222038.5961361</v>
      </c>
      <c r="H4939" s="1879"/>
      <c r="I4939" s="1879"/>
      <c r="J4939" s="2032"/>
      <c r="K4939" s="1576" t="s">
        <v>847</v>
      </c>
      <c r="L4939" s="1996">
        <v>7793722038.5961361</v>
      </c>
      <c r="N4939" s="1996">
        <f t="shared" si="77"/>
        <v>-40500000</v>
      </c>
    </row>
    <row r="4940" spans="2:14">
      <c r="B4940" s="1879"/>
      <c r="C4940" s="1879"/>
      <c r="D4940" s="2032"/>
      <c r="E4940" s="1576" t="s">
        <v>848</v>
      </c>
      <c r="F4940" s="1996">
        <v>3848308893.4238625</v>
      </c>
      <c r="H4940" s="1879"/>
      <c r="I4940" s="1879"/>
      <c r="J4940" s="2032"/>
      <c r="K4940" s="1576" t="s">
        <v>848</v>
      </c>
      <c r="L4940" s="1996">
        <v>3807808893.4238625</v>
      </c>
      <c r="N4940" s="1996">
        <f t="shared" si="77"/>
        <v>40500000</v>
      </c>
    </row>
    <row r="4941" spans="2:14">
      <c r="B4941" s="1879"/>
      <c r="C4941" s="1879"/>
      <c r="D4941" s="2032"/>
      <c r="E4941" s="1576" t="s">
        <v>849</v>
      </c>
      <c r="F4941" s="1996">
        <v>11601530932.02</v>
      </c>
      <c r="H4941" s="1879"/>
      <c r="I4941" s="1879"/>
      <c r="J4941" s="2032"/>
      <c r="K4941" s="1576" t="s">
        <v>849</v>
      </c>
      <c r="L4941" s="1996">
        <v>11601530932.02</v>
      </c>
      <c r="N4941" s="1996">
        <f t="shared" si="77"/>
        <v>0</v>
      </c>
    </row>
    <row r="4942" spans="2:14">
      <c r="B4942" s="1879"/>
      <c r="C4942" s="1879"/>
      <c r="D4942" s="2032"/>
      <c r="E4942" s="1576" t="s">
        <v>850</v>
      </c>
      <c r="F4942" s="1996">
        <v>1100630000</v>
      </c>
      <c r="H4942" s="1879"/>
      <c r="I4942" s="1879"/>
      <c r="J4942" s="2032"/>
      <c r="K4942" s="1576" t="s">
        <v>850</v>
      </c>
      <c r="L4942" s="1996">
        <v>1100630000</v>
      </c>
      <c r="N4942" s="1996">
        <f t="shared" si="77"/>
        <v>0</v>
      </c>
    </row>
    <row r="4943" spans="2:14">
      <c r="B4943" s="1879"/>
      <c r="C4943" s="1879"/>
      <c r="D4943" s="2032"/>
      <c r="E4943" s="1576" t="s">
        <v>851</v>
      </c>
      <c r="F4943" s="1996">
        <v>12702160932.02</v>
      </c>
      <c r="H4943" s="1879"/>
      <c r="I4943" s="1879"/>
      <c r="J4943" s="2032"/>
      <c r="K4943" s="1576" t="s">
        <v>851</v>
      </c>
      <c r="L4943" s="1996">
        <v>12702160932.02</v>
      </c>
      <c r="N4943" s="1996">
        <f t="shared" si="77"/>
        <v>0</v>
      </c>
    </row>
    <row r="4944" spans="2:14">
      <c r="B4944" s="1879"/>
      <c r="C4944" s="1879"/>
      <c r="D4944" s="2032"/>
      <c r="E4944" s="1576" t="s">
        <v>852</v>
      </c>
      <c r="F4944" s="1996">
        <v>12702160932.02</v>
      </c>
      <c r="H4944" s="1879"/>
      <c r="I4944" s="1879"/>
      <c r="J4944" s="2032"/>
      <c r="K4944" s="1576" t="s">
        <v>852</v>
      </c>
      <c r="L4944" s="1996">
        <v>12702160932.02</v>
      </c>
      <c r="N4944" s="1996">
        <f t="shared" si="77"/>
        <v>0</v>
      </c>
    </row>
    <row r="4945" spans="2:14">
      <c r="B4945" s="1879"/>
      <c r="C4945" s="1879"/>
      <c r="D4945" s="2032"/>
      <c r="E4945" s="1576" t="s">
        <v>853</v>
      </c>
      <c r="F4945" s="1996">
        <v>0</v>
      </c>
      <c r="H4945" s="1879"/>
      <c r="I4945" s="1879"/>
      <c r="J4945" s="2032"/>
      <c r="K4945" s="1576" t="s">
        <v>853</v>
      </c>
      <c r="L4945" s="1996">
        <v>0</v>
      </c>
      <c r="N4945" s="1996">
        <f t="shared" si="77"/>
        <v>0</v>
      </c>
    </row>
    <row r="4947" spans="2:14">
      <c r="F4947" s="102">
        <v>0</v>
      </c>
      <c r="L4947" s="102">
        <v>0</v>
      </c>
    </row>
    <row r="4949" spans="2:14">
      <c r="F4949" s="102">
        <v>-193469.479997635</v>
      </c>
      <c r="L4949" s="102">
        <v>-193469.479997635</v>
      </c>
    </row>
  </sheetData>
  <autoFilter ref="B1:N4956" xr:uid="{00000000-0009-0000-0000-000014000000}"/>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221"/>
  <sheetViews>
    <sheetView topLeftCell="A3" workbookViewId="0">
      <selection activeCell="F16" sqref="F16:F19"/>
    </sheetView>
  </sheetViews>
  <sheetFormatPr defaultColWidth="10" defaultRowHeight="14.4"/>
  <cols>
    <col min="1" max="1" width="15" bestFit="1" customWidth="1"/>
  </cols>
  <sheetData>
    <row r="1" spans="1:7" ht="15.6">
      <c r="A1" s="2033"/>
    </row>
    <row r="2" spans="1:7" ht="15.6">
      <c r="A2" s="2034">
        <v>30000000</v>
      </c>
    </row>
    <row r="3" spans="1:7" ht="15.6">
      <c r="A3" s="2034">
        <v>2000000</v>
      </c>
    </row>
    <row r="4" spans="1:7" ht="15.6">
      <c r="A4" s="2034">
        <v>7500000</v>
      </c>
    </row>
    <row r="5" spans="1:7" ht="15.6">
      <c r="A5" s="2034">
        <v>511200000</v>
      </c>
    </row>
    <row r="6" spans="1:7" ht="15.6">
      <c r="A6" s="2034">
        <v>177500000</v>
      </c>
    </row>
    <row r="7" spans="1:7" ht="15.6">
      <c r="A7" s="2034">
        <v>31774535</v>
      </c>
    </row>
    <row r="8" spans="1:7" ht="15.6">
      <c r="A8" s="2034">
        <v>15000000</v>
      </c>
    </row>
    <row r="9" spans="1:7" ht="15.6">
      <c r="A9" s="2034">
        <v>30000000</v>
      </c>
    </row>
    <row r="10" spans="1:7" ht="15.6">
      <c r="A10" s="2034">
        <v>10000000</v>
      </c>
    </row>
    <row r="11" spans="1:7" ht="15.6">
      <c r="A11" s="2034">
        <v>15480628</v>
      </c>
    </row>
    <row r="12" spans="1:7" ht="15.6">
      <c r="A12" s="2035">
        <v>2527261</v>
      </c>
    </row>
    <row r="13" spans="1:7" ht="15.6">
      <c r="A13" s="2035">
        <v>2000000</v>
      </c>
    </row>
    <row r="14" spans="1:7" ht="15.6">
      <c r="A14" s="2035">
        <v>1000000</v>
      </c>
      <c r="G14">
        <v>3907</v>
      </c>
    </row>
    <row r="15" spans="1:7" ht="15.6">
      <c r="A15" s="2035">
        <v>5542546</v>
      </c>
      <c r="G15">
        <v>3862</v>
      </c>
    </row>
    <row r="16" spans="1:7" ht="15.6">
      <c r="A16" s="2035">
        <v>1083001</v>
      </c>
      <c r="G16">
        <f>G14-G15</f>
        <v>45</v>
      </c>
    </row>
    <row r="17" spans="1:1" ht="15.6">
      <c r="A17" s="2035">
        <v>5000000</v>
      </c>
    </row>
    <row r="18" spans="1:1" ht="15.6">
      <c r="A18" s="2035">
        <v>2350000</v>
      </c>
    </row>
    <row r="19" spans="1:1" ht="15.6">
      <c r="A19" s="2035">
        <v>3000000</v>
      </c>
    </row>
    <row r="20" spans="1:1" ht="15.6">
      <c r="A20" s="2036">
        <v>275227045</v>
      </c>
    </row>
    <row r="21" spans="1:1" ht="15.6">
      <c r="A21" s="2034">
        <v>50000000</v>
      </c>
    </row>
    <row r="22" spans="1:1" ht="15.6">
      <c r="A22" s="2034">
        <v>24907301</v>
      </c>
    </row>
    <row r="23" spans="1:1" ht="15.6">
      <c r="A23" s="2034">
        <v>4494650</v>
      </c>
    </row>
    <row r="24" spans="1:1" ht="15.6">
      <c r="A24" s="2034">
        <v>2000000</v>
      </c>
    </row>
    <row r="25" spans="1:1" ht="15.6">
      <c r="A25" s="2034">
        <v>40000000</v>
      </c>
    </row>
    <row r="26" spans="1:1" ht="15.6">
      <c r="A26" s="2034">
        <v>120000000</v>
      </c>
    </row>
    <row r="27" spans="1:1" ht="15.6">
      <c r="A27" s="2034">
        <v>42151840</v>
      </c>
    </row>
    <row r="28" spans="1:1" ht="15.6">
      <c r="A28" s="2034">
        <v>5000000</v>
      </c>
    </row>
    <row r="29" spans="1:1" ht="15.6">
      <c r="A29" s="2034">
        <v>5000000</v>
      </c>
    </row>
    <row r="30" spans="1:1" ht="15.6">
      <c r="A30" s="2034">
        <v>4737123</v>
      </c>
    </row>
    <row r="31" spans="1:1" ht="15.6">
      <c r="A31" s="2037">
        <v>3600000</v>
      </c>
    </row>
    <row r="32" spans="1:1" ht="15.6">
      <c r="A32" s="2037">
        <v>8823575</v>
      </c>
    </row>
    <row r="33" spans="1:1" ht="15.6">
      <c r="A33" s="2038">
        <v>30000000</v>
      </c>
    </row>
    <row r="34" spans="1:1" ht="15.6">
      <c r="A34" s="2037">
        <v>2625207</v>
      </c>
    </row>
    <row r="35" spans="1:1" ht="15.6">
      <c r="A35" s="2034">
        <v>2000000</v>
      </c>
    </row>
    <row r="36" spans="1:1" ht="15.6">
      <c r="A36" s="2037">
        <v>3000000</v>
      </c>
    </row>
    <row r="37" spans="1:1" ht="15.6">
      <c r="A37" s="2037">
        <v>6128843</v>
      </c>
    </row>
    <row r="38" spans="1:1" ht="15.6">
      <c r="A38" s="2037">
        <v>66745</v>
      </c>
    </row>
    <row r="39" spans="1:1" ht="15.6">
      <c r="A39" s="2037">
        <v>2000000</v>
      </c>
    </row>
    <row r="40" spans="1:1" ht="15.6">
      <c r="A40" s="2039"/>
    </row>
    <row r="41" spans="1:1" ht="15.6">
      <c r="A41" s="2040">
        <v>4540000</v>
      </c>
    </row>
    <row r="42" spans="1:1" ht="15.6">
      <c r="A42" s="2040">
        <v>4540000</v>
      </c>
    </row>
    <row r="43" spans="1:1" ht="15.6">
      <c r="A43" s="2041">
        <v>12000000</v>
      </c>
    </row>
    <row r="44" spans="1:1" ht="15.6">
      <c r="A44" s="2042">
        <v>445098850</v>
      </c>
    </row>
    <row r="45" spans="1:1" ht="15.6">
      <c r="A45" s="2043">
        <v>21600000</v>
      </c>
    </row>
    <row r="46" spans="1:1" ht="15.6">
      <c r="A46" s="2043">
        <v>40000000</v>
      </c>
    </row>
    <row r="47" spans="1:1" ht="15.6">
      <c r="A47" s="2044">
        <v>29161270</v>
      </c>
    </row>
    <row r="48" spans="1:1" ht="15.6">
      <c r="A48" s="2045">
        <v>45448000</v>
      </c>
    </row>
    <row r="49" spans="1:1" ht="15.6">
      <c r="A49" s="2046">
        <v>1322462</v>
      </c>
    </row>
    <row r="50" spans="1:1" ht="15.6">
      <c r="A50" s="2044">
        <v>6750000</v>
      </c>
    </row>
    <row r="51" spans="1:1" ht="15.6">
      <c r="A51" s="2040">
        <v>35000000</v>
      </c>
    </row>
    <row r="52" spans="1:1" ht="15.6">
      <c r="A52" s="2043">
        <v>15700000</v>
      </c>
    </row>
    <row r="53" spans="1:1" ht="15.6">
      <c r="A53" s="2044">
        <v>8000000</v>
      </c>
    </row>
    <row r="54" spans="1:1" ht="15.6">
      <c r="A54" s="2042">
        <v>5000000</v>
      </c>
    </row>
    <row r="55" spans="1:1" ht="15.6">
      <c r="A55" s="2040">
        <v>2157207</v>
      </c>
    </row>
    <row r="56" spans="1:1" ht="15.6">
      <c r="A56" s="2040">
        <v>4400000</v>
      </c>
    </row>
    <row r="57" spans="1:1" ht="15.6">
      <c r="A57" s="2040">
        <v>2500000</v>
      </c>
    </row>
    <row r="58" spans="1:1" ht="15.6">
      <c r="A58" s="2040">
        <v>8000000</v>
      </c>
    </row>
    <row r="59" spans="1:1" ht="15.6">
      <c r="A59" s="2047">
        <v>5300000</v>
      </c>
    </row>
    <row r="60" spans="1:1" ht="15.6">
      <c r="A60" s="2048">
        <v>4000000</v>
      </c>
    </row>
    <row r="61" spans="1:1" ht="15.6">
      <c r="A61" s="2048">
        <v>5000000</v>
      </c>
    </row>
    <row r="62" spans="1:1" ht="15.6">
      <c r="A62" s="2047">
        <v>11000000</v>
      </c>
    </row>
    <row r="63" spans="1:1" ht="15.6">
      <c r="A63" s="2047">
        <v>9000000</v>
      </c>
    </row>
    <row r="64" spans="1:1" ht="15.6">
      <c r="A64" s="2048">
        <v>5000000</v>
      </c>
    </row>
    <row r="65" spans="1:1" ht="15.6">
      <c r="A65" s="2048">
        <v>2000000</v>
      </c>
    </row>
    <row r="66" spans="1:1" ht="15.6">
      <c r="A66" s="2048">
        <v>2000000</v>
      </c>
    </row>
    <row r="67" spans="1:1" ht="15.6">
      <c r="A67" s="2047">
        <v>4450000</v>
      </c>
    </row>
    <row r="68" spans="1:1" ht="15.6">
      <c r="A68" s="2048">
        <v>2000000</v>
      </c>
    </row>
    <row r="69" spans="1:1" ht="15.6">
      <c r="A69" s="2047">
        <v>9000000</v>
      </c>
    </row>
    <row r="70" spans="1:1" ht="15.6">
      <c r="A70" s="2048">
        <v>2000000</v>
      </c>
    </row>
    <row r="71" spans="1:1" ht="15.6">
      <c r="A71" s="2040">
        <v>2000000</v>
      </c>
    </row>
    <row r="72" spans="1:1" ht="15.6">
      <c r="A72" s="2040">
        <v>2000000</v>
      </c>
    </row>
    <row r="73" spans="1:1" ht="15.6">
      <c r="A73" s="2048">
        <v>2044690</v>
      </c>
    </row>
    <row r="74" spans="1:1" ht="15.6">
      <c r="A74" s="2040">
        <v>7923249</v>
      </c>
    </row>
    <row r="75" spans="1:1" ht="15.6">
      <c r="A75" s="2040">
        <v>2000000</v>
      </c>
    </row>
    <row r="76" spans="1:1" ht="15.6">
      <c r="A76" s="2048">
        <v>3600000</v>
      </c>
    </row>
    <row r="77" spans="1:1" ht="15.6">
      <c r="A77" s="2048">
        <v>3000000</v>
      </c>
    </row>
    <row r="78" spans="1:1" ht="15.6">
      <c r="A78" s="2040">
        <v>3000000</v>
      </c>
    </row>
    <row r="79" spans="1:1" ht="15.6">
      <c r="A79" s="2040">
        <v>15066000</v>
      </c>
    </row>
    <row r="80" spans="1:1" ht="15.6">
      <c r="A80" s="2040">
        <v>34590250</v>
      </c>
    </row>
    <row r="81" spans="1:1" ht="15.6">
      <c r="A81" s="2040">
        <v>10044000</v>
      </c>
    </row>
    <row r="82" spans="1:1" ht="15.6">
      <c r="A82" s="2040">
        <v>3000000</v>
      </c>
    </row>
    <row r="83" spans="1:1" ht="15.6">
      <c r="A83" s="2040">
        <v>1200000</v>
      </c>
    </row>
    <row r="84" spans="1:1" ht="15.6">
      <c r="A84" s="2040">
        <v>1000000</v>
      </c>
    </row>
    <row r="85" spans="1:1" ht="15.6">
      <c r="A85" s="2040">
        <v>1950000</v>
      </c>
    </row>
    <row r="86" spans="1:1" ht="15.6">
      <c r="A86" s="2040">
        <v>6200000</v>
      </c>
    </row>
    <row r="87" spans="1:1" ht="15.6">
      <c r="A87" s="2040">
        <v>2061165</v>
      </c>
    </row>
    <row r="88" spans="1:1" ht="15.6">
      <c r="A88" s="2048">
        <v>4000000</v>
      </c>
    </row>
    <row r="89" spans="1:1" ht="15.6">
      <c r="A89" s="2040">
        <v>3557250</v>
      </c>
    </row>
    <row r="90" spans="1:1" ht="15.6">
      <c r="A90" s="2040">
        <v>5200000</v>
      </c>
    </row>
    <row r="91" spans="1:1" ht="15.6">
      <c r="A91" s="2040">
        <v>3000000</v>
      </c>
    </row>
    <row r="92" spans="1:1" ht="15.6">
      <c r="A92" s="2048">
        <v>452400</v>
      </c>
    </row>
    <row r="93" spans="1:1" ht="15.6">
      <c r="A93" s="2048">
        <v>4200000</v>
      </c>
    </row>
    <row r="94" spans="1:1" ht="15.6">
      <c r="A94" s="2040">
        <v>2000000</v>
      </c>
    </row>
    <row r="95" spans="1:1" ht="15.6">
      <c r="A95" s="2040">
        <v>2000000</v>
      </c>
    </row>
    <row r="96" spans="1:1" ht="15.6">
      <c r="A96" s="2048">
        <v>2053820</v>
      </c>
    </row>
    <row r="97" spans="1:1" ht="15.6">
      <c r="A97" s="2048">
        <v>2500000</v>
      </c>
    </row>
    <row r="98" spans="1:1" ht="15.6">
      <c r="A98" s="2048">
        <v>3250000</v>
      </c>
    </row>
    <row r="99" spans="1:1" ht="15.6">
      <c r="A99" s="2048">
        <v>2750000</v>
      </c>
    </row>
    <row r="100" spans="1:1" ht="15.6">
      <c r="A100" s="2048">
        <v>2500948</v>
      </c>
    </row>
    <row r="101" spans="1:1" ht="15.6">
      <c r="A101" s="2048">
        <v>600000</v>
      </c>
    </row>
    <row r="102" spans="1:1" ht="15.6">
      <c r="A102" s="2048">
        <v>7880000</v>
      </c>
    </row>
    <row r="103" spans="1:1" ht="15.6">
      <c r="A103" s="2048">
        <v>4000000</v>
      </c>
    </row>
    <row r="104" spans="1:1" ht="15.6">
      <c r="A104" s="2048">
        <v>1300000</v>
      </c>
    </row>
    <row r="105" spans="1:1" ht="15.6">
      <c r="A105" s="2048">
        <v>2700000</v>
      </c>
    </row>
    <row r="106" spans="1:1" ht="15.6">
      <c r="A106" s="2049"/>
    </row>
    <row r="107" spans="1:1" ht="15.6">
      <c r="A107" s="2048">
        <v>19000000</v>
      </c>
    </row>
    <row r="108" spans="1:1" ht="15.6">
      <c r="A108" s="2048">
        <v>19049631</v>
      </c>
    </row>
    <row r="109" spans="1:1" ht="15.6">
      <c r="A109" s="2048">
        <v>21500000</v>
      </c>
    </row>
    <row r="110" spans="1:1" ht="15.6">
      <c r="A110" s="2048">
        <v>1000000</v>
      </c>
    </row>
    <row r="111" spans="1:1" ht="15.6">
      <c r="A111" s="2048">
        <v>4000000</v>
      </c>
    </row>
    <row r="112" spans="1:1" ht="15.6">
      <c r="A112" s="2048">
        <v>150000000</v>
      </c>
    </row>
    <row r="113" spans="1:1" ht="15.6">
      <c r="A113" s="2048">
        <v>250000000</v>
      </c>
    </row>
    <row r="114" spans="1:1" ht="15.6">
      <c r="A114" s="2048">
        <v>2000000</v>
      </c>
    </row>
    <row r="115" spans="1:1" ht="15.6">
      <c r="A115" s="2048">
        <v>20000000</v>
      </c>
    </row>
    <row r="116" spans="1:1" ht="15.6">
      <c r="A116" s="2048">
        <v>20000000</v>
      </c>
    </row>
    <row r="117" spans="1:1" ht="15.6">
      <c r="A117" s="2048">
        <v>1000000</v>
      </c>
    </row>
    <row r="118" spans="1:1" ht="15.6">
      <c r="A118" s="2048">
        <v>2500000</v>
      </c>
    </row>
    <row r="119" spans="1:1" ht="15.6">
      <c r="A119" s="2050"/>
    </row>
    <row r="120" spans="1:1" ht="15.6">
      <c r="A120" s="2037">
        <v>500000</v>
      </c>
    </row>
    <row r="121" spans="1:1" ht="15.6">
      <c r="A121" s="2037">
        <v>52636701</v>
      </c>
    </row>
    <row r="122" spans="1:1" ht="15.6">
      <c r="A122" s="2051">
        <v>20000000</v>
      </c>
    </row>
    <row r="123" spans="1:1" ht="15.6">
      <c r="A123" s="2034">
        <v>445014</v>
      </c>
    </row>
    <row r="124" spans="1:1" ht="15.6">
      <c r="A124" s="2051">
        <v>13278720</v>
      </c>
    </row>
    <row r="125" spans="1:1" ht="15.6">
      <c r="A125" s="2051">
        <v>6721280</v>
      </c>
    </row>
    <row r="126" spans="1:1" ht="15.6">
      <c r="A126" s="2037">
        <v>40000000</v>
      </c>
    </row>
    <row r="127" spans="1:1" ht="15.6">
      <c r="A127" s="2037">
        <v>25000000</v>
      </c>
    </row>
    <row r="128" spans="1:1" ht="15.6">
      <c r="A128" s="2037">
        <v>12000000</v>
      </c>
    </row>
    <row r="129" spans="1:1" ht="15.6">
      <c r="A129" s="2037">
        <v>4735228</v>
      </c>
    </row>
    <row r="130" spans="1:1" ht="15.6">
      <c r="A130" s="2037">
        <v>1712504</v>
      </c>
    </row>
    <row r="131" spans="1:1" ht="15.6">
      <c r="A131" s="2037">
        <v>2000000</v>
      </c>
    </row>
    <row r="132" spans="1:1" ht="15.6">
      <c r="A132" s="2037">
        <v>800000</v>
      </c>
    </row>
    <row r="133" spans="1:1" ht="15.6">
      <c r="A133" s="2037">
        <v>114279</v>
      </c>
    </row>
    <row r="134" spans="1:1" ht="15.6">
      <c r="A134" s="2037">
        <v>6000000</v>
      </c>
    </row>
    <row r="135" spans="1:1" ht="15.6">
      <c r="A135" s="2037">
        <v>500000</v>
      </c>
    </row>
    <row r="136" spans="1:1" ht="15.6">
      <c r="A136" s="2037">
        <v>500000</v>
      </c>
    </row>
    <row r="137" spans="1:1" ht="15.6">
      <c r="A137" s="2050"/>
    </row>
    <row r="138" spans="1:1" ht="15.6">
      <c r="A138" s="2034">
        <v>2626501</v>
      </c>
    </row>
    <row r="139" spans="1:1" ht="15.6">
      <c r="A139" s="2034">
        <v>2216000</v>
      </c>
    </row>
    <row r="140" spans="1:1" ht="15.6">
      <c r="A140" s="2034">
        <v>2000000</v>
      </c>
    </row>
    <row r="141" spans="1:1" ht="15.6">
      <c r="A141" s="2034">
        <v>21000000</v>
      </c>
    </row>
    <row r="142" spans="1:1" ht="15.6">
      <c r="A142" s="2034">
        <v>10000000</v>
      </c>
    </row>
    <row r="143" spans="1:1" ht="15.6">
      <c r="A143" s="2034">
        <v>500000</v>
      </c>
    </row>
    <row r="144" spans="1:1" ht="15.6">
      <c r="A144" s="2034">
        <v>5000000</v>
      </c>
    </row>
    <row r="145" spans="1:1" ht="15.6">
      <c r="A145" s="2034">
        <v>32905</v>
      </c>
    </row>
    <row r="146" spans="1:1" ht="15.6">
      <c r="A146" s="2034">
        <v>10185000</v>
      </c>
    </row>
    <row r="147" spans="1:1" ht="15.6">
      <c r="A147" s="2037">
        <v>20000000</v>
      </c>
    </row>
    <row r="148" spans="1:1" ht="15.6">
      <c r="A148" s="2037">
        <v>37500000</v>
      </c>
    </row>
    <row r="149" spans="1:1" ht="15.6">
      <c r="A149" s="2052"/>
    </row>
    <row r="150" spans="1:1" ht="15.6">
      <c r="A150" s="2053">
        <v>10000000</v>
      </c>
    </row>
    <row r="151" spans="1:1" ht="15.6">
      <c r="A151" s="2052"/>
    </row>
    <row r="152" spans="1:1" ht="15.6">
      <c r="A152" s="2054"/>
    </row>
    <row r="153" spans="1:1" ht="15.6">
      <c r="A153" s="2037">
        <v>17100000</v>
      </c>
    </row>
    <row r="154" spans="1:1" ht="15.6">
      <c r="A154" s="2037">
        <v>6000000</v>
      </c>
    </row>
    <row r="155" spans="1:1" ht="15.6">
      <c r="A155" s="2037">
        <v>1500000</v>
      </c>
    </row>
    <row r="156" spans="1:1" ht="15.6">
      <c r="A156" s="2037">
        <v>1500000</v>
      </c>
    </row>
    <row r="157" spans="1:1" ht="15.6">
      <c r="A157" s="2037">
        <v>2800000</v>
      </c>
    </row>
    <row r="158" spans="1:1" ht="15.6">
      <c r="A158" s="2037">
        <v>2500000</v>
      </c>
    </row>
    <row r="159" spans="1:1" ht="15.6">
      <c r="A159" s="2037">
        <v>20000000</v>
      </c>
    </row>
    <row r="160" spans="1:1" ht="15.6">
      <c r="A160" s="2034">
        <v>4500000</v>
      </c>
    </row>
    <row r="161" spans="1:1" ht="15.6">
      <c r="A161" s="2037">
        <v>9000000</v>
      </c>
    </row>
    <row r="162" spans="1:1" ht="15.6">
      <c r="A162" s="2034">
        <v>6500000</v>
      </c>
    </row>
    <row r="163" spans="1:1" ht="15.6">
      <c r="A163" s="2037">
        <v>3000000</v>
      </c>
    </row>
    <row r="164" spans="1:1" ht="15.6">
      <c r="A164" s="2034">
        <v>2000000</v>
      </c>
    </row>
    <row r="165" spans="1:1" ht="15.6">
      <c r="A165" s="2034">
        <v>1800000</v>
      </c>
    </row>
    <row r="166" spans="1:1" ht="15.6">
      <c r="A166" s="2034">
        <v>2561711</v>
      </c>
    </row>
    <row r="167" spans="1:1" ht="15.6">
      <c r="A167" s="2034">
        <v>500000</v>
      </c>
    </row>
    <row r="168" spans="1:1" ht="15.6">
      <c r="A168" s="2034">
        <v>2800000</v>
      </c>
    </row>
    <row r="169" spans="1:1" ht="15.6">
      <c r="A169" s="2037">
        <v>1200000</v>
      </c>
    </row>
    <row r="170" spans="1:1" ht="15.6">
      <c r="A170" s="2034">
        <v>5000000</v>
      </c>
    </row>
    <row r="171" spans="1:1" ht="15.6">
      <c r="A171" s="2034">
        <v>1000000</v>
      </c>
    </row>
    <row r="172" spans="1:1" ht="15.6">
      <c r="A172" s="2034">
        <v>500000</v>
      </c>
    </row>
    <row r="173" spans="1:1" ht="15.6">
      <c r="A173" s="2034">
        <v>2000000</v>
      </c>
    </row>
    <row r="174" spans="1:1" ht="15.6">
      <c r="A174" s="2034">
        <v>6000000</v>
      </c>
    </row>
    <row r="175" spans="1:1" ht="15.6">
      <c r="A175" s="2034">
        <v>2500000</v>
      </c>
    </row>
    <row r="176" spans="1:1" ht="15.6">
      <c r="A176" s="2034">
        <v>2500000</v>
      </c>
    </row>
    <row r="177" spans="1:1" ht="15.6">
      <c r="A177" s="2034">
        <v>2000000</v>
      </c>
    </row>
    <row r="178" spans="1:1" ht="15.6">
      <c r="A178" s="2034">
        <v>4000000</v>
      </c>
    </row>
    <row r="179" spans="1:1" ht="15.6">
      <c r="A179" s="2034">
        <v>2000000</v>
      </c>
    </row>
    <row r="180" spans="1:1" ht="15.6">
      <c r="A180" s="2050"/>
    </row>
    <row r="181" spans="1:1" ht="15.6">
      <c r="A181" s="2055">
        <v>654363</v>
      </c>
    </row>
    <row r="182" spans="1:1" ht="15.6">
      <c r="A182" s="2035">
        <v>121025000</v>
      </c>
    </row>
    <row r="183" spans="1:1" ht="15.6">
      <c r="A183" s="2035">
        <v>1065446</v>
      </c>
    </row>
    <row r="184" spans="1:1" ht="15.6">
      <c r="A184" s="2056">
        <v>4619106</v>
      </c>
    </row>
    <row r="185" spans="1:1" ht="15.6">
      <c r="A185" s="2056">
        <v>90000</v>
      </c>
    </row>
    <row r="186" spans="1:1" ht="15.6">
      <c r="A186" s="2056">
        <v>151515152</v>
      </c>
    </row>
    <row r="187" spans="1:1" ht="15.6">
      <c r="A187" s="2056">
        <v>11500000</v>
      </c>
    </row>
    <row r="188" spans="1:1" ht="15.6">
      <c r="A188" s="2035">
        <v>15000000</v>
      </c>
    </row>
    <row r="189" spans="1:1" ht="15.6">
      <c r="A189" s="2035">
        <v>771406</v>
      </c>
    </row>
    <row r="190" spans="1:1" ht="15.6">
      <c r="A190" s="2035">
        <v>1000000</v>
      </c>
    </row>
    <row r="191" spans="1:1" ht="15.6">
      <c r="A191" s="2035">
        <v>5412055</v>
      </c>
    </row>
    <row r="192" spans="1:1" ht="15.6">
      <c r="A192" s="2035">
        <v>1500000</v>
      </c>
    </row>
    <row r="193" spans="1:1" ht="15.6">
      <c r="A193" s="2035">
        <v>649013</v>
      </c>
    </row>
    <row r="194" spans="1:1" ht="15.6">
      <c r="A194" s="2055">
        <v>3453655</v>
      </c>
    </row>
    <row r="195" spans="1:1" ht="15.6">
      <c r="A195" s="2035">
        <v>2218400</v>
      </c>
    </row>
    <row r="196" spans="1:1" ht="15.6">
      <c r="A196" s="2035">
        <v>2480000</v>
      </c>
    </row>
    <row r="197" spans="1:1" ht="15.6">
      <c r="A197" s="2035">
        <v>3000000</v>
      </c>
    </row>
    <row r="198" spans="1:1" ht="15.6">
      <c r="A198" s="2035">
        <v>1000000</v>
      </c>
    </row>
    <row r="199" spans="1:1" ht="15.6">
      <c r="A199" s="2035">
        <v>1200000</v>
      </c>
    </row>
    <row r="200" spans="1:1" ht="15.6">
      <c r="A200" s="2035">
        <v>2000000</v>
      </c>
    </row>
    <row r="201" spans="1:1" ht="15.6">
      <c r="A201" s="2035">
        <v>2000000</v>
      </c>
    </row>
    <row r="202" spans="1:1" ht="15.6">
      <c r="A202" s="2035">
        <v>1050487</v>
      </c>
    </row>
    <row r="203" spans="1:1" ht="15.6">
      <c r="A203" s="2048">
        <v>1900000</v>
      </c>
    </row>
    <row r="204" spans="1:1" ht="15.6">
      <c r="A204" s="2048">
        <v>4500000</v>
      </c>
    </row>
    <row r="205" spans="1:1" ht="15.6">
      <c r="A205" s="2048">
        <v>2000000</v>
      </c>
    </row>
    <row r="206" spans="1:1" ht="15.6">
      <c r="A206" s="2048">
        <v>7400000</v>
      </c>
    </row>
    <row r="207" spans="1:1" ht="15.6">
      <c r="A207" s="2048">
        <v>1000000</v>
      </c>
    </row>
    <row r="208" spans="1:1" ht="15.6">
      <c r="A208" s="2048">
        <v>2300000</v>
      </c>
    </row>
    <row r="209" spans="1:1" ht="15.6">
      <c r="A209" s="2048">
        <v>1531598</v>
      </c>
    </row>
    <row r="210" spans="1:1" ht="15.6">
      <c r="A210" s="2048">
        <v>2812127</v>
      </c>
    </row>
    <row r="211" spans="1:1" ht="15.6">
      <c r="A211" s="2048">
        <v>8000000</v>
      </c>
    </row>
    <row r="212" spans="1:1" ht="15.6">
      <c r="A212" s="2048">
        <v>15000000</v>
      </c>
    </row>
    <row r="213" spans="1:1" ht="15.6">
      <c r="A213" s="2048">
        <v>5000000</v>
      </c>
    </row>
    <row r="214" spans="1:1" ht="15.6">
      <c r="A214" s="2048">
        <v>5000000</v>
      </c>
    </row>
    <row r="215" spans="1:1" ht="15.6">
      <c r="A215" s="2048">
        <v>33000000</v>
      </c>
    </row>
    <row r="216" spans="1:1" ht="15.6">
      <c r="A216" s="2048">
        <v>100000000</v>
      </c>
    </row>
    <row r="217" spans="1:1" ht="15.6">
      <c r="A217" s="2048">
        <v>8000000</v>
      </c>
    </row>
    <row r="218" spans="1:1" ht="15.6">
      <c r="A218" s="2048">
        <v>4000000</v>
      </c>
    </row>
    <row r="219" spans="1:1" ht="15.6">
      <c r="A219" s="2048">
        <v>4000000</v>
      </c>
    </row>
    <row r="220" spans="1:1" ht="15.6">
      <c r="A220" s="2048">
        <v>35000000</v>
      </c>
    </row>
    <row r="221" spans="1:1" ht="15.6">
      <c r="A221" s="2048">
        <v>11500000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D216"/>
  <sheetViews>
    <sheetView topLeftCell="A191" zoomScale="71" workbookViewId="0">
      <selection activeCell="E64" sqref="E64"/>
    </sheetView>
  </sheetViews>
  <sheetFormatPr defaultColWidth="42.88671875" defaultRowHeight="15.6"/>
  <cols>
    <col min="1" max="1" width="42.88671875" style="297"/>
    <col min="2" max="2" width="68.5546875" style="297" customWidth="1"/>
    <col min="3" max="3" width="41.5546875" style="297" bestFit="1" customWidth="1"/>
    <col min="4" max="4" width="15.44140625" style="297" bestFit="1" customWidth="1"/>
    <col min="5" max="16384" width="42.88671875" style="297"/>
  </cols>
  <sheetData>
    <row r="1" spans="1:4" s="2057" customFormat="1" ht="60">
      <c r="A1" s="2058" t="s">
        <v>1990</v>
      </c>
      <c r="B1" s="2058"/>
      <c r="C1" s="2058"/>
      <c r="D1" s="2058"/>
    </row>
    <row r="2" spans="1:4" s="2059" customFormat="1">
      <c r="A2" s="2060" t="s">
        <v>1870</v>
      </c>
      <c r="B2" s="2060" t="s">
        <v>1871</v>
      </c>
      <c r="C2" s="2060" t="s">
        <v>1872</v>
      </c>
      <c r="D2" s="2061" t="s">
        <v>1873</v>
      </c>
    </row>
    <row r="3" spans="1:4" ht="31.2">
      <c r="A3" s="2277" t="s">
        <v>8</v>
      </c>
      <c r="B3" s="2062" t="s">
        <v>1991</v>
      </c>
      <c r="C3" s="2062" t="s">
        <v>1874</v>
      </c>
      <c r="D3" s="2063">
        <v>30000000</v>
      </c>
    </row>
    <row r="4" spans="1:4">
      <c r="A4" s="2277"/>
      <c r="B4" s="2062" t="s">
        <v>1537</v>
      </c>
      <c r="C4" s="2062" t="s">
        <v>1874</v>
      </c>
      <c r="D4" s="2063">
        <v>2000000</v>
      </c>
    </row>
    <row r="5" spans="1:4" ht="31.2">
      <c r="A5" s="2277"/>
      <c r="B5" s="2062" t="s">
        <v>1539</v>
      </c>
      <c r="C5" s="2062" t="s">
        <v>1874</v>
      </c>
      <c r="D5" s="2063">
        <v>7500000</v>
      </c>
    </row>
    <row r="6" spans="1:4">
      <c r="A6" s="2277"/>
      <c r="B6" s="2062" t="s">
        <v>1875</v>
      </c>
      <c r="C6" s="2062" t="s">
        <v>1876</v>
      </c>
      <c r="D6" s="2063">
        <v>688700000</v>
      </c>
    </row>
    <row r="7" spans="1:4">
      <c r="A7" s="2277"/>
      <c r="B7" s="2062" t="s">
        <v>1877</v>
      </c>
      <c r="C7" s="2062" t="s">
        <v>1876</v>
      </c>
      <c r="D7" s="2063">
        <v>31774535</v>
      </c>
    </row>
    <row r="8" spans="1:4">
      <c r="A8" s="2277"/>
      <c r="B8" s="2062" t="s">
        <v>1878</v>
      </c>
      <c r="C8" s="2062"/>
      <c r="D8" s="2063">
        <v>15000000</v>
      </c>
    </row>
    <row r="9" spans="1:4">
      <c r="A9" s="2277"/>
      <c r="B9" s="2062" t="s">
        <v>1879</v>
      </c>
      <c r="C9" s="2062" t="s">
        <v>1880</v>
      </c>
      <c r="D9" s="2063">
        <v>30000000</v>
      </c>
    </row>
    <row r="10" spans="1:4" ht="31.2">
      <c r="A10" s="2277"/>
      <c r="B10" s="2062" t="s">
        <v>1881</v>
      </c>
      <c r="C10" s="2062" t="s">
        <v>1882</v>
      </c>
      <c r="D10" s="2063">
        <v>10000000</v>
      </c>
    </row>
    <row r="11" spans="1:4">
      <c r="A11" s="2277"/>
      <c r="B11" s="2062" t="s">
        <v>1587</v>
      </c>
      <c r="C11" s="2062" t="s">
        <v>1883</v>
      </c>
      <c r="D11" s="2063">
        <v>15480628</v>
      </c>
    </row>
    <row r="12" spans="1:4">
      <c r="A12" s="2277"/>
      <c r="B12" s="2060" t="s">
        <v>929</v>
      </c>
      <c r="C12" s="2060"/>
      <c r="D12" s="2064">
        <f>SUM(D3:D11)</f>
        <v>830455163</v>
      </c>
    </row>
    <row r="13" spans="1:4" ht="31.2">
      <c r="A13" s="2277" t="s">
        <v>894</v>
      </c>
      <c r="B13" s="2062" t="s">
        <v>1884</v>
      </c>
      <c r="C13" s="2062" t="s">
        <v>1885</v>
      </c>
      <c r="D13" s="2065">
        <v>2000000</v>
      </c>
    </row>
    <row r="14" spans="1:4" ht="31.2">
      <c r="A14" s="2277"/>
      <c r="B14" s="2062" t="s">
        <v>1886</v>
      </c>
      <c r="C14" s="2062" t="s">
        <v>1887</v>
      </c>
      <c r="D14" s="2065">
        <v>1000000</v>
      </c>
    </row>
    <row r="15" spans="1:4" ht="46.8">
      <c r="A15" s="2277"/>
      <c r="B15" s="2062" t="s">
        <v>1888</v>
      </c>
      <c r="C15" s="2062" t="s">
        <v>1889</v>
      </c>
      <c r="D15" s="2065">
        <v>5542546</v>
      </c>
    </row>
    <row r="16" spans="1:4">
      <c r="A16" s="2277"/>
      <c r="B16" s="2062" t="s">
        <v>1890</v>
      </c>
      <c r="C16" s="2280" t="s">
        <v>1892</v>
      </c>
      <c r="D16" s="2278">
        <v>1083001</v>
      </c>
    </row>
    <row r="17" spans="1:4">
      <c r="A17" s="2277"/>
      <c r="B17" s="2062" t="s">
        <v>1891</v>
      </c>
      <c r="C17" s="2280"/>
      <c r="D17" s="2278"/>
    </row>
    <row r="18" spans="1:4" ht="31.2">
      <c r="A18" s="2277"/>
      <c r="B18" s="2062" t="s">
        <v>1893</v>
      </c>
      <c r="C18" s="2062" t="s">
        <v>1894</v>
      </c>
      <c r="D18" s="2065">
        <v>2527261</v>
      </c>
    </row>
    <row r="19" spans="1:4" ht="31.2">
      <c r="A19" s="2277"/>
      <c r="B19" s="2062" t="s">
        <v>1895</v>
      </c>
      <c r="C19" s="2062" t="s">
        <v>1876</v>
      </c>
      <c r="D19" s="2065">
        <v>5000000</v>
      </c>
    </row>
    <row r="20" spans="1:4" ht="31.2">
      <c r="A20" s="2277"/>
      <c r="B20" s="2062" t="s">
        <v>1896</v>
      </c>
      <c r="C20" s="2062" t="s">
        <v>1897</v>
      </c>
      <c r="D20" s="2065">
        <v>2350000</v>
      </c>
    </row>
    <row r="21" spans="1:4">
      <c r="A21" s="2277"/>
      <c r="B21" s="2062" t="s">
        <v>1898</v>
      </c>
      <c r="C21" s="2280" t="s">
        <v>1897</v>
      </c>
      <c r="D21" s="2278">
        <v>3000000</v>
      </c>
    </row>
    <row r="22" spans="1:4">
      <c r="A22" s="2277"/>
      <c r="B22" s="2062" t="s">
        <v>1042</v>
      </c>
      <c r="C22" s="2280"/>
      <c r="D22" s="2278"/>
    </row>
    <row r="23" spans="1:4">
      <c r="A23" s="2277"/>
      <c r="B23" s="2060" t="s">
        <v>1899</v>
      </c>
      <c r="C23" s="2060"/>
      <c r="D23" s="2066">
        <f>SUM(D13:D22)</f>
        <v>22502808</v>
      </c>
    </row>
    <row r="24" spans="1:4">
      <c r="A24" s="2277" t="s">
        <v>1251</v>
      </c>
      <c r="B24" s="2062" t="s">
        <v>1900</v>
      </c>
      <c r="C24" s="2062" t="s">
        <v>1883</v>
      </c>
      <c r="D24" s="2063">
        <v>275227045</v>
      </c>
    </row>
    <row r="25" spans="1:4">
      <c r="A25" s="2277"/>
      <c r="B25" s="2062" t="s">
        <v>1901</v>
      </c>
      <c r="C25" s="2062" t="s">
        <v>1902</v>
      </c>
      <c r="D25" s="2063">
        <v>50000000</v>
      </c>
    </row>
    <row r="26" spans="1:4">
      <c r="A26" s="2277"/>
      <c r="B26" s="2062" t="s">
        <v>1903</v>
      </c>
      <c r="C26" s="2062" t="s">
        <v>1883</v>
      </c>
      <c r="D26" s="2063">
        <v>24907301</v>
      </c>
    </row>
    <row r="27" spans="1:4" ht="31.2">
      <c r="A27" s="2277"/>
      <c r="B27" s="2062" t="s">
        <v>1904</v>
      </c>
      <c r="C27" s="2062" t="s">
        <v>1883</v>
      </c>
      <c r="D27" s="2063">
        <v>4494650</v>
      </c>
    </row>
    <row r="28" spans="1:4">
      <c r="A28" s="2277"/>
      <c r="B28" s="2062" t="s">
        <v>1318</v>
      </c>
      <c r="C28" s="2062" t="s">
        <v>1883</v>
      </c>
      <c r="D28" s="2063">
        <v>2000000</v>
      </c>
    </row>
    <row r="29" spans="1:4">
      <c r="A29" s="2277"/>
      <c r="B29" s="2062" t="s">
        <v>1319</v>
      </c>
      <c r="C29" s="2062" t="s">
        <v>1883</v>
      </c>
      <c r="D29" s="2063">
        <v>40000000</v>
      </c>
    </row>
    <row r="30" spans="1:4">
      <c r="A30" s="2277"/>
      <c r="B30" s="2062" t="s">
        <v>1905</v>
      </c>
      <c r="C30" s="2062" t="s">
        <v>1883</v>
      </c>
      <c r="D30" s="2063">
        <v>120000000</v>
      </c>
    </row>
    <row r="31" spans="1:4">
      <c r="A31" s="2277"/>
      <c r="B31" s="2062" t="s">
        <v>1322</v>
      </c>
      <c r="C31" s="2062" t="s">
        <v>1883</v>
      </c>
      <c r="D31" s="2063">
        <v>42151840</v>
      </c>
    </row>
    <row r="32" spans="1:4">
      <c r="A32" s="2277"/>
      <c r="B32" s="2062" t="s">
        <v>1906</v>
      </c>
      <c r="C32" s="2062" t="s">
        <v>1883</v>
      </c>
      <c r="D32" s="2063">
        <v>5000000</v>
      </c>
    </row>
    <row r="33" spans="1:4">
      <c r="A33" s="2277"/>
      <c r="B33" s="2062" t="s">
        <v>1323</v>
      </c>
      <c r="C33" s="2062" t="s">
        <v>1883</v>
      </c>
      <c r="D33" s="2063">
        <v>5000000</v>
      </c>
    </row>
    <row r="34" spans="1:4">
      <c r="A34" s="2277"/>
      <c r="B34" s="2060" t="s">
        <v>929</v>
      </c>
      <c r="C34" s="2060"/>
      <c r="D34" s="2064">
        <f>SUM(D24:D33)</f>
        <v>568780836</v>
      </c>
    </row>
    <row r="35" spans="1:4">
      <c r="A35" s="2277" t="s">
        <v>1252</v>
      </c>
      <c r="B35" s="2062" t="s">
        <v>1450</v>
      </c>
      <c r="C35" s="2062" t="s">
        <v>1883</v>
      </c>
      <c r="D35" s="2063">
        <v>4737123</v>
      </c>
    </row>
    <row r="36" spans="1:4">
      <c r="A36" s="2277"/>
      <c r="B36" s="2062" t="s">
        <v>327</v>
      </c>
      <c r="C36" s="2062" t="s">
        <v>1883</v>
      </c>
      <c r="D36" s="2063">
        <v>3600000</v>
      </c>
    </row>
    <row r="37" spans="1:4" ht="31.2">
      <c r="A37" s="2277"/>
      <c r="B37" s="2062" t="s">
        <v>328</v>
      </c>
      <c r="C37" s="2062" t="s">
        <v>1883</v>
      </c>
      <c r="D37" s="2063">
        <v>8823575</v>
      </c>
    </row>
    <row r="38" spans="1:4" ht="31.2">
      <c r="A38" s="2277"/>
      <c r="B38" s="2062" t="s">
        <v>1907</v>
      </c>
      <c r="C38" s="2062" t="s">
        <v>1876</v>
      </c>
      <c r="D38" s="2063">
        <v>30000000</v>
      </c>
    </row>
    <row r="39" spans="1:4">
      <c r="A39" s="2277"/>
      <c r="B39" s="2062" t="s">
        <v>1908</v>
      </c>
      <c r="C39" s="2062" t="s">
        <v>1883</v>
      </c>
      <c r="D39" s="2063">
        <v>2625207</v>
      </c>
    </row>
    <row r="40" spans="1:4" ht="31.2">
      <c r="A40" s="2277"/>
      <c r="B40" s="2062" t="s">
        <v>1454</v>
      </c>
      <c r="C40" s="2062" t="s">
        <v>1883</v>
      </c>
      <c r="D40" s="2063">
        <v>2000000</v>
      </c>
    </row>
    <row r="41" spans="1:4">
      <c r="A41" s="2277"/>
      <c r="B41" s="2062" t="s">
        <v>347</v>
      </c>
      <c r="C41" s="2062" t="s">
        <v>1883</v>
      </c>
      <c r="D41" s="2063">
        <v>3000000</v>
      </c>
    </row>
    <row r="42" spans="1:4">
      <c r="A42" s="2277"/>
      <c r="B42" s="2062" t="s">
        <v>348</v>
      </c>
      <c r="C42" s="2062" t="s">
        <v>1883</v>
      </c>
      <c r="D42" s="2063">
        <v>6128843</v>
      </c>
    </row>
    <row r="43" spans="1:4">
      <c r="A43" s="2277"/>
      <c r="B43" s="2062" t="s">
        <v>1455</v>
      </c>
      <c r="C43" s="2062" t="s">
        <v>1883</v>
      </c>
      <c r="D43" s="2063">
        <v>66745</v>
      </c>
    </row>
    <row r="44" spans="1:4" ht="31.2">
      <c r="A44" s="2277"/>
      <c r="B44" s="2062" t="s">
        <v>1909</v>
      </c>
      <c r="C44" s="2062" t="s">
        <v>1883</v>
      </c>
      <c r="D44" s="2063">
        <v>2000000</v>
      </c>
    </row>
    <row r="45" spans="1:4">
      <c r="A45" s="2277"/>
      <c r="B45" s="2060" t="s">
        <v>929</v>
      </c>
      <c r="C45" s="2060"/>
      <c r="D45" s="2064">
        <f>SUM(D35:D44)</f>
        <v>62981493</v>
      </c>
    </row>
    <row r="46" spans="1:4">
      <c r="A46" s="2277" t="s">
        <v>1253</v>
      </c>
      <c r="B46" s="2062" t="s">
        <v>1910</v>
      </c>
      <c r="C46" s="2062" t="s">
        <v>1911</v>
      </c>
      <c r="D46" s="2063">
        <v>4540000</v>
      </c>
    </row>
    <row r="47" spans="1:4">
      <c r="A47" s="2277"/>
      <c r="B47" s="2062" t="s">
        <v>1912</v>
      </c>
      <c r="C47" s="2062" t="s">
        <v>1913</v>
      </c>
      <c r="D47" s="2063">
        <v>4540000</v>
      </c>
    </row>
    <row r="48" spans="1:4" ht="46.8">
      <c r="A48" s="2277"/>
      <c r="B48" s="2062" t="s">
        <v>1914</v>
      </c>
      <c r="C48" s="2062" t="s">
        <v>1883</v>
      </c>
      <c r="D48" s="2063">
        <v>12000000</v>
      </c>
    </row>
    <row r="49" spans="1:4">
      <c r="A49" s="2277"/>
      <c r="B49" s="2062" t="s">
        <v>1915</v>
      </c>
      <c r="C49" s="2062" t="s">
        <v>1883</v>
      </c>
      <c r="D49" s="2063">
        <v>445098850</v>
      </c>
    </row>
    <row r="50" spans="1:4" ht="31.2">
      <c r="A50" s="2277"/>
      <c r="B50" s="2062" t="s">
        <v>1267</v>
      </c>
      <c r="C50" s="2062" t="s">
        <v>1883</v>
      </c>
      <c r="D50" s="2063">
        <v>21600000</v>
      </c>
    </row>
    <row r="51" spans="1:4" ht="31.2">
      <c r="A51" s="2277"/>
      <c r="B51" s="2062" t="s">
        <v>1499</v>
      </c>
      <c r="C51" s="2062" t="s">
        <v>1883</v>
      </c>
      <c r="D51" s="2063">
        <v>40000000</v>
      </c>
    </row>
    <row r="52" spans="1:4">
      <c r="A52" s="2277"/>
      <c r="B52" s="2062" t="s">
        <v>1500</v>
      </c>
      <c r="C52" s="2062" t="s">
        <v>1883</v>
      </c>
      <c r="D52" s="2063">
        <v>29161270</v>
      </c>
    </row>
    <row r="53" spans="1:4" ht="31.2">
      <c r="A53" s="2277"/>
      <c r="B53" s="2062" t="s">
        <v>1988</v>
      </c>
      <c r="C53" s="2062" t="s">
        <v>1883</v>
      </c>
      <c r="D53" s="2063">
        <v>45448000</v>
      </c>
    </row>
    <row r="54" spans="1:4">
      <c r="A54" s="2277"/>
      <c r="B54" s="2062" t="s">
        <v>1504</v>
      </c>
      <c r="C54" s="2062" t="s">
        <v>1883</v>
      </c>
      <c r="D54" s="2063">
        <v>1322462</v>
      </c>
    </row>
    <row r="55" spans="1:4" ht="31.2">
      <c r="A55" s="2277"/>
      <c r="B55" s="2062" t="s">
        <v>1916</v>
      </c>
      <c r="C55" s="2062" t="s">
        <v>1883</v>
      </c>
      <c r="D55" s="2063">
        <v>6750000</v>
      </c>
    </row>
    <row r="56" spans="1:4">
      <c r="A56" s="2277"/>
      <c r="B56" s="2062" t="s">
        <v>1263</v>
      </c>
      <c r="C56" s="2062" t="s">
        <v>1874</v>
      </c>
      <c r="D56" s="2067" t="s">
        <v>1213</v>
      </c>
    </row>
    <row r="57" spans="1:4" ht="31.2">
      <c r="A57" s="2277"/>
      <c r="B57" s="2062" t="s">
        <v>1505</v>
      </c>
      <c r="C57" s="2062" t="s">
        <v>1874</v>
      </c>
      <c r="D57" s="2063">
        <v>35000000</v>
      </c>
    </row>
    <row r="58" spans="1:4" ht="31.2">
      <c r="A58" s="2277"/>
      <c r="B58" s="2062" t="s">
        <v>1506</v>
      </c>
      <c r="C58" s="2062" t="s">
        <v>1883</v>
      </c>
      <c r="D58" s="2063">
        <v>15700000</v>
      </c>
    </row>
    <row r="59" spans="1:4" ht="31.2">
      <c r="A59" s="2277"/>
      <c r="B59" s="2062" t="s">
        <v>1507</v>
      </c>
      <c r="C59" s="2062" t="s">
        <v>1874</v>
      </c>
      <c r="D59" s="2063">
        <v>8000000</v>
      </c>
    </row>
    <row r="60" spans="1:4" ht="31.2">
      <c r="A60" s="2277"/>
      <c r="B60" s="2062" t="s">
        <v>1917</v>
      </c>
      <c r="C60" s="2062" t="s">
        <v>1883</v>
      </c>
      <c r="D60" s="2063">
        <v>5000000</v>
      </c>
    </row>
    <row r="61" spans="1:4">
      <c r="A61" s="2277"/>
      <c r="B61" s="2060" t="s">
        <v>929</v>
      </c>
      <c r="C61" s="2060"/>
      <c r="D61" s="2064">
        <f>SUM(D46:D60)</f>
        <v>674160582</v>
      </c>
    </row>
    <row r="62" spans="1:4" ht="31.2">
      <c r="A62" s="2277" t="s">
        <v>392</v>
      </c>
      <c r="B62" s="2062" t="s">
        <v>1594</v>
      </c>
      <c r="C62" s="2062" t="s">
        <v>1883</v>
      </c>
      <c r="D62" s="2063">
        <v>2157207</v>
      </c>
    </row>
    <row r="63" spans="1:4">
      <c r="A63" s="2277"/>
      <c r="B63" s="2062" t="s">
        <v>1918</v>
      </c>
      <c r="C63" s="2062" t="s">
        <v>1876</v>
      </c>
      <c r="D63" s="2063">
        <v>91617939</v>
      </c>
    </row>
    <row r="64" spans="1:4" ht="31.2">
      <c r="A64" s="2277"/>
      <c r="B64" s="2062" t="s">
        <v>1613</v>
      </c>
      <c r="C64" s="2062" t="s">
        <v>1919</v>
      </c>
      <c r="D64" s="2063">
        <v>3600000</v>
      </c>
    </row>
    <row r="65" spans="1:4" ht="31.2">
      <c r="A65" s="2277"/>
      <c r="B65" s="2062" t="s">
        <v>1920</v>
      </c>
      <c r="C65" s="2062" t="s">
        <v>1921</v>
      </c>
      <c r="D65" s="2063">
        <v>3000000</v>
      </c>
    </row>
    <row r="66" spans="1:4" ht="31.2">
      <c r="A66" s="2277"/>
      <c r="B66" s="2062" t="s">
        <v>1615</v>
      </c>
      <c r="C66" s="2062" t="s">
        <v>1887</v>
      </c>
      <c r="D66" s="2063">
        <v>3000000</v>
      </c>
    </row>
    <row r="67" spans="1:4" ht="46.8">
      <c r="A67" s="2277"/>
      <c r="B67" s="2062" t="s">
        <v>1922</v>
      </c>
      <c r="C67" s="2062" t="s">
        <v>1923</v>
      </c>
      <c r="D67" s="2063">
        <v>3000000</v>
      </c>
    </row>
    <row r="68" spans="1:4">
      <c r="A68" s="2277"/>
      <c r="B68" s="2062" t="s">
        <v>1627</v>
      </c>
      <c r="C68" s="2062" t="s">
        <v>1874</v>
      </c>
      <c r="D68" s="2063">
        <v>1200000</v>
      </c>
    </row>
    <row r="69" spans="1:4">
      <c r="A69" s="2277"/>
      <c r="B69" s="2062" t="s">
        <v>1628</v>
      </c>
      <c r="C69" s="2062" t="s">
        <v>1913</v>
      </c>
      <c r="D69" s="2063">
        <v>1000000</v>
      </c>
    </row>
    <row r="70" spans="1:4">
      <c r="A70" s="2277"/>
      <c r="B70" s="2062" t="s">
        <v>1629</v>
      </c>
      <c r="C70" s="2062" t="s">
        <v>1889</v>
      </c>
      <c r="D70" s="2063">
        <v>1950000</v>
      </c>
    </row>
    <row r="71" spans="1:4">
      <c r="A71" s="2277"/>
      <c r="B71" s="2062" t="s">
        <v>1924</v>
      </c>
      <c r="C71" s="2062" t="s">
        <v>1925</v>
      </c>
      <c r="D71" s="2063">
        <v>6200000</v>
      </c>
    </row>
    <row r="72" spans="1:4">
      <c r="A72" s="2277"/>
      <c r="B72" s="2062" t="s">
        <v>1926</v>
      </c>
      <c r="C72" s="2062" t="s">
        <v>1925</v>
      </c>
      <c r="D72" s="2063">
        <v>2061165</v>
      </c>
    </row>
    <row r="73" spans="1:4" ht="62.4">
      <c r="A73" s="2277"/>
      <c r="B73" s="2062" t="s">
        <v>1632</v>
      </c>
      <c r="C73" s="2062" t="s">
        <v>1927</v>
      </c>
      <c r="D73" s="2063">
        <v>4000000</v>
      </c>
    </row>
    <row r="74" spans="1:4" ht="46.8">
      <c r="A74" s="2277"/>
      <c r="B74" s="2062" t="s">
        <v>1643</v>
      </c>
      <c r="C74" s="2062" t="s">
        <v>1928</v>
      </c>
      <c r="D74" s="2063">
        <v>5200000</v>
      </c>
    </row>
    <row r="75" spans="1:4" ht="46.8">
      <c r="A75" s="2277"/>
      <c r="B75" s="2062" t="s">
        <v>1644</v>
      </c>
      <c r="C75" s="2062" t="s">
        <v>1902</v>
      </c>
      <c r="D75" s="2063">
        <v>3000000</v>
      </c>
    </row>
    <row r="76" spans="1:4">
      <c r="A76" s="2277"/>
      <c r="B76" s="2062" t="s">
        <v>1645</v>
      </c>
      <c r="C76" s="2062" t="s">
        <v>1929</v>
      </c>
      <c r="D76" s="2063">
        <v>452400</v>
      </c>
    </row>
    <row r="77" spans="1:4" ht="31.2">
      <c r="A77" s="2277"/>
      <c r="B77" s="2062" t="s">
        <v>1646</v>
      </c>
      <c r="C77" s="2062" t="s">
        <v>1887</v>
      </c>
      <c r="D77" s="2063">
        <v>4200000</v>
      </c>
    </row>
    <row r="78" spans="1:4" ht="31.2">
      <c r="A78" s="2277"/>
      <c r="B78" s="2062" t="s">
        <v>1647</v>
      </c>
      <c r="C78" s="2062" t="s">
        <v>1887</v>
      </c>
      <c r="D78" s="2063">
        <v>2000000</v>
      </c>
    </row>
    <row r="79" spans="1:4" ht="31.2">
      <c r="A79" s="2277"/>
      <c r="B79" s="2062" t="s">
        <v>1648</v>
      </c>
      <c r="C79" s="2062" t="s">
        <v>1930</v>
      </c>
      <c r="D79" s="2063">
        <v>2000000</v>
      </c>
    </row>
    <row r="80" spans="1:4" ht="31.2">
      <c r="A80" s="2277"/>
      <c r="B80" s="2062" t="s">
        <v>1649</v>
      </c>
      <c r="C80" s="2062" t="s">
        <v>1931</v>
      </c>
      <c r="D80" s="2063">
        <v>2053820</v>
      </c>
    </row>
    <row r="81" spans="1:4" ht="31.2">
      <c r="A81" s="2277"/>
      <c r="B81" s="2062" t="s">
        <v>1650</v>
      </c>
      <c r="C81" s="2062" t="s">
        <v>1931</v>
      </c>
      <c r="D81" s="2063">
        <v>2500000</v>
      </c>
    </row>
    <row r="82" spans="1:4" ht="31.2">
      <c r="A82" s="2277"/>
      <c r="B82" s="2062" t="s">
        <v>1651</v>
      </c>
      <c r="C82" s="2062" t="s">
        <v>1932</v>
      </c>
      <c r="D82" s="2063">
        <v>3250000</v>
      </c>
    </row>
    <row r="83" spans="1:4" ht="31.2">
      <c r="A83" s="2277"/>
      <c r="B83" s="2062" t="s">
        <v>1652</v>
      </c>
      <c r="C83" s="2062" t="s">
        <v>1902</v>
      </c>
      <c r="D83" s="2063">
        <v>2750000</v>
      </c>
    </row>
    <row r="84" spans="1:4" ht="93.6">
      <c r="A84" s="2277"/>
      <c r="B84" s="2062" t="s">
        <v>1653</v>
      </c>
      <c r="C84" s="2062" t="s">
        <v>1933</v>
      </c>
      <c r="D84" s="2063">
        <v>2500948</v>
      </c>
    </row>
    <row r="85" spans="1:4" ht="31.2">
      <c r="A85" s="2277"/>
      <c r="B85" s="2062" t="s">
        <v>1654</v>
      </c>
      <c r="C85" s="2062" t="s">
        <v>1934</v>
      </c>
      <c r="D85" s="2063">
        <v>600000</v>
      </c>
    </row>
    <row r="86" spans="1:4" ht="62.4">
      <c r="A86" s="2277"/>
      <c r="B86" s="2062" t="s">
        <v>1834</v>
      </c>
      <c r="C86" s="2062" t="s">
        <v>1935</v>
      </c>
      <c r="D86" s="2063">
        <v>7880000</v>
      </c>
    </row>
    <row r="87" spans="1:4" ht="78">
      <c r="A87" s="2277"/>
      <c r="B87" s="2062" t="s">
        <v>1655</v>
      </c>
      <c r="C87" s="2062" t="s">
        <v>1936</v>
      </c>
      <c r="D87" s="2063">
        <v>4000000</v>
      </c>
    </row>
    <row r="88" spans="1:4" ht="31.2">
      <c r="A88" s="2277"/>
      <c r="B88" s="2062" t="s">
        <v>1656</v>
      </c>
      <c r="C88" s="2062" t="s">
        <v>1937</v>
      </c>
      <c r="D88" s="2063">
        <v>1300000</v>
      </c>
    </row>
    <row r="89" spans="1:4">
      <c r="A89" s="2277"/>
      <c r="B89" s="2062" t="s">
        <v>1657</v>
      </c>
      <c r="C89" s="2062" t="s">
        <v>1887</v>
      </c>
      <c r="D89" s="2063">
        <v>2700000</v>
      </c>
    </row>
    <row r="90" spans="1:4" ht="31.2">
      <c r="A90" s="2277"/>
      <c r="B90" s="2062" t="s">
        <v>1620</v>
      </c>
      <c r="C90" s="2062" t="s">
        <v>1938</v>
      </c>
      <c r="D90" s="2063">
        <v>10044000</v>
      </c>
    </row>
    <row r="91" spans="1:4" ht="31.2">
      <c r="A91" s="2277"/>
      <c r="B91" s="2062" t="s">
        <v>448</v>
      </c>
      <c r="C91" s="2062" t="s">
        <v>1883</v>
      </c>
      <c r="D91" s="2063">
        <v>3557250</v>
      </c>
    </row>
    <row r="92" spans="1:4">
      <c r="A92" s="2277"/>
      <c r="B92" s="2060" t="s">
        <v>929</v>
      </c>
      <c r="C92" s="2060"/>
      <c r="D92" s="2064">
        <f>SUM(D62:D91)</f>
        <v>182774729</v>
      </c>
    </row>
    <row r="93" spans="1:4">
      <c r="A93" s="2277" t="s">
        <v>1254</v>
      </c>
      <c r="B93" s="2062" t="s">
        <v>1423</v>
      </c>
      <c r="C93" s="2062" t="s">
        <v>1883</v>
      </c>
      <c r="D93" s="2063">
        <v>19000000</v>
      </c>
    </row>
    <row r="94" spans="1:4">
      <c r="A94" s="2277"/>
      <c r="B94" s="2062" t="s">
        <v>1424</v>
      </c>
      <c r="C94" s="2062" t="s">
        <v>1883</v>
      </c>
      <c r="D94" s="2063">
        <v>19049631</v>
      </c>
    </row>
    <row r="95" spans="1:4">
      <c r="A95" s="2277"/>
      <c r="B95" s="2062" t="s">
        <v>1425</v>
      </c>
      <c r="C95" s="2062" t="s">
        <v>1883</v>
      </c>
      <c r="D95" s="2063">
        <v>21500000</v>
      </c>
    </row>
    <row r="96" spans="1:4">
      <c r="A96" s="2277"/>
      <c r="B96" s="2062" t="s">
        <v>1939</v>
      </c>
      <c r="C96" s="2062" t="s">
        <v>1883</v>
      </c>
      <c r="D96" s="2063">
        <v>1000000</v>
      </c>
    </row>
    <row r="97" spans="1:4" ht="31.2">
      <c r="A97" s="2277"/>
      <c r="B97" s="2062" t="s">
        <v>1781</v>
      </c>
      <c r="C97" s="2062" t="s">
        <v>1940</v>
      </c>
      <c r="D97" s="2063">
        <v>4000000</v>
      </c>
    </row>
    <row r="98" spans="1:4" ht="31.2">
      <c r="A98" s="2277"/>
      <c r="B98" s="2062" t="s">
        <v>1430</v>
      </c>
      <c r="C98" s="2062" t="s">
        <v>1941</v>
      </c>
      <c r="D98" s="2063">
        <v>150000000</v>
      </c>
    </row>
    <row r="99" spans="1:4">
      <c r="A99" s="2277"/>
      <c r="B99" s="2062" t="s">
        <v>1431</v>
      </c>
      <c r="C99" s="2062" t="s">
        <v>1941</v>
      </c>
      <c r="D99" s="2063">
        <v>250000000</v>
      </c>
    </row>
    <row r="100" spans="1:4">
      <c r="A100" s="2277"/>
      <c r="B100" s="2062" t="s">
        <v>1432</v>
      </c>
      <c r="C100" s="2062" t="s">
        <v>1883</v>
      </c>
      <c r="D100" s="2063">
        <v>2000000</v>
      </c>
    </row>
    <row r="101" spans="1:4">
      <c r="A101" s="2277"/>
      <c r="B101" s="2062" t="s">
        <v>1942</v>
      </c>
      <c r="C101" s="2062" t="s">
        <v>1883</v>
      </c>
      <c r="D101" s="2063">
        <v>20000000</v>
      </c>
    </row>
    <row r="102" spans="1:4">
      <c r="A102" s="2277"/>
      <c r="B102" s="2062" t="s">
        <v>1943</v>
      </c>
      <c r="C102" s="2280" t="s">
        <v>1883</v>
      </c>
      <c r="D102" s="2279">
        <v>20000000</v>
      </c>
    </row>
    <row r="103" spans="1:4">
      <c r="A103" s="2277"/>
      <c r="B103" s="2062" t="s">
        <v>1944</v>
      </c>
      <c r="C103" s="2280"/>
      <c r="D103" s="2279"/>
    </row>
    <row r="104" spans="1:4">
      <c r="A104" s="2277"/>
      <c r="B104" s="2062" t="s">
        <v>1945</v>
      </c>
      <c r="C104" s="2280" t="s">
        <v>1883</v>
      </c>
      <c r="D104" s="2279">
        <v>1000000</v>
      </c>
    </row>
    <row r="105" spans="1:4">
      <c r="A105" s="2277"/>
      <c r="B105" s="2062" t="s">
        <v>1946</v>
      </c>
      <c r="C105" s="2280"/>
      <c r="D105" s="2279"/>
    </row>
    <row r="106" spans="1:4">
      <c r="A106" s="2277"/>
      <c r="B106" s="2062" t="s">
        <v>1989</v>
      </c>
      <c r="C106" s="2280"/>
      <c r="D106" s="2279"/>
    </row>
    <row r="107" spans="1:4">
      <c r="A107" s="2277"/>
      <c r="B107" s="2062"/>
      <c r="C107" s="2280"/>
      <c r="D107" s="2279"/>
    </row>
    <row r="108" spans="1:4" ht="31.2">
      <c r="A108" s="2277"/>
      <c r="B108" s="2062" t="s">
        <v>1947</v>
      </c>
      <c r="C108" s="2062" t="s">
        <v>1883</v>
      </c>
      <c r="D108" s="2063">
        <v>2500000</v>
      </c>
    </row>
    <row r="109" spans="1:4">
      <c r="A109" s="2277"/>
      <c r="B109" s="2060" t="s">
        <v>929</v>
      </c>
      <c r="C109" s="2062"/>
      <c r="D109" s="2064">
        <f>SUM(D93:D108)</f>
        <v>510049631</v>
      </c>
    </row>
    <row r="110" spans="1:4" ht="31.2">
      <c r="A110" s="2277" t="s">
        <v>1255</v>
      </c>
      <c r="B110" s="2062" t="s">
        <v>1458</v>
      </c>
      <c r="C110" s="2062" t="s">
        <v>1883</v>
      </c>
      <c r="D110" s="2063">
        <v>500000</v>
      </c>
    </row>
    <row r="111" spans="1:4" ht="31.2">
      <c r="A111" s="2277"/>
      <c r="B111" s="2062" t="s">
        <v>535</v>
      </c>
      <c r="C111" s="2062" t="s">
        <v>1883</v>
      </c>
      <c r="D111" s="2063">
        <v>52636701</v>
      </c>
    </row>
    <row r="112" spans="1:4" ht="31.2">
      <c r="A112" s="2277"/>
      <c r="B112" s="2062" t="s">
        <v>1728</v>
      </c>
      <c r="C112" s="2062" t="s">
        <v>1883</v>
      </c>
      <c r="D112" s="2063">
        <v>20000000</v>
      </c>
    </row>
    <row r="113" spans="1:4">
      <c r="A113" s="2277"/>
      <c r="B113" s="2062" t="s">
        <v>1459</v>
      </c>
      <c r="C113" s="2062" t="s">
        <v>1883</v>
      </c>
      <c r="D113" s="2063">
        <v>445014</v>
      </c>
    </row>
    <row r="114" spans="1:4">
      <c r="A114" s="2277"/>
      <c r="B114" s="2062" t="s">
        <v>1730</v>
      </c>
      <c r="C114" s="2062" t="s">
        <v>1883</v>
      </c>
      <c r="D114" s="2063">
        <v>13278720</v>
      </c>
    </row>
    <row r="115" spans="1:4">
      <c r="A115" s="2277"/>
      <c r="B115" s="2062" t="s">
        <v>1731</v>
      </c>
      <c r="C115" s="2062" t="s">
        <v>1883</v>
      </c>
      <c r="D115" s="2063">
        <v>6721280</v>
      </c>
    </row>
    <row r="116" spans="1:4">
      <c r="A116" s="2277"/>
      <c r="B116" s="2062" t="s">
        <v>1948</v>
      </c>
      <c r="C116" s="2062" t="s">
        <v>1883</v>
      </c>
      <c r="D116" s="2063">
        <v>40000000</v>
      </c>
    </row>
    <row r="117" spans="1:4">
      <c r="A117" s="2277"/>
      <c r="B117" s="2062" t="s">
        <v>1949</v>
      </c>
      <c r="C117" s="2062" t="s">
        <v>1883</v>
      </c>
      <c r="D117" s="2063">
        <v>25000000</v>
      </c>
    </row>
    <row r="118" spans="1:4">
      <c r="A118" s="2277"/>
      <c r="B118" s="2062" t="s">
        <v>1950</v>
      </c>
      <c r="C118" s="2062" t="s">
        <v>1883</v>
      </c>
      <c r="D118" s="2063">
        <v>12000000</v>
      </c>
    </row>
    <row r="119" spans="1:4">
      <c r="A119" s="2277"/>
      <c r="B119" s="2062" t="s">
        <v>1951</v>
      </c>
      <c r="C119" s="2062" t="s">
        <v>1883</v>
      </c>
      <c r="D119" s="2063">
        <v>4735228</v>
      </c>
    </row>
    <row r="120" spans="1:4">
      <c r="A120" s="2277"/>
      <c r="B120" s="2062" t="s">
        <v>1952</v>
      </c>
      <c r="C120" s="2062" t="s">
        <v>1883</v>
      </c>
      <c r="D120" s="2063">
        <v>1712504</v>
      </c>
    </row>
    <row r="121" spans="1:4">
      <c r="A121" s="2277"/>
      <c r="B121" s="2062" t="s">
        <v>1953</v>
      </c>
      <c r="C121" s="2062" t="s">
        <v>1954</v>
      </c>
      <c r="D121" s="2063">
        <v>2000000</v>
      </c>
    </row>
    <row r="122" spans="1:4" ht="46.8">
      <c r="A122" s="2277"/>
      <c r="B122" s="2062" t="s">
        <v>1735</v>
      </c>
      <c r="C122" s="2062" t="s">
        <v>1883</v>
      </c>
      <c r="D122" s="2063">
        <v>800000</v>
      </c>
    </row>
    <row r="123" spans="1:4">
      <c r="A123" s="2277"/>
      <c r="B123" s="2062" t="s">
        <v>1833</v>
      </c>
      <c r="C123" s="2062" t="s">
        <v>1883</v>
      </c>
      <c r="D123" s="2063">
        <v>114279</v>
      </c>
    </row>
    <row r="124" spans="1:4">
      <c r="A124" s="2277"/>
      <c r="B124" s="2062" t="s">
        <v>1955</v>
      </c>
      <c r="C124" s="2062" t="s">
        <v>1937</v>
      </c>
      <c r="D124" s="2063">
        <v>6000000</v>
      </c>
    </row>
    <row r="125" spans="1:4" ht="31.2">
      <c r="A125" s="2277"/>
      <c r="B125" s="2062" t="s">
        <v>1471</v>
      </c>
      <c r="C125" s="2062" t="s">
        <v>1883</v>
      </c>
      <c r="D125" s="2063">
        <v>500000</v>
      </c>
    </row>
    <row r="126" spans="1:4">
      <c r="A126" s="2277"/>
      <c r="B126" s="2062" t="s">
        <v>1472</v>
      </c>
      <c r="C126" s="2062" t="s">
        <v>1883</v>
      </c>
      <c r="D126" s="2063">
        <v>500000</v>
      </c>
    </row>
    <row r="127" spans="1:4">
      <c r="A127" s="2277"/>
      <c r="B127" s="2060" t="s">
        <v>929</v>
      </c>
      <c r="C127" s="2062"/>
      <c r="D127" s="2064">
        <f>SUM(D110:D126)</f>
        <v>186943726</v>
      </c>
    </row>
    <row r="128" spans="1:4">
      <c r="A128" s="2277" t="s">
        <v>1256</v>
      </c>
      <c r="B128" s="2062" t="s">
        <v>1956</v>
      </c>
      <c r="C128" s="2062" t="s">
        <v>1887</v>
      </c>
      <c r="D128" s="2063">
        <v>2216000</v>
      </c>
    </row>
    <row r="129" spans="1:4">
      <c r="A129" s="2277"/>
      <c r="B129" s="2062" t="s">
        <v>1481</v>
      </c>
      <c r="C129" s="2062" t="s">
        <v>1913</v>
      </c>
      <c r="D129" s="2063">
        <v>2000000</v>
      </c>
    </row>
    <row r="130" spans="1:4" ht="46.8">
      <c r="A130" s="2277"/>
      <c r="B130" s="2062" t="s">
        <v>1957</v>
      </c>
      <c r="C130" s="2062" t="s">
        <v>1883</v>
      </c>
      <c r="D130" s="2063">
        <v>21000000</v>
      </c>
    </row>
    <row r="131" spans="1:4">
      <c r="A131" s="2277"/>
      <c r="B131" s="2062" t="s">
        <v>1958</v>
      </c>
      <c r="C131" s="2062" t="s">
        <v>1959</v>
      </c>
      <c r="D131" s="2063">
        <v>10000000</v>
      </c>
    </row>
    <row r="132" spans="1:4">
      <c r="A132" s="2277"/>
      <c r="B132" s="2062" t="s">
        <v>1487</v>
      </c>
      <c r="C132" s="2062" t="s">
        <v>1913</v>
      </c>
      <c r="D132" s="2063">
        <v>500000</v>
      </c>
    </row>
    <row r="133" spans="1:4">
      <c r="A133" s="2277"/>
      <c r="B133" s="2062" t="s">
        <v>1960</v>
      </c>
      <c r="C133" s="2062" t="s">
        <v>1913</v>
      </c>
      <c r="D133" s="2063">
        <v>5000000</v>
      </c>
    </row>
    <row r="134" spans="1:4">
      <c r="A134" s="2277"/>
      <c r="B134" s="2062" t="s">
        <v>1961</v>
      </c>
      <c r="C134" s="2062" t="s">
        <v>1883</v>
      </c>
      <c r="D134" s="2063">
        <v>2659406</v>
      </c>
    </row>
    <row r="135" spans="1:4" ht="31.2">
      <c r="A135" s="2277"/>
      <c r="B135" s="2062" t="s">
        <v>1962</v>
      </c>
      <c r="C135" s="2062" t="s">
        <v>1894</v>
      </c>
      <c r="D135" s="2063">
        <v>10185000</v>
      </c>
    </row>
    <row r="136" spans="1:4">
      <c r="A136" s="2277"/>
      <c r="B136" s="2060" t="s">
        <v>929</v>
      </c>
      <c r="C136" s="2062"/>
      <c r="D136" s="2064">
        <f>SUM(D128:D135)</f>
        <v>53560406</v>
      </c>
    </row>
    <row r="137" spans="1:4">
      <c r="A137" s="2277" t="s">
        <v>1257</v>
      </c>
      <c r="B137" s="2062" t="s">
        <v>1667</v>
      </c>
      <c r="C137" s="2062" t="s">
        <v>1883</v>
      </c>
      <c r="D137" s="2063">
        <v>20000000</v>
      </c>
    </row>
    <row r="138" spans="1:4">
      <c r="A138" s="2277"/>
      <c r="B138" s="2062" t="s">
        <v>1510</v>
      </c>
      <c r="C138" s="2062" t="s">
        <v>1883</v>
      </c>
      <c r="D138" s="2063">
        <v>37500000</v>
      </c>
    </row>
    <row r="139" spans="1:4">
      <c r="A139" s="2277"/>
      <c r="B139" s="2060" t="s">
        <v>929</v>
      </c>
      <c r="C139" s="2062"/>
      <c r="D139" s="2064">
        <f>SUM(D137:D138)</f>
        <v>57500000</v>
      </c>
    </row>
    <row r="140" spans="1:4">
      <c r="A140" s="2277" t="s">
        <v>660</v>
      </c>
      <c r="B140" s="2062" t="s">
        <v>1963</v>
      </c>
      <c r="C140" s="2062" t="s">
        <v>1887</v>
      </c>
      <c r="D140" s="2063">
        <v>10000000</v>
      </c>
    </row>
    <row r="141" spans="1:4">
      <c r="A141" s="2277"/>
      <c r="B141" s="2060" t="s">
        <v>929</v>
      </c>
      <c r="C141" s="2062"/>
      <c r="D141" s="2064">
        <f>SUM(D140)</f>
        <v>10000000</v>
      </c>
    </row>
    <row r="142" spans="1:4">
      <c r="A142" s="2277" t="s">
        <v>676</v>
      </c>
      <c r="B142" s="2062" t="s">
        <v>1964</v>
      </c>
      <c r="C142" s="2062" t="s">
        <v>1883</v>
      </c>
      <c r="D142" s="2065">
        <v>5000000</v>
      </c>
    </row>
    <row r="143" spans="1:4">
      <c r="A143" s="2277"/>
      <c r="B143" s="2060" t="s">
        <v>929</v>
      </c>
      <c r="C143" s="2062"/>
      <c r="D143" s="2066">
        <f>SUM(D142)</f>
        <v>5000000</v>
      </c>
    </row>
    <row r="144" spans="1:4" ht="31.2">
      <c r="A144" s="2277" t="s">
        <v>678</v>
      </c>
      <c r="B144" s="2062" t="s">
        <v>1355</v>
      </c>
      <c r="C144" s="2062" t="s">
        <v>1887</v>
      </c>
      <c r="D144" s="2063">
        <v>17100000</v>
      </c>
    </row>
    <row r="145" spans="1:4" ht="31.2">
      <c r="A145" s="2277"/>
      <c r="B145" s="2062" t="s">
        <v>1356</v>
      </c>
      <c r="C145" s="2062" t="s">
        <v>1887</v>
      </c>
      <c r="D145" s="2063">
        <v>6000000</v>
      </c>
    </row>
    <row r="146" spans="1:4">
      <c r="A146" s="2277"/>
      <c r="B146" s="2062" t="s">
        <v>1357</v>
      </c>
      <c r="C146" s="2062" t="s">
        <v>1887</v>
      </c>
      <c r="D146" s="2063">
        <v>1500000</v>
      </c>
    </row>
    <row r="147" spans="1:4">
      <c r="A147" s="2277"/>
      <c r="B147" s="2062" t="s">
        <v>1361</v>
      </c>
      <c r="C147" s="2062" t="s">
        <v>1887</v>
      </c>
      <c r="D147" s="2063">
        <v>1500000</v>
      </c>
    </row>
    <row r="148" spans="1:4">
      <c r="A148" s="2277"/>
      <c r="B148" s="2062" t="s">
        <v>1362</v>
      </c>
      <c r="C148" s="2062" t="s">
        <v>1887</v>
      </c>
      <c r="D148" s="2063">
        <v>2800000</v>
      </c>
    </row>
    <row r="149" spans="1:4" ht="31.2">
      <c r="A149" s="2277"/>
      <c r="B149" s="2062" t="s">
        <v>1365</v>
      </c>
      <c r="C149" s="2062" t="s">
        <v>1887</v>
      </c>
      <c r="D149" s="2063">
        <v>2500000</v>
      </c>
    </row>
    <row r="150" spans="1:4" ht="31.2">
      <c r="A150" s="2277"/>
      <c r="B150" s="2062" t="s">
        <v>1366</v>
      </c>
      <c r="C150" s="2062" t="s">
        <v>1887</v>
      </c>
      <c r="D150" s="2063">
        <v>20000000</v>
      </c>
    </row>
    <row r="151" spans="1:4" ht="31.2">
      <c r="A151" s="2277"/>
      <c r="B151" s="2062" t="s">
        <v>1965</v>
      </c>
      <c r="C151" s="2062" t="s">
        <v>1887</v>
      </c>
      <c r="D151" s="2063">
        <v>4500000</v>
      </c>
    </row>
    <row r="152" spans="1:4" ht="31.2">
      <c r="A152" s="2277"/>
      <c r="B152" s="2062" t="s">
        <v>1368</v>
      </c>
      <c r="C152" s="2062" t="s">
        <v>1887</v>
      </c>
      <c r="D152" s="2063">
        <v>9000000</v>
      </c>
    </row>
    <row r="153" spans="1:4" ht="31.2">
      <c r="A153" s="2277"/>
      <c r="B153" s="2062" t="s">
        <v>1369</v>
      </c>
      <c r="C153" s="2062" t="s">
        <v>1887</v>
      </c>
      <c r="D153" s="2063">
        <v>6500000</v>
      </c>
    </row>
    <row r="154" spans="1:4" ht="31.2">
      <c r="A154" s="2277"/>
      <c r="B154" s="2062" t="s">
        <v>1370</v>
      </c>
      <c r="C154" s="2062" t="s">
        <v>1887</v>
      </c>
      <c r="D154" s="2063">
        <v>3000000</v>
      </c>
    </row>
    <row r="155" spans="1:4" ht="31.2">
      <c r="A155" s="2277"/>
      <c r="B155" s="2062" t="s">
        <v>1371</v>
      </c>
      <c r="C155" s="2062" t="s">
        <v>1887</v>
      </c>
      <c r="D155" s="2063">
        <v>2000000</v>
      </c>
    </row>
    <row r="156" spans="1:4">
      <c r="A156" s="2277"/>
      <c r="B156" s="2062" t="s">
        <v>1372</v>
      </c>
      <c r="C156" s="2062" t="s">
        <v>1887</v>
      </c>
      <c r="D156" s="2063">
        <v>1800000</v>
      </c>
    </row>
    <row r="157" spans="1:4" ht="31.2">
      <c r="A157" s="2277"/>
      <c r="B157" s="2062" t="s">
        <v>1376</v>
      </c>
      <c r="C157" s="2062" t="s">
        <v>1887</v>
      </c>
      <c r="D157" s="2063">
        <v>2561711</v>
      </c>
    </row>
    <row r="158" spans="1:4" ht="31.2">
      <c r="A158" s="2277"/>
      <c r="B158" s="2062" t="s">
        <v>1377</v>
      </c>
      <c r="C158" s="2062" t="s">
        <v>1887</v>
      </c>
      <c r="D158" s="2063">
        <v>500000</v>
      </c>
    </row>
    <row r="159" spans="1:4" ht="31.2">
      <c r="A159" s="2277"/>
      <c r="B159" s="2062" t="s">
        <v>1378</v>
      </c>
      <c r="C159" s="2062" t="s">
        <v>1887</v>
      </c>
      <c r="D159" s="2063">
        <v>2800000</v>
      </c>
    </row>
    <row r="160" spans="1:4">
      <c r="A160" s="2277"/>
      <c r="B160" s="2062" t="s">
        <v>1379</v>
      </c>
      <c r="C160" s="2062" t="s">
        <v>1887</v>
      </c>
      <c r="D160" s="2063">
        <v>1200000</v>
      </c>
    </row>
    <row r="161" spans="1:4">
      <c r="A161" s="2277"/>
      <c r="B161" s="2060" t="s">
        <v>929</v>
      </c>
      <c r="C161" s="2062"/>
      <c r="D161" s="2064">
        <f>SUM(D144:D160)</f>
        <v>85261711</v>
      </c>
    </row>
    <row r="162" spans="1:4">
      <c r="A162" s="2277" t="s">
        <v>715</v>
      </c>
      <c r="B162" s="2062" t="s">
        <v>1966</v>
      </c>
      <c r="C162" s="2062" t="s">
        <v>1967</v>
      </c>
      <c r="D162" s="2063">
        <v>5000000</v>
      </c>
    </row>
    <row r="163" spans="1:4">
      <c r="A163" s="2277"/>
      <c r="B163" s="2062" t="s">
        <v>1968</v>
      </c>
      <c r="C163" s="2062" t="s">
        <v>1967</v>
      </c>
      <c r="D163" s="2063">
        <v>1000000</v>
      </c>
    </row>
    <row r="164" spans="1:4" ht="31.2">
      <c r="A164" s="2277"/>
      <c r="B164" s="2062" t="s">
        <v>1384</v>
      </c>
      <c r="C164" s="2062" t="s">
        <v>1967</v>
      </c>
      <c r="D164" s="2063">
        <v>500000</v>
      </c>
    </row>
    <row r="165" spans="1:4">
      <c r="A165" s="2277"/>
      <c r="B165" s="2062" t="s">
        <v>1969</v>
      </c>
      <c r="C165" s="2062" t="s">
        <v>1967</v>
      </c>
      <c r="D165" s="2063">
        <v>2000000</v>
      </c>
    </row>
    <row r="166" spans="1:4" ht="31.2">
      <c r="A166" s="2277"/>
      <c r="B166" s="2062" t="s">
        <v>1970</v>
      </c>
      <c r="C166" s="2062" t="s">
        <v>1967</v>
      </c>
      <c r="D166" s="2063">
        <v>6000000</v>
      </c>
    </row>
    <row r="167" spans="1:4">
      <c r="A167" s="2277"/>
      <c r="B167" s="2062" t="s">
        <v>1971</v>
      </c>
      <c r="C167" s="2062" t="s">
        <v>1967</v>
      </c>
      <c r="D167" s="2063">
        <v>2500000</v>
      </c>
    </row>
    <row r="168" spans="1:4" ht="31.2">
      <c r="A168" s="2277"/>
      <c r="B168" s="2062" t="s">
        <v>1972</v>
      </c>
      <c r="C168" s="2062" t="s">
        <v>1967</v>
      </c>
      <c r="D168" s="2063">
        <v>2500000</v>
      </c>
    </row>
    <row r="169" spans="1:4">
      <c r="A169" s="2277"/>
      <c r="B169" s="2062" t="s">
        <v>1973</v>
      </c>
      <c r="C169" s="2062" t="s">
        <v>1967</v>
      </c>
      <c r="D169" s="2063">
        <v>2000000</v>
      </c>
    </row>
    <row r="170" spans="1:4" ht="31.2">
      <c r="A170" s="2277"/>
      <c r="B170" s="2062" t="s">
        <v>1974</v>
      </c>
      <c r="C170" s="2062" t="s">
        <v>1967</v>
      </c>
      <c r="D170" s="2063">
        <v>4000000</v>
      </c>
    </row>
    <row r="171" spans="1:4" ht="31.2">
      <c r="A171" s="2277"/>
      <c r="B171" s="2062" t="s">
        <v>1975</v>
      </c>
      <c r="C171" s="2062" t="s">
        <v>1967</v>
      </c>
      <c r="D171" s="2063">
        <v>2000000</v>
      </c>
    </row>
    <row r="172" spans="1:4">
      <c r="A172" s="2277"/>
      <c r="B172" s="2060" t="s">
        <v>929</v>
      </c>
      <c r="C172" s="2062"/>
      <c r="D172" s="2064">
        <f>SUM(D162:D171)</f>
        <v>27500000</v>
      </c>
    </row>
    <row r="173" spans="1:4">
      <c r="A173" s="2277" t="s">
        <v>1258</v>
      </c>
      <c r="B173" s="2062" t="s">
        <v>1328</v>
      </c>
      <c r="C173" s="2062" t="s">
        <v>1883</v>
      </c>
      <c r="D173" s="2065">
        <v>654363</v>
      </c>
    </row>
    <row r="174" spans="1:4">
      <c r="A174" s="2277"/>
      <c r="B174" s="2062" t="s">
        <v>758</v>
      </c>
      <c r="C174" s="2062" t="s">
        <v>1883</v>
      </c>
      <c r="D174" s="2065">
        <v>121025000</v>
      </c>
    </row>
    <row r="175" spans="1:4" ht="31.2">
      <c r="A175" s="2277"/>
      <c r="B175" s="2062" t="s">
        <v>759</v>
      </c>
      <c r="C175" s="2062" t="s">
        <v>1883</v>
      </c>
      <c r="D175" s="2065">
        <v>1065446</v>
      </c>
    </row>
    <row r="176" spans="1:4" ht="31.2">
      <c r="A176" s="2277"/>
      <c r="B176" s="2062" t="s">
        <v>766</v>
      </c>
      <c r="C176" s="2062" t="s">
        <v>1883</v>
      </c>
      <c r="D176" s="2065">
        <v>4619106</v>
      </c>
    </row>
    <row r="177" spans="1:4">
      <c r="A177" s="2277"/>
      <c r="B177" s="2062" t="s">
        <v>1332</v>
      </c>
      <c r="C177" s="2062" t="s">
        <v>1883</v>
      </c>
      <c r="D177" s="2065">
        <v>90000</v>
      </c>
    </row>
    <row r="178" spans="1:4">
      <c r="A178" s="2277"/>
      <c r="B178" s="2062" t="s">
        <v>767</v>
      </c>
      <c r="C178" s="2062" t="s">
        <v>1883</v>
      </c>
      <c r="D178" s="2065">
        <v>151515152</v>
      </c>
    </row>
    <row r="179" spans="1:4">
      <c r="A179" s="2277"/>
      <c r="B179" s="2062" t="s">
        <v>1333</v>
      </c>
      <c r="C179" s="2062" t="s">
        <v>1883</v>
      </c>
      <c r="D179" s="2065">
        <v>11500000</v>
      </c>
    </row>
    <row r="180" spans="1:4">
      <c r="A180" s="2277"/>
      <c r="B180" s="2062" t="s">
        <v>192</v>
      </c>
      <c r="C180" s="2062" t="s">
        <v>1887</v>
      </c>
      <c r="D180" s="2065">
        <v>15000000</v>
      </c>
    </row>
    <row r="181" spans="1:4" ht="31.2">
      <c r="A181" s="2277"/>
      <c r="B181" s="2062" t="s">
        <v>1976</v>
      </c>
      <c r="C181" s="2062" t="s">
        <v>1887</v>
      </c>
      <c r="D181" s="2065">
        <v>771406</v>
      </c>
    </row>
    <row r="182" spans="1:4">
      <c r="A182" s="2277"/>
      <c r="B182" s="2062" t="s">
        <v>1977</v>
      </c>
      <c r="C182" s="2062" t="s">
        <v>1887</v>
      </c>
      <c r="D182" s="2065">
        <v>1000000</v>
      </c>
    </row>
    <row r="183" spans="1:4">
      <c r="A183" s="2277"/>
      <c r="B183" s="2062" t="s">
        <v>1978</v>
      </c>
      <c r="C183" s="2062" t="s">
        <v>1887</v>
      </c>
      <c r="D183" s="2065">
        <v>5412055</v>
      </c>
    </row>
    <row r="184" spans="1:4">
      <c r="A184" s="2277"/>
      <c r="B184" s="2062" t="s">
        <v>1979</v>
      </c>
      <c r="C184" s="2062" t="s">
        <v>1887</v>
      </c>
      <c r="D184" s="2065">
        <v>1500000</v>
      </c>
    </row>
    <row r="185" spans="1:4" ht="31.2">
      <c r="A185" s="2277"/>
      <c r="B185" s="2062" t="s">
        <v>780</v>
      </c>
      <c r="C185" s="2062" t="s">
        <v>1887</v>
      </c>
      <c r="D185" s="2065">
        <v>649013</v>
      </c>
    </row>
    <row r="186" spans="1:4">
      <c r="A186" s="2277"/>
      <c r="B186" s="2062" t="s">
        <v>1980</v>
      </c>
      <c r="C186" s="2062" t="s">
        <v>1883</v>
      </c>
      <c r="D186" s="2065">
        <v>3453655</v>
      </c>
    </row>
    <row r="187" spans="1:4">
      <c r="A187" s="2277"/>
      <c r="B187" s="2062" t="s">
        <v>1343</v>
      </c>
      <c r="C187" s="2062" t="s">
        <v>1883</v>
      </c>
      <c r="D187" s="2065">
        <v>2218400</v>
      </c>
    </row>
    <row r="188" spans="1:4">
      <c r="A188" s="2277"/>
      <c r="B188" s="2062" t="s">
        <v>1344</v>
      </c>
      <c r="C188" s="2062" t="s">
        <v>1883</v>
      </c>
      <c r="D188" s="2065">
        <v>2480000</v>
      </c>
    </row>
    <row r="189" spans="1:4" ht="31.2">
      <c r="A189" s="2277"/>
      <c r="B189" s="2062" t="s">
        <v>1345</v>
      </c>
      <c r="C189" s="2062" t="s">
        <v>1883</v>
      </c>
      <c r="D189" s="2065">
        <v>3000000</v>
      </c>
    </row>
    <row r="190" spans="1:4">
      <c r="A190" s="2277"/>
      <c r="B190" s="2062" t="s">
        <v>1346</v>
      </c>
      <c r="C190" s="2062" t="s">
        <v>1883</v>
      </c>
      <c r="D190" s="2065">
        <v>1000000</v>
      </c>
    </row>
    <row r="191" spans="1:4" ht="31.2">
      <c r="A191" s="2277"/>
      <c r="B191" s="2062" t="s">
        <v>1981</v>
      </c>
      <c r="C191" s="2062" t="s">
        <v>1883</v>
      </c>
      <c r="D191" s="2065">
        <v>1200000</v>
      </c>
    </row>
    <row r="192" spans="1:4">
      <c r="A192" s="2277"/>
      <c r="B192" s="2062" t="s">
        <v>1348</v>
      </c>
      <c r="C192" s="2062" t="s">
        <v>1883</v>
      </c>
      <c r="D192" s="2065">
        <v>2000000</v>
      </c>
    </row>
    <row r="193" spans="1:4">
      <c r="A193" s="2277"/>
      <c r="B193" s="2062" t="s">
        <v>1778</v>
      </c>
      <c r="C193" s="2062" t="s">
        <v>1887</v>
      </c>
      <c r="D193" s="2065">
        <v>2000000</v>
      </c>
    </row>
    <row r="194" spans="1:4">
      <c r="A194" s="2277"/>
      <c r="B194" s="2062" t="s">
        <v>1779</v>
      </c>
      <c r="C194" s="2062" t="s">
        <v>1883</v>
      </c>
      <c r="D194" s="2065">
        <v>1050487</v>
      </c>
    </row>
    <row r="195" spans="1:4">
      <c r="A195" s="2277"/>
      <c r="B195" s="2060" t="s">
        <v>929</v>
      </c>
      <c r="C195" s="2062" t="s">
        <v>1883</v>
      </c>
      <c r="D195" s="2066">
        <f>SUM(D173:D194)</f>
        <v>333204083</v>
      </c>
    </row>
    <row r="196" spans="1:4">
      <c r="A196" s="2277" t="s">
        <v>1259</v>
      </c>
      <c r="B196" s="2062" t="s">
        <v>1982</v>
      </c>
      <c r="C196" s="2062" t="s">
        <v>1887</v>
      </c>
      <c r="D196" s="2063">
        <v>1900000</v>
      </c>
    </row>
    <row r="197" spans="1:4">
      <c r="A197" s="2277"/>
      <c r="B197" s="2062" t="s">
        <v>1983</v>
      </c>
      <c r="C197" s="2062" t="s">
        <v>1883</v>
      </c>
      <c r="D197" s="2063">
        <v>4500000</v>
      </c>
    </row>
    <row r="198" spans="1:4">
      <c r="A198" s="2277"/>
      <c r="B198" s="2062" t="s">
        <v>1984</v>
      </c>
      <c r="C198" s="2062" t="s">
        <v>1883</v>
      </c>
      <c r="D198" s="2063">
        <v>2000000</v>
      </c>
    </row>
    <row r="199" spans="1:4" ht="31.2">
      <c r="A199" s="2277"/>
      <c r="B199" s="2062" t="s">
        <v>1985</v>
      </c>
      <c r="C199" s="2062" t="s">
        <v>1883</v>
      </c>
      <c r="D199" s="2063">
        <v>7400000</v>
      </c>
    </row>
    <row r="200" spans="1:4">
      <c r="A200" s="2277"/>
      <c r="B200" s="2062" t="s">
        <v>1399</v>
      </c>
      <c r="C200" s="2062" t="s">
        <v>1883</v>
      </c>
      <c r="D200" s="2063">
        <v>1000000</v>
      </c>
    </row>
    <row r="201" spans="1:4">
      <c r="A201" s="2277"/>
      <c r="B201" s="2062" t="s">
        <v>1400</v>
      </c>
      <c r="C201" s="2062" t="s">
        <v>1883</v>
      </c>
      <c r="D201" s="2063">
        <v>2300000</v>
      </c>
    </row>
    <row r="202" spans="1:4">
      <c r="A202" s="2277"/>
      <c r="B202" s="2062" t="s">
        <v>1401</v>
      </c>
      <c r="C202" s="2062" t="s">
        <v>1883</v>
      </c>
      <c r="D202" s="2063">
        <v>1531598</v>
      </c>
    </row>
    <row r="203" spans="1:4" ht="31.2">
      <c r="A203" s="2277"/>
      <c r="B203" s="2062" t="s">
        <v>1402</v>
      </c>
      <c r="C203" s="2062" t="s">
        <v>1883</v>
      </c>
      <c r="D203" s="2063">
        <v>2812127</v>
      </c>
    </row>
    <row r="204" spans="1:4" ht="31.2">
      <c r="A204" s="2277"/>
      <c r="B204" s="2062" t="s">
        <v>1403</v>
      </c>
      <c r="C204" s="2062" t="s">
        <v>1883</v>
      </c>
      <c r="D204" s="2063">
        <v>8000000</v>
      </c>
    </row>
    <row r="205" spans="1:4" ht="46.8">
      <c r="A205" s="2277"/>
      <c r="B205" s="2062" t="s">
        <v>1986</v>
      </c>
      <c r="C205" s="2062" t="s">
        <v>1883</v>
      </c>
      <c r="D205" s="2063">
        <v>15000000</v>
      </c>
    </row>
    <row r="206" spans="1:4">
      <c r="A206" s="2277"/>
      <c r="B206" s="2062" t="s">
        <v>1404</v>
      </c>
      <c r="C206" s="2062" t="s">
        <v>1913</v>
      </c>
      <c r="D206" s="2063">
        <v>5000000</v>
      </c>
    </row>
    <row r="207" spans="1:4" ht="31.2">
      <c r="A207" s="2277"/>
      <c r="B207" s="2062" t="s">
        <v>1405</v>
      </c>
      <c r="C207" s="2062" t="s">
        <v>1883</v>
      </c>
      <c r="D207" s="2063">
        <v>5000000</v>
      </c>
    </row>
    <row r="208" spans="1:4" ht="31.2">
      <c r="A208" s="2277"/>
      <c r="B208" s="2062" t="s">
        <v>1406</v>
      </c>
      <c r="C208" s="2062" t="s">
        <v>1883</v>
      </c>
      <c r="D208" s="2063">
        <v>33000000</v>
      </c>
    </row>
    <row r="209" spans="1:4">
      <c r="A209" s="2277"/>
      <c r="B209" s="2062" t="s">
        <v>1407</v>
      </c>
      <c r="C209" s="2062" t="s">
        <v>1883</v>
      </c>
      <c r="D209" s="2063">
        <v>100000000</v>
      </c>
    </row>
    <row r="210" spans="1:4">
      <c r="A210" s="2277"/>
      <c r="B210" s="2062" t="s">
        <v>1408</v>
      </c>
      <c r="C210" s="2062" t="s">
        <v>1883</v>
      </c>
      <c r="D210" s="2063">
        <v>8000000</v>
      </c>
    </row>
    <row r="211" spans="1:4">
      <c r="A211" s="2277"/>
      <c r="B211" s="2062" t="s">
        <v>1409</v>
      </c>
      <c r="C211" s="2062" t="s">
        <v>1889</v>
      </c>
      <c r="D211" s="2063">
        <v>4000000</v>
      </c>
    </row>
    <row r="212" spans="1:4" ht="31.2">
      <c r="A212" s="2277"/>
      <c r="B212" s="2062" t="s">
        <v>1410</v>
      </c>
      <c r="C212" s="2062" t="s">
        <v>1883</v>
      </c>
      <c r="D212" s="2063">
        <v>4000000</v>
      </c>
    </row>
    <row r="213" spans="1:4">
      <c r="A213" s="2277"/>
      <c r="B213" s="2062" t="s">
        <v>1411</v>
      </c>
      <c r="C213" s="2062" t="s">
        <v>1883</v>
      </c>
      <c r="D213" s="2063">
        <v>35000000</v>
      </c>
    </row>
    <row r="214" spans="1:4" ht="31.2">
      <c r="A214" s="2277"/>
      <c r="B214" s="2062" t="s">
        <v>1412</v>
      </c>
      <c r="C214" s="2062" t="s">
        <v>1883</v>
      </c>
      <c r="D214" s="2063">
        <v>11500000</v>
      </c>
    </row>
    <row r="215" spans="1:4">
      <c r="A215" s="2277"/>
      <c r="B215" s="2060" t="s">
        <v>929</v>
      </c>
      <c r="C215" s="2060"/>
      <c r="D215" s="2064">
        <f>SUM(D196:D214)</f>
        <v>251943725</v>
      </c>
    </row>
    <row r="216" spans="1:4">
      <c r="A216" s="2277"/>
      <c r="B216" s="2060" t="s">
        <v>1987</v>
      </c>
      <c r="C216" s="2060"/>
      <c r="D216" s="2064">
        <f>SUM(D215,D195,D172,D161,D143,D141,D139,D136,D127,D109,D92,D61,D45,D34,D23,D12)</f>
        <v>3862618893</v>
      </c>
    </row>
  </sheetData>
  <mergeCells count="24">
    <mergeCell ref="A3:A12"/>
    <mergeCell ref="C21:C22"/>
    <mergeCell ref="A140:A141"/>
    <mergeCell ref="A24:A34"/>
    <mergeCell ref="A137:A139"/>
    <mergeCell ref="A93:A109"/>
    <mergeCell ref="A128:A136"/>
    <mergeCell ref="C102:C103"/>
    <mergeCell ref="C16:C17"/>
    <mergeCell ref="D16:D17"/>
    <mergeCell ref="D104:D107"/>
    <mergeCell ref="D102:D103"/>
    <mergeCell ref="A162:A172"/>
    <mergeCell ref="A13:A23"/>
    <mergeCell ref="A46:A61"/>
    <mergeCell ref="A144:A161"/>
    <mergeCell ref="A142:A143"/>
    <mergeCell ref="C104:C107"/>
    <mergeCell ref="A196:A216"/>
    <mergeCell ref="A35:A45"/>
    <mergeCell ref="A62:A92"/>
    <mergeCell ref="A110:A127"/>
    <mergeCell ref="D21:D22"/>
    <mergeCell ref="A173:A195"/>
  </mergeCells>
  <pageMargins left="0.70866141732283472" right="0.70866141732283472" top="0.74803149606299213" bottom="0.74803149606299213" header="0.31496062992125984" footer="0.31496062992125984"/>
  <pageSetup paperSize="9" scale="77" orientation="landscape"/>
  <headerFooter>
    <oddHeader>&amp;A</oddHeader>
    <oddFoote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workbookViewId="0">
      <selection activeCell="F13" sqref="F13"/>
    </sheetView>
  </sheetViews>
  <sheetFormatPr defaultColWidth="10" defaultRowHeight="14.4"/>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E598"/>
  </sheetPr>
  <dimension ref="A1:I6"/>
  <sheetViews>
    <sheetView zoomScale="55" workbookViewId="0">
      <selection activeCell="A9" sqref="A9"/>
    </sheetView>
  </sheetViews>
  <sheetFormatPr defaultColWidth="8.88671875" defaultRowHeight="61.2"/>
  <cols>
    <col min="1" max="1" width="118.44140625" style="2068" bestFit="1" customWidth="1"/>
    <col min="2" max="2" width="61.5546875" style="2069" bestFit="1" customWidth="1"/>
    <col min="3" max="3" width="40.5546875" style="2068" customWidth="1"/>
    <col min="4" max="4" width="16.5546875" style="2068" bestFit="1" customWidth="1"/>
    <col min="5" max="5" width="33.44140625" style="2068" customWidth="1"/>
    <col min="6" max="6" width="12.109375" style="2068" bestFit="1" customWidth="1"/>
    <col min="7" max="8" width="8.88671875" style="2068"/>
    <col min="9" max="9" width="35.44140625" style="2068" bestFit="1" customWidth="1"/>
    <col min="10" max="16384" width="8.88671875" style="2068"/>
  </cols>
  <sheetData>
    <row r="1" spans="1:9" ht="93.6">
      <c r="A1" s="2068" t="s">
        <v>1809</v>
      </c>
      <c r="B1" s="2069">
        <f>185000*40</f>
        <v>7400000</v>
      </c>
      <c r="C1" s="2070" t="s">
        <v>1814</v>
      </c>
      <c r="E1" s="2071">
        <v>185000</v>
      </c>
      <c r="F1" s="2071">
        <v>40</v>
      </c>
      <c r="G1" s="2071"/>
      <c r="H1" s="2071"/>
      <c r="I1" s="2071">
        <f>E1*F1</f>
        <v>7400000</v>
      </c>
    </row>
    <row r="2" spans="1:9" ht="163.80000000000001">
      <c r="A2" s="2068" t="s">
        <v>1810</v>
      </c>
      <c r="B2" s="2069">
        <v>15000000</v>
      </c>
      <c r="C2" s="2070" t="s">
        <v>1815</v>
      </c>
    </row>
    <row r="3" spans="1:9">
      <c r="A3" s="2068" t="s">
        <v>1811</v>
      </c>
      <c r="B3" s="2069">
        <v>20000000</v>
      </c>
      <c r="C3" s="2068">
        <v>690</v>
      </c>
      <c r="D3" s="2068">
        <v>710</v>
      </c>
      <c r="E3" s="2072">
        <f>D3/40</f>
        <v>17.75</v>
      </c>
      <c r="F3" s="2073" t="s">
        <v>1830</v>
      </c>
    </row>
    <row r="4" spans="1:9">
      <c r="A4" s="2068" t="s">
        <v>1812</v>
      </c>
      <c r="B4" s="2069">
        <v>15000000</v>
      </c>
      <c r="C4" s="2068" t="s">
        <v>1829</v>
      </c>
    </row>
    <row r="5" spans="1:9">
      <c r="A5" s="2068" t="s">
        <v>1813</v>
      </c>
      <c r="B5" s="2069">
        <v>13000000</v>
      </c>
    </row>
    <row r="6" spans="1:9">
      <c r="B6" s="2074">
        <f>SUM(B1:B5)</f>
        <v>70400000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B2:H22"/>
  <sheetViews>
    <sheetView topLeftCell="F1" zoomScale="190" workbookViewId="0">
      <selection activeCell="G8" sqref="G8"/>
    </sheetView>
  </sheetViews>
  <sheetFormatPr defaultColWidth="10" defaultRowHeight="14.4"/>
  <cols>
    <col min="2" max="2" width="60" bestFit="1" customWidth="1"/>
    <col min="3" max="3" width="20" style="2075" customWidth="1"/>
    <col min="4" max="4" width="16.109375" style="2075" customWidth="1"/>
    <col min="5" max="5" width="14.44140625" style="2076" bestFit="1" customWidth="1"/>
    <col min="7" max="7" width="60" bestFit="1" customWidth="1"/>
    <col min="8" max="8" width="12" bestFit="1" customWidth="1"/>
  </cols>
  <sheetData>
    <row r="2" spans="2:8">
      <c r="C2" s="2075" t="s">
        <v>1826</v>
      </c>
      <c r="D2" s="2075" t="s">
        <v>1827</v>
      </c>
    </row>
    <row r="3" spans="2:8">
      <c r="B3" t="s">
        <v>0</v>
      </c>
      <c r="C3" s="2075" t="s">
        <v>1179</v>
      </c>
      <c r="E3" s="2076" t="s">
        <v>1828</v>
      </c>
    </row>
    <row r="5" spans="2:8">
      <c r="B5" t="s">
        <v>1183</v>
      </c>
      <c r="C5" s="2075">
        <v>1925533602.674644</v>
      </c>
      <c r="D5" s="2075">
        <f>VLOOKUP(B5,$G$5:$H$21,2,FALSE)</f>
        <v>1909067092.7022419</v>
      </c>
      <c r="E5" s="2076">
        <f>C5-D5</f>
        <v>16466509.972402096</v>
      </c>
      <c r="F5">
        <v>-1</v>
      </c>
      <c r="G5" t="s">
        <v>1183</v>
      </c>
      <c r="H5">
        <v>1909067092.7022419</v>
      </c>
    </row>
    <row r="6" spans="2:8">
      <c r="B6" t="s">
        <v>1184</v>
      </c>
      <c r="C6" s="2075">
        <v>176408114.002</v>
      </c>
      <c r="D6" s="2075">
        <f t="shared" ref="D6:D20" si="0">VLOOKUP(B6,$G$5:$H$21,2,FALSE)</f>
        <v>182058113.86549664</v>
      </c>
      <c r="E6" s="2076">
        <f t="shared" ref="E6:E21" si="1">C6-D6</f>
        <v>-5649999.8634966314</v>
      </c>
      <c r="F6">
        <v>0</v>
      </c>
      <c r="G6" t="s">
        <v>1184</v>
      </c>
      <c r="H6">
        <v>182058113.86549664</v>
      </c>
    </row>
    <row r="7" spans="2:8">
      <c r="B7" t="s">
        <v>1185</v>
      </c>
      <c r="C7" s="2075">
        <v>694868994</v>
      </c>
      <c r="D7" s="2075">
        <f t="shared" si="0"/>
        <v>696093994.23204565</v>
      </c>
      <c r="E7" s="2076">
        <f t="shared" si="1"/>
        <v>-1225000.2320456505</v>
      </c>
      <c r="F7">
        <v>-2</v>
      </c>
      <c r="G7" t="s">
        <v>1185</v>
      </c>
      <c r="H7">
        <v>696093994.23204565</v>
      </c>
    </row>
    <row r="8" spans="2:8">
      <c r="B8" t="s">
        <v>1186</v>
      </c>
      <c r="C8" s="2075">
        <v>1020649265.9857476</v>
      </c>
      <c r="D8" s="2075">
        <f t="shared" si="0"/>
        <v>1022566264.9190922</v>
      </c>
      <c r="E8" s="2076">
        <f t="shared" si="1"/>
        <v>-1916998.9333446026</v>
      </c>
      <c r="F8">
        <v>0</v>
      </c>
      <c r="G8" t="s">
        <v>1186</v>
      </c>
      <c r="H8">
        <v>1022566264.9190922</v>
      </c>
    </row>
    <row r="9" spans="2:8">
      <c r="B9" t="s">
        <v>1187</v>
      </c>
      <c r="C9" s="2075">
        <v>873450905</v>
      </c>
      <c r="D9" s="2075">
        <f t="shared" si="0"/>
        <v>876630905.06921279</v>
      </c>
      <c r="E9" s="2076">
        <f t="shared" si="1"/>
        <v>-3180000.0692127943</v>
      </c>
      <c r="F9">
        <v>-2</v>
      </c>
      <c r="G9" t="s">
        <v>1187</v>
      </c>
      <c r="H9">
        <v>876630905.06921279</v>
      </c>
    </row>
    <row r="10" spans="2:8">
      <c r="B10" t="s">
        <v>1188</v>
      </c>
      <c r="C10" s="2075">
        <v>3818564851.6692944</v>
      </c>
      <c r="D10" s="2075">
        <f t="shared" si="0"/>
        <v>3822352686.3823357</v>
      </c>
      <c r="E10" s="2076">
        <f t="shared" si="1"/>
        <v>-3787834.7130413055</v>
      </c>
      <c r="F10">
        <v>-2</v>
      </c>
      <c r="G10" t="s">
        <v>1188</v>
      </c>
      <c r="H10">
        <v>3822352686.3823357</v>
      </c>
    </row>
    <row r="11" spans="2:8">
      <c r="B11" t="s">
        <v>1189</v>
      </c>
      <c r="C11" s="2075">
        <v>707891575</v>
      </c>
      <c r="D11" s="2075">
        <f t="shared" si="0"/>
        <v>710891574.75176752</v>
      </c>
      <c r="E11" s="2076">
        <f t="shared" si="1"/>
        <v>-2999999.7517675161</v>
      </c>
      <c r="F11">
        <v>-2</v>
      </c>
      <c r="G11" t="s">
        <v>1189</v>
      </c>
      <c r="H11">
        <v>710891574.75176752</v>
      </c>
    </row>
    <row r="12" spans="2:8">
      <c r="B12" t="s">
        <v>1190</v>
      </c>
      <c r="C12" s="2075">
        <v>310675070</v>
      </c>
      <c r="D12" s="2075">
        <f t="shared" si="0"/>
        <v>314675069.78875387</v>
      </c>
      <c r="E12" s="2076">
        <f t="shared" si="1"/>
        <v>-3999999.7887538671</v>
      </c>
      <c r="F12">
        <v>-1</v>
      </c>
      <c r="G12" t="s">
        <v>1190</v>
      </c>
      <c r="H12">
        <v>314675069.78875387</v>
      </c>
    </row>
    <row r="13" spans="2:8">
      <c r="B13" t="s">
        <v>1191</v>
      </c>
      <c r="C13" s="2075">
        <v>189141329.74000001</v>
      </c>
      <c r="D13" s="2075">
        <f t="shared" si="0"/>
        <v>174391329.79792771</v>
      </c>
      <c r="E13" s="2076">
        <f t="shared" si="1"/>
        <v>14749999.942072302</v>
      </c>
      <c r="F13">
        <v>-2</v>
      </c>
      <c r="G13" t="s">
        <v>1191</v>
      </c>
      <c r="H13">
        <v>174391329.79792771</v>
      </c>
    </row>
    <row r="14" spans="2:8">
      <c r="B14" t="s">
        <v>1192</v>
      </c>
      <c r="C14" s="2075">
        <v>541350579</v>
      </c>
      <c r="D14" s="2075">
        <f t="shared" si="0"/>
        <v>544350578.87097311</v>
      </c>
      <c r="E14" s="2076">
        <f t="shared" si="1"/>
        <v>-2999999.8709731102</v>
      </c>
      <c r="F14">
        <v>-2</v>
      </c>
      <c r="G14" t="s">
        <v>1192</v>
      </c>
      <c r="H14">
        <v>544350578.87097311</v>
      </c>
    </row>
    <row r="15" spans="2:8">
      <c r="B15" s="2077" t="s">
        <v>1161</v>
      </c>
      <c r="C15" s="2078">
        <v>70396658.048314273</v>
      </c>
      <c r="D15" s="2078">
        <f t="shared" si="0"/>
        <v>70396658</v>
      </c>
      <c r="E15" s="2079">
        <f t="shared" si="1"/>
        <v>4.8314273357391357E-2</v>
      </c>
      <c r="F15">
        <v>-2</v>
      </c>
      <c r="G15" t="s">
        <v>1193</v>
      </c>
      <c r="H15">
        <v>684013796.64750159</v>
      </c>
    </row>
    <row r="16" spans="2:8">
      <c r="B16" s="2077" t="s">
        <v>1164</v>
      </c>
      <c r="C16" s="2078">
        <v>1100630000</v>
      </c>
      <c r="D16" s="2078">
        <f t="shared" si="0"/>
        <v>1100630000</v>
      </c>
      <c r="E16" s="2079">
        <f t="shared" si="1"/>
        <v>0</v>
      </c>
      <c r="G16" t="s">
        <v>1194</v>
      </c>
      <c r="H16">
        <v>331012827.99265063</v>
      </c>
    </row>
    <row r="17" spans="2:8">
      <c r="B17" t="s">
        <v>1167</v>
      </c>
      <c r="C17" s="2075">
        <v>165458280</v>
      </c>
      <c r="D17" s="2075">
        <f t="shared" si="0"/>
        <v>172458280</v>
      </c>
      <c r="E17" s="2076">
        <f t="shared" si="1"/>
        <v>-7000000</v>
      </c>
      <c r="G17" t="s">
        <v>1161</v>
      </c>
      <c r="H17">
        <v>70396658</v>
      </c>
    </row>
    <row r="18" spans="2:8">
      <c r="B18" s="2077" t="s">
        <v>1169</v>
      </c>
      <c r="C18" s="2078">
        <v>90571759.400000006</v>
      </c>
      <c r="D18" s="2078">
        <f t="shared" si="0"/>
        <v>90571759</v>
      </c>
      <c r="E18" s="2079">
        <f t="shared" si="1"/>
        <v>0.40000000596046448</v>
      </c>
      <c r="G18" t="s">
        <v>1164</v>
      </c>
      <c r="H18">
        <v>1100630000</v>
      </c>
    </row>
    <row r="19" spans="2:8" s="2080" customFormat="1">
      <c r="B19" s="2080" t="s">
        <v>1193</v>
      </c>
      <c r="C19" s="2081">
        <v>671470029</v>
      </c>
      <c r="D19" s="2081">
        <f t="shared" si="0"/>
        <v>684013796.64750159</v>
      </c>
      <c r="E19" s="2082">
        <f t="shared" si="1"/>
        <v>-12543767.647501588</v>
      </c>
      <c r="G19" s="2080" t="s">
        <v>1167</v>
      </c>
      <c r="H19" s="2080">
        <v>172458280</v>
      </c>
    </row>
    <row r="20" spans="2:8">
      <c r="B20" t="s">
        <v>1194</v>
      </c>
      <c r="C20" s="2075">
        <v>343519358.50000238</v>
      </c>
      <c r="D20" s="2075">
        <f t="shared" si="0"/>
        <v>331012827.99265063</v>
      </c>
      <c r="E20" s="2076">
        <f t="shared" si="1"/>
        <v>12506530.507351756</v>
      </c>
      <c r="F20">
        <v>-2</v>
      </c>
      <c r="G20" t="s">
        <v>1169</v>
      </c>
      <c r="H20">
        <v>90571759</v>
      </c>
    </row>
    <row r="21" spans="2:8">
      <c r="B21" t="s">
        <v>1195</v>
      </c>
      <c r="C21" s="2075">
        <v>12702160932.02</v>
      </c>
      <c r="D21" s="2075">
        <f>SUM(D5:D20)</f>
        <v>12702160932.019999</v>
      </c>
      <c r="E21" s="2076">
        <f t="shared" si="1"/>
        <v>0</v>
      </c>
      <c r="F21">
        <f>SUM(F5:F20)</f>
        <v>-18</v>
      </c>
      <c r="G21" t="s">
        <v>1195</v>
      </c>
      <c r="H21">
        <v>12702160932.019999</v>
      </c>
    </row>
    <row r="22" spans="2:8">
      <c r="B22" t="s">
        <v>1823</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B1:Q21"/>
  <sheetViews>
    <sheetView showGridLines="0" zoomScale="85" workbookViewId="0">
      <selection activeCell="K13" sqref="K13"/>
    </sheetView>
  </sheetViews>
  <sheetFormatPr defaultColWidth="9.109375" defaultRowHeight="15"/>
  <cols>
    <col min="1" max="1" width="9.109375" style="5"/>
    <col min="2" max="2" width="21.5546875" style="5" customWidth="1"/>
    <col min="3" max="4" width="17.5546875" style="5" bestFit="1" customWidth="1"/>
    <col min="5" max="5" width="29.5546875" style="5" bestFit="1" customWidth="1"/>
    <col min="6" max="6" width="27.109375" style="5" bestFit="1" customWidth="1"/>
    <col min="7" max="7" width="26.5546875" style="5" bestFit="1" customWidth="1"/>
    <col min="8" max="8" width="7.5546875" style="5" bestFit="1" customWidth="1"/>
    <col min="9" max="9" width="3.44140625" style="5" customWidth="1"/>
    <col min="10" max="10" width="17.5546875" style="5" bestFit="1" customWidth="1"/>
    <col min="11" max="11" width="15.5546875" style="2083" bestFit="1" customWidth="1"/>
    <col min="12" max="12" width="2.44140625" style="5" customWidth="1"/>
    <col min="13" max="13" width="17.5546875" style="5" bestFit="1" customWidth="1"/>
    <col min="14" max="14" width="14.44140625" style="2083" bestFit="1" customWidth="1"/>
    <col min="15" max="15" width="2.44140625" style="5" customWidth="1"/>
    <col min="16" max="16" width="19" style="5" bestFit="1" customWidth="1"/>
    <col min="17" max="17" width="15" style="2083" bestFit="1" customWidth="1"/>
    <col min="18" max="16384" width="9.109375" style="5"/>
  </cols>
  <sheetData>
    <row r="1" spans="2:17">
      <c r="B1" s="2282" t="s">
        <v>1864</v>
      </c>
      <c r="C1" s="2282"/>
      <c r="D1" s="2282"/>
      <c r="E1" s="2282"/>
      <c r="F1" s="2282"/>
      <c r="G1" s="2282"/>
      <c r="H1" s="2282"/>
    </row>
    <row r="2" spans="2:17">
      <c r="B2" s="2283" t="s">
        <v>0</v>
      </c>
      <c r="C2" s="2281" t="s">
        <v>1</v>
      </c>
      <c r="D2" s="2281"/>
      <c r="E2" s="2281" t="s">
        <v>2</v>
      </c>
      <c r="F2" s="2281" t="s">
        <v>1178</v>
      </c>
      <c r="G2" s="2281" t="s">
        <v>1179</v>
      </c>
      <c r="H2" s="2282" t="s">
        <v>1180</v>
      </c>
      <c r="J2" s="2281" t="s">
        <v>1182</v>
      </c>
      <c r="K2" s="2085"/>
      <c r="M2" s="2281" t="s">
        <v>1865</v>
      </c>
      <c r="N2" s="2085"/>
      <c r="P2" s="2281" t="s">
        <v>929</v>
      </c>
      <c r="Q2" s="2085"/>
    </row>
    <row r="3" spans="2:17">
      <c r="B3" s="2283"/>
      <c r="C3" s="2084" t="s">
        <v>1181</v>
      </c>
      <c r="D3" s="2084" t="s">
        <v>1182</v>
      </c>
      <c r="E3" s="2281"/>
      <c r="F3" s="2281"/>
      <c r="G3" s="2281"/>
      <c r="H3" s="2282"/>
      <c r="J3" s="2281"/>
      <c r="K3" s="2085" t="s">
        <v>1666</v>
      </c>
      <c r="M3" s="2281"/>
      <c r="N3" s="2085" t="s">
        <v>1666</v>
      </c>
      <c r="P3" s="2281"/>
      <c r="Q3" s="2085" t="s">
        <v>1666</v>
      </c>
    </row>
    <row r="4" spans="2:17" ht="30">
      <c r="B4" s="2086" t="s">
        <v>1183</v>
      </c>
      <c r="C4" s="2087">
        <v>508750023</v>
      </c>
      <c r="D4" s="2087">
        <v>636328416.22993016</v>
      </c>
      <c r="E4" s="2087">
        <v>1145078439.2299302</v>
      </c>
      <c r="F4" s="2087">
        <v>815455163.44471371</v>
      </c>
      <c r="G4" s="2087">
        <v>1960533602.674644</v>
      </c>
      <c r="H4" s="2088">
        <v>0.15434646224111917</v>
      </c>
      <c r="J4" s="2087">
        <v>601328416.22993016</v>
      </c>
      <c r="K4" s="2089">
        <f>D4-J4</f>
        <v>35000000</v>
      </c>
      <c r="M4" s="2087">
        <v>815455163.44471371</v>
      </c>
      <c r="N4" s="2089">
        <f>F4-M4</f>
        <v>0</v>
      </c>
      <c r="P4" s="2087">
        <v>1925533602.674644</v>
      </c>
      <c r="Q4" s="2089">
        <f>G4-P4</f>
        <v>35000000</v>
      </c>
    </row>
    <row r="5" spans="2:17" ht="30">
      <c r="B5" s="2090" t="s">
        <v>1184</v>
      </c>
      <c r="C5" s="2091">
        <v>67995241.010000005</v>
      </c>
      <c r="D5" s="2091">
        <v>85710064.991999999</v>
      </c>
      <c r="E5" s="2091">
        <v>153705306.002</v>
      </c>
      <c r="F5" s="2091">
        <v>22702808</v>
      </c>
      <c r="G5" s="2091">
        <v>176408114.002</v>
      </c>
      <c r="H5" s="2092">
        <v>1.3888039597837638E-2</v>
      </c>
      <c r="J5" s="2091">
        <v>85710064.991999999</v>
      </c>
      <c r="K5" s="2093">
        <f t="shared" ref="K5:K20" si="0">D5-J5</f>
        <v>0</v>
      </c>
      <c r="M5" s="2091">
        <v>22702808</v>
      </c>
      <c r="N5" s="2093">
        <f t="shared" ref="N5:N20" si="1">F5-M5</f>
        <v>0</v>
      </c>
      <c r="P5" s="2091">
        <v>176408114.002</v>
      </c>
      <c r="Q5" s="2093">
        <f t="shared" ref="Q5:Q20" si="2">G5-P5</f>
        <v>0</v>
      </c>
    </row>
    <row r="6" spans="2:17" s="2094" customFormat="1" ht="30">
      <c r="B6" s="2095" t="s">
        <v>1185</v>
      </c>
      <c r="C6" s="2096">
        <v>92191299</v>
      </c>
      <c r="D6" s="2096">
        <v>54896859</v>
      </c>
      <c r="E6" s="2096">
        <v>147088158</v>
      </c>
      <c r="F6" s="2096">
        <v>568780836</v>
      </c>
      <c r="G6" s="2096">
        <v>715868994</v>
      </c>
      <c r="H6" s="2097">
        <v>5.6358047881082604E-2</v>
      </c>
      <c r="J6" s="2096">
        <v>44396859</v>
      </c>
      <c r="K6" s="2098">
        <f t="shared" si="0"/>
        <v>10500000</v>
      </c>
      <c r="M6" s="2096">
        <v>556280836</v>
      </c>
      <c r="N6" s="2098">
        <f t="shared" si="1"/>
        <v>12500000</v>
      </c>
      <c r="P6" s="2096">
        <v>692868994</v>
      </c>
      <c r="Q6" s="2098">
        <f t="shared" si="2"/>
        <v>23000000</v>
      </c>
    </row>
    <row r="7" spans="2:17" ht="60">
      <c r="B7" s="2090" t="s">
        <v>1186</v>
      </c>
      <c r="C7" s="2091">
        <v>792641583</v>
      </c>
      <c r="D7" s="2091">
        <v>164026190.00659648</v>
      </c>
      <c r="E7" s="2091">
        <v>956667773.00659645</v>
      </c>
      <c r="F7" s="2091">
        <v>63981492.979149207</v>
      </c>
      <c r="G7" s="2091">
        <v>1020649265.9857457</v>
      </c>
      <c r="H7" s="2092">
        <v>8.0352411802062859E-2</v>
      </c>
      <c r="J7" s="2091">
        <v>164026190.00659648</v>
      </c>
      <c r="K7" s="2093">
        <f t="shared" si="0"/>
        <v>0</v>
      </c>
      <c r="M7" s="2091">
        <v>63981492.979149207</v>
      </c>
      <c r="N7" s="2093">
        <f t="shared" si="1"/>
        <v>0</v>
      </c>
      <c r="P7" s="2091">
        <v>1020649265.9857457</v>
      </c>
      <c r="Q7" s="2093">
        <f t="shared" si="2"/>
        <v>0</v>
      </c>
    </row>
    <row r="8" spans="2:17" s="2094" customFormat="1" ht="45">
      <c r="B8" s="2095" t="s">
        <v>1187</v>
      </c>
      <c r="C8" s="2096">
        <v>155338312</v>
      </c>
      <c r="D8" s="2096">
        <v>59952011</v>
      </c>
      <c r="E8" s="2096">
        <v>215290323</v>
      </c>
      <c r="F8" s="2096">
        <v>674160582</v>
      </c>
      <c r="G8" s="2096">
        <v>889450905</v>
      </c>
      <c r="H8" s="2097">
        <v>7.0023589667947334E-2</v>
      </c>
      <c r="J8" s="2096">
        <v>59952011</v>
      </c>
      <c r="K8" s="2098">
        <f t="shared" si="0"/>
        <v>0</v>
      </c>
      <c r="M8" s="2096">
        <v>656160582</v>
      </c>
      <c r="N8" s="2098">
        <f t="shared" si="1"/>
        <v>18000000</v>
      </c>
      <c r="P8" s="2096">
        <v>871450905</v>
      </c>
      <c r="Q8" s="2098">
        <f t="shared" si="2"/>
        <v>18000000</v>
      </c>
    </row>
    <row r="9" spans="2:17" ht="30">
      <c r="B9" s="2090" t="s">
        <v>1188</v>
      </c>
      <c r="C9" s="2091">
        <v>2634866339</v>
      </c>
      <c r="D9" s="2091">
        <v>1003923783.6692945</v>
      </c>
      <c r="E9" s="2091">
        <v>3638790122.6692944</v>
      </c>
      <c r="F9" s="2091">
        <v>182774729</v>
      </c>
      <c r="G9" s="2091">
        <v>3821564851.6692944</v>
      </c>
      <c r="H9" s="2092">
        <v>0.30085942637018365</v>
      </c>
      <c r="J9" s="2091">
        <v>1003923783.6692945</v>
      </c>
      <c r="K9" s="2093">
        <f t="shared" si="0"/>
        <v>0</v>
      </c>
      <c r="M9" s="2091">
        <v>177774729</v>
      </c>
      <c r="N9" s="2093">
        <f t="shared" si="1"/>
        <v>5000000</v>
      </c>
      <c r="P9" s="2091">
        <v>3816564851.6692944</v>
      </c>
      <c r="Q9" s="2093">
        <f t="shared" si="2"/>
        <v>5000000</v>
      </c>
    </row>
    <row r="10" spans="2:17" ht="60">
      <c r="B10" s="2086" t="s">
        <v>1189</v>
      </c>
      <c r="C10" s="2087">
        <v>85147508</v>
      </c>
      <c r="D10" s="2099">
        <v>109194436</v>
      </c>
      <c r="E10" s="2087">
        <v>194341944</v>
      </c>
      <c r="F10" s="2087">
        <v>511549631</v>
      </c>
      <c r="G10" s="2087">
        <v>705891575</v>
      </c>
      <c r="H10" s="2088">
        <v>5.5572557990551566E-2</v>
      </c>
      <c r="J10" s="2087">
        <v>109194436</v>
      </c>
      <c r="K10" s="2089">
        <f t="shared" si="0"/>
        <v>0</v>
      </c>
      <c r="M10" s="2087">
        <v>511549631</v>
      </c>
      <c r="N10" s="2089">
        <f t="shared" si="1"/>
        <v>0</v>
      </c>
      <c r="P10" s="2087">
        <v>705891575</v>
      </c>
      <c r="Q10" s="2089">
        <f t="shared" si="2"/>
        <v>0</v>
      </c>
    </row>
    <row r="11" spans="2:17" ht="60">
      <c r="B11" s="2090" t="s">
        <v>1190</v>
      </c>
      <c r="C11" s="2091">
        <v>51627212.999999985</v>
      </c>
      <c r="D11" s="2091">
        <v>70414131</v>
      </c>
      <c r="E11" s="2091">
        <v>122041343.99999999</v>
      </c>
      <c r="F11" s="2091">
        <v>187633726</v>
      </c>
      <c r="G11" s="2091">
        <v>309675070</v>
      </c>
      <c r="H11" s="2092">
        <v>2.4379715519062706E-2</v>
      </c>
      <c r="J11" s="2091">
        <v>70414131</v>
      </c>
      <c r="K11" s="2093">
        <f t="shared" si="0"/>
        <v>0</v>
      </c>
      <c r="M11" s="2091">
        <v>187633726</v>
      </c>
      <c r="N11" s="2093">
        <f t="shared" si="1"/>
        <v>0</v>
      </c>
      <c r="P11" s="2091">
        <v>309675070</v>
      </c>
      <c r="Q11" s="2093">
        <f t="shared" si="2"/>
        <v>0</v>
      </c>
    </row>
    <row r="12" spans="2:17" ht="60">
      <c r="B12" s="2086" t="s">
        <v>1191</v>
      </c>
      <c r="C12" s="2087">
        <v>69159768</v>
      </c>
      <c r="D12" s="2087">
        <v>73571155.74000001</v>
      </c>
      <c r="E12" s="2087">
        <v>142730923.74000001</v>
      </c>
      <c r="F12" s="2087">
        <v>53560406</v>
      </c>
      <c r="G12" s="2087">
        <v>196291329.74000001</v>
      </c>
      <c r="H12" s="2088">
        <v>1.5453380790128611E-2</v>
      </c>
      <c r="J12" s="2087">
        <v>73571155.74000001</v>
      </c>
      <c r="K12" s="2089">
        <f t="shared" si="0"/>
        <v>0</v>
      </c>
      <c r="M12" s="2087">
        <v>53560406</v>
      </c>
      <c r="N12" s="2089">
        <f t="shared" si="1"/>
        <v>0</v>
      </c>
      <c r="P12" s="2087">
        <v>196291329.74000001</v>
      </c>
      <c r="Q12" s="2089">
        <f t="shared" si="2"/>
        <v>0</v>
      </c>
    </row>
    <row r="13" spans="2:17" ht="60">
      <c r="B13" s="2090" t="s">
        <v>1192</v>
      </c>
      <c r="C13" s="2091">
        <v>221304940.5</v>
      </c>
      <c r="D13" s="2091">
        <v>160006198.5</v>
      </c>
      <c r="E13" s="2091">
        <v>381311139</v>
      </c>
      <c r="F13" s="2091">
        <v>57500000</v>
      </c>
      <c r="G13" s="2091">
        <v>438811139</v>
      </c>
      <c r="H13" s="2092">
        <v>3.454618008293623E-2</v>
      </c>
      <c r="J13" s="2091">
        <v>260006198.5</v>
      </c>
      <c r="K13" s="2093">
        <f t="shared" si="0"/>
        <v>-100000000</v>
      </c>
      <c r="M13" s="2091">
        <v>57500000</v>
      </c>
      <c r="N13" s="2093">
        <f t="shared" si="1"/>
        <v>0</v>
      </c>
      <c r="P13" s="2091">
        <v>538811139</v>
      </c>
      <c r="Q13" s="2093">
        <f t="shared" si="2"/>
        <v>-100000000</v>
      </c>
    </row>
    <row r="14" spans="2:17" ht="30">
      <c r="B14" s="2086" t="s">
        <v>1161</v>
      </c>
      <c r="C14" s="2087">
        <v>29665152.04831427</v>
      </c>
      <c r="D14" s="2087">
        <v>43701506</v>
      </c>
      <c r="E14" s="2087">
        <v>73366658.048314273</v>
      </c>
      <c r="F14" s="2087">
        <v>10000000</v>
      </c>
      <c r="G14" s="2087">
        <v>83366658.048314273</v>
      </c>
      <c r="H14" s="2088">
        <v>6.5631870430928824E-3</v>
      </c>
      <c r="J14" s="2087">
        <v>43701506</v>
      </c>
      <c r="K14" s="2089">
        <f t="shared" si="0"/>
        <v>0</v>
      </c>
      <c r="M14" s="2087">
        <v>5000000</v>
      </c>
      <c r="N14" s="2089">
        <f t="shared" si="1"/>
        <v>5000000</v>
      </c>
      <c r="P14" s="2087">
        <v>78366658.048314273</v>
      </c>
      <c r="Q14" s="2089">
        <f t="shared" si="2"/>
        <v>5000000</v>
      </c>
    </row>
    <row r="15" spans="2:17" ht="30">
      <c r="B15" s="2090" t="s">
        <v>1164</v>
      </c>
      <c r="C15" s="2091">
        <v>458006357</v>
      </c>
      <c r="D15" s="2091">
        <v>637623643</v>
      </c>
      <c r="E15" s="2091">
        <v>1095630000</v>
      </c>
      <c r="F15" s="2091">
        <v>5000000</v>
      </c>
      <c r="G15" s="2091">
        <v>1100630000</v>
      </c>
      <c r="H15" s="2092">
        <v>8.6649036009731062E-2</v>
      </c>
      <c r="J15" s="2091">
        <v>637623643</v>
      </c>
      <c r="K15" s="2093">
        <f t="shared" si="0"/>
        <v>0</v>
      </c>
      <c r="M15" s="2091">
        <v>5000000</v>
      </c>
      <c r="N15" s="2093">
        <f t="shared" si="1"/>
        <v>0</v>
      </c>
      <c r="P15" s="2091">
        <v>1100630000</v>
      </c>
      <c r="Q15" s="2093">
        <f t="shared" si="2"/>
        <v>0</v>
      </c>
    </row>
    <row r="16" spans="2:17">
      <c r="B16" s="2086" t="s">
        <v>1167</v>
      </c>
      <c r="C16" s="2087">
        <v>33636755</v>
      </c>
      <c r="D16" s="2087">
        <v>46559814</v>
      </c>
      <c r="E16" s="2087">
        <v>80196569</v>
      </c>
      <c r="F16" s="2087">
        <v>85261711</v>
      </c>
      <c r="G16" s="2087">
        <v>165458280</v>
      </c>
      <c r="H16" s="2088">
        <v>1.3025994622923384E-2</v>
      </c>
      <c r="J16" s="2087">
        <v>46559814</v>
      </c>
      <c r="K16" s="2089">
        <f t="shared" si="0"/>
        <v>0</v>
      </c>
      <c r="M16" s="2087">
        <v>85261711</v>
      </c>
      <c r="N16" s="2089">
        <f t="shared" si="1"/>
        <v>0</v>
      </c>
      <c r="P16" s="2087">
        <v>165458280</v>
      </c>
      <c r="Q16" s="2089">
        <f t="shared" si="2"/>
        <v>0</v>
      </c>
    </row>
    <row r="17" spans="2:17" ht="30">
      <c r="B17" s="2090" t="s">
        <v>1169</v>
      </c>
      <c r="C17" s="2091">
        <v>31360891</v>
      </c>
      <c r="D17" s="2091">
        <v>31710868.399999999</v>
      </c>
      <c r="E17" s="2091">
        <v>63071759.399999999</v>
      </c>
      <c r="F17" s="2091">
        <v>27500000</v>
      </c>
      <c r="G17" s="2091">
        <v>90571759.400000006</v>
      </c>
      <c r="H17" s="2092">
        <v>7.1304213420634527E-3</v>
      </c>
      <c r="J17" s="2091">
        <v>31710868.399999999</v>
      </c>
      <c r="K17" s="2093">
        <f t="shared" si="0"/>
        <v>0</v>
      </c>
      <c r="M17" s="2091">
        <v>27500000</v>
      </c>
      <c r="N17" s="2093">
        <f t="shared" si="1"/>
        <v>0</v>
      </c>
      <c r="P17" s="2091">
        <v>90571759.400000006</v>
      </c>
      <c r="Q17" s="2093">
        <f t="shared" si="2"/>
        <v>0</v>
      </c>
    </row>
    <row r="18" spans="2:17" ht="45">
      <c r="B18" s="2086" t="s">
        <v>1193</v>
      </c>
      <c r="C18" s="2087">
        <v>260189069</v>
      </c>
      <c r="D18" s="2087">
        <v>91776877</v>
      </c>
      <c r="E18" s="2087">
        <v>351965946</v>
      </c>
      <c r="F18" s="2087">
        <v>333504083</v>
      </c>
      <c r="G18" s="2087">
        <v>685470029</v>
      </c>
      <c r="H18" s="2088">
        <v>5.3964835799871338E-2</v>
      </c>
      <c r="J18" s="2087">
        <v>77776877</v>
      </c>
      <c r="K18" s="2089">
        <f t="shared" si="0"/>
        <v>14000000</v>
      </c>
      <c r="M18" s="2087">
        <v>333504083</v>
      </c>
      <c r="N18" s="2089">
        <f t="shared" si="1"/>
        <v>0</v>
      </c>
      <c r="P18" s="2087">
        <v>671470029</v>
      </c>
      <c r="Q18" s="2089">
        <f t="shared" si="2"/>
        <v>14000000</v>
      </c>
    </row>
    <row r="19" spans="2:17" ht="45">
      <c r="B19" s="2090" t="s">
        <v>1194</v>
      </c>
      <c r="C19" s="2091">
        <v>56983440</v>
      </c>
      <c r="D19" s="2091">
        <v>30592193.500002366</v>
      </c>
      <c r="E19" s="2091">
        <v>87575633.500002369</v>
      </c>
      <c r="F19" s="2091">
        <v>253943725</v>
      </c>
      <c r="G19" s="2091">
        <v>341519358.50000238</v>
      </c>
      <c r="H19" s="2092">
        <v>2.6886713239405575E-2</v>
      </c>
      <c r="J19" s="2091">
        <v>30592193.500002366</v>
      </c>
      <c r="K19" s="2093">
        <f t="shared" si="0"/>
        <v>0</v>
      </c>
      <c r="M19" s="2091">
        <v>253943725</v>
      </c>
      <c r="N19" s="2093">
        <f t="shared" si="1"/>
        <v>0</v>
      </c>
      <c r="P19" s="2091">
        <v>341519358.50000238</v>
      </c>
      <c r="Q19" s="2093">
        <f t="shared" si="2"/>
        <v>0</v>
      </c>
    </row>
    <row r="20" spans="2:17">
      <c r="B20" s="2100" t="s">
        <v>1195</v>
      </c>
      <c r="C20" s="2101">
        <v>5548863890.5583143</v>
      </c>
      <c r="D20" s="2101">
        <v>3299988148.0378237</v>
      </c>
      <c r="E20" s="2101">
        <v>8848852038.5961361</v>
      </c>
      <c r="F20" s="2101">
        <v>3853308893.4238625</v>
      </c>
      <c r="G20" s="2101">
        <v>12702160932.02</v>
      </c>
      <c r="H20" s="2102">
        <v>1</v>
      </c>
      <c r="J20" s="2101">
        <v>3340488148.0378237</v>
      </c>
      <c r="K20" s="2103">
        <f t="shared" si="0"/>
        <v>-40500000</v>
      </c>
      <c r="M20" s="2101">
        <v>3812808893.4238625</v>
      </c>
      <c r="N20" s="2103">
        <f t="shared" si="1"/>
        <v>40500000</v>
      </c>
      <c r="P20" s="2101">
        <v>12702160932.02</v>
      </c>
      <c r="Q20" s="2103">
        <f t="shared" si="2"/>
        <v>0</v>
      </c>
    </row>
    <row r="21" spans="2:17" ht="15.6">
      <c r="B21" s="2104" t="s">
        <v>1823</v>
      </c>
      <c r="C21" s="2105">
        <v>43.684408662864335</v>
      </c>
      <c r="D21" s="2105">
        <v>25.979738138249463</v>
      </c>
      <c r="E21" s="2105">
        <v>69.664146801113773</v>
      </c>
      <c r="F21" s="2105">
        <v>30.335853198886198</v>
      </c>
      <c r="G21" s="2105">
        <v>100</v>
      </c>
      <c r="H21" s="2106"/>
      <c r="J21" s="2105"/>
      <c r="K21" s="2107"/>
      <c r="M21" s="2108">
        <f>M20/P20</f>
        <v>0.30017009812971396</v>
      </c>
      <c r="N21" s="2107"/>
      <c r="P21" s="2105"/>
      <c r="Q21" s="2107"/>
    </row>
  </sheetData>
  <mergeCells count="10">
    <mergeCell ref="B1:H1"/>
    <mergeCell ref="B2:B3"/>
    <mergeCell ref="C2:D2"/>
    <mergeCell ref="E2:E3"/>
    <mergeCell ref="F2:F3"/>
    <mergeCell ref="J2:J3"/>
    <mergeCell ref="M2:M3"/>
    <mergeCell ref="P2:P3"/>
    <mergeCell ref="G2:G3"/>
    <mergeCell ref="H2:H3"/>
  </mergeCells>
  <conditionalFormatting sqref="F21">
    <cfRule type="cellIs" dxfId="1" priority="2" operator="greaterThan">
      <formula>0.3</formula>
    </cfRule>
  </conditionalFormatting>
  <conditionalFormatting sqref="M21">
    <cfRule type="cellIs" dxfId="0" priority="1" operator="greaterThan">
      <formula>0.3</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9"/>
  <sheetViews>
    <sheetView zoomScale="48" workbookViewId="0">
      <selection activeCell="B18" sqref="B18"/>
    </sheetView>
  </sheetViews>
  <sheetFormatPr defaultColWidth="8.88671875" defaultRowHeight="46.2"/>
  <cols>
    <col min="1" max="1" width="74.109375" style="2073" bestFit="1" customWidth="1"/>
    <col min="2" max="2" width="74.109375" style="1" customWidth="1"/>
    <col min="3" max="3" width="48.5546875" style="926" bestFit="1" customWidth="1"/>
    <col min="4" max="4" width="46.109375" style="2109" customWidth="1"/>
    <col min="5" max="5" width="44.5546875" style="2073" bestFit="1" customWidth="1"/>
    <col min="6" max="6" width="54.44140625" style="2073" customWidth="1"/>
    <col min="7" max="7" width="40.5546875" style="2073" customWidth="1"/>
    <col min="8" max="8" width="61.88671875" style="2073" customWidth="1"/>
    <col min="9" max="9" width="8.88671875" style="2073"/>
    <col min="10" max="10" width="29.5546875" style="2073" bestFit="1" customWidth="1"/>
    <col min="11" max="16384" width="8.88671875" style="2073"/>
  </cols>
  <sheetData>
    <row r="1" spans="1:10">
      <c r="A1" s="2073" t="s">
        <v>1838</v>
      </c>
      <c r="B1" s="2069">
        <f>'Itemized Budget 2024-25'!L3274-'Itemized Budget 2024-25'!L3273-'Itemized Budget 2024-25'!L3266-'Itemized Budget 2024-25'!L3215-'Itemized Budget 2024-25'!L3217</f>
        <v>21173723.677190423</v>
      </c>
      <c r="C1" s="2069">
        <f>345193202-40000000-20000000-221180851-37500000-'Itemized Budget 2024-25'!L3217</f>
        <v>26388261.5</v>
      </c>
      <c r="D1" s="2109">
        <f>C1/$C$9</f>
        <v>0.11994326378036117</v>
      </c>
      <c r="E1" s="2069">
        <f>D1*-100000000</f>
        <v>-11994326.378036117</v>
      </c>
      <c r="F1" s="2110">
        <f t="shared" ref="F1:F8" si="0">C1+E1</f>
        <v>14393935.121963883</v>
      </c>
      <c r="G1" s="2111"/>
      <c r="H1" s="2111">
        <f>B1-F1</f>
        <v>6779788.5552265402</v>
      </c>
    </row>
    <row r="2" spans="1:10" s="2112" customFormat="1">
      <c r="A2" s="2112" t="s">
        <v>1839</v>
      </c>
      <c r="B2" s="2069">
        <f>'Itemized Budget 2024-25'!L3320</f>
        <v>21304968.25965178</v>
      </c>
      <c r="C2" s="2113">
        <v>44372900</v>
      </c>
      <c r="D2" s="2114">
        <f t="shared" ref="D2:D9" si="1">C2/$C$9</f>
        <v>0.20168931740348214</v>
      </c>
      <c r="E2" s="2113">
        <f t="shared" ref="E2:E9" si="2">D2*-100000000</f>
        <v>-20168931.740348216</v>
      </c>
      <c r="F2" s="2115">
        <f>C2+E2</f>
        <v>24203968.259651784</v>
      </c>
      <c r="H2" s="2111">
        <f t="shared" ref="H2:H8" si="3">B2-F2</f>
        <v>-2899000.0000000037</v>
      </c>
    </row>
    <row r="3" spans="1:10" s="2112" customFormat="1">
      <c r="A3" s="2112" t="s">
        <v>1843</v>
      </c>
      <c r="B3" s="2069">
        <f>'Itemized Budget 2024-25'!L3356</f>
        <v>15129321.047798842</v>
      </c>
      <c r="C3" s="2113">
        <v>25353160</v>
      </c>
      <c r="D3" s="2114">
        <f t="shared" si="1"/>
        <v>0.11523838952201158</v>
      </c>
      <c r="E3" s="2113">
        <f t="shared" si="2"/>
        <v>-11523838.952201158</v>
      </c>
      <c r="F3" s="2115">
        <f t="shared" si="0"/>
        <v>13829321.047798842</v>
      </c>
      <c r="H3" s="2111">
        <f t="shared" si="3"/>
        <v>1300000</v>
      </c>
    </row>
    <row r="4" spans="1:10" s="2112" customFormat="1">
      <c r="A4" s="2112" t="s">
        <v>1844</v>
      </c>
      <c r="B4" s="2069">
        <f>'Itemized Budget 2024-25'!L3386</f>
        <v>9059852.5089217275</v>
      </c>
      <c r="C4" s="2113">
        <v>8934400</v>
      </c>
      <c r="D4" s="2114">
        <f t="shared" si="1"/>
        <v>4.0609764910782727E-2</v>
      </c>
      <c r="E4" s="2113">
        <f t="shared" si="2"/>
        <v>-4060976.4910782725</v>
      </c>
      <c r="F4" s="2115">
        <f t="shared" si="0"/>
        <v>4873423.5089217275</v>
      </c>
      <c r="H4" s="2111">
        <f t="shared" si="3"/>
        <v>4186429</v>
      </c>
    </row>
    <row r="5" spans="1:10">
      <c r="A5" s="2073" t="s">
        <v>1840</v>
      </c>
      <c r="B5" s="2069">
        <f>'Itemized Budget 2024-25'!L3439</f>
        <v>87927883.184599996</v>
      </c>
      <c r="C5" s="2069">
        <v>61676260</v>
      </c>
      <c r="D5" s="2109">
        <f t="shared" si="1"/>
        <v>0.28033873781969831</v>
      </c>
      <c r="E5" s="2069">
        <f t="shared" si="2"/>
        <v>-28033873.78196983</v>
      </c>
      <c r="F5" s="2110">
        <f t="shared" si="0"/>
        <v>33642386.21803017</v>
      </c>
      <c r="G5" s="2111">
        <f>C5-10000000</f>
        <v>51676260</v>
      </c>
      <c r="H5" s="2111">
        <f t="shared" si="3"/>
        <v>54285496.966569826</v>
      </c>
    </row>
    <row r="6" spans="1:10">
      <c r="A6" s="2073" t="s">
        <v>1841</v>
      </c>
      <c r="B6" s="2069">
        <f>'Itemized Budget 2024-25'!L3468</f>
        <v>6958400</v>
      </c>
      <c r="C6" s="2069">
        <v>15057200</v>
      </c>
      <c r="D6" s="2109">
        <f t="shared" si="1"/>
        <v>6.8439889887920588E-2</v>
      </c>
      <c r="E6" s="2069">
        <f t="shared" si="2"/>
        <v>-6843988.988792059</v>
      </c>
      <c r="F6" s="2110">
        <f t="shared" si="0"/>
        <v>8213211.011207941</v>
      </c>
      <c r="G6" s="2111">
        <f>F6</f>
        <v>8213211.011207941</v>
      </c>
      <c r="H6" s="2111">
        <f t="shared" si="3"/>
        <v>-1254811.011207941</v>
      </c>
      <c r="J6" s="2111">
        <f>H6+H7+H5+H1</f>
        <v>59954804.367190421</v>
      </c>
    </row>
    <row r="7" spans="1:10">
      <c r="A7" s="2073" t="s">
        <v>1845</v>
      </c>
      <c r="B7" s="2069">
        <f>'Itemized Budget 2024-25'!L3513</f>
        <v>13985354.997370809</v>
      </c>
      <c r="C7" s="2069">
        <v>25374617</v>
      </c>
      <c r="D7" s="2109">
        <f t="shared" si="1"/>
        <v>0.11533591859231185</v>
      </c>
      <c r="E7" s="2069">
        <f t="shared" si="2"/>
        <v>-11533591.859231185</v>
      </c>
      <c r="F7" s="2110">
        <f t="shared" si="0"/>
        <v>13841025.140768815</v>
      </c>
      <c r="G7" s="2111">
        <f>F7</f>
        <v>13841025.140768815</v>
      </c>
      <c r="H7" s="2111">
        <f t="shared" si="3"/>
        <v>144329.85660199448</v>
      </c>
    </row>
    <row r="8" spans="1:10">
      <c r="A8" s="2073" t="s">
        <v>1842</v>
      </c>
      <c r="B8" s="2069">
        <f>'Itemized Budget 2024-25'!L3540</f>
        <v>6808928.1916568363</v>
      </c>
      <c r="C8" s="2069">
        <v>12849400</v>
      </c>
      <c r="D8" s="2109">
        <f t="shared" si="1"/>
        <v>5.8404718083431638E-2</v>
      </c>
      <c r="E8" s="2069">
        <f t="shared" si="2"/>
        <v>-5840471.8083431637</v>
      </c>
      <c r="F8" s="2110">
        <f t="shared" si="0"/>
        <v>7008928.1916568363</v>
      </c>
      <c r="G8" s="2111">
        <f>F8</f>
        <v>7008928.1916568363</v>
      </c>
      <c r="H8" s="2111">
        <f t="shared" si="3"/>
        <v>-200000</v>
      </c>
    </row>
    <row r="9" spans="1:10">
      <c r="B9" s="2069">
        <f>SUM(B1:B8)</f>
        <v>182348431.86719039</v>
      </c>
      <c r="C9" s="2069">
        <f>SUM(C1:C8)</f>
        <v>220006198.5</v>
      </c>
      <c r="D9" s="2109">
        <f t="shared" si="1"/>
        <v>1</v>
      </c>
      <c r="E9" s="2069">
        <f t="shared" si="2"/>
        <v>-100000000</v>
      </c>
      <c r="F9" s="2069">
        <f>SUM(F1:F8)</f>
        <v>120006198.5</v>
      </c>
      <c r="G9" s="2069"/>
      <c r="H9" s="2069">
        <f>SUM(H1:H8)</f>
        <v>62342233.367190421</v>
      </c>
      <c r="I9" s="2069"/>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21"/>
  <sheetViews>
    <sheetView zoomScale="141" workbookViewId="0">
      <selection activeCell="A2" sqref="A2:F20"/>
    </sheetView>
  </sheetViews>
  <sheetFormatPr defaultColWidth="8.88671875" defaultRowHeight="14.4"/>
  <cols>
    <col min="1" max="1" width="61.109375" style="2116" bestFit="1" customWidth="1"/>
    <col min="2" max="5" width="16.109375" style="2116" customWidth="1"/>
    <col min="6" max="6" width="18" style="2117" bestFit="1" customWidth="1"/>
    <col min="7" max="7" width="24.109375" style="2117" customWidth="1"/>
    <col min="8" max="8" width="16.88671875" style="2117" bestFit="1" customWidth="1"/>
    <col min="9" max="16384" width="8.88671875" style="2116"/>
  </cols>
  <sheetData>
    <row r="1" spans="1:8" ht="28.8">
      <c r="A1" s="2118" t="s">
        <v>1793</v>
      </c>
      <c r="B1" s="2119"/>
      <c r="C1" s="2119"/>
      <c r="D1" s="2119"/>
      <c r="E1" s="2119"/>
      <c r="F1" s="2120"/>
      <c r="G1" s="2120"/>
      <c r="H1" s="2120"/>
    </row>
    <row r="2" spans="1:8" s="2121" customFormat="1" ht="27.6">
      <c r="A2" s="2122" t="s">
        <v>0</v>
      </c>
      <c r="B2" s="2122" t="s">
        <v>1658</v>
      </c>
      <c r="C2" s="2122"/>
      <c r="D2" s="2122" t="s">
        <v>1659</v>
      </c>
      <c r="E2" s="2122" t="s">
        <v>1660</v>
      </c>
      <c r="F2" s="2123" t="s">
        <v>1664</v>
      </c>
      <c r="G2" s="2123" t="s">
        <v>1665</v>
      </c>
      <c r="H2" s="2123" t="s">
        <v>1666</v>
      </c>
    </row>
    <row r="3" spans="1:8">
      <c r="A3" s="2124"/>
      <c r="B3" s="2124" t="s">
        <v>1661</v>
      </c>
      <c r="C3" s="2124" t="s">
        <v>1662</v>
      </c>
      <c r="D3" s="2124"/>
      <c r="E3" s="2124"/>
      <c r="F3" s="2125"/>
      <c r="G3" s="2125"/>
      <c r="H3" s="2125"/>
    </row>
    <row r="4" spans="1:8">
      <c r="A4" s="2124" t="s">
        <v>1183</v>
      </c>
      <c r="B4" s="2124">
        <v>508750023</v>
      </c>
      <c r="C4" s="2124">
        <v>577761907</v>
      </c>
      <c r="D4" s="2124">
        <v>1086511930</v>
      </c>
      <c r="E4" s="2124">
        <v>822555163</v>
      </c>
      <c r="F4" s="2125">
        <v>1909067093</v>
      </c>
      <c r="G4" s="2125">
        <f>'Itemized Budget 2024-25'!L843</f>
        <v>2457166988.3530416</v>
      </c>
      <c r="H4" s="2125">
        <f>G4-F4</f>
        <v>548099895.35304165</v>
      </c>
    </row>
    <row r="5" spans="1:8">
      <c r="A5" s="2124" t="s">
        <v>1184</v>
      </c>
      <c r="B5" s="2124">
        <v>67995241</v>
      </c>
      <c r="C5" s="2124">
        <v>90360065</v>
      </c>
      <c r="D5" s="2124">
        <v>158355306</v>
      </c>
      <c r="E5" s="2124">
        <v>23702808</v>
      </c>
      <c r="F5" s="2125">
        <v>182058114</v>
      </c>
      <c r="G5" s="2125">
        <f>'Itemized Budget 2024-25'!L1199</f>
        <v>186695202.002</v>
      </c>
      <c r="H5" s="2125">
        <f t="shared" ref="H5:H19" si="0">G5-F5</f>
        <v>4637088.0020000041</v>
      </c>
    </row>
    <row r="6" spans="1:8">
      <c r="A6" s="2124" t="s">
        <v>1185</v>
      </c>
      <c r="B6" s="2124">
        <v>92191299</v>
      </c>
      <c r="C6" s="2124">
        <v>47621859</v>
      </c>
      <c r="D6" s="2124">
        <v>139813158</v>
      </c>
      <c r="E6" s="2124">
        <v>556280836</v>
      </c>
      <c r="F6" s="2125">
        <v>696093994</v>
      </c>
      <c r="G6" s="2125">
        <f>'Itemized Budget 2024-25'!L1417</f>
        <v>731958727</v>
      </c>
      <c r="H6" s="2125">
        <f t="shared" si="0"/>
        <v>35864733</v>
      </c>
    </row>
    <row r="7" spans="1:8">
      <c r="A7" s="2124" t="s">
        <v>1186</v>
      </c>
      <c r="B7" s="2124">
        <v>788141583</v>
      </c>
      <c r="C7" s="2124">
        <v>146443189</v>
      </c>
      <c r="D7" s="2124">
        <v>934584772</v>
      </c>
      <c r="E7" s="2124">
        <v>87981493</v>
      </c>
      <c r="F7" s="2125">
        <v>1022566265</v>
      </c>
      <c r="G7" s="2125">
        <f>'Itemized Budget 2024-25'!L1612</f>
        <v>1067786835.2154109</v>
      </c>
      <c r="H7" s="2125">
        <f t="shared" si="0"/>
        <v>45220570.215410948</v>
      </c>
    </row>
    <row r="8" spans="1:8">
      <c r="A8" s="2124" t="s">
        <v>1187</v>
      </c>
      <c r="B8" s="2124">
        <v>155338312</v>
      </c>
      <c r="C8" s="2124">
        <v>65132012</v>
      </c>
      <c r="D8" s="2124">
        <v>220470324</v>
      </c>
      <c r="E8" s="2124">
        <v>656160581</v>
      </c>
      <c r="F8" s="2125">
        <v>876630905</v>
      </c>
      <c r="G8" s="2125">
        <f>'Itemized Budget 2024-25'!L1841</f>
        <v>500230364.5739609</v>
      </c>
      <c r="H8" s="2125">
        <f t="shared" si="0"/>
        <v>-376400540.4260391</v>
      </c>
    </row>
    <row r="9" spans="1:8">
      <c r="A9" s="2124" t="s">
        <v>1188</v>
      </c>
      <c r="B9" s="2124">
        <v>2634866339</v>
      </c>
      <c r="C9" s="2124">
        <v>1009711619</v>
      </c>
      <c r="D9" s="2124">
        <v>3644577958</v>
      </c>
      <c r="E9" s="2124">
        <v>177774729</v>
      </c>
      <c r="F9" s="2125">
        <v>3822352686</v>
      </c>
      <c r="G9" s="2125">
        <f>'Itemized Budget 2024-25'!L2248</f>
        <v>4364650270.5974617</v>
      </c>
      <c r="H9" s="2125">
        <f t="shared" si="0"/>
        <v>542297584.5974617</v>
      </c>
    </row>
    <row r="10" spans="1:8">
      <c r="A10" s="2124" t="s">
        <v>1189</v>
      </c>
      <c r="B10" s="2124">
        <v>85147508</v>
      </c>
      <c r="C10" s="2124">
        <v>87154436</v>
      </c>
      <c r="D10" s="2124">
        <v>172301944</v>
      </c>
      <c r="E10" s="2124">
        <v>538589631</v>
      </c>
      <c r="F10" s="2125">
        <v>710891575</v>
      </c>
      <c r="G10" s="2125">
        <f>'Itemized Budget 2024-25'!L2519</f>
        <v>826303630.94775796</v>
      </c>
      <c r="H10" s="2125">
        <f t="shared" si="0"/>
        <v>115412055.94775796</v>
      </c>
    </row>
    <row r="11" spans="1:8" ht="27.6">
      <c r="A11" s="2124" t="s">
        <v>1190</v>
      </c>
      <c r="B11" s="2124">
        <v>51627213</v>
      </c>
      <c r="C11" s="2124">
        <v>71414131</v>
      </c>
      <c r="D11" s="2124">
        <v>123041344</v>
      </c>
      <c r="E11" s="2124">
        <v>191633726</v>
      </c>
      <c r="F11" s="2125">
        <v>314675070</v>
      </c>
      <c r="G11" s="2125">
        <f>'Itemized Budget 2024-25'!L2863</f>
        <v>485392662.19567716</v>
      </c>
      <c r="H11" s="2125">
        <f t="shared" si="0"/>
        <v>170717592.19567716</v>
      </c>
    </row>
    <row r="12" spans="1:8">
      <c r="A12" s="2124" t="s">
        <v>1191</v>
      </c>
      <c r="B12" s="2124">
        <v>69159768</v>
      </c>
      <c r="C12" s="2124">
        <v>51671156</v>
      </c>
      <c r="D12" s="2124">
        <v>120830924</v>
      </c>
      <c r="E12" s="2124">
        <v>53560406</v>
      </c>
      <c r="F12" s="2125">
        <v>174391330</v>
      </c>
      <c r="G12" s="2125">
        <f>'Itemized Budget 2024-25'!L3209</f>
        <v>214085351.21621221</v>
      </c>
      <c r="H12" s="2125">
        <f t="shared" si="0"/>
        <v>39694021.216212213</v>
      </c>
    </row>
    <row r="13" spans="1:8">
      <c r="A13" s="2124" t="s">
        <v>1192</v>
      </c>
      <c r="B13" s="2124">
        <v>221180851</v>
      </c>
      <c r="C13" s="2124">
        <v>285669728</v>
      </c>
      <c r="D13" s="2124">
        <v>506850579</v>
      </c>
      <c r="E13" s="2124">
        <v>37500000</v>
      </c>
      <c r="F13" s="2125">
        <v>544350579</v>
      </c>
      <c r="G13" s="2125">
        <f>'Itemized Budget 2024-25'!L3544</f>
        <v>538376670.91719043</v>
      </c>
      <c r="H13" s="2125">
        <f>G13-F13</f>
        <v>-5973908.0828095675</v>
      </c>
    </row>
    <row r="14" spans="1:8">
      <c r="A14" s="2124" t="s">
        <v>1193</v>
      </c>
      <c r="B14" s="2124">
        <v>260189070</v>
      </c>
      <c r="C14" s="2124">
        <v>90320643</v>
      </c>
      <c r="D14" s="2124">
        <v>350509713</v>
      </c>
      <c r="E14" s="2124">
        <v>333504084</v>
      </c>
      <c r="F14" s="2125">
        <v>684013797</v>
      </c>
      <c r="G14" s="2125">
        <f>'Itemized Budget 2024-25'!L4762</f>
        <v>938613977.67609525</v>
      </c>
      <c r="H14" s="2125">
        <f t="shared" si="0"/>
        <v>254600180.67609525</v>
      </c>
    </row>
    <row r="15" spans="1:8">
      <c r="A15" s="2124" t="s">
        <v>1194</v>
      </c>
      <c r="B15" s="2124">
        <v>56983440</v>
      </c>
      <c r="C15" s="2124">
        <v>34485663</v>
      </c>
      <c r="D15" s="2124">
        <v>91469103</v>
      </c>
      <c r="E15" s="2124">
        <v>239543725</v>
      </c>
      <c r="F15" s="2125">
        <v>331012828</v>
      </c>
      <c r="G15" s="2125">
        <f>'Itemized Budget 2024-25'!L5033</f>
        <v>367859987.39939547</v>
      </c>
      <c r="H15" s="2125">
        <f t="shared" si="0"/>
        <v>36847159.399395466</v>
      </c>
    </row>
    <row r="16" spans="1:8">
      <c r="A16" s="2124" t="s">
        <v>1161</v>
      </c>
      <c r="B16" s="2124">
        <v>29665152</v>
      </c>
      <c r="C16" s="2124">
        <v>35731506</v>
      </c>
      <c r="D16" s="2124">
        <v>65396658</v>
      </c>
      <c r="E16" s="2124">
        <v>5000000</v>
      </c>
      <c r="F16" s="2125">
        <v>70396658</v>
      </c>
      <c r="G16" s="2125">
        <f>'Itemized Budget 2024-25'!L3759</f>
        <v>88712132.47079739</v>
      </c>
      <c r="H16" s="2125">
        <f t="shared" si="0"/>
        <v>18315474.47079739</v>
      </c>
    </row>
    <row r="17" spans="1:8">
      <c r="A17" s="2124" t="s">
        <v>1164</v>
      </c>
      <c r="B17" s="2124">
        <v>458006357</v>
      </c>
      <c r="C17" s="2124">
        <v>637623643</v>
      </c>
      <c r="D17" s="2124">
        <v>1095630000</v>
      </c>
      <c r="E17" s="2124">
        <v>5000000</v>
      </c>
      <c r="F17" s="2125">
        <v>1100630000</v>
      </c>
      <c r="G17" s="2125">
        <f>'Itemized Budget 2024-25'!L3928</f>
        <v>1271031113</v>
      </c>
      <c r="H17" s="2125">
        <f t="shared" si="0"/>
        <v>170401113</v>
      </c>
    </row>
    <row r="18" spans="1:8">
      <c r="A18" s="2124" t="s">
        <v>1167</v>
      </c>
      <c r="B18" s="2124">
        <v>33636755</v>
      </c>
      <c r="C18" s="2124">
        <v>46559814</v>
      </c>
      <c r="D18" s="2124">
        <v>80196569</v>
      </c>
      <c r="E18" s="2124">
        <v>92261711</v>
      </c>
      <c r="F18" s="2125">
        <v>172458280</v>
      </c>
      <c r="G18" s="2125">
        <f>'Itemized Budget 2024-25'!L4127</f>
        <v>159916036.0650886</v>
      </c>
      <c r="H18" s="2125">
        <f t="shared" si="0"/>
        <v>-12542243.9349114</v>
      </c>
    </row>
    <row r="19" spans="1:8">
      <c r="A19" s="2124" t="s">
        <v>1169</v>
      </c>
      <c r="B19" s="2124">
        <v>31360891</v>
      </c>
      <c r="C19" s="2124">
        <v>24810868</v>
      </c>
      <c r="D19" s="2124">
        <v>56171759</v>
      </c>
      <c r="E19" s="2124">
        <v>34400000</v>
      </c>
      <c r="F19" s="2125">
        <v>90571759</v>
      </c>
      <c r="G19" s="2125">
        <f>'Itemized Budget 2024-25'!L4361</f>
        <v>99236285.400000006</v>
      </c>
      <c r="H19" s="2125">
        <f t="shared" si="0"/>
        <v>8664526.400000006</v>
      </c>
    </row>
    <row r="20" spans="1:8" s="2126" customFormat="1">
      <c r="A20" s="2127" t="s">
        <v>1195</v>
      </c>
      <c r="B20" s="2127">
        <f>SUM(B4:B19)</f>
        <v>5544239802</v>
      </c>
      <c r="C20" s="2127">
        <v>3302472238</v>
      </c>
      <c r="D20" s="2127">
        <v>8846712040</v>
      </c>
      <c r="E20" s="2127">
        <v>3855448892</v>
      </c>
      <c r="F20" s="2128">
        <f>SUM(F4:F19)</f>
        <v>12702160933</v>
      </c>
      <c r="G20" s="2128">
        <f t="shared" ref="G20:H20" si="1">SUM(G4:G19)</f>
        <v>14298016235.030087</v>
      </c>
      <c r="H20" s="2128">
        <f t="shared" si="1"/>
        <v>1595855302.0300896</v>
      </c>
    </row>
    <row r="21" spans="1:8" hidden="1">
      <c r="A21" s="2124" t="s">
        <v>1663</v>
      </c>
      <c r="B21" s="2124">
        <v>0.4365</v>
      </c>
      <c r="C21" s="2124">
        <v>0.26</v>
      </c>
      <c r="D21" s="2124">
        <v>0.69650000000000001</v>
      </c>
      <c r="E21" s="2124">
        <v>0.30349999999999999</v>
      </c>
      <c r="F21" s="2125"/>
      <c r="G21" s="2125"/>
      <c r="H21" s="2125"/>
    </row>
  </sheetData>
  <pageMargins left="0.7" right="0.7" top="0.75" bottom="0.75" header="0.3" footer="0.3"/>
  <pageSetup paperSize="9" fitToWidth="0"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2:J62"/>
  <sheetViews>
    <sheetView topLeftCell="A57" zoomScale="85" workbookViewId="0">
      <selection activeCell="D2" sqref="D2:J62"/>
    </sheetView>
  </sheetViews>
  <sheetFormatPr defaultColWidth="10" defaultRowHeight="14.4"/>
  <cols>
    <col min="2" max="3" width="19" hidden="1" customWidth="1"/>
    <col min="4" max="4" width="19" customWidth="1"/>
    <col min="5" max="5" width="19" style="2" customWidth="1"/>
    <col min="6" max="10" width="19" customWidth="1"/>
  </cols>
  <sheetData>
    <row r="2" spans="2:10" ht="60">
      <c r="B2" s="7" t="s">
        <v>3</v>
      </c>
      <c r="C2" s="7" t="s">
        <v>4</v>
      </c>
      <c r="D2" s="8" t="s">
        <v>5</v>
      </c>
      <c r="E2" s="9" t="s">
        <v>6</v>
      </c>
      <c r="F2" s="10" t="s">
        <v>1310</v>
      </c>
      <c r="G2" s="10" t="s">
        <v>2035</v>
      </c>
      <c r="H2" s="10" t="s">
        <v>2034</v>
      </c>
      <c r="I2" s="10" t="s">
        <v>2037</v>
      </c>
      <c r="J2" s="10" t="s">
        <v>2036</v>
      </c>
    </row>
    <row r="3" spans="2:10" ht="15">
      <c r="B3" s="12"/>
      <c r="C3" s="12"/>
      <c r="D3" s="13" t="s">
        <v>8</v>
      </c>
      <c r="E3" s="14"/>
      <c r="F3" s="109"/>
      <c r="G3" s="110"/>
      <c r="H3" s="110"/>
      <c r="I3" s="111"/>
      <c r="J3" s="109"/>
    </row>
    <row r="4" spans="2:10" ht="45">
      <c r="B4" s="112"/>
      <c r="C4" s="112"/>
      <c r="D4" s="113">
        <v>2210910</v>
      </c>
      <c r="E4" s="114" t="s">
        <v>1531</v>
      </c>
      <c r="F4" s="115">
        <v>171000000</v>
      </c>
      <c r="G4" s="114"/>
      <c r="H4" s="114">
        <v>87000000</v>
      </c>
      <c r="I4" s="116"/>
      <c r="J4" s="117">
        <v>258000000</v>
      </c>
    </row>
    <row r="5" spans="2:10" ht="90">
      <c r="B5" s="118"/>
      <c r="C5" s="118"/>
      <c r="D5" s="113">
        <v>3111401</v>
      </c>
      <c r="E5" s="114" t="s">
        <v>76</v>
      </c>
      <c r="F5" s="115">
        <v>22500000</v>
      </c>
      <c r="G5" s="114"/>
      <c r="H5" s="114">
        <v>-1500000</v>
      </c>
      <c r="I5" s="116"/>
      <c r="J5" s="117">
        <v>21000000</v>
      </c>
    </row>
    <row r="6" spans="2:10" ht="75">
      <c r="B6" s="119"/>
      <c r="C6" s="119"/>
      <c r="D6" s="113">
        <v>3110504</v>
      </c>
      <c r="E6" s="114" t="s">
        <v>81</v>
      </c>
      <c r="F6" s="115">
        <v>540000000</v>
      </c>
      <c r="G6" s="114"/>
      <c r="H6" s="114">
        <v>-36000000</v>
      </c>
      <c r="I6" s="116"/>
      <c r="J6" s="117">
        <v>504000000</v>
      </c>
    </row>
    <row r="7" spans="2:10" ht="75">
      <c r="B7" s="118"/>
      <c r="C7" s="118"/>
      <c r="D7" s="113">
        <v>3110504</v>
      </c>
      <c r="E7" s="114" t="s">
        <v>82</v>
      </c>
      <c r="F7" s="115">
        <v>187500000</v>
      </c>
      <c r="G7" s="114"/>
      <c r="H7" s="114">
        <v>-12500000</v>
      </c>
      <c r="I7" s="116"/>
      <c r="J7" s="117">
        <v>175000000</v>
      </c>
    </row>
    <row r="8" spans="2:10" ht="120">
      <c r="B8" s="120"/>
      <c r="C8" s="120"/>
      <c r="D8" s="121">
        <v>2211308</v>
      </c>
      <c r="E8" s="122" t="s">
        <v>1795</v>
      </c>
      <c r="F8" s="123">
        <v>30000000</v>
      </c>
      <c r="G8" s="124"/>
      <c r="H8" s="124">
        <v>125000000</v>
      </c>
      <c r="I8" s="125">
        <v>0</v>
      </c>
      <c r="J8" s="117">
        <v>155000000</v>
      </c>
    </row>
    <row r="9" spans="2:10" ht="15">
      <c r="B9" s="32"/>
      <c r="C9" s="33"/>
      <c r="D9" s="13" t="s">
        <v>177</v>
      </c>
      <c r="E9" s="34"/>
      <c r="F9" s="126"/>
      <c r="G9" s="127"/>
      <c r="H9" s="127"/>
      <c r="I9" s="128"/>
      <c r="J9" s="109"/>
    </row>
    <row r="10" spans="2:10" ht="75">
      <c r="B10" s="36"/>
      <c r="C10" s="36"/>
      <c r="D10" s="19" t="s">
        <v>1520</v>
      </c>
      <c r="E10" s="20" t="s">
        <v>1521</v>
      </c>
      <c r="F10" s="129">
        <v>30000000</v>
      </c>
      <c r="G10" s="129"/>
      <c r="H10" s="129">
        <v>-3500000</v>
      </c>
      <c r="I10" s="130"/>
      <c r="J10" s="131">
        <v>26500000</v>
      </c>
    </row>
    <row r="11" spans="2:10" ht="120">
      <c r="B11" s="38"/>
      <c r="C11" s="26"/>
      <c r="D11" s="39">
        <v>3110599</v>
      </c>
      <c r="E11" s="40" t="s">
        <v>1526</v>
      </c>
      <c r="F11" s="129">
        <v>12000000</v>
      </c>
      <c r="G11" s="40"/>
      <c r="H11" s="40">
        <v>-8500000</v>
      </c>
      <c r="I11" s="130">
        <v>-155250</v>
      </c>
      <c r="J11" s="131">
        <v>3344750</v>
      </c>
    </row>
    <row r="12" spans="2:10" ht="15">
      <c r="B12" s="42"/>
      <c r="C12" s="42"/>
      <c r="D12" s="13" t="s">
        <v>1251</v>
      </c>
      <c r="E12" s="43"/>
      <c r="F12" s="132"/>
      <c r="G12" s="133"/>
      <c r="H12" s="133"/>
      <c r="I12" s="134"/>
      <c r="J12" s="109"/>
    </row>
    <row r="13" spans="2:10" ht="60">
      <c r="B13" s="46"/>
      <c r="C13" s="46"/>
      <c r="D13" s="47"/>
      <c r="E13" s="48" t="s">
        <v>1319</v>
      </c>
      <c r="F13" s="135">
        <v>5000000</v>
      </c>
      <c r="G13" s="48"/>
      <c r="H13" s="48">
        <v>-5000000</v>
      </c>
      <c r="I13" s="136"/>
      <c r="J13" s="131">
        <v>0</v>
      </c>
    </row>
    <row r="14" spans="2:10" ht="105">
      <c r="B14" s="46"/>
      <c r="C14" s="46"/>
      <c r="D14" s="47">
        <v>3110504</v>
      </c>
      <c r="E14" s="51" t="s">
        <v>2074</v>
      </c>
      <c r="F14" s="135">
        <v>120000000</v>
      </c>
      <c r="G14" s="135"/>
      <c r="H14" s="51">
        <v>-20000000</v>
      </c>
      <c r="I14" s="137"/>
      <c r="J14" s="131">
        <v>100000000</v>
      </c>
    </row>
    <row r="15" spans="2:10" ht="15">
      <c r="B15" s="53"/>
      <c r="C15" s="53"/>
      <c r="D15" s="13" t="s">
        <v>1252</v>
      </c>
      <c r="E15" s="14"/>
      <c r="F15" s="138"/>
      <c r="G15" s="110"/>
      <c r="H15" s="110"/>
      <c r="I15" s="111"/>
      <c r="J15" s="109"/>
    </row>
    <row r="16" spans="2:10" ht="75">
      <c r="B16" s="55"/>
      <c r="C16" s="55"/>
      <c r="D16" s="19">
        <v>2640101</v>
      </c>
      <c r="E16" s="20" t="s">
        <v>1818</v>
      </c>
      <c r="F16" s="139">
        <v>86400000</v>
      </c>
      <c r="G16" s="20"/>
      <c r="H16" s="20">
        <v>-14400000</v>
      </c>
      <c r="I16" s="140"/>
      <c r="J16" s="131">
        <v>72000000</v>
      </c>
    </row>
    <row r="17" spans="2:10" ht="75">
      <c r="B17" s="55"/>
      <c r="C17" s="55"/>
      <c r="D17" s="19">
        <v>2640101</v>
      </c>
      <c r="E17" s="20" t="s">
        <v>1817</v>
      </c>
      <c r="F17" s="139">
        <v>3600000</v>
      </c>
      <c r="G17" s="20"/>
      <c r="H17" s="20">
        <v>-600000</v>
      </c>
      <c r="I17" s="140"/>
      <c r="J17" s="131">
        <v>3000000</v>
      </c>
    </row>
    <row r="18" spans="2:10" ht="105">
      <c r="B18" s="55"/>
      <c r="C18" s="55"/>
      <c r="D18" s="19">
        <v>2640101</v>
      </c>
      <c r="E18" s="20" t="s">
        <v>1819</v>
      </c>
      <c r="F18" s="139">
        <v>30000000</v>
      </c>
      <c r="G18" s="20"/>
      <c r="H18" s="20">
        <v>-5000000</v>
      </c>
      <c r="I18" s="140"/>
      <c r="J18" s="131">
        <v>25000000</v>
      </c>
    </row>
    <row r="19" spans="2:10" ht="75">
      <c r="B19" s="55"/>
      <c r="C19" s="55"/>
      <c r="D19" s="57">
        <v>3110504</v>
      </c>
      <c r="E19" s="58" t="s">
        <v>346</v>
      </c>
      <c r="F19" s="141">
        <v>19601207.120000001</v>
      </c>
      <c r="G19" s="58"/>
      <c r="H19" s="141">
        <v>-4601207</v>
      </c>
      <c r="I19" s="140"/>
      <c r="J19" s="131">
        <v>15000000.120000001</v>
      </c>
    </row>
    <row r="20" spans="2:10" ht="105">
      <c r="B20" s="55"/>
      <c r="C20" s="55"/>
      <c r="D20" s="57">
        <v>3110504</v>
      </c>
      <c r="E20" s="58" t="s">
        <v>2032</v>
      </c>
      <c r="F20" s="141">
        <v>10000000</v>
      </c>
      <c r="G20" s="58"/>
      <c r="H20" s="141">
        <v>-10000000</v>
      </c>
      <c r="I20" s="140"/>
      <c r="J20" s="131">
        <v>0</v>
      </c>
    </row>
    <row r="21" spans="2:10" ht="15">
      <c r="B21" s="59"/>
      <c r="C21" s="53"/>
      <c r="D21" s="13" t="s">
        <v>1253</v>
      </c>
      <c r="E21" s="34"/>
      <c r="F21" s="142"/>
      <c r="G21" s="127"/>
      <c r="H21" s="127"/>
      <c r="I21" s="128"/>
      <c r="J21" s="109"/>
    </row>
    <row r="22" spans="2:10" ht="105">
      <c r="B22" s="61"/>
      <c r="C22" s="55"/>
      <c r="D22" s="62">
        <v>3110499</v>
      </c>
      <c r="E22" s="63" t="s">
        <v>1499</v>
      </c>
      <c r="F22" s="143">
        <v>40000000</v>
      </c>
      <c r="G22" s="63"/>
      <c r="H22" s="143">
        <v>-10000000</v>
      </c>
      <c r="I22" s="144"/>
      <c r="J22" s="131">
        <v>30000000</v>
      </c>
    </row>
    <row r="23" spans="2:10" ht="165">
      <c r="B23" s="61"/>
      <c r="C23" s="55"/>
      <c r="D23" s="62">
        <v>3110599</v>
      </c>
      <c r="E23" s="63" t="s">
        <v>1754</v>
      </c>
      <c r="F23" s="143">
        <v>6750000</v>
      </c>
      <c r="G23" s="145"/>
      <c r="H23" s="143" t="s">
        <v>2083</v>
      </c>
      <c r="I23" s="146"/>
      <c r="J23" s="131">
        <v>3375000</v>
      </c>
    </row>
    <row r="24" spans="2:10" ht="15">
      <c r="B24" s="67"/>
      <c r="C24" s="67"/>
      <c r="D24" s="68" t="s">
        <v>392</v>
      </c>
      <c r="E24" s="69"/>
      <c r="F24" s="147"/>
      <c r="G24" s="148"/>
      <c r="H24" s="148"/>
      <c r="I24" s="149"/>
      <c r="J24" s="109"/>
    </row>
    <row r="25" spans="2:10" ht="240">
      <c r="B25" s="71"/>
      <c r="C25" s="71"/>
      <c r="D25" s="39">
        <v>2110101</v>
      </c>
      <c r="E25" s="72" t="s">
        <v>2106</v>
      </c>
      <c r="F25" s="150">
        <v>891170557</v>
      </c>
      <c r="G25" s="73"/>
      <c r="H25" s="40">
        <v>68877343</v>
      </c>
      <c r="I25" s="151"/>
      <c r="J25" s="131">
        <v>960047900</v>
      </c>
    </row>
    <row r="26" spans="2:10" ht="135">
      <c r="B26" s="71"/>
      <c r="C26" s="71"/>
      <c r="D26" s="39">
        <v>2110202</v>
      </c>
      <c r="E26" s="73" t="s">
        <v>2105</v>
      </c>
      <c r="F26" s="150">
        <v>12656000</v>
      </c>
      <c r="G26" s="73"/>
      <c r="H26" s="40">
        <v>25200000</v>
      </c>
      <c r="I26" s="151"/>
      <c r="J26" s="131">
        <v>37856000</v>
      </c>
    </row>
    <row r="27" spans="2:10" ht="120">
      <c r="B27" s="71"/>
      <c r="C27" s="71"/>
      <c r="D27" s="39">
        <v>3111401</v>
      </c>
      <c r="E27" s="73" t="s">
        <v>2084</v>
      </c>
      <c r="F27" s="150"/>
      <c r="G27" s="73"/>
      <c r="H27" s="40">
        <v>615096</v>
      </c>
      <c r="I27" s="40">
        <v>1080456</v>
      </c>
      <c r="J27" s="131">
        <v>1695552</v>
      </c>
    </row>
    <row r="28" spans="2:10" ht="90">
      <c r="B28" s="71"/>
      <c r="C28" s="71"/>
      <c r="D28" s="39">
        <v>3110202</v>
      </c>
      <c r="E28" s="74" t="s">
        <v>2101</v>
      </c>
      <c r="F28" s="152">
        <v>16000000</v>
      </c>
      <c r="G28" s="152">
        <v>4568966</v>
      </c>
      <c r="H28" s="152">
        <v>10150000</v>
      </c>
      <c r="I28" s="150">
        <v>-6000000</v>
      </c>
      <c r="J28" s="131">
        <v>24718966</v>
      </c>
    </row>
    <row r="29" spans="2:10" ht="75">
      <c r="B29" s="71"/>
      <c r="C29" s="71"/>
      <c r="D29" s="39">
        <v>3110202</v>
      </c>
      <c r="E29" s="76" t="s">
        <v>2102</v>
      </c>
      <c r="F29" s="152">
        <v>9000000</v>
      </c>
      <c r="G29" s="152">
        <v>7768</v>
      </c>
      <c r="H29" s="152">
        <v>21850000</v>
      </c>
      <c r="I29" s="150">
        <v>-1000000</v>
      </c>
      <c r="J29" s="131">
        <v>29857768</v>
      </c>
    </row>
    <row r="30" spans="2:10" ht="330">
      <c r="B30" s="71"/>
      <c r="C30" s="71"/>
      <c r="D30" s="39">
        <v>3110202</v>
      </c>
      <c r="E30" s="76" t="s">
        <v>2086</v>
      </c>
      <c r="F30" s="153"/>
      <c r="G30" s="76"/>
      <c r="H30" s="153">
        <v>63022931.000001863</v>
      </c>
      <c r="I30" s="151"/>
      <c r="J30" s="131">
        <v>63022931.000001863</v>
      </c>
    </row>
    <row r="31" spans="2:10" ht="409.6">
      <c r="B31" s="71"/>
      <c r="C31" s="71"/>
      <c r="D31" s="39">
        <v>3110202</v>
      </c>
      <c r="E31" s="76" t="s">
        <v>2087</v>
      </c>
      <c r="F31" s="153"/>
      <c r="G31" s="76"/>
      <c r="H31" s="153">
        <v>42500000</v>
      </c>
      <c r="I31" s="151"/>
      <c r="J31" s="131">
        <v>42500000</v>
      </c>
    </row>
    <row r="32" spans="2:10" ht="30">
      <c r="B32" s="77"/>
      <c r="C32" s="77"/>
      <c r="D32" s="39">
        <v>2211001</v>
      </c>
      <c r="E32" s="73" t="s">
        <v>471</v>
      </c>
      <c r="F32" s="153">
        <v>224606061</v>
      </c>
      <c r="G32" s="73"/>
      <c r="H32" s="73">
        <v>70000000</v>
      </c>
      <c r="I32" s="151"/>
      <c r="J32" s="131">
        <v>294606061</v>
      </c>
    </row>
    <row r="33" spans="2:10" ht="60">
      <c r="B33" s="77"/>
      <c r="C33" s="77"/>
      <c r="D33" s="39">
        <v>2211002</v>
      </c>
      <c r="E33" s="73" t="s">
        <v>472</v>
      </c>
      <c r="F33" s="153">
        <v>115393939</v>
      </c>
      <c r="G33" s="73"/>
      <c r="H33" s="73">
        <v>35000000</v>
      </c>
      <c r="I33" s="151"/>
      <c r="J33" s="131">
        <v>150393939</v>
      </c>
    </row>
    <row r="34" spans="2:10" ht="120">
      <c r="B34" s="77"/>
      <c r="C34" s="77"/>
      <c r="D34" s="39">
        <v>2211001</v>
      </c>
      <c r="E34" s="73" t="s">
        <v>2092</v>
      </c>
      <c r="F34" s="153"/>
      <c r="G34" s="73"/>
      <c r="H34" s="73">
        <v>10664566</v>
      </c>
      <c r="I34" s="151"/>
      <c r="J34" s="131">
        <v>10664566</v>
      </c>
    </row>
    <row r="35" spans="2:10" ht="15">
      <c r="B35" s="42"/>
      <c r="C35" s="42"/>
      <c r="D35" s="13" t="s">
        <v>1254</v>
      </c>
      <c r="E35" s="34"/>
      <c r="F35" s="154"/>
      <c r="G35" s="155"/>
      <c r="H35" s="155"/>
      <c r="I35" s="156"/>
      <c r="J35" s="109"/>
    </row>
    <row r="36" spans="2:10" ht="60">
      <c r="B36" s="46"/>
      <c r="C36" s="46"/>
      <c r="D36" s="80">
        <v>3110202</v>
      </c>
      <c r="E36" s="74" t="s">
        <v>1423</v>
      </c>
      <c r="F36" s="157">
        <v>25000000</v>
      </c>
      <c r="G36" s="158"/>
      <c r="H36" s="158">
        <v>-4000000</v>
      </c>
      <c r="I36" s="159">
        <v>-7000000</v>
      </c>
      <c r="J36" s="131">
        <v>14000000</v>
      </c>
    </row>
    <row r="37" spans="2:10" ht="105">
      <c r="B37" s="46"/>
      <c r="C37" s="46"/>
      <c r="D37" s="80">
        <v>3111499</v>
      </c>
      <c r="E37" s="74" t="s">
        <v>1433</v>
      </c>
      <c r="F37" s="157">
        <v>20000000</v>
      </c>
      <c r="G37" s="158"/>
      <c r="H37" s="158">
        <v>-5000000</v>
      </c>
      <c r="I37" s="159">
        <v>-3000000</v>
      </c>
      <c r="J37" s="131">
        <v>12000000</v>
      </c>
    </row>
    <row r="38" spans="2:10" ht="75">
      <c r="B38" s="46"/>
      <c r="C38" s="46"/>
      <c r="D38" s="80">
        <v>2210704</v>
      </c>
      <c r="E38" s="74" t="s">
        <v>1435</v>
      </c>
      <c r="F38" s="157">
        <v>3000000</v>
      </c>
      <c r="G38" s="158"/>
      <c r="H38" s="158">
        <v>-1000000</v>
      </c>
      <c r="I38" s="160"/>
      <c r="J38" s="131">
        <v>2000000</v>
      </c>
    </row>
    <row r="39" spans="2:10" ht="15">
      <c r="B39" s="33"/>
      <c r="C39" s="33"/>
      <c r="D39" s="13" t="s">
        <v>1255</v>
      </c>
      <c r="E39" s="34"/>
      <c r="F39" s="126"/>
      <c r="G39" s="127"/>
      <c r="H39" s="127"/>
      <c r="I39" s="128"/>
      <c r="J39" s="109"/>
    </row>
    <row r="40" spans="2:10" ht="135">
      <c r="B40" s="84"/>
      <c r="C40" s="85"/>
      <c r="D40" s="80">
        <v>3110504</v>
      </c>
      <c r="E40" s="86" t="s">
        <v>1460</v>
      </c>
      <c r="F40" s="161">
        <v>31000000</v>
      </c>
      <c r="G40" s="162"/>
      <c r="H40" s="159">
        <v>-5433992</v>
      </c>
      <c r="I40" s="163"/>
      <c r="J40" s="131">
        <v>25566008</v>
      </c>
    </row>
    <row r="41" spans="2:10" ht="105">
      <c r="B41" s="89"/>
      <c r="C41" s="90"/>
      <c r="D41" s="91">
        <v>3110299</v>
      </c>
      <c r="E41" s="74" t="s">
        <v>1846</v>
      </c>
      <c r="F41" s="161">
        <v>6566008</v>
      </c>
      <c r="G41" s="158"/>
      <c r="H41" s="158">
        <v>-6566008</v>
      </c>
      <c r="I41" s="160"/>
      <c r="J41" s="131">
        <v>0</v>
      </c>
    </row>
    <row r="42" spans="2:10" ht="15">
      <c r="B42" s="12"/>
      <c r="C42" s="12"/>
      <c r="D42" s="13" t="s">
        <v>1256</v>
      </c>
      <c r="E42" s="34"/>
      <c r="F42" s="126"/>
      <c r="G42" s="127"/>
      <c r="H42" s="127"/>
      <c r="I42" s="128"/>
      <c r="J42" s="109"/>
    </row>
    <row r="43" spans="2:10" ht="165">
      <c r="B43" s="92"/>
      <c r="C43" s="92"/>
      <c r="D43" s="61">
        <v>2211031</v>
      </c>
      <c r="E43" s="74" t="s">
        <v>591</v>
      </c>
      <c r="F43" s="164">
        <v>6729000</v>
      </c>
      <c r="G43" s="165">
        <v>0</v>
      </c>
      <c r="H43" s="165">
        <v>-5000000</v>
      </c>
      <c r="I43" s="166"/>
      <c r="J43" s="131">
        <v>1729000</v>
      </c>
    </row>
    <row r="44" spans="2:10" ht="210">
      <c r="B44" s="92"/>
      <c r="C44" s="92"/>
      <c r="D44" s="61">
        <v>3110504</v>
      </c>
      <c r="E44" s="74" t="s">
        <v>1482</v>
      </c>
      <c r="F44" s="164">
        <v>40000000</v>
      </c>
      <c r="G44" s="167">
        <v>12941041.476212207</v>
      </c>
      <c r="H44" s="167">
        <v>-20000000</v>
      </c>
      <c r="I44" s="167">
        <v>-15000000</v>
      </c>
      <c r="J44" s="131">
        <v>17941041.476212204</v>
      </c>
    </row>
    <row r="45" spans="2:10" ht="90">
      <c r="B45" s="92"/>
      <c r="C45" s="92"/>
      <c r="D45" s="61">
        <v>2211029</v>
      </c>
      <c r="E45" s="74" t="s">
        <v>1494</v>
      </c>
      <c r="F45" s="164">
        <v>10212600</v>
      </c>
      <c r="G45" s="165">
        <v>2399900</v>
      </c>
      <c r="H45" s="74">
        <v>-7679600</v>
      </c>
      <c r="I45" s="168"/>
      <c r="J45" s="131">
        <v>4932900</v>
      </c>
    </row>
    <row r="46" spans="2:10" ht="15">
      <c r="B46" s="42"/>
      <c r="C46" s="42"/>
      <c r="D46" s="13" t="s">
        <v>1257</v>
      </c>
      <c r="E46" s="34"/>
      <c r="F46" s="126"/>
      <c r="G46" s="127"/>
      <c r="H46" s="127"/>
      <c r="I46" s="128"/>
      <c r="J46" s="109"/>
    </row>
    <row r="47" spans="2:10" ht="75">
      <c r="B47" s="46"/>
      <c r="C47" s="46"/>
      <c r="D47" s="80">
        <v>2210299</v>
      </c>
      <c r="E47" s="74" t="s">
        <v>2076</v>
      </c>
      <c r="F47" s="169"/>
      <c r="G47" s="169"/>
      <c r="H47" s="159">
        <v>36200000</v>
      </c>
      <c r="I47" s="160"/>
      <c r="J47" s="131">
        <v>36200000</v>
      </c>
    </row>
    <row r="48" spans="2:10" ht="15">
      <c r="B48" s="42"/>
      <c r="C48" s="42"/>
      <c r="D48" s="13" t="s">
        <v>660</v>
      </c>
      <c r="E48" s="34"/>
      <c r="F48" s="170"/>
      <c r="G48" s="127"/>
      <c r="H48" s="127"/>
      <c r="I48" s="128"/>
      <c r="J48" s="109"/>
    </row>
    <row r="49" spans="2:10" ht="15">
      <c r="B49" s="42"/>
      <c r="C49" s="42"/>
      <c r="D49" s="13" t="s">
        <v>676</v>
      </c>
      <c r="E49" s="94"/>
      <c r="F49" s="171"/>
      <c r="G49" s="172"/>
      <c r="H49" s="172"/>
      <c r="I49" s="173"/>
      <c r="J49" s="109"/>
    </row>
    <row r="50" spans="2:10" ht="60">
      <c r="B50" s="174"/>
      <c r="C50" s="174"/>
      <c r="D50" s="175" t="s">
        <v>2020</v>
      </c>
      <c r="E50" s="176" t="s">
        <v>413</v>
      </c>
      <c r="F50" s="177">
        <v>33042008</v>
      </c>
      <c r="G50" s="178">
        <v>202858553</v>
      </c>
      <c r="H50" s="179">
        <v>-33042008</v>
      </c>
      <c r="I50" s="180"/>
      <c r="J50" s="131">
        <v>202858553</v>
      </c>
    </row>
    <row r="51" spans="2:10" ht="15">
      <c r="B51" s="42"/>
      <c r="C51" s="42"/>
      <c r="D51" s="33" t="s">
        <v>678</v>
      </c>
      <c r="E51" s="34"/>
      <c r="F51" s="181"/>
      <c r="G51" s="127"/>
      <c r="H51" s="127"/>
      <c r="I51" s="128"/>
      <c r="J51" s="109"/>
    </row>
    <row r="52" spans="2:10" ht="135">
      <c r="B52" s="25"/>
      <c r="C52" s="25"/>
      <c r="D52" s="61">
        <v>3110504</v>
      </c>
      <c r="E52" s="74" t="s">
        <v>1355</v>
      </c>
      <c r="F52" s="169">
        <v>20100000</v>
      </c>
      <c r="G52" s="74"/>
      <c r="H52" s="159">
        <v>-5000000</v>
      </c>
      <c r="I52" s="168"/>
      <c r="J52" s="131">
        <v>15100000</v>
      </c>
    </row>
    <row r="53" spans="2:10" ht="15">
      <c r="B53" s="97"/>
      <c r="C53" s="97"/>
      <c r="D53" s="13" t="s">
        <v>715</v>
      </c>
      <c r="E53" s="34"/>
      <c r="F53" s="182"/>
      <c r="G53" s="127"/>
      <c r="H53" s="127"/>
      <c r="I53" s="128"/>
      <c r="J53" s="109"/>
    </row>
    <row r="54" spans="2:10" ht="60">
      <c r="B54" s="89"/>
      <c r="C54" s="89"/>
      <c r="D54" s="61">
        <v>3111401</v>
      </c>
      <c r="E54" s="74" t="s">
        <v>2079</v>
      </c>
      <c r="F54" s="183"/>
      <c r="G54" s="74"/>
      <c r="H54" s="74">
        <v>4720341</v>
      </c>
      <c r="I54" s="168"/>
      <c r="J54" s="131">
        <v>4720341</v>
      </c>
    </row>
    <row r="55" spans="2:10" ht="15">
      <c r="B55" s="42"/>
      <c r="C55" s="42"/>
      <c r="D55" s="13" t="s">
        <v>1258</v>
      </c>
      <c r="E55" s="34"/>
      <c r="F55" s="184"/>
      <c r="G55" s="127"/>
      <c r="H55" s="127"/>
      <c r="I55" s="128"/>
      <c r="J55" s="109"/>
    </row>
    <row r="56" spans="2:10" ht="75">
      <c r="B56" s="46"/>
      <c r="C56" s="46"/>
      <c r="D56" s="39">
        <v>3111499</v>
      </c>
      <c r="E56" s="99" t="s">
        <v>1327</v>
      </c>
      <c r="F56" s="185">
        <v>5102000</v>
      </c>
      <c r="G56" s="99"/>
      <c r="H56" s="185">
        <v>-5000000</v>
      </c>
      <c r="I56" s="186"/>
      <c r="J56" s="131">
        <v>102000</v>
      </c>
    </row>
    <row r="57" spans="2:10" ht="75">
      <c r="B57" s="46"/>
      <c r="C57" s="46"/>
      <c r="D57" s="61">
        <v>3110504</v>
      </c>
      <c r="E57" s="74" t="s">
        <v>1339</v>
      </c>
      <c r="F57" s="185">
        <v>5412055</v>
      </c>
      <c r="G57" s="185">
        <v>2700000</v>
      </c>
      <c r="H57" s="74">
        <v>-5412055</v>
      </c>
      <c r="I57" s="168">
        <v>4500000</v>
      </c>
      <c r="J57" s="131">
        <v>7200000</v>
      </c>
    </row>
    <row r="58" spans="2:10" ht="120">
      <c r="B58" s="46"/>
      <c r="C58" s="46"/>
      <c r="D58" s="61">
        <v>3111499</v>
      </c>
      <c r="E58" s="99" t="s">
        <v>1775</v>
      </c>
      <c r="F58" s="185">
        <v>2525678</v>
      </c>
      <c r="G58" s="99"/>
      <c r="H58" s="185">
        <v>-2000000</v>
      </c>
      <c r="I58" s="186"/>
      <c r="J58" s="131">
        <v>525678</v>
      </c>
    </row>
    <row r="59" spans="2:10" ht="120">
      <c r="B59" s="46"/>
      <c r="C59" s="46"/>
      <c r="D59" s="61">
        <v>3111499</v>
      </c>
      <c r="E59" s="99" t="s">
        <v>1347</v>
      </c>
      <c r="F59" s="185">
        <v>7200000</v>
      </c>
      <c r="G59" s="99"/>
      <c r="H59" s="185">
        <v>-4200000</v>
      </c>
      <c r="I59" s="186"/>
      <c r="J59" s="131">
        <v>3000000</v>
      </c>
    </row>
    <row r="60" spans="2:10" ht="15">
      <c r="B60" s="42"/>
      <c r="C60" s="42"/>
      <c r="D60" s="13" t="s">
        <v>1259</v>
      </c>
      <c r="E60" s="103"/>
      <c r="F60" s="187"/>
      <c r="G60" s="188"/>
      <c r="H60" s="188"/>
      <c r="I60" s="173"/>
      <c r="J60" s="109"/>
    </row>
    <row r="61" spans="2:10" ht="75">
      <c r="B61" s="46"/>
      <c r="C61" s="46"/>
      <c r="D61" s="105">
        <v>3111112</v>
      </c>
      <c r="E61" s="106" t="s">
        <v>2078</v>
      </c>
      <c r="F61" s="189"/>
      <c r="G61" s="189"/>
      <c r="H61" s="189">
        <v>15000000</v>
      </c>
      <c r="I61" s="190"/>
      <c r="J61" s="131">
        <v>15000000</v>
      </c>
    </row>
    <row r="62" spans="2:10" ht="15">
      <c r="B62" s="46"/>
      <c r="C62" s="46"/>
      <c r="D62" s="105">
        <v>3110506</v>
      </c>
      <c r="E62" s="74" t="s">
        <v>1407</v>
      </c>
      <c r="F62" s="191">
        <v>110000000</v>
      </c>
      <c r="G62" s="158"/>
      <c r="H62" s="158">
        <v>-45000000</v>
      </c>
      <c r="I62" s="160"/>
      <c r="J62" s="131">
        <v>65000000</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42"/>
  <sheetViews>
    <sheetView showGridLines="0" zoomScale="85" workbookViewId="0">
      <selection activeCell="G15" sqref="G15"/>
    </sheetView>
  </sheetViews>
  <sheetFormatPr defaultColWidth="10" defaultRowHeight="14.4"/>
  <cols>
    <col min="1" max="1" width="11.5546875" bestFit="1" customWidth="1"/>
    <col min="2" max="2" width="57.5546875" bestFit="1" customWidth="1"/>
    <col min="3" max="3" width="16.5546875" bestFit="1" customWidth="1"/>
    <col min="4" max="4" width="12.44140625" bestFit="1" customWidth="1"/>
    <col min="5" max="5" width="11.5546875" bestFit="1" customWidth="1"/>
    <col min="6" max="6" width="12.44140625" bestFit="1" customWidth="1"/>
    <col min="7" max="7" width="21.44140625" bestFit="1" customWidth="1"/>
    <col min="8" max="8" width="19.44140625" bestFit="1" customWidth="1"/>
    <col min="9" max="9" width="11.5546875" bestFit="1" customWidth="1"/>
    <col min="10" max="10" width="19" bestFit="1" customWidth="1"/>
    <col min="11" max="11" width="12.44140625" bestFit="1" customWidth="1"/>
    <col min="12" max="12" width="11.5546875" bestFit="1" customWidth="1"/>
  </cols>
  <sheetData>
    <row r="1" spans="1:12">
      <c r="A1" t="s">
        <v>1246</v>
      </c>
      <c r="B1" t="s">
        <v>1177</v>
      </c>
    </row>
    <row r="2" spans="1:12">
      <c r="B2" t="s">
        <v>0</v>
      </c>
      <c r="C2" t="s">
        <v>1</v>
      </c>
      <c r="G2" t="s">
        <v>2</v>
      </c>
      <c r="H2" t="s">
        <v>1178</v>
      </c>
      <c r="J2" t="s">
        <v>1179</v>
      </c>
      <c r="L2" t="s">
        <v>1180</v>
      </c>
    </row>
    <row r="3" spans="1:12">
      <c r="C3" t="s">
        <v>1181</v>
      </c>
      <c r="D3" t="s">
        <v>1247</v>
      </c>
      <c r="E3" t="s">
        <v>1182</v>
      </c>
      <c r="F3" t="s">
        <v>1247</v>
      </c>
      <c r="I3" t="s">
        <v>1247</v>
      </c>
      <c r="K3" t="s">
        <v>1247</v>
      </c>
    </row>
    <row r="4" spans="1:12">
      <c r="A4">
        <v>1.1694343694377876</v>
      </c>
      <c r="B4" t="s">
        <v>1183</v>
      </c>
      <c r="C4">
        <v>548817887</v>
      </c>
      <c r="D4">
        <v>0</v>
      </c>
      <c r="E4">
        <v>641806499.62002397</v>
      </c>
      <c r="F4">
        <v>0</v>
      </c>
      <c r="G4">
        <v>1190624386.620024</v>
      </c>
      <c r="H4">
        <v>813000000</v>
      </c>
      <c r="I4">
        <v>0</v>
      </c>
      <c r="J4">
        <v>2003624386.620024</v>
      </c>
      <c r="K4">
        <v>0</v>
      </c>
      <c r="L4">
        <v>0.17130442648157529</v>
      </c>
    </row>
    <row r="5" spans="1:12">
      <c r="A5">
        <v>0.80591881681675059</v>
      </c>
      <c r="B5" t="s">
        <v>1184</v>
      </c>
      <c r="C5">
        <v>90946257.560000002</v>
      </c>
      <c r="D5">
        <v>0</v>
      </c>
      <c r="E5">
        <v>73295300.286666662</v>
      </c>
      <c r="F5">
        <v>-0.3333333432674408</v>
      </c>
      <c r="G5">
        <v>164241557.84666666</v>
      </c>
      <c r="H5">
        <v>44700000</v>
      </c>
      <c r="I5">
        <v>15000000</v>
      </c>
      <c r="J5">
        <v>208941557.84666666</v>
      </c>
      <c r="K5">
        <v>14999999.666666657</v>
      </c>
      <c r="L5">
        <v>1.7863933965921518E-2</v>
      </c>
    </row>
    <row r="6" spans="1:12">
      <c r="A6">
        <v>0.74662408157504179</v>
      </c>
      <c r="B6" t="s">
        <v>1185</v>
      </c>
      <c r="C6">
        <v>58194466</v>
      </c>
      <c r="D6">
        <v>0</v>
      </c>
      <c r="E6">
        <v>43449389.729999997</v>
      </c>
      <c r="F6">
        <v>0</v>
      </c>
      <c r="G6">
        <v>101643855.72999999</v>
      </c>
      <c r="H6">
        <v>488859100.59782028</v>
      </c>
      <c r="I6">
        <v>41351614.597820282</v>
      </c>
      <c r="J6">
        <v>590502956.3278203</v>
      </c>
      <c r="K6">
        <v>41351614.597820282</v>
      </c>
      <c r="L6">
        <v>5.0486394029199633E-2</v>
      </c>
    </row>
    <row r="7" spans="1:12">
      <c r="A7">
        <v>6.6714727760875628E-2</v>
      </c>
      <c r="B7" t="s">
        <v>1186</v>
      </c>
      <c r="C7">
        <v>794615559.5</v>
      </c>
      <c r="D7">
        <v>-221351614.26448607</v>
      </c>
      <c r="E7">
        <v>53012560.726598367</v>
      </c>
      <c r="F7">
        <v>0</v>
      </c>
      <c r="G7">
        <v>847628120.22659838</v>
      </c>
      <c r="H7">
        <v>200027917</v>
      </c>
      <c r="I7">
        <v>0</v>
      </c>
      <c r="J7">
        <v>1047656037.2265984</v>
      </c>
      <c r="K7">
        <v>-221351614.26448619</v>
      </c>
      <c r="L7">
        <v>8.9571737000971846E-2</v>
      </c>
    </row>
    <row r="8" spans="1:12">
      <c r="A8">
        <v>0.55928814507452562</v>
      </c>
      <c r="B8" t="s">
        <v>1187</v>
      </c>
      <c r="C8">
        <v>99203247</v>
      </c>
      <c r="D8">
        <v>0</v>
      </c>
      <c r="E8">
        <v>55483200</v>
      </c>
      <c r="F8">
        <v>0</v>
      </c>
      <c r="G8">
        <v>154686447</v>
      </c>
      <c r="H8">
        <v>534249652</v>
      </c>
      <c r="I8">
        <v>35000000</v>
      </c>
      <c r="J8">
        <v>688936099</v>
      </c>
      <c r="K8">
        <v>35000000</v>
      </c>
      <c r="L8">
        <v>5.8902159561322096E-2</v>
      </c>
    </row>
    <row r="9" spans="1:12">
      <c r="A9">
        <v>0.36522665953309097</v>
      </c>
      <c r="B9" t="s">
        <v>1188</v>
      </c>
      <c r="C9">
        <v>2497270315</v>
      </c>
      <c r="D9">
        <v>0</v>
      </c>
      <c r="E9">
        <v>912069695.09859979</v>
      </c>
      <c r="F9">
        <v>0</v>
      </c>
      <c r="G9">
        <v>3409340010.0985999</v>
      </c>
      <c r="H9">
        <v>209812498</v>
      </c>
      <c r="I9">
        <v>25000000</v>
      </c>
      <c r="J9">
        <v>3619152508.0985999</v>
      </c>
      <c r="K9">
        <v>25000000</v>
      </c>
      <c r="L9">
        <v>0.30942767960368234</v>
      </c>
    </row>
    <row r="10" spans="1:12">
      <c r="A10">
        <v>0.95839007790842423</v>
      </c>
      <c r="B10" t="s">
        <v>1189</v>
      </c>
      <c r="C10">
        <v>77217227.25</v>
      </c>
      <c r="D10">
        <v>0</v>
      </c>
      <c r="E10">
        <v>74004224.439999998</v>
      </c>
      <c r="F10">
        <v>0</v>
      </c>
      <c r="G10">
        <v>151221451.69</v>
      </c>
      <c r="H10">
        <v>230040000</v>
      </c>
      <c r="I10">
        <v>0</v>
      </c>
      <c r="J10">
        <v>381261451.69</v>
      </c>
      <c r="K10">
        <v>0</v>
      </c>
      <c r="L10">
        <v>3.2596815429794562E-2</v>
      </c>
    </row>
    <row r="11" spans="1:12">
      <c r="A11">
        <v>0.66448651632447908</v>
      </c>
      <c r="B11" t="s">
        <v>1190</v>
      </c>
      <c r="C11">
        <v>48177739</v>
      </c>
      <c r="D11">
        <v>0</v>
      </c>
      <c r="E11">
        <v>32013457.952499993</v>
      </c>
      <c r="F11">
        <v>0</v>
      </c>
      <c r="G11">
        <v>80191196.952499986</v>
      </c>
      <c r="H11">
        <v>146737928</v>
      </c>
      <c r="I11">
        <v>15000000</v>
      </c>
      <c r="J11">
        <v>226929124.95249999</v>
      </c>
      <c r="K11">
        <v>15000000</v>
      </c>
      <c r="L11">
        <v>1.9401821949038781E-2</v>
      </c>
    </row>
    <row r="12" spans="1:12">
      <c r="A12">
        <v>2.9738466296321957</v>
      </c>
      <c r="B12" t="s">
        <v>1191</v>
      </c>
      <c r="C12">
        <v>22123713</v>
      </c>
      <c r="D12">
        <v>0</v>
      </c>
      <c r="E12">
        <v>65792529.339999996</v>
      </c>
      <c r="F12">
        <v>0</v>
      </c>
      <c r="G12">
        <v>87916242.340000004</v>
      </c>
      <c r="H12">
        <v>92300000</v>
      </c>
      <c r="I12">
        <v>20000000</v>
      </c>
      <c r="J12">
        <v>180216242.34</v>
      </c>
      <c r="K12">
        <v>20000000</v>
      </c>
      <c r="L12">
        <v>1.5407997747919682E-2</v>
      </c>
    </row>
    <row r="13" spans="1:12">
      <c r="A13">
        <v>0.60025008573144556</v>
      </c>
      <c r="B13" t="s">
        <v>1192</v>
      </c>
      <c r="C13">
        <v>323189953</v>
      </c>
      <c r="D13">
        <v>0</v>
      </c>
      <c r="E13">
        <v>193994796.99579185</v>
      </c>
      <c r="F13">
        <v>50000000</v>
      </c>
      <c r="G13">
        <v>517184749.99579185</v>
      </c>
      <c r="H13">
        <v>0</v>
      </c>
      <c r="I13">
        <v>0</v>
      </c>
      <c r="J13">
        <v>517184749.99579185</v>
      </c>
      <c r="K13">
        <v>50000000</v>
      </c>
      <c r="L13">
        <v>4.4217887132279025E-2</v>
      </c>
    </row>
    <row r="14" spans="1:12">
      <c r="A14">
        <v>0.89974537407901711</v>
      </c>
      <c r="B14" t="s">
        <v>1161</v>
      </c>
      <c r="C14">
        <v>31847496</v>
      </c>
      <c r="D14">
        <v>0</v>
      </c>
      <c r="E14">
        <v>28654637.202</v>
      </c>
      <c r="F14">
        <v>0</v>
      </c>
      <c r="G14">
        <v>60502133.202</v>
      </c>
      <c r="H14">
        <v>15000000</v>
      </c>
      <c r="I14">
        <v>0</v>
      </c>
      <c r="J14">
        <v>75502133.201999992</v>
      </c>
      <c r="K14">
        <v>0</v>
      </c>
      <c r="L14">
        <v>6.4552266945216326E-3</v>
      </c>
    </row>
    <row r="15" spans="1:12">
      <c r="A15">
        <v>0.90151336110490432</v>
      </c>
      <c r="B15" t="s">
        <v>1164</v>
      </c>
      <c r="C15">
        <v>478403137</v>
      </c>
      <c r="D15">
        <v>0</v>
      </c>
      <c r="E15">
        <v>431286820</v>
      </c>
      <c r="F15">
        <v>150000000</v>
      </c>
      <c r="G15">
        <v>909689957</v>
      </c>
      <c r="H15">
        <v>0</v>
      </c>
      <c r="I15">
        <v>-150000000</v>
      </c>
      <c r="J15">
        <v>909689957</v>
      </c>
      <c r="K15">
        <v>0</v>
      </c>
      <c r="L15">
        <v>7.7776013009511702E-2</v>
      </c>
    </row>
    <row r="16" spans="1:12">
      <c r="A16">
        <v>1.6619216667217678</v>
      </c>
      <c r="B16" t="s">
        <v>1167</v>
      </c>
      <c r="C16">
        <v>28644301</v>
      </c>
      <c r="D16">
        <v>0</v>
      </c>
      <c r="E16">
        <v>47604584.460000001</v>
      </c>
      <c r="F16">
        <v>0</v>
      </c>
      <c r="G16">
        <v>76248885.460000008</v>
      </c>
      <c r="H16">
        <v>94101626</v>
      </c>
      <c r="I16">
        <v>15000000</v>
      </c>
      <c r="J16">
        <v>170350511.46000001</v>
      </c>
      <c r="K16">
        <v>15000000</v>
      </c>
      <c r="L16">
        <v>1.4564504635385275E-2</v>
      </c>
    </row>
    <row r="17" spans="1:12">
      <c r="A17">
        <v>0.34805913782642911</v>
      </c>
      <c r="B17" t="s">
        <v>1169</v>
      </c>
      <c r="C17">
        <v>35850142.759999998</v>
      </c>
      <c r="D17">
        <v>10000000</v>
      </c>
      <c r="E17">
        <v>12477969.779999999</v>
      </c>
      <c r="F17">
        <v>0</v>
      </c>
      <c r="G17">
        <v>48328112.539999999</v>
      </c>
      <c r="H17">
        <v>39900000</v>
      </c>
      <c r="I17">
        <v>10000000</v>
      </c>
      <c r="J17">
        <v>88228112.539999992</v>
      </c>
      <c r="K17">
        <v>20000000</v>
      </c>
      <c r="L17">
        <v>7.5432632578966699E-3</v>
      </c>
    </row>
    <row r="18" spans="1:12">
      <c r="A18">
        <v>0.23490552514213189</v>
      </c>
      <c r="B18" t="s">
        <v>1193</v>
      </c>
      <c r="C18">
        <v>264931809</v>
      </c>
      <c r="D18">
        <v>0</v>
      </c>
      <c r="E18">
        <v>62233945.719999984</v>
      </c>
      <c r="F18">
        <v>0</v>
      </c>
      <c r="G18">
        <v>327165754.71999997</v>
      </c>
      <c r="H18">
        <v>497234750</v>
      </c>
      <c r="I18">
        <v>15000000</v>
      </c>
      <c r="J18">
        <v>824400504.72000003</v>
      </c>
      <c r="K18">
        <v>15000000</v>
      </c>
      <c r="L18">
        <v>7.0483997197905449E-2</v>
      </c>
    </row>
    <row r="19" spans="1:12">
      <c r="A19">
        <v>0.30059118911913169</v>
      </c>
      <c r="B19" t="s">
        <v>1194</v>
      </c>
      <c r="C19">
        <v>42657551</v>
      </c>
      <c r="D19">
        <v>0</v>
      </c>
      <c r="E19">
        <v>12822483.980000004</v>
      </c>
      <c r="F19">
        <v>0</v>
      </c>
      <c r="G19">
        <v>55480034.980000004</v>
      </c>
      <c r="H19">
        <v>108222752</v>
      </c>
      <c r="I19">
        <v>20000000</v>
      </c>
      <c r="J19">
        <v>163702786.98000002</v>
      </c>
      <c r="K19">
        <v>20000000</v>
      </c>
      <c r="L19">
        <v>1.3996142303074588E-2</v>
      </c>
    </row>
    <row r="20" spans="1:12">
      <c r="B20" t="s">
        <v>1195</v>
      </c>
      <c r="C20">
        <v>5442090801.0699997</v>
      </c>
      <c r="D20">
        <v>-211351614.26448607</v>
      </c>
      <c r="E20">
        <v>2740002095.332181</v>
      </c>
      <c r="F20">
        <v>199999999.66666666</v>
      </c>
      <c r="G20">
        <v>8182092896.4021797</v>
      </c>
      <c r="H20">
        <v>3514186223.5978203</v>
      </c>
      <c r="I20">
        <v>61351614.597820282</v>
      </c>
      <c r="J20">
        <v>11696279120</v>
      </c>
      <c r="K20">
        <v>50000000.000000745</v>
      </c>
      <c r="L20">
        <v>1</v>
      </c>
    </row>
    <row r="21" spans="1:12">
      <c r="B21" t="s">
        <v>1196</v>
      </c>
      <c r="C21">
        <v>0.46528393733049006</v>
      </c>
      <c r="D21">
        <v>-1.8069987223807468E-2</v>
      </c>
      <c r="E21">
        <v>0.23426271442572932</v>
      </c>
      <c r="F21">
        <v>1.709945510146706E-2</v>
      </c>
      <c r="G21">
        <v>0.69954665175621922</v>
      </c>
      <c r="H21">
        <v>0.30045334824378062</v>
      </c>
      <c r="I21">
        <v>5.2453959048320217E-3</v>
      </c>
      <c r="K21">
        <v>4.2748637824916022E-3</v>
      </c>
    </row>
    <row r="25" spans="1:12">
      <c r="B25" t="s">
        <v>1183</v>
      </c>
      <c r="C25">
        <v>548817887</v>
      </c>
      <c r="E25">
        <v>641806499.62002397</v>
      </c>
      <c r="G25">
        <v>1190624386.620024</v>
      </c>
      <c r="H25">
        <v>813000000</v>
      </c>
      <c r="J25">
        <v>2003624386.620024</v>
      </c>
      <c r="L25">
        <v>0.17203987350597039</v>
      </c>
    </row>
    <row r="26" spans="1:12">
      <c r="B26" t="s">
        <v>1184</v>
      </c>
      <c r="C26">
        <v>90946257.560000002</v>
      </c>
      <c r="E26">
        <v>73295300.620000005</v>
      </c>
      <c r="G26">
        <v>164241558.18000001</v>
      </c>
      <c r="H26">
        <v>29700000</v>
      </c>
      <c r="J26">
        <v>193941558.18000001</v>
      </c>
      <c r="L26">
        <v>1.6652662724435888E-2</v>
      </c>
    </row>
    <row r="27" spans="1:12">
      <c r="B27" t="s">
        <v>1185</v>
      </c>
      <c r="C27">
        <v>58194466</v>
      </c>
      <c r="E27">
        <v>43449389.729999997</v>
      </c>
      <c r="G27">
        <v>101643855.72999999</v>
      </c>
      <c r="H27">
        <v>447507486</v>
      </c>
      <c r="J27">
        <v>549151341.73000002</v>
      </c>
      <c r="L27">
        <v>4.7152514212625195E-2</v>
      </c>
    </row>
    <row r="28" spans="1:12">
      <c r="B28" t="s">
        <v>1186</v>
      </c>
      <c r="C28">
        <v>1015967173.7644861</v>
      </c>
      <c r="E28">
        <v>53012560.726598367</v>
      </c>
      <c r="G28">
        <v>1068979734.4910845</v>
      </c>
      <c r="H28">
        <v>200027917</v>
      </c>
      <c r="J28">
        <v>1269007651.4910846</v>
      </c>
      <c r="L28">
        <v>0.10896249681255146</v>
      </c>
    </row>
    <row r="29" spans="1:12">
      <c r="B29" t="s">
        <v>1187</v>
      </c>
      <c r="C29">
        <v>99203247</v>
      </c>
      <c r="E29">
        <v>55483200</v>
      </c>
      <c r="G29">
        <v>154686447</v>
      </c>
      <c r="H29">
        <v>499249652</v>
      </c>
      <c r="J29">
        <v>653936099</v>
      </c>
      <c r="L29">
        <v>5.6149787607013835E-2</v>
      </c>
    </row>
    <row r="30" spans="1:12">
      <c r="B30" t="s">
        <v>1188</v>
      </c>
      <c r="C30">
        <v>2497270315</v>
      </c>
      <c r="E30">
        <v>912069695.09859979</v>
      </c>
      <c r="G30">
        <v>3409340010.0985999</v>
      </c>
      <c r="H30">
        <v>184812498</v>
      </c>
      <c r="J30">
        <v>3594152508.0985999</v>
      </c>
      <c r="L30">
        <v>0.30860951133537662</v>
      </c>
    </row>
    <row r="31" spans="1:12">
      <c r="B31" t="s">
        <v>1189</v>
      </c>
      <c r="C31">
        <v>77217227.25</v>
      </c>
      <c r="E31">
        <v>74004224.439999998</v>
      </c>
      <c r="G31">
        <v>151221451.69</v>
      </c>
      <c r="H31">
        <v>230040000</v>
      </c>
      <c r="J31">
        <v>381261451.69</v>
      </c>
      <c r="L31">
        <v>3.2736760622134223E-2</v>
      </c>
    </row>
    <row r="32" spans="1:12">
      <c r="B32" t="s">
        <v>1190</v>
      </c>
      <c r="C32">
        <v>48177739</v>
      </c>
      <c r="E32">
        <v>32013457.952499993</v>
      </c>
      <c r="G32">
        <v>80191196.952499986</v>
      </c>
      <c r="H32">
        <v>131737928</v>
      </c>
      <c r="J32">
        <v>211929124.95249999</v>
      </c>
      <c r="L32">
        <v>1.819715316530212E-2</v>
      </c>
    </row>
    <row r="33" spans="2:12">
      <c r="B33" t="s">
        <v>1191</v>
      </c>
      <c r="C33">
        <v>22123713</v>
      </c>
      <c r="E33">
        <v>65792529.339999996</v>
      </c>
      <c r="G33">
        <v>87916242.340000004</v>
      </c>
      <c r="H33">
        <v>72300000</v>
      </c>
      <c r="J33">
        <v>160216242.34</v>
      </c>
      <c r="L33">
        <v>1.3756860941522755E-2</v>
      </c>
    </row>
    <row r="34" spans="2:12">
      <c r="B34" t="s">
        <v>1192</v>
      </c>
      <c r="C34">
        <v>323189953</v>
      </c>
      <c r="E34">
        <v>143994796.99579185</v>
      </c>
      <c r="G34">
        <v>467184749.99579185</v>
      </c>
      <c r="H34">
        <v>0</v>
      </c>
      <c r="J34">
        <v>467184749.99579185</v>
      </c>
      <c r="L34">
        <v>4.011450740464409E-2</v>
      </c>
    </row>
    <row r="35" spans="2:12">
      <c r="B35" t="s">
        <v>1161</v>
      </c>
      <c r="C35">
        <v>31847496</v>
      </c>
      <c r="E35">
        <v>28654637.202</v>
      </c>
      <c r="G35">
        <v>60502133.202</v>
      </c>
      <c r="H35">
        <v>15000000</v>
      </c>
      <c r="J35">
        <v>75502133.201999992</v>
      </c>
      <c r="L35">
        <v>6.4829403815628277E-3</v>
      </c>
    </row>
    <row r="36" spans="2:12">
      <c r="B36" t="s">
        <v>1164</v>
      </c>
      <c r="C36">
        <v>478403137</v>
      </c>
      <c r="E36">
        <v>281286820</v>
      </c>
      <c r="G36">
        <v>759689957</v>
      </c>
      <c r="H36">
        <v>150000000</v>
      </c>
      <c r="J36">
        <v>909689957</v>
      </c>
      <c r="L36">
        <v>7.8109922287351127E-2</v>
      </c>
    </row>
    <row r="37" spans="2:12">
      <c r="B37" t="s">
        <v>1167</v>
      </c>
      <c r="C37">
        <v>28644301</v>
      </c>
      <c r="E37">
        <v>47604584.460000001</v>
      </c>
      <c r="G37">
        <v>76248885.460000008</v>
      </c>
      <c r="H37">
        <v>79101626</v>
      </c>
      <c r="J37">
        <v>155350511.46000001</v>
      </c>
      <c r="L37">
        <v>1.3339068200178944E-2</v>
      </c>
    </row>
    <row r="38" spans="2:12">
      <c r="B38" t="s">
        <v>1169</v>
      </c>
      <c r="C38">
        <v>25850142.759999998</v>
      </c>
      <c r="E38">
        <v>12477969.779999999</v>
      </c>
      <c r="G38">
        <v>38328112.539999999</v>
      </c>
      <c r="H38">
        <v>29900000</v>
      </c>
      <c r="J38">
        <v>68228112.539999992</v>
      </c>
      <c r="L38">
        <v>5.8583614420534332E-3</v>
      </c>
    </row>
    <row r="39" spans="2:12">
      <c r="B39" t="s">
        <v>1193</v>
      </c>
      <c r="C39">
        <v>264931809</v>
      </c>
      <c r="E39">
        <v>62233945.719999984</v>
      </c>
      <c r="G39">
        <v>327165754.71999997</v>
      </c>
      <c r="H39">
        <v>482234750</v>
      </c>
      <c r="J39">
        <v>809400504.72000003</v>
      </c>
      <c r="L39">
        <v>6.9498635261971989E-2</v>
      </c>
    </row>
    <row r="40" spans="2:12">
      <c r="B40" t="s">
        <v>1194</v>
      </c>
      <c r="C40">
        <v>42657551</v>
      </c>
      <c r="E40">
        <v>12822483.980000004</v>
      </c>
      <c r="G40">
        <v>55480034.980000004</v>
      </c>
      <c r="H40">
        <v>88222752</v>
      </c>
      <c r="J40">
        <v>143702786.98000002</v>
      </c>
      <c r="L40">
        <v>1.2338944095305181E-2</v>
      </c>
    </row>
    <row r="41" spans="2:12">
      <c r="B41" t="s">
        <v>1195</v>
      </c>
      <c r="C41">
        <v>5653442415.334486</v>
      </c>
      <c r="E41">
        <v>2540002095.6655145</v>
      </c>
      <c r="G41">
        <v>8193444511</v>
      </c>
      <c r="H41">
        <v>3452834609</v>
      </c>
      <c r="J41">
        <v>11646279120</v>
      </c>
      <c r="L41">
        <v>1</v>
      </c>
    </row>
    <row r="42" spans="2:12">
      <c r="B42" t="s">
        <v>1196</v>
      </c>
      <c r="C42">
        <v>48.542906769475451</v>
      </c>
      <c r="E42">
        <v>21.809558825561741</v>
      </c>
      <c r="G42">
        <v>70.352465595037188</v>
      </c>
      <c r="H42">
        <v>29.647534404962808</v>
      </c>
      <c r="J42">
        <v>100</v>
      </c>
    </row>
  </sheetData>
  <pageMargins left="0.7" right="0.7" top="0.75" bottom="0.75" header="0.3" footer="0.3"/>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E23"/>
  <sheetViews>
    <sheetView topLeftCell="B1" zoomScale="130" workbookViewId="0">
      <selection activeCell="G15" sqref="G15"/>
    </sheetView>
  </sheetViews>
  <sheetFormatPr defaultColWidth="10" defaultRowHeight="13.8"/>
  <cols>
    <col min="1" max="1" width="62.44140625" style="2129" customWidth="1"/>
    <col min="2" max="2" width="21" style="224" customWidth="1"/>
    <col min="3" max="3" width="23.6640625" style="224" customWidth="1"/>
    <col min="4" max="4" width="19.88671875" style="224" customWidth="1"/>
    <col min="5" max="5" width="12.44140625" style="224" customWidth="1"/>
    <col min="6" max="16384" width="10" style="224"/>
  </cols>
  <sheetData>
    <row r="1" spans="1:5" ht="17.399999999999999">
      <c r="A1" s="2284" t="s">
        <v>2485</v>
      </c>
      <c r="B1" s="2284"/>
      <c r="C1" s="2284"/>
      <c r="D1" s="2284"/>
    </row>
    <row r="2" spans="1:5" ht="27.6">
      <c r="A2" s="2286" t="s">
        <v>1128</v>
      </c>
      <c r="B2" s="2130" t="s">
        <v>1197</v>
      </c>
      <c r="C2" s="2130" t="s">
        <v>1198</v>
      </c>
      <c r="D2" s="2130" t="s">
        <v>1199</v>
      </c>
    </row>
    <row r="3" spans="1:5">
      <c r="A3" s="2286"/>
      <c r="B3" s="2285" t="s">
        <v>1200</v>
      </c>
      <c r="C3" s="2285"/>
      <c r="D3" s="2285"/>
    </row>
    <row r="4" spans="1:5">
      <c r="A4" s="2131" t="s">
        <v>1183</v>
      </c>
      <c r="B4" s="2132">
        <f>Programmes!C6</f>
        <v>1369068206.2299302</v>
      </c>
      <c r="C4" s="2132">
        <f>Programmes!D6</f>
        <v>1088098782.1231112</v>
      </c>
      <c r="D4" s="2132">
        <f>B4+C4</f>
        <v>2457166988.3530416</v>
      </c>
      <c r="E4" s="1347"/>
    </row>
    <row r="5" spans="1:5">
      <c r="A5" s="2133" t="s">
        <v>1184</v>
      </c>
      <c r="B5" s="2132">
        <f>Programmes!C24</f>
        <v>157371211.002</v>
      </c>
      <c r="C5" s="2132">
        <f>Programmes!D24</f>
        <v>29323991</v>
      </c>
      <c r="D5" s="2132">
        <f>B5+C5</f>
        <v>186695202.002</v>
      </c>
      <c r="E5" s="1347"/>
    </row>
    <row r="6" spans="1:5">
      <c r="A6" s="2134" t="s">
        <v>1185</v>
      </c>
      <c r="B6" s="2132">
        <f>Programmes!C31</f>
        <v>139446794</v>
      </c>
      <c r="C6" s="2132">
        <f>Programmes!D31</f>
        <v>592511933</v>
      </c>
      <c r="D6" s="2132">
        <f t="shared" ref="D6:D15" si="0">B6+C6</f>
        <v>731958727</v>
      </c>
      <c r="E6" s="1347"/>
    </row>
    <row r="7" spans="1:5">
      <c r="A7" s="2134" t="s">
        <v>1186</v>
      </c>
      <c r="B7" s="2132">
        <f>Programmes!C37</f>
        <v>941467773.00659633</v>
      </c>
      <c r="C7" s="2132">
        <f>Programmes!D37</f>
        <v>126319062.20881446</v>
      </c>
      <c r="D7" s="2132">
        <f t="shared" si="0"/>
        <v>1067786835.2154108</v>
      </c>
      <c r="E7" s="1347"/>
    </row>
    <row r="8" spans="1:5">
      <c r="A8" s="2134" t="s">
        <v>1187</v>
      </c>
      <c r="B8" s="2132">
        <f>Programmes!C42</f>
        <v>214260323</v>
      </c>
      <c r="C8" s="2132">
        <f>Programmes!D42</f>
        <v>285970041.5739609</v>
      </c>
      <c r="D8" s="2132">
        <f t="shared" si="0"/>
        <v>500230364.5739609</v>
      </c>
      <c r="E8" s="1347"/>
    </row>
    <row r="9" spans="1:5">
      <c r="A9" s="2134" t="s">
        <v>1188</v>
      </c>
      <c r="B9" s="2132">
        <f>Programmes!C47</f>
        <v>3979513261.2974596</v>
      </c>
      <c r="C9" s="2132">
        <f>Programmes!D47</f>
        <v>385137009.30000186</v>
      </c>
      <c r="D9" s="2132">
        <f t="shared" si="0"/>
        <v>4364650270.5974617</v>
      </c>
      <c r="E9" s="1347"/>
    </row>
    <row r="10" spans="1:5">
      <c r="A10" s="2134" t="s">
        <v>1189</v>
      </c>
      <c r="B10" s="2132">
        <f>Programmes!C62</f>
        <v>194406966</v>
      </c>
      <c r="C10" s="2132">
        <f>Programmes!D62</f>
        <v>631896664.94775796</v>
      </c>
      <c r="D10" s="2132">
        <f t="shared" si="0"/>
        <v>826303630.94775796</v>
      </c>
      <c r="E10" s="1347"/>
    </row>
    <row r="11" spans="1:5" ht="27.6">
      <c r="A11" s="2134" t="s">
        <v>1190</v>
      </c>
      <c r="B11" s="2132">
        <f>Programmes!C68</f>
        <v>120676860.99999999</v>
      </c>
      <c r="C11" s="2132">
        <f>Programmes!D68</f>
        <v>364715801.19567716</v>
      </c>
      <c r="D11" s="2132">
        <f t="shared" si="0"/>
        <v>485392662.19567716</v>
      </c>
      <c r="E11" s="1347"/>
    </row>
    <row r="12" spans="1:5">
      <c r="A12" s="2134" t="s">
        <v>1191</v>
      </c>
      <c r="B12" s="2132">
        <f>Programmes!C81</f>
        <v>170128787.74000001</v>
      </c>
      <c r="C12" s="2132">
        <f>Programmes!D81</f>
        <v>43956563.476212204</v>
      </c>
      <c r="D12" s="2132">
        <f t="shared" si="0"/>
        <v>214085351.21621221</v>
      </c>
      <c r="E12" s="1347"/>
    </row>
    <row r="13" spans="1:5">
      <c r="A13" s="2134" t="s">
        <v>1192</v>
      </c>
      <c r="B13" s="2132">
        <f>Programmes!C91</f>
        <v>443653372.36719048</v>
      </c>
      <c r="C13" s="2132">
        <f>Programmes!D91</f>
        <v>94723298.549999997</v>
      </c>
      <c r="D13" s="2132">
        <f t="shared" si="0"/>
        <v>538376670.91719043</v>
      </c>
      <c r="E13" s="1347"/>
    </row>
    <row r="14" spans="1:5">
      <c r="A14" s="2134" t="s">
        <v>1193</v>
      </c>
      <c r="B14" s="2132">
        <f>Programmes!C122</f>
        <v>358396307</v>
      </c>
      <c r="C14" s="2132">
        <f>Programmes!D122</f>
        <v>580217670.67609525</v>
      </c>
      <c r="D14" s="2132">
        <f t="shared" si="0"/>
        <v>938613977.67609525</v>
      </c>
      <c r="E14" s="1347"/>
    </row>
    <row r="15" spans="1:5">
      <c r="A15" s="2134" t="s">
        <v>1194</v>
      </c>
      <c r="B15" s="2132">
        <f>Programmes!C131</f>
        <v>102234063.50000237</v>
      </c>
      <c r="C15" s="2132">
        <f>Programmes!D131</f>
        <v>265625923.89939308</v>
      </c>
      <c r="D15" s="2132">
        <f t="shared" si="0"/>
        <v>367859987.39939547</v>
      </c>
      <c r="E15" s="1347"/>
    </row>
    <row r="16" spans="1:5">
      <c r="A16" s="2134" t="s">
        <v>1167</v>
      </c>
      <c r="B16" s="2132">
        <f>Programmes!C108</f>
        <v>91738303</v>
      </c>
      <c r="C16" s="2132">
        <f>Programmes!D108</f>
        <v>68177733.0650886</v>
      </c>
      <c r="D16" s="2132">
        <f>B16+C16</f>
        <v>159916036.0650886</v>
      </c>
      <c r="E16" s="1347"/>
    </row>
    <row r="17" spans="1:5">
      <c r="A17" s="2134" t="s">
        <v>1169</v>
      </c>
      <c r="B17" s="2132">
        <f>Programmes!C114</f>
        <v>69791817.400000006</v>
      </c>
      <c r="C17" s="2132">
        <f>Programmes!D114</f>
        <v>29444468</v>
      </c>
      <c r="D17" s="2132">
        <f>B17+C17</f>
        <v>99236285.400000006</v>
      </c>
      <c r="E17" s="1347"/>
    </row>
    <row r="18" spans="1:5">
      <c r="A18" s="2134" t="s">
        <v>1161</v>
      </c>
      <c r="B18" s="2132">
        <f>Programmes!C100</f>
        <v>63978064.048314273</v>
      </c>
      <c r="C18" s="2132">
        <f>Programmes!D100</f>
        <v>24734068.422483109</v>
      </c>
      <c r="D18" s="2132">
        <f>B18+C18</f>
        <v>88712132.47079739</v>
      </c>
      <c r="E18" s="1347"/>
    </row>
    <row r="19" spans="1:5">
      <c r="A19" s="2134" t="s">
        <v>1164</v>
      </c>
      <c r="B19" s="2132">
        <f>Programmes!C105</f>
        <v>1130130552</v>
      </c>
      <c r="C19" s="2132">
        <f>Programmes!D105</f>
        <v>140900561</v>
      </c>
      <c r="D19" s="2132">
        <f>B19+C19</f>
        <v>1271031113</v>
      </c>
      <c r="E19" s="1347"/>
    </row>
    <row r="20" spans="1:5">
      <c r="A20" s="2135" t="s">
        <v>1172</v>
      </c>
      <c r="B20" s="2136">
        <f>SUM(B4:B19)</f>
        <v>9546262662.5914917</v>
      </c>
      <c r="C20" s="2136">
        <f t="shared" ref="C20:D20" si="1">SUM(C4:C19)</f>
        <v>4751753572.4385958</v>
      </c>
      <c r="D20" s="2136">
        <f t="shared" si="1"/>
        <v>14298016235.030087</v>
      </c>
      <c r="E20" s="1347"/>
    </row>
    <row r="21" spans="1:5">
      <c r="A21" s="2137"/>
      <c r="B21" s="2138">
        <f>B20/D20</f>
        <v>0.66766343705801534</v>
      </c>
      <c r="C21" s="2138">
        <f>C20/D20</f>
        <v>0.33233656294198471</v>
      </c>
      <c r="D21" s="2138">
        <f>B21+C21</f>
        <v>1</v>
      </c>
    </row>
    <row r="23" spans="1:5">
      <c r="D23" s="2139" t="e">
        <f>D20-FINAL RESOURCE [2]!_Hlk195011477</f>
        <v>#NAME?</v>
      </c>
    </row>
  </sheetData>
  <mergeCells count="3">
    <mergeCell ref="A1:D1"/>
    <mergeCell ref="B3:D3"/>
    <mergeCell ref="A2:A3"/>
  </mergeCells>
  <pageMargins left="0.7" right="0.7" top="0.75" bottom="0.75" header="0.3" footer="0.3"/>
  <pageSetup paperSize="9" scale="79"/>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000"/>
    <pageSetUpPr fitToPage="1"/>
  </sheetPr>
  <dimension ref="A1:I67"/>
  <sheetViews>
    <sheetView zoomScale="145" workbookViewId="0">
      <selection activeCell="F18" sqref="F18"/>
    </sheetView>
  </sheetViews>
  <sheetFormatPr defaultColWidth="8.5546875" defaultRowHeight="13.2"/>
  <cols>
    <col min="1" max="1" width="6.44140625" style="2140" customWidth="1"/>
    <col min="2" max="2" width="31.5546875" style="2140" customWidth="1"/>
    <col min="3" max="3" width="14.44140625" style="2141" bestFit="1" customWidth="1"/>
    <col min="4" max="4" width="15.44140625" style="2142" bestFit="1" customWidth="1"/>
    <col min="5" max="5" width="15.44140625" style="2143" bestFit="1" customWidth="1"/>
    <col min="6" max="6" width="17" style="2140" customWidth="1"/>
    <col min="7" max="7" width="10.5546875" style="2140" customWidth="1"/>
    <col min="8" max="8" width="11.5546875" style="2140" bestFit="1" customWidth="1"/>
    <col min="9" max="16384" width="8.5546875" style="2140"/>
  </cols>
  <sheetData>
    <row r="1" spans="1:5" ht="14.4" customHeight="1">
      <c r="A1" s="2291" t="s">
        <v>2033</v>
      </c>
      <c r="B1" s="2291"/>
      <c r="C1" s="2291"/>
      <c r="D1" s="2291"/>
      <c r="E1" s="2291"/>
    </row>
    <row r="2" spans="1:5" ht="14.4" customHeight="1">
      <c r="A2" s="2292" t="s">
        <v>1127</v>
      </c>
      <c r="B2" s="2289"/>
      <c r="C2" s="2289"/>
      <c r="D2" s="2289"/>
      <c r="E2" s="2290"/>
    </row>
    <row r="3" spans="1:5" ht="13.35" customHeight="1">
      <c r="A3" s="2288" t="s">
        <v>2486</v>
      </c>
      <c r="B3" s="2289"/>
      <c r="C3" s="2289"/>
      <c r="D3" s="2289"/>
      <c r="E3" s="2290"/>
    </row>
    <row r="4" spans="1:5" s="2144" customFormat="1" ht="66">
      <c r="A4" s="2293" t="s">
        <v>1201</v>
      </c>
      <c r="B4" s="2294" t="s">
        <v>1202</v>
      </c>
      <c r="C4" s="2145" t="s">
        <v>2458</v>
      </c>
      <c r="D4" s="2146" t="s">
        <v>2459</v>
      </c>
      <c r="E4" s="2145" t="s">
        <v>2460</v>
      </c>
    </row>
    <row r="5" spans="1:5" s="2144" customFormat="1">
      <c r="A5" s="2293"/>
      <c r="B5" s="2294"/>
      <c r="C5" s="2147" t="s">
        <v>1132</v>
      </c>
      <c r="D5" s="2148" t="s">
        <v>2030</v>
      </c>
      <c r="E5" s="2149" t="s">
        <v>2030</v>
      </c>
    </row>
    <row r="6" spans="1:5">
      <c r="A6" s="2150">
        <v>1</v>
      </c>
      <c r="B6" s="2150" t="s">
        <v>1203</v>
      </c>
      <c r="C6" s="2151"/>
      <c r="D6" s="2148"/>
      <c r="E6" s="2152"/>
    </row>
    <row r="7" spans="1:5">
      <c r="A7" s="2153"/>
      <c r="B7" s="2154" t="s">
        <v>1203</v>
      </c>
      <c r="C7" s="2155">
        <v>11244322462</v>
      </c>
      <c r="D7" s="2156">
        <v>10885968099</v>
      </c>
      <c r="E7" s="2157">
        <f>D7-C7</f>
        <v>-358354363</v>
      </c>
    </row>
    <row r="8" spans="1:5">
      <c r="A8" s="2153"/>
      <c r="B8" s="2158" t="s">
        <v>1204</v>
      </c>
      <c r="C8" s="2155">
        <v>0</v>
      </c>
      <c r="D8" s="2156">
        <v>0</v>
      </c>
      <c r="E8" s="2157">
        <f t="shared" ref="E8:E67" si="0">D8-C8</f>
        <v>0</v>
      </c>
    </row>
    <row r="9" spans="1:5">
      <c r="A9" s="2159"/>
      <c r="B9" s="2160" t="s">
        <v>1205</v>
      </c>
      <c r="C9" s="2161">
        <v>11244322462</v>
      </c>
      <c r="D9" s="2162">
        <f>D7</f>
        <v>10885968099</v>
      </c>
      <c r="E9" s="2157">
        <f t="shared" si="0"/>
        <v>-358354363</v>
      </c>
    </row>
    <row r="10" spans="1:5">
      <c r="A10" s="2153"/>
      <c r="B10" s="2158"/>
      <c r="C10" s="2155"/>
      <c r="D10" s="2156"/>
      <c r="E10" s="2157">
        <f t="shared" si="0"/>
        <v>0</v>
      </c>
    </row>
    <row r="11" spans="1:5">
      <c r="A11" s="2153">
        <v>2</v>
      </c>
      <c r="B11" s="2150" t="s">
        <v>1206</v>
      </c>
      <c r="C11" s="2163"/>
      <c r="D11" s="2164"/>
      <c r="E11" s="2157">
        <f t="shared" si="0"/>
        <v>0</v>
      </c>
    </row>
    <row r="12" spans="1:5">
      <c r="A12" s="2154"/>
      <c r="B12" s="2154" t="s">
        <v>1207</v>
      </c>
      <c r="C12" s="2163"/>
      <c r="D12" s="2164"/>
      <c r="E12" s="2157">
        <f t="shared" si="0"/>
        <v>0</v>
      </c>
    </row>
    <row r="13" spans="1:5">
      <c r="A13" s="2154"/>
      <c r="B13" s="2154" t="s">
        <v>1208</v>
      </c>
      <c r="C13" s="2155">
        <v>0</v>
      </c>
      <c r="D13" s="2156">
        <v>0</v>
      </c>
      <c r="E13" s="2157">
        <f t="shared" si="0"/>
        <v>0</v>
      </c>
    </row>
    <row r="14" spans="1:5">
      <c r="A14" s="2154"/>
      <c r="B14" s="2154" t="s">
        <v>1209</v>
      </c>
      <c r="C14" s="2155">
        <v>445098849.88999999</v>
      </c>
      <c r="D14" s="2156">
        <v>0</v>
      </c>
      <c r="E14" s="2157">
        <f t="shared" si="0"/>
        <v>-445098849.88999999</v>
      </c>
    </row>
    <row r="15" spans="1:5">
      <c r="A15" s="2154"/>
      <c r="B15" s="2154" t="s">
        <v>1210</v>
      </c>
      <c r="C15" s="2155">
        <v>37500000</v>
      </c>
      <c r="D15" s="2156">
        <v>37500000</v>
      </c>
      <c r="E15" s="2157">
        <f t="shared" si="0"/>
        <v>0</v>
      </c>
    </row>
    <row r="16" spans="1:5">
      <c r="A16" s="2154"/>
      <c r="B16" s="2154" t="s">
        <v>1211</v>
      </c>
      <c r="C16" s="2155">
        <v>0</v>
      </c>
      <c r="D16" s="2156">
        <v>0</v>
      </c>
      <c r="E16" s="2157">
        <f t="shared" si="0"/>
        <v>0</v>
      </c>
    </row>
    <row r="17" spans="1:6" ht="26.4">
      <c r="A17" s="2154"/>
      <c r="B17" s="2154" t="s">
        <v>1212</v>
      </c>
      <c r="C17" s="2155">
        <v>0</v>
      </c>
      <c r="D17" s="2156">
        <v>0</v>
      </c>
      <c r="E17" s="2157">
        <f t="shared" si="0"/>
        <v>0</v>
      </c>
    </row>
    <row r="18" spans="1:6" ht="26.4">
      <c r="A18" s="2154"/>
      <c r="B18" s="2158" t="s">
        <v>1214</v>
      </c>
      <c r="C18" s="2155">
        <v>121025000</v>
      </c>
      <c r="D18" s="2156">
        <v>121025000</v>
      </c>
      <c r="E18" s="2157">
        <f t="shared" si="0"/>
        <v>0</v>
      </c>
    </row>
    <row r="19" spans="1:6" ht="39.6">
      <c r="A19" s="2154"/>
      <c r="B19" s="2158" t="s">
        <v>1215</v>
      </c>
      <c r="C19" s="2155">
        <v>151515152</v>
      </c>
      <c r="D19" s="2156">
        <v>151515152</v>
      </c>
      <c r="E19" s="2157">
        <f t="shared" si="0"/>
        <v>0</v>
      </c>
    </row>
    <row r="20" spans="1:6">
      <c r="A20" s="2154"/>
      <c r="B20" s="2154" t="s">
        <v>1216</v>
      </c>
      <c r="C20" s="2155">
        <v>13601250</v>
      </c>
      <c r="D20" s="2156">
        <v>13601250</v>
      </c>
      <c r="E20" s="2157">
        <f t="shared" si="0"/>
        <v>0</v>
      </c>
    </row>
    <row r="21" spans="1:6" ht="26.4">
      <c r="A21" s="2154"/>
      <c r="B21" s="2154" t="s">
        <v>1312</v>
      </c>
      <c r="C21" s="2165">
        <v>250000000</v>
      </c>
      <c r="D21" s="2166">
        <v>0</v>
      </c>
      <c r="E21" s="2157">
        <f t="shared" si="0"/>
        <v>-250000000</v>
      </c>
    </row>
    <row r="22" spans="1:6">
      <c r="A22" s="2154"/>
      <c r="B22" s="2154" t="s">
        <v>1313</v>
      </c>
      <c r="C22" s="2155">
        <v>58050445.130000003</v>
      </c>
      <c r="D22" s="2156">
        <v>74100000</v>
      </c>
      <c r="E22" s="2157">
        <f t="shared" si="0"/>
        <v>16049554.869999997</v>
      </c>
    </row>
    <row r="23" spans="1:6" ht="30" customHeight="1">
      <c r="A23" s="2154"/>
      <c r="B23" s="2167" t="s">
        <v>2550</v>
      </c>
      <c r="C23" s="2155"/>
      <c r="D23" s="2168">
        <v>43756694</v>
      </c>
      <c r="E23" s="2157">
        <f t="shared" si="0"/>
        <v>43756694</v>
      </c>
    </row>
    <row r="24" spans="1:6" ht="26.4">
      <c r="A24" s="2154"/>
      <c r="B24" s="2154" t="s">
        <v>1217</v>
      </c>
      <c r="C24" s="2155">
        <v>0</v>
      </c>
      <c r="D24" s="2156">
        <v>0</v>
      </c>
      <c r="E24" s="2157">
        <f t="shared" si="0"/>
        <v>0</v>
      </c>
    </row>
    <row r="25" spans="1:6" ht="39.6">
      <c r="A25" s="2154"/>
      <c r="B25" s="2154" t="s">
        <v>1218</v>
      </c>
      <c r="C25" s="2155">
        <v>0</v>
      </c>
      <c r="D25" s="2156">
        <v>0</v>
      </c>
      <c r="E25" s="2157">
        <f t="shared" si="0"/>
        <v>0</v>
      </c>
    </row>
    <row r="26" spans="1:6" ht="26.4">
      <c r="A26" s="2154"/>
      <c r="B26" s="2158" t="s">
        <v>1219</v>
      </c>
      <c r="C26" s="2155">
        <v>0</v>
      </c>
      <c r="D26" s="2156">
        <v>0</v>
      </c>
      <c r="E26" s="2157">
        <f t="shared" si="0"/>
        <v>0</v>
      </c>
    </row>
    <row r="27" spans="1:6">
      <c r="A27" s="2154"/>
      <c r="B27" s="2154" t="s">
        <v>1220</v>
      </c>
      <c r="C27" s="2155">
        <v>0</v>
      </c>
      <c r="D27" s="2156">
        <v>0</v>
      </c>
      <c r="E27" s="2157">
        <f t="shared" si="0"/>
        <v>0</v>
      </c>
    </row>
    <row r="28" spans="1:6" ht="26.4">
      <c r="A28" s="2154"/>
      <c r="B28" s="2154" t="s">
        <v>1221</v>
      </c>
      <c r="C28" s="2155">
        <v>0</v>
      </c>
      <c r="D28" s="2156">
        <v>0</v>
      </c>
      <c r="E28" s="2157">
        <f t="shared" si="0"/>
        <v>0</v>
      </c>
    </row>
    <row r="29" spans="1:6" ht="26.4">
      <c r="A29" s="2154"/>
      <c r="B29" s="2154" t="s">
        <v>1222</v>
      </c>
      <c r="C29" s="2165"/>
      <c r="D29" s="2166">
        <v>41801769</v>
      </c>
      <c r="E29" s="2157">
        <f t="shared" si="0"/>
        <v>41801769</v>
      </c>
      <c r="F29" s="2169">
        <f>D29-'Itemized Budget 2024-25'!J5033</f>
        <v>11450999</v>
      </c>
    </row>
    <row r="30" spans="1:6" ht="26.4">
      <c r="A30" s="2154"/>
      <c r="B30" s="2154" t="s">
        <v>1223</v>
      </c>
      <c r="C30" s="2155">
        <v>35000000</v>
      </c>
      <c r="D30" s="2156">
        <v>35000000</v>
      </c>
      <c r="E30" s="2157">
        <f t="shared" si="0"/>
        <v>0</v>
      </c>
      <c r="F30" s="2140">
        <f>E30/D30</f>
        <v>0</v>
      </c>
    </row>
    <row r="31" spans="1:6">
      <c r="A31" s="2154"/>
      <c r="B31" s="2154" t="s">
        <v>1224</v>
      </c>
      <c r="C31" s="2155">
        <v>0</v>
      </c>
      <c r="D31" s="2156">
        <v>0</v>
      </c>
      <c r="E31" s="2157">
        <f t="shared" si="0"/>
        <v>0</v>
      </c>
    </row>
    <row r="32" spans="1:6">
      <c r="A32" s="2154"/>
      <c r="B32" s="2154" t="s">
        <v>1314</v>
      </c>
      <c r="C32" s="2155">
        <v>50000</v>
      </c>
      <c r="D32" s="2156">
        <v>50000</v>
      </c>
      <c r="E32" s="2157">
        <f t="shared" si="0"/>
        <v>0</v>
      </c>
    </row>
    <row r="33" spans="1:6" ht="26.4">
      <c r="A33" s="2154"/>
      <c r="B33" s="2154" t="s">
        <v>1315</v>
      </c>
      <c r="C33" s="2155">
        <v>114279</v>
      </c>
      <c r="D33" s="2156">
        <v>0</v>
      </c>
      <c r="E33" s="2157">
        <f t="shared" si="0"/>
        <v>-114279</v>
      </c>
    </row>
    <row r="34" spans="1:6" ht="29.4" customHeight="1">
      <c r="A34" s="2154"/>
      <c r="B34" s="2167" t="s">
        <v>2551</v>
      </c>
      <c r="C34" s="2155"/>
      <c r="D34" s="2156">
        <v>10918919</v>
      </c>
      <c r="E34" s="2157">
        <f t="shared" si="0"/>
        <v>10918919</v>
      </c>
      <c r="F34" s="2170">
        <f>E34-8482950</f>
        <v>2435969</v>
      </c>
    </row>
    <row r="35" spans="1:6">
      <c r="A35" s="2167"/>
      <c r="B35" s="2167" t="s">
        <v>1225</v>
      </c>
      <c r="C35" s="2155">
        <v>0</v>
      </c>
      <c r="D35" s="2171">
        <v>0</v>
      </c>
      <c r="E35" s="2157">
        <f t="shared" si="0"/>
        <v>0</v>
      </c>
      <c r="F35" s="2172">
        <f>F34-'Itemized Budget 2024-25'!J4762</f>
        <v>0</v>
      </c>
    </row>
    <row r="36" spans="1:6">
      <c r="A36" s="2167"/>
      <c r="B36" s="2167" t="s">
        <v>1226</v>
      </c>
      <c r="C36" s="2155">
        <v>0</v>
      </c>
      <c r="D36" s="2171">
        <v>0</v>
      </c>
      <c r="E36" s="2157">
        <f t="shared" si="0"/>
        <v>0</v>
      </c>
      <c r="F36" s="2173"/>
    </row>
    <row r="37" spans="1:6">
      <c r="A37" s="2167"/>
      <c r="B37" s="2167" t="s">
        <v>1227</v>
      </c>
      <c r="C37" s="2155">
        <v>0</v>
      </c>
      <c r="D37" s="2171">
        <v>0</v>
      </c>
      <c r="E37" s="2157">
        <f t="shared" si="0"/>
        <v>0</v>
      </c>
      <c r="F37" s="2173"/>
    </row>
    <row r="38" spans="1:6">
      <c r="A38" s="2167"/>
      <c r="B38" s="2167" t="s">
        <v>1228</v>
      </c>
      <c r="C38" s="2155">
        <v>0</v>
      </c>
      <c r="D38" s="2171">
        <v>0</v>
      </c>
      <c r="E38" s="2157">
        <f t="shared" si="0"/>
        <v>0</v>
      </c>
      <c r="F38" s="2173"/>
    </row>
    <row r="39" spans="1:6">
      <c r="A39" s="2167"/>
      <c r="B39" s="2174" t="s">
        <v>1229</v>
      </c>
      <c r="C39" s="2175">
        <v>1111954976.02</v>
      </c>
      <c r="D39" s="2176">
        <f>SUM(D13:D38)</f>
        <v>529268784</v>
      </c>
      <c r="E39" s="2157">
        <f t="shared" si="0"/>
        <v>-582686192.01999998</v>
      </c>
      <c r="F39" s="2173"/>
    </row>
    <row r="40" spans="1:6">
      <c r="A40" s="2167"/>
      <c r="B40" s="2167"/>
      <c r="C40" s="2161">
        <v>12356277438.02</v>
      </c>
      <c r="D40" s="2177">
        <f>D9+D39</f>
        <v>11415236883</v>
      </c>
      <c r="E40" s="2157">
        <f t="shared" si="0"/>
        <v>-941040555.02000046</v>
      </c>
      <c r="F40" s="2173">
        <f>E40/D40</f>
        <v>-8.243723408153128E-2</v>
      </c>
    </row>
    <row r="41" spans="1:6">
      <c r="A41" s="2287">
        <v>3</v>
      </c>
      <c r="B41" s="2152" t="s">
        <v>1230</v>
      </c>
      <c r="C41" s="2163"/>
      <c r="D41" s="2178"/>
      <c r="E41" s="2157">
        <f t="shared" si="0"/>
        <v>0</v>
      </c>
      <c r="F41" s="2173"/>
    </row>
    <row r="42" spans="1:6">
      <c r="A42" s="2287"/>
      <c r="B42" s="2174" t="s">
        <v>1231</v>
      </c>
      <c r="C42" s="2163"/>
      <c r="D42" s="2178"/>
      <c r="E42" s="2157">
        <f t="shared" si="0"/>
        <v>0</v>
      </c>
      <c r="F42" s="2173"/>
    </row>
    <row r="43" spans="1:6">
      <c r="A43" s="2167"/>
      <c r="B43" s="2167" t="s">
        <v>1183</v>
      </c>
      <c r="C43" s="2163">
        <v>14839375.659738045</v>
      </c>
      <c r="D43" s="2179">
        <v>35875855.328121819</v>
      </c>
      <c r="E43" s="2157">
        <f t="shared" si="0"/>
        <v>21036479.668383773</v>
      </c>
      <c r="F43" s="2173"/>
    </row>
    <row r="44" spans="1:6">
      <c r="A44" s="2167"/>
      <c r="B44" s="2167" t="s">
        <v>1184</v>
      </c>
      <c r="C44" s="2163">
        <v>109921.30118324475</v>
      </c>
      <c r="D44" s="2179">
        <v>0</v>
      </c>
      <c r="E44" s="2157">
        <f t="shared" si="0"/>
        <v>-109921.30118324475</v>
      </c>
      <c r="F44" s="2173"/>
    </row>
    <row r="45" spans="1:6">
      <c r="A45" s="2167"/>
      <c r="B45" s="2167" t="s">
        <v>1233</v>
      </c>
      <c r="C45" s="2163">
        <v>2218585.4144278211</v>
      </c>
      <c r="D45" s="2179">
        <v>1623262.0636562842</v>
      </c>
      <c r="E45" s="2157">
        <f t="shared" si="0"/>
        <v>-595323.35077153682</v>
      </c>
      <c r="F45" s="2173"/>
    </row>
    <row r="46" spans="1:6" ht="26.4">
      <c r="A46" s="2167"/>
      <c r="B46" s="2167" t="s">
        <v>1186</v>
      </c>
      <c r="C46" s="2163">
        <v>109921.30118324477</v>
      </c>
      <c r="D46" s="2179">
        <v>0</v>
      </c>
      <c r="E46" s="2157">
        <f t="shared" si="0"/>
        <v>-109921.30118324477</v>
      </c>
      <c r="F46" s="2173"/>
    </row>
    <row r="47" spans="1:6" ht="26.4">
      <c r="A47" s="2167"/>
      <c r="B47" s="2167" t="s">
        <v>1187</v>
      </c>
      <c r="C47" s="2163">
        <v>3546061.176171476</v>
      </c>
      <c r="D47" s="2179">
        <v>5250571.2293192483</v>
      </c>
      <c r="E47" s="2157">
        <f t="shared" si="0"/>
        <v>1704510.0531477723</v>
      </c>
      <c r="F47" s="2173"/>
    </row>
    <row r="48" spans="1:6">
      <c r="A48" s="2167"/>
      <c r="B48" s="2167" t="s">
        <v>1232</v>
      </c>
      <c r="C48" s="2163">
        <v>359488026.69344294</v>
      </c>
      <c r="D48" s="2179">
        <v>434639524.99795336</v>
      </c>
      <c r="E48" s="2157">
        <f t="shared" si="0"/>
        <v>75151498.304510415</v>
      </c>
      <c r="F48" s="2173"/>
    </row>
    <row r="49" spans="1:9" ht="26.4">
      <c r="A49" s="2167"/>
      <c r="B49" s="2167" t="s">
        <v>1189</v>
      </c>
      <c r="C49" s="2163">
        <v>3352599.6860889648</v>
      </c>
      <c r="D49" s="2179">
        <v>1374464.0327472507</v>
      </c>
      <c r="E49" s="2157">
        <f t="shared" si="0"/>
        <v>-1978135.6533417141</v>
      </c>
      <c r="F49" s="2173"/>
    </row>
    <row r="50" spans="1:9" ht="26.4">
      <c r="A50" s="2167"/>
      <c r="B50" s="2167" t="s">
        <v>1190</v>
      </c>
      <c r="C50" s="2163">
        <v>6340847.901556151</v>
      </c>
      <c r="D50" s="2179">
        <v>915379.34464786528</v>
      </c>
      <c r="E50" s="2157">
        <f t="shared" si="0"/>
        <v>-5425468.5569082852</v>
      </c>
      <c r="F50" s="2173"/>
    </row>
    <row r="51" spans="1:9" ht="26.4">
      <c r="A51" s="2167"/>
      <c r="B51" s="2167" t="s">
        <v>1191</v>
      </c>
      <c r="C51" s="2163">
        <v>219842.60236648953</v>
      </c>
      <c r="D51" s="2179">
        <v>401394.24166006135</v>
      </c>
      <c r="E51" s="2157">
        <f t="shared" si="0"/>
        <v>181551.63929357182</v>
      </c>
      <c r="F51" s="2173"/>
    </row>
    <row r="52" spans="1:9" ht="26.4">
      <c r="A52" s="2167"/>
      <c r="B52" s="2167" t="s">
        <v>1192</v>
      </c>
      <c r="C52" s="2163">
        <v>90049834.41890344</v>
      </c>
      <c r="D52" s="2179">
        <v>150277849.3566305</v>
      </c>
      <c r="E52" s="2157">
        <f t="shared" si="0"/>
        <v>60228014.937727064</v>
      </c>
      <c r="F52" s="2173"/>
    </row>
    <row r="53" spans="1:9">
      <c r="A53" s="2167"/>
      <c r="B53" s="2167" t="s">
        <v>1193</v>
      </c>
      <c r="C53" s="2163">
        <v>10753290.087032765</v>
      </c>
      <c r="D53" s="2179">
        <v>23039052.641019125</v>
      </c>
      <c r="E53" s="2157">
        <f t="shared" si="0"/>
        <v>12285762.553986359</v>
      </c>
      <c r="F53" s="2173"/>
    </row>
    <row r="54" spans="1:9" ht="26.4">
      <c r="A54" s="2167"/>
      <c r="B54" s="2167" t="s">
        <v>1234</v>
      </c>
      <c r="C54" s="2163">
        <v>26739278.150484916</v>
      </c>
      <c r="D54" s="2179">
        <v>41165814.205371104</v>
      </c>
      <c r="E54" s="2157">
        <f t="shared" si="0"/>
        <v>14426536.054886188</v>
      </c>
      <c r="F54" s="2173"/>
    </row>
    <row r="55" spans="1:9">
      <c r="A55" s="2167"/>
      <c r="B55" s="2167" t="s">
        <v>1167</v>
      </c>
      <c r="C55" s="2163">
        <v>54523622.184739009</v>
      </c>
      <c r="D55" s="2179">
        <v>84958393.635955423</v>
      </c>
      <c r="E55" s="2157">
        <f t="shared" si="0"/>
        <v>30434771.451216415</v>
      </c>
      <c r="F55" s="2180">
        <f>C43/C62</f>
        <v>17098679.685175966</v>
      </c>
    </row>
    <row r="56" spans="1:9">
      <c r="A56" s="2167"/>
      <c r="B56" s="2167" t="s">
        <v>1169</v>
      </c>
      <c r="C56" s="2163">
        <v>27708793.422681525</v>
      </c>
      <c r="D56" s="2179">
        <v>45756068.92291794</v>
      </c>
      <c r="E56" s="2157">
        <f t="shared" si="0"/>
        <v>18047275.500236414</v>
      </c>
      <c r="F56" s="2173"/>
    </row>
    <row r="57" spans="1:9" ht="52.8">
      <c r="A57" s="2167"/>
      <c r="B57" s="2167" t="s">
        <v>2163</v>
      </c>
      <c r="C57" s="2163"/>
      <c r="D57" s="2181">
        <v>121742201</v>
      </c>
      <c r="E57" s="2157">
        <f t="shared" si="0"/>
        <v>121742201</v>
      </c>
      <c r="F57" s="2172">
        <f>I58-D57</f>
        <v>825277630</v>
      </c>
      <c r="H57" s="2170">
        <f>SUM(D43:D56)</f>
        <v>825277630.00000012</v>
      </c>
      <c r="I57" s="2170">
        <f>H57-F57</f>
        <v>0</v>
      </c>
    </row>
    <row r="58" spans="1:9" ht="66">
      <c r="A58" s="2167"/>
      <c r="B58" s="2167" t="s">
        <v>2173</v>
      </c>
      <c r="C58" s="2163"/>
      <c r="D58" s="2181">
        <v>41626110</v>
      </c>
      <c r="E58" s="2157">
        <f t="shared" si="0"/>
        <v>41626110</v>
      </c>
      <c r="F58" s="2173">
        <f>F57/C62</f>
        <v>950926654.21209955</v>
      </c>
      <c r="I58" s="2177">
        <v>947019831</v>
      </c>
    </row>
    <row r="59" spans="1:9">
      <c r="A59" s="2167"/>
      <c r="B59" s="2174" t="s">
        <v>1229</v>
      </c>
      <c r="C59" s="2161">
        <v>600000000.00000012</v>
      </c>
      <c r="D59" s="2182">
        <f>SUM(D43:D58)</f>
        <v>988645941.00000012</v>
      </c>
      <c r="E59" s="2157">
        <f t="shared" si="0"/>
        <v>388645941</v>
      </c>
      <c r="F59" s="2173"/>
    </row>
    <row r="60" spans="1:9">
      <c r="A60" s="2167"/>
      <c r="B60" s="2174" t="s">
        <v>929</v>
      </c>
      <c r="C60" s="2161">
        <v>12956277438.02</v>
      </c>
      <c r="D60" s="2177">
        <f>D59+D40</f>
        <v>12403882824</v>
      </c>
      <c r="E60" s="2157">
        <f t="shared" si="0"/>
        <v>-552394614.02000046</v>
      </c>
      <c r="F60" s="2173"/>
    </row>
    <row r="61" spans="1:9">
      <c r="A61" s="2167"/>
      <c r="B61" s="2174" t="s">
        <v>1238</v>
      </c>
      <c r="C61" s="2183">
        <v>0</v>
      </c>
      <c r="D61" s="2184">
        <v>1495093369.030086</v>
      </c>
      <c r="E61" s="2157">
        <f>D61-C61</f>
        <v>1495093369.030086</v>
      </c>
      <c r="F61" s="2173"/>
    </row>
    <row r="62" spans="1:9">
      <c r="A62" s="2167"/>
      <c r="B62" s="2167" t="s">
        <v>1235</v>
      </c>
      <c r="C62" s="2185">
        <f>C9/C67</f>
        <v>0.86786675538482261</v>
      </c>
      <c r="D62" s="2185">
        <f>D9/D67</f>
        <v>0.78322086086160658</v>
      </c>
      <c r="E62" s="2185"/>
      <c r="F62" s="2173"/>
    </row>
    <row r="63" spans="1:9">
      <c r="A63" s="2167"/>
      <c r="B63" s="2167" t="s">
        <v>1236</v>
      </c>
      <c r="C63" s="2185">
        <f>C59/C60</f>
        <v>4.6309598020748549E-2</v>
      </c>
      <c r="D63" s="2185">
        <f>D59/D67</f>
        <v>7.1130846421319574E-2</v>
      </c>
      <c r="E63" s="2185"/>
      <c r="F63" s="2173"/>
    </row>
    <row r="64" spans="1:9">
      <c r="A64" s="2167"/>
      <c r="B64" s="2167" t="s">
        <v>1237</v>
      </c>
      <c r="C64" s="2185">
        <f>C39/C60</f>
        <v>8.5823646594428801E-2</v>
      </c>
      <c r="D64" s="2185">
        <f>D39/D67</f>
        <v>3.8079695702005173E-2</v>
      </c>
      <c r="E64" s="2185"/>
      <c r="F64" s="2173"/>
    </row>
    <row r="65" spans="1:6">
      <c r="A65" s="2167"/>
      <c r="B65" s="2167" t="s">
        <v>2461</v>
      </c>
      <c r="C65" s="2185">
        <v>0</v>
      </c>
      <c r="D65" s="2185">
        <f>D61/D67</f>
        <v>0.10756859701506863</v>
      </c>
      <c r="E65" s="2185"/>
      <c r="F65" s="2173"/>
    </row>
    <row r="66" spans="1:6">
      <c r="A66" s="2167"/>
      <c r="B66" s="2167"/>
      <c r="C66" s="2161">
        <v>100</v>
      </c>
      <c r="D66" s="2177">
        <v>100</v>
      </c>
      <c r="E66" s="2157"/>
      <c r="F66" s="2173"/>
    </row>
    <row r="67" spans="1:6">
      <c r="A67" s="2167"/>
      <c r="B67" s="2174" t="s">
        <v>1239</v>
      </c>
      <c r="C67" s="2161">
        <v>12956277438.02</v>
      </c>
      <c r="D67" s="2177">
        <f>D61+D60</f>
        <v>13898976193.030087</v>
      </c>
      <c r="E67" s="2157">
        <f t="shared" si="0"/>
        <v>942698755.01008606</v>
      </c>
      <c r="F67" s="2173"/>
    </row>
  </sheetData>
  <mergeCells count="6">
    <mergeCell ref="A41:A42"/>
    <mergeCell ref="A3:E3"/>
    <mergeCell ref="A1:E1"/>
    <mergeCell ref="A2:E2"/>
    <mergeCell ref="A4:A5"/>
    <mergeCell ref="B4:B5"/>
  </mergeCells>
  <pageMargins left="0.70866141732283472" right="0.70866141732283472" top="0.74803149606299213" bottom="0.74803149606299213" header="0.31496062992125984" footer="0.31496062992125984"/>
  <pageSetup paperSize="9" scale="61"/>
  <headerFooter alignWithMargins="0">
    <oddFoote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17"/>
  <sheetViews>
    <sheetView topLeftCell="A8" workbookViewId="0">
      <selection activeCell="E1" sqref="E1"/>
    </sheetView>
  </sheetViews>
  <sheetFormatPr defaultColWidth="10" defaultRowHeight="14.4"/>
  <cols>
    <col min="2" max="5" width="10.88671875" bestFit="1" customWidth="1"/>
  </cols>
  <sheetData>
    <row r="1" spans="1:5" ht="24">
      <c r="A1" s="2186" t="s">
        <v>1183</v>
      </c>
      <c r="B1" s="2187">
        <v>11970550</v>
      </c>
      <c r="C1" s="2188">
        <v>9128100</v>
      </c>
      <c r="D1" s="2187">
        <v>12461000</v>
      </c>
      <c r="E1" s="2189">
        <v>22476805</v>
      </c>
    </row>
    <row r="2" spans="1:5" ht="36">
      <c r="A2" s="2186" t="s">
        <v>1184</v>
      </c>
      <c r="B2" s="2190"/>
      <c r="C2" s="2191"/>
      <c r="D2" s="2190"/>
      <c r="E2" s="2192">
        <v>0</v>
      </c>
    </row>
    <row r="3" spans="1:5" ht="36">
      <c r="A3" s="2186" t="s">
        <v>1233</v>
      </c>
      <c r="B3" s="2187">
        <v>11152488</v>
      </c>
      <c r="C3" s="2188">
        <v>3867163</v>
      </c>
      <c r="D3" s="2187">
        <v>2420250</v>
      </c>
      <c r="E3" s="2189">
        <v>1017000</v>
      </c>
    </row>
    <row r="4" spans="1:5" ht="60">
      <c r="A4" s="2186" t="s">
        <v>1186</v>
      </c>
      <c r="B4" s="2187">
        <v>5395440</v>
      </c>
      <c r="C4" s="2188">
        <v>6030092</v>
      </c>
      <c r="D4" s="2187">
        <v>21014</v>
      </c>
      <c r="E4" s="2192">
        <v>0</v>
      </c>
    </row>
    <row r="5" spans="1:5" ht="48">
      <c r="A5" s="2186" t="s">
        <v>1187</v>
      </c>
      <c r="B5" s="2187">
        <v>40536210</v>
      </c>
      <c r="C5" s="2188">
        <v>3468925</v>
      </c>
      <c r="D5" s="2187">
        <v>1690980</v>
      </c>
      <c r="E5" s="2189">
        <v>3289568</v>
      </c>
    </row>
    <row r="6" spans="1:5" ht="36">
      <c r="A6" s="2186" t="s">
        <v>1232</v>
      </c>
      <c r="B6" s="2187">
        <v>111901160</v>
      </c>
      <c r="C6" s="2188">
        <v>188550071</v>
      </c>
      <c r="D6" s="2187">
        <v>270153643</v>
      </c>
      <c r="E6" s="2189">
        <v>272308709</v>
      </c>
    </row>
    <row r="7" spans="1:5" ht="72">
      <c r="A7" s="2186" t="s">
        <v>1189</v>
      </c>
      <c r="B7" s="2187">
        <v>1284195</v>
      </c>
      <c r="C7" s="2188">
        <v>3963257</v>
      </c>
      <c r="D7" s="2187">
        <v>1746994</v>
      </c>
      <c r="E7" s="2189">
        <v>861124</v>
      </c>
    </row>
    <row r="8" spans="1:5" ht="84">
      <c r="A8" s="2186" t="s">
        <v>1190</v>
      </c>
      <c r="B8" s="2187">
        <v>1505065</v>
      </c>
      <c r="C8" s="2188">
        <v>1823310</v>
      </c>
      <c r="D8" s="2187">
        <v>525200</v>
      </c>
      <c r="E8" s="2189">
        <v>573500</v>
      </c>
    </row>
    <row r="9" spans="1:5" ht="84">
      <c r="A9" s="2186" t="s">
        <v>1191</v>
      </c>
      <c r="B9" s="2187">
        <v>26000</v>
      </c>
      <c r="C9" s="2188">
        <v>72000</v>
      </c>
      <c r="D9" s="2187">
        <v>111000</v>
      </c>
      <c r="E9" s="2189">
        <v>251480</v>
      </c>
    </row>
    <row r="10" spans="1:5" ht="72">
      <c r="A10" s="2186" t="s">
        <v>1192</v>
      </c>
      <c r="B10" s="2187">
        <v>83755939</v>
      </c>
      <c r="C10" s="2188">
        <v>64270545</v>
      </c>
      <c r="D10" s="2187">
        <v>80039139</v>
      </c>
      <c r="E10" s="2189">
        <v>94151509</v>
      </c>
    </row>
    <row r="11" spans="1:5" ht="36">
      <c r="A11" s="2186" t="s">
        <v>1193</v>
      </c>
      <c r="B11" s="2190"/>
      <c r="C11" s="2193">
        <v>21104722</v>
      </c>
      <c r="D11" s="2187">
        <v>3224055</v>
      </c>
      <c r="E11" s="2189">
        <v>14434340</v>
      </c>
    </row>
    <row r="12" spans="1:5" ht="60">
      <c r="A12" s="2186" t="s">
        <v>1234</v>
      </c>
      <c r="B12" s="2191"/>
      <c r="C12" s="2193">
        <v>1480136</v>
      </c>
      <c r="D12" s="2188">
        <v>18302149</v>
      </c>
      <c r="E12" s="2189">
        <v>25791050</v>
      </c>
    </row>
    <row r="13" spans="1:5" ht="24">
      <c r="A13" s="2186" t="s">
        <v>1167</v>
      </c>
      <c r="B13" s="2187">
        <v>37785490</v>
      </c>
      <c r="C13" s="2193">
        <v>35805225</v>
      </c>
      <c r="D13" s="2187">
        <v>48451197</v>
      </c>
      <c r="E13" s="2189">
        <v>53227811</v>
      </c>
    </row>
    <row r="14" spans="1:5" ht="36">
      <c r="A14" s="2186" t="s">
        <v>1169</v>
      </c>
      <c r="B14" s="2187">
        <v>21137774</v>
      </c>
      <c r="C14" s="2193">
        <v>21707796</v>
      </c>
      <c r="D14" s="2187">
        <v>25207847</v>
      </c>
      <c r="E14" s="2189">
        <v>28666919</v>
      </c>
    </row>
    <row r="15" spans="1:5">
      <c r="A15" s="2194" t="s">
        <v>1229</v>
      </c>
      <c r="B15" s="1330">
        <f>SUM(B1:B14)</f>
        <v>326450311</v>
      </c>
      <c r="C15" s="1330">
        <f t="shared" ref="C15:E15" si="0">SUM(C1:C14)</f>
        <v>361271342</v>
      </c>
      <c r="D15" s="1330">
        <f t="shared" si="0"/>
        <v>464354468</v>
      </c>
      <c r="E15" s="1330">
        <f t="shared" si="0"/>
        <v>517049815</v>
      </c>
    </row>
    <row r="16" spans="1:5">
      <c r="B16" s="2195">
        <v>326450311</v>
      </c>
      <c r="C16" s="2195">
        <v>361271342</v>
      </c>
      <c r="D16" s="2195">
        <v>464354468</v>
      </c>
      <c r="E16" s="2195">
        <v>517049815</v>
      </c>
    </row>
    <row r="17" spans="2:5">
      <c r="B17" s="1330">
        <f>B15-B16</f>
        <v>0</v>
      </c>
      <c r="C17" s="1330">
        <f t="shared" ref="C17:E17" si="1">C15-C16</f>
        <v>0</v>
      </c>
      <c r="D17" s="1330">
        <f t="shared" si="1"/>
        <v>0</v>
      </c>
      <c r="E17" s="1330">
        <f t="shared" si="1"/>
        <v>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M23"/>
  <sheetViews>
    <sheetView topLeftCell="A17" workbookViewId="0">
      <selection activeCell="H20" sqref="H20"/>
    </sheetView>
  </sheetViews>
  <sheetFormatPr defaultColWidth="8.5546875" defaultRowHeight="15.6"/>
  <cols>
    <col min="1" max="1" width="8.5546875" style="2196"/>
    <col min="2" max="2" width="19" style="2197" customWidth="1"/>
    <col min="3" max="4" width="14.5546875" style="2198" bestFit="1" customWidth="1"/>
    <col min="5" max="5" width="15.5546875" style="2198" bestFit="1" customWidth="1"/>
    <col min="6" max="6" width="2.109375" style="2199" customWidth="1"/>
    <col min="7" max="7" width="14.5546875" style="2200" bestFit="1" customWidth="1"/>
    <col min="8" max="8" width="15.5546875" style="2200" bestFit="1" customWidth="1"/>
    <col min="9" max="9" width="15.5546875" style="303" bestFit="1" customWidth="1"/>
    <col min="10" max="10" width="2.5546875" style="303" customWidth="1"/>
    <col min="11" max="11" width="15.5546875" style="303" bestFit="1" customWidth="1"/>
    <col min="12" max="12" width="14.44140625" style="303" customWidth="1"/>
    <col min="13" max="13" width="15.5546875" style="303" bestFit="1" customWidth="1"/>
    <col min="14" max="16384" width="8.5546875" style="2197"/>
  </cols>
  <sheetData>
    <row r="1" spans="1:13">
      <c r="A1" s="2295" t="s">
        <v>1127</v>
      </c>
      <c r="B1" s="2295"/>
      <c r="C1" s="2295"/>
      <c r="D1" s="2295"/>
      <c r="E1" s="2295"/>
      <c r="F1" s="2295"/>
      <c r="G1" s="2295"/>
      <c r="H1" s="2295"/>
      <c r="I1" s="2295"/>
      <c r="J1" s="2295"/>
      <c r="K1" s="2295"/>
      <c r="L1" s="2295"/>
      <c r="M1" s="2295"/>
    </row>
    <row r="2" spans="1:13">
      <c r="A2" s="2295" t="s">
        <v>1992</v>
      </c>
      <c r="B2" s="2295"/>
      <c r="C2" s="2295"/>
      <c r="D2" s="2295"/>
      <c r="E2" s="2295"/>
      <c r="F2" s="2295"/>
      <c r="G2" s="2295"/>
      <c r="H2" s="2295"/>
      <c r="I2" s="2295"/>
      <c r="J2" s="2295"/>
      <c r="K2" s="2295"/>
      <c r="L2" s="2295"/>
      <c r="M2" s="2295"/>
    </row>
    <row r="3" spans="1:13">
      <c r="A3" s="2295" t="s">
        <v>1993</v>
      </c>
      <c r="B3" s="2295"/>
      <c r="C3" s="2295"/>
      <c r="D3" s="2295"/>
      <c r="E3" s="2295"/>
      <c r="F3" s="2295"/>
      <c r="G3" s="2295"/>
      <c r="H3" s="2295"/>
      <c r="I3" s="2295"/>
      <c r="J3" s="2295"/>
      <c r="K3" s="2295"/>
      <c r="L3" s="2295"/>
      <c r="M3" s="2295"/>
    </row>
    <row r="5" spans="1:13">
      <c r="A5" s="2296" t="s">
        <v>1994</v>
      </c>
      <c r="B5" s="2296" t="s">
        <v>0</v>
      </c>
      <c r="C5" s="2300" t="s">
        <v>1995</v>
      </c>
      <c r="D5" s="2300" t="s">
        <v>1996</v>
      </c>
      <c r="E5" s="2300" t="s">
        <v>1997</v>
      </c>
      <c r="F5" s="2297"/>
      <c r="G5" s="2300" t="s">
        <v>1998</v>
      </c>
      <c r="H5" s="2300" t="s">
        <v>1999</v>
      </c>
      <c r="I5" s="2300" t="s">
        <v>2000</v>
      </c>
      <c r="J5" s="2297"/>
      <c r="K5" s="2300" t="s">
        <v>1666</v>
      </c>
      <c r="L5" s="2300"/>
      <c r="M5" s="2300"/>
    </row>
    <row r="6" spans="1:13" s="2202" customFormat="1" ht="56.1" customHeight="1">
      <c r="A6" s="2296"/>
      <c r="B6" s="2296"/>
      <c r="C6" s="2300"/>
      <c r="D6" s="2300"/>
      <c r="E6" s="2300"/>
      <c r="F6" s="2298"/>
      <c r="G6" s="2300"/>
      <c r="H6" s="2300"/>
      <c r="I6" s="2300"/>
      <c r="J6" s="2298"/>
      <c r="K6" s="2201" t="s">
        <v>201</v>
      </c>
      <c r="L6" s="2201" t="s">
        <v>92</v>
      </c>
      <c r="M6" s="2201" t="s">
        <v>510</v>
      </c>
    </row>
    <row r="7" spans="1:13" ht="31.2">
      <c r="A7" s="2203">
        <v>1</v>
      </c>
      <c r="B7" s="2204" t="s">
        <v>1183</v>
      </c>
      <c r="C7" s="2205">
        <f>Votes!B4</f>
        <v>1369068206.2299302</v>
      </c>
      <c r="D7" s="2205">
        <f>Votes!C4</f>
        <v>1088098782.1231112</v>
      </c>
      <c r="E7" s="2205">
        <f>C7+D7</f>
        <v>2457166988.3530416</v>
      </c>
      <c r="F7" s="2298"/>
      <c r="G7" s="2206">
        <v>1053011930</v>
      </c>
      <c r="H7" s="2206">
        <v>892299163</v>
      </c>
      <c r="I7" s="471">
        <f>G7+H7</f>
        <v>1945311093</v>
      </c>
      <c r="J7" s="2298"/>
      <c r="K7" s="471">
        <f>C7-G7</f>
        <v>316056276.22993016</v>
      </c>
      <c r="L7" s="471">
        <f>D7-H7</f>
        <v>195799619.12311125</v>
      </c>
      <c r="M7" s="471">
        <f>K7+L7</f>
        <v>511855895.35304141</v>
      </c>
    </row>
    <row r="8" spans="1:13" ht="31.2">
      <c r="A8" s="2203">
        <v>2</v>
      </c>
      <c r="B8" s="2204" t="s">
        <v>1184</v>
      </c>
      <c r="C8" s="2205">
        <f>Votes!B5</f>
        <v>157371211.002</v>
      </c>
      <c r="D8" s="2205">
        <f>Votes!C5</f>
        <v>29323991</v>
      </c>
      <c r="E8" s="2205">
        <f t="shared" ref="E8:E22" si="0">C8+D8</f>
        <v>186695202.002</v>
      </c>
      <c r="F8" s="2298"/>
      <c r="G8" s="2206">
        <v>158355306</v>
      </c>
      <c r="H8" s="2206">
        <v>17702808</v>
      </c>
      <c r="I8" s="471">
        <f t="shared" ref="I8:I22" si="1">G8+H8</f>
        <v>176058114</v>
      </c>
      <c r="J8" s="2298"/>
      <c r="K8" s="471">
        <f t="shared" ref="K8:K22" si="2">C8-G8</f>
        <v>-984094.99799999595</v>
      </c>
      <c r="L8" s="471">
        <f t="shared" ref="L8:L22" si="3">D8-H8</f>
        <v>11621183</v>
      </c>
      <c r="M8" s="471">
        <f t="shared" ref="M8:M22" si="4">K8+L8</f>
        <v>10637088.002000004</v>
      </c>
    </row>
    <row r="9" spans="1:13" ht="31.2">
      <c r="A9" s="2203">
        <v>3</v>
      </c>
      <c r="B9" s="2204" t="s">
        <v>1185</v>
      </c>
      <c r="C9" s="2205">
        <f>Votes!B6</f>
        <v>139446794</v>
      </c>
      <c r="D9" s="2205">
        <f>Votes!C6</f>
        <v>592511933</v>
      </c>
      <c r="E9" s="2205">
        <f t="shared" si="0"/>
        <v>731958727</v>
      </c>
      <c r="F9" s="2298"/>
      <c r="G9" s="2206">
        <v>139813158</v>
      </c>
      <c r="H9" s="2206">
        <v>466280836</v>
      </c>
      <c r="I9" s="471">
        <f t="shared" si="1"/>
        <v>606093994</v>
      </c>
      <c r="J9" s="2298"/>
      <c r="K9" s="471">
        <f t="shared" si="2"/>
        <v>-366364</v>
      </c>
      <c r="L9" s="471">
        <f t="shared" si="3"/>
        <v>126231097</v>
      </c>
      <c r="M9" s="471">
        <f t="shared" si="4"/>
        <v>125864733</v>
      </c>
    </row>
    <row r="10" spans="1:13" ht="62.4">
      <c r="A10" s="2203">
        <v>4</v>
      </c>
      <c r="B10" s="2204" t="s">
        <v>1186</v>
      </c>
      <c r="C10" s="2205">
        <f>Votes!B7</f>
        <v>941467773.00659633</v>
      </c>
      <c r="D10" s="2205">
        <f>Votes!C7</f>
        <v>126319062.20881446</v>
      </c>
      <c r="E10" s="2205">
        <f t="shared" si="0"/>
        <v>1067786835.2154108</v>
      </c>
      <c r="F10" s="2298"/>
      <c r="G10" s="2206">
        <v>934584772</v>
      </c>
      <c r="H10" s="2206">
        <v>123981493</v>
      </c>
      <c r="I10" s="471">
        <f t="shared" si="1"/>
        <v>1058566265</v>
      </c>
      <c r="J10" s="2298"/>
      <c r="K10" s="471">
        <f t="shared" si="2"/>
        <v>6883001.0065963268</v>
      </c>
      <c r="L10" s="471">
        <f t="shared" si="3"/>
        <v>2337569.2088144571</v>
      </c>
      <c r="M10" s="471">
        <f t="shared" si="4"/>
        <v>9220570.2154107839</v>
      </c>
    </row>
    <row r="11" spans="1:13" ht="46.8">
      <c r="A11" s="2203">
        <v>5</v>
      </c>
      <c r="B11" s="2204" t="s">
        <v>1187</v>
      </c>
      <c r="C11" s="2205">
        <f>Votes!B8</f>
        <v>214260323</v>
      </c>
      <c r="D11" s="2205">
        <f>Votes!C8</f>
        <v>285970041.5739609</v>
      </c>
      <c r="E11" s="2205">
        <f t="shared" si="0"/>
        <v>500230364.5739609</v>
      </c>
      <c r="F11" s="2298"/>
      <c r="G11" s="2206">
        <v>220470324</v>
      </c>
      <c r="H11" s="2206">
        <v>659416581</v>
      </c>
      <c r="I11" s="471">
        <f t="shared" si="1"/>
        <v>879886905</v>
      </c>
      <c r="J11" s="2298"/>
      <c r="K11" s="471">
        <f t="shared" si="2"/>
        <v>-6210001</v>
      </c>
      <c r="L11" s="471">
        <f t="shared" si="3"/>
        <v>-373446539.4260391</v>
      </c>
      <c r="M11" s="471">
        <f t="shared" si="4"/>
        <v>-379656540.4260391</v>
      </c>
    </row>
    <row r="12" spans="1:13" ht="31.2">
      <c r="A12" s="2203">
        <v>6</v>
      </c>
      <c r="B12" s="2204" t="s">
        <v>1188</v>
      </c>
      <c r="C12" s="2205">
        <f>Votes!B9</f>
        <v>3979513261.2974596</v>
      </c>
      <c r="D12" s="2205">
        <f>Votes!C9</f>
        <v>385137009.30000186</v>
      </c>
      <c r="E12" s="2205">
        <f t="shared" si="0"/>
        <v>4364650270.5974617</v>
      </c>
      <c r="F12" s="2298"/>
      <c r="G12" s="2206">
        <v>3644577958</v>
      </c>
      <c r="H12" s="2206">
        <v>167774729</v>
      </c>
      <c r="I12" s="471">
        <f t="shared" si="1"/>
        <v>3812352687</v>
      </c>
      <c r="J12" s="2298"/>
      <c r="K12" s="471">
        <f t="shared" si="2"/>
        <v>334935303.2974596</v>
      </c>
      <c r="L12" s="471">
        <f t="shared" si="3"/>
        <v>217362280.30000186</v>
      </c>
      <c r="M12" s="471">
        <f t="shared" si="4"/>
        <v>552297583.59746146</v>
      </c>
    </row>
    <row r="13" spans="1:13" ht="62.4">
      <c r="A13" s="2203">
        <v>7</v>
      </c>
      <c r="B13" s="2204" t="s">
        <v>1189</v>
      </c>
      <c r="C13" s="2205">
        <f>Votes!B10</f>
        <v>194406966</v>
      </c>
      <c r="D13" s="2205">
        <f>Votes!C10</f>
        <v>631896664.94775796</v>
      </c>
      <c r="E13" s="2205">
        <f t="shared" si="0"/>
        <v>826303630.94775796</v>
      </c>
      <c r="F13" s="2298"/>
      <c r="G13" s="2206">
        <v>172301944</v>
      </c>
      <c r="H13" s="2206">
        <v>536589631</v>
      </c>
      <c r="I13" s="471">
        <f t="shared" si="1"/>
        <v>708891575</v>
      </c>
      <c r="J13" s="2298"/>
      <c r="K13" s="471">
        <f t="shared" si="2"/>
        <v>22105022</v>
      </c>
      <c r="L13" s="471">
        <f t="shared" si="3"/>
        <v>95307033.947757959</v>
      </c>
      <c r="M13" s="471">
        <f t="shared" si="4"/>
        <v>117412055.94775796</v>
      </c>
    </row>
    <row r="14" spans="1:13" ht="62.4">
      <c r="A14" s="2203">
        <v>8</v>
      </c>
      <c r="B14" s="2204" t="s">
        <v>1190</v>
      </c>
      <c r="C14" s="2205">
        <f>Votes!B11</f>
        <v>120676860.99999999</v>
      </c>
      <c r="D14" s="2205">
        <f>Votes!C11</f>
        <v>364715801.19567716</v>
      </c>
      <c r="E14" s="2205">
        <f t="shared" si="0"/>
        <v>485392662.19567716</v>
      </c>
      <c r="F14" s="2298"/>
      <c r="G14" s="2206">
        <f>123155622.66-0.66</f>
        <v>123155622</v>
      </c>
      <c r="H14" s="2206">
        <v>176519446</v>
      </c>
      <c r="I14" s="471">
        <f t="shared" si="1"/>
        <v>299675068</v>
      </c>
      <c r="J14" s="2298"/>
      <c r="K14" s="471">
        <f t="shared" si="2"/>
        <v>-2478761.0000000149</v>
      </c>
      <c r="L14" s="471">
        <f t="shared" si="3"/>
        <v>188196355.19567716</v>
      </c>
      <c r="M14" s="471">
        <f t="shared" si="4"/>
        <v>185717594.19567716</v>
      </c>
    </row>
    <row r="15" spans="1:13" ht="62.4">
      <c r="A15" s="2203">
        <v>9</v>
      </c>
      <c r="B15" s="2204" t="s">
        <v>1191</v>
      </c>
      <c r="C15" s="2205">
        <f>Votes!B12</f>
        <v>170128787.74000001</v>
      </c>
      <c r="D15" s="2205">
        <f>Votes!C12</f>
        <v>43956563.476212204</v>
      </c>
      <c r="E15" s="2205">
        <f t="shared" si="0"/>
        <v>214085351.21621221</v>
      </c>
      <c r="F15" s="2298"/>
      <c r="G15" s="2206">
        <v>120830924</v>
      </c>
      <c r="H15" s="2206">
        <v>46060406</v>
      </c>
      <c r="I15" s="471">
        <f t="shared" si="1"/>
        <v>166891330</v>
      </c>
      <c r="J15" s="2298"/>
      <c r="K15" s="471">
        <f t="shared" si="2"/>
        <v>49297863.74000001</v>
      </c>
      <c r="L15" s="471">
        <f t="shared" si="3"/>
        <v>-2103842.5237877965</v>
      </c>
      <c r="M15" s="471">
        <f t="shared" si="4"/>
        <v>47194021.216212213</v>
      </c>
    </row>
    <row r="16" spans="1:13" ht="78">
      <c r="A16" s="2203">
        <v>10</v>
      </c>
      <c r="B16" s="2204" t="s">
        <v>1192</v>
      </c>
      <c r="C16" s="2205">
        <f>Votes!B13</f>
        <v>443653372.36719048</v>
      </c>
      <c r="D16" s="2205">
        <f>Votes!C13</f>
        <v>94723298.549999997</v>
      </c>
      <c r="E16" s="2205">
        <f t="shared" si="0"/>
        <v>538376670.91719043</v>
      </c>
      <c r="F16" s="2298"/>
      <c r="G16" s="2206">
        <v>506850579</v>
      </c>
      <c r="H16" s="2206">
        <v>37500000</v>
      </c>
      <c r="I16" s="471">
        <f t="shared" si="1"/>
        <v>544350579</v>
      </c>
      <c r="J16" s="2298"/>
      <c r="K16" s="471">
        <f t="shared" si="2"/>
        <v>-63197206.63280952</v>
      </c>
      <c r="L16" s="471">
        <f t="shared" si="3"/>
        <v>57223298.549999997</v>
      </c>
      <c r="M16" s="471">
        <f t="shared" si="4"/>
        <v>-5973908.0828095227</v>
      </c>
    </row>
    <row r="17" spans="1:13" ht="46.8">
      <c r="A17" s="2203">
        <v>11</v>
      </c>
      <c r="B17" s="2204" t="s">
        <v>1193</v>
      </c>
      <c r="C17" s="2205">
        <v>349170857</v>
      </c>
      <c r="D17" s="2205">
        <v>333204083</v>
      </c>
      <c r="E17" s="2205">
        <f t="shared" si="0"/>
        <v>682374940</v>
      </c>
      <c r="F17" s="2298"/>
      <c r="G17" s="2206">
        <v>350509713</v>
      </c>
      <c r="H17" s="2206">
        <v>333504084</v>
      </c>
      <c r="I17" s="471">
        <f t="shared" si="1"/>
        <v>684013797</v>
      </c>
      <c r="J17" s="2298"/>
      <c r="K17" s="471">
        <f t="shared" si="2"/>
        <v>-1338856</v>
      </c>
      <c r="L17" s="471">
        <f t="shared" si="3"/>
        <v>-300001</v>
      </c>
      <c r="M17" s="471">
        <f t="shared" si="4"/>
        <v>-1638857</v>
      </c>
    </row>
    <row r="18" spans="1:13" ht="46.8">
      <c r="A18" s="2203">
        <v>12</v>
      </c>
      <c r="B18" s="2204" t="s">
        <v>1194</v>
      </c>
      <c r="C18" s="2205">
        <v>87575634</v>
      </c>
      <c r="D18" s="2205">
        <v>251943725</v>
      </c>
      <c r="E18" s="2205">
        <f t="shared" si="0"/>
        <v>339519359</v>
      </c>
      <c r="F18" s="2298"/>
      <c r="G18" s="2206">
        <v>91469103</v>
      </c>
      <c r="H18" s="2206">
        <v>189543725</v>
      </c>
      <c r="I18" s="471">
        <f t="shared" si="1"/>
        <v>281012828</v>
      </c>
      <c r="J18" s="2298"/>
      <c r="K18" s="471">
        <f t="shared" si="2"/>
        <v>-3893469</v>
      </c>
      <c r="L18" s="471">
        <f t="shared" si="3"/>
        <v>62400000</v>
      </c>
      <c r="M18" s="471">
        <f t="shared" si="4"/>
        <v>58506531</v>
      </c>
    </row>
    <row r="19" spans="1:13" ht="31.2">
      <c r="A19" s="2203">
        <v>13</v>
      </c>
      <c r="B19" s="2204" t="s">
        <v>1161</v>
      </c>
      <c r="C19" s="2205">
        <v>75366658</v>
      </c>
      <c r="D19" s="2205">
        <v>10000000</v>
      </c>
      <c r="E19" s="2205">
        <f t="shared" si="0"/>
        <v>85366658</v>
      </c>
      <c r="F19" s="2298"/>
      <c r="G19" s="2206">
        <v>65396658</v>
      </c>
      <c r="H19" s="2206">
        <v>5000000</v>
      </c>
      <c r="I19" s="471">
        <f t="shared" si="1"/>
        <v>70396658</v>
      </c>
      <c r="J19" s="2298"/>
      <c r="K19" s="471">
        <f t="shared" si="2"/>
        <v>9970000</v>
      </c>
      <c r="L19" s="471">
        <f t="shared" si="3"/>
        <v>5000000</v>
      </c>
      <c r="M19" s="471">
        <f t="shared" si="4"/>
        <v>14970000</v>
      </c>
    </row>
    <row r="20" spans="1:13" ht="31.2">
      <c r="A20" s="2203">
        <v>14</v>
      </c>
      <c r="B20" s="2204" t="s">
        <v>1164</v>
      </c>
      <c r="C20" s="2205">
        <v>1095630000</v>
      </c>
      <c r="D20" s="2205">
        <v>5000000</v>
      </c>
      <c r="E20" s="2205">
        <f t="shared" si="0"/>
        <v>1100630000</v>
      </c>
      <c r="F20" s="2298"/>
      <c r="G20" s="2206">
        <v>1095630000</v>
      </c>
      <c r="H20" s="2206">
        <v>110000000</v>
      </c>
      <c r="I20" s="471">
        <f t="shared" si="1"/>
        <v>1205630000</v>
      </c>
      <c r="J20" s="2298"/>
      <c r="K20" s="471">
        <f t="shared" si="2"/>
        <v>0</v>
      </c>
      <c r="L20" s="471">
        <f t="shared" si="3"/>
        <v>-105000000</v>
      </c>
      <c r="M20" s="471">
        <f t="shared" si="4"/>
        <v>-105000000</v>
      </c>
    </row>
    <row r="21" spans="1:13">
      <c r="A21" s="2203">
        <v>15</v>
      </c>
      <c r="B21" s="2204" t="s">
        <v>1167</v>
      </c>
      <c r="C21" s="2205">
        <v>80196569</v>
      </c>
      <c r="D21" s="2205">
        <v>85261711</v>
      </c>
      <c r="E21" s="2205">
        <f t="shared" si="0"/>
        <v>165458280</v>
      </c>
      <c r="F21" s="2298"/>
      <c r="G21" s="2206">
        <v>80196569</v>
      </c>
      <c r="H21" s="2206">
        <v>92261711</v>
      </c>
      <c r="I21" s="471">
        <f t="shared" si="1"/>
        <v>172458280</v>
      </c>
      <c r="J21" s="2298"/>
      <c r="K21" s="471">
        <f t="shared" si="2"/>
        <v>0</v>
      </c>
      <c r="L21" s="471">
        <f t="shared" si="3"/>
        <v>-7000000</v>
      </c>
      <c r="M21" s="471">
        <f t="shared" si="4"/>
        <v>-7000000</v>
      </c>
    </row>
    <row r="22" spans="1:13" ht="31.2">
      <c r="A22" s="2203">
        <v>16</v>
      </c>
      <c r="B22" s="2204" t="s">
        <v>1169</v>
      </c>
      <c r="C22" s="2205">
        <v>63071759</v>
      </c>
      <c r="D22" s="2205">
        <v>27500000</v>
      </c>
      <c r="E22" s="2205">
        <f t="shared" si="0"/>
        <v>90571759</v>
      </c>
      <c r="F22" s="2298"/>
      <c r="G22" s="2206">
        <v>56171759</v>
      </c>
      <c r="H22" s="2206">
        <v>34400000</v>
      </c>
      <c r="I22" s="471">
        <f t="shared" si="1"/>
        <v>90571759</v>
      </c>
      <c r="J22" s="2298"/>
      <c r="K22" s="471">
        <f t="shared" si="2"/>
        <v>6900000</v>
      </c>
      <c r="L22" s="471">
        <f t="shared" si="3"/>
        <v>-6900000</v>
      </c>
      <c r="M22" s="471">
        <f t="shared" si="4"/>
        <v>0</v>
      </c>
    </row>
    <row r="23" spans="1:13">
      <c r="A23" s="2203"/>
      <c r="B23" s="2207" t="s">
        <v>1195</v>
      </c>
      <c r="C23" s="2208">
        <f>SUM(C7:C22)</f>
        <v>9481005032.643177</v>
      </c>
      <c r="D23" s="2208">
        <f t="shared" ref="D23:I23" si="5">SUM(D7:D22)</f>
        <v>4355562666.375536</v>
      </c>
      <c r="E23" s="2208">
        <f t="shared" si="5"/>
        <v>13836567699.018711</v>
      </c>
      <c r="F23" s="2299"/>
      <c r="G23" s="2208">
        <f t="shared" si="5"/>
        <v>8813326319</v>
      </c>
      <c r="H23" s="2208">
        <f t="shared" si="5"/>
        <v>3888834613</v>
      </c>
      <c r="I23" s="2208">
        <f t="shared" si="5"/>
        <v>12702160932</v>
      </c>
      <c r="J23" s="2299"/>
      <c r="K23" s="2208">
        <f t="shared" ref="K23" si="6">SUM(K7:K22)</f>
        <v>667678713.64317656</v>
      </c>
      <c r="L23" s="2208">
        <f t="shared" ref="L23" si="7">SUM(L7:L22)</f>
        <v>466728053.37553573</v>
      </c>
      <c r="M23" s="2208">
        <f t="shared" ref="M23" si="8">SUM(M7:M22)</f>
        <v>1134406767.0187125</v>
      </c>
    </row>
  </sheetData>
  <mergeCells count="14">
    <mergeCell ref="A1:M1"/>
    <mergeCell ref="A2:M2"/>
    <mergeCell ref="A3:M3"/>
    <mergeCell ref="A5:A6"/>
    <mergeCell ref="F5:F23"/>
    <mergeCell ref="I5:I6"/>
    <mergeCell ref="K5:M5"/>
    <mergeCell ref="B5:B6"/>
    <mergeCell ref="J5:J23"/>
    <mergeCell ref="C5:C6"/>
    <mergeCell ref="E5:E6"/>
    <mergeCell ref="D5:D6"/>
    <mergeCell ref="G5:G6"/>
    <mergeCell ref="H5:H6"/>
  </mergeCells>
  <pageMargins left="0.7" right="0.7" top="0.75" bottom="0.75" header="0.3" footer="0.3"/>
  <pageSetup paperSize="9" scale="72"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48"/>
  <sheetViews>
    <sheetView topLeftCell="D39" workbookViewId="0">
      <selection activeCell="E55" sqref="E55"/>
    </sheetView>
  </sheetViews>
  <sheetFormatPr defaultColWidth="53" defaultRowHeight="14.4"/>
  <cols>
    <col min="1" max="1" width="86.44140625" bestFit="1" customWidth="1"/>
    <col min="2" max="2" width="14.44140625" bestFit="1" customWidth="1"/>
    <col min="4" max="4" width="28.44140625" bestFit="1" customWidth="1"/>
    <col min="6" max="6" width="46.44140625" bestFit="1" customWidth="1"/>
    <col min="7" max="7" width="44.44140625" bestFit="1" customWidth="1"/>
  </cols>
  <sheetData>
    <row r="1" spans="1:7" ht="20.399999999999999">
      <c r="A1" s="2247" t="s">
        <v>2480</v>
      </c>
      <c r="B1" s="2247"/>
      <c r="C1" s="2247"/>
      <c r="D1" s="2247"/>
      <c r="E1" s="2247"/>
      <c r="F1" s="2247"/>
      <c r="G1" s="192"/>
    </row>
    <row r="2" spans="1:7" ht="34.799999999999997">
      <c r="A2" s="193" t="s">
        <v>1802</v>
      </c>
      <c r="B2" s="194" t="s">
        <v>2462</v>
      </c>
      <c r="C2" s="194" t="s">
        <v>2463</v>
      </c>
      <c r="D2" s="194" t="s">
        <v>2464</v>
      </c>
      <c r="E2" s="194" t="s">
        <v>2465</v>
      </c>
      <c r="F2" s="194" t="s">
        <v>2466</v>
      </c>
      <c r="G2" s="194" t="s">
        <v>2467</v>
      </c>
    </row>
    <row r="3" spans="1:7" ht="17.399999999999999">
      <c r="A3" s="2236" t="s">
        <v>1183</v>
      </c>
      <c r="B3" s="195">
        <v>2210805</v>
      </c>
      <c r="C3" s="195" t="s">
        <v>1529</v>
      </c>
      <c r="D3" s="196">
        <v>6000000</v>
      </c>
      <c r="E3" s="196">
        <v>-6000000</v>
      </c>
      <c r="F3" s="197" t="s">
        <v>2468</v>
      </c>
      <c r="G3" s="198" t="s">
        <v>2468</v>
      </c>
    </row>
    <row r="4" spans="1:7" ht="34.799999999999997">
      <c r="A4" s="2237"/>
      <c r="B4" s="195">
        <v>3111108</v>
      </c>
      <c r="C4" s="195" t="s">
        <v>1539</v>
      </c>
      <c r="D4" s="196">
        <v>7500000</v>
      </c>
      <c r="E4" s="196">
        <v>-7500000</v>
      </c>
      <c r="F4" s="199">
        <v>7500000</v>
      </c>
      <c r="G4" s="196">
        <v>7500000</v>
      </c>
    </row>
    <row r="5" spans="1:7" ht="17.399999999999999">
      <c r="A5" s="2237"/>
      <c r="B5" s="195">
        <v>2211399</v>
      </c>
      <c r="C5" s="195" t="s">
        <v>1582</v>
      </c>
      <c r="D5" s="196">
        <v>50149870</v>
      </c>
      <c r="E5" s="196">
        <v>-20000000</v>
      </c>
      <c r="F5" s="197" t="s">
        <v>2468</v>
      </c>
      <c r="G5" s="196">
        <v>30149870</v>
      </c>
    </row>
    <row r="6" spans="1:7" ht="17.399999999999999">
      <c r="A6" s="2237"/>
      <c r="B6" s="195">
        <v>2211016</v>
      </c>
      <c r="C6" s="200" t="s">
        <v>104</v>
      </c>
      <c r="D6" s="201">
        <v>2012000</v>
      </c>
      <c r="E6" s="201">
        <v>-2000000</v>
      </c>
      <c r="F6" s="199">
        <v>2000000</v>
      </c>
      <c r="G6" s="196">
        <v>2012000</v>
      </c>
    </row>
    <row r="7" spans="1:7" ht="87">
      <c r="A7" s="2237"/>
      <c r="B7" s="195">
        <v>2211399</v>
      </c>
      <c r="C7" s="195" t="s">
        <v>2469</v>
      </c>
      <c r="D7" s="196">
        <v>5622000</v>
      </c>
      <c r="E7" s="196">
        <v>-5500000</v>
      </c>
      <c r="F7" s="199">
        <v>5500000</v>
      </c>
      <c r="G7" s="196">
        <v>5622000</v>
      </c>
    </row>
    <row r="8" spans="1:7" ht="52.2">
      <c r="A8" s="2238"/>
      <c r="B8" s="195">
        <v>3111001</v>
      </c>
      <c r="C8" s="200" t="s">
        <v>1584</v>
      </c>
      <c r="D8" s="201">
        <v>14176758</v>
      </c>
      <c r="E8" s="201">
        <v>-6527222</v>
      </c>
      <c r="F8" s="199">
        <v>6527222</v>
      </c>
      <c r="G8" s="196">
        <v>14176758</v>
      </c>
    </row>
    <row r="9" spans="1:7" ht="17.399999999999999">
      <c r="A9" s="2241" t="s">
        <v>2470</v>
      </c>
      <c r="B9" s="2242"/>
      <c r="C9" s="2243"/>
      <c r="D9" s="203">
        <f>SUM(D3:D8)</f>
        <v>85460628</v>
      </c>
      <c r="E9" s="203">
        <f t="shared" ref="E9:G9" si="0">SUM(E3:E8)</f>
        <v>-47527222</v>
      </c>
      <c r="F9" s="203">
        <f t="shared" si="0"/>
        <v>21527222</v>
      </c>
      <c r="G9" s="203">
        <f t="shared" si="0"/>
        <v>59460628</v>
      </c>
    </row>
    <row r="10" spans="1:7" ht="17.399999999999999">
      <c r="A10" s="202" t="s">
        <v>1233</v>
      </c>
      <c r="B10" s="195">
        <v>3110701</v>
      </c>
      <c r="C10" s="195" t="s">
        <v>1773</v>
      </c>
      <c r="D10" s="196">
        <v>14000000</v>
      </c>
      <c r="E10" s="196">
        <v>-14000000</v>
      </c>
      <c r="F10" s="197" t="s">
        <v>2468</v>
      </c>
      <c r="G10" s="198" t="s">
        <v>2468</v>
      </c>
    </row>
    <row r="11" spans="1:7" ht="17.399999999999999">
      <c r="A11" s="2241" t="s">
        <v>2470</v>
      </c>
      <c r="B11" s="2242"/>
      <c r="C11" s="2243"/>
      <c r="D11" s="203">
        <f>SUM(D10)</f>
        <v>14000000</v>
      </c>
      <c r="E11" s="203">
        <f t="shared" ref="E11:G11" si="1">SUM(E10)</f>
        <v>-14000000</v>
      </c>
      <c r="F11" s="203">
        <f t="shared" si="1"/>
        <v>0</v>
      </c>
      <c r="G11" s="203">
        <f t="shared" si="1"/>
        <v>0</v>
      </c>
    </row>
    <row r="12" spans="1:7" ht="87">
      <c r="A12" s="2236" t="s">
        <v>2471</v>
      </c>
      <c r="B12" s="195">
        <v>3110401</v>
      </c>
      <c r="C12" s="195" t="s">
        <v>2472</v>
      </c>
      <c r="D12" s="196">
        <v>28600000</v>
      </c>
      <c r="E12" s="196">
        <v>97741625</v>
      </c>
      <c r="F12" s="199">
        <v>8926997</v>
      </c>
      <c r="G12" s="196">
        <v>135268622</v>
      </c>
    </row>
    <row r="13" spans="1:7" ht="52.2">
      <c r="A13" s="2237"/>
      <c r="B13" s="195">
        <v>3110499</v>
      </c>
      <c r="C13" s="195" t="s">
        <v>1499</v>
      </c>
      <c r="D13" s="204">
        <v>26625000</v>
      </c>
      <c r="E13" s="205">
        <v>-26625000</v>
      </c>
      <c r="F13" s="197">
        <v>0</v>
      </c>
      <c r="G13" s="198">
        <v>0</v>
      </c>
    </row>
    <row r="14" spans="1:7" ht="52.2">
      <c r="A14" s="2237"/>
      <c r="B14" s="2239">
        <v>3110402</v>
      </c>
      <c r="C14" s="206" t="s">
        <v>2473</v>
      </c>
      <c r="D14" s="2248">
        <v>68172000</v>
      </c>
      <c r="E14" s="2250">
        <v>-48172000</v>
      </c>
      <c r="F14" s="2252">
        <v>0</v>
      </c>
      <c r="G14" s="2234">
        <v>20000000</v>
      </c>
    </row>
    <row r="15" spans="1:7" ht="17.399999999999999">
      <c r="A15" s="2237"/>
      <c r="B15" s="2240"/>
      <c r="C15" s="195" t="s">
        <v>2474</v>
      </c>
      <c r="D15" s="2249"/>
      <c r="E15" s="2251"/>
      <c r="F15" s="2253"/>
      <c r="G15" s="2235"/>
    </row>
    <row r="16" spans="1:7" ht="52.2">
      <c r="A16" s="2237"/>
      <c r="B16" s="195">
        <v>2210606</v>
      </c>
      <c r="C16" s="195" t="s">
        <v>2475</v>
      </c>
      <c r="D16" s="207" t="s">
        <v>2476</v>
      </c>
      <c r="E16" s="196">
        <v>60172000</v>
      </c>
      <c r="F16" s="208">
        <v>-60172000</v>
      </c>
      <c r="G16" s="198">
        <v>0</v>
      </c>
    </row>
    <row r="17" spans="1:7" ht="52.2">
      <c r="A17" s="2237"/>
      <c r="B17" s="209">
        <v>3111401</v>
      </c>
      <c r="C17" s="209" t="s">
        <v>1506</v>
      </c>
      <c r="D17" s="210">
        <v>11245003</v>
      </c>
      <c r="E17" s="205">
        <v>-11245003</v>
      </c>
      <c r="F17" s="199">
        <v>11245003</v>
      </c>
      <c r="G17" s="196">
        <v>11245003</v>
      </c>
    </row>
    <row r="18" spans="1:7" ht="52.2">
      <c r="A18" s="2237"/>
      <c r="B18" s="195">
        <v>3110799</v>
      </c>
      <c r="C18" s="195" t="s">
        <v>1505</v>
      </c>
      <c r="D18" s="204">
        <v>35000000</v>
      </c>
      <c r="E18" s="205">
        <v>-35000000</v>
      </c>
      <c r="F18" s="199">
        <v>35000000</v>
      </c>
      <c r="G18" s="196">
        <v>35000000</v>
      </c>
    </row>
    <row r="19" spans="1:7" ht="34.799999999999997">
      <c r="A19" s="2238"/>
      <c r="B19" s="209">
        <v>3111401</v>
      </c>
      <c r="C19" s="209" t="s">
        <v>1507</v>
      </c>
      <c r="D19" s="210">
        <v>8000000</v>
      </c>
      <c r="E19" s="205">
        <v>-5000000</v>
      </c>
      <c r="F19" s="199">
        <v>2000000</v>
      </c>
      <c r="G19" s="196">
        <v>5000000</v>
      </c>
    </row>
    <row r="20" spans="1:7" ht="17.399999999999999">
      <c r="A20" s="2241" t="s">
        <v>2470</v>
      </c>
      <c r="B20" s="2242"/>
      <c r="C20" s="2243"/>
      <c r="D20" s="203">
        <f>SUM(D12:D19)</f>
        <v>177642003</v>
      </c>
      <c r="E20" s="203">
        <f t="shared" ref="E20:G20" si="2">SUM(E12:E19)</f>
        <v>31871622</v>
      </c>
      <c r="F20" s="203">
        <f t="shared" si="2"/>
        <v>-3000000</v>
      </c>
      <c r="G20" s="203">
        <f t="shared" si="2"/>
        <v>206513625</v>
      </c>
    </row>
    <row r="21" spans="1:7" ht="34.799999999999997">
      <c r="A21" s="2236" t="s">
        <v>1189</v>
      </c>
      <c r="B21" s="2239">
        <v>3111499</v>
      </c>
      <c r="C21" s="206" t="s">
        <v>2275</v>
      </c>
      <c r="D21" s="2248">
        <v>12000000</v>
      </c>
      <c r="E21" s="2250">
        <v>-4000000</v>
      </c>
      <c r="F21" s="2252">
        <v>0</v>
      </c>
      <c r="G21" s="2234">
        <v>8000000</v>
      </c>
    </row>
    <row r="22" spans="1:7" ht="17.399999999999999">
      <c r="A22" s="2237"/>
      <c r="B22" s="2240"/>
      <c r="C22" s="195" t="s">
        <v>1944</v>
      </c>
      <c r="D22" s="2249"/>
      <c r="E22" s="2251"/>
      <c r="F22" s="2253"/>
      <c r="G22" s="2235"/>
    </row>
    <row r="23" spans="1:7" ht="34.799999999999997">
      <c r="A23" s="2237"/>
      <c r="B23" s="195">
        <v>3111401</v>
      </c>
      <c r="C23" s="195" t="s">
        <v>1248</v>
      </c>
      <c r="D23" s="204">
        <v>16000000</v>
      </c>
      <c r="E23" s="205">
        <v>-2000000</v>
      </c>
      <c r="F23" s="197">
        <v>0</v>
      </c>
      <c r="G23" s="196">
        <v>14000000</v>
      </c>
    </row>
    <row r="24" spans="1:7" ht="34.799999999999997">
      <c r="A24" s="2238"/>
      <c r="B24" s="195">
        <v>3110202</v>
      </c>
      <c r="C24" s="195" t="s">
        <v>1423</v>
      </c>
      <c r="D24" s="204">
        <v>18000000</v>
      </c>
      <c r="E24" s="196">
        <v>7000000</v>
      </c>
      <c r="F24" s="197">
        <v>0</v>
      </c>
      <c r="G24" s="196">
        <v>25000000</v>
      </c>
    </row>
    <row r="25" spans="1:7" ht="17.399999999999999">
      <c r="A25" s="2241" t="s">
        <v>2470</v>
      </c>
      <c r="B25" s="2242"/>
      <c r="C25" s="2243"/>
      <c r="D25" s="203">
        <f>SUM(D21:D24)</f>
        <v>46000000</v>
      </c>
      <c r="E25" s="203">
        <f t="shared" ref="E25:G25" si="3">SUM(E21:E24)</f>
        <v>1000000</v>
      </c>
      <c r="F25" s="203">
        <f t="shared" si="3"/>
        <v>0</v>
      </c>
      <c r="G25" s="203">
        <f t="shared" si="3"/>
        <v>47000000</v>
      </c>
    </row>
    <row r="26" spans="1:7" ht="34.799999999999997">
      <c r="A26" s="2236" t="s">
        <v>1190</v>
      </c>
      <c r="B26" s="195">
        <v>3111305</v>
      </c>
      <c r="C26" s="195" t="s">
        <v>1728</v>
      </c>
      <c r="D26" s="204">
        <v>15000000</v>
      </c>
      <c r="E26" s="205">
        <v>-15000000</v>
      </c>
      <c r="F26" s="199">
        <v>15000000</v>
      </c>
      <c r="G26" s="196">
        <v>15000000</v>
      </c>
    </row>
    <row r="27" spans="1:7" ht="52.2">
      <c r="A27" s="2237"/>
      <c r="B27" s="195">
        <v>3110504</v>
      </c>
      <c r="C27" s="195" t="s">
        <v>1460</v>
      </c>
      <c r="D27" s="204">
        <v>28566008</v>
      </c>
      <c r="E27" s="196">
        <v>2433992</v>
      </c>
      <c r="F27" s="197">
        <v>0</v>
      </c>
      <c r="G27" s="196">
        <v>31000000</v>
      </c>
    </row>
    <row r="28" spans="1:7" ht="52.2">
      <c r="A28" s="2238"/>
      <c r="B28" s="211">
        <v>3110599</v>
      </c>
      <c r="C28" s="211" t="s">
        <v>1462</v>
      </c>
      <c r="D28" s="204">
        <v>12000000</v>
      </c>
      <c r="E28" s="196">
        <v>3000000</v>
      </c>
      <c r="F28" s="197">
        <v>0</v>
      </c>
      <c r="G28" s="196">
        <v>15000000</v>
      </c>
    </row>
    <row r="29" spans="1:7" ht="17.399999999999999">
      <c r="A29" s="2241" t="s">
        <v>2470</v>
      </c>
      <c r="B29" s="2242"/>
      <c r="C29" s="2243"/>
      <c r="D29" s="203">
        <f>SUM(D26:D28)</f>
        <v>55566008</v>
      </c>
      <c r="E29" s="203">
        <f t="shared" ref="E29:G29" si="4">SUM(E26:E28)</f>
        <v>-9566008</v>
      </c>
      <c r="F29" s="203">
        <f t="shared" si="4"/>
        <v>15000000</v>
      </c>
      <c r="G29" s="203">
        <f t="shared" si="4"/>
        <v>61000000</v>
      </c>
    </row>
    <row r="30" spans="1:7" ht="69.599999999999994">
      <c r="A30" s="2236" t="s">
        <v>1191</v>
      </c>
      <c r="B30" s="209">
        <v>2210504</v>
      </c>
      <c r="C30" s="209" t="s">
        <v>2072</v>
      </c>
      <c r="D30" s="204">
        <v>10000000</v>
      </c>
      <c r="E30" s="205">
        <v>-10000000</v>
      </c>
      <c r="F30" s="199">
        <v>10000000</v>
      </c>
      <c r="G30" s="196">
        <v>10000000</v>
      </c>
    </row>
    <row r="31" spans="1:7" ht="34.799999999999997">
      <c r="A31" s="2237"/>
      <c r="B31" s="195">
        <v>2211029</v>
      </c>
      <c r="C31" s="195" t="s">
        <v>1494</v>
      </c>
      <c r="D31" s="204">
        <v>4932900</v>
      </c>
      <c r="E31" s="196">
        <v>7679600</v>
      </c>
      <c r="F31" s="197">
        <v>0</v>
      </c>
      <c r="G31" s="196">
        <v>12612500</v>
      </c>
    </row>
    <row r="32" spans="1:7" ht="69.599999999999994">
      <c r="A32" s="2238"/>
      <c r="B32" s="195">
        <v>2211031</v>
      </c>
      <c r="C32" s="212" t="s">
        <v>2477</v>
      </c>
      <c r="D32" s="204">
        <v>1729000</v>
      </c>
      <c r="E32" s="196">
        <v>5000000</v>
      </c>
      <c r="F32" s="197">
        <v>0</v>
      </c>
      <c r="G32" s="196">
        <v>6729000</v>
      </c>
    </row>
    <row r="33" spans="1:7" ht="17.399999999999999">
      <c r="A33" s="2241" t="s">
        <v>2470</v>
      </c>
      <c r="B33" s="2242"/>
      <c r="C33" s="2243"/>
      <c r="D33" s="203">
        <f>SUM(D30:D32)</f>
        <v>16661900</v>
      </c>
      <c r="E33" s="203">
        <f t="shared" ref="E33:G33" si="5">SUM(E30:E32)</f>
        <v>2679600</v>
      </c>
      <c r="F33" s="203">
        <f t="shared" si="5"/>
        <v>10000000</v>
      </c>
      <c r="G33" s="203">
        <f t="shared" si="5"/>
        <v>29341500</v>
      </c>
    </row>
    <row r="34" spans="1:7" ht="17.399999999999999">
      <c r="A34" s="2236" t="s">
        <v>1192</v>
      </c>
      <c r="B34" s="211">
        <v>2211310</v>
      </c>
      <c r="C34" s="211" t="s">
        <v>2081</v>
      </c>
      <c r="D34" s="204">
        <v>6386429</v>
      </c>
      <c r="E34" s="205">
        <v>-5000000</v>
      </c>
      <c r="F34" s="197">
        <v>0</v>
      </c>
      <c r="G34" s="196">
        <v>1386429</v>
      </c>
    </row>
    <row r="35" spans="1:7" ht="52.2">
      <c r="A35" s="2237"/>
      <c r="B35" s="195">
        <v>2211399</v>
      </c>
      <c r="C35" s="195" t="s">
        <v>2344</v>
      </c>
      <c r="D35" s="204">
        <v>26000000</v>
      </c>
      <c r="E35" s="205">
        <v>-10000000</v>
      </c>
      <c r="F35" s="199">
        <v>10000000</v>
      </c>
      <c r="G35" s="196">
        <v>26000000</v>
      </c>
    </row>
    <row r="36" spans="1:7" ht="34.799999999999997">
      <c r="A36" s="2238"/>
      <c r="B36" s="195">
        <v>2220210</v>
      </c>
      <c r="C36" s="195" t="s">
        <v>163</v>
      </c>
      <c r="D36" s="204">
        <v>13007934</v>
      </c>
      <c r="E36" s="205">
        <v>-8000000</v>
      </c>
      <c r="F36" s="197">
        <v>0</v>
      </c>
      <c r="G36" s="196">
        <v>5007934</v>
      </c>
    </row>
    <row r="37" spans="1:7" ht="17.399999999999999">
      <c r="A37" s="2241" t="s">
        <v>2470</v>
      </c>
      <c r="B37" s="2242"/>
      <c r="C37" s="2243"/>
      <c r="D37" s="203">
        <f>SUM(D34:D36)</f>
        <v>45394363</v>
      </c>
      <c r="E37" s="203">
        <f t="shared" ref="E37:G37" si="6">SUM(E34:E36)</f>
        <v>-23000000</v>
      </c>
      <c r="F37" s="203">
        <f t="shared" si="6"/>
        <v>10000000</v>
      </c>
      <c r="G37" s="203">
        <f t="shared" si="6"/>
        <v>32394363</v>
      </c>
    </row>
    <row r="38" spans="1:7" ht="52.2">
      <c r="A38" s="202" t="s">
        <v>1169</v>
      </c>
      <c r="B38" s="195">
        <v>3110599</v>
      </c>
      <c r="C38" s="195" t="s">
        <v>1389</v>
      </c>
      <c r="D38" s="207" t="s">
        <v>2476</v>
      </c>
      <c r="E38" s="196">
        <v>2500000</v>
      </c>
      <c r="F38" s="197">
        <v>0</v>
      </c>
      <c r="G38" s="196">
        <v>2500000</v>
      </c>
    </row>
    <row r="39" spans="1:7" ht="17.399999999999999">
      <c r="A39" s="2241" t="s">
        <v>2470</v>
      </c>
      <c r="B39" s="2242"/>
      <c r="C39" s="2243"/>
      <c r="D39" s="213">
        <f>SUM(D38)</f>
        <v>0</v>
      </c>
      <c r="E39" s="213">
        <f t="shared" ref="E39:G39" si="7">SUM(E38)</f>
        <v>2500000</v>
      </c>
      <c r="F39" s="213">
        <f t="shared" si="7"/>
        <v>0</v>
      </c>
      <c r="G39" s="213">
        <f t="shared" si="7"/>
        <v>2500000</v>
      </c>
    </row>
    <row r="40" spans="1:7" ht="17.399999999999999">
      <c r="A40" s="2236" t="s">
        <v>1194</v>
      </c>
      <c r="B40" s="209">
        <v>3110506</v>
      </c>
      <c r="C40" s="209" t="s">
        <v>1407</v>
      </c>
      <c r="D40" s="204">
        <v>65000000</v>
      </c>
      <c r="E40" s="205">
        <v>-65000000</v>
      </c>
      <c r="F40" s="199">
        <v>34472778</v>
      </c>
      <c r="G40" s="196">
        <v>34472778</v>
      </c>
    </row>
    <row r="41" spans="1:7" ht="34.799999999999997">
      <c r="A41" s="2238"/>
      <c r="B41" s="195">
        <v>3111112</v>
      </c>
      <c r="C41" s="195" t="s">
        <v>2078</v>
      </c>
      <c r="D41" s="204">
        <v>15000000</v>
      </c>
      <c r="E41" s="205">
        <v>-12000000</v>
      </c>
      <c r="F41" s="199">
        <v>12000000</v>
      </c>
      <c r="G41" s="196">
        <v>15000000</v>
      </c>
    </row>
    <row r="42" spans="1:7" ht="17.399999999999999">
      <c r="A42" s="2241" t="s">
        <v>2470</v>
      </c>
      <c r="B42" s="2242"/>
      <c r="C42" s="2243"/>
      <c r="D42" s="203">
        <f>SUM(D40:D41)</f>
        <v>80000000</v>
      </c>
      <c r="E42" s="203">
        <f t="shared" ref="E42:G42" si="8">SUM(E40:E41)</f>
        <v>-77000000</v>
      </c>
      <c r="F42" s="203">
        <f>SUM(F40:F41)</f>
        <v>46472778</v>
      </c>
      <c r="G42" s="203">
        <f t="shared" si="8"/>
        <v>49472778</v>
      </c>
    </row>
    <row r="43" spans="1:7">
      <c r="A43" s="214"/>
      <c r="B43" s="214"/>
      <c r="C43" s="214"/>
      <c r="D43" s="214"/>
      <c r="E43" s="214"/>
      <c r="F43" s="214"/>
      <c r="G43" s="214"/>
    </row>
    <row r="44" spans="1:7">
      <c r="A44" s="214"/>
      <c r="B44" s="214"/>
      <c r="C44" s="214"/>
      <c r="D44" s="214"/>
      <c r="E44" s="214"/>
      <c r="F44" s="214"/>
      <c r="G44" s="214"/>
    </row>
    <row r="45" spans="1:7" ht="17.399999999999999">
      <c r="A45" s="2244" t="s">
        <v>310</v>
      </c>
      <c r="B45" s="2245"/>
      <c r="C45" s="2246"/>
      <c r="D45" s="215">
        <f>SUM(D42,D39,D37,D33,D29,D25,D20,D11,D9)</f>
        <v>520724902</v>
      </c>
      <c r="E45" s="215">
        <v>-133042008</v>
      </c>
      <c r="F45" s="215">
        <v>100000000</v>
      </c>
      <c r="G45" s="215">
        <v>487682894</v>
      </c>
    </row>
    <row r="46" spans="1:7" ht="34.799999999999997">
      <c r="A46" s="2239" t="s">
        <v>1174</v>
      </c>
      <c r="B46" s="195"/>
      <c r="C46" s="195" t="s">
        <v>2478</v>
      </c>
      <c r="D46" s="216" t="s">
        <v>2476</v>
      </c>
      <c r="E46" s="217">
        <v>100000000</v>
      </c>
      <c r="F46" s="218">
        <v>-100000000</v>
      </c>
      <c r="G46" s="216" t="s">
        <v>2468</v>
      </c>
    </row>
    <row r="47" spans="1:7" ht="17.399999999999999">
      <c r="A47" s="2240"/>
      <c r="B47" s="195"/>
      <c r="C47" s="195" t="s">
        <v>2479</v>
      </c>
      <c r="D47" s="216" t="s">
        <v>2476</v>
      </c>
      <c r="E47" s="217">
        <v>33042008</v>
      </c>
      <c r="F47" s="219" t="s">
        <v>2468</v>
      </c>
      <c r="G47" s="217">
        <v>33042008</v>
      </c>
    </row>
    <row r="48" spans="1:7" ht="17.399999999999999">
      <c r="A48" s="220" t="s">
        <v>2380</v>
      </c>
      <c r="B48" s="221"/>
      <c r="C48" s="221"/>
      <c r="D48" s="222">
        <f>SUM(D47,D46,D45)</f>
        <v>520724902</v>
      </c>
      <c r="E48" s="222">
        <f t="shared" ref="E48:G48" si="9">SUM(E47,E46,E45)</f>
        <v>0</v>
      </c>
      <c r="F48" s="222">
        <f t="shared" si="9"/>
        <v>0</v>
      </c>
      <c r="G48" s="222">
        <f t="shared" si="9"/>
        <v>520724902</v>
      </c>
    </row>
  </sheetData>
  <mergeCells count="29">
    <mergeCell ref="A40:A41"/>
    <mergeCell ref="A1:F1"/>
    <mergeCell ref="D21:D22"/>
    <mergeCell ref="A37:C37"/>
    <mergeCell ref="A20:C20"/>
    <mergeCell ref="E21:E22"/>
    <mergeCell ref="F21:F22"/>
    <mergeCell ref="E14:E15"/>
    <mergeCell ref="F14:F15"/>
    <mergeCell ref="A3:A8"/>
    <mergeCell ref="D14:D15"/>
    <mergeCell ref="A9:C9"/>
    <mergeCell ref="A11:C11"/>
    <mergeCell ref="G14:G15"/>
    <mergeCell ref="A21:A24"/>
    <mergeCell ref="G21:G22"/>
    <mergeCell ref="A46:A47"/>
    <mergeCell ref="A25:C25"/>
    <mergeCell ref="A12:A19"/>
    <mergeCell ref="B14:B15"/>
    <mergeCell ref="A45:C45"/>
    <mergeCell ref="A42:C42"/>
    <mergeCell ref="B21:B22"/>
    <mergeCell ref="A30:A32"/>
    <mergeCell ref="A29:C29"/>
    <mergeCell ref="A34:A36"/>
    <mergeCell ref="A33:C33"/>
    <mergeCell ref="A26:A28"/>
    <mergeCell ref="A39:C39"/>
  </mergeCells>
  <pageMargins left="0.7" right="0.7" top="0.75" bottom="0.75" header="0.3" footer="0.3"/>
  <pageSetup paperSize="9" scale="4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ColWidth="10" defaultRowHeight="14.4"/>
  <sheetData>
    <row r="1" spans="1:1" s="223" customFormat="1" ht="31.2">
      <c r="A1" s="223" t="s">
        <v>2417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ColWidth="10" defaultRowHeight="14.4"/>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EZ212"/>
  <sheetViews>
    <sheetView zoomScale="34" workbookViewId="0">
      <selection activeCell="I5" sqref="I5"/>
    </sheetView>
  </sheetViews>
  <sheetFormatPr defaultColWidth="52.5546875" defaultRowHeight="13.8"/>
  <cols>
    <col min="1" max="1" width="42" style="224" customWidth="1"/>
    <col min="2" max="2" width="166.5546875" style="224" customWidth="1"/>
    <col min="3" max="3" width="84.44140625" style="225" customWidth="1"/>
    <col min="4" max="4" width="33.88671875" style="226" hidden="1" customWidth="1"/>
    <col min="5" max="5" width="49.88671875" style="226" hidden="1" customWidth="1"/>
    <col min="6" max="6" width="35.5546875" style="226" hidden="1" customWidth="1"/>
    <col min="7" max="7" width="63.44140625" style="226" customWidth="1"/>
    <col min="8" max="8" width="86.44140625" style="225" customWidth="1"/>
    <col min="9" max="9" width="231.5546875" style="224" customWidth="1"/>
    <col min="10" max="16384" width="52.5546875" style="224"/>
  </cols>
  <sheetData>
    <row r="1" spans="1:16380" ht="87.6">
      <c r="A1" s="227" t="s">
        <v>2382</v>
      </c>
      <c r="B1" s="228"/>
      <c r="C1" s="228"/>
      <c r="D1" s="228"/>
      <c r="E1" s="228"/>
      <c r="F1" s="228"/>
      <c r="G1" s="228"/>
      <c r="H1" s="228"/>
      <c r="I1" s="228"/>
      <c r="J1" s="229"/>
      <c r="K1" s="229"/>
      <c r="L1" s="229"/>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c r="BY1" s="230"/>
      <c r="BZ1" s="230"/>
      <c r="CA1" s="230"/>
      <c r="CB1" s="230"/>
      <c r="CC1" s="230"/>
      <c r="CD1" s="230"/>
      <c r="CE1" s="230"/>
      <c r="CF1" s="230"/>
      <c r="CG1" s="230"/>
      <c r="CH1" s="230"/>
      <c r="CI1" s="230"/>
      <c r="CJ1" s="230"/>
      <c r="CK1" s="230"/>
      <c r="CL1" s="230"/>
      <c r="CM1" s="230"/>
      <c r="CN1" s="230"/>
      <c r="CO1" s="230"/>
      <c r="CP1" s="230"/>
      <c r="CQ1" s="230"/>
      <c r="CR1" s="230"/>
      <c r="CS1" s="230"/>
      <c r="CT1" s="230"/>
      <c r="CU1" s="230"/>
      <c r="CV1" s="230"/>
      <c r="CW1" s="230"/>
      <c r="CX1" s="230"/>
      <c r="CY1" s="230"/>
      <c r="CZ1" s="230"/>
      <c r="DA1" s="230"/>
      <c r="DB1" s="230"/>
      <c r="DC1" s="230"/>
      <c r="DD1" s="230"/>
      <c r="DE1" s="230"/>
      <c r="DF1" s="230"/>
      <c r="DG1" s="230"/>
      <c r="DH1" s="230"/>
      <c r="DI1" s="230"/>
      <c r="DJ1" s="230"/>
      <c r="DK1" s="230"/>
      <c r="DL1" s="230"/>
      <c r="DM1" s="230"/>
      <c r="DN1" s="230"/>
      <c r="DO1" s="230"/>
      <c r="DP1" s="230"/>
      <c r="DQ1" s="230"/>
      <c r="DR1" s="230"/>
      <c r="DS1" s="230"/>
      <c r="DT1" s="230"/>
      <c r="DU1" s="230"/>
      <c r="DV1" s="230"/>
      <c r="DW1" s="230"/>
      <c r="DX1" s="230"/>
      <c r="DY1" s="230"/>
      <c r="DZ1" s="230"/>
      <c r="EA1" s="230"/>
      <c r="EB1" s="230"/>
      <c r="EC1" s="230"/>
      <c r="ED1" s="230"/>
      <c r="EE1" s="230"/>
      <c r="EF1" s="230"/>
      <c r="EG1" s="230"/>
      <c r="EH1" s="230"/>
      <c r="EI1" s="230"/>
      <c r="EJ1" s="230"/>
      <c r="EK1" s="230"/>
      <c r="EL1" s="230"/>
      <c r="EM1" s="230"/>
      <c r="EN1" s="230"/>
      <c r="EO1" s="230"/>
      <c r="EP1" s="230"/>
      <c r="EQ1" s="230"/>
      <c r="ER1" s="230"/>
      <c r="ES1" s="230"/>
      <c r="ET1" s="230"/>
      <c r="EU1" s="230"/>
      <c r="EV1" s="230"/>
      <c r="EW1" s="230"/>
      <c r="EX1" s="230"/>
      <c r="EY1" s="230"/>
      <c r="EZ1" s="230"/>
      <c r="FA1" s="230"/>
      <c r="FB1" s="230"/>
      <c r="FC1" s="230"/>
      <c r="FD1" s="230"/>
      <c r="FE1" s="230"/>
      <c r="FF1" s="230"/>
      <c r="FG1" s="230"/>
      <c r="FH1" s="230"/>
      <c r="FI1" s="230"/>
      <c r="FJ1" s="230"/>
      <c r="FK1" s="230"/>
      <c r="FL1" s="230"/>
      <c r="FM1" s="230"/>
      <c r="FN1" s="230"/>
      <c r="FO1" s="230"/>
      <c r="FP1" s="230"/>
      <c r="FQ1" s="230"/>
      <c r="FR1" s="230"/>
      <c r="FS1" s="230"/>
      <c r="FT1" s="230"/>
      <c r="FU1" s="230"/>
      <c r="FV1" s="230"/>
      <c r="FW1" s="230"/>
      <c r="FX1" s="230"/>
      <c r="FY1" s="230"/>
      <c r="FZ1" s="230"/>
      <c r="GA1" s="230"/>
      <c r="GB1" s="230"/>
      <c r="GC1" s="230"/>
      <c r="GD1" s="230"/>
      <c r="GE1" s="230"/>
      <c r="GF1" s="230"/>
      <c r="GG1" s="230"/>
      <c r="GH1" s="230"/>
      <c r="GI1" s="230"/>
      <c r="GJ1" s="230"/>
      <c r="GK1" s="230"/>
      <c r="GL1" s="230"/>
      <c r="GM1" s="230"/>
      <c r="GN1" s="230"/>
      <c r="GO1" s="230"/>
      <c r="GP1" s="230"/>
      <c r="GQ1" s="230"/>
      <c r="GR1" s="230"/>
      <c r="GS1" s="230"/>
      <c r="GT1" s="230"/>
      <c r="GU1" s="230"/>
      <c r="GV1" s="230"/>
      <c r="GW1" s="230"/>
      <c r="GX1" s="230"/>
      <c r="GY1" s="230"/>
      <c r="GZ1" s="230"/>
      <c r="HA1" s="230"/>
      <c r="HB1" s="230"/>
      <c r="HC1" s="230"/>
      <c r="HD1" s="230"/>
      <c r="HE1" s="230"/>
      <c r="HF1" s="230"/>
      <c r="HG1" s="230"/>
      <c r="HH1" s="230"/>
      <c r="HI1" s="230"/>
      <c r="HJ1" s="230"/>
      <c r="HK1" s="230"/>
      <c r="HL1" s="230"/>
      <c r="HM1" s="230"/>
      <c r="HN1" s="230"/>
      <c r="HO1" s="230"/>
      <c r="HP1" s="230"/>
      <c r="HQ1" s="230"/>
      <c r="HR1" s="230"/>
      <c r="HS1" s="230"/>
      <c r="HT1" s="230"/>
      <c r="HU1" s="230"/>
      <c r="HV1" s="230"/>
      <c r="HW1" s="230"/>
      <c r="HX1" s="230"/>
      <c r="HY1" s="230"/>
      <c r="HZ1" s="230"/>
      <c r="IA1" s="230"/>
      <c r="IB1" s="230"/>
      <c r="IC1" s="230"/>
      <c r="ID1" s="230"/>
      <c r="IE1" s="230"/>
      <c r="IF1" s="230"/>
      <c r="IG1" s="230"/>
      <c r="IH1" s="230"/>
      <c r="II1" s="230"/>
      <c r="IJ1" s="230"/>
      <c r="IK1" s="230"/>
      <c r="IL1" s="230"/>
      <c r="IM1" s="230"/>
      <c r="IN1" s="230"/>
      <c r="IO1" s="230"/>
      <c r="IP1" s="230"/>
      <c r="IQ1" s="230"/>
      <c r="IR1" s="230"/>
      <c r="IS1" s="230"/>
      <c r="IT1" s="230"/>
      <c r="IU1" s="230"/>
      <c r="IV1" s="230"/>
      <c r="IW1" s="230"/>
      <c r="IX1" s="230"/>
      <c r="IY1" s="230"/>
      <c r="IZ1" s="230"/>
      <c r="JA1" s="230"/>
      <c r="JB1" s="230"/>
      <c r="JC1" s="230"/>
      <c r="JD1" s="230"/>
      <c r="JE1" s="230"/>
      <c r="JF1" s="230"/>
      <c r="JG1" s="230"/>
      <c r="JH1" s="230"/>
      <c r="JI1" s="230"/>
      <c r="JJ1" s="230"/>
      <c r="JK1" s="230"/>
      <c r="JL1" s="230"/>
      <c r="JM1" s="230"/>
      <c r="JN1" s="230"/>
      <c r="JO1" s="230"/>
      <c r="JP1" s="230"/>
      <c r="JQ1" s="230"/>
      <c r="JR1" s="230"/>
      <c r="JS1" s="230"/>
      <c r="JT1" s="230"/>
      <c r="JU1" s="230"/>
      <c r="JV1" s="230"/>
      <c r="JW1" s="230"/>
      <c r="JX1" s="230"/>
      <c r="JY1" s="230"/>
      <c r="JZ1" s="230"/>
      <c r="KA1" s="230"/>
      <c r="KB1" s="230"/>
      <c r="KC1" s="230"/>
      <c r="KD1" s="230"/>
      <c r="KE1" s="230"/>
      <c r="KF1" s="230"/>
      <c r="KG1" s="230"/>
      <c r="KH1" s="230"/>
      <c r="KI1" s="230"/>
      <c r="KJ1" s="230"/>
      <c r="KK1" s="230"/>
      <c r="KL1" s="230"/>
      <c r="KM1" s="230"/>
      <c r="KN1" s="230"/>
      <c r="KO1" s="230"/>
      <c r="KP1" s="230"/>
      <c r="KQ1" s="230"/>
      <c r="KR1" s="230"/>
      <c r="KS1" s="230"/>
      <c r="KT1" s="230"/>
      <c r="KU1" s="230"/>
      <c r="KV1" s="230"/>
      <c r="KW1" s="230"/>
      <c r="KX1" s="230"/>
      <c r="KY1" s="230"/>
      <c r="KZ1" s="230"/>
      <c r="LA1" s="230"/>
      <c r="LB1" s="230"/>
      <c r="LC1" s="230"/>
      <c r="LD1" s="230"/>
      <c r="LE1" s="230"/>
      <c r="LF1" s="230"/>
      <c r="LG1" s="230"/>
      <c r="LH1" s="230"/>
      <c r="LI1" s="230"/>
      <c r="LJ1" s="230"/>
      <c r="LK1" s="230"/>
      <c r="LL1" s="230"/>
      <c r="LM1" s="230"/>
      <c r="LN1" s="230"/>
      <c r="LO1" s="230"/>
      <c r="LP1" s="230"/>
      <c r="LQ1" s="230"/>
      <c r="LR1" s="230"/>
      <c r="LS1" s="230"/>
      <c r="LT1" s="230"/>
      <c r="LU1" s="230"/>
      <c r="LV1" s="230"/>
      <c r="LW1" s="230"/>
      <c r="LX1" s="230"/>
      <c r="LY1" s="230"/>
      <c r="LZ1" s="230"/>
      <c r="MA1" s="230"/>
      <c r="MB1" s="230"/>
      <c r="MC1" s="230"/>
      <c r="MD1" s="230"/>
      <c r="ME1" s="230"/>
      <c r="MF1" s="230"/>
      <c r="MG1" s="230"/>
      <c r="MH1" s="230"/>
      <c r="MI1" s="230"/>
      <c r="MJ1" s="230"/>
      <c r="MK1" s="230"/>
      <c r="ML1" s="230"/>
      <c r="MM1" s="230"/>
      <c r="MN1" s="230"/>
      <c r="MO1" s="230"/>
      <c r="MP1" s="230"/>
      <c r="MQ1" s="230"/>
      <c r="MR1" s="230"/>
      <c r="MS1" s="230"/>
      <c r="MT1" s="230"/>
      <c r="MU1" s="230"/>
      <c r="MV1" s="230"/>
      <c r="MW1" s="230"/>
      <c r="MX1" s="230"/>
      <c r="MY1" s="230"/>
      <c r="MZ1" s="230"/>
      <c r="NA1" s="230"/>
      <c r="NB1" s="230"/>
      <c r="NC1" s="230"/>
      <c r="ND1" s="230"/>
      <c r="NE1" s="230"/>
      <c r="NF1" s="230"/>
      <c r="NG1" s="230"/>
      <c r="NH1" s="230"/>
      <c r="NI1" s="230"/>
      <c r="NJ1" s="230"/>
      <c r="NK1" s="230"/>
      <c r="NL1" s="230"/>
      <c r="NM1" s="230"/>
      <c r="NN1" s="230"/>
      <c r="NO1" s="230"/>
      <c r="NP1" s="230"/>
      <c r="NQ1" s="230"/>
      <c r="NR1" s="230"/>
      <c r="NS1" s="230"/>
      <c r="NT1" s="230"/>
      <c r="NU1" s="230"/>
      <c r="NV1" s="230"/>
      <c r="NW1" s="230"/>
      <c r="NX1" s="230"/>
      <c r="NY1" s="230"/>
      <c r="NZ1" s="230"/>
      <c r="OA1" s="230"/>
      <c r="OB1" s="230"/>
      <c r="OC1" s="230"/>
      <c r="OD1" s="230"/>
      <c r="OE1" s="230"/>
      <c r="OF1" s="230"/>
      <c r="OG1" s="230"/>
      <c r="OH1" s="230"/>
      <c r="OI1" s="230"/>
      <c r="OJ1" s="230"/>
      <c r="OK1" s="230"/>
      <c r="OL1" s="230"/>
      <c r="OM1" s="230"/>
      <c r="ON1" s="230"/>
      <c r="OO1" s="230"/>
      <c r="OP1" s="230"/>
      <c r="OQ1" s="230"/>
      <c r="OR1" s="230"/>
      <c r="OS1" s="230"/>
      <c r="OT1" s="230"/>
      <c r="OU1" s="230"/>
      <c r="OV1" s="230"/>
      <c r="OW1" s="230"/>
      <c r="OX1" s="230"/>
      <c r="OY1" s="230"/>
      <c r="OZ1" s="230"/>
      <c r="PA1" s="230"/>
      <c r="PB1" s="230"/>
      <c r="PC1" s="230"/>
      <c r="PD1" s="230"/>
      <c r="PE1" s="230"/>
      <c r="PF1" s="230"/>
      <c r="PG1" s="230"/>
      <c r="PH1" s="230"/>
      <c r="PI1" s="230"/>
      <c r="PJ1" s="230"/>
      <c r="PK1" s="230"/>
      <c r="PL1" s="230"/>
      <c r="PM1" s="230"/>
      <c r="PN1" s="230"/>
      <c r="PO1" s="230"/>
      <c r="PP1" s="230"/>
      <c r="PQ1" s="230"/>
      <c r="PR1" s="230"/>
      <c r="PS1" s="230"/>
      <c r="PT1" s="230"/>
      <c r="PU1" s="230"/>
      <c r="PV1" s="230"/>
      <c r="PW1" s="230"/>
      <c r="PX1" s="230"/>
      <c r="PY1" s="230"/>
      <c r="PZ1" s="230"/>
      <c r="QA1" s="230"/>
      <c r="QB1" s="230"/>
      <c r="QC1" s="230"/>
      <c r="QD1" s="230"/>
      <c r="QE1" s="230"/>
      <c r="QF1" s="230"/>
      <c r="QG1" s="230"/>
      <c r="QH1" s="230"/>
      <c r="QI1" s="230"/>
      <c r="QJ1" s="230"/>
      <c r="QK1" s="230"/>
      <c r="QL1" s="230"/>
      <c r="QM1" s="230"/>
      <c r="QN1" s="230"/>
      <c r="QO1" s="230"/>
      <c r="QP1" s="230"/>
      <c r="QQ1" s="230"/>
      <c r="QR1" s="230"/>
      <c r="QS1" s="230"/>
      <c r="QT1" s="230"/>
      <c r="QU1" s="230"/>
      <c r="QV1" s="230"/>
      <c r="QW1" s="230"/>
      <c r="QX1" s="230"/>
      <c r="QY1" s="230"/>
      <c r="QZ1" s="230"/>
      <c r="RA1" s="230"/>
      <c r="RB1" s="230"/>
      <c r="RC1" s="230"/>
      <c r="RD1" s="230"/>
      <c r="RE1" s="230"/>
      <c r="RF1" s="230"/>
      <c r="RG1" s="230"/>
      <c r="RH1" s="230"/>
      <c r="RI1" s="230"/>
      <c r="RJ1" s="230"/>
      <c r="RK1" s="230"/>
      <c r="RL1" s="230"/>
      <c r="RM1" s="230"/>
      <c r="RN1" s="230"/>
      <c r="RO1" s="230"/>
      <c r="RP1" s="230"/>
      <c r="RQ1" s="230"/>
      <c r="RR1" s="230"/>
      <c r="RS1" s="230"/>
      <c r="RT1" s="230"/>
      <c r="RU1" s="230"/>
      <c r="RV1" s="230"/>
      <c r="RW1" s="230"/>
      <c r="RX1" s="230"/>
      <c r="RY1" s="230"/>
      <c r="RZ1" s="230"/>
      <c r="SA1" s="230"/>
      <c r="SB1" s="230"/>
      <c r="SC1" s="230"/>
      <c r="SD1" s="230"/>
      <c r="SE1" s="230"/>
      <c r="SF1" s="230"/>
      <c r="SG1" s="230"/>
      <c r="SH1" s="230"/>
      <c r="SI1" s="230"/>
      <c r="SJ1" s="230"/>
      <c r="SK1" s="230"/>
      <c r="SL1" s="230"/>
      <c r="SM1" s="230"/>
      <c r="SN1" s="230"/>
      <c r="SO1" s="230"/>
      <c r="SP1" s="230"/>
      <c r="SQ1" s="230"/>
      <c r="SR1" s="230"/>
      <c r="SS1" s="230"/>
      <c r="ST1" s="230"/>
      <c r="SU1" s="230"/>
      <c r="SV1" s="230"/>
      <c r="SW1" s="230"/>
      <c r="SX1" s="230"/>
      <c r="SY1" s="230"/>
      <c r="SZ1" s="230"/>
      <c r="TA1" s="230"/>
      <c r="TB1" s="230"/>
      <c r="TC1" s="230"/>
      <c r="TD1" s="230"/>
      <c r="TE1" s="230"/>
      <c r="TF1" s="230"/>
      <c r="TG1" s="230"/>
      <c r="TH1" s="230"/>
      <c r="TI1" s="230"/>
      <c r="TJ1" s="230"/>
      <c r="TK1" s="230"/>
      <c r="TL1" s="230"/>
      <c r="TM1" s="230"/>
      <c r="TN1" s="230"/>
      <c r="TO1" s="230"/>
      <c r="TP1" s="230"/>
      <c r="TQ1" s="230"/>
      <c r="TR1" s="230"/>
      <c r="TS1" s="230"/>
      <c r="TT1" s="230"/>
      <c r="TU1" s="230"/>
      <c r="TV1" s="230"/>
      <c r="TW1" s="230"/>
      <c r="TX1" s="230"/>
      <c r="TY1" s="230"/>
      <c r="TZ1" s="230"/>
      <c r="UA1" s="230"/>
      <c r="UB1" s="230"/>
      <c r="UC1" s="230"/>
      <c r="UD1" s="230"/>
      <c r="UE1" s="230"/>
      <c r="UF1" s="230"/>
      <c r="UG1" s="230"/>
      <c r="UH1" s="230"/>
      <c r="UI1" s="230"/>
      <c r="UJ1" s="230"/>
      <c r="UK1" s="230"/>
      <c r="UL1" s="230"/>
      <c r="UM1" s="230"/>
      <c r="UN1" s="230"/>
      <c r="UO1" s="230"/>
      <c r="UP1" s="230"/>
      <c r="UQ1" s="230"/>
      <c r="UR1" s="230"/>
      <c r="US1" s="230"/>
      <c r="UT1" s="230"/>
      <c r="UU1" s="230"/>
      <c r="UV1" s="230"/>
      <c r="UW1" s="230"/>
      <c r="UX1" s="230"/>
      <c r="UY1" s="230"/>
      <c r="UZ1" s="230"/>
      <c r="VA1" s="230"/>
      <c r="VB1" s="230"/>
      <c r="VC1" s="230"/>
      <c r="VD1" s="230"/>
      <c r="VE1" s="230"/>
      <c r="VF1" s="230"/>
      <c r="VG1" s="230"/>
      <c r="VH1" s="230"/>
      <c r="VI1" s="230"/>
      <c r="VJ1" s="230"/>
      <c r="VK1" s="230"/>
      <c r="VL1" s="230"/>
      <c r="VM1" s="230"/>
      <c r="VN1" s="230"/>
      <c r="VO1" s="230"/>
      <c r="VP1" s="230"/>
      <c r="VQ1" s="230"/>
      <c r="VR1" s="230"/>
      <c r="VS1" s="230"/>
      <c r="VT1" s="230"/>
      <c r="VU1" s="230"/>
      <c r="VV1" s="230"/>
      <c r="VW1" s="230"/>
      <c r="VX1" s="230"/>
      <c r="VY1" s="230"/>
      <c r="VZ1" s="230"/>
      <c r="WA1" s="230"/>
      <c r="WB1" s="230"/>
      <c r="WC1" s="230"/>
      <c r="WD1" s="230"/>
      <c r="WE1" s="230"/>
      <c r="WF1" s="230"/>
      <c r="WG1" s="230"/>
      <c r="WH1" s="230"/>
      <c r="WI1" s="230"/>
      <c r="WJ1" s="230"/>
      <c r="WK1" s="230"/>
      <c r="WL1" s="230"/>
      <c r="WM1" s="230"/>
      <c r="WN1" s="230"/>
      <c r="WO1" s="230"/>
      <c r="WP1" s="230"/>
      <c r="WQ1" s="230"/>
      <c r="WR1" s="230"/>
      <c r="WS1" s="230"/>
      <c r="WT1" s="230"/>
      <c r="WU1" s="230"/>
      <c r="WV1" s="230"/>
      <c r="WW1" s="230"/>
      <c r="WX1" s="230"/>
      <c r="WY1" s="230"/>
      <c r="WZ1" s="230"/>
      <c r="XA1" s="230"/>
      <c r="XB1" s="230"/>
      <c r="XC1" s="230"/>
      <c r="XD1" s="230"/>
      <c r="XE1" s="230"/>
      <c r="XF1" s="230"/>
      <c r="XG1" s="230"/>
      <c r="XH1" s="230"/>
      <c r="XI1" s="230"/>
      <c r="XJ1" s="230"/>
      <c r="XK1" s="230"/>
      <c r="XL1" s="230"/>
      <c r="XM1" s="230"/>
      <c r="XN1" s="230"/>
      <c r="XO1" s="230"/>
      <c r="XP1" s="230"/>
      <c r="XQ1" s="230"/>
      <c r="XR1" s="230"/>
      <c r="XS1" s="230"/>
      <c r="XT1" s="230"/>
      <c r="XU1" s="230"/>
      <c r="XV1" s="230"/>
      <c r="XW1" s="230"/>
      <c r="XX1" s="230"/>
      <c r="XY1" s="230"/>
      <c r="XZ1" s="230"/>
      <c r="YA1" s="230"/>
      <c r="YB1" s="230"/>
      <c r="YC1" s="230"/>
      <c r="YD1" s="230"/>
      <c r="YE1" s="230"/>
      <c r="YF1" s="230"/>
      <c r="YG1" s="230"/>
      <c r="YH1" s="230"/>
      <c r="YI1" s="230"/>
      <c r="YJ1" s="230"/>
      <c r="YK1" s="230"/>
      <c r="YL1" s="230"/>
      <c r="YM1" s="230"/>
      <c r="YN1" s="230"/>
      <c r="YO1" s="230"/>
      <c r="YP1" s="230"/>
      <c r="YQ1" s="230"/>
      <c r="YR1" s="230"/>
      <c r="YS1" s="230"/>
      <c r="YT1" s="230"/>
      <c r="YU1" s="230"/>
      <c r="YV1" s="230"/>
      <c r="YW1" s="230"/>
      <c r="YX1" s="230"/>
      <c r="YY1" s="230"/>
      <c r="YZ1" s="230"/>
      <c r="ZA1" s="230"/>
      <c r="ZB1" s="230"/>
      <c r="ZC1" s="230"/>
      <c r="ZD1" s="230"/>
      <c r="ZE1" s="230"/>
      <c r="ZF1" s="230"/>
      <c r="ZG1" s="230"/>
      <c r="ZH1" s="230"/>
      <c r="ZI1" s="230"/>
      <c r="ZJ1" s="230"/>
      <c r="ZK1" s="230"/>
      <c r="ZL1" s="230"/>
      <c r="ZM1" s="230"/>
      <c r="ZN1" s="230"/>
      <c r="ZO1" s="230"/>
      <c r="ZP1" s="230"/>
      <c r="ZQ1" s="230"/>
      <c r="ZR1" s="230"/>
      <c r="ZS1" s="230"/>
      <c r="ZT1" s="230"/>
      <c r="ZU1" s="230"/>
      <c r="ZV1" s="230"/>
      <c r="ZW1" s="230"/>
      <c r="ZX1" s="230"/>
      <c r="ZY1" s="230"/>
      <c r="ZZ1" s="230"/>
      <c r="AAA1" s="230"/>
      <c r="AAB1" s="230"/>
      <c r="AAC1" s="230"/>
      <c r="AAD1" s="230"/>
      <c r="AAE1" s="230"/>
      <c r="AAF1" s="230"/>
      <c r="AAG1" s="230"/>
      <c r="AAH1" s="230"/>
      <c r="AAI1" s="230"/>
      <c r="AAJ1" s="230"/>
      <c r="AAK1" s="230"/>
      <c r="AAL1" s="230"/>
      <c r="AAM1" s="230"/>
      <c r="AAN1" s="230"/>
      <c r="AAO1" s="230"/>
      <c r="AAP1" s="230"/>
      <c r="AAQ1" s="230"/>
      <c r="AAR1" s="230"/>
      <c r="AAS1" s="230"/>
      <c r="AAT1" s="230"/>
      <c r="AAU1" s="230"/>
      <c r="AAV1" s="230"/>
      <c r="AAW1" s="230"/>
      <c r="AAX1" s="230"/>
      <c r="AAY1" s="230"/>
      <c r="AAZ1" s="230"/>
      <c r="ABA1" s="230"/>
      <c r="ABB1" s="230"/>
      <c r="ABC1" s="230"/>
      <c r="ABD1" s="230"/>
      <c r="ABE1" s="230"/>
      <c r="ABF1" s="230"/>
      <c r="ABG1" s="230"/>
      <c r="ABH1" s="230"/>
      <c r="ABI1" s="230"/>
      <c r="ABJ1" s="230"/>
      <c r="ABK1" s="230"/>
      <c r="ABL1" s="230"/>
      <c r="ABM1" s="230"/>
      <c r="ABN1" s="230"/>
      <c r="ABO1" s="230"/>
      <c r="ABP1" s="230"/>
      <c r="ABQ1" s="230"/>
      <c r="ABR1" s="230"/>
      <c r="ABS1" s="230"/>
      <c r="ABT1" s="230"/>
      <c r="ABU1" s="230"/>
      <c r="ABV1" s="230"/>
      <c r="ABW1" s="230"/>
      <c r="ABX1" s="230"/>
      <c r="ABY1" s="230"/>
      <c r="ABZ1" s="230"/>
      <c r="ACA1" s="230"/>
      <c r="ACB1" s="230"/>
      <c r="ACC1" s="230"/>
      <c r="ACD1" s="230"/>
      <c r="ACE1" s="230"/>
      <c r="ACF1" s="230"/>
      <c r="ACG1" s="230"/>
      <c r="ACH1" s="230"/>
      <c r="ACI1" s="230"/>
      <c r="ACJ1" s="230"/>
      <c r="ACK1" s="230"/>
      <c r="ACL1" s="230"/>
      <c r="ACM1" s="230"/>
      <c r="ACN1" s="230"/>
      <c r="ACO1" s="230"/>
      <c r="ACP1" s="230"/>
      <c r="ACQ1" s="230"/>
      <c r="ACR1" s="230"/>
      <c r="ACS1" s="230"/>
      <c r="ACT1" s="230"/>
      <c r="ACU1" s="230"/>
      <c r="ACV1" s="230"/>
      <c r="ACW1" s="230"/>
      <c r="ACX1" s="230"/>
      <c r="ACY1" s="230"/>
      <c r="ACZ1" s="230"/>
      <c r="ADA1" s="230"/>
      <c r="ADB1" s="230"/>
      <c r="ADC1" s="230"/>
      <c r="ADD1" s="230"/>
      <c r="ADE1" s="230"/>
      <c r="ADF1" s="230"/>
      <c r="ADG1" s="230"/>
      <c r="ADH1" s="230"/>
      <c r="ADI1" s="230"/>
      <c r="ADJ1" s="230"/>
      <c r="ADK1" s="230"/>
      <c r="ADL1" s="230"/>
      <c r="ADM1" s="230"/>
      <c r="ADN1" s="230"/>
      <c r="ADO1" s="230"/>
      <c r="ADP1" s="230"/>
      <c r="ADQ1" s="230"/>
      <c r="ADR1" s="230"/>
      <c r="ADS1" s="230"/>
      <c r="ADT1" s="230"/>
      <c r="ADU1" s="230"/>
      <c r="ADV1" s="230"/>
      <c r="ADW1" s="230"/>
      <c r="ADX1" s="230"/>
      <c r="ADY1" s="230"/>
      <c r="ADZ1" s="230"/>
      <c r="AEA1" s="230"/>
      <c r="AEB1" s="230"/>
      <c r="AEC1" s="230"/>
      <c r="AED1" s="230"/>
      <c r="AEE1" s="230"/>
      <c r="AEF1" s="230"/>
      <c r="AEG1" s="230"/>
      <c r="AEH1" s="230"/>
      <c r="AEI1" s="230"/>
      <c r="AEJ1" s="230"/>
      <c r="AEK1" s="230"/>
      <c r="AEL1" s="230"/>
      <c r="AEM1" s="230"/>
      <c r="AEN1" s="230"/>
      <c r="AEO1" s="230"/>
      <c r="AEP1" s="230"/>
      <c r="AEQ1" s="230"/>
      <c r="AER1" s="230"/>
      <c r="AES1" s="230"/>
      <c r="AET1" s="230"/>
      <c r="AEU1" s="230"/>
      <c r="AEV1" s="230"/>
      <c r="AEW1" s="230"/>
      <c r="AEX1" s="230"/>
      <c r="AEY1" s="230"/>
      <c r="AEZ1" s="230"/>
      <c r="AFA1" s="230"/>
      <c r="AFB1" s="230"/>
      <c r="AFC1" s="230"/>
      <c r="AFD1" s="230"/>
      <c r="AFE1" s="230"/>
      <c r="AFF1" s="230"/>
      <c r="AFG1" s="230"/>
      <c r="AFH1" s="230"/>
      <c r="AFI1" s="230"/>
      <c r="AFJ1" s="230"/>
      <c r="AFK1" s="230"/>
      <c r="AFL1" s="230"/>
      <c r="AFM1" s="230"/>
      <c r="AFN1" s="230"/>
      <c r="AFO1" s="230"/>
      <c r="AFP1" s="230"/>
      <c r="AFQ1" s="230"/>
      <c r="AFR1" s="230"/>
      <c r="AFS1" s="230"/>
      <c r="AFT1" s="230"/>
      <c r="AFU1" s="230"/>
      <c r="AFV1" s="230"/>
      <c r="AFW1" s="230"/>
      <c r="AFX1" s="230"/>
      <c r="AFY1" s="230"/>
      <c r="AFZ1" s="230"/>
      <c r="AGA1" s="230"/>
      <c r="AGB1" s="230"/>
      <c r="AGC1" s="230"/>
      <c r="AGD1" s="230"/>
      <c r="AGE1" s="230"/>
      <c r="AGF1" s="230"/>
      <c r="AGG1" s="230"/>
      <c r="AGH1" s="230"/>
      <c r="AGI1" s="230"/>
      <c r="AGJ1" s="230"/>
      <c r="AGK1" s="230"/>
      <c r="AGL1" s="230"/>
      <c r="AGM1" s="230"/>
      <c r="AGN1" s="230"/>
      <c r="AGO1" s="230"/>
      <c r="AGP1" s="230"/>
      <c r="AGQ1" s="230"/>
      <c r="AGR1" s="230"/>
      <c r="AGS1" s="230"/>
      <c r="AGT1" s="230"/>
      <c r="AGU1" s="230"/>
      <c r="AGV1" s="230"/>
      <c r="AGW1" s="230"/>
      <c r="AGX1" s="230"/>
      <c r="AGY1" s="230"/>
      <c r="AGZ1" s="230"/>
      <c r="AHA1" s="230"/>
      <c r="AHB1" s="230"/>
      <c r="AHC1" s="230"/>
      <c r="AHD1" s="230"/>
      <c r="AHE1" s="230"/>
      <c r="AHF1" s="230"/>
      <c r="AHG1" s="230"/>
      <c r="AHH1" s="230"/>
      <c r="AHI1" s="230"/>
      <c r="AHJ1" s="230"/>
      <c r="AHK1" s="230"/>
      <c r="AHL1" s="230"/>
      <c r="AHM1" s="230"/>
      <c r="AHN1" s="230"/>
      <c r="AHO1" s="230"/>
      <c r="AHP1" s="230"/>
      <c r="AHQ1" s="230"/>
      <c r="AHR1" s="230"/>
      <c r="AHS1" s="230"/>
      <c r="AHT1" s="230"/>
      <c r="AHU1" s="230"/>
      <c r="AHV1" s="230"/>
      <c r="AHW1" s="230"/>
      <c r="AHX1" s="230"/>
      <c r="AHY1" s="230"/>
      <c r="AHZ1" s="230"/>
      <c r="AIA1" s="230"/>
      <c r="AIB1" s="230"/>
      <c r="AIC1" s="230"/>
      <c r="AID1" s="230"/>
      <c r="AIE1" s="230"/>
      <c r="AIF1" s="230"/>
      <c r="AIG1" s="230"/>
      <c r="AIH1" s="230"/>
      <c r="AII1" s="230"/>
      <c r="AIJ1" s="230"/>
      <c r="AIK1" s="230"/>
      <c r="AIL1" s="230"/>
      <c r="AIM1" s="230"/>
      <c r="AIN1" s="230"/>
      <c r="AIO1" s="230"/>
      <c r="AIP1" s="230"/>
      <c r="AIQ1" s="230"/>
      <c r="AIR1" s="230"/>
      <c r="AIS1" s="230"/>
      <c r="AIT1" s="230"/>
      <c r="AIU1" s="230"/>
      <c r="AIV1" s="230"/>
      <c r="AIW1" s="230"/>
      <c r="AIX1" s="230"/>
      <c r="AIY1" s="230"/>
      <c r="AIZ1" s="230"/>
      <c r="AJA1" s="230"/>
      <c r="AJB1" s="230"/>
      <c r="AJC1" s="230"/>
      <c r="AJD1" s="230"/>
      <c r="AJE1" s="230"/>
      <c r="AJF1" s="230"/>
      <c r="AJG1" s="230"/>
      <c r="AJH1" s="230"/>
      <c r="AJI1" s="230"/>
      <c r="AJJ1" s="230"/>
      <c r="AJK1" s="230"/>
      <c r="AJL1" s="230"/>
      <c r="AJM1" s="230"/>
      <c r="AJN1" s="230"/>
      <c r="AJO1" s="230"/>
      <c r="AJP1" s="230"/>
      <c r="AJQ1" s="230"/>
      <c r="AJR1" s="230"/>
      <c r="AJS1" s="230"/>
      <c r="AJT1" s="230"/>
      <c r="AJU1" s="230"/>
      <c r="AJV1" s="230"/>
      <c r="AJW1" s="230"/>
      <c r="AJX1" s="230"/>
      <c r="AJY1" s="230"/>
      <c r="AJZ1" s="230"/>
      <c r="AKA1" s="230"/>
      <c r="AKB1" s="230"/>
      <c r="AKC1" s="230"/>
      <c r="AKD1" s="230"/>
      <c r="AKE1" s="230"/>
      <c r="AKF1" s="230"/>
      <c r="AKG1" s="230"/>
      <c r="AKH1" s="230"/>
      <c r="AKI1" s="230"/>
      <c r="AKJ1" s="230"/>
      <c r="AKK1" s="230"/>
      <c r="AKL1" s="230"/>
      <c r="AKM1" s="230"/>
      <c r="AKN1" s="230"/>
      <c r="AKO1" s="230"/>
      <c r="AKP1" s="230"/>
      <c r="AKQ1" s="230"/>
      <c r="AKR1" s="230"/>
      <c r="AKS1" s="230"/>
      <c r="AKT1" s="230"/>
      <c r="AKU1" s="230"/>
      <c r="AKV1" s="230"/>
      <c r="AKW1" s="230"/>
      <c r="AKX1" s="230"/>
      <c r="AKY1" s="230"/>
      <c r="AKZ1" s="230"/>
      <c r="ALA1" s="230"/>
      <c r="ALB1" s="230"/>
      <c r="ALC1" s="230"/>
      <c r="ALD1" s="230"/>
      <c r="ALE1" s="230"/>
      <c r="ALF1" s="230"/>
      <c r="ALG1" s="230"/>
      <c r="ALH1" s="230"/>
      <c r="ALI1" s="230"/>
      <c r="ALJ1" s="230"/>
      <c r="ALK1" s="230"/>
      <c r="ALL1" s="230"/>
      <c r="ALM1" s="230"/>
      <c r="ALN1" s="230"/>
      <c r="ALO1" s="230"/>
      <c r="ALP1" s="230"/>
      <c r="ALQ1" s="230"/>
      <c r="ALR1" s="230"/>
      <c r="ALS1" s="230"/>
      <c r="ALT1" s="230"/>
      <c r="ALU1" s="230"/>
      <c r="ALV1" s="230"/>
      <c r="ALW1" s="230"/>
      <c r="ALX1" s="230"/>
      <c r="ALY1" s="230"/>
      <c r="ALZ1" s="230"/>
      <c r="AMA1" s="230"/>
      <c r="AMB1" s="230"/>
      <c r="AMC1" s="230"/>
      <c r="AMD1" s="230"/>
      <c r="AME1" s="230"/>
      <c r="AMF1" s="230"/>
      <c r="AMG1" s="230"/>
      <c r="AMH1" s="230"/>
      <c r="AMI1" s="230"/>
      <c r="AMJ1" s="230"/>
      <c r="AMK1" s="230"/>
      <c r="AML1" s="230"/>
      <c r="AMM1" s="230"/>
      <c r="AMN1" s="230"/>
      <c r="AMO1" s="230"/>
      <c r="AMP1" s="230"/>
      <c r="AMQ1" s="230"/>
      <c r="AMR1" s="230"/>
      <c r="AMS1" s="230"/>
      <c r="AMT1" s="230"/>
      <c r="AMU1" s="230"/>
      <c r="AMV1" s="230"/>
      <c r="AMW1" s="230"/>
      <c r="AMX1" s="230"/>
      <c r="AMY1" s="230"/>
      <c r="AMZ1" s="230"/>
      <c r="ANA1" s="230"/>
      <c r="ANB1" s="230"/>
      <c r="ANC1" s="230"/>
      <c r="AND1" s="230"/>
      <c r="ANE1" s="230"/>
      <c r="ANF1" s="230"/>
      <c r="ANG1" s="230"/>
      <c r="ANH1" s="230"/>
      <c r="ANI1" s="230"/>
      <c r="ANJ1" s="230"/>
      <c r="ANK1" s="230"/>
      <c r="ANL1" s="230"/>
      <c r="ANM1" s="230"/>
      <c r="ANN1" s="230"/>
      <c r="ANO1" s="230"/>
      <c r="ANP1" s="230"/>
      <c r="ANQ1" s="230"/>
      <c r="ANR1" s="230"/>
      <c r="ANS1" s="230"/>
      <c r="ANT1" s="230"/>
      <c r="ANU1" s="230"/>
      <c r="ANV1" s="230"/>
      <c r="ANW1" s="230"/>
      <c r="ANX1" s="230"/>
      <c r="ANY1" s="230"/>
      <c r="ANZ1" s="230"/>
      <c r="AOA1" s="230"/>
      <c r="AOB1" s="230"/>
      <c r="AOC1" s="230"/>
      <c r="AOD1" s="230"/>
      <c r="AOE1" s="230"/>
      <c r="AOF1" s="230"/>
      <c r="AOG1" s="230"/>
      <c r="AOH1" s="230"/>
      <c r="AOI1" s="230"/>
      <c r="AOJ1" s="230"/>
      <c r="AOK1" s="230"/>
      <c r="AOL1" s="230"/>
      <c r="AOM1" s="230"/>
      <c r="AON1" s="230"/>
      <c r="AOO1" s="230"/>
      <c r="AOP1" s="230"/>
      <c r="AOQ1" s="230"/>
      <c r="AOR1" s="230"/>
      <c r="AOS1" s="230"/>
      <c r="AOT1" s="230"/>
      <c r="AOU1" s="230"/>
      <c r="AOV1" s="230"/>
      <c r="AOW1" s="230"/>
      <c r="AOX1" s="230"/>
      <c r="AOY1" s="230"/>
      <c r="AOZ1" s="230"/>
      <c r="APA1" s="230"/>
      <c r="APB1" s="230"/>
      <c r="APC1" s="230"/>
      <c r="APD1" s="230"/>
      <c r="APE1" s="230"/>
      <c r="APF1" s="230"/>
      <c r="APG1" s="230"/>
      <c r="APH1" s="230"/>
      <c r="API1" s="230"/>
      <c r="APJ1" s="230"/>
      <c r="APK1" s="230"/>
      <c r="APL1" s="230"/>
      <c r="APM1" s="230"/>
      <c r="APN1" s="230"/>
      <c r="APO1" s="230"/>
      <c r="APP1" s="230"/>
      <c r="APQ1" s="230"/>
      <c r="APR1" s="230"/>
      <c r="APS1" s="230"/>
      <c r="APT1" s="230"/>
      <c r="APU1" s="230"/>
      <c r="APV1" s="230"/>
      <c r="APW1" s="230"/>
      <c r="APX1" s="230"/>
      <c r="APY1" s="230"/>
      <c r="APZ1" s="230"/>
      <c r="AQA1" s="230"/>
      <c r="AQB1" s="230"/>
      <c r="AQC1" s="230"/>
      <c r="AQD1" s="230"/>
      <c r="AQE1" s="230"/>
      <c r="AQF1" s="230"/>
      <c r="AQG1" s="230"/>
      <c r="AQH1" s="230"/>
      <c r="AQI1" s="230"/>
      <c r="AQJ1" s="230"/>
      <c r="AQK1" s="230"/>
      <c r="AQL1" s="230"/>
      <c r="AQM1" s="230"/>
      <c r="AQN1" s="230"/>
      <c r="AQO1" s="230"/>
      <c r="AQP1" s="230"/>
      <c r="AQQ1" s="230"/>
      <c r="AQR1" s="230"/>
      <c r="AQS1" s="230"/>
      <c r="AQT1" s="230"/>
      <c r="AQU1" s="230"/>
      <c r="AQV1" s="230"/>
      <c r="AQW1" s="230"/>
      <c r="AQX1" s="230"/>
      <c r="AQY1" s="230"/>
      <c r="AQZ1" s="230"/>
      <c r="ARA1" s="230"/>
      <c r="ARB1" s="230"/>
      <c r="ARC1" s="230"/>
      <c r="ARD1" s="230"/>
      <c r="ARE1" s="230"/>
      <c r="ARF1" s="230"/>
      <c r="ARG1" s="230"/>
      <c r="ARH1" s="230"/>
      <c r="ARI1" s="230"/>
      <c r="ARJ1" s="230"/>
      <c r="ARK1" s="230"/>
      <c r="ARL1" s="230"/>
      <c r="ARM1" s="230"/>
      <c r="ARN1" s="230"/>
      <c r="ARO1" s="230"/>
      <c r="ARP1" s="230"/>
      <c r="ARQ1" s="230"/>
      <c r="ARR1" s="230"/>
      <c r="ARS1" s="230"/>
      <c r="ART1" s="230"/>
      <c r="ARU1" s="230"/>
      <c r="ARV1" s="230"/>
      <c r="ARW1" s="230"/>
      <c r="ARX1" s="230"/>
      <c r="ARY1" s="230"/>
      <c r="ARZ1" s="230"/>
      <c r="ASA1" s="230"/>
      <c r="ASB1" s="230"/>
      <c r="ASC1" s="230"/>
      <c r="ASD1" s="230"/>
      <c r="ASE1" s="230"/>
      <c r="ASF1" s="230"/>
      <c r="ASG1" s="230"/>
      <c r="ASH1" s="230"/>
      <c r="ASI1" s="230"/>
      <c r="ASJ1" s="230"/>
      <c r="ASK1" s="230"/>
      <c r="ASL1" s="230"/>
      <c r="ASM1" s="230"/>
      <c r="ASN1" s="230"/>
      <c r="ASO1" s="230"/>
      <c r="ASP1" s="230"/>
      <c r="ASQ1" s="230"/>
      <c r="ASR1" s="230"/>
      <c r="ASS1" s="230"/>
      <c r="AST1" s="230"/>
      <c r="ASU1" s="230"/>
      <c r="ASV1" s="230"/>
      <c r="ASW1" s="230"/>
      <c r="ASX1" s="230"/>
      <c r="ASY1" s="230"/>
      <c r="ASZ1" s="230"/>
      <c r="ATA1" s="230"/>
      <c r="ATB1" s="230"/>
      <c r="ATC1" s="230"/>
      <c r="ATD1" s="230"/>
      <c r="ATE1" s="230"/>
      <c r="ATF1" s="230"/>
      <c r="ATG1" s="230"/>
      <c r="ATH1" s="230"/>
      <c r="ATI1" s="230"/>
      <c r="ATJ1" s="230"/>
      <c r="ATK1" s="230"/>
      <c r="ATL1" s="230"/>
      <c r="ATM1" s="230"/>
      <c r="ATN1" s="230"/>
      <c r="ATO1" s="230"/>
      <c r="ATP1" s="230"/>
      <c r="ATQ1" s="230"/>
      <c r="ATR1" s="230"/>
      <c r="ATS1" s="230"/>
      <c r="ATT1" s="230"/>
      <c r="ATU1" s="230"/>
      <c r="ATV1" s="230"/>
      <c r="ATW1" s="230"/>
      <c r="ATX1" s="230"/>
      <c r="ATY1" s="230"/>
      <c r="ATZ1" s="230"/>
      <c r="AUA1" s="230"/>
      <c r="AUB1" s="230"/>
      <c r="AUC1" s="230"/>
      <c r="AUD1" s="230"/>
      <c r="AUE1" s="230"/>
      <c r="AUF1" s="230"/>
      <c r="AUG1" s="230"/>
      <c r="AUH1" s="230"/>
      <c r="AUI1" s="230"/>
      <c r="AUJ1" s="230"/>
      <c r="AUK1" s="230"/>
      <c r="AUL1" s="230"/>
      <c r="AUM1" s="230"/>
      <c r="AUN1" s="230"/>
      <c r="AUO1" s="230"/>
      <c r="AUP1" s="230"/>
      <c r="AUQ1" s="230"/>
      <c r="AUR1" s="230"/>
      <c r="AUS1" s="230"/>
      <c r="AUT1" s="230"/>
      <c r="AUU1" s="230"/>
      <c r="AUV1" s="230"/>
      <c r="AUW1" s="230"/>
      <c r="AUX1" s="230"/>
      <c r="AUY1" s="230"/>
      <c r="AUZ1" s="230"/>
      <c r="AVA1" s="230"/>
      <c r="AVB1" s="230"/>
      <c r="AVC1" s="230"/>
      <c r="AVD1" s="230"/>
      <c r="AVE1" s="230"/>
      <c r="AVF1" s="230"/>
      <c r="AVG1" s="230"/>
      <c r="AVH1" s="230"/>
      <c r="AVI1" s="230"/>
      <c r="AVJ1" s="230"/>
      <c r="AVK1" s="230"/>
      <c r="AVL1" s="230"/>
      <c r="AVM1" s="230"/>
      <c r="AVN1" s="230"/>
      <c r="AVO1" s="230"/>
      <c r="AVP1" s="230"/>
      <c r="AVQ1" s="230"/>
      <c r="AVR1" s="230"/>
      <c r="AVS1" s="230"/>
      <c r="AVT1" s="230"/>
      <c r="AVU1" s="230"/>
      <c r="AVV1" s="230"/>
      <c r="AVW1" s="230"/>
      <c r="AVX1" s="230"/>
      <c r="AVY1" s="230"/>
      <c r="AVZ1" s="230"/>
      <c r="AWA1" s="230"/>
      <c r="AWB1" s="230"/>
      <c r="AWC1" s="230"/>
      <c r="AWD1" s="230"/>
      <c r="AWE1" s="230"/>
      <c r="AWF1" s="230"/>
      <c r="AWG1" s="230"/>
      <c r="AWH1" s="230"/>
      <c r="AWI1" s="230"/>
      <c r="AWJ1" s="230"/>
      <c r="AWK1" s="230"/>
      <c r="AWL1" s="230"/>
      <c r="AWM1" s="230"/>
      <c r="AWN1" s="230"/>
      <c r="AWO1" s="230"/>
      <c r="AWP1" s="230"/>
      <c r="AWQ1" s="230"/>
      <c r="AWR1" s="230"/>
      <c r="AWS1" s="230"/>
      <c r="AWT1" s="230"/>
      <c r="AWU1" s="230"/>
      <c r="AWV1" s="230"/>
      <c r="AWW1" s="230"/>
      <c r="AWX1" s="230"/>
      <c r="AWY1" s="230"/>
      <c r="AWZ1" s="230"/>
      <c r="AXA1" s="230"/>
      <c r="AXB1" s="230"/>
      <c r="AXC1" s="230"/>
      <c r="AXD1" s="230"/>
      <c r="AXE1" s="230"/>
      <c r="AXF1" s="230"/>
      <c r="AXG1" s="230"/>
      <c r="AXH1" s="230"/>
      <c r="AXI1" s="230"/>
      <c r="AXJ1" s="230"/>
      <c r="AXK1" s="230"/>
      <c r="AXL1" s="230"/>
      <c r="AXM1" s="230"/>
      <c r="AXN1" s="230"/>
      <c r="AXO1" s="230"/>
      <c r="AXP1" s="230"/>
      <c r="AXQ1" s="230"/>
      <c r="AXR1" s="230"/>
      <c r="AXS1" s="230"/>
      <c r="AXT1" s="230"/>
      <c r="AXU1" s="230"/>
      <c r="AXV1" s="230"/>
      <c r="AXW1" s="230"/>
      <c r="AXX1" s="230"/>
      <c r="AXY1" s="230"/>
      <c r="AXZ1" s="230"/>
      <c r="AYA1" s="230"/>
      <c r="AYB1" s="230"/>
      <c r="AYC1" s="230"/>
      <c r="AYD1" s="230"/>
      <c r="AYE1" s="230"/>
      <c r="AYF1" s="230"/>
      <c r="AYG1" s="230"/>
      <c r="AYH1" s="230"/>
      <c r="AYI1" s="230"/>
      <c r="AYJ1" s="230"/>
      <c r="AYK1" s="230"/>
      <c r="AYL1" s="230"/>
      <c r="AYM1" s="230"/>
      <c r="AYN1" s="230"/>
      <c r="AYO1" s="230"/>
      <c r="AYP1" s="230"/>
      <c r="AYQ1" s="230"/>
      <c r="AYR1" s="230"/>
      <c r="AYS1" s="230"/>
      <c r="AYT1" s="230"/>
      <c r="AYU1" s="230"/>
      <c r="AYV1" s="230"/>
      <c r="AYW1" s="230"/>
      <c r="AYX1" s="230"/>
      <c r="AYY1" s="230"/>
      <c r="AYZ1" s="230"/>
      <c r="AZA1" s="230"/>
      <c r="AZB1" s="230"/>
      <c r="AZC1" s="230"/>
      <c r="AZD1" s="230"/>
      <c r="AZE1" s="230"/>
      <c r="AZF1" s="230"/>
      <c r="AZG1" s="230"/>
      <c r="AZH1" s="230"/>
      <c r="AZI1" s="230"/>
      <c r="AZJ1" s="230"/>
      <c r="AZK1" s="230"/>
      <c r="AZL1" s="230"/>
      <c r="AZM1" s="230"/>
      <c r="AZN1" s="230"/>
      <c r="AZO1" s="230"/>
      <c r="AZP1" s="230"/>
      <c r="AZQ1" s="230"/>
      <c r="AZR1" s="230"/>
      <c r="AZS1" s="230"/>
      <c r="AZT1" s="230"/>
      <c r="AZU1" s="230"/>
      <c r="AZV1" s="230"/>
      <c r="AZW1" s="230"/>
      <c r="AZX1" s="230"/>
      <c r="AZY1" s="230"/>
      <c r="AZZ1" s="230"/>
      <c r="BAA1" s="230"/>
      <c r="BAB1" s="230"/>
      <c r="BAC1" s="230"/>
      <c r="BAD1" s="230"/>
      <c r="BAE1" s="230"/>
      <c r="BAF1" s="230"/>
      <c r="BAG1" s="230"/>
      <c r="BAH1" s="230"/>
      <c r="BAI1" s="230"/>
      <c r="BAJ1" s="230"/>
      <c r="BAK1" s="230"/>
      <c r="BAL1" s="230"/>
      <c r="BAM1" s="230"/>
      <c r="BAN1" s="230"/>
      <c r="BAO1" s="230"/>
      <c r="BAP1" s="230"/>
      <c r="BAQ1" s="230"/>
      <c r="BAR1" s="230"/>
      <c r="BAS1" s="230"/>
      <c r="BAT1" s="230"/>
      <c r="BAU1" s="230"/>
      <c r="BAV1" s="230"/>
      <c r="BAW1" s="230"/>
      <c r="BAX1" s="230"/>
      <c r="BAY1" s="230"/>
      <c r="BAZ1" s="230"/>
      <c r="BBA1" s="230"/>
      <c r="BBB1" s="230"/>
      <c r="BBC1" s="230"/>
      <c r="BBD1" s="230"/>
      <c r="BBE1" s="230"/>
      <c r="BBF1" s="230"/>
      <c r="BBG1" s="230"/>
      <c r="BBH1" s="230"/>
      <c r="BBI1" s="230"/>
      <c r="BBJ1" s="230"/>
      <c r="BBK1" s="230"/>
      <c r="BBL1" s="230"/>
      <c r="BBM1" s="230"/>
      <c r="BBN1" s="230"/>
      <c r="BBO1" s="230"/>
      <c r="BBP1" s="230"/>
      <c r="BBQ1" s="230"/>
      <c r="BBR1" s="230"/>
      <c r="BBS1" s="230"/>
      <c r="BBT1" s="230"/>
      <c r="BBU1" s="230"/>
      <c r="BBV1" s="230"/>
      <c r="BBW1" s="230"/>
      <c r="BBX1" s="230"/>
      <c r="BBY1" s="230"/>
      <c r="BBZ1" s="230"/>
      <c r="BCA1" s="230"/>
      <c r="BCB1" s="230"/>
      <c r="BCC1" s="230"/>
      <c r="BCD1" s="230"/>
      <c r="BCE1" s="230"/>
      <c r="BCF1" s="230"/>
      <c r="BCG1" s="230"/>
      <c r="BCH1" s="230"/>
      <c r="BCI1" s="230"/>
      <c r="BCJ1" s="230"/>
      <c r="BCK1" s="230"/>
      <c r="BCL1" s="230"/>
      <c r="BCM1" s="230"/>
      <c r="BCN1" s="230"/>
      <c r="BCO1" s="230"/>
      <c r="BCP1" s="230"/>
      <c r="BCQ1" s="230"/>
      <c r="BCR1" s="230"/>
      <c r="BCS1" s="230"/>
      <c r="BCT1" s="230"/>
      <c r="BCU1" s="230"/>
      <c r="BCV1" s="230"/>
      <c r="BCW1" s="230"/>
      <c r="BCX1" s="230"/>
      <c r="BCY1" s="230"/>
      <c r="BCZ1" s="230"/>
      <c r="BDA1" s="230"/>
      <c r="BDB1" s="230"/>
      <c r="BDC1" s="230"/>
      <c r="BDD1" s="230"/>
      <c r="BDE1" s="230"/>
      <c r="BDF1" s="230"/>
      <c r="BDG1" s="230"/>
      <c r="BDH1" s="230"/>
      <c r="BDI1" s="230"/>
      <c r="BDJ1" s="230"/>
      <c r="BDK1" s="230"/>
      <c r="BDL1" s="230"/>
      <c r="BDM1" s="230"/>
      <c r="BDN1" s="230"/>
      <c r="BDO1" s="230"/>
      <c r="BDP1" s="230"/>
      <c r="BDQ1" s="230"/>
      <c r="BDR1" s="230"/>
      <c r="BDS1" s="230"/>
      <c r="BDT1" s="230"/>
      <c r="BDU1" s="230"/>
      <c r="BDV1" s="230"/>
      <c r="BDW1" s="230"/>
      <c r="BDX1" s="230"/>
      <c r="BDY1" s="230"/>
      <c r="BDZ1" s="230"/>
      <c r="BEA1" s="230"/>
      <c r="BEB1" s="230"/>
      <c r="BEC1" s="230"/>
      <c r="BED1" s="230"/>
      <c r="BEE1" s="230"/>
      <c r="BEF1" s="230"/>
      <c r="BEG1" s="230"/>
      <c r="BEH1" s="230"/>
      <c r="BEI1" s="230"/>
      <c r="BEJ1" s="230"/>
      <c r="BEK1" s="230"/>
      <c r="BEL1" s="230"/>
      <c r="BEM1" s="230"/>
      <c r="BEN1" s="230"/>
      <c r="BEO1" s="230"/>
      <c r="BEP1" s="230"/>
      <c r="BEQ1" s="230"/>
      <c r="BER1" s="230"/>
      <c r="BES1" s="230"/>
      <c r="BET1" s="230"/>
      <c r="BEU1" s="230"/>
      <c r="BEV1" s="230"/>
      <c r="BEW1" s="230"/>
      <c r="BEX1" s="230"/>
      <c r="BEY1" s="230"/>
      <c r="BEZ1" s="230"/>
      <c r="BFA1" s="230"/>
      <c r="BFB1" s="230"/>
      <c r="BFC1" s="230"/>
      <c r="BFD1" s="230"/>
      <c r="BFE1" s="230"/>
      <c r="BFF1" s="230"/>
      <c r="BFG1" s="230"/>
      <c r="BFH1" s="230"/>
      <c r="BFI1" s="230"/>
      <c r="BFJ1" s="230"/>
      <c r="BFK1" s="230"/>
      <c r="BFL1" s="230"/>
      <c r="BFM1" s="230"/>
      <c r="BFN1" s="230"/>
      <c r="BFO1" s="230"/>
      <c r="BFP1" s="230"/>
      <c r="BFQ1" s="230"/>
      <c r="BFR1" s="230"/>
      <c r="BFS1" s="230"/>
      <c r="BFT1" s="230"/>
      <c r="BFU1" s="230"/>
      <c r="BFV1" s="230"/>
      <c r="BFW1" s="230"/>
      <c r="BFX1" s="230"/>
      <c r="BFY1" s="230"/>
      <c r="BFZ1" s="230"/>
      <c r="BGA1" s="230"/>
      <c r="BGB1" s="230"/>
      <c r="BGC1" s="230"/>
      <c r="BGD1" s="230"/>
      <c r="BGE1" s="230"/>
      <c r="BGF1" s="230"/>
      <c r="BGG1" s="230"/>
      <c r="BGH1" s="230"/>
      <c r="BGI1" s="230"/>
      <c r="BGJ1" s="230"/>
      <c r="BGK1" s="230"/>
      <c r="BGL1" s="230"/>
      <c r="BGM1" s="230"/>
      <c r="BGN1" s="230"/>
      <c r="BGO1" s="230"/>
      <c r="BGP1" s="230"/>
      <c r="BGQ1" s="230"/>
      <c r="BGR1" s="230"/>
      <c r="BGS1" s="230"/>
      <c r="BGT1" s="230"/>
      <c r="BGU1" s="230"/>
      <c r="BGV1" s="230"/>
      <c r="BGW1" s="230"/>
      <c r="BGX1" s="230"/>
      <c r="BGY1" s="230"/>
      <c r="BGZ1" s="230"/>
      <c r="BHA1" s="230"/>
      <c r="BHB1" s="230"/>
      <c r="BHC1" s="230"/>
      <c r="BHD1" s="230"/>
      <c r="BHE1" s="230"/>
      <c r="BHF1" s="230"/>
      <c r="BHG1" s="230"/>
      <c r="BHH1" s="230"/>
      <c r="BHI1" s="230"/>
      <c r="BHJ1" s="230"/>
      <c r="BHK1" s="230"/>
      <c r="BHL1" s="230"/>
      <c r="BHM1" s="230"/>
      <c r="BHN1" s="230"/>
      <c r="BHO1" s="230"/>
      <c r="BHP1" s="230"/>
      <c r="BHQ1" s="230"/>
      <c r="BHR1" s="230"/>
      <c r="BHS1" s="230"/>
      <c r="BHT1" s="230"/>
      <c r="BHU1" s="230"/>
      <c r="BHV1" s="230"/>
      <c r="BHW1" s="230"/>
      <c r="BHX1" s="230"/>
      <c r="BHY1" s="230"/>
      <c r="BHZ1" s="230"/>
      <c r="BIA1" s="230"/>
      <c r="BIB1" s="230"/>
      <c r="BIC1" s="230"/>
      <c r="BID1" s="230"/>
      <c r="BIE1" s="230"/>
      <c r="BIF1" s="230"/>
      <c r="BIG1" s="230"/>
      <c r="BIH1" s="230"/>
      <c r="BII1" s="230"/>
      <c r="BIJ1" s="230"/>
      <c r="BIK1" s="230"/>
      <c r="BIL1" s="230"/>
      <c r="BIM1" s="230"/>
      <c r="BIN1" s="230"/>
      <c r="BIO1" s="230"/>
      <c r="BIP1" s="230"/>
      <c r="BIQ1" s="230"/>
      <c r="BIR1" s="230"/>
      <c r="BIS1" s="230"/>
      <c r="BIT1" s="230"/>
      <c r="BIU1" s="230"/>
      <c r="BIV1" s="230"/>
      <c r="BIW1" s="230"/>
      <c r="BIX1" s="230"/>
      <c r="BIY1" s="230"/>
      <c r="BIZ1" s="230"/>
      <c r="BJA1" s="230"/>
      <c r="BJB1" s="230"/>
      <c r="BJC1" s="230"/>
      <c r="BJD1" s="230"/>
      <c r="BJE1" s="230"/>
      <c r="BJF1" s="230"/>
      <c r="BJG1" s="230"/>
      <c r="BJH1" s="230"/>
      <c r="BJI1" s="230"/>
      <c r="BJJ1" s="230"/>
      <c r="BJK1" s="230"/>
      <c r="BJL1" s="230"/>
      <c r="BJM1" s="230"/>
      <c r="BJN1" s="230"/>
      <c r="BJO1" s="230"/>
      <c r="BJP1" s="230"/>
      <c r="BJQ1" s="230"/>
      <c r="BJR1" s="230"/>
      <c r="BJS1" s="230"/>
      <c r="BJT1" s="230"/>
      <c r="BJU1" s="230"/>
      <c r="BJV1" s="230"/>
      <c r="BJW1" s="230"/>
      <c r="BJX1" s="230"/>
      <c r="BJY1" s="230"/>
      <c r="BJZ1" s="230"/>
      <c r="BKA1" s="230"/>
      <c r="BKB1" s="230"/>
      <c r="BKC1" s="230"/>
      <c r="BKD1" s="230"/>
      <c r="BKE1" s="230"/>
      <c r="BKF1" s="230"/>
      <c r="BKG1" s="230"/>
      <c r="BKH1" s="230"/>
      <c r="BKI1" s="230"/>
      <c r="BKJ1" s="230"/>
      <c r="BKK1" s="230"/>
      <c r="BKL1" s="230"/>
      <c r="BKM1" s="230"/>
      <c r="BKN1" s="230"/>
      <c r="BKO1" s="230"/>
      <c r="BKP1" s="230"/>
      <c r="BKQ1" s="230"/>
      <c r="BKR1" s="230"/>
      <c r="BKS1" s="230"/>
      <c r="BKT1" s="230"/>
      <c r="BKU1" s="230"/>
      <c r="BKV1" s="230"/>
      <c r="BKW1" s="230"/>
      <c r="BKX1" s="230"/>
      <c r="BKY1" s="230"/>
      <c r="BKZ1" s="230"/>
      <c r="BLA1" s="230"/>
      <c r="BLB1" s="230"/>
      <c r="BLC1" s="230"/>
      <c r="BLD1" s="230"/>
      <c r="BLE1" s="230"/>
      <c r="BLF1" s="230"/>
      <c r="BLG1" s="230"/>
      <c r="BLH1" s="230"/>
      <c r="BLI1" s="230"/>
      <c r="BLJ1" s="230"/>
      <c r="BLK1" s="230"/>
      <c r="BLL1" s="230"/>
      <c r="BLM1" s="230"/>
      <c r="BLN1" s="230"/>
      <c r="BLO1" s="230"/>
      <c r="BLP1" s="230"/>
      <c r="BLQ1" s="230"/>
      <c r="BLR1" s="230"/>
      <c r="BLS1" s="230"/>
      <c r="BLT1" s="230"/>
      <c r="BLU1" s="230"/>
      <c r="BLV1" s="230"/>
      <c r="BLW1" s="230"/>
      <c r="BLX1" s="230"/>
      <c r="BLY1" s="230"/>
      <c r="BLZ1" s="230"/>
      <c r="BMA1" s="230"/>
      <c r="BMB1" s="230"/>
      <c r="BMC1" s="230"/>
      <c r="BMD1" s="230"/>
      <c r="BME1" s="230"/>
      <c r="BMF1" s="230"/>
      <c r="BMG1" s="230"/>
      <c r="BMH1" s="230"/>
      <c r="BMI1" s="230"/>
      <c r="BMJ1" s="230"/>
      <c r="BMK1" s="230"/>
      <c r="BML1" s="230"/>
      <c r="BMM1" s="230"/>
      <c r="BMN1" s="230"/>
      <c r="BMO1" s="230"/>
      <c r="BMP1" s="230"/>
      <c r="BMQ1" s="230"/>
      <c r="BMR1" s="230"/>
      <c r="BMS1" s="230"/>
      <c r="BMT1" s="230"/>
      <c r="BMU1" s="230"/>
      <c r="BMV1" s="230"/>
      <c r="BMW1" s="230"/>
      <c r="BMX1" s="230"/>
      <c r="BMY1" s="230"/>
      <c r="BMZ1" s="230"/>
      <c r="BNA1" s="230"/>
      <c r="BNB1" s="230"/>
      <c r="BNC1" s="230"/>
      <c r="BND1" s="230"/>
      <c r="BNE1" s="230"/>
      <c r="BNF1" s="230"/>
      <c r="BNG1" s="230"/>
      <c r="BNH1" s="230"/>
      <c r="BNI1" s="230"/>
      <c r="BNJ1" s="230"/>
      <c r="BNK1" s="230"/>
      <c r="BNL1" s="230"/>
      <c r="BNM1" s="230"/>
      <c r="BNN1" s="230"/>
      <c r="BNO1" s="230"/>
      <c r="BNP1" s="230"/>
      <c r="BNQ1" s="230"/>
      <c r="BNR1" s="230"/>
      <c r="BNS1" s="230"/>
      <c r="BNT1" s="230"/>
      <c r="BNU1" s="230"/>
      <c r="BNV1" s="230"/>
      <c r="BNW1" s="230"/>
      <c r="BNX1" s="230"/>
      <c r="BNY1" s="230"/>
      <c r="BNZ1" s="230"/>
      <c r="BOA1" s="230"/>
      <c r="BOB1" s="230"/>
      <c r="BOC1" s="230"/>
      <c r="BOD1" s="230"/>
      <c r="BOE1" s="230"/>
      <c r="BOF1" s="230"/>
      <c r="BOG1" s="230"/>
      <c r="BOH1" s="230"/>
      <c r="BOI1" s="230"/>
      <c r="BOJ1" s="230"/>
      <c r="BOK1" s="230"/>
      <c r="BOL1" s="230"/>
      <c r="BOM1" s="230"/>
      <c r="BON1" s="230"/>
      <c r="BOO1" s="230"/>
      <c r="BOP1" s="230"/>
      <c r="BOQ1" s="230"/>
      <c r="BOR1" s="230"/>
      <c r="BOS1" s="230"/>
      <c r="BOT1" s="230"/>
      <c r="BOU1" s="230"/>
      <c r="BOV1" s="230"/>
      <c r="BOW1" s="230"/>
      <c r="BOX1" s="230"/>
      <c r="BOY1" s="230"/>
      <c r="BOZ1" s="230"/>
      <c r="BPA1" s="230"/>
      <c r="BPB1" s="230"/>
      <c r="BPC1" s="230"/>
      <c r="BPD1" s="230"/>
      <c r="BPE1" s="230"/>
      <c r="BPF1" s="230"/>
      <c r="BPG1" s="230"/>
      <c r="BPH1" s="230"/>
      <c r="BPI1" s="230"/>
      <c r="BPJ1" s="230"/>
      <c r="BPK1" s="230"/>
      <c r="BPL1" s="230"/>
      <c r="BPM1" s="230"/>
      <c r="BPN1" s="230"/>
      <c r="BPO1" s="230"/>
      <c r="BPP1" s="230"/>
      <c r="BPQ1" s="230"/>
      <c r="BPR1" s="230"/>
      <c r="BPS1" s="230"/>
      <c r="BPT1" s="230"/>
      <c r="BPU1" s="230"/>
      <c r="BPV1" s="230"/>
      <c r="BPW1" s="230"/>
      <c r="BPX1" s="230"/>
      <c r="BPY1" s="230"/>
      <c r="BPZ1" s="230"/>
      <c r="BQA1" s="230"/>
      <c r="BQB1" s="230"/>
      <c r="BQC1" s="230"/>
      <c r="BQD1" s="230"/>
      <c r="BQE1" s="230"/>
      <c r="BQF1" s="230"/>
      <c r="BQG1" s="230"/>
      <c r="BQH1" s="230"/>
      <c r="BQI1" s="230"/>
      <c r="BQJ1" s="230"/>
      <c r="BQK1" s="230"/>
      <c r="BQL1" s="230"/>
      <c r="BQM1" s="230"/>
      <c r="BQN1" s="230"/>
      <c r="BQO1" s="230"/>
      <c r="BQP1" s="230"/>
      <c r="BQQ1" s="230"/>
      <c r="BQR1" s="230"/>
      <c r="BQS1" s="230"/>
      <c r="BQT1" s="230"/>
      <c r="BQU1" s="230"/>
      <c r="BQV1" s="230"/>
      <c r="BQW1" s="230"/>
      <c r="BQX1" s="230"/>
      <c r="BQY1" s="230"/>
      <c r="BQZ1" s="230"/>
      <c r="BRA1" s="230"/>
      <c r="BRB1" s="230"/>
      <c r="BRC1" s="230"/>
      <c r="BRD1" s="230"/>
      <c r="BRE1" s="230"/>
      <c r="BRF1" s="230"/>
      <c r="BRG1" s="230"/>
      <c r="BRH1" s="230"/>
      <c r="BRI1" s="230"/>
      <c r="BRJ1" s="230"/>
      <c r="BRK1" s="230"/>
      <c r="BRL1" s="230"/>
      <c r="BRM1" s="230"/>
      <c r="BRN1" s="230"/>
      <c r="BRO1" s="230"/>
      <c r="BRP1" s="230"/>
      <c r="BRQ1" s="230"/>
      <c r="BRR1" s="230"/>
      <c r="BRS1" s="230"/>
      <c r="BRT1" s="230"/>
      <c r="BRU1" s="230"/>
      <c r="BRV1" s="230"/>
      <c r="BRW1" s="230"/>
      <c r="BRX1" s="230"/>
      <c r="BRY1" s="230"/>
      <c r="BRZ1" s="230"/>
      <c r="BSA1" s="230"/>
      <c r="BSB1" s="230"/>
      <c r="BSC1" s="230"/>
      <c r="BSD1" s="230"/>
      <c r="BSE1" s="230"/>
      <c r="BSF1" s="230"/>
      <c r="BSG1" s="230"/>
      <c r="BSH1" s="230"/>
      <c r="BSI1" s="230"/>
      <c r="BSJ1" s="230"/>
      <c r="BSK1" s="230"/>
      <c r="BSL1" s="230"/>
      <c r="BSM1" s="230"/>
      <c r="BSN1" s="230"/>
      <c r="BSO1" s="230"/>
      <c r="BSP1" s="230"/>
      <c r="BSQ1" s="230"/>
      <c r="BSR1" s="230"/>
      <c r="BSS1" s="230"/>
      <c r="BST1" s="230"/>
      <c r="BSU1" s="230"/>
      <c r="BSV1" s="230"/>
      <c r="BSW1" s="230"/>
      <c r="BSX1" s="230"/>
      <c r="BSY1" s="230"/>
      <c r="BSZ1" s="230"/>
      <c r="BTA1" s="230"/>
      <c r="BTB1" s="230"/>
      <c r="BTC1" s="230"/>
      <c r="BTD1" s="230"/>
      <c r="BTE1" s="230"/>
      <c r="BTF1" s="230"/>
      <c r="BTG1" s="230"/>
      <c r="BTH1" s="230"/>
      <c r="BTI1" s="230"/>
      <c r="BTJ1" s="230"/>
      <c r="BTK1" s="230"/>
      <c r="BTL1" s="230"/>
      <c r="BTM1" s="230"/>
      <c r="BTN1" s="230"/>
      <c r="BTO1" s="230"/>
      <c r="BTP1" s="230"/>
      <c r="BTQ1" s="230"/>
      <c r="BTR1" s="230"/>
      <c r="BTS1" s="230"/>
      <c r="BTT1" s="230"/>
      <c r="BTU1" s="230"/>
      <c r="BTV1" s="230"/>
      <c r="BTW1" s="230"/>
      <c r="BTX1" s="230"/>
      <c r="BTY1" s="230"/>
      <c r="BTZ1" s="230"/>
      <c r="BUA1" s="230"/>
      <c r="BUB1" s="230"/>
      <c r="BUC1" s="230"/>
      <c r="BUD1" s="230"/>
      <c r="BUE1" s="230"/>
      <c r="BUF1" s="230"/>
      <c r="BUG1" s="230"/>
      <c r="BUH1" s="230"/>
      <c r="BUI1" s="230"/>
      <c r="BUJ1" s="230"/>
      <c r="BUK1" s="230"/>
      <c r="BUL1" s="230"/>
      <c r="BUM1" s="230"/>
      <c r="BUN1" s="230"/>
      <c r="BUO1" s="230"/>
      <c r="BUP1" s="230"/>
      <c r="BUQ1" s="230"/>
      <c r="BUR1" s="230"/>
      <c r="BUS1" s="230"/>
      <c r="BUT1" s="230"/>
      <c r="BUU1" s="230"/>
      <c r="BUV1" s="230"/>
      <c r="BUW1" s="230"/>
      <c r="BUX1" s="230"/>
      <c r="BUY1" s="230"/>
      <c r="BUZ1" s="230"/>
      <c r="BVA1" s="230"/>
      <c r="BVB1" s="230"/>
      <c r="BVC1" s="230"/>
      <c r="BVD1" s="230"/>
      <c r="BVE1" s="230"/>
      <c r="BVF1" s="230"/>
      <c r="BVG1" s="230"/>
      <c r="BVH1" s="230"/>
      <c r="BVI1" s="230"/>
      <c r="BVJ1" s="230"/>
      <c r="BVK1" s="230"/>
      <c r="BVL1" s="230"/>
      <c r="BVM1" s="230"/>
      <c r="BVN1" s="230"/>
      <c r="BVO1" s="230"/>
      <c r="BVP1" s="230"/>
      <c r="BVQ1" s="230"/>
      <c r="BVR1" s="230"/>
      <c r="BVS1" s="230"/>
      <c r="BVT1" s="230"/>
      <c r="BVU1" s="230"/>
      <c r="BVV1" s="230"/>
      <c r="BVW1" s="230"/>
      <c r="BVX1" s="230"/>
      <c r="BVY1" s="230"/>
      <c r="BVZ1" s="230"/>
      <c r="BWA1" s="230"/>
      <c r="BWB1" s="230"/>
      <c r="BWC1" s="230"/>
      <c r="BWD1" s="230"/>
      <c r="BWE1" s="230"/>
      <c r="BWF1" s="230"/>
      <c r="BWG1" s="230"/>
      <c r="BWH1" s="230"/>
      <c r="BWI1" s="230"/>
      <c r="BWJ1" s="230"/>
      <c r="BWK1" s="230"/>
      <c r="BWL1" s="230"/>
      <c r="BWM1" s="230"/>
      <c r="BWN1" s="230"/>
      <c r="BWO1" s="230"/>
      <c r="BWP1" s="230"/>
      <c r="BWQ1" s="230"/>
      <c r="BWR1" s="230"/>
      <c r="BWS1" s="230"/>
      <c r="BWT1" s="230"/>
      <c r="BWU1" s="230"/>
      <c r="BWV1" s="230"/>
      <c r="BWW1" s="230"/>
      <c r="BWX1" s="230"/>
      <c r="BWY1" s="230"/>
      <c r="BWZ1" s="230"/>
      <c r="BXA1" s="230"/>
      <c r="BXB1" s="230"/>
      <c r="BXC1" s="230"/>
      <c r="BXD1" s="230"/>
      <c r="BXE1" s="230"/>
      <c r="BXF1" s="230"/>
      <c r="BXG1" s="230"/>
      <c r="BXH1" s="230"/>
      <c r="BXI1" s="230"/>
      <c r="BXJ1" s="230"/>
      <c r="BXK1" s="230"/>
      <c r="BXL1" s="230"/>
      <c r="BXM1" s="230"/>
      <c r="BXN1" s="230"/>
      <c r="BXO1" s="230"/>
      <c r="BXP1" s="230"/>
      <c r="BXQ1" s="230"/>
      <c r="BXR1" s="230"/>
      <c r="BXS1" s="230"/>
      <c r="BXT1" s="230"/>
      <c r="BXU1" s="230"/>
      <c r="BXV1" s="230"/>
      <c r="BXW1" s="230"/>
      <c r="BXX1" s="230"/>
      <c r="BXY1" s="230"/>
      <c r="BXZ1" s="230"/>
      <c r="BYA1" s="230"/>
      <c r="BYB1" s="230"/>
      <c r="BYC1" s="230"/>
      <c r="BYD1" s="230"/>
      <c r="BYE1" s="230"/>
      <c r="BYF1" s="230"/>
      <c r="BYG1" s="230"/>
      <c r="BYH1" s="230"/>
      <c r="BYI1" s="230"/>
      <c r="BYJ1" s="230"/>
      <c r="BYK1" s="230"/>
      <c r="BYL1" s="230"/>
      <c r="BYM1" s="230"/>
      <c r="BYN1" s="230"/>
      <c r="BYO1" s="230"/>
      <c r="BYP1" s="230"/>
      <c r="BYQ1" s="230"/>
      <c r="BYR1" s="230"/>
      <c r="BYS1" s="230"/>
      <c r="BYT1" s="230"/>
      <c r="BYU1" s="230"/>
      <c r="BYV1" s="230"/>
      <c r="BYW1" s="230"/>
      <c r="BYX1" s="230"/>
      <c r="BYY1" s="230"/>
      <c r="BYZ1" s="230"/>
      <c r="BZA1" s="230"/>
      <c r="BZB1" s="230"/>
      <c r="BZC1" s="230"/>
      <c r="BZD1" s="230"/>
      <c r="BZE1" s="230"/>
      <c r="BZF1" s="230"/>
      <c r="BZG1" s="230"/>
      <c r="BZH1" s="230"/>
      <c r="BZI1" s="230"/>
      <c r="BZJ1" s="230"/>
      <c r="BZK1" s="230"/>
      <c r="BZL1" s="230"/>
      <c r="BZM1" s="230"/>
      <c r="BZN1" s="230"/>
      <c r="BZO1" s="230"/>
      <c r="BZP1" s="230"/>
      <c r="BZQ1" s="230"/>
      <c r="BZR1" s="230"/>
      <c r="BZS1" s="230"/>
      <c r="BZT1" s="230"/>
      <c r="BZU1" s="230"/>
      <c r="BZV1" s="230"/>
      <c r="BZW1" s="230"/>
      <c r="BZX1" s="230"/>
      <c r="BZY1" s="230"/>
      <c r="BZZ1" s="230"/>
      <c r="CAA1" s="230"/>
      <c r="CAB1" s="230"/>
      <c r="CAC1" s="230"/>
      <c r="CAD1" s="230"/>
      <c r="CAE1" s="230"/>
      <c r="CAF1" s="230"/>
      <c r="CAG1" s="230"/>
      <c r="CAH1" s="230"/>
      <c r="CAI1" s="230"/>
      <c r="CAJ1" s="230"/>
      <c r="CAK1" s="230"/>
      <c r="CAL1" s="230"/>
      <c r="CAM1" s="230"/>
      <c r="CAN1" s="230"/>
      <c r="CAO1" s="230"/>
      <c r="CAP1" s="230"/>
      <c r="CAQ1" s="230"/>
      <c r="CAR1" s="230"/>
      <c r="CAS1" s="230"/>
      <c r="CAT1" s="230"/>
      <c r="CAU1" s="230"/>
      <c r="CAV1" s="230"/>
      <c r="CAW1" s="230"/>
      <c r="CAX1" s="230"/>
      <c r="CAY1" s="230"/>
      <c r="CAZ1" s="230"/>
      <c r="CBA1" s="230"/>
      <c r="CBB1" s="230"/>
      <c r="CBC1" s="230"/>
      <c r="CBD1" s="230"/>
      <c r="CBE1" s="230"/>
      <c r="CBF1" s="230"/>
      <c r="CBG1" s="230"/>
      <c r="CBH1" s="230"/>
      <c r="CBI1" s="230"/>
      <c r="CBJ1" s="230"/>
      <c r="CBK1" s="230"/>
      <c r="CBL1" s="230"/>
      <c r="CBM1" s="230"/>
      <c r="CBN1" s="230"/>
      <c r="CBO1" s="230"/>
      <c r="CBP1" s="230"/>
      <c r="CBQ1" s="230"/>
      <c r="CBR1" s="230"/>
      <c r="CBS1" s="230"/>
      <c r="CBT1" s="230"/>
      <c r="CBU1" s="230"/>
      <c r="CBV1" s="230"/>
      <c r="CBW1" s="230"/>
      <c r="CBX1" s="230"/>
      <c r="CBY1" s="230"/>
      <c r="CBZ1" s="230"/>
      <c r="CCA1" s="230"/>
      <c r="CCB1" s="230"/>
      <c r="CCC1" s="230"/>
      <c r="CCD1" s="230"/>
      <c r="CCE1" s="230"/>
      <c r="CCF1" s="230"/>
      <c r="CCG1" s="230"/>
      <c r="CCH1" s="230"/>
      <c r="CCI1" s="230"/>
      <c r="CCJ1" s="230"/>
      <c r="CCK1" s="230"/>
      <c r="CCL1" s="230"/>
      <c r="CCM1" s="230"/>
      <c r="CCN1" s="230"/>
      <c r="CCO1" s="230"/>
      <c r="CCP1" s="230"/>
      <c r="CCQ1" s="230"/>
      <c r="CCR1" s="230"/>
      <c r="CCS1" s="230"/>
      <c r="CCT1" s="230"/>
      <c r="CCU1" s="230"/>
      <c r="CCV1" s="230"/>
      <c r="CCW1" s="230"/>
      <c r="CCX1" s="230"/>
      <c r="CCY1" s="230"/>
      <c r="CCZ1" s="230"/>
      <c r="CDA1" s="230"/>
      <c r="CDB1" s="230"/>
      <c r="CDC1" s="230"/>
      <c r="CDD1" s="230"/>
      <c r="CDE1" s="230"/>
      <c r="CDF1" s="230"/>
      <c r="CDG1" s="230"/>
      <c r="CDH1" s="230"/>
      <c r="CDI1" s="230"/>
      <c r="CDJ1" s="230"/>
      <c r="CDK1" s="230"/>
      <c r="CDL1" s="230"/>
      <c r="CDM1" s="230"/>
      <c r="CDN1" s="230"/>
      <c r="CDO1" s="230"/>
      <c r="CDP1" s="230"/>
      <c r="CDQ1" s="230"/>
      <c r="CDR1" s="230"/>
      <c r="CDS1" s="230"/>
      <c r="CDT1" s="230"/>
      <c r="CDU1" s="230"/>
      <c r="CDV1" s="230"/>
      <c r="CDW1" s="230"/>
      <c r="CDX1" s="230"/>
      <c r="CDY1" s="230"/>
      <c r="CDZ1" s="230"/>
      <c r="CEA1" s="230"/>
      <c r="CEB1" s="230"/>
      <c r="CEC1" s="230"/>
      <c r="CED1" s="230"/>
      <c r="CEE1" s="230"/>
      <c r="CEF1" s="230"/>
      <c r="CEG1" s="230"/>
      <c r="CEH1" s="230"/>
      <c r="CEI1" s="230"/>
      <c r="CEJ1" s="230"/>
      <c r="CEK1" s="230"/>
      <c r="CEL1" s="230"/>
      <c r="CEM1" s="230"/>
      <c r="CEN1" s="230"/>
      <c r="CEO1" s="230"/>
      <c r="CEP1" s="230"/>
      <c r="CEQ1" s="230"/>
      <c r="CER1" s="230"/>
      <c r="CES1" s="230"/>
      <c r="CET1" s="230"/>
      <c r="CEU1" s="230"/>
      <c r="CEV1" s="230"/>
      <c r="CEW1" s="230"/>
      <c r="CEX1" s="230"/>
      <c r="CEY1" s="230"/>
      <c r="CEZ1" s="230"/>
      <c r="CFA1" s="230"/>
      <c r="CFB1" s="230"/>
      <c r="CFC1" s="230"/>
      <c r="CFD1" s="230"/>
      <c r="CFE1" s="230"/>
      <c r="CFF1" s="230"/>
      <c r="CFG1" s="230"/>
      <c r="CFH1" s="230"/>
      <c r="CFI1" s="230"/>
      <c r="CFJ1" s="230"/>
      <c r="CFK1" s="230"/>
      <c r="CFL1" s="230"/>
      <c r="CFM1" s="230"/>
      <c r="CFN1" s="230"/>
      <c r="CFO1" s="230"/>
      <c r="CFP1" s="230"/>
      <c r="CFQ1" s="230"/>
      <c r="CFR1" s="230"/>
      <c r="CFS1" s="230"/>
      <c r="CFT1" s="230"/>
      <c r="CFU1" s="230"/>
      <c r="CFV1" s="230"/>
      <c r="CFW1" s="230"/>
      <c r="CFX1" s="230"/>
      <c r="CFY1" s="230"/>
      <c r="CFZ1" s="230"/>
      <c r="CGA1" s="230"/>
      <c r="CGB1" s="230"/>
      <c r="CGC1" s="230"/>
      <c r="CGD1" s="230"/>
      <c r="CGE1" s="230"/>
      <c r="CGF1" s="230"/>
      <c r="CGG1" s="230"/>
      <c r="CGH1" s="230"/>
      <c r="CGI1" s="230"/>
      <c r="CGJ1" s="230"/>
      <c r="CGK1" s="230"/>
      <c r="CGL1" s="230"/>
      <c r="CGM1" s="230"/>
      <c r="CGN1" s="230"/>
      <c r="CGO1" s="230"/>
      <c r="CGP1" s="230"/>
      <c r="CGQ1" s="230"/>
      <c r="CGR1" s="230"/>
      <c r="CGS1" s="230"/>
      <c r="CGT1" s="230"/>
      <c r="CGU1" s="230"/>
      <c r="CGV1" s="230"/>
      <c r="CGW1" s="230"/>
      <c r="CGX1" s="230"/>
      <c r="CGY1" s="230"/>
      <c r="CGZ1" s="230"/>
      <c r="CHA1" s="230"/>
      <c r="CHB1" s="230"/>
      <c r="CHC1" s="230"/>
      <c r="CHD1" s="230"/>
      <c r="CHE1" s="230"/>
      <c r="CHF1" s="230"/>
      <c r="CHG1" s="230"/>
      <c r="CHH1" s="230"/>
      <c r="CHI1" s="230"/>
      <c r="CHJ1" s="230"/>
      <c r="CHK1" s="230"/>
      <c r="CHL1" s="230"/>
      <c r="CHM1" s="230"/>
      <c r="CHN1" s="230"/>
      <c r="CHO1" s="230"/>
      <c r="CHP1" s="230"/>
      <c r="CHQ1" s="230"/>
      <c r="CHR1" s="230"/>
      <c r="CHS1" s="230"/>
      <c r="CHT1" s="230"/>
      <c r="CHU1" s="230"/>
      <c r="CHV1" s="230"/>
      <c r="CHW1" s="230"/>
      <c r="CHX1" s="230"/>
      <c r="CHY1" s="230"/>
      <c r="CHZ1" s="230"/>
      <c r="CIA1" s="230"/>
      <c r="CIB1" s="230"/>
      <c r="CIC1" s="230"/>
      <c r="CID1" s="230"/>
      <c r="CIE1" s="230"/>
      <c r="CIF1" s="230"/>
      <c r="CIG1" s="230"/>
      <c r="CIH1" s="230"/>
      <c r="CII1" s="230"/>
      <c r="CIJ1" s="230"/>
      <c r="CIK1" s="230"/>
      <c r="CIL1" s="230"/>
      <c r="CIM1" s="230"/>
      <c r="CIN1" s="230"/>
      <c r="CIO1" s="230"/>
      <c r="CIP1" s="230"/>
      <c r="CIQ1" s="230"/>
      <c r="CIR1" s="230"/>
      <c r="CIS1" s="230"/>
      <c r="CIT1" s="230"/>
      <c r="CIU1" s="230"/>
      <c r="CIV1" s="230"/>
      <c r="CIW1" s="230"/>
      <c r="CIX1" s="230"/>
      <c r="CIY1" s="230"/>
      <c r="CIZ1" s="230"/>
      <c r="CJA1" s="230"/>
      <c r="CJB1" s="230"/>
      <c r="CJC1" s="230"/>
      <c r="CJD1" s="230"/>
      <c r="CJE1" s="230"/>
      <c r="CJF1" s="230"/>
      <c r="CJG1" s="230"/>
      <c r="CJH1" s="230"/>
      <c r="CJI1" s="230"/>
      <c r="CJJ1" s="230"/>
      <c r="CJK1" s="230"/>
      <c r="CJL1" s="230"/>
      <c r="CJM1" s="230"/>
      <c r="CJN1" s="230"/>
      <c r="CJO1" s="230"/>
      <c r="CJP1" s="230"/>
      <c r="CJQ1" s="230"/>
      <c r="CJR1" s="230"/>
      <c r="CJS1" s="230"/>
      <c r="CJT1" s="230"/>
      <c r="CJU1" s="230"/>
      <c r="CJV1" s="230"/>
      <c r="CJW1" s="230"/>
      <c r="CJX1" s="230"/>
      <c r="CJY1" s="230"/>
      <c r="CJZ1" s="230"/>
      <c r="CKA1" s="230"/>
      <c r="CKB1" s="230"/>
      <c r="CKC1" s="230"/>
      <c r="CKD1" s="230"/>
      <c r="CKE1" s="230"/>
      <c r="CKF1" s="230"/>
      <c r="CKG1" s="230"/>
      <c r="CKH1" s="230"/>
      <c r="CKI1" s="230"/>
      <c r="CKJ1" s="230"/>
      <c r="CKK1" s="230"/>
      <c r="CKL1" s="230"/>
      <c r="CKM1" s="230"/>
      <c r="CKN1" s="230"/>
      <c r="CKO1" s="230"/>
      <c r="CKP1" s="230"/>
      <c r="CKQ1" s="230"/>
      <c r="CKR1" s="230"/>
      <c r="CKS1" s="230"/>
      <c r="CKT1" s="230"/>
      <c r="CKU1" s="230"/>
      <c r="CKV1" s="230"/>
      <c r="CKW1" s="230"/>
      <c r="CKX1" s="230"/>
      <c r="CKY1" s="230"/>
      <c r="CKZ1" s="230"/>
      <c r="CLA1" s="230"/>
      <c r="CLB1" s="230"/>
      <c r="CLC1" s="230"/>
      <c r="CLD1" s="230"/>
      <c r="CLE1" s="230"/>
      <c r="CLF1" s="230"/>
      <c r="CLG1" s="230"/>
      <c r="CLH1" s="230"/>
      <c r="CLI1" s="230"/>
      <c r="CLJ1" s="230"/>
      <c r="CLK1" s="230"/>
      <c r="CLL1" s="230"/>
      <c r="CLM1" s="230"/>
      <c r="CLN1" s="230"/>
      <c r="CLO1" s="230"/>
      <c r="CLP1" s="230"/>
      <c r="CLQ1" s="230"/>
      <c r="CLR1" s="230"/>
      <c r="CLS1" s="230"/>
      <c r="CLT1" s="230"/>
      <c r="CLU1" s="230"/>
      <c r="CLV1" s="230"/>
      <c r="CLW1" s="230"/>
      <c r="CLX1" s="230"/>
      <c r="CLY1" s="230"/>
      <c r="CLZ1" s="230"/>
      <c r="CMA1" s="230"/>
      <c r="CMB1" s="230"/>
      <c r="CMC1" s="230"/>
      <c r="CMD1" s="230"/>
      <c r="CME1" s="230"/>
      <c r="CMF1" s="230"/>
      <c r="CMG1" s="230"/>
      <c r="CMH1" s="230"/>
      <c r="CMI1" s="230"/>
      <c r="CMJ1" s="230"/>
      <c r="CMK1" s="230"/>
      <c r="CML1" s="230"/>
      <c r="CMM1" s="230"/>
      <c r="CMN1" s="230"/>
      <c r="CMO1" s="230"/>
      <c r="CMP1" s="230"/>
      <c r="CMQ1" s="230"/>
      <c r="CMR1" s="230"/>
      <c r="CMS1" s="230"/>
      <c r="CMT1" s="230"/>
      <c r="CMU1" s="230"/>
      <c r="CMV1" s="230"/>
      <c r="CMW1" s="230"/>
      <c r="CMX1" s="230"/>
      <c r="CMY1" s="230"/>
      <c r="CMZ1" s="230"/>
      <c r="CNA1" s="230"/>
      <c r="CNB1" s="230"/>
      <c r="CNC1" s="230"/>
      <c r="CND1" s="230"/>
      <c r="CNE1" s="230"/>
      <c r="CNF1" s="230"/>
      <c r="CNG1" s="230"/>
      <c r="CNH1" s="230"/>
      <c r="CNI1" s="230"/>
      <c r="CNJ1" s="230"/>
      <c r="CNK1" s="230"/>
      <c r="CNL1" s="230"/>
      <c r="CNM1" s="230"/>
      <c r="CNN1" s="230"/>
      <c r="CNO1" s="230"/>
      <c r="CNP1" s="230"/>
      <c r="CNQ1" s="230"/>
      <c r="CNR1" s="230"/>
      <c r="CNS1" s="230"/>
      <c r="CNT1" s="230"/>
      <c r="CNU1" s="230"/>
      <c r="CNV1" s="230"/>
      <c r="CNW1" s="230"/>
      <c r="CNX1" s="230"/>
      <c r="CNY1" s="230"/>
      <c r="CNZ1" s="230"/>
      <c r="COA1" s="230"/>
      <c r="COB1" s="230"/>
      <c r="COC1" s="230"/>
      <c r="COD1" s="230"/>
      <c r="COE1" s="230"/>
      <c r="COF1" s="230"/>
      <c r="COG1" s="230"/>
      <c r="COH1" s="230"/>
      <c r="COI1" s="230"/>
      <c r="COJ1" s="230"/>
      <c r="COK1" s="230"/>
      <c r="COL1" s="230"/>
      <c r="COM1" s="230"/>
      <c r="CON1" s="230"/>
      <c r="COO1" s="230"/>
      <c r="COP1" s="230"/>
      <c r="COQ1" s="230"/>
      <c r="COR1" s="230"/>
      <c r="COS1" s="230"/>
      <c r="COT1" s="230"/>
      <c r="COU1" s="230"/>
      <c r="COV1" s="230"/>
      <c r="COW1" s="230"/>
      <c r="COX1" s="230"/>
      <c r="COY1" s="230"/>
      <c r="COZ1" s="230"/>
      <c r="CPA1" s="230"/>
      <c r="CPB1" s="230"/>
      <c r="CPC1" s="230"/>
      <c r="CPD1" s="230"/>
      <c r="CPE1" s="230"/>
      <c r="CPF1" s="230"/>
      <c r="CPG1" s="230"/>
      <c r="CPH1" s="230"/>
      <c r="CPI1" s="230"/>
      <c r="CPJ1" s="230"/>
      <c r="CPK1" s="230"/>
      <c r="CPL1" s="230"/>
      <c r="CPM1" s="230"/>
      <c r="CPN1" s="230"/>
      <c r="CPO1" s="230"/>
      <c r="CPP1" s="230"/>
      <c r="CPQ1" s="230"/>
      <c r="CPR1" s="230"/>
      <c r="CPS1" s="230"/>
      <c r="CPT1" s="230"/>
      <c r="CPU1" s="230"/>
      <c r="CPV1" s="230"/>
      <c r="CPW1" s="230"/>
      <c r="CPX1" s="230"/>
      <c r="CPY1" s="230"/>
      <c r="CPZ1" s="230"/>
      <c r="CQA1" s="230"/>
      <c r="CQB1" s="230"/>
      <c r="CQC1" s="230"/>
      <c r="CQD1" s="230"/>
      <c r="CQE1" s="230"/>
      <c r="CQF1" s="230"/>
      <c r="CQG1" s="230"/>
      <c r="CQH1" s="230"/>
      <c r="CQI1" s="230"/>
      <c r="CQJ1" s="230"/>
      <c r="CQK1" s="230"/>
      <c r="CQL1" s="230"/>
      <c r="CQM1" s="230"/>
      <c r="CQN1" s="230"/>
      <c r="CQO1" s="230"/>
      <c r="CQP1" s="230"/>
      <c r="CQQ1" s="230"/>
      <c r="CQR1" s="230"/>
      <c r="CQS1" s="230"/>
      <c r="CQT1" s="230"/>
      <c r="CQU1" s="230"/>
      <c r="CQV1" s="230"/>
      <c r="CQW1" s="230"/>
      <c r="CQX1" s="230"/>
      <c r="CQY1" s="230"/>
      <c r="CQZ1" s="230"/>
      <c r="CRA1" s="230"/>
      <c r="CRB1" s="230"/>
      <c r="CRC1" s="230"/>
      <c r="CRD1" s="230"/>
      <c r="CRE1" s="230"/>
      <c r="CRF1" s="230"/>
      <c r="CRG1" s="230"/>
      <c r="CRH1" s="230"/>
      <c r="CRI1" s="230"/>
      <c r="CRJ1" s="230"/>
      <c r="CRK1" s="230"/>
      <c r="CRL1" s="230"/>
      <c r="CRM1" s="230"/>
      <c r="CRN1" s="230"/>
      <c r="CRO1" s="230"/>
      <c r="CRP1" s="230"/>
      <c r="CRQ1" s="230"/>
      <c r="CRR1" s="230"/>
      <c r="CRS1" s="230"/>
      <c r="CRT1" s="230"/>
      <c r="CRU1" s="230"/>
      <c r="CRV1" s="230"/>
      <c r="CRW1" s="230"/>
      <c r="CRX1" s="230"/>
      <c r="CRY1" s="230"/>
      <c r="CRZ1" s="230"/>
      <c r="CSA1" s="230"/>
      <c r="CSB1" s="230"/>
      <c r="CSC1" s="230"/>
      <c r="CSD1" s="230"/>
      <c r="CSE1" s="230"/>
      <c r="CSF1" s="230"/>
      <c r="CSG1" s="230"/>
      <c r="CSH1" s="230"/>
      <c r="CSI1" s="230"/>
      <c r="CSJ1" s="230"/>
      <c r="CSK1" s="230"/>
      <c r="CSL1" s="230"/>
      <c r="CSM1" s="230"/>
      <c r="CSN1" s="230"/>
      <c r="CSO1" s="230"/>
      <c r="CSP1" s="230"/>
      <c r="CSQ1" s="230"/>
      <c r="CSR1" s="230"/>
      <c r="CSS1" s="230"/>
      <c r="CST1" s="230"/>
      <c r="CSU1" s="230"/>
      <c r="CSV1" s="230"/>
      <c r="CSW1" s="230"/>
      <c r="CSX1" s="230"/>
      <c r="CSY1" s="230"/>
      <c r="CSZ1" s="230"/>
      <c r="CTA1" s="230"/>
      <c r="CTB1" s="230"/>
      <c r="CTC1" s="230"/>
      <c r="CTD1" s="230"/>
      <c r="CTE1" s="230"/>
      <c r="CTF1" s="230"/>
      <c r="CTG1" s="230"/>
      <c r="CTH1" s="230"/>
      <c r="CTI1" s="230"/>
      <c r="CTJ1" s="230"/>
      <c r="CTK1" s="230"/>
      <c r="CTL1" s="230"/>
      <c r="CTM1" s="230"/>
      <c r="CTN1" s="230"/>
      <c r="CTO1" s="230"/>
      <c r="CTP1" s="230"/>
      <c r="CTQ1" s="230"/>
      <c r="CTR1" s="230"/>
      <c r="CTS1" s="230"/>
      <c r="CTT1" s="230"/>
      <c r="CTU1" s="230"/>
      <c r="CTV1" s="230"/>
      <c r="CTW1" s="230"/>
      <c r="CTX1" s="230"/>
      <c r="CTY1" s="230"/>
      <c r="CTZ1" s="230"/>
      <c r="CUA1" s="230"/>
      <c r="CUB1" s="230"/>
      <c r="CUC1" s="230"/>
      <c r="CUD1" s="230"/>
      <c r="CUE1" s="230"/>
      <c r="CUF1" s="230"/>
      <c r="CUG1" s="230"/>
      <c r="CUH1" s="230"/>
      <c r="CUI1" s="230"/>
      <c r="CUJ1" s="230"/>
      <c r="CUK1" s="230"/>
      <c r="CUL1" s="230"/>
      <c r="CUM1" s="230"/>
      <c r="CUN1" s="230"/>
      <c r="CUO1" s="230"/>
      <c r="CUP1" s="230"/>
      <c r="CUQ1" s="230"/>
      <c r="CUR1" s="230"/>
      <c r="CUS1" s="230"/>
      <c r="CUT1" s="230"/>
      <c r="CUU1" s="230"/>
      <c r="CUV1" s="230"/>
      <c r="CUW1" s="230"/>
      <c r="CUX1" s="230"/>
      <c r="CUY1" s="230"/>
      <c r="CUZ1" s="230"/>
      <c r="CVA1" s="230"/>
      <c r="CVB1" s="230"/>
      <c r="CVC1" s="230"/>
      <c r="CVD1" s="230"/>
      <c r="CVE1" s="230"/>
      <c r="CVF1" s="230"/>
      <c r="CVG1" s="230"/>
      <c r="CVH1" s="230"/>
      <c r="CVI1" s="230"/>
      <c r="CVJ1" s="230"/>
      <c r="CVK1" s="230"/>
      <c r="CVL1" s="230"/>
      <c r="CVM1" s="230"/>
      <c r="CVN1" s="230"/>
      <c r="CVO1" s="230"/>
      <c r="CVP1" s="230"/>
      <c r="CVQ1" s="230"/>
      <c r="CVR1" s="230"/>
      <c r="CVS1" s="230"/>
      <c r="CVT1" s="230"/>
      <c r="CVU1" s="230"/>
      <c r="CVV1" s="230"/>
      <c r="CVW1" s="230"/>
      <c r="CVX1" s="230"/>
      <c r="CVY1" s="230"/>
      <c r="CVZ1" s="230"/>
      <c r="CWA1" s="230"/>
      <c r="CWB1" s="230"/>
      <c r="CWC1" s="230"/>
      <c r="CWD1" s="230"/>
      <c r="CWE1" s="230"/>
      <c r="CWF1" s="230"/>
      <c r="CWG1" s="230"/>
      <c r="CWH1" s="230"/>
      <c r="CWI1" s="230"/>
      <c r="CWJ1" s="230"/>
      <c r="CWK1" s="230"/>
      <c r="CWL1" s="230"/>
      <c r="CWM1" s="230"/>
      <c r="CWN1" s="230"/>
      <c r="CWO1" s="230"/>
      <c r="CWP1" s="230"/>
      <c r="CWQ1" s="230"/>
      <c r="CWR1" s="230"/>
      <c r="CWS1" s="230"/>
      <c r="CWT1" s="230"/>
      <c r="CWU1" s="230"/>
      <c r="CWV1" s="230"/>
      <c r="CWW1" s="230"/>
      <c r="CWX1" s="230"/>
      <c r="CWY1" s="230"/>
      <c r="CWZ1" s="230"/>
      <c r="CXA1" s="230"/>
      <c r="CXB1" s="230"/>
      <c r="CXC1" s="230"/>
      <c r="CXD1" s="230"/>
      <c r="CXE1" s="230"/>
      <c r="CXF1" s="230"/>
      <c r="CXG1" s="230"/>
      <c r="CXH1" s="230"/>
      <c r="CXI1" s="230"/>
      <c r="CXJ1" s="230"/>
      <c r="CXK1" s="230"/>
      <c r="CXL1" s="230"/>
      <c r="CXM1" s="230"/>
      <c r="CXN1" s="230"/>
      <c r="CXO1" s="230"/>
      <c r="CXP1" s="230"/>
      <c r="CXQ1" s="230"/>
      <c r="CXR1" s="230"/>
      <c r="CXS1" s="230"/>
      <c r="CXT1" s="230"/>
      <c r="CXU1" s="230"/>
      <c r="CXV1" s="230"/>
      <c r="CXW1" s="230"/>
      <c r="CXX1" s="230"/>
      <c r="CXY1" s="230"/>
      <c r="CXZ1" s="230"/>
      <c r="CYA1" s="230"/>
      <c r="CYB1" s="230"/>
      <c r="CYC1" s="230"/>
      <c r="CYD1" s="230"/>
      <c r="CYE1" s="230"/>
      <c r="CYF1" s="230"/>
      <c r="CYG1" s="230"/>
      <c r="CYH1" s="230"/>
      <c r="CYI1" s="230"/>
      <c r="CYJ1" s="230"/>
      <c r="CYK1" s="230"/>
      <c r="CYL1" s="230"/>
      <c r="CYM1" s="230"/>
      <c r="CYN1" s="230"/>
      <c r="CYO1" s="230"/>
      <c r="CYP1" s="230"/>
      <c r="CYQ1" s="230"/>
      <c r="CYR1" s="230"/>
      <c r="CYS1" s="230"/>
      <c r="CYT1" s="230"/>
      <c r="CYU1" s="230"/>
      <c r="CYV1" s="230"/>
      <c r="CYW1" s="230"/>
      <c r="CYX1" s="230"/>
      <c r="CYY1" s="230"/>
      <c r="CYZ1" s="230"/>
      <c r="CZA1" s="230"/>
      <c r="CZB1" s="230"/>
      <c r="CZC1" s="230"/>
      <c r="CZD1" s="230"/>
      <c r="CZE1" s="230"/>
      <c r="CZF1" s="230"/>
      <c r="CZG1" s="230"/>
      <c r="CZH1" s="230"/>
      <c r="CZI1" s="230"/>
      <c r="CZJ1" s="230"/>
      <c r="CZK1" s="230"/>
      <c r="CZL1" s="230"/>
      <c r="CZM1" s="230"/>
      <c r="CZN1" s="230"/>
      <c r="CZO1" s="230"/>
      <c r="CZP1" s="230"/>
      <c r="CZQ1" s="230"/>
      <c r="CZR1" s="230"/>
      <c r="CZS1" s="230"/>
      <c r="CZT1" s="230"/>
      <c r="CZU1" s="230"/>
      <c r="CZV1" s="230"/>
      <c r="CZW1" s="230"/>
      <c r="CZX1" s="230"/>
      <c r="CZY1" s="230"/>
      <c r="CZZ1" s="230"/>
      <c r="DAA1" s="230"/>
      <c r="DAB1" s="230"/>
      <c r="DAC1" s="230"/>
      <c r="DAD1" s="230"/>
      <c r="DAE1" s="230"/>
      <c r="DAF1" s="230"/>
      <c r="DAG1" s="230"/>
      <c r="DAH1" s="230"/>
      <c r="DAI1" s="230"/>
      <c r="DAJ1" s="230"/>
      <c r="DAK1" s="230"/>
      <c r="DAL1" s="230"/>
      <c r="DAM1" s="230"/>
      <c r="DAN1" s="230"/>
      <c r="DAO1" s="230"/>
      <c r="DAP1" s="230"/>
      <c r="DAQ1" s="230"/>
      <c r="DAR1" s="230"/>
      <c r="DAS1" s="230"/>
      <c r="DAT1" s="230"/>
      <c r="DAU1" s="230"/>
      <c r="DAV1" s="230"/>
      <c r="DAW1" s="230"/>
      <c r="DAX1" s="230"/>
      <c r="DAY1" s="230"/>
      <c r="DAZ1" s="230"/>
      <c r="DBA1" s="230"/>
      <c r="DBB1" s="230"/>
      <c r="DBC1" s="230"/>
      <c r="DBD1" s="230"/>
      <c r="DBE1" s="230"/>
      <c r="DBF1" s="230"/>
      <c r="DBG1" s="230"/>
      <c r="DBH1" s="230"/>
      <c r="DBI1" s="230"/>
      <c r="DBJ1" s="230"/>
      <c r="DBK1" s="230"/>
      <c r="DBL1" s="230"/>
      <c r="DBM1" s="230"/>
      <c r="DBN1" s="230"/>
      <c r="DBO1" s="230"/>
      <c r="DBP1" s="230"/>
      <c r="DBQ1" s="230"/>
      <c r="DBR1" s="230"/>
      <c r="DBS1" s="230"/>
      <c r="DBT1" s="230"/>
      <c r="DBU1" s="230"/>
      <c r="DBV1" s="230"/>
      <c r="DBW1" s="230"/>
      <c r="DBX1" s="230"/>
      <c r="DBY1" s="230"/>
      <c r="DBZ1" s="230"/>
      <c r="DCA1" s="230"/>
      <c r="DCB1" s="230"/>
      <c r="DCC1" s="230"/>
      <c r="DCD1" s="230"/>
      <c r="DCE1" s="230"/>
      <c r="DCF1" s="230"/>
      <c r="DCG1" s="230"/>
      <c r="DCH1" s="230"/>
      <c r="DCI1" s="230"/>
      <c r="DCJ1" s="230"/>
      <c r="DCK1" s="230"/>
      <c r="DCL1" s="230"/>
      <c r="DCM1" s="230"/>
      <c r="DCN1" s="230"/>
      <c r="DCO1" s="230"/>
      <c r="DCP1" s="230"/>
      <c r="DCQ1" s="230"/>
      <c r="DCR1" s="230"/>
      <c r="DCS1" s="230"/>
      <c r="DCT1" s="230"/>
      <c r="DCU1" s="230"/>
      <c r="DCV1" s="230"/>
      <c r="DCW1" s="230"/>
      <c r="DCX1" s="230"/>
      <c r="DCY1" s="230"/>
      <c r="DCZ1" s="230"/>
      <c r="DDA1" s="230"/>
      <c r="DDB1" s="230"/>
      <c r="DDC1" s="230"/>
      <c r="DDD1" s="230"/>
      <c r="DDE1" s="230"/>
      <c r="DDF1" s="230"/>
      <c r="DDG1" s="230"/>
      <c r="DDH1" s="230"/>
      <c r="DDI1" s="230"/>
      <c r="DDJ1" s="230"/>
      <c r="DDK1" s="230"/>
      <c r="DDL1" s="230"/>
      <c r="DDM1" s="230"/>
      <c r="DDN1" s="230"/>
      <c r="DDO1" s="230"/>
      <c r="DDP1" s="230"/>
      <c r="DDQ1" s="230"/>
      <c r="DDR1" s="230"/>
      <c r="DDS1" s="230"/>
      <c r="DDT1" s="230"/>
      <c r="DDU1" s="230"/>
      <c r="DDV1" s="230"/>
      <c r="DDW1" s="230"/>
      <c r="DDX1" s="230"/>
      <c r="DDY1" s="230"/>
      <c r="DDZ1" s="230"/>
      <c r="DEA1" s="230"/>
      <c r="DEB1" s="230"/>
      <c r="DEC1" s="230"/>
      <c r="DED1" s="230"/>
      <c r="DEE1" s="230"/>
      <c r="DEF1" s="230"/>
      <c r="DEG1" s="230"/>
      <c r="DEH1" s="230"/>
      <c r="DEI1" s="230"/>
      <c r="DEJ1" s="230"/>
      <c r="DEK1" s="230"/>
      <c r="DEL1" s="230"/>
      <c r="DEM1" s="230"/>
      <c r="DEN1" s="230"/>
      <c r="DEO1" s="230"/>
      <c r="DEP1" s="230"/>
      <c r="DEQ1" s="230"/>
      <c r="DER1" s="230"/>
      <c r="DES1" s="230"/>
      <c r="DET1" s="230"/>
      <c r="DEU1" s="230"/>
      <c r="DEV1" s="230"/>
      <c r="DEW1" s="230"/>
      <c r="DEX1" s="230"/>
      <c r="DEY1" s="230"/>
      <c r="DEZ1" s="230"/>
      <c r="DFA1" s="230"/>
      <c r="DFB1" s="230"/>
      <c r="DFC1" s="230"/>
      <c r="DFD1" s="230"/>
      <c r="DFE1" s="230"/>
      <c r="DFF1" s="230"/>
      <c r="DFG1" s="230"/>
      <c r="DFH1" s="230"/>
      <c r="DFI1" s="230"/>
      <c r="DFJ1" s="230"/>
      <c r="DFK1" s="230"/>
      <c r="DFL1" s="230"/>
      <c r="DFM1" s="230"/>
      <c r="DFN1" s="230"/>
      <c r="DFO1" s="230"/>
      <c r="DFP1" s="230"/>
      <c r="DFQ1" s="230"/>
      <c r="DFR1" s="230"/>
      <c r="DFS1" s="230"/>
      <c r="DFT1" s="230"/>
      <c r="DFU1" s="230"/>
      <c r="DFV1" s="230"/>
      <c r="DFW1" s="230"/>
      <c r="DFX1" s="230"/>
      <c r="DFY1" s="230"/>
      <c r="DFZ1" s="230"/>
      <c r="DGA1" s="230"/>
      <c r="DGB1" s="230"/>
      <c r="DGC1" s="230"/>
      <c r="DGD1" s="230"/>
      <c r="DGE1" s="230"/>
      <c r="DGF1" s="230"/>
      <c r="DGG1" s="230"/>
      <c r="DGH1" s="230"/>
      <c r="DGI1" s="230"/>
      <c r="DGJ1" s="230"/>
      <c r="DGK1" s="230"/>
      <c r="DGL1" s="230"/>
      <c r="DGM1" s="230"/>
      <c r="DGN1" s="230"/>
      <c r="DGO1" s="230"/>
      <c r="DGP1" s="230"/>
      <c r="DGQ1" s="230"/>
      <c r="DGR1" s="230"/>
      <c r="DGS1" s="230"/>
      <c r="DGT1" s="230"/>
      <c r="DGU1" s="230"/>
      <c r="DGV1" s="230"/>
      <c r="DGW1" s="230"/>
      <c r="DGX1" s="230"/>
      <c r="DGY1" s="230"/>
      <c r="DGZ1" s="230"/>
      <c r="DHA1" s="230"/>
      <c r="DHB1" s="230"/>
      <c r="DHC1" s="230"/>
      <c r="DHD1" s="230"/>
      <c r="DHE1" s="230"/>
      <c r="DHF1" s="230"/>
      <c r="DHG1" s="230"/>
      <c r="DHH1" s="230"/>
      <c r="DHI1" s="230"/>
      <c r="DHJ1" s="230"/>
      <c r="DHK1" s="230"/>
      <c r="DHL1" s="230"/>
      <c r="DHM1" s="230"/>
      <c r="DHN1" s="230"/>
      <c r="DHO1" s="230"/>
      <c r="DHP1" s="230"/>
      <c r="DHQ1" s="230"/>
      <c r="DHR1" s="230"/>
      <c r="DHS1" s="230"/>
      <c r="DHT1" s="230"/>
      <c r="DHU1" s="230"/>
      <c r="DHV1" s="230"/>
      <c r="DHW1" s="230"/>
      <c r="DHX1" s="230"/>
      <c r="DHY1" s="230"/>
      <c r="DHZ1" s="230"/>
      <c r="DIA1" s="230"/>
      <c r="DIB1" s="230"/>
      <c r="DIC1" s="230"/>
      <c r="DID1" s="230"/>
      <c r="DIE1" s="230"/>
      <c r="DIF1" s="230"/>
      <c r="DIG1" s="230"/>
      <c r="DIH1" s="230"/>
      <c r="DII1" s="230"/>
      <c r="DIJ1" s="230"/>
      <c r="DIK1" s="230"/>
      <c r="DIL1" s="230"/>
      <c r="DIM1" s="230"/>
      <c r="DIN1" s="230"/>
      <c r="DIO1" s="230"/>
      <c r="DIP1" s="230"/>
      <c r="DIQ1" s="230"/>
      <c r="DIR1" s="230"/>
      <c r="DIS1" s="230"/>
      <c r="DIT1" s="230"/>
      <c r="DIU1" s="230"/>
      <c r="DIV1" s="230"/>
      <c r="DIW1" s="230"/>
      <c r="DIX1" s="230"/>
      <c r="DIY1" s="230"/>
      <c r="DIZ1" s="230"/>
      <c r="DJA1" s="230"/>
      <c r="DJB1" s="230"/>
      <c r="DJC1" s="230"/>
      <c r="DJD1" s="230"/>
      <c r="DJE1" s="230"/>
      <c r="DJF1" s="230"/>
      <c r="DJG1" s="230"/>
      <c r="DJH1" s="230"/>
      <c r="DJI1" s="230"/>
      <c r="DJJ1" s="230"/>
      <c r="DJK1" s="230"/>
      <c r="DJL1" s="230"/>
      <c r="DJM1" s="230"/>
      <c r="DJN1" s="230"/>
      <c r="DJO1" s="230"/>
      <c r="DJP1" s="230"/>
      <c r="DJQ1" s="230"/>
      <c r="DJR1" s="230"/>
      <c r="DJS1" s="230"/>
      <c r="DJT1" s="230"/>
      <c r="DJU1" s="230"/>
      <c r="DJV1" s="230"/>
      <c r="DJW1" s="230"/>
      <c r="DJX1" s="230"/>
      <c r="DJY1" s="230"/>
      <c r="DJZ1" s="230"/>
      <c r="DKA1" s="230"/>
      <c r="DKB1" s="230"/>
      <c r="DKC1" s="230"/>
      <c r="DKD1" s="230"/>
      <c r="DKE1" s="230"/>
      <c r="DKF1" s="230"/>
      <c r="DKG1" s="230"/>
      <c r="DKH1" s="230"/>
      <c r="DKI1" s="230"/>
      <c r="DKJ1" s="230"/>
      <c r="DKK1" s="230"/>
      <c r="DKL1" s="230"/>
      <c r="DKM1" s="230"/>
      <c r="DKN1" s="230"/>
      <c r="DKO1" s="230"/>
      <c r="DKP1" s="230"/>
      <c r="DKQ1" s="230"/>
      <c r="DKR1" s="230"/>
      <c r="DKS1" s="230"/>
      <c r="DKT1" s="230"/>
      <c r="DKU1" s="230"/>
      <c r="DKV1" s="230"/>
      <c r="DKW1" s="230"/>
      <c r="DKX1" s="230"/>
      <c r="DKY1" s="230"/>
      <c r="DKZ1" s="230"/>
      <c r="DLA1" s="230"/>
      <c r="DLB1" s="230"/>
      <c r="DLC1" s="230"/>
      <c r="DLD1" s="230"/>
      <c r="DLE1" s="230"/>
      <c r="DLF1" s="230"/>
      <c r="DLG1" s="230"/>
      <c r="DLH1" s="230"/>
      <c r="DLI1" s="230"/>
      <c r="DLJ1" s="230"/>
      <c r="DLK1" s="230"/>
      <c r="DLL1" s="230"/>
      <c r="DLM1" s="230"/>
      <c r="DLN1" s="230"/>
      <c r="DLO1" s="230"/>
      <c r="DLP1" s="230"/>
      <c r="DLQ1" s="230"/>
      <c r="DLR1" s="230"/>
      <c r="DLS1" s="230"/>
      <c r="DLT1" s="230"/>
      <c r="DLU1" s="230"/>
      <c r="DLV1" s="230"/>
      <c r="DLW1" s="230"/>
      <c r="DLX1" s="230"/>
      <c r="DLY1" s="230"/>
      <c r="DLZ1" s="230"/>
      <c r="DMA1" s="230"/>
      <c r="DMB1" s="230"/>
      <c r="DMC1" s="230"/>
      <c r="DMD1" s="230"/>
      <c r="DME1" s="230"/>
      <c r="DMF1" s="230"/>
      <c r="DMG1" s="230"/>
      <c r="DMH1" s="230"/>
      <c r="DMI1" s="230"/>
      <c r="DMJ1" s="230"/>
      <c r="DMK1" s="230"/>
      <c r="DML1" s="230"/>
      <c r="DMM1" s="230"/>
      <c r="DMN1" s="230"/>
      <c r="DMO1" s="230"/>
      <c r="DMP1" s="230"/>
      <c r="DMQ1" s="230"/>
      <c r="DMR1" s="230"/>
      <c r="DMS1" s="230"/>
      <c r="DMT1" s="230"/>
      <c r="DMU1" s="230"/>
      <c r="DMV1" s="230"/>
      <c r="DMW1" s="230"/>
      <c r="DMX1" s="230"/>
      <c r="DMY1" s="230"/>
      <c r="DMZ1" s="230"/>
      <c r="DNA1" s="230"/>
      <c r="DNB1" s="230"/>
      <c r="DNC1" s="230"/>
      <c r="DND1" s="230"/>
      <c r="DNE1" s="230"/>
      <c r="DNF1" s="230"/>
      <c r="DNG1" s="230"/>
      <c r="DNH1" s="230"/>
      <c r="DNI1" s="230"/>
      <c r="DNJ1" s="230"/>
      <c r="DNK1" s="230"/>
      <c r="DNL1" s="230"/>
      <c r="DNM1" s="230"/>
      <c r="DNN1" s="230"/>
      <c r="DNO1" s="230"/>
      <c r="DNP1" s="230"/>
      <c r="DNQ1" s="230"/>
      <c r="DNR1" s="230"/>
      <c r="DNS1" s="230"/>
      <c r="DNT1" s="230"/>
      <c r="DNU1" s="230"/>
      <c r="DNV1" s="230"/>
      <c r="DNW1" s="230"/>
      <c r="DNX1" s="230"/>
      <c r="DNY1" s="230"/>
      <c r="DNZ1" s="230"/>
      <c r="DOA1" s="230"/>
      <c r="DOB1" s="230"/>
      <c r="DOC1" s="230"/>
      <c r="DOD1" s="230"/>
      <c r="DOE1" s="230"/>
      <c r="DOF1" s="230"/>
      <c r="DOG1" s="230"/>
      <c r="DOH1" s="230"/>
      <c r="DOI1" s="230"/>
      <c r="DOJ1" s="230"/>
      <c r="DOK1" s="230"/>
      <c r="DOL1" s="230"/>
      <c r="DOM1" s="230"/>
      <c r="DON1" s="230"/>
      <c r="DOO1" s="230"/>
      <c r="DOP1" s="230"/>
      <c r="DOQ1" s="230"/>
      <c r="DOR1" s="230"/>
      <c r="DOS1" s="230"/>
      <c r="DOT1" s="230"/>
      <c r="DOU1" s="230"/>
      <c r="DOV1" s="230"/>
      <c r="DOW1" s="230"/>
      <c r="DOX1" s="230"/>
      <c r="DOY1" s="230"/>
      <c r="DOZ1" s="230"/>
      <c r="DPA1" s="230"/>
      <c r="DPB1" s="230"/>
      <c r="DPC1" s="230"/>
      <c r="DPD1" s="230"/>
      <c r="DPE1" s="230"/>
      <c r="DPF1" s="230"/>
      <c r="DPG1" s="230"/>
      <c r="DPH1" s="230"/>
      <c r="DPI1" s="230"/>
      <c r="DPJ1" s="230"/>
      <c r="DPK1" s="230"/>
      <c r="DPL1" s="230"/>
      <c r="DPM1" s="230"/>
      <c r="DPN1" s="230"/>
      <c r="DPO1" s="230"/>
      <c r="DPP1" s="230"/>
      <c r="DPQ1" s="230"/>
      <c r="DPR1" s="230"/>
      <c r="DPS1" s="230"/>
      <c r="DPT1" s="230"/>
      <c r="DPU1" s="230"/>
      <c r="DPV1" s="230"/>
      <c r="DPW1" s="230"/>
      <c r="DPX1" s="230"/>
      <c r="DPY1" s="230"/>
      <c r="DPZ1" s="230"/>
      <c r="DQA1" s="230"/>
      <c r="DQB1" s="230"/>
      <c r="DQC1" s="230"/>
      <c r="DQD1" s="230"/>
      <c r="DQE1" s="230"/>
      <c r="DQF1" s="230"/>
      <c r="DQG1" s="230"/>
      <c r="DQH1" s="230"/>
      <c r="DQI1" s="230"/>
      <c r="DQJ1" s="230"/>
      <c r="DQK1" s="230"/>
      <c r="DQL1" s="230"/>
      <c r="DQM1" s="230"/>
      <c r="DQN1" s="230"/>
      <c r="DQO1" s="230"/>
      <c r="DQP1" s="230"/>
      <c r="DQQ1" s="230"/>
      <c r="DQR1" s="230"/>
      <c r="DQS1" s="230"/>
      <c r="DQT1" s="230"/>
      <c r="DQU1" s="230"/>
      <c r="DQV1" s="230"/>
      <c r="DQW1" s="230"/>
      <c r="DQX1" s="230"/>
      <c r="DQY1" s="230"/>
      <c r="DQZ1" s="230"/>
      <c r="DRA1" s="230"/>
      <c r="DRB1" s="230"/>
      <c r="DRC1" s="230"/>
      <c r="DRD1" s="230"/>
      <c r="DRE1" s="230"/>
      <c r="DRF1" s="230"/>
      <c r="DRG1" s="230"/>
      <c r="DRH1" s="230"/>
      <c r="DRI1" s="230"/>
      <c r="DRJ1" s="230"/>
      <c r="DRK1" s="230"/>
      <c r="DRL1" s="230"/>
      <c r="DRM1" s="230"/>
      <c r="DRN1" s="230"/>
      <c r="DRO1" s="230"/>
      <c r="DRP1" s="230"/>
      <c r="DRQ1" s="230"/>
      <c r="DRR1" s="230"/>
      <c r="DRS1" s="230"/>
      <c r="DRT1" s="230"/>
      <c r="DRU1" s="230"/>
      <c r="DRV1" s="230"/>
      <c r="DRW1" s="230"/>
      <c r="DRX1" s="230"/>
      <c r="DRY1" s="230"/>
      <c r="DRZ1" s="230"/>
      <c r="DSA1" s="230"/>
      <c r="DSB1" s="230"/>
      <c r="DSC1" s="230"/>
      <c r="DSD1" s="230"/>
      <c r="DSE1" s="230"/>
      <c r="DSF1" s="230"/>
      <c r="DSG1" s="230"/>
      <c r="DSH1" s="230"/>
      <c r="DSI1" s="230"/>
      <c r="DSJ1" s="230"/>
      <c r="DSK1" s="230"/>
      <c r="DSL1" s="230"/>
      <c r="DSM1" s="230"/>
      <c r="DSN1" s="230"/>
      <c r="DSO1" s="230"/>
      <c r="DSP1" s="230"/>
      <c r="DSQ1" s="230"/>
      <c r="DSR1" s="230"/>
      <c r="DSS1" s="230"/>
      <c r="DST1" s="230"/>
      <c r="DSU1" s="230"/>
      <c r="DSV1" s="230"/>
      <c r="DSW1" s="230"/>
      <c r="DSX1" s="230"/>
      <c r="DSY1" s="230"/>
      <c r="DSZ1" s="230"/>
      <c r="DTA1" s="230"/>
      <c r="DTB1" s="230"/>
      <c r="DTC1" s="230"/>
      <c r="DTD1" s="230"/>
      <c r="DTE1" s="230"/>
      <c r="DTF1" s="230"/>
      <c r="DTG1" s="230"/>
      <c r="DTH1" s="230"/>
      <c r="DTI1" s="230"/>
      <c r="DTJ1" s="230"/>
      <c r="DTK1" s="230"/>
      <c r="DTL1" s="230"/>
      <c r="DTM1" s="230"/>
      <c r="DTN1" s="230"/>
      <c r="DTO1" s="230"/>
      <c r="DTP1" s="230"/>
      <c r="DTQ1" s="230"/>
      <c r="DTR1" s="230"/>
      <c r="DTS1" s="230"/>
      <c r="DTT1" s="230"/>
      <c r="DTU1" s="230"/>
      <c r="DTV1" s="230"/>
      <c r="DTW1" s="230"/>
      <c r="DTX1" s="230"/>
      <c r="DTY1" s="230"/>
      <c r="DTZ1" s="230"/>
      <c r="DUA1" s="230"/>
      <c r="DUB1" s="230"/>
      <c r="DUC1" s="230"/>
      <c r="DUD1" s="230"/>
      <c r="DUE1" s="230"/>
      <c r="DUF1" s="230"/>
      <c r="DUG1" s="230"/>
      <c r="DUH1" s="230"/>
      <c r="DUI1" s="230"/>
      <c r="DUJ1" s="230"/>
      <c r="DUK1" s="230"/>
      <c r="DUL1" s="230"/>
      <c r="DUM1" s="230"/>
      <c r="DUN1" s="230"/>
      <c r="DUO1" s="230"/>
      <c r="DUP1" s="230"/>
      <c r="DUQ1" s="230"/>
      <c r="DUR1" s="230"/>
      <c r="DUS1" s="230"/>
      <c r="DUT1" s="230"/>
      <c r="DUU1" s="230"/>
      <c r="DUV1" s="230"/>
      <c r="DUW1" s="230"/>
      <c r="DUX1" s="230"/>
      <c r="DUY1" s="230"/>
      <c r="DUZ1" s="230"/>
      <c r="DVA1" s="230"/>
      <c r="DVB1" s="230"/>
      <c r="DVC1" s="230"/>
      <c r="DVD1" s="230"/>
      <c r="DVE1" s="230"/>
      <c r="DVF1" s="230"/>
      <c r="DVG1" s="230"/>
      <c r="DVH1" s="230"/>
      <c r="DVI1" s="230"/>
      <c r="DVJ1" s="230"/>
      <c r="DVK1" s="230"/>
      <c r="DVL1" s="230"/>
      <c r="DVM1" s="230"/>
      <c r="DVN1" s="230"/>
      <c r="DVO1" s="230"/>
      <c r="DVP1" s="230"/>
      <c r="DVQ1" s="230"/>
      <c r="DVR1" s="230"/>
      <c r="DVS1" s="230"/>
      <c r="DVT1" s="230"/>
      <c r="DVU1" s="230"/>
      <c r="DVV1" s="230"/>
      <c r="DVW1" s="230"/>
      <c r="DVX1" s="230"/>
      <c r="DVY1" s="230"/>
      <c r="DVZ1" s="230"/>
      <c r="DWA1" s="230"/>
      <c r="DWB1" s="230"/>
      <c r="DWC1" s="230"/>
      <c r="DWD1" s="230"/>
      <c r="DWE1" s="230"/>
      <c r="DWF1" s="230"/>
      <c r="DWG1" s="230"/>
      <c r="DWH1" s="230"/>
      <c r="DWI1" s="230"/>
      <c r="DWJ1" s="230"/>
      <c r="DWK1" s="230"/>
      <c r="DWL1" s="230"/>
      <c r="DWM1" s="230"/>
      <c r="DWN1" s="230"/>
      <c r="DWO1" s="230"/>
      <c r="DWP1" s="230"/>
      <c r="DWQ1" s="230"/>
      <c r="DWR1" s="230"/>
      <c r="DWS1" s="230"/>
      <c r="DWT1" s="230"/>
      <c r="DWU1" s="230"/>
      <c r="DWV1" s="230"/>
      <c r="DWW1" s="230"/>
      <c r="DWX1" s="230"/>
      <c r="DWY1" s="230"/>
      <c r="DWZ1" s="230"/>
      <c r="DXA1" s="230"/>
      <c r="DXB1" s="230"/>
      <c r="DXC1" s="230"/>
      <c r="DXD1" s="230"/>
      <c r="DXE1" s="230"/>
      <c r="DXF1" s="230"/>
      <c r="DXG1" s="230"/>
      <c r="DXH1" s="230"/>
      <c r="DXI1" s="230"/>
      <c r="DXJ1" s="230"/>
      <c r="DXK1" s="230"/>
      <c r="DXL1" s="230"/>
      <c r="DXM1" s="230"/>
      <c r="DXN1" s="230"/>
      <c r="DXO1" s="230"/>
      <c r="DXP1" s="230"/>
      <c r="DXQ1" s="230"/>
      <c r="DXR1" s="230"/>
      <c r="DXS1" s="230"/>
      <c r="DXT1" s="230"/>
      <c r="DXU1" s="230"/>
      <c r="DXV1" s="230"/>
      <c r="DXW1" s="230"/>
      <c r="DXX1" s="230"/>
      <c r="DXY1" s="230"/>
      <c r="DXZ1" s="230"/>
      <c r="DYA1" s="230"/>
      <c r="DYB1" s="230"/>
      <c r="DYC1" s="230"/>
      <c r="DYD1" s="230"/>
      <c r="DYE1" s="230"/>
      <c r="DYF1" s="230"/>
      <c r="DYG1" s="230"/>
      <c r="DYH1" s="230"/>
      <c r="DYI1" s="230"/>
      <c r="DYJ1" s="230"/>
      <c r="DYK1" s="230"/>
      <c r="DYL1" s="230"/>
      <c r="DYM1" s="230"/>
      <c r="DYN1" s="230"/>
      <c r="DYO1" s="230"/>
      <c r="DYP1" s="230"/>
      <c r="DYQ1" s="230"/>
      <c r="DYR1" s="230"/>
      <c r="DYS1" s="230"/>
      <c r="DYT1" s="230"/>
      <c r="DYU1" s="230"/>
      <c r="DYV1" s="230"/>
      <c r="DYW1" s="230"/>
      <c r="DYX1" s="230"/>
      <c r="DYY1" s="230"/>
      <c r="DYZ1" s="230"/>
      <c r="DZA1" s="230"/>
      <c r="DZB1" s="230"/>
      <c r="DZC1" s="230"/>
      <c r="DZD1" s="230"/>
      <c r="DZE1" s="230"/>
      <c r="DZF1" s="230"/>
      <c r="DZG1" s="230"/>
      <c r="DZH1" s="230"/>
      <c r="DZI1" s="230"/>
      <c r="DZJ1" s="230"/>
      <c r="DZK1" s="230"/>
      <c r="DZL1" s="230"/>
      <c r="DZM1" s="230"/>
      <c r="DZN1" s="230"/>
      <c r="DZO1" s="230"/>
      <c r="DZP1" s="230"/>
      <c r="DZQ1" s="230"/>
      <c r="DZR1" s="230"/>
      <c r="DZS1" s="230"/>
      <c r="DZT1" s="230"/>
      <c r="DZU1" s="230"/>
      <c r="DZV1" s="230"/>
      <c r="DZW1" s="230"/>
      <c r="DZX1" s="230"/>
      <c r="DZY1" s="230"/>
      <c r="DZZ1" s="230"/>
      <c r="EAA1" s="230"/>
      <c r="EAB1" s="230"/>
      <c r="EAC1" s="230"/>
      <c r="EAD1" s="230"/>
      <c r="EAE1" s="230"/>
      <c r="EAF1" s="230"/>
      <c r="EAG1" s="230"/>
      <c r="EAH1" s="230"/>
      <c r="EAI1" s="230"/>
      <c r="EAJ1" s="230"/>
      <c r="EAK1" s="230"/>
      <c r="EAL1" s="230"/>
      <c r="EAM1" s="230"/>
      <c r="EAN1" s="230"/>
      <c r="EAO1" s="230"/>
      <c r="EAP1" s="230"/>
      <c r="EAQ1" s="230"/>
      <c r="EAR1" s="230"/>
      <c r="EAS1" s="230"/>
      <c r="EAT1" s="230"/>
      <c r="EAU1" s="230"/>
      <c r="EAV1" s="230"/>
      <c r="EAW1" s="230"/>
      <c r="EAX1" s="230"/>
      <c r="EAY1" s="230"/>
      <c r="EAZ1" s="230"/>
      <c r="EBA1" s="230"/>
      <c r="EBB1" s="230"/>
      <c r="EBC1" s="230"/>
      <c r="EBD1" s="230"/>
      <c r="EBE1" s="230"/>
      <c r="EBF1" s="230"/>
      <c r="EBG1" s="230"/>
      <c r="EBH1" s="230"/>
      <c r="EBI1" s="230"/>
      <c r="EBJ1" s="230"/>
      <c r="EBK1" s="230"/>
      <c r="EBL1" s="230"/>
      <c r="EBM1" s="230"/>
      <c r="EBN1" s="230"/>
      <c r="EBO1" s="230"/>
      <c r="EBP1" s="230"/>
      <c r="EBQ1" s="230"/>
      <c r="EBR1" s="230"/>
      <c r="EBS1" s="230"/>
      <c r="EBT1" s="230"/>
      <c r="EBU1" s="230"/>
      <c r="EBV1" s="230"/>
      <c r="EBW1" s="230"/>
      <c r="EBX1" s="230"/>
      <c r="EBY1" s="230"/>
      <c r="EBZ1" s="230"/>
      <c r="ECA1" s="230"/>
      <c r="ECB1" s="230"/>
      <c r="ECC1" s="230"/>
      <c r="ECD1" s="230"/>
      <c r="ECE1" s="230"/>
      <c r="ECF1" s="230"/>
      <c r="ECG1" s="230"/>
      <c r="ECH1" s="230"/>
      <c r="ECI1" s="230"/>
      <c r="ECJ1" s="230"/>
      <c r="ECK1" s="230"/>
      <c r="ECL1" s="230"/>
      <c r="ECM1" s="230"/>
      <c r="ECN1" s="230"/>
      <c r="ECO1" s="230"/>
      <c r="ECP1" s="230"/>
      <c r="ECQ1" s="230"/>
      <c r="ECR1" s="230"/>
      <c r="ECS1" s="230"/>
      <c r="ECT1" s="230"/>
      <c r="ECU1" s="230"/>
      <c r="ECV1" s="230"/>
      <c r="ECW1" s="230"/>
      <c r="ECX1" s="230"/>
      <c r="ECY1" s="230"/>
      <c r="ECZ1" s="230"/>
      <c r="EDA1" s="230"/>
      <c r="EDB1" s="230"/>
      <c r="EDC1" s="230"/>
      <c r="EDD1" s="230"/>
      <c r="EDE1" s="230"/>
      <c r="EDF1" s="230"/>
      <c r="EDG1" s="230"/>
      <c r="EDH1" s="230"/>
      <c r="EDI1" s="230"/>
      <c r="EDJ1" s="230"/>
      <c r="EDK1" s="230"/>
      <c r="EDL1" s="230"/>
      <c r="EDM1" s="230"/>
      <c r="EDN1" s="230"/>
      <c r="EDO1" s="230"/>
      <c r="EDP1" s="230"/>
      <c r="EDQ1" s="230"/>
      <c r="EDR1" s="230"/>
      <c r="EDS1" s="230"/>
      <c r="EDT1" s="230"/>
      <c r="EDU1" s="230"/>
      <c r="EDV1" s="230"/>
      <c r="EDW1" s="230"/>
      <c r="EDX1" s="230"/>
      <c r="EDY1" s="230"/>
      <c r="EDZ1" s="230"/>
      <c r="EEA1" s="230"/>
      <c r="EEB1" s="230"/>
      <c r="EEC1" s="230"/>
      <c r="EED1" s="230"/>
      <c r="EEE1" s="230"/>
      <c r="EEF1" s="230"/>
      <c r="EEG1" s="230"/>
      <c r="EEH1" s="230"/>
      <c r="EEI1" s="230"/>
      <c r="EEJ1" s="230"/>
      <c r="EEK1" s="230"/>
      <c r="EEL1" s="230"/>
      <c r="EEM1" s="230"/>
      <c r="EEN1" s="230"/>
      <c r="EEO1" s="230"/>
      <c r="EEP1" s="230"/>
      <c r="EEQ1" s="230"/>
      <c r="EER1" s="230"/>
      <c r="EES1" s="230"/>
      <c r="EET1" s="230"/>
      <c r="EEU1" s="230"/>
      <c r="EEV1" s="230"/>
      <c r="EEW1" s="230"/>
      <c r="EEX1" s="230"/>
      <c r="EEY1" s="230"/>
      <c r="EEZ1" s="230"/>
      <c r="EFA1" s="230"/>
      <c r="EFB1" s="230"/>
      <c r="EFC1" s="230"/>
      <c r="EFD1" s="230"/>
      <c r="EFE1" s="230"/>
      <c r="EFF1" s="230"/>
      <c r="EFG1" s="230"/>
      <c r="EFH1" s="230"/>
      <c r="EFI1" s="230"/>
      <c r="EFJ1" s="230"/>
      <c r="EFK1" s="230"/>
      <c r="EFL1" s="230"/>
      <c r="EFM1" s="230"/>
      <c r="EFN1" s="230"/>
      <c r="EFO1" s="230"/>
      <c r="EFP1" s="230"/>
      <c r="EFQ1" s="230"/>
      <c r="EFR1" s="230"/>
      <c r="EFS1" s="230"/>
      <c r="EFT1" s="230"/>
      <c r="EFU1" s="230"/>
      <c r="EFV1" s="230"/>
      <c r="EFW1" s="230"/>
      <c r="EFX1" s="230"/>
      <c r="EFY1" s="230"/>
      <c r="EFZ1" s="230"/>
      <c r="EGA1" s="230"/>
      <c r="EGB1" s="230"/>
      <c r="EGC1" s="230"/>
      <c r="EGD1" s="230"/>
      <c r="EGE1" s="230"/>
      <c r="EGF1" s="230"/>
      <c r="EGG1" s="230"/>
      <c r="EGH1" s="230"/>
      <c r="EGI1" s="230"/>
      <c r="EGJ1" s="230"/>
      <c r="EGK1" s="230"/>
      <c r="EGL1" s="230"/>
      <c r="EGM1" s="230"/>
      <c r="EGN1" s="230"/>
      <c r="EGO1" s="230"/>
      <c r="EGP1" s="230"/>
      <c r="EGQ1" s="230"/>
      <c r="EGR1" s="230"/>
      <c r="EGS1" s="230"/>
      <c r="EGT1" s="230"/>
      <c r="EGU1" s="230"/>
      <c r="EGV1" s="230"/>
      <c r="EGW1" s="230"/>
      <c r="EGX1" s="230"/>
      <c r="EGY1" s="230"/>
      <c r="EGZ1" s="230"/>
      <c r="EHA1" s="230"/>
      <c r="EHB1" s="230"/>
      <c r="EHC1" s="230"/>
      <c r="EHD1" s="230"/>
      <c r="EHE1" s="230"/>
      <c r="EHF1" s="230"/>
      <c r="EHG1" s="230"/>
      <c r="EHH1" s="230"/>
      <c r="EHI1" s="230"/>
      <c r="EHJ1" s="230"/>
      <c r="EHK1" s="230"/>
      <c r="EHL1" s="230"/>
      <c r="EHM1" s="230"/>
      <c r="EHN1" s="230"/>
      <c r="EHO1" s="230"/>
      <c r="EHP1" s="230"/>
      <c r="EHQ1" s="230"/>
      <c r="EHR1" s="230"/>
      <c r="EHS1" s="230"/>
      <c r="EHT1" s="230"/>
      <c r="EHU1" s="230"/>
      <c r="EHV1" s="230"/>
      <c r="EHW1" s="230"/>
      <c r="EHX1" s="230"/>
      <c r="EHY1" s="230"/>
      <c r="EHZ1" s="230"/>
      <c r="EIA1" s="230"/>
      <c r="EIB1" s="230"/>
      <c r="EIC1" s="230"/>
      <c r="EID1" s="230"/>
      <c r="EIE1" s="230"/>
      <c r="EIF1" s="230"/>
      <c r="EIG1" s="230"/>
      <c r="EIH1" s="230"/>
      <c r="EII1" s="230"/>
      <c r="EIJ1" s="230"/>
      <c r="EIK1" s="230"/>
      <c r="EIL1" s="230"/>
      <c r="EIM1" s="230"/>
      <c r="EIN1" s="230"/>
      <c r="EIO1" s="230"/>
      <c r="EIP1" s="230"/>
      <c r="EIQ1" s="230"/>
      <c r="EIR1" s="230"/>
      <c r="EIS1" s="230"/>
      <c r="EIT1" s="230"/>
      <c r="EIU1" s="230"/>
      <c r="EIV1" s="230"/>
      <c r="EIW1" s="230"/>
      <c r="EIX1" s="230"/>
      <c r="EIY1" s="230"/>
      <c r="EIZ1" s="230"/>
      <c r="EJA1" s="230"/>
      <c r="EJB1" s="230"/>
      <c r="EJC1" s="230"/>
      <c r="EJD1" s="230"/>
      <c r="EJE1" s="230"/>
      <c r="EJF1" s="230"/>
      <c r="EJG1" s="230"/>
      <c r="EJH1" s="230"/>
      <c r="EJI1" s="230"/>
      <c r="EJJ1" s="230"/>
      <c r="EJK1" s="230"/>
      <c r="EJL1" s="230"/>
      <c r="EJM1" s="230"/>
      <c r="EJN1" s="230"/>
      <c r="EJO1" s="230"/>
      <c r="EJP1" s="230"/>
      <c r="EJQ1" s="230"/>
      <c r="EJR1" s="230"/>
      <c r="EJS1" s="230"/>
      <c r="EJT1" s="230"/>
      <c r="EJU1" s="230"/>
      <c r="EJV1" s="230"/>
      <c r="EJW1" s="230"/>
      <c r="EJX1" s="230"/>
      <c r="EJY1" s="230"/>
      <c r="EJZ1" s="230"/>
      <c r="EKA1" s="230"/>
      <c r="EKB1" s="230"/>
      <c r="EKC1" s="230"/>
      <c r="EKD1" s="230"/>
      <c r="EKE1" s="230"/>
      <c r="EKF1" s="230"/>
      <c r="EKG1" s="230"/>
      <c r="EKH1" s="230"/>
      <c r="EKI1" s="230"/>
      <c r="EKJ1" s="230"/>
      <c r="EKK1" s="230"/>
      <c r="EKL1" s="230"/>
      <c r="EKM1" s="230"/>
      <c r="EKN1" s="230"/>
      <c r="EKO1" s="230"/>
      <c r="EKP1" s="230"/>
      <c r="EKQ1" s="230"/>
      <c r="EKR1" s="230"/>
      <c r="EKS1" s="230"/>
      <c r="EKT1" s="230"/>
      <c r="EKU1" s="230"/>
      <c r="EKV1" s="230"/>
      <c r="EKW1" s="230"/>
      <c r="EKX1" s="230"/>
      <c r="EKY1" s="230"/>
      <c r="EKZ1" s="230"/>
      <c r="ELA1" s="230"/>
      <c r="ELB1" s="230"/>
      <c r="ELC1" s="230"/>
      <c r="ELD1" s="230"/>
      <c r="ELE1" s="230"/>
      <c r="ELF1" s="230"/>
      <c r="ELG1" s="230"/>
      <c r="ELH1" s="230"/>
      <c r="ELI1" s="230"/>
      <c r="ELJ1" s="230"/>
      <c r="ELK1" s="230"/>
      <c r="ELL1" s="230"/>
      <c r="ELM1" s="230"/>
      <c r="ELN1" s="230"/>
      <c r="ELO1" s="230"/>
      <c r="ELP1" s="230"/>
      <c r="ELQ1" s="230"/>
      <c r="ELR1" s="230"/>
      <c r="ELS1" s="230"/>
      <c r="ELT1" s="230"/>
      <c r="ELU1" s="230"/>
      <c r="ELV1" s="230"/>
      <c r="ELW1" s="230"/>
      <c r="ELX1" s="230"/>
      <c r="ELY1" s="230"/>
      <c r="ELZ1" s="230"/>
      <c r="EMA1" s="230"/>
      <c r="EMB1" s="230"/>
      <c r="EMC1" s="230"/>
      <c r="EMD1" s="230"/>
      <c r="EME1" s="230"/>
      <c r="EMF1" s="230"/>
      <c r="EMG1" s="230"/>
      <c r="EMH1" s="230"/>
      <c r="EMI1" s="230"/>
      <c r="EMJ1" s="230"/>
      <c r="EMK1" s="230"/>
      <c r="EML1" s="230"/>
      <c r="EMM1" s="230"/>
      <c r="EMN1" s="230"/>
      <c r="EMO1" s="230"/>
      <c r="EMP1" s="230"/>
      <c r="EMQ1" s="230"/>
      <c r="EMR1" s="230"/>
      <c r="EMS1" s="230"/>
      <c r="EMT1" s="230"/>
      <c r="EMU1" s="230"/>
      <c r="EMV1" s="230"/>
      <c r="EMW1" s="230"/>
      <c r="EMX1" s="230"/>
      <c r="EMY1" s="230"/>
      <c r="EMZ1" s="230"/>
      <c r="ENA1" s="230"/>
      <c r="ENB1" s="230"/>
      <c r="ENC1" s="230"/>
      <c r="END1" s="230"/>
      <c r="ENE1" s="230"/>
      <c r="ENF1" s="230"/>
      <c r="ENG1" s="230"/>
      <c r="ENH1" s="230"/>
      <c r="ENI1" s="230"/>
      <c r="ENJ1" s="230"/>
      <c r="ENK1" s="230"/>
      <c r="ENL1" s="230"/>
      <c r="ENM1" s="230"/>
      <c r="ENN1" s="230"/>
      <c r="ENO1" s="230"/>
      <c r="ENP1" s="230"/>
      <c r="ENQ1" s="230"/>
      <c r="ENR1" s="230"/>
      <c r="ENS1" s="230"/>
      <c r="ENT1" s="230"/>
      <c r="ENU1" s="230"/>
      <c r="ENV1" s="230"/>
      <c r="ENW1" s="230"/>
      <c r="ENX1" s="230"/>
      <c r="ENY1" s="230"/>
      <c r="ENZ1" s="230"/>
      <c r="EOA1" s="230"/>
      <c r="EOB1" s="230"/>
      <c r="EOC1" s="230"/>
      <c r="EOD1" s="230"/>
      <c r="EOE1" s="230"/>
      <c r="EOF1" s="230"/>
      <c r="EOG1" s="230"/>
      <c r="EOH1" s="230"/>
      <c r="EOI1" s="230"/>
      <c r="EOJ1" s="230"/>
      <c r="EOK1" s="230"/>
      <c r="EOL1" s="230"/>
      <c r="EOM1" s="230"/>
      <c r="EON1" s="230"/>
      <c r="EOO1" s="230"/>
      <c r="EOP1" s="230"/>
      <c r="EOQ1" s="230"/>
      <c r="EOR1" s="230"/>
      <c r="EOS1" s="230"/>
      <c r="EOT1" s="230"/>
      <c r="EOU1" s="230"/>
      <c r="EOV1" s="230"/>
      <c r="EOW1" s="230"/>
      <c r="EOX1" s="230"/>
      <c r="EOY1" s="230"/>
      <c r="EOZ1" s="230"/>
      <c r="EPA1" s="230"/>
      <c r="EPB1" s="230"/>
      <c r="EPC1" s="230"/>
      <c r="EPD1" s="230"/>
      <c r="EPE1" s="230"/>
      <c r="EPF1" s="230"/>
      <c r="EPG1" s="230"/>
      <c r="EPH1" s="230"/>
      <c r="EPI1" s="230"/>
      <c r="EPJ1" s="230"/>
      <c r="EPK1" s="230"/>
      <c r="EPL1" s="230"/>
      <c r="EPM1" s="230"/>
      <c r="EPN1" s="230"/>
      <c r="EPO1" s="230"/>
      <c r="EPP1" s="230"/>
      <c r="EPQ1" s="230"/>
      <c r="EPR1" s="230"/>
      <c r="EPS1" s="230"/>
      <c r="EPT1" s="230"/>
      <c r="EPU1" s="230"/>
      <c r="EPV1" s="230"/>
      <c r="EPW1" s="230"/>
      <c r="EPX1" s="230"/>
      <c r="EPY1" s="230"/>
      <c r="EPZ1" s="230"/>
      <c r="EQA1" s="230"/>
      <c r="EQB1" s="230"/>
      <c r="EQC1" s="230"/>
      <c r="EQD1" s="230"/>
      <c r="EQE1" s="230"/>
      <c r="EQF1" s="230"/>
      <c r="EQG1" s="230"/>
      <c r="EQH1" s="230"/>
      <c r="EQI1" s="230"/>
      <c r="EQJ1" s="230"/>
      <c r="EQK1" s="230"/>
      <c r="EQL1" s="230"/>
      <c r="EQM1" s="230"/>
      <c r="EQN1" s="230"/>
      <c r="EQO1" s="230"/>
      <c r="EQP1" s="230"/>
      <c r="EQQ1" s="230"/>
      <c r="EQR1" s="230"/>
      <c r="EQS1" s="230"/>
      <c r="EQT1" s="230"/>
      <c r="EQU1" s="230"/>
      <c r="EQV1" s="230"/>
      <c r="EQW1" s="230"/>
      <c r="EQX1" s="230"/>
      <c r="EQY1" s="230"/>
      <c r="EQZ1" s="230"/>
      <c r="ERA1" s="230"/>
      <c r="ERB1" s="230"/>
      <c r="ERC1" s="230"/>
      <c r="ERD1" s="230"/>
      <c r="ERE1" s="230"/>
      <c r="ERF1" s="230"/>
      <c r="ERG1" s="230"/>
      <c r="ERH1" s="230"/>
      <c r="ERI1" s="230"/>
      <c r="ERJ1" s="230"/>
      <c r="ERK1" s="230"/>
      <c r="ERL1" s="230"/>
      <c r="ERM1" s="230"/>
      <c r="ERN1" s="230"/>
      <c r="ERO1" s="230"/>
      <c r="ERP1" s="230"/>
      <c r="ERQ1" s="230"/>
      <c r="ERR1" s="230"/>
      <c r="ERS1" s="230"/>
      <c r="ERT1" s="230"/>
      <c r="ERU1" s="230"/>
      <c r="ERV1" s="230"/>
      <c r="ERW1" s="230"/>
      <c r="ERX1" s="230"/>
      <c r="ERY1" s="230"/>
      <c r="ERZ1" s="230"/>
      <c r="ESA1" s="230"/>
      <c r="ESB1" s="230"/>
      <c r="ESC1" s="230"/>
      <c r="ESD1" s="230"/>
      <c r="ESE1" s="230"/>
      <c r="ESF1" s="230"/>
      <c r="ESG1" s="230"/>
      <c r="ESH1" s="230"/>
      <c r="ESI1" s="230"/>
      <c r="ESJ1" s="230"/>
      <c r="ESK1" s="230"/>
      <c r="ESL1" s="230"/>
      <c r="ESM1" s="230"/>
      <c r="ESN1" s="230"/>
      <c r="ESO1" s="230"/>
      <c r="ESP1" s="230"/>
      <c r="ESQ1" s="230"/>
      <c r="ESR1" s="230"/>
      <c r="ESS1" s="230"/>
      <c r="EST1" s="230"/>
      <c r="ESU1" s="230"/>
      <c r="ESV1" s="230"/>
      <c r="ESW1" s="230"/>
      <c r="ESX1" s="230"/>
      <c r="ESY1" s="230"/>
      <c r="ESZ1" s="230"/>
      <c r="ETA1" s="230"/>
      <c r="ETB1" s="230"/>
      <c r="ETC1" s="230"/>
      <c r="ETD1" s="230"/>
      <c r="ETE1" s="230"/>
      <c r="ETF1" s="230"/>
      <c r="ETG1" s="230"/>
      <c r="ETH1" s="230"/>
      <c r="ETI1" s="230"/>
      <c r="ETJ1" s="230"/>
      <c r="ETK1" s="230"/>
      <c r="ETL1" s="230"/>
      <c r="ETM1" s="230"/>
      <c r="ETN1" s="230"/>
      <c r="ETO1" s="230"/>
      <c r="ETP1" s="230"/>
      <c r="ETQ1" s="230"/>
      <c r="ETR1" s="230"/>
      <c r="ETS1" s="230"/>
      <c r="ETT1" s="230"/>
      <c r="ETU1" s="230"/>
      <c r="ETV1" s="230"/>
      <c r="ETW1" s="230"/>
      <c r="ETX1" s="230"/>
      <c r="ETY1" s="230"/>
      <c r="ETZ1" s="230"/>
      <c r="EUA1" s="230"/>
      <c r="EUB1" s="230"/>
      <c r="EUC1" s="230"/>
      <c r="EUD1" s="230"/>
      <c r="EUE1" s="230"/>
      <c r="EUF1" s="230"/>
      <c r="EUG1" s="230"/>
      <c r="EUH1" s="230"/>
      <c r="EUI1" s="230"/>
      <c r="EUJ1" s="230"/>
      <c r="EUK1" s="230"/>
      <c r="EUL1" s="230"/>
      <c r="EUM1" s="230"/>
      <c r="EUN1" s="230"/>
      <c r="EUO1" s="230"/>
      <c r="EUP1" s="230"/>
      <c r="EUQ1" s="230"/>
      <c r="EUR1" s="230"/>
      <c r="EUS1" s="230"/>
      <c r="EUT1" s="230"/>
      <c r="EUU1" s="230"/>
      <c r="EUV1" s="230"/>
      <c r="EUW1" s="230"/>
      <c r="EUX1" s="230"/>
      <c r="EUY1" s="230"/>
      <c r="EUZ1" s="230"/>
      <c r="EVA1" s="230"/>
      <c r="EVB1" s="230"/>
      <c r="EVC1" s="230"/>
      <c r="EVD1" s="230"/>
      <c r="EVE1" s="230"/>
      <c r="EVF1" s="230"/>
      <c r="EVG1" s="230"/>
      <c r="EVH1" s="230"/>
      <c r="EVI1" s="230"/>
      <c r="EVJ1" s="230"/>
      <c r="EVK1" s="230"/>
      <c r="EVL1" s="230"/>
      <c r="EVM1" s="230"/>
      <c r="EVN1" s="230"/>
      <c r="EVO1" s="230"/>
      <c r="EVP1" s="230"/>
      <c r="EVQ1" s="230"/>
      <c r="EVR1" s="230"/>
      <c r="EVS1" s="230"/>
      <c r="EVT1" s="230"/>
      <c r="EVU1" s="230"/>
      <c r="EVV1" s="230"/>
      <c r="EVW1" s="230"/>
      <c r="EVX1" s="230"/>
      <c r="EVY1" s="230"/>
      <c r="EVZ1" s="230"/>
      <c r="EWA1" s="230"/>
      <c r="EWB1" s="230"/>
      <c r="EWC1" s="230"/>
      <c r="EWD1" s="230"/>
      <c r="EWE1" s="230"/>
      <c r="EWF1" s="230"/>
      <c r="EWG1" s="230"/>
      <c r="EWH1" s="230"/>
      <c r="EWI1" s="230"/>
      <c r="EWJ1" s="230"/>
      <c r="EWK1" s="230"/>
      <c r="EWL1" s="230"/>
      <c r="EWM1" s="230"/>
      <c r="EWN1" s="230"/>
      <c r="EWO1" s="230"/>
      <c r="EWP1" s="230"/>
      <c r="EWQ1" s="230"/>
      <c r="EWR1" s="230"/>
      <c r="EWS1" s="230"/>
      <c r="EWT1" s="230"/>
      <c r="EWU1" s="230"/>
      <c r="EWV1" s="230"/>
      <c r="EWW1" s="230"/>
      <c r="EWX1" s="230"/>
      <c r="EWY1" s="230"/>
      <c r="EWZ1" s="230"/>
      <c r="EXA1" s="230"/>
      <c r="EXB1" s="230"/>
      <c r="EXC1" s="230"/>
      <c r="EXD1" s="230"/>
      <c r="EXE1" s="230"/>
      <c r="EXF1" s="230"/>
      <c r="EXG1" s="230"/>
      <c r="EXH1" s="230"/>
      <c r="EXI1" s="230"/>
      <c r="EXJ1" s="230"/>
      <c r="EXK1" s="230"/>
      <c r="EXL1" s="230"/>
      <c r="EXM1" s="230"/>
      <c r="EXN1" s="230"/>
      <c r="EXO1" s="230"/>
      <c r="EXP1" s="230"/>
      <c r="EXQ1" s="230"/>
      <c r="EXR1" s="230"/>
      <c r="EXS1" s="230"/>
      <c r="EXT1" s="230"/>
      <c r="EXU1" s="230"/>
      <c r="EXV1" s="230"/>
      <c r="EXW1" s="230"/>
      <c r="EXX1" s="230"/>
      <c r="EXY1" s="230"/>
      <c r="EXZ1" s="230"/>
      <c r="EYA1" s="230"/>
      <c r="EYB1" s="230"/>
      <c r="EYC1" s="230"/>
      <c r="EYD1" s="230"/>
      <c r="EYE1" s="230"/>
      <c r="EYF1" s="230"/>
      <c r="EYG1" s="230"/>
      <c r="EYH1" s="230"/>
      <c r="EYI1" s="230"/>
      <c r="EYJ1" s="230"/>
      <c r="EYK1" s="230"/>
      <c r="EYL1" s="230"/>
      <c r="EYM1" s="230"/>
      <c r="EYN1" s="230"/>
      <c r="EYO1" s="230"/>
      <c r="EYP1" s="230"/>
      <c r="EYQ1" s="230"/>
      <c r="EYR1" s="230"/>
      <c r="EYS1" s="230"/>
      <c r="EYT1" s="230"/>
      <c r="EYU1" s="230"/>
      <c r="EYV1" s="230"/>
      <c r="EYW1" s="230"/>
      <c r="EYX1" s="230"/>
      <c r="EYY1" s="230"/>
      <c r="EYZ1" s="230"/>
      <c r="EZA1" s="230"/>
      <c r="EZB1" s="230"/>
      <c r="EZC1" s="230"/>
      <c r="EZD1" s="230"/>
      <c r="EZE1" s="230"/>
      <c r="EZF1" s="230"/>
      <c r="EZG1" s="230"/>
      <c r="EZH1" s="230"/>
      <c r="EZI1" s="230"/>
      <c r="EZJ1" s="230"/>
      <c r="EZK1" s="230"/>
      <c r="EZL1" s="230"/>
      <c r="EZM1" s="230"/>
      <c r="EZN1" s="230"/>
      <c r="EZO1" s="230"/>
      <c r="EZP1" s="230"/>
      <c r="EZQ1" s="230"/>
      <c r="EZR1" s="230"/>
      <c r="EZS1" s="230"/>
      <c r="EZT1" s="230"/>
      <c r="EZU1" s="230"/>
      <c r="EZV1" s="230"/>
      <c r="EZW1" s="230"/>
      <c r="EZX1" s="230"/>
      <c r="EZY1" s="230"/>
      <c r="EZZ1" s="230"/>
      <c r="FAA1" s="230"/>
      <c r="FAB1" s="230"/>
      <c r="FAC1" s="230"/>
      <c r="FAD1" s="230"/>
      <c r="FAE1" s="230"/>
      <c r="FAF1" s="230"/>
      <c r="FAG1" s="230"/>
      <c r="FAH1" s="230"/>
      <c r="FAI1" s="230"/>
      <c r="FAJ1" s="230"/>
      <c r="FAK1" s="230"/>
      <c r="FAL1" s="230"/>
      <c r="FAM1" s="230"/>
      <c r="FAN1" s="230"/>
      <c r="FAO1" s="230"/>
      <c r="FAP1" s="230"/>
      <c r="FAQ1" s="230"/>
      <c r="FAR1" s="230"/>
      <c r="FAS1" s="230"/>
      <c r="FAT1" s="230"/>
      <c r="FAU1" s="230"/>
      <c r="FAV1" s="230"/>
      <c r="FAW1" s="230"/>
      <c r="FAX1" s="230"/>
      <c r="FAY1" s="230"/>
      <c r="FAZ1" s="230"/>
      <c r="FBA1" s="230"/>
      <c r="FBB1" s="230"/>
      <c r="FBC1" s="230"/>
      <c r="FBD1" s="230"/>
      <c r="FBE1" s="230"/>
      <c r="FBF1" s="230"/>
      <c r="FBG1" s="230"/>
      <c r="FBH1" s="230"/>
      <c r="FBI1" s="230"/>
      <c r="FBJ1" s="230"/>
      <c r="FBK1" s="230"/>
      <c r="FBL1" s="230"/>
      <c r="FBM1" s="230"/>
      <c r="FBN1" s="230"/>
      <c r="FBO1" s="230"/>
      <c r="FBP1" s="230"/>
      <c r="FBQ1" s="230"/>
      <c r="FBR1" s="230"/>
      <c r="FBS1" s="230"/>
      <c r="FBT1" s="230"/>
      <c r="FBU1" s="230"/>
      <c r="FBV1" s="230"/>
      <c r="FBW1" s="230"/>
      <c r="FBX1" s="230"/>
      <c r="FBY1" s="230"/>
      <c r="FBZ1" s="230"/>
      <c r="FCA1" s="230"/>
      <c r="FCB1" s="230"/>
      <c r="FCC1" s="230"/>
      <c r="FCD1" s="230"/>
      <c r="FCE1" s="230"/>
      <c r="FCF1" s="230"/>
      <c r="FCG1" s="230"/>
      <c r="FCH1" s="230"/>
      <c r="FCI1" s="230"/>
      <c r="FCJ1" s="230"/>
      <c r="FCK1" s="230"/>
      <c r="FCL1" s="230"/>
      <c r="FCM1" s="230"/>
      <c r="FCN1" s="230"/>
      <c r="FCO1" s="230"/>
      <c r="FCP1" s="230"/>
      <c r="FCQ1" s="230"/>
      <c r="FCR1" s="230"/>
      <c r="FCS1" s="230"/>
      <c r="FCT1" s="230"/>
      <c r="FCU1" s="230"/>
      <c r="FCV1" s="230"/>
      <c r="FCW1" s="230"/>
      <c r="FCX1" s="230"/>
      <c r="FCY1" s="230"/>
      <c r="FCZ1" s="230"/>
      <c r="FDA1" s="230"/>
      <c r="FDB1" s="230"/>
      <c r="FDC1" s="230"/>
      <c r="FDD1" s="230"/>
      <c r="FDE1" s="230"/>
      <c r="FDF1" s="230"/>
      <c r="FDG1" s="230"/>
      <c r="FDH1" s="230"/>
      <c r="FDI1" s="230"/>
      <c r="FDJ1" s="230"/>
      <c r="FDK1" s="230"/>
      <c r="FDL1" s="230"/>
      <c r="FDM1" s="230"/>
      <c r="FDN1" s="230"/>
      <c r="FDO1" s="230"/>
      <c r="FDP1" s="230"/>
      <c r="FDQ1" s="230"/>
      <c r="FDR1" s="230"/>
      <c r="FDS1" s="230"/>
      <c r="FDT1" s="230"/>
      <c r="FDU1" s="230"/>
      <c r="FDV1" s="230"/>
      <c r="FDW1" s="230"/>
      <c r="FDX1" s="230"/>
      <c r="FDY1" s="230"/>
      <c r="FDZ1" s="230"/>
      <c r="FEA1" s="230"/>
      <c r="FEB1" s="230"/>
      <c r="FEC1" s="230"/>
      <c r="FED1" s="230"/>
      <c r="FEE1" s="230"/>
      <c r="FEF1" s="230"/>
      <c r="FEG1" s="230"/>
      <c r="FEH1" s="230"/>
      <c r="FEI1" s="230"/>
      <c r="FEJ1" s="230"/>
      <c r="FEK1" s="230"/>
      <c r="FEL1" s="230"/>
      <c r="FEM1" s="230"/>
      <c r="FEN1" s="230"/>
      <c r="FEO1" s="230"/>
      <c r="FEP1" s="230"/>
      <c r="FEQ1" s="230"/>
      <c r="FER1" s="230"/>
      <c r="FES1" s="230"/>
      <c r="FET1" s="230"/>
      <c r="FEU1" s="230"/>
      <c r="FEV1" s="230"/>
      <c r="FEW1" s="230"/>
      <c r="FEX1" s="230"/>
      <c r="FEY1" s="230"/>
      <c r="FEZ1" s="230"/>
      <c r="FFA1" s="230"/>
      <c r="FFB1" s="230"/>
      <c r="FFC1" s="230"/>
      <c r="FFD1" s="230"/>
      <c r="FFE1" s="230"/>
      <c r="FFF1" s="230"/>
      <c r="FFG1" s="230"/>
      <c r="FFH1" s="230"/>
      <c r="FFI1" s="230"/>
      <c r="FFJ1" s="230"/>
      <c r="FFK1" s="230"/>
      <c r="FFL1" s="230"/>
      <c r="FFM1" s="230"/>
      <c r="FFN1" s="230"/>
      <c r="FFO1" s="230"/>
      <c r="FFP1" s="230"/>
      <c r="FFQ1" s="230"/>
      <c r="FFR1" s="230"/>
      <c r="FFS1" s="230"/>
      <c r="FFT1" s="230"/>
      <c r="FFU1" s="230"/>
      <c r="FFV1" s="230"/>
      <c r="FFW1" s="230"/>
      <c r="FFX1" s="230"/>
      <c r="FFY1" s="230"/>
      <c r="FFZ1" s="230"/>
      <c r="FGA1" s="230"/>
      <c r="FGB1" s="230"/>
      <c r="FGC1" s="230"/>
      <c r="FGD1" s="230"/>
      <c r="FGE1" s="230"/>
      <c r="FGF1" s="230"/>
      <c r="FGG1" s="230"/>
      <c r="FGH1" s="230"/>
      <c r="FGI1" s="230"/>
      <c r="FGJ1" s="230"/>
      <c r="FGK1" s="230"/>
      <c r="FGL1" s="230"/>
      <c r="FGM1" s="230"/>
      <c r="FGN1" s="230"/>
      <c r="FGO1" s="230"/>
      <c r="FGP1" s="230"/>
      <c r="FGQ1" s="230"/>
      <c r="FGR1" s="230"/>
      <c r="FGS1" s="230"/>
      <c r="FGT1" s="230"/>
      <c r="FGU1" s="230"/>
      <c r="FGV1" s="230"/>
      <c r="FGW1" s="230"/>
      <c r="FGX1" s="230"/>
      <c r="FGY1" s="230"/>
      <c r="FGZ1" s="230"/>
      <c r="FHA1" s="230"/>
      <c r="FHB1" s="230"/>
      <c r="FHC1" s="230"/>
      <c r="FHD1" s="230"/>
      <c r="FHE1" s="230"/>
      <c r="FHF1" s="230"/>
      <c r="FHG1" s="230"/>
      <c r="FHH1" s="230"/>
      <c r="FHI1" s="230"/>
      <c r="FHJ1" s="230"/>
      <c r="FHK1" s="230"/>
      <c r="FHL1" s="230"/>
      <c r="FHM1" s="230"/>
      <c r="FHN1" s="230"/>
      <c r="FHO1" s="230"/>
      <c r="FHP1" s="230"/>
      <c r="FHQ1" s="230"/>
      <c r="FHR1" s="230"/>
      <c r="FHS1" s="230"/>
      <c r="FHT1" s="230"/>
      <c r="FHU1" s="230"/>
      <c r="FHV1" s="230"/>
      <c r="FHW1" s="230"/>
      <c r="FHX1" s="230"/>
      <c r="FHY1" s="230"/>
      <c r="FHZ1" s="230"/>
      <c r="FIA1" s="230"/>
      <c r="FIB1" s="230"/>
      <c r="FIC1" s="230"/>
      <c r="FID1" s="230"/>
      <c r="FIE1" s="230"/>
      <c r="FIF1" s="230"/>
      <c r="FIG1" s="230"/>
      <c r="FIH1" s="230"/>
      <c r="FII1" s="230"/>
      <c r="FIJ1" s="230"/>
      <c r="FIK1" s="230"/>
      <c r="FIL1" s="230"/>
      <c r="FIM1" s="230"/>
      <c r="FIN1" s="230"/>
      <c r="FIO1" s="230"/>
      <c r="FIP1" s="230"/>
      <c r="FIQ1" s="230"/>
      <c r="FIR1" s="230"/>
      <c r="FIS1" s="230"/>
      <c r="FIT1" s="230"/>
      <c r="FIU1" s="230"/>
      <c r="FIV1" s="230"/>
      <c r="FIW1" s="230"/>
      <c r="FIX1" s="230"/>
      <c r="FIY1" s="230"/>
      <c r="FIZ1" s="230"/>
      <c r="FJA1" s="230"/>
      <c r="FJB1" s="230"/>
      <c r="FJC1" s="230"/>
      <c r="FJD1" s="230"/>
      <c r="FJE1" s="230"/>
      <c r="FJF1" s="230"/>
      <c r="FJG1" s="230"/>
      <c r="FJH1" s="230"/>
      <c r="FJI1" s="230"/>
      <c r="FJJ1" s="230"/>
      <c r="FJK1" s="230"/>
      <c r="FJL1" s="230"/>
      <c r="FJM1" s="230"/>
      <c r="FJN1" s="230"/>
      <c r="FJO1" s="230"/>
      <c r="FJP1" s="230"/>
      <c r="FJQ1" s="230"/>
      <c r="FJR1" s="230"/>
      <c r="FJS1" s="230"/>
      <c r="FJT1" s="230"/>
      <c r="FJU1" s="230"/>
      <c r="FJV1" s="230"/>
      <c r="FJW1" s="230"/>
      <c r="FJX1" s="230"/>
      <c r="FJY1" s="230"/>
      <c r="FJZ1" s="230"/>
      <c r="FKA1" s="230"/>
      <c r="FKB1" s="230"/>
      <c r="FKC1" s="230"/>
      <c r="FKD1" s="230"/>
      <c r="FKE1" s="230"/>
      <c r="FKF1" s="230"/>
      <c r="FKG1" s="230"/>
      <c r="FKH1" s="230"/>
      <c r="FKI1" s="230"/>
      <c r="FKJ1" s="230"/>
      <c r="FKK1" s="230"/>
      <c r="FKL1" s="230"/>
      <c r="FKM1" s="230"/>
      <c r="FKN1" s="230"/>
      <c r="FKO1" s="230"/>
      <c r="FKP1" s="230"/>
      <c r="FKQ1" s="230"/>
      <c r="FKR1" s="230"/>
      <c r="FKS1" s="230"/>
      <c r="FKT1" s="230"/>
      <c r="FKU1" s="230"/>
      <c r="FKV1" s="230"/>
      <c r="FKW1" s="230"/>
      <c r="FKX1" s="230"/>
      <c r="FKY1" s="230"/>
      <c r="FKZ1" s="230"/>
      <c r="FLA1" s="230"/>
      <c r="FLB1" s="230"/>
      <c r="FLC1" s="230"/>
      <c r="FLD1" s="230"/>
      <c r="FLE1" s="230"/>
      <c r="FLF1" s="230"/>
      <c r="FLG1" s="230"/>
      <c r="FLH1" s="230"/>
      <c r="FLI1" s="230"/>
      <c r="FLJ1" s="230"/>
      <c r="FLK1" s="230"/>
      <c r="FLL1" s="230"/>
      <c r="FLM1" s="230"/>
      <c r="FLN1" s="230"/>
      <c r="FLO1" s="230"/>
      <c r="FLP1" s="230"/>
      <c r="FLQ1" s="230"/>
      <c r="FLR1" s="230"/>
      <c r="FLS1" s="230"/>
      <c r="FLT1" s="230"/>
      <c r="FLU1" s="230"/>
      <c r="FLV1" s="230"/>
      <c r="FLW1" s="230"/>
      <c r="FLX1" s="230"/>
      <c r="FLY1" s="230"/>
      <c r="FLZ1" s="230"/>
      <c r="FMA1" s="230"/>
      <c r="FMB1" s="230"/>
      <c r="FMC1" s="230"/>
      <c r="FMD1" s="230"/>
      <c r="FME1" s="230"/>
      <c r="FMF1" s="230"/>
      <c r="FMG1" s="230"/>
      <c r="FMH1" s="230"/>
      <c r="FMI1" s="230"/>
      <c r="FMJ1" s="230"/>
      <c r="FMK1" s="230"/>
      <c r="FML1" s="230"/>
      <c r="FMM1" s="230"/>
      <c r="FMN1" s="230"/>
      <c r="FMO1" s="230"/>
      <c r="FMP1" s="230"/>
      <c r="FMQ1" s="230"/>
      <c r="FMR1" s="230"/>
      <c r="FMS1" s="230"/>
      <c r="FMT1" s="230"/>
      <c r="FMU1" s="230"/>
      <c r="FMV1" s="230"/>
      <c r="FMW1" s="230"/>
      <c r="FMX1" s="230"/>
      <c r="FMY1" s="230"/>
      <c r="FMZ1" s="230"/>
      <c r="FNA1" s="230"/>
      <c r="FNB1" s="230"/>
      <c r="FNC1" s="230"/>
      <c r="FND1" s="230"/>
      <c r="FNE1" s="230"/>
      <c r="FNF1" s="230"/>
      <c r="FNG1" s="230"/>
      <c r="FNH1" s="230"/>
      <c r="FNI1" s="230"/>
      <c r="FNJ1" s="230"/>
      <c r="FNK1" s="230"/>
      <c r="FNL1" s="230"/>
      <c r="FNM1" s="230"/>
      <c r="FNN1" s="230"/>
      <c r="FNO1" s="230"/>
      <c r="FNP1" s="230"/>
      <c r="FNQ1" s="230"/>
      <c r="FNR1" s="230"/>
      <c r="FNS1" s="230"/>
      <c r="FNT1" s="230"/>
      <c r="FNU1" s="230"/>
      <c r="FNV1" s="230"/>
      <c r="FNW1" s="230"/>
      <c r="FNX1" s="230"/>
      <c r="FNY1" s="230"/>
      <c r="FNZ1" s="230"/>
      <c r="FOA1" s="230"/>
      <c r="FOB1" s="230"/>
      <c r="FOC1" s="230"/>
      <c r="FOD1" s="230"/>
      <c r="FOE1" s="230"/>
      <c r="FOF1" s="230"/>
      <c r="FOG1" s="230"/>
      <c r="FOH1" s="230"/>
      <c r="FOI1" s="230"/>
      <c r="FOJ1" s="230"/>
      <c r="FOK1" s="230"/>
      <c r="FOL1" s="230"/>
      <c r="FOM1" s="230"/>
      <c r="FON1" s="230"/>
      <c r="FOO1" s="230"/>
      <c r="FOP1" s="230"/>
      <c r="FOQ1" s="230"/>
      <c r="FOR1" s="230"/>
      <c r="FOS1" s="230"/>
      <c r="FOT1" s="230"/>
      <c r="FOU1" s="230"/>
      <c r="FOV1" s="230"/>
      <c r="FOW1" s="230"/>
      <c r="FOX1" s="230"/>
      <c r="FOY1" s="230"/>
      <c r="FOZ1" s="230"/>
      <c r="FPA1" s="230"/>
      <c r="FPB1" s="230"/>
      <c r="FPC1" s="230"/>
      <c r="FPD1" s="230"/>
      <c r="FPE1" s="230"/>
      <c r="FPF1" s="230"/>
      <c r="FPG1" s="230"/>
      <c r="FPH1" s="230"/>
      <c r="FPI1" s="230"/>
      <c r="FPJ1" s="230"/>
      <c r="FPK1" s="230"/>
      <c r="FPL1" s="230"/>
      <c r="FPM1" s="230"/>
      <c r="FPN1" s="230"/>
      <c r="FPO1" s="230"/>
      <c r="FPP1" s="230"/>
      <c r="FPQ1" s="230"/>
      <c r="FPR1" s="230"/>
      <c r="FPS1" s="230"/>
      <c r="FPT1" s="230"/>
      <c r="FPU1" s="230"/>
      <c r="FPV1" s="230"/>
      <c r="FPW1" s="230"/>
      <c r="FPX1" s="230"/>
      <c r="FPY1" s="230"/>
      <c r="FPZ1" s="230"/>
      <c r="FQA1" s="230"/>
      <c r="FQB1" s="230"/>
      <c r="FQC1" s="230"/>
      <c r="FQD1" s="230"/>
      <c r="FQE1" s="230"/>
      <c r="FQF1" s="230"/>
      <c r="FQG1" s="230"/>
      <c r="FQH1" s="230"/>
      <c r="FQI1" s="230"/>
      <c r="FQJ1" s="230"/>
      <c r="FQK1" s="230"/>
      <c r="FQL1" s="230"/>
      <c r="FQM1" s="230"/>
      <c r="FQN1" s="230"/>
      <c r="FQO1" s="230"/>
      <c r="FQP1" s="230"/>
      <c r="FQQ1" s="230"/>
      <c r="FQR1" s="230"/>
      <c r="FQS1" s="230"/>
      <c r="FQT1" s="230"/>
      <c r="FQU1" s="230"/>
      <c r="FQV1" s="230"/>
      <c r="FQW1" s="230"/>
      <c r="FQX1" s="230"/>
      <c r="FQY1" s="230"/>
      <c r="FQZ1" s="230"/>
      <c r="FRA1" s="230"/>
      <c r="FRB1" s="230"/>
      <c r="FRC1" s="230"/>
      <c r="FRD1" s="230"/>
      <c r="FRE1" s="230"/>
      <c r="FRF1" s="230"/>
      <c r="FRG1" s="230"/>
      <c r="FRH1" s="230"/>
      <c r="FRI1" s="230"/>
      <c r="FRJ1" s="230"/>
      <c r="FRK1" s="230"/>
      <c r="FRL1" s="230"/>
      <c r="FRM1" s="230"/>
      <c r="FRN1" s="230"/>
      <c r="FRO1" s="230"/>
      <c r="FRP1" s="230"/>
      <c r="FRQ1" s="230"/>
      <c r="FRR1" s="230"/>
      <c r="FRS1" s="230"/>
      <c r="FRT1" s="230"/>
      <c r="FRU1" s="230"/>
      <c r="FRV1" s="230"/>
      <c r="FRW1" s="230"/>
      <c r="FRX1" s="230"/>
      <c r="FRY1" s="230"/>
      <c r="FRZ1" s="230"/>
      <c r="FSA1" s="230"/>
      <c r="FSB1" s="230"/>
      <c r="FSC1" s="230"/>
      <c r="FSD1" s="230"/>
      <c r="FSE1" s="230"/>
      <c r="FSF1" s="230"/>
      <c r="FSG1" s="230"/>
      <c r="FSH1" s="230"/>
      <c r="FSI1" s="230"/>
      <c r="FSJ1" s="230"/>
      <c r="FSK1" s="230"/>
      <c r="FSL1" s="230"/>
      <c r="FSM1" s="230"/>
      <c r="FSN1" s="230"/>
      <c r="FSO1" s="230"/>
      <c r="FSP1" s="230"/>
      <c r="FSQ1" s="230"/>
      <c r="FSR1" s="230"/>
      <c r="FSS1" s="230"/>
      <c r="FST1" s="230"/>
      <c r="FSU1" s="230"/>
      <c r="FSV1" s="230"/>
      <c r="FSW1" s="230"/>
      <c r="FSX1" s="230"/>
      <c r="FSY1" s="230"/>
      <c r="FSZ1" s="230"/>
      <c r="FTA1" s="230"/>
      <c r="FTB1" s="230"/>
      <c r="FTC1" s="230"/>
      <c r="FTD1" s="230"/>
      <c r="FTE1" s="230"/>
      <c r="FTF1" s="230"/>
      <c r="FTG1" s="230"/>
      <c r="FTH1" s="230"/>
      <c r="FTI1" s="230"/>
      <c r="FTJ1" s="230"/>
      <c r="FTK1" s="230"/>
      <c r="FTL1" s="230"/>
      <c r="FTM1" s="230"/>
      <c r="FTN1" s="230"/>
      <c r="FTO1" s="230"/>
      <c r="FTP1" s="230"/>
      <c r="FTQ1" s="230"/>
      <c r="FTR1" s="230"/>
      <c r="FTS1" s="230"/>
      <c r="FTT1" s="230"/>
      <c r="FTU1" s="230"/>
      <c r="FTV1" s="230"/>
      <c r="FTW1" s="230"/>
      <c r="FTX1" s="230"/>
      <c r="FTY1" s="230"/>
      <c r="FTZ1" s="230"/>
      <c r="FUA1" s="230"/>
      <c r="FUB1" s="230"/>
      <c r="FUC1" s="230"/>
      <c r="FUD1" s="230"/>
      <c r="FUE1" s="230"/>
      <c r="FUF1" s="230"/>
      <c r="FUG1" s="230"/>
      <c r="FUH1" s="230"/>
      <c r="FUI1" s="230"/>
      <c r="FUJ1" s="230"/>
      <c r="FUK1" s="230"/>
      <c r="FUL1" s="230"/>
      <c r="FUM1" s="230"/>
      <c r="FUN1" s="230"/>
      <c r="FUO1" s="230"/>
      <c r="FUP1" s="230"/>
      <c r="FUQ1" s="230"/>
      <c r="FUR1" s="230"/>
      <c r="FUS1" s="230"/>
      <c r="FUT1" s="230"/>
      <c r="FUU1" s="230"/>
      <c r="FUV1" s="230"/>
      <c r="FUW1" s="230"/>
      <c r="FUX1" s="230"/>
      <c r="FUY1" s="230"/>
      <c r="FUZ1" s="230"/>
      <c r="FVA1" s="230"/>
      <c r="FVB1" s="230"/>
      <c r="FVC1" s="230"/>
      <c r="FVD1" s="230"/>
      <c r="FVE1" s="230"/>
      <c r="FVF1" s="230"/>
      <c r="FVG1" s="230"/>
      <c r="FVH1" s="230"/>
      <c r="FVI1" s="230"/>
      <c r="FVJ1" s="230"/>
      <c r="FVK1" s="230"/>
      <c r="FVL1" s="230"/>
      <c r="FVM1" s="230"/>
      <c r="FVN1" s="230"/>
      <c r="FVO1" s="230"/>
      <c r="FVP1" s="230"/>
      <c r="FVQ1" s="230"/>
      <c r="FVR1" s="230"/>
      <c r="FVS1" s="230"/>
      <c r="FVT1" s="230"/>
      <c r="FVU1" s="230"/>
      <c r="FVV1" s="230"/>
      <c r="FVW1" s="230"/>
      <c r="FVX1" s="230"/>
      <c r="FVY1" s="230"/>
      <c r="FVZ1" s="230"/>
      <c r="FWA1" s="230"/>
      <c r="FWB1" s="230"/>
      <c r="FWC1" s="230"/>
      <c r="FWD1" s="230"/>
      <c r="FWE1" s="230"/>
      <c r="FWF1" s="230"/>
      <c r="FWG1" s="230"/>
      <c r="FWH1" s="230"/>
      <c r="FWI1" s="230"/>
      <c r="FWJ1" s="230"/>
      <c r="FWK1" s="230"/>
      <c r="FWL1" s="230"/>
      <c r="FWM1" s="230"/>
      <c r="FWN1" s="230"/>
      <c r="FWO1" s="230"/>
      <c r="FWP1" s="230"/>
      <c r="FWQ1" s="230"/>
      <c r="FWR1" s="230"/>
      <c r="FWS1" s="230"/>
      <c r="FWT1" s="230"/>
      <c r="FWU1" s="230"/>
      <c r="FWV1" s="230"/>
      <c r="FWW1" s="230"/>
      <c r="FWX1" s="230"/>
      <c r="FWY1" s="230"/>
      <c r="FWZ1" s="230"/>
      <c r="FXA1" s="230"/>
      <c r="FXB1" s="230"/>
      <c r="FXC1" s="230"/>
      <c r="FXD1" s="230"/>
      <c r="FXE1" s="230"/>
      <c r="FXF1" s="230"/>
      <c r="FXG1" s="230"/>
      <c r="FXH1" s="230"/>
      <c r="FXI1" s="230"/>
      <c r="FXJ1" s="230"/>
      <c r="FXK1" s="230"/>
      <c r="FXL1" s="230"/>
      <c r="FXM1" s="230"/>
      <c r="FXN1" s="230"/>
      <c r="FXO1" s="230"/>
      <c r="FXP1" s="230"/>
      <c r="FXQ1" s="230"/>
      <c r="FXR1" s="230"/>
      <c r="FXS1" s="230"/>
      <c r="FXT1" s="230"/>
      <c r="FXU1" s="230"/>
      <c r="FXV1" s="230"/>
      <c r="FXW1" s="230"/>
      <c r="FXX1" s="230"/>
      <c r="FXY1" s="230"/>
      <c r="FXZ1" s="230"/>
      <c r="FYA1" s="230"/>
      <c r="FYB1" s="230"/>
      <c r="FYC1" s="230"/>
      <c r="FYD1" s="230"/>
      <c r="FYE1" s="230"/>
      <c r="FYF1" s="230"/>
      <c r="FYG1" s="230"/>
      <c r="FYH1" s="230"/>
      <c r="FYI1" s="230"/>
      <c r="FYJ1" s="230"/>
      <c r="FYK1" s="230"/>
      <c r="FYL1" s="230"/>
      <c r="FYM1" s="230"/>
      <c r="FYN1" s="230"/>
      <c r="FYO1" s="230"/>
      <c r="FYP1" s="230"/>
      <c r="FYQ1" s="230"/>
      <c r="FYR1" s="230"/>
      <c r="FYS1" s="230"/>
      <c r="FYT1" s="230"/>
      <c r="FYU1" s="230"/>
      <c r="FYV1" s="230"/>
      <c r="FYW1" s="230"/>
      <c r="FYX1" s="230"/>
      <c r="FYY1" s="230"/>
      <c r="FYZ1" s="230"/>
      <c r="FZA1" s="230"/>
      <c r="FZB1" s="230"/>
      <c r="FZC1" s="230"/>
      <c r="FZD1" s="230"/>
      <c r="FZE1" s="230"/>
      <c r="FZF1" s="230"/>
      <c r="FZG1" s="230"/>
      <c r="FZH1" s="230"/>
      <c r="FZI1" s="230"/>
      <c r="FZJ1" s="230"/>
      <c r="FZK1" s="230"/>
      <c r="FZL1" s="230"/>
      <c r="FZM1" s="230"/>
      <c r="FZN1" s="230"/>
      <c r="FZO1" s="230"/>
      <c r="FZP1" s="230"/>
      <c r="FZQ1" s="230"/>
      <c r="FZR1" s="230"/>
      <c r="FZS1" s="230"/>
      <c r="FZT1" s="230"/>
      <c r="FZU1" s="230"/>
      <c r="FZV1" s="230"/>
      <c r="FZW1" s="230"/>
      <c r="FZX1" s="230"/>
      <c r="FZY1" s="230"/>
      <c r="FZZ1" s="230"/>
      <c r="GAA1" s="230"/>
      <c r="GAB1" s="230"/>
      <c r="GAC1" s="230"/>
      <c r="GAD1" s="230"/>
      <c r="GAE1" s="230"/>
      <c r="GAF1" s="230"/>
      <c r="GAG1" s="230"/>
      <c r="GAH1" s="230"/>
      <c r="GAI1" s="230"/>
      <c r="GAJ1" s="230"/>
      <c r="GAK1" s="230"/>
      <c r="GAL1" s="230"/>
      <c r="GAM1" s="230"/>
      <c r="GAN1" s="230"/>
      <c r="GAO1" s="230"/>
      <c r="GAP1" s="230"/>
      <c r="GAQ1" s="230"/>
      <c r="GAR1" s="230"/>
      <c r="GAS1" s="230"/>
      <c r="GAT1" s="230"/>
      <c r="GAU1" s="230"/>
      <c r="GAV1" s="230"/>
      <c r="GAW1" s="230"/>
      <c r="GAX1" s="230"/>
      <c r="GAY1" s="230"/>
      <c r="GAZ1" s="230"/>
      <c r="GBA1" s="230"/>
      <c r="GBB1" s="230"/>
      <c r="GBC1" s="230"/>
      <c r="GBD1" s="230"/>
      <c r="GBE1" s="230"/>
      <c r="GBF1" s="230"/>
      <c r="GBG1" s="230"/>
      <c r="GBH1" s="230"/>
      <c r="GBI1" s="230"/>
      <c r="GBJ1" s="230"/>
      <c r="GBK1" s="230"/>
      <c r="GBL1" s="230"/>
      <c r="GBM1" s="230"/>
      <c r="GBN1" s="230"/>
      <c r="GBO1" s="230"/>
      <c r="GBP1" s="230"/>
      <c r="GBQ1" s="230"/>
      <c r="GBR1" s="230"/>
      <c r="GBS1" s="230"/>
      <c r="GBT1" s="230"/>
      <c r="GBU1" s="230"/>
      <c r="GBV1" s="230"/>
      <c r="GBW1" s="230"/>
      <c r="GBX1" s="230"/>
      <c r="GBY1" s="230"/>
      <c r="GBZ1" s="230"/>
      <c r="GCA1" s="230"/>
      <c r="GCB1" s="230"/>
      <c r="GCC1" s="230"/>
      <c r="GCD1" s="230"/>
      <c r="GCE1" s="230"/>
      <c r="GCF1" s="230"/>
      <c r="GCG1" s="230"/>
      <c r="GCH1" s="230"/>
      <c r="GCI1" s="230"/>
      <c r="GCJ1" s="230"/>
      <c r="GCK1" s="230"/>
      <c r="GCL1" s="230"/>
      <c r="GCM1" s="230"/>
      <c r="GCN1" s="230"/>
      <c r="GCO1" s="230"/>
      <c r="GCP1" s="230"/>
      <c r="GCQ1" s="230"/>
      <c r="GCR1" s="230"/>
      <c r="GCS1" s="230"/>
      <c r="GCT1" s="230"/>
      <c r="GCU1" s="230"/>
      <c r="GCV1" s="230"/>
      <c r="GCW1" s="230"/>
      <c r="GCX1" s="230"/>
      <c r="GCY1" s="230"/>
      <c r="GCZ1" s="230"/>
      <c r="GDA1" s="230"/>
      <c r="GDB1" s="230"/>
      <c r="GDC1" s="230"/>
      <c r="GDD1" s="230"/>
      <c r="GDE1" s="230"/>
      <c r="GDF1" s="230"/>
      <c r="GDG1" s="230"/>
      <c r="GDH1" s="230"/>
      <c r="GDI1" s="230"/>
      <c r="GDJ1" s="230"/>
      <c r="GDK1" s="230"/>
      <c r="GDL1" s="230"/>
      <c r="GDM1" s="230"/>
      <c r="GDN1" s="230"/>
      <c r="GDO1" s="230"/>
      <c r="GDP1" s="230"/>
      <c r="GDQ1" s="230"/>
      <c r="GDR1" s="230"/>
      <c r="GDS1" s="230"/>
      <c r="GDT1" s="230"/>
      <c r="GDU1" s="230"/>
      <c r="GDV1" s="230"/>
      <c r="GDW1" s="230"/>
      <c r="GDX1" s="230"/>
      <c r="GDY1" s="230"/>
      <c r="GDZ1" s="230"/>
      <c r="GEA1" s="230"/>
      <c r="GEB1" s="230"/>
      <c r="GEC1" s="230"/>
      <c r="GED1" s="230"/>
      <c r="GEE1" s="230"/>
      <c r="GEF1" s="230"/>
      <c r="GEG1" s="230"/>
      <c r="GEH1" s="230"/>
      <c r="GEI1" s="230"/>
      <c r="GEJ1" s="230"/>
      <c r="GEK1" s="230"/>
      <c r="GEL1" s="230"/>
      <c r="GEM1" s="230"/>
      <c r="GEN1" s="230"/>
      <c r="GEO1" s="230"/>
      <c r="GEP1" s="230"/>
      <c r="GEQ1" s="230"/>
      <c r="GER1" s="230"/>
      <c r="GES1" s="230"/>
      <c r="GET1" s="230"/>
      <c r="GEU1" s="230"/>
      <c r="GEV1" s="230"/>
      <c r="GEW1" s="230"/>
      <c r="GEX1" s="230"/>
      <c r="GEY1" s="230"/>
      <c r="GEZ1" s="230"/>
      <c r="GFA1" s="230"/>
      <c r="GFB1" s="230"/>
      <c r="GFC1" s="230"/>
      <c r="GFD1" s="230"/>
      <c r="GFE1" s="230"/>
      <c r="GFF1" s="230"/>
      <c r="GFG1" s="230"/>
      <c r="GFH1" s="230"/>
      <c r="GFI1" s="230"/>
      <c r="GFJ1" s="230"/>
      <c r="GFK1" s="230"/>
      <c r="GFL1" s="230"/>
      <c r="GFM1" s="230"/>
      <c r="GFN1" s="230"/>
      <c r="GFO1" s="230"/>
      <c r="GFP1" s="230"/>
      <c r="GFQ1" s="230"/>
      <c r="GFR1" s="230"/>
      <c r="GFS1" s="230"/>
      <c r="GFT1" s="230"/>
      <c r="GFU1" s="230"/>
      <c r="GFV1" s="230"/>
      <c r="GFW1" s="230"/>
      <c r="GFX1" s="230"/>
      <c r="GFY1" s="230"/>
      <c r="GFZ1" s="230"/>
      <c r="GGA1" s="230"/>
      <c r="GGB1" s="230"/>
      <c r="GGC1" s="230"/>
      <c r="GGD1" s="230"/>
      <c r="GGE1" s="230"/>
      <c r="GGF1" s="230"/>
      <c r="GGG1" s="230"/>
      <c r="GGH1" s="230"/>
      <c r="GGI1" s="230"/>
      <c r="GGJ1" s="230"/>
      <c r="GGK1" s="230"/>
      <c r="GGL1" s="230"/>
      <c r="GGM1" s="230"/>
      <c r="GGN1" s="230"/>
      <c r="GGO1" s="230"/>
      <c r="GGP1" s="230"/>
      <c r="GGQ1" s="230"/>
      <c r="GGR1" s="230"/>
      <c r="GGS1" s="230"/>
      <c r="GGT1" s="230"/>
      <c r="GGU1" s="230"/>
      <c r="GGV1" s="230"/>
      <c r="GGW1" s="230"/>
      <c r="GGX1" s="230"/>
      <c r="GGY1" s="230"/>
      <c r="GGZ1" s="230"/>
      <c r="GHA1" s="230"/>
      <c r="GHB1" s="230"/>
      <c r="GHC1" s="230"/>
      <c r="GHD1" s="230"/>
      <c r="GHE1" s="230"/>
      <c r="GHF1" s="230"/>
      <c r="GHG1" s="230"/>
      <c r="GHH1" s="230"/>
      <c r="GHI1" s="230"/>
      <c r="GHJ1" s="230"/>
      <c r="GHK1" s="230"/>
      <c r="GHL1" s="230"/>
      <c r="GHM1" s="230"/>
      <c r="GHN1" s="230"/>
      <c r="GHO1" s="230"/>
      <c r="GHP1" s="230"/>
      <c r="GHQ1" s="230"/>
      <c r="GHR1" s="230"/>
      <c r="GHS1" s="230"/>
      <c r="GHT1" s="230"/>
      <c r="GHU1" s="230"/>
      <c r="GHV1" s="230"/>
      <c r="GHW1" s="230"/>
      <c r="GHX1" s="230"/>
      <c r="GHY1" s="230"/>
      <c r="GHZ1" s="230"/>
      <c r="GIA1" s="230"/>
      <c r="GIB1" s="230"/>
      <c r="GIC1" s="230"/>
      <c r="GID1" s="230"/>
      <c r="GIE1" s="230"/>
      <c r="GIF1" s="230"/>
      <c r="GIG1" s="230"/>
      <c r="GIH1" s="230"/>
      <c r="GII1" s="230"/>
      <c r="GIJ1" s="230"/>
      <c r="GIK1" s="230"/>
      <c r="GIL1" s="230"/>
      <c r="GIM1" s="230"/>
      <c r="GIN1" s="230"/>
      <c r="GIO1" s="230"/>
      <c r="GIP1" s="230"/>
      <c r="GIQ1" s="230"/>
      <c r="GIR1" s="230"/>
      <c r="GIS1" s="230"/>
      <c r="GIT1" s="230"/>
      <c r="GIU1" s="230"/>
      <c r="GIV1" s="230"/>
      <c r="GIW1" s="230"/>
      <c r="GIX1" s="230"/>
      <c r="GIY1" s="230"/>
      <c r="GIZ1" s="230"/>
      <c r="GJA1" s="230"/>
      <c r="GJB1" s="230"/>
      <c r="GJC1" s="230"/>
      <c r="GJD1" s="230"/>
      <c r="GJE1" s="230"/>
      <c r="GJF1" s="230"/>
      <c r="GJG1" s="230"/>
      <c r="GJH1" s="230"/>
      <c r="GJI1" s="230"/>
      <c r="GJJ1" s="230"/>
      <c r="GJK1" s="230"/>
      <c r="GJL1" s="230"/>
      <c r="GJM1" s="230"/>
      <c r="GJN1" s="230"/>
      <c r="GJO1" s="230"/>
      <c r="GJP1" s="230"/>
      <c r="GJQ1" s="230"/>
      <c r="GJR1" s="230"/>
      <c r="GJS1" s="230"/>
      <c r="GJT1" s="230"/>
      <c r="GJU1" s="230"/>
      <c r="GJV1" s="230"/>
      <c r="GJW1" s="230"/>
      <c r="GJX1" s="230"/>
      <c r="GJY1" s="230"/>
      <c r="GJZ1" s="230"/>
      <c r="GKA1" s="230"/>
      <c r="GKB1" s="230"/>
      <c r="GKC1" s="230"/>
      <c r="GKD1" s="230"/>
      <c r="GKE1" s="230"/>
      <c r="GKF1" s="230"/>
      <c r="GKG1" s="230"/>
      <c r="GKH1" s="230"/>
      <c r="GKI1" s="230"/>
      <c r="GKJ1" s="230"/>
      <c r="GKK1" s="230"/>
      <c r="GKL1" s="230"/>
      <c r="GKM1" s="230"/>
      <c r="GKN1" s="230"/>
      <c r="GKO1" s="230"/>
      <c r="GKP1" s="230"/>
      <c r="GKQ1" s="230"/>
      <c r="GKR1" s="230"/>
      <c r="GKS1" s="230"/>
      <c r="GKT1" s="230"/>
      <c r="GKU1" s="230"/>
      <c r="GKV1" s="230"/>
      <c r="GKW1" s="230"/>
      <c r="GKX1" s="230"/>
      <c r="GKY1" s="230"/>
      <c r="GKZ1" s="230"/>
      <c r="GLA1" s="230"/>
      <c r="GLB1" s="230"/>
      <c r="GLC1" s="230"/>
      <c r="GLD1" s="230"/>
      <c r="GLE1" s="230"/>
      <c r="GLF1" s="230"/>
      <c r="GLG1" s="230"/>
      <c r="GLH1" s="230"/>
      <c r="GLI1" s="230"/>
      <c r="GLJ1" s="230"/>
      <c r="GLK1" s="230"/>
      <c r="GLL1" s="230"/>
      <c r="GLM1" s="230"/>
      <c r="GLN1" s="230"/>
      <c r="GLO1" s="230"/>
      <c r="GLP1" s="230"/>
      <c r="GLQ1" s="230"/>
      <c r="GLR1" s="230"/>
      <c r="GLS1" s="230"/>
      <c r="GLT1" s="230"/>
      <c r="GLU1" s="230"/>
      <c r="GLV1" s="230"/>
      <c r="GLW1" s="230"/>
      <c r="GLX1" s="230"/>
      <c r="GLY1" s="230"/>
      <c r="GLZ1" s="230"/>
      <c r="GMA1" s="230"/>
      <c r="GMB1" s="230"/>
      <c r="GMC1" s="230"/>
      <c r="GMD1" s="230"/>
      <c r="GME1" s="230"/>
      <c r="GMF1" s="230"/>
      <c r="GMG1" s="230"/>
      <c r="GMH1" s="230"/>
      <c r="GMI1" s="230"/>
      <c r="GMJ1" s="230"/>
      <c r="GMK1" s="230"/>
      <c r="GML1" s="230"/>
      <c r="GMM1" s="230"/>
      <c r="GMN1" s="230"/>
      <c r="GMO1" s="230"/>
      <c r="GMP1" s="230"/>
      <c r="GMQ1" s="230"/>
      <c r="GMR1" s="230"/>
      <c r="GMS1" s="230"/>
      <c r="GMT1" s="230"/>
      <c r="GMU1" s="230"/>
      <c r="GMV1" s="230"/>
      <c r="GMW1" s="230"/>
      <c r="GMX1" s="230"/>
      <c r="GMY1" s="230"/>
      <c r="GMZ1" s="230"/>
      <c r="GNA1" s="230"/>
      <c r="GNB1" s="230"/>
      <c r="GNC1" s="230"/>
      <c r="GND1" s="230"/>
      <c r="GNE1" s="230"/>
      <c r="GNF1" s="230"/>
      <c r="GNG1" s="230"/>
      <c r="GNH1" s="230"/>
      <c r="GNI1" s="230"/>
      <c r="GNJ1" s="230"/>
      <c r="GNK1" s="230"/>
      <c r="GNL1" s="230"/>
      <c r="GNM1" s="230"/>
      <c r="GNN1" s="230"/>
      <c r="GNO1" s="230"/>
      <c r="GNP1" s="230"/>
      <c r="GNQ1" s="230"/>
      <c r="GNR1" s="230"/>
      <c r="GNS1" s="230"/>
      <c r="GNT1" s="230"/>
      <c r="GNU1" s="230"/>
      <c r="GNV1" s="230"/>
      <c r="GNW1" s="230"/>
      <c r="GNX1" s="230"/>
      <c r="GNY1" s="230"/>
      <c r="GNZ1" s="230"/>
      <c r="GOA1" s="230"/>
      <c r="GOB1" s="230"/>
      <c r="GOC1" s="230"/>
      <c r="GOD1" s="230"/>
      <c r="GOE1" s="230"/>
      <c r="GOF1" s="230"/>
      <c r="GOG1" s="230"/>
      <c r="GOH1" s="230"/>
      <c r="GOI1" s="230"/>
      <c r="GOJ1" s="230"/>
      <c r="GOK1" s="230"/>
      <c r="GOL1" s="230"/>
      <c r="GOM1" s="230"/>
      <c r="GON1" s="230"/>
      <c r="GOO1" s="230"/>
      <c r="GOP1" s="230"/>
      <c r="GOQ1" s="230"/>
      <c r="GOR1" s="230"/>
      <c r="GOS1" s="230"/>
      <c r="GOT1" s="230"/>
      <c r="GOU1" s="230"/>
      <c r="GOV1" s="230"/>
      <c r="GOW1" s="230"/>
      <c r="GOX1" s="230"/>
      <c r="GOY1" s="230"/>
      <c r="GOZ1" s="230"/>
      <c r="GPA1" s="230"/>
      <c r="GPB1" s="230"/>
      <c r="GPC1" s="230"/>
      <c r="GPD1" s="230"/>
      <c r="GPE1" s="230"/>
      <c r="GPF1" s="230"/>
      <c r="GPG1" s="230"/>
      <c r="GPH1" s="230"/>
      <c r="GPI1" s="230"/>
      <c r="GPJ1" s="230"/>
      <c r="GPK1" s="230"/>
      <c r="GPL1" s="230"/>
      <c r="GPM1" s="230"/>
      <c r="GPN1" s="230"/>
      <c r="GPO1" s="230"/>
      <c r="GPP1" s="230"/>
      <c r="GPQ1" s="230"/>
      <c r="GPR1" s="230"/>
      <c r="GPS1" s="230"/>
      <c r="GPT1" s="230"/>
      <c r="GPU1" s="230"/>
      <c r="GPV1" s="230"/>
      <c r="GPW1" s="230"/>
      <c r="GPX1" s="230"/>
      <c r="GPY1" s="230"/>
      <c r="GPZ1" s="230"/>
      <c r="GQA1" s="230"/>
      <c r="GQB1" s="230"/>
      <c r="GQC1" s="230"/>
      <c r="GQD1" s="230"/>
      <c r="GQE1" s="230"/>
      <c r="GQF1" s="230"/>
      <c r="GQG1" s="230"/>
      <c r="GQH1" s="230"/>
      <c r="GQI1" s="230"/>
      <c r="GQJ1" s="230"/>
      <c r="GQK1" s="230"/>
      <c r="GQL1" s="230"/>
      <c r="GQM1" s="230"/>
      <c r="GQN1" s="230"/>
      <c r="GQO1" s="230"/>
      <c r="GQP1" s="230"/>
      <c r="GQQ1" s="230"/>
      <c r="GQR1" s="230"/>
      <c r="GQS1" s="230"/>
      <c r="GQT1" s="230"/>
      <c r="GQU1" s="230"/>
      <c r="GQV1" s="230"/>
      <c r="GQW1" s="230"/>
      <c r="GQX1" s="230"/>
      <c r="GQY1" s="230"/>
      <c r="GQZ1" s="230"/>
      <c r="GRA1" s="230"/>
      <c r="GRB1" s="230"/>
      <c r="GRC1" s="230"/>
      <c r="GRD1" s="230"/>
      <c r="GRE1" s="230"/>
      <c r="GRF1" s="230"/>
      <c r="GRG1" s="230"/>
      <c r="GRH1" s="230"/>
      <c r="GRI1" s="230"/>
      <c r="GRJ1" s="230"/>
      <c r="GRK1" s="230"/>
      <c r="GRL1" s="230"/>
      <c r="GRM1" s="230"/>
      <c r="GRN1" s="230"/>
      <c r="GRO1" s="230"/>
      <c r="GRP1" s="230"/>
      <c r="GRQ1" s="230"/>
      <c r="GRR1" s="230"/>
      <c r="GRS1" s="230"/>
      <c r="GRT1" s="230"/>
      <c r="GRU1" s="230"/>
      <c r="GRV1" s="230"/>
      <c r="GRW1" s="230"/>
      <c r="GRX1" s="230"/>
      <c r="GRY1" s="230"/>
      <c r="GRZ1" s="230"/>
      <c r="GSA1" s="230"/>
      <c r="GSB1" s="230"/>
      <c r="GSC1" s="230"/>
      <c r="GSD1" s="230"/>
      <c r="GSE1" s="230"/>
      <c r="GSF1" s="230"/>
      <c r="GSG1" s="230"/>
      <c r="GSH1" s="230"/>
      <c r="GSI1" s="230"/>
      <c r="GSJ1" s="230"/>
      <c r="GSK1" s="230"/>
      <c r="GSL1" s="230"/>
      <c r="GSM1" s="230"/>
      <c r="GSN1" s="230"/>
      <c r="GSO1" s="230"/>
      <c r="GSP1" s="230"/>
      <c r="GSQ1" s="230"/>
      <c r="GSR1" s="230"/>
      <c r="GSS1" s="230"/>
      <c r="GST1" s="230"/>
      <c r="GSU1" s="230"/>
      <c r="GSV1" s="230"/>
      <c r="GSW1" s="230"/>
      <c r="GSX1" s="230"/>
      <c r="GSY1" s="230"/>
      <c r="GSZ1" s="230"/>
      <c r="GTA1" s="230"/>
      <c r="GTB1" s="230"/>
      <c r="GTC1" s="230"/>
      <c r="GTD1" s="230"/>
      <c r="GTE1" s="230"/>
      <c r="GTF1" s="230"/>
      <c r="GTG1" s="230"/>
      <c r="GTH1" s="230"/>
      <c r="GTI1" s="230"/>
      <c r="GTJ1" s="230"/>
      <c r="GTK1" s="230"/>
      <c r="GTL1" s="230"/>
      <c r="GTM1" s="230"/>
      <c r="GTN1" s="230"/>
      <c r="GTO1" s="230"/>
      <c r="GTP1" s="230"/>
      <c r="GTQ1" s="230"/>
      <c r="GTR1" s="230"/>
      <c r="GTS1" s="230"/>
      <c r="GTT1" s="230"/>
      <c r="GTU1" s="230"/>
      <c r="GTV1" s="230"/>
      <c r="GTW1" s="230"/>
      <c r="GTX1" s="230"/>
      <c r="GTY1" s="230"/>
      <c r="GTZ1" s="230"/>
      <c r="GUA1" s="230"/>
      <c r="GUB1" s="230"/>
      <c r="GUC1" s="230"/>
      <c r="GUD1" s="230"/>
      <c r="GUE1" s="230"/>
      <c r="GUF1" s="230"/>
      <c r="GUG1" s="230"/>
      <c r="GUH1" s="230"/>
      <c r="GUI1" s="230"/>
      <c r="GUJ1" s="230"/>
      <c r="GUK1" s="230"/>
      <c r="GUL1" s="230"/>
      <c r="GUM1" s="230"/>
      <c r="GUN1" s="230"/>
      <c r="GUO1" s="230"/>
      <c r="GUP1" s="230"/>
      <c r="GUQ1" s="230"/>
      <c r="GUR1" s="230"/>
      <c r="GUS1" s="230"/>
      <c r="GUT1" s="230"/>
      <c r="GUU1" s="230"/>
      <c r="GUV1" s="230"/>
      <c r="GUW1" s="230"/>
      <c r="GUX1" s="230"/>
      <c r="GUY1" s="230"/>
      <c r="GUZ1" s="230"/>
      <c r="GVA1" s="230"/>
      <c r="GVB1" s="230"/>
      <c r="GVC1" s="230"/>
      <c r="GVD1" s="230"/>
      <c r="GVE1" s="230"/>
      <c r="GVF1" s="230"/>
      <c r="GVG1" s="230"/>
      <c r="GVH1" s="230"/>
      <c r="GVI1" s="230"/>
      <c r="GVJ1" s="230"/>
      <c r="GVK1" s="230"/>
      <c r="GVL1" s="230"/>
      <c r="GVM1" s="230"/>
      <c r="GVN1" s="230"/>
      <c r="GVO1" s="230"/>
      <c r="GVP1" s="230"/>
      <c r="GVQ1" s="230"/>
      <c r="GVR1" s="230"/>
      <c r="GVS1" s="230"/>
      <c r="GVT1" s="230"/>
      <c r="GVU1" s="230"/>
      <c r="GVV1" s="230"/>
      <c r="GVW1" s="230"/>
      <c r="GVX1" s="230"/>
      <c r="GVY1" s="230"/>
      <c r="GVZ1" s="230"/>
      <c r="GWA1" s="230"/>
      <c r="GWB1" s="230"/>
      <c r="GWC1" s="230"/>
      <c r="GWD1" s="230"/>
      <c r="GWE1" s="230"/>
      <c r="GWF1" s="230"/>
      <c r="GWG1" s="230"/>
      <c r="GWH1" s="230"/>
      <c r="GWI1" s="230"/>
      <c r="GWJ1" s="230"/>
      <c r="GWK1" s="230"/>
      <c r="GWL1" s="230"/>
      <c r="GWM1" s="230"/>
      <c r="GWN1" s="230"/>
      <c r="GWO1" s="230"/>
      <c r="GWP1" s="230"/>
      <c r="GWQ1" s="230"/>
      <c r="GWR1" s="230"/>
      <c r="GWS1" s="230"/>
      <c r="GWT1" s="230"/>
      <c r="GWU1" s="230"/>
      <c r="GWV1" s="230"/>
      <c r="GWW1" s="230"/>
      <c r="GWX1" s="230"/>
      <c r="GWY1" s="230"/>
      <c r="GWZ1" s="230"/>
      <c r="GXA1" s="230"/>
      <c r="GXB1" s="230"/>
      <c r="GXC1" s="230"/>
      <c r="GXD1" s="230"/>
      <c r="GXE1" s="230"/>
      <c r="GXF1" s="230"/>
      <c r="GXG1" s="230"/>
      <c r="GXH1" s="230"/>
      <c r="GXI1" s="230"/>
      <c r="GXJ1" s="230"/>
      <c r="GXK1" s="230"/>
      <c r="GXL1" s="230"/>
      <c r="GXM1" s="230"/>
      <c r="GXN1" s="230"/>
      <c r="GXO1" s="230"/>
      <c r="GXP1" s="230"/>
      <c r="GXQ1" s="230"/>
      <c r="GXR1" s="230"/>
      <c r="GXS1" s="230"/>
      <c r="GXT1" s="230"/>
      <c r="GXU1" s="230"/>
      <c r="GXV1" s="230"/>
      <c r="GXW1" s="230"/>
      <c r="GXX1" s="230"/>
      <c r="GXY1" s="230"/>
      <c r="GXZ1" s="230"/>
      <c r="GYA1" s="230"/>
      <c r="GYB1" s="230"/>
      <c r="GYC1" s="230"/>
      <c r="GYD1" s="230"/>
      <c r="GYE1" s="230"/>
      <c r="GYF1" s="230"/>
      <c r="GYG1" s="230"/>
      <c r="GYH1" s="230"/>
      <c r="GYI1" s="230"/>
      <c r="GYJ1" s="230"/>
      <c r="GYK1" s="230"/>
      <c r="GYL1" s="230"/>
      <c r="GYM1" s="230"/>
      <c r="GYN1" s="230"/>
      <c r="GYO1" s="230"/>
      <c r="GYP1" s="230"/>
      <c r="GYQ1" s="230"/>
      <c r="GYR1" s="230"/>
      <c r="GYS1" s="230"/>
      <c r="GYT1" s="230"/>
      <c r="GYU1" s="230"/>
      <c r="GYV1" s="230"/>
      <c r="GYW1" s="230"/>
      <c r="GYX1" s="230"/>
      <c r="GYY1" s="230"/>
      <c r="GYZ1" s="230"/>
      <c r="GZA1" s="230"/>
      <c r="GZB1" s="230"/>
      <c r="GZC1" s="230"/>
      <c r="GZD1" s="230"/>
      <c r="GZE1" s="230"/>
      <c r="GZF1" s="230"/>
      <c r="GZG1" s="230"/>
      <c r="GZH1" s="230"/>
      <c r="GZI1" s="230"/>
      <c r="GZJ1" s="230"/>
      <c r="GZK1" s="230"/>
      <c r="GZL1" s="230"/>
      <c r="GZM1" s="230"/>
      <c r="GZN1" s="230"/>
      <c r="GZO1" s="230"/>
      <c r="GZP1" s="230"/>
      <c r="GZQ1" s="230"/>
      <c r="GZR1" s="230"/>
      <c r="GZS1" s="230"/>
      <c r="GZT1" s="230"/>
      <c r="GZU1" s="230"/>
      <c r="GZV1" s="230"/>
      <c r="GZW1" s="230"/>
      <c r="GZX1" s="230"/>
      <c r="GZY1" s="230"/>
      <c r="GZZ1" s="230"/>
      <c r="HAA1" s="230"/>
      <c r="HAB1" s="230"/>
      <c r="HAC1" s="230"/>
      <c r="HAD1" s="230"/>
      <c r="HAE1" s="230"/>
      <c r="HAF1" s="230"/>
      <c r="HAG1" s="230"/>
      <c r="HAH1" s="230"/>
      <c r="HAI1" s="230"/>
      <c r="HAJ1" s="230"/>
      <c r="HAK1" s="230"/>
      <c r="HAL1" s="230"/>
      <c r="HAM1" s="230"/>
      <c r="HAN1" s="230"/>
      <c r="HAO1" s="230"/>
      <c r="HAP1" s="230"/>
      <c r="HAQ1" s="230"/>
      <c r="HAR1" s="230"/>
      <c r="HAS1" s="230"/>
      <c r="HAT1" s="230"/>
      <c r="HAU1" s="230"/>
      <c r="HAV1" s="230"/>
      <c r="HAW1" s="230"/>
      <c r="HAX1" s="230"/>
      <c r="HAY1" s="230"/>
      <c r="HAZ1" s="230"/>
      <c r="HBA1" s="230"/>
      <c r="HBB1" s="230"/>
      <c r="HBC1" s="230"/>
      <c r="HBD1" s="230"/>
      <c r="HBE1" s="230"/>
      <c r="HBF1" s="230"/>
      <c r="HBG1" s="230"/>
      <c r="HBH1" s="230"/>
      <c r="HBI1" s="230"/>
      <c r="HBJ1" s="230"/>
      <c r="HBK1" s="230"/>
      <c r="HBL1" s="230"/>
      <c r="HBM1" s="230"/>
      <c r="HBN1" s="230"/>
      <c r="HBO1" s="230"/>
      <c r="HBP1" s="230"/>
      <c r="HBQ1" s="230"/>
      <c r="HBR1" s="230"/>
      <c r="HBS1" s="230"/>
      <c r="HBT1" s="230"/>
      <c r="HBU1" s="230"/>
      <c r="HBV1" s="230"/>
      <c r="HBW1" s="230"/>
      <c r="HBX1" s="230"/>
      <c r="HBY1" s="230"/>
      <c r="HBZ1" s="230"/>
      <c r="HCA1" s="230"/>
      <c r="HCB1" s="230"/>
      <c r="HCC1" s="230"/>
      <c r="HCD1" s="230"/>
      <c r="HCE1" s="230"/>
      <c r="HCF1" s="230"/>
      <c r="HCG1" s="230"/>
      <c r="HCH1" s="230"/>
      <c r="HCI1" s="230"/>
      <c r="HCJ1" s="230"/>
      <c r="HCK1" s="230"/>
      <c r="HCL1" s="230"/>
      <c r="HCM1" s="230"/>
      <c r="HCN1" s="230"/>
      <c r="HCO1" s="230"/>
      <c r="HCP1" s="230"/>
      <c r="HCQ1" s="230"/>
      <c r="HCR1" s="230"/>
      <c r="HCS1" s="230"/>
      <c r="HCT1" s="230"/>
      <c r="HCU1" s="230"/>
      <c r="HCV1" s="230"/>
      <c r="HCW1" s="230"/>
      <c r="HCX1" s="230"/>
      <c r="HCY1" s="230"/>
      <c r="HCZ1" s="230"/>
      <c r="HDA1" s="230"/>
      <c r="HDB1" s="230"/>
      <c r="HDC1" s="230"/>
      <c r="HDD1" s="230"/>
      <c r="HDE1" s="230"/>
      <c r="HDF1" s="230"/>
      <c r="HDG1" s="230"/>
      <c r="HDH1" s="230"/>
      <c r="HDI1" s="230"/>
      <c r="HDJ1" s="230"/>
      <c r="HDK1" s="230"/>
      <c r="HDL1" s="230"/>
      <c r="HDM1" s="230"/>
      <c r="HDN1" s="230"/>
      <c r="HDO1" s="230"/>
      <c r="HDP1" s="230"/>
      <c r="HDQ1" s="230"/>
      <c r="HDR1" s="230"/>
      <c r="HDS1" s="230"/>
      <c r="HDT1" s="230"/>
      <c r="HDU1" s="230"/>
      <c r="HDV1" s="230"/>
      <c r="HDW1" s="230"/>
      <c r="HDX1" s="230"/>
      <c r="HDY1" s="230"/>
      <c r="HDZ1" s="230"/>
      <c r="HEA1" s="230"/>
      <c r="HEB1" s="230"/>
      <c r="HEC1" s="230"/>
      <c r="HED1" s="230"/>
      <c r="HEE1" s="230"/>
      <c r="HEF1" s="230"/>
      <c r="HEG1" s="230"/>
      <c r="HEH1" s="230"/>
      <c r="HEI1" s="230"/>
      <c r="HEJ1" s="230"/>
      <c r="HEK1" s="230"/>
      <c r="HEL1" s="230"/>
      <c r="HEM1" s="230"/>
      <c r="HEN1" s="230"/>
      <c r="HEO1" s="230"/>
      <c r="HEP1" s="230"/>
      <c r="HEQ1" s="230"/>
      <c r="HER1" s="230"/>
      <c r="HES1" s="230"/>
      <c r="HET1" s="230"/>
      <c r="HEU1" s="230"/>
      <c r="HEV1" s="230"/>
      <c r="HEW1" s="230"/>
      <c r="HEX1" s="230"/>
      <c r="HEY1" s="230"/>
      <c r="HEZ1" s="230"/>
      <c r="HFA1" s="230"/>
      <c r="HFB1" s="230"/>
      <c r="HFC1" s="230"/>
      <c r="HFD1" s="230"/>
      <c r="HFE1" s="230"/>
      <c r="HFF1" s="230"/>
      <c r="HFG1" s="230"/>
      <c r="HFH1" s="230"/>
      <c r="HFI1" s="230"/>
      <c r="HFJ1" s="230"/>
      <c r="HFK1" s="230"/>
      <c r="HFL1" s="230"/>
      <c r="HFM1" s="230"/>
      <c r="HFN1" s="230"/>
      <c r="HFO1" s="230"/>
      <c r="HFP1" s="230"/>
      <c r="HFQ1" s="230"/>
      <c r="HFR1" s="230"/>
      <c r="HFS1" s="230"/>
      <c r="HFT1" s="230"/>
      <c r="HFU1" s="230"/>
      <c r="HFV1" s="230"/>
      <c r="HFW1" s="230"/>
      <c r="HFX1" s="230"/>
      <c r="HFY1" s="230"/>
      <c r="HFZ1" s="230"/>
      <c r="HGA1" s="230"/>
      <c r="HGB1" s="230"/>
      <c r="HGC1" s="230"/>
      <c r="HGD1" s="230"/>
      <c r="HGE1" s="230"/>
      <c r="HGF1" s="230"/>
      <c r="HGG1" s="230"/>
      <c r="HGH1" s="230"/>
      <c r="HGI1" s="230"/>
      <c r="HGJ1" s="230"/>
      <c r="HGK1" s="230"/>
      <c r="HGL1" s="230"/>
      <c r="HGM1" s="230"/>
      <c r="HGN1" s="230"/>
      <c r="HGO1" s="230"/>
      <c r="HGP1" s="230"/>
      <c r="HGQ1" s="230"/>
      <c r="HGR1" s="230"/>
      <c r="HGS1" s="230"/>
      <c r="HGT1" s="230"/>
      <c r="HGU1" s="230"/>
      <c r="HGV1" s="230"/>
      <c r="HGW1" s="230"/>
      <c r="HGX1" s="230"/>
      <c r="HGY1" s="230"/>
      <c r="HGZ1" s="230"/>
      <c r="HHA1" s="230"/>
      <c r="HHB1" s="230"/>
      <c r="HHC1" s="230"/>
      <c r="HHD1" s="230"/>
      <c r="HHE1" s="230"/>
      <c r="HHF1" s="230"/>
      <c r="HHG1" s="230"/>
      <c r="HHH1" s="230"/>
      <c r="HHI1" s="230"/>
      <c r="HHJ1" s="230"/>
      <c r="HHK1" s="230"/>
      <c r="HHL1" s="230"/>
      <c r="HHM1" s="230"/>
      <c r="HHN1" s="230"/>
      <c r="HHO1" s="230"/>
      <c r="HHP1" s="230"/>
      <c r="HHQ1" s="230"/>
      <c r="HHR1" s="230"/>
      <c r="HHS1" s="230"/>
      <c r="HHT1" s="230"/>
      <c r="HHU1" s="230"/>
      <c r="HHV1" s="230"/>
      <c r="HHW1" s="230"/>
      <c r="HHX1" s="230"/>
      <c r="HHY1" s="230"/>
      <c r="HHZ1" s="230"/>
      <c r="HIA1" s="230"/>
      <c r="HIB1" s="230"/>
      <c r="HIC1" s="230"/>
      <c r="HID1" s="230"/>
      <c r="HIE1" s="230"/>
      <c r="HIF1" s="230"/>
      <c r="HIG1" s="230"/>
      <c r="HIH1" s="230"/>
      <c r="HII1" s="230"/>
      <c r="HIJ1" s="230"/>
      <c r="HIK1" s="230"/>
      <c r="HIL1" s="230"/>
      <c r="HIM1" s="230"/>
      <c r="HIN1" s="230"/>
      <c r="HIO1" s="230"/>
      <c r="HIP1" s="230"/>
      <c r="HIQ1" s="230"/>
      <c r="HIR1" s="230"/>
      <c r="HIS1" s="230"/>
      <c r="HIT1" s="230"/>
      <c r="HIU1" s="230"/>
      <c r="HIV1" s="230"/>
      <c r="HIW1" s="230"/>
      <c r="HIX1" s="230"/>
      <c r="HIY1" s="230"/>
      <c r="HIZ1" s="230"/>
      <c r="HJA1" s="230"/>
      <c r="HJB1" s="230"/>
      <c r="HJC1" s="230"/>
      <c r="HJD1" s="230"/>
      <c r="HJE1" s="230"/>
      <c r="HJF1" s="230"/>
      <c r="HJG1" s="230"/>
      <c r="HJH1" s="230"/>
      <c r="HJI1" s="230"/>
      <c r="HJJ1" s="230"/>
      <c r="HJK1" s="230"/>
      <c r="HJL1" s="230"/>
      <c r="HJM1" s="230"/>
      <c r="HJN1" s="230"/>
      <c r="HJO1" s="230"/>
      <c r="HJP1" s="230"/>
      <c r="HJQ1" s="230"/>
      <c r="HJR1" s="230"/>
      <c r="HJS1" s="230"/>
      <c r="HJT1" s="230"/>
      <c r="HJU1" s="230"/>
      <c r="HJV1" s="230"/>
      <c r="HJW1" s="230"/>
      <c r="HJX1" s="230"/>
      <c r="HJY1" s="230"/>
      <c r="HJZ1" s="230"/>
      <c r="HKA1" s="230"/>
      <c r="HKB1" s="230"/>
      <c r="HKC1" s="230"/>
      <c r="HKD1" s="230"/>
      <c r="HKE1" s="230"/>
      <c r="HKF1" s="230"/>
      <c r="HKG1" s="230"/>
      <c r="HKH1" s="230"/>
      <c r="HKI1" s="230"/>
      <c r="HKJ1" s="230"/>
      <c r="HKK1" s="230"/>
      <c r="HKL1" s="230"/>
      <c r="HKM1" s="230"/>
      <c r="HKN1" s="230"/>
      <c r="HKO1" s="230"/>
      <c r="HKP1" s="230"/>
      <c r="HKQ1" s="230"/>
      <c r="HKR1" s="230"/>
      <c r="HKS1" s="230"/>
      <c r="HKT1" s="230"/>
      <c r="HKU1" s="230"/>
      <c r="HKV1" s="230"/>
      <c r="HKW1" s="230"/>
      <c r="HKX1" s="230"/>
      <c r="HKY1" s="230"/>
      <c r="HKZ1" s="230"/>
      <c r="HLA1" s="230"/>
      <c r="HLB1" s="230"/>
      <c r="HLC1" s="230"/>
      <c r="HLD1" s="230"/>
      <c r="HLE1" s="230"/>
      <c r="HLF1" s="230"/>
      <c r="HLG1" s="230"/>
      <c r="HLH1" s="230"/>
      <c r="HLI1" s="230"/>
      <c r="HLJ1" s="230"/>
      <c r="HLK1" s="230"/>
      <c r="HLL1" s="230"/>
      <c r="HLM1" s="230"/>
      <c r="HLN1" s="230"/>
      <c r="HLO1" s="230"/>
      <c r="HLP1" s="230"/>
      <c r="HLQ1" s="230"/>
      <c r="HLR1" s="230"/>
      <c r="HLS1" s="230"/>
      <c r="HLT1" s="230"/>
      <c r="HLU1" s="230"/>
      <c r="HLV1" s="230"/>
      <c r="HLW1" s="230"/>
      <c r="HLX1" s="230"/>
      <c r="HLY1" s="230"/>
      <c r="HLZ1" s="230"/>
      <c r="HMA1" s="230"/>
      <c r="HMB1" s="230"/>
      <c r="HMC1" s="230"/>
      <c r="HMD1" s="230"/>
      <c r="HME1" s="230"/>
      <c r="HMF1" s="230"/>
      <c r="HMG1" s="230"/>
      <c r="HMH1" s="230"/>
      <c r="HMI1" s="230"/>
      <c r="HMJ1" s="230"/>
      <c r="HMK1" s="230"/>
      <c r="HML1" s="230"/>
      <c r="HMM1" s="230"/>
      <c r="HMN1" s="230"/>
      <c r="HMO1" s="230"/>
      <c r="HMP1" s="230"/>
      <c r="HMQ1" s="230"/>
      <c r="HMR1" s="230"/>
      <c r="HMS1" s="230"/>
      <c r="HMT1" s="230"/>
      <c r="HMU1" s="230"/>
      <c r="HMV1" s="230"/>
      <c r="HMW1" s="230"/>
      <c r="HMX1" s="230"/>
      <c r="HMY1" s="230"/>
      <c r="HMZ1" s="230"/>
      <c r="HNA1" s="230"/>
      <c r="HNB1" s="230"/>
      <c r="HNC1" s="230"/>
      <c r="HND1" s="230"/>
      <c r="HNE1" s="230"/>
      <c r="HNF1" s="230"/>
      <c r="HNG1" s="230"/>
      <c r="HNH1" s="230"/>
      <c r="HNI1" s="230"/>
      <c r="HNJ1" s="230"/>
      <c r="HNK1" s="230"/>
      <c r="HNL1" s="230"/>
      <c r="HNM1" s="230"/>
      <c r="HNN1" s="230"/>
      <c r="HNO1" s="230"/>
      <c r="HNP1" s="230"/>
      <c r="HNQ1" s="230"/>
      <c r="HNR1" s="230"/>
      <c r="HNS1" s="230"/>
      <c r="HNT1" s="230"/>
      <c r="HNU1" s="230"/>
      <c r="HNV1" s="230"/>
      <c r="HNW1" s="230"/>
      <c r="HNX1" s="230"/>
      <c r="HNY1" s="230"/>
      <c r="HNZ1" s="230"/>
      <c r="HOA1" s="230"/>
      <c r="HOB1" s="230"/>
      <c r="HOC1" s="230"/>
      <c r="HOD1" s="230"/>
      <c r="HOE1" s="230"/>
      <c r="HOF1" s="230"/>
      <c r="HOG1" s="230"/>
      <c r="HOH1" s="230"/>
      <c r="HOI1" s="230"/>
      <c r="HOJ1" s="230"/>
      <c r="HOK1" s="230"/>
      <c r="HOL1" s="230"/>
      <c r="HOM1" s="230"/>
      <c r="HON1" s="230"/>
      <c r="HOO1" s="230"/>
      <c r="HOP1" s="230"/>
      <c r="HOQ1" s="230"/>
      <c r="HOR1" s="230"/>
      <c r="HOS1" s="230"/>
      <c r="HOT1" s="230"/>
      <c r="HOU1" s="230"/>
      <c r="HOV1" s="230"/>
      <c r="HOW1" s="230"/>
      <c r="HOX1" s="230"/>
      <c r="HOY1" s="230"/>
      <c r="HOZ1" s="230"/>
      <c r="HPA1" s="230"/>
      <c r="HPB1" s="230"/>
      <c r="HPC1" s="230"/>
      <c r="HPD1" s="230"/>
      <c r="HPE1" s="230"/>
      <c r="HPF1" s="230"/>
      <c r="HPG1" s="230"/>
      <c r="HPH1" s="230"/>
      <c r="HPI1" s="230"/>
      <c r="HPJ1" s="230"/>
      <c r="HPK1" s="230"/>
      <c r="HPL1" s="230"/>
      <c r="HPM1" s="230"/>
      <c r="HPN1" s="230"/>
      <c r="HPO1" s="230"/>
      <c r="HPP1" s="230"/>
      <c r="HPQ1" s="230"/>
      <c r="HPR1" s="230"/>
      <c r="HPS1" s="230"/>
      <c r="HPT1" s="230"/>
      <c r="HPU1" s="230"/>
      <c r="HPV1" s="230"/>
      <c r="HPW1" s="230"/>
      <c r="HPX1" s="230"/>
      <c r="HPY1" s="230"/>
      <c r="HPZ1" s="230"/>
      <c r="HQA1" s="230"/>
      <c r="HQB1" s="230"/>
      <c r="HQC1" s="230"/>
      <c r="HQD1" s="230"/>
      <c r="HQE1" s="230"/>
      <c r="HQF1" s="230"/>
      <c r="HQG1" s="230"/>
      <c r="HQH1" s="230"/>
      <c r="HQI1" s="230"/>
      <c r="HQJ1" s="230"/>
      <c r="HQK1" s="230"/>
      <c r="HQL1" s="230"/>
      <c r="HQM1" s="230"/>
      <c r="HQN1" s="230"/>
      <c r="HQO1" s="230"/>
      <c r="HQP1" s="230"/>
      <c r="HQQ1" s="230"/>
      <c r="HQR1" s="230"/>
      <c r="HQS1" s="230"/>
      <c r="HQT1" s="230"/>
      <c r="HQU1" s="230"/>
      <c r="HQV1" s="230"/>
      <c r="HQW1" s="230"/>
      <c r="HQX1" s="230"/>
      <c r="HQY1" s="230"/>
      <c r="HQZ1" s="230"/>
      <c r="HRA1" s="230"/>
      <c r="HRB1" s="230"/>
      <c r="HRC1" s="230"/>
      <c r="HRD1" s="230"/>
      <c r="HRE1" s="230"/>
      <c r="HRF1" s="230"/>
      <c r="HRG1" s="230"/>
      <c r="HRH1" s="230"/>
      <c r="HRI1" s="230"/>
      <c r="HRJ1" s="230"/>
      <c r="HRK1" s="230"/>
      <c r="HRL1" s="230"/>
      <c r="HRM1" s="230"/>
      <c r="HRN1" s="230"/>
      <c r="HRO1" s="230"/>
      <c r="HRP1" s="230"/>
      <c r="HRQ1" s="230"/>
      <c r="HRR1" s="230"/>
      <c r="HRS1" s="230"/>
      <c r="HRT1" s="230"/>
      <c r="HRU1" s="230"/>
      <c r="HRV1" s="230"/>
      <c r="HRW1" s="230"/>
      <c r="HRX1" s="230"/>
      <c r="HRY1" s="230"/>
      <c r="HRZ1" s="230"/>
      <c r="HSA1" s="230"/>
      <c r="HSB1" s="230"/>
      <c r="HSC1" s="230"/>
      <c r="HSD1" s="230"/>
      <c r="HSE1" s="230"/>
      <c r="HSF1" s="230"/>
      <c r="HSG1" s="230"/>
      <c r="HSH1" s="230"/>
      <c r="HSI1" s="230"/>
      <c r="HSJ1" s="230"/>
      <c r="HSK1" s="230"/>
      <c r="HSL1" s="230"/>
      <c r="HSM1" s="230"/>
      <c r="HSN1" s="230"/>
      <c r="HSO1" s="230"/>
      <c r="HSP1" s="230"/>
      <c r="HSQ1" s="230"/>
      <c r="HSR1" s="230"/>
      <c r="HSS1" s="230"/>
      <c r="HST1" s="230"/>
      <c r="HSU1" s="230"/>
      <c r="HSV1" s="230"/>
      <c r="HSW1" s="230"/>
      <c r="HSX1" s="230"/>
      <c r="HSY1" s="230"/>
      <c r="HSZ1" s="230"/>
      <c r="HTA1" s="230"/>
      <c r="HTB1" s="230"/>
      <c r="HTC1" s="230"/>
      <c r="HTD1" s="230"/>
      <c r="HTE1" s="230"/>
      <c r="HTF1" s="230"/>
      <c r="HTG1" s="230"/>
      <c r="HTH1" s="230"/>
      <c r="HTI1" s="230"/>
      <c r="HTJ1" s="230"/>
      <c r="HTK1" s="230"/>
      <c r="HTL1" s="230"/>
      <c r="HTM1" s="230"/>
      <c r="HTN1" s="230"/>
      <c r="HTO1" s="230"/>
      <c r="HTP1" s="230"/>
      <c r="HTQ1" s="230"/>
      <c r="HTR1" s="230"/>
      <c r="HTS1" s="230"/>
      <c r="HTT1" s="230"/>
      <c r="HTU1" s="230"/>
      <c r="HTV1" s="230"/>
      <c r="HTW1" s="230"/>
      <c r="HTX1" s="230"/>
      <c r="HTY1" s="230"/>
      <c r="HTZ1" s="230"/>
      <c r="HUA1" s="230"/>
      <c r="HUB1" s="230"/>
      <c r="HUC1" s="230"/>
      <c r="HUD1" s="230"/>
      <c r="HUE1" s="230"/>
      <c r="HUF1" s="230"/>
      <c r="HUG1" s="230"/>
      <c r="HUH1" s="230"/>
      <c r="HUI1" s="230"/>
      <c r="HUJ1" s="230"/>
      <c r="HUK1" s="230"/>
      <c r="HUL1" s="230"/>
      <c r="HUM1" s="230"/>
      <c r="HUN1" s="230"/>
      <c r="HUO1" s="230"/>
      <c r="HUP1" s="230"/>
      <c r="HUQ1" s="230"/>
      <c r="HUR1" s="230"/>
      <c r="HUS1" s="230"/>
      <c r="HUT1" s="230"/>
      <c r="HUU1" s="230"/>
      <c r="HUV1" s="230"/>
      <c r="HUW1" s="230"/>
      <c r="HUX1" s="230"/>
      <c r="HUY1" s="230"/>
      <c r="HUZ1" s="230"/>
      <c r="HVA1" s="230"/>
      <c r="HVB1" s="230"/>
      <c r="HVC1" s="230"/>
      <c r="HVD1" s="230"/>
      <c r="HVE1" s="230"/>
      <c r="HVF1" s="230"/>
      <c r="HVG1" s="230"/>
      <c r="HVH1" s="230"/>
      <c r="HVI1" s="230"/>
      <c r="HVJ1" s="230"/>
      <c r="HVK1" s="230"/>
      <c r="HVL1" s="230"/>
      <c r="HVM1" s="230"/>
      <c r="HVN1" s="230"/>
      <c r="HVO1" s="230"/>
      <c r="HVP1" s="230"/>
      <c r="HVQ1" s="230"/>
      <c r="HVR1" s="230"/>
      <c r="HVS1" s="230"/>
      <c r="HVT1" s="230"/>
      <c r="HVU1" s="230"/>
      <c r="HVV1" s="230"/>
      <c r="HVW1" s="230"/>
      <c r="HVX1" s="230"/>
      <c r="HVY1" s="230"/>
      <c r="HVZ1" s="230"/>
      <c r="HWA1" s="230"/>
      <c r="HWB1" s="230"/>
      <c r="HWC1" s="230"/>
      <c r="HWD1" s="230"/>
      <c r="HWE1" s="230"/>
      <c r="HWF1" s="230"/>
      <c r="HWG1" s="230"/>
      <c r="HWH1" s="230"/>
      <c r="HWI1" s="230"/>
      <c r="HWJ1" s="230"/>
      <c r="HWK1" s="230"/>
      <c r="HWL1" s="230"/>
      <c r="HWM1" s="230"/>
      <c r="HWN1" s="230"/>
      <c r="HWO1" s="230"/>
      <c r="HWP1" s="230"/>
      <c r="HWQ1" s="230"/>
      <c r="HWR1" s="230"/>
      <c r="HWS1" s="230"/>
      <c r="HWT1" s="230"/>
      <c r="HWU1" s="230"/>
      <c r="HWV1" s="230"/>
      <c r="HWW1" s="230"/>
      <c r="HWX1" s="230"/>
      <c r="HWY1" s="230"/>
      <c r="HWZ1" s="230"/>
      <c r="HXA1" s="230"/>
      <c r="HXB1" s="230"/>
      <c r="HXC1" s="230"/>
      <c r="HXD1" s="230"/>
      <c r="HXE1" s="230"/>
      <c r="HXF1" s="230"/>
      <c r="HXG1" s="230"/>
      <c r="HXH1" s="230"/>
      <c r="HXI1" s="230"/>
      <c r="HXJ1" s="230"/>
      <c r="HXK1" s="230"/>
      <c r="HXL1" s="230"/>
      <c r="HXM1" s="230"/>
      <c r="HXN1" s="230"/>
      <c r="HXO1" s="230"/>
      <c r="HXP1" s="230"/>
      <c r="HXQ1" s="230"/>
      <c r="HXR1" s="230"/>
      <c r="HXS1" s="230"/>
      <c r="HXT1" s="230"/>
      <c r="HXU1" s="230"/>
      <c r="HXV1" s="230"/>
      <c r="HXW1" s="230"/>
      <c r="HXX1" s="230"/>
      <c r="HXY1" s="230"/>
      <c r="HXZ1" s="230"/>
      <c r="HYA1" s="230"/>
      <c r="HYB1" s="230"/>
      <c r="HYC1" s="230"/>
      <c r="HYD1" s="230"/>
      <c r="HYE1" s="230"/>
      <c r="HYF1" s="230"/>
      <c r="HYG1" s="230"/>
      <c r="HYH1" s="230"/>
      <c r="HYI1" s="230"/>
      <c r="HYJ1" s="230"/>
      <c r="HYK1" s="230"/>
      <c r="HYL1" s="230"/>
      <c r="HYM1" s="230"/>
      <c r="HYN1" s="230"/>
      <c r="HYO1" s="230"/>
      <c r="HYP1" s="230"/>
      <c r="HYQ1" s="230"/>
      <c r="HYR1" s="230"/>
      <c r="HYS1" s="230"/>
      <c r="HYT1" s="230"/>
      <c r="HYU1" s="230"/>
      <c r="HYV1" s="230"/>
      <c r="HYW1" s="230"/>
      <c r="HYX1" s="230"/>
      <c r="HYY1" s="230"/>
      <c r="HYZ1" s="230"/>
      <c r="HZA1" s="230"/>
      <c r="HZB1" s="230"/>
      <c r="HZC1" s="230"/>
      <c r="HZD1" s="230"/>
      <c r="HZE1" s="230"/>
      <c r="HZF1" s="230"/>
      <c r="HZG1" s="230"/>
      <c r="HZH1" s="230"/>
      <c r="HZI1" s="230"/>
      <c r="HZJ1" s="230"/>
      <c r="HZK1" s="230"/>
      <c r="HZL1" s="230"/>
      <c r="HZM1" s="230"/>
      <c r="HZN1" s="230"/>
      <c r="HZO1" s="230"/>
      <c r="HZP1" s="230"/>
      <c r="HZQ1" s="230"/>
      <c r="HZR1" s="230"/>
      <c r="HZS1" s="230"/>
      <c r="HZT1" s="230"/>
      <c r="HZU1" s="230"/>
      <c r="HZV1" s="230"/>
      <c r="HZW1" s="230"/>
      <c r="HZX1" s="230"/>
      <c r="HZY1" s="230"/>
      <c r="HZZ1" s="230"/>
      <c r="IAA1" s="230"/>
      <c r="IAB1" s="230"/>
      <c r="IAC1" s="230"/>
      <c r="IAD1" s="230"/>
      <c r="IAE1" s="230"/>
      <c r="IAF1" s="230"/>
      <c r="IAG1" s="230"/>
      <c r="IAH1" s="230"/>
      <c r="IAI1" s="230"/>
      <c r="IAJ1" s="230"/>
      <c r="IAK1" s="230"/>
      <c r="IAL1" s="230"/>
      <c r="IAM1" s="230"/>
      <c r="IAN1" s="230"/>
      <c r="IAO1" s="230"/>
      <c r="IAP1" s="230"/>
      <c r="IAQ1" s="230"/>
      <c r="IAR1" s="230"/>
      <c r="IAS1" s="230"/>
      <c r="IAT1" s="230"/>
      <c r="IAU1" s="230"/>
      <c r="IAV1" s="230"/>
      <c r="IAW1" s="230"/>
      <c r="IAX1" s="230"/>
      <c r="IAY1" s="230"/>
      <c r="IAZ1" s="230"/>
      <c r="IBA1" s="230"/>
      <c r="IBB1" s="230"/>
      <c r="IBC1" s="230"/>
      <c r="IBD1" s="230"/>
      <c r="IBE1" s="230"/>
      <c r="IBF1" s="230"/>
      <c r="IBG1" s="230"/>
      <c r="IBH1" s="230"/>
      <c r="IBI1" s="230"/>
      <c r="IBJ1" s="230"/>
      <c r="IBK1" s="230"/>
      <c r="IBL1" s="230"/>
      <c r="IBM1" s="230"/>
      <c r="IBN1" s="230"/>
      <c r="IBO1" s="230"/>
      <c r="IBP1" s="230"/>
      <c r="IBQ1" s="230"/>
      <c r="IBR1" s="230"/>
      <c r="IBS1" s="230"/>
      <c r="IBT1" s="230"/>
      <c r="IBU1" s="230"/>
      <c r="IBV1" s="230"/>
      <c r="IBW1" s="230"/>
      <c r="IBX1" s="230"/>
      <c r="IBY1" s="230"/>
      <c r="IBZ1" s="230"/>
      <c r="ICA1" s="230"/>
      <c r="ICB1" s="230"/>
      <c r="ICC1" s="230"/>
      <c r="ICD1" s="230"/>
      <c r="ICE1" s="230"/>
      <c r="ICF1" s="230"/>
      <c r="ICG1" s="230"/>
      <c r="ICH1" s="230"/>
      <c r="ICI1" s="230"/>
      <c r="ICJ1" s="230"/>
      <c r="ICK1" s="230"/>
      <c r="ICL1" s="230"/>
      <c r="ICM1" s="230"/>
      <c r="ICN1" s="230"/>
      <c r="ICO1" s="230"/>
      <c r="ICP1" s="230"/>
      <c r="ICQ1" s="230"/>
      <c r="ICR1" s="230"/>
      <c r="ICS1" s="230"/>
      <c r="ICT1" s="230"/>
      <c r="ICU1" s="230"/>
      <c r="ICV1" s="230"/>
      <c r="ICW1" s="230"/>
      <c r="ICX1" s="230"/>
      <c r="ICY1" s="230"/>
      <c r="ICZ1" s="230"/>
      <c r="IDA1" s="230"/>
      <c r="IDB1" s="230"/>
      <c r="IDC1" s="230"/>
      <c r="IDD1" s="230"/>
      <c r="IDE1" s="230"/>
      <c r="IDF1" s="230"/>
      <c r="IDG1" s="230"/>
      <c r="IDH1" s="230"/>
      <c r="IDI1" s="230"/>
      <c r="IDJ1" s="230"/>
      <c r="IDK1" s="230"/>
      <c r="IDL1" s="230"/>
      <c r="IDM1" s="230"/>
      <c r="IDN1" s="230"/>
      <c r="IDO1" s="230"/>
      <c r="IDP1" s="230"/>
      <c r="IDQ1" s="230"/>
      <c r="IDR1" s="230"/>
      <c r="IDS1" s="230"/>
      <c r="IDT1" s="230"/>
      <c r="IDU1" s="230"/>
      <c r="IDV1" s="230"/>
      <c r="IDW1" s="230"/>
      <c r="IDX1" s="230"/>
      <c r="IDY1" s="230"/>
      <c r="IDZ1" s="230"/>
      <c r="IEA1" s="230"/>
      <c r="IEB1" s="230"/>
      <c r="IEC1" s="230"/>
      <c r="IED1" s="230"/>
      <c r="IEE1" s="230"/>
      <c r="IEF1" s="230"/>
      <c r="IEG1" s="230"/>
      <c r="IEH1" s="230"/>
      <c r="IEI1" s="230"/>
      <c r="IEJ1" s="230"/>
      <c r="IEK1" s="230"/>
      <c r="IEL1" s="230"/>
      <c r="IEM1" s="230"/>
      <c r="IEN1" s="230"/>
      <c r="IEO1" s="230"/>
      <c r="IEP1" s="230"/>
      <c r="IEQ1" s="230"/>
      <c r="IER1" s="230"/>
      <c r="IES1" s="230"/>
      <c r="IET1" s="230"/>
      <c r="IEU1" s="230"/>
      <c r="IEV1" s="230"/>
      <c r="IEW1" s="230"/>
      <c r="IEX1" s="230"/>
      <c r="IEY1" s="230"/>
      <c r="IEZ1" s="230"/>
      <c r="IFA1" s="230"/>
      <c r="IFB1" s="230"/>
      <c r="IFC1" s="230"/>
      <c r="IFD1" s="230"/>
      <c r="IFE1" s="230"/>
      <c r="IFF1" s="230"/>
      <c r="IFG1" s="230"/>
      <c r="IFH1" s="230"/>
      <c r="IFI1" s="230"/>
      <c r="IFJ1" s="230"/>
      <c r="IFK1" s="230"/>
      <c r="IFL1" s="230"/>
      <c r="IFM1" s="230"/>
      <c r="IFN1" s="230"/>
      <c r="IFO1" s="230"/>
      <c r="IFP1" s="230"/>
      <c r="IFQ1" s="230"/>
      <c r="IFR1" s="230"/>
      <c r="IFS1" s="230"/>
      <c r="IFT1" s="230"/>
      <c r="IFU1" s="230"/>
      <c r="IFV1" s="230"/>
      <c r="IFW1" s="230"/>
      <c r="IFX1" s="230"/>
      <c r="IFY1" s="230"/>
      <c r="IFZ1" s="230"/>
      <c r="IGA1" s="230"/>
      <c r="IGB1" s="230"/>
      <c r="IGC1" s="230"/>
      <c r="IGD1" s="230"/>
      <c r="IGE1" s="230"/>
      <c r="IGF1" s="230"/>
      <c r="IGG1" s="230"/>
      <c r="IGH1" s="230"/>
      <c r="IGI1" s="230"/>
      <c r="IGJ1" s="230"/>
      <c r="IGK1" s="230"/>
      <c r="IGL1" s="230"/>
      <c r="IGM1" s="230"/>
      <c r="IGN1" s="230"/>
      <c r="IGO1" s="230"/>
      <c r="IGP1" s="230"/>
      <c r="IGQ1" s="230"/>
      <c r="IGR1" s="230"/>
      <c r="IGS1" s="230"/>
      <c r="IGT1" s="230"/>
      <c r="IGU1" s="230"/>
      <c r="IGV1" s="230"/>
      <c r="IGW1" s="230"/>
      <c r="IGX1" s="230"/>
      <c r="IGY1" s="230"/>
      <c r="IGZ1" s="230"/>
      <c r="IHA1" s="230"/>
      <c r="IHB1" s="230"/>
      <c r="IHC1" s="230"/>
      <c r="IHD1" s="230"/>
      <c r="IHE1" s="230"/>
      <c r="IHF1" s="230"/>
      <c r="IHG1" s="230"/>
      <c r="IHH1" s="230"/>
      <c r="IHI1" s="230"/>
      <c r="IHJ1" s="230"/>
      <c r="IHK1" s="230"/>
      <c r="IHL1" s="230"/>
      <c r="IHM1" s="230"/>
      <c r="IHN1" s="230"/>
      <c r="IHO1" s="230"/>
      <c r="IHP1" s="230"/>
      <c r="IHQ1" s="230"/>
      <c r="IHR1" s="230"/>
      <c r="IHS1" s="230"/>
      <c r="IHT1" s="230"/>
      <c r="IHU1" s="230"/>
      <c r="IHV1" s="230"/>
      <c r="IHW1" s="230"/>
      <c r="IHX1" s="230"/>
      <c r="IHY1" s="230"/>
      <c r="IHZ1" s="230"/>
      <c r="IIA1" s="230"/>
      <c r="IIB1" s="230"/>
      <c r="IIC1" s="230"/>
      <c r="IID1" s="230"/>
      <c r="IIE1" s="230"/>
      <c r="IIF1" s="230"/>
      <c r="IIG1" s="230"/>
      <c r="IIH1" s="230"/>
      <c r="III1" s="230"/>
      <c r="IIJ1" s="230"/>
      <c r="IIK1" s="230"/>
      <c r="IIL1" s="230"/>
      <c r="IIM1" s="230"/>
      <c r="IIN1" s="230"/>
      <c r="IIO1" s="230"/>
      <c r="IIP1" s="230"/>
      <c r="IIQ1" s="230"/>
      <c r="IIR1" s="230"/>
      <c r="IIS1" s="230"/>
      <c r="IIT1" s="230"/>
      <c r="IIU1" s="230"/>
      <c r="IIV1" s="230"/>
      <c r="IIW1" s="230"/>
      <c r="IIX1" s="230"/>
      <c r="IIY1" s="230"/>
      <c r="IIZ1" s="230"/>
      <c r="IJA1" s="230"/>
      <c r="IJB1" s="230"/>
      <c r="IJC1" s="230"/>
      <c r="IJD1" s="230"/>
      <c r="IJE1" s="230"/>
      <c r="IJF1" s="230"/>
      <c r="IJG1" s="230"/>
      <c r="IJH1" s="230"/>
      <c r="IJI1" s="230"/>
      <c r="IJJ1" s="230"/>
      <c r="IJK1" s="230"/>
      <c r="IJL1" s="230"/>
      <c r="IJM1" s="230"/>
      <c r="IJN1" s="230"/>
      <c r="IJO1" s="230"/>
      <c r="IJP1" s="230"/>
      <c r="IJQ1" s="230"/>
      <c r="IJR1" s="230"/>
      <c r="IJS1" s="230"/>
      <c r="IJT1" s="230"/>
      <c r="IJU1" s="230"/>
      <c r="IJV1" s="230"/>
      <c r="IJW1" s="230"/>
      <c r="IJX1" s="230"/>
      <c r="IJY1" s="230"/>
      <c r="IJZ1" s="230"/>
      <c r="IKA1" s="230"/>
      <c r="IKB1" s="230"/>
      <c r="IKC1" s="230"/>
      <c r="IKD1" s="230"/>
      <c r="IKE1" s="230"/>
      <c r="IKF1" s="230"/>
      <c r="IKG1" s="230"/>
      <c r="IKH1" s="230"/>
      <c r="IKI1" s="230"/>
      <c r="IKJ1" s="230"/>
      <c r="IKK1" s="230"/>
      <c r="IKL1" s="230"/>
      <c r="IKM1" s="230"/>
      <c r="IKN1" s="230"/>
      <c r="IKO1" s="230"/>
      <c r="IKP1" s="230"/>
      <c r="IKQ1" s="230"/>
      <c r="IKR1" s="230"/>
      <c r="IKS1" s="230"/>
      <c r="IKT1" s="230"/>
      <c r="IKU1" s="230"/>
      <c r="IKV1" s="230"/>
      <c r="IKW1" s="230"/>
      <c r="IKX1" s="230"/>
      <c r="IKY1" s="230"/>
      <c r="IKZ1" s="230"/>
      <c r="ILA1" s="230"/>
      <c r="ILB1" s="230"/>
      <c r="ILC1" s="230"/>
      <c r="ILD1" s="230"/>
      <c r="ILE1" s="230"/>
      <c r="ILF1" s="230"/>
      <c r="ILG1" s="230"/>
      <c r="ILH1" s="230"/>
      <c r="ILI1" s="230"/>
      <c r="ILJ1" s="230"/>
      <c r="ILK1" s="230"/>
      <c r="ILL1" s="230"/>
      <c r="ILM1" s="230"/>
      <c r="ILN1" s="230"/>
      <c r="ILO1" s="230"/>
      <c r="ILP1" s="230"/>
      <c r="ILQ1" s="230"/>
      <c r="ILR1" s="230"/>
      <c r="ILS1" s="230"/>
      <c r="ILT1" s="230"/>
      <c r="ILU1" s="230"/>
      <c r="ILV1" s="230"/>
      <c r="ILW1" s="230"/>
      <c r="ILX1" s="230"/>
      <c r="ILY1" s="230"/>
      <c r="ILZ1" s="230"/>
      <c r="IMA1" s="230"/>
      <c r="IMB1" s="230"/>
      <c r="IMC1" s="230"/>
      <c r="IMD1" s="230"/>
      <c r="IME1" s="230"/>
      <c r="IMF1" s="230"/>
      <c r="IMG1" s="230"/>
      <c r="IMH1" s="230"/>
      <c r="IMI1" s="230"/>
      <c r="IMJ1" s="230"/>
      <c r="IMK1" s="230"/>
      <c r="IML1" s="230"/>
      <c r="IMM1" s="230"/>
      <c r="IMN1" s="230"/>
      <c r="IMO1" s="230"/>
      <c r="IMP1" s="230"/>
      <c r="IMQ1" s="230"/>
      <c r="IMR1" s="230"/>
      <c r="IMS1" s="230"/>
      <c r="IMT1" s="230"/>
      <c r="IMU1" s="230"/>
      <c r="IMV1" s="230"/>
      <c r="IMW1" s="230"/>
      <c r="IMX1" s="230"/>
      <c r="IMY1" s="230"/>
      <c r="IMZ1" s="230"/>
      <c r="INA1" s="230"/>
      <c r="INB1" s="230"/>
      <c r="INC1" s="230"/>
      <c r="IND1" s="230"/>
      <c r="INE1" s="230"/>
      <c r="INF1" s="230"/>
      <c r="ING1" s="230"/>
      <c r="INH1" s="230"/>
      <c r="INI1" s="230"/>
      <c r="INJ1" s="230"/>
      <c r="INK1" s="230"/>
      <c r="INL1" s="230"/>
      <c r="INM1" s="230"/>
      <c r="INN1" s="230"/>
      <c r="INO1" s="230"/>
      <c r="INP1" s="230"/>
      <c r="INQ1" s="230"/>
      <c r="INR1" s="230"/>
      <c r="INS1" s="230"/>
      <c r="INT1" s="230"/>
      <c r="INU1" s="230"/>
      <c r="INV1" s="230"/>
      <c r="INW1" s="230"/>
      <c r="INX1" s="230"/>
      <c r="INY1" s="230"/>
      <c r="INZ1" s="230"/>
      <c r="IOA1" s="230"/>
      <c r="IOB1" s="230"/>
      <c r="IOC1" s="230"/>
      <c r="IOD1" s="230"/>
      <c r="IOE1" s="230"/>
      <c r="IOF1" s="230"/>
      <c r="IOG1" s="230"/>
      <c r="IOH1" s="230"/>
      <c r="IOI1" s="230"/>
      <c r="IOJ1" s="230"/>
      <c r="IOK1" s="230"/>
      <c r="IOL1" s="230"/>
      <c r="IOM1" s="230"/>
      <c r="ION1" s="230"/>
      <c r="IOO1" s="230"/>
      <c r="IOP1" s="230"/>
      <c r="IOQ1" s="230"/>
      <c r="IOR1" s="230"/>
      <c r="IOS1" s="230"/>
      <c r="IOT1" s="230"/>
      <c r="IOU1" s="230"/>
      <c r="IOV1" s="230"/>
      <c r="IOW1" s="230"/>
      <c r="IOX1" s="230"/>
      <c r="IOY1" s="230"/>
      <c r="IOZ1" s="230"/>
      <c r="IPA1" s="230"/>
      <c r="IPB1" s="230"/>
      <c r="IPC1" s="230"/>
      <c r="IPD1" s="230"/>
      <c r="IPE1" s="230"/>
      <c r="IPF1" s="230"/>
      <c r="IPG1" s="230"/>
      <c r="IPH1" s="230"/>
      <c r="IPI1" s="230"/>
      <c r="IPJ1" s="230"/>
      <c r="IPK1" s="230"/>
      <c r="IPL1" s="230"/>
      <c r="IPM1" s="230"/>
      <c r="IPN1" s="230"/>
      <c r="IPO1" s="230"/>
      <c r="IPP1" s="230"/>
      <c r="IPQ1" s="230"/>
      <c r="IPR1" s="230"/>
      <c r="IPS1" s="230"/>
      <c r="IPT1" s="230"/>
      <c r="IPU1" s="230"/>
      <c r="IPV1" s="230"/>
      <c r="IPW1" s="230"/>
      <c r="IPX1" s="230"/>
      <c r="IPY1" s="230"/>
      <c r="IPZ1" s="230"/>
      <c r="IQA1" s="230"/>
      <c r="IQB1" s="230"/>
      <c r="IQC1" s="230"/>
      <c r="IQD1" s="230"/>
      <c r="IQE1" s="230"/>
      <c r="IQF1" s="230"/>
      <c r="IQG1" s="230"/>
      <c r="IQH1" s="230"/>
      <c r="IQI1" s="230"/>
      <c r="IQJ1" s="230"/>
      <c r="IQK1" s="230"/>
      <c r="IQL1" s="230"/>
      <c r="IQM1" s="230"/>
      <c r="IQN1" s="230"/>
      <c r="IQO1" s="230"/>
      <c r="IQP1" s="230"/>
      <c r="IQQ1" s="230"/>
      <c r="IQR1" s="230"/>
      <c r="IQS1" s="230"/>
      <c r="IQT1" s="230"/>
      <c r="IQU1" s="230"/>
      <c r="IQV1" s="230"/>
      <c r="IQW1" s="230"/>
      <c r="IQX1" s="230"/>
      <c r="IQY1" s="230"/>
      <c r="IQZ1" s="230"/>
      <c r="IRA1" s="230"/>
      <c r="IRB1" s="230"/>
      <c r="IRC1" s="230"/>
      <c r="IRD1" s="230"/>
      <c r="IRE1" s="230"/>
      <c r="IRF1" s="230"/>
      <c r="IRG1" s="230"/>
      <c r="IRH1" s="230"/>
      <c r="IRI1" s="230"/>
      <c r="IRJ1" s="230"/>
      <c r="IRK1" s="230"/>
      <c r="IRL1" s="230"/>
      <c r="IRM1" s="230"/>
      <c r="IRN1" s="230"/>
      <c r="IRO1" s="230"/>
      <c r="IRP1" s="230"/>
      <c r="IRQ1" s="230"/>
      <c r="IRR1" s="230"/>
      <c r="IRS1" s="230"/>
      <c r="IRT1" s="230"/>
      <c r="IRU1" s="230"/>
      <c r="IRV1" s="230"/>
      <c r="IRW1" s="230"/>
      <c r="IRX1" s="230"/>
      <c r="IRY1" s="230"/>
      <c r="IRZ1" s="230"/>
      <c r="ISA1" s="230"/>
      <c r="ISB1" s="230"/>
      <c r="ISC1" s="230"/>
      <c r="ISD1" s="230"/>
      <c r="ISE1" s="230"/>
      <c r="ISF1" s="230"/>
      <c r="ISG1" s="230"/>
      <c r="ISH1" s="230"/>
      <c r="ISI1" s="230"/>
      <c r="ISJ1" s="230"/>
      <c r="ISK1" s="230"/>
      <c r="ISL1" s="230"/>
      <c r="ISM1" s="230"/>
      <c r="ISN1" s="230"/>
      <c r="ISO1" s="230"/>
      <c r="ISP1" s="230"/>
      <c r="ISQ1" s="230"/>
      <c r="ISR1" s="230"/>
      <c r="ISS1" s="230"/>
      <c r="IST1" s="230"/>
      <c r="ISU1" s="230"/>
      <c r="ISV1" s="230"/>
      <c r="ISW1" s="230"/>
      <c r="ISX1" s="230"/>
      <c r="ISY1" s="230"/>
      <c r="ISZ1" s="230"/>
      <c r="ITA1" s="230"/>
      <c r="ITB1" s="230"/>
      <c r="ITC1" s="230"/>
      <c r="ITD1" s="230"/>
      <c r="ITE1" s="230"/>
      <c r="ITF1" s="230"/>
      <c r="ITG1" s="230"/>
      <c r="ITH1" s="230"/>
      <c r="ITI1" s="230"/>
      <c r="ITJ1" s="230"/>
      <c r="ITK1" s="230"/>
      <c r="ITL1" s="230"/>
      <c r="ITM1" s="230"/>
      <c r="ITN1" s="230"/>
      <c r="ITO1" s="230"/>
      <c r="ITP1" s="230"/>
      <c r="ITQ1" s="230"/>
      <c r="ITR1" s="230"/>
      <c r="ITS1" s="230"/>
      <c r="ITT1" s="230"/>
      <c r="ITU1" s="230"/>
      <c r="ITV1" s="230"/>
      <c r="ITW1" s="230"/>
      <c r="ITX1" s="230"/>
      <c r="ITY1" s="230"/>
      <c r="ITZ1" s="230"/>
      <c r="IUA1" s="230"/>
      <c r="IUB1" s="230"/>
      <c r="IUC1" s="230"/>
      <c r="IUD1" s="230"/>
      <c r="IUE1" s="230"/>
      <c r="IUF1" s="230"/>
      <c r="IUG1" s="230"/>
      <c r="IUH1" s="230"/>
      <c r="IUI1" s="230"/>
      <c r="IUJ1" s="230"/>
      <c r="IUK1" s="230"/>
      <c r="IUL1" s="230"/>
      <c r="IUM1" s="230"/>
      <c r="IUN1" s="230"/>
      <c r="IUO1" s="230"/>
      <c r="IUP1" s="230"/>
      <c r="IUQ1" s="230"/>
      <c r="IUR1" s="230"/>
      <c r="IUS1" s="230"/>
      <c r="IUT1" s="230"/>
      <c r="IUU1" s="230"/>
      <c r="IUV1" s="230"/>
      <c r="IUW1" s="230"/>
      <c r="IUX1" s="230"/>
      <c r="IUY1" s="230"/>
      <c r="IUZ1" s="230"/>
      <c r="IVA1" s="230"/>
      <c r="IVB1" s="230"/>
      <c r="IVC1" s="230"/>
      <c r="IVD1" s="230"/>
      <c r="IVE1" s="230"/>
      <c r="IVF1" s="230"/>
      <c r="IVG1" s="230"/>
      <c r="IVH1" s="230"/>
      <c r="IVI1" s="230"/>
      <c r="IVJ1" s="230"/>
      <c r="IVK1" s="230"/>
      <c r="IVL1" s="230"/>
      <c r="IVM1" s="230"/>
      <c r="IVN1" s="230"/>
      <c r="IVO1" s="230"/>
      <c r="IVP1" s="230"/>
      <c r="IVQ1" s="230"/>
      <c r="IVR1" s="230"/>
      <c r="IVS1" s="230"/>
      <c r="IVT1" s="230"/>
      <c r="IVU1" s="230"/>
      <c r="IVV1" s="230"/>
      <c r="IVW1" s="230"/>
      <c r="IVX1" s="230"/>
      <c r="IVY1" s="230"/>
      <c r="IVZ1" s="230"/>
      <c r="IWA1" s="230"/>
      <c r="IWB1" s="230"/>
      <c r="IWC1" s="230"/>
      <c r="IWD1" s="230"/>
      <c r="IWE1" s="230"/>
      <c r="IWF1" s="230"/>
      <c r="IWG1" s="230"/>
      <c r="IWH1" s="230"/>
      <c r="IWI1" s="230"/>
      <c r="IWJ1" s="230"/>
      <c r="IWK1" s="230"/>
      <c r="IWL1" s="230"/>
      <c r="IWM1" s="230"/>
      <c r="IWN1" s="230"/>
      <c r="IWO1" s="230"/>
      <c r="IWP1" s="230"/>
      <c r="IWQ1" s="230"/>
      <c r="IWR1" s="230"/>
      <c r="IWS1" s="230"/>
      <c r="IWT1" s="230"/>
      <c r="IWU1" s="230"/>
      <c r="IWV1" s="230"/>
      <c r="IWW1" s="230"/>
      <c r="IWX1" s="230"/>
      <c r="IWY1" s="230"/>
      <c r="IWZ1" s="230"/>
      <c r="IXA1" s="230"/>
      <c r="IXB1" s="230"/>
      <c r="IXC1" s="230"/>
      <c r="IXD1" s="230"/>
      <c r="IXE1" s="230"/>
      <c r="IXF1" s="230"/>
      <c r="IXG1" s="230"/>
      <c r="IXH1" s="230"/>
      <c r="IXI1" s="230"/>
      <c r="IXJ1" s="230"/>
      <c r="IXK1" s="230"/>
      <c r="IXL1" s="230"/>
      <c r="IXM1" s="230"/>
      <c r="IXN1" s="230"/>
      <c r="IXO1" s="230"/>
      <c r="IXP1" s="230"/>
      <c r="IXQ1" s="230"/>
      <c r="IXR1" s="230"/>
      <c r="IXS1" s="230"/>
      <c r="IXT1" s="230"/>
      <c r="IXU1" s="230"/>
      <c r="IXV1" s="230"/>
      <c r="IXW1" s="230"/>
      <c r="IXX1" s="230"/>
      <c r="IXY1" s="230"/>
      <c r="IXZ1" s="230"/>
      <c r="IYA1" s="230"/>
      <c r="IYB1" s="230"/>
      <c r="IYC1" s="230"/>
      <c r="IYD1" s="230"/>
      <c r="IYE1" s="230"/>
      <c r="IYF1" s="230"/>
      <c r="IYG1" s="230"/>
      <c r="IYH1" s="230"/>
      <c r="IYI1" s="230"/>
      <c r="IYJ1" s="230"/>
      <c r="IYK1" s="230"/>
      <c r="IYL1" s="230"/>
      <c r="IYM1" s="230"/>
      <c r="IYN1" s="230"/>
      <c r="IYO1" s="230"/>
      <c r="IYP1" s="230"/>
      <c r="IYQ1" s="230"/>
      <c r="IYR1" s="230"/>
      <c r="IYS1" s="230"/>
      <c r="IYT1" s="230"/>
      <c r="IYU1" s="230"/>
      <c r="IYV1" s="230"/>
      <c r="IYW1" s="230"/>
      <c r="IYX1" s="230"/>
      <c r="IYY1" s="230"/>
      <c r="IYZ1" s="230"/>
      <c r="IZA1" s="230"/>
      <c r="IZB1" s="230"/>
      <c r="IZC1" s="230"/>
      <c r="IZD1" s="230"/>
      <c r="IZE1" s="230"/>
      <c r="IZF1" s="230"/>
      <c r="IZG1" s="230"/>
      <c r="IZH1" s="230"/>
      <c r="IZI1" s="230"/>
      <c r="IZJ1" s="230"/>
      <c r="IZK1" s="230"/>
      <c r="IZL1" s="230"/>
      <c r="IZM1" s="230"/>
      <c r="IZN1" s="230"/>
      <c r="IZO1" s="230"/>
      <c r="IZP1" s="230"/>
      <c r="IZQ1" s="230"/>
      <c r="IZR1" s="230"/>
      <c r="IZS1" s="230"/>
      <c r="IZT1" s="230"/>
      <c r="IZU1" s="230"/>
      <c r="IZV1" s="230"/>
      <c r="IZW1" s="230"/>
      <c r="IZX1" s="230"/>
      <c r="IZY1" s="230"/>
      <c r="IZZ1" s="230"/>
      <c r="JAA1" s="230"/>
      <c r="JAB1" s="230"/>
      <c r="JAC1" s="230"/>
      <c r="JAD1" s="230"/>
      <c r="JAE1" s="230"/>
      <c r="JAF1" s="230"/>
      <c r="JAG1" s="230"/>
      <c r="JAH1" s="230"/>
      <c r="JAI1" s="230"/>
      <c r="JAJ1" s="230"/>
      <c r="JAK1" s="230"/>
      <c r="JAL1" s="230"/>
      <c r="JAM1" s="230"/>
      <c r="JAN1" s="230"/>
      <c r="JAO1" s="230"/>
      <c r="JAP1" s="230"/>
      <c r="JAQ1" s="230"/>
      <c r="JAR1" s="230"/>
      <c r="JAS1" s="230"/>
      <c r="JAT1" s="230"/>
      <c r="JAU1" s="230"/>
      <c r="JAV1" s="230"/>
      <c r="JAW1" s="230"/>
      <c r="JAX1" s="230"/>
      <c r="JAY1" s="230"/>
      <c r="JAZ1" s="230"/>
      <c r="JBA1" s="230"/>
      <c r="JBB1" s="230"/>
      <c r="JBC1" s="230"/>
      <c r="JBD1" s="230"/>
      <c r="JBE1" s="230"/>
      <c r="JBF1" s="230"/>
      <c r="JBG1" s="230"/>
      <c r="JBH1" s="230"/>
      <c r="JBI1" s="230"/>
      <c r="JBJ1" s="230"/>
      <c r="JBK1" s="230"/>
      <c r="JBL1" s="230"/>
      <c r="JBM1" s="230"/>
      <c r="JBN1" s="230"/>
      <c r="JBO1" s="230"/>
      <c r="JBP1" s="230"/>
      <c r="JBQ1" s="230"/>
      <c r="JBR1" s="230"/>
      <c r="JBS1" s="230"/>
      <c r="JBT1" s="230"/>
      <c r="JBU1" s="230"/>
      <c r="JBV1" s="230"/>
      <c r="JBW1" s="230"/>
      <c r="JBX1" s="230"/>
      <c r="JBY1" s="230"/>
      <c r="JBZ1" s="230"/>
      <c r="JCA1" s="230"/>
      <c r="JCB1" s="230"/>
      <c r="JCC1" s="230"/>
      <c r="JCD1" s="230"/>
      <c r="JCE1" s="230"/>
      <c r="JCF1" s="230"/>
      <c r="JCG1" s="230"/>
      <c r="JCH1" s="230"/>
      <c r="JCI1" s="230"/>
      <c r="JCJ1" s="230"/>
      <c r="JCK1" s="230"/>
      <c r="JCL1" s="230"/>
      <c r="JCM1" s="230"/>
      <c r="JCN1" s="230"/>
      <c r="JCO1" s="230"/>
      <c r="JCP1" s="230"/>
      <c r="JCQ1" s="230"/>
      <c r="JCR1" s="230"/>
      <c r="JCS1" s="230"/>
      <c r="JCT1" s="230"/>
      <c r="JCU1" s="230"/>
      <c r="JCV1" s="230"/>
      <c r="JCW1" s="230"/>
      <c r="JCX1" s="230"/>
      <c r="JCY1" s="230"/>
      <c r="JCZ1" s="230"/>
      <c r="JDA1" s="230"/>
      <c r="JDB1" s="230"/>
      <c r="JDC1" s="230"/>
      <c r="JDD1" s="230"/>
      <c r="JDE1" s="230"/>
      <c r="JDF1" s="230"/>
      <c r="JDG1" s="230"/>
      <c r="JDH1" s="230"/>
      <c r="JDI1" s="230"/>
      <c r="JDJ1" s="230"/>
      <c r="JDK1" s="230"/>
      <c r="JDL1" s="230"/>
      <c r="JDM1" s="230"/>
      <c r="JDN1" s="230"/>
      <c r="JDO1" s="230"/>
      <c r="JDP1" s="230"/>
      <c r="JDQ1" s="230"/>
      <c r="JDR1" s="230"/>
      <c r="JDS1" s="230"/>
      <c r="JDT1" s="230"/>
      <c r="JDU1" s="230"/>
      <c r="JDV1" s="230"/>
      <c r="JDW1" s="230"/>
      <c r="JDX1" s="230"/>
      <c r="JDY1" s="230"/>
      <c r="JDZ1" s="230"/>
      <c r="JEA1" s="230"/>
      <c r="JEB1" s="230"/>
      <c r="JEC1" s="230"/>
      <c r="JED1" s="230"/>
      <c r="JEE1" s="230"/>
      <c r="JEF1" s="230"/>
      <c r="JEG1" s="230"/>
      <c r="JEH1" s="230"/>
      <c r="JEI1" s="230"/>
      <c r="JEJ1" s="230"/>
      <c r="JEK1" s="230"/>
      <c r="JEL1" s="230"/>
      <c r="JEM1" s="230"/>
      <c r="JEN1" s="230"/>
      <c r="JEO1" s="230"/>
      <c r="JEP1" s="230"/>
      <c r="JEQ1" s="230"/>
      <c r="JER1" s="230"/>
      <c r="JES1" s="230"/>
      <c r="JET1" s="230"/>
      <c r="JEU1" s="230"/>
      <c r="JEV1" s="230"/>
      <c r="JEW1" s="230"/>
      <c r="JEX1" s="230"/>
      <c r="JEY1" s="230"/>
      <c r="JEZ1" s="230"/>
      <c r="JFA1" s="230"/>
      <c r="JFB1" s="230"/>
      <c r="JFC1" s="230"/>
      <c r="JFD1" s="230"/>
      <c r="JFE1" s="230"/>
      <c r="JFF1" s="230"/>
      <c r="JFG1" s="230"/>
      <c r="JFH1" s="230"/>
      <c r="JFI1" s="230"/>
      <c r="JFJ1" s="230"/>
      <c r="JFK1" s="230"/>
      <c r="JFL1" s="230"/>
      <c r="JFM1" s="230"/>
      <c r="JFN1" s="230"/>
      <c r="JFO1" s="230"/>
      <c r="JFP1" s="230"/>
      <c r="JFQ1" s="230"/>
      <c r="JFR1" s="230"/>
      <c r="JFS1" s="230"/>
      <c r="JFT1" s="230"/>
      <c r="JFU1" s="230"/>
      <c r="JFV1" s="230"/>
      <c r="JFW1" s="230"/>
      <c r="JFX1" s="230"/>
      <c r="JFY1" s="230"/>
      <c r="JFZ1" s="230"/>
      <c r="JGA1" s="230"/>
      <c r="JGB1" s="230"/>
      <c r="JGC1" s="230"/>
      <c r="JGD1" s="230"/>
      <c r="JGE1" s="230"/>
      <c r="JGF1" s="230"/>
      <c r="JGG1" s="230"/>
      <c r="JGH1" s="230"/>
      <c r="JGI1" s="230"/>
      <c r="JGJ1" s="230"/>
      <c r="JGK1" s="230"/>
      <c r="JGL1" s="230"/>
      <c r="JGM1" s="230"/>
      <c r="JGN1" s="230"/>
      <c r="JGO1" s="230"/>
      <c r="JGP1" s="230"/>
      <c r="JGQ1" s="230"/>
      <c r="JGR1" s="230"/>
      <c r="JGS1" s="230"/>
      <c r="JGT1" s="230"/>
      <c r="JGU1" s="230"/>
      <c r="JGV1" s="230"/>
      <c r="JGW1" s="230"/>
      <c r="JGX1" s="230"/>
      <c r="JGY1" s="230"/>
      <c r="JGZ1" s="230"/>
      <c r="JHA1" s="230"/>
      <c r="JHB1" s="230"/>
      <c r="JHC1" s="230"/>
      <c r="JHD1" s="230"/>
      <c r="JHE1" s="230"/>
      <c r="JHF1" s="230"/>
      <c r="JHG1" s="230"/>
      <c r="JHH1" s="230"/>
      <c r="JHI1" s="230"/>
      <c r="JHJ1" s="230"/>
      <c r="JHK1" s="230"/>
      <c r="JHL1" s="230"/>
      <c r="JHM1" s="230"/>
      <c r="JHN1" s="230"/>
      <c r="JHO1" s="230"/>
      <c r="JHP1" s="230"/>
      <c r="JHQ1" s="230"/>
      <c r="JHR1" s="230"/>
      <c r="JHS1" s="230"/>
      <c r="JHT1" s="230"/>
      <c r="JHU1" s="230"/>
      <c r="JHV1" s="230"/>
      <c r="JHW1" s="230"/>
      <c r="JHX1" s="230"/>
      <c r="JHY1" s="230"/>
      <c r="JHZ1" s="230"/>
      <c r="JIA1" s="230"/>
      <c r="JIB1" s="230"/>
      <c r="JIC1" s="230"/>
      <c r="JID1" s="230"/>
      <c r="JIE1" s="230"/>
      <c r="JIF1" s="230"/>
      <c r="JIG1" s="230"/>
      <c r="JIH1" s="230"/>
      <c r="JII1" s="230"/>
      <c r="JIJ1" s="230"/>
      <c r="JIK1" s="230"/>
      <c r="JIL1" s="230"/>
      <c r="JIM1" s="230"/>
      <c r="JIN1" s="230"/>
      <c r="JIO1" s="230"/>
      <c r="JIP1" s="230"/>
      <c r="JIQ1" s="230"/>
      <c r="JIR1" s="230"/>
      <c r="JIS1" s="230"/>
      <c r="JIT1" s="230"/>
      <c r="JIU1" s="230"/>
      <c r="JIV1" s="230"/>
      <c r="JIW1" s="230"/>
      <c r="JIX1" s="230"/>
      <c r="JIY1" s="230"/>
      <c r="JIZ1" s="230"/>
      <c r="JJA1" s="230"/>
      <c r="JJB1" s="230"/>
      <c r="JJC1" s="230"/>
      <c r="JJD1" s="230"/>
      <c r="JJE1" s="230"/>
      <c r="JJF1" s="230"/>
      <c r="JJG1" s="230"/>
      <c r="JJH1" s="230"/>
      <c r="JJI1" s="230"/>
      <c r="JJJ1" s="230"/>
      <c r="JJK1" s="230"/>
      <c r="JJL1" s="230"/>
      <c r="JJM1" s="230"/>
      <c r="JJN1" s="230"/>
      <c r="JJO1" s="230"/>
      <c r="JJP1" s="230"/>
      <c r="JJQ1" s="230"/>
      <c r="JJR1" s="230"/>
      <c r="JJS1" s="230"/>
      <c r="JJT1" s="230"/>
      <c r="JJU1" s="230"/>
      <c r="JJV1" s="230"/>
      <c r="JJW1" s="230"/>
      <c r="JJX1" s="230"/>
      <c r="JJY1" s="230"/>
      <c r="JJZ1" s="230"/>
      <c r="JKA1" s="230"/>
      <c r="JKB1" s="230"/>
      <c r="JKC1" s="230"/>
      <c r="JKD1" s="230"/>
      <c r="JKE1" s="230"/>
      <c r="JKF1" s="230"/>
      <c r="JKG1" s="230"/>
      <c r="JKH1" s="230"/>
      <c r="JKI1" s="230"/>
      <c r="JKJ1" s="230"/>
      <c r="JKK1" s="230"/>
      <c r="JKL1" s="230"/>
      <c r="JKM1" s="230"/>
      <c r="JKN1" s="230"/>
      <c r="JKO1" s="230"/>
      <c r="JKP1" s="230"/>
      <c r="JKQ1" s="230"/>
      <c r="JKR1" s="230"/>
      <c r="JKS1" s="230"/>
      <c r="JKT1" s="230"/>
      <c r="JKU1" s="230"/>
      <c r="JKV1" s="230"/>
      <c r="JKW1" s="230"/>
      <c r="JKX1" s="230"/>
      <c r="JKY1" s="230"/>
      <c r="JKZ1" s="230"/>
      <c r="JLA1" s="230"/>
      <c r="JLB1" s="230"/>
      <c r="JLC1" s="230"/>
      <c r="JLD1" s="230"/>
      <c r="JLE1" s="230"/>
      <c r="JLF1" s="230"/>
      <c r="JLG1" s="230"/>
      <c r="JLH1" s="230"/>
      <c r="JLI1" s="230"/>
      <c r="JLJ1" s="230"/>
      <c r="JLK1" s="230"/>
      <c r="JLL1" s="230"/>
      <c r="JLM1" s="230"/>
      <c r="JLN1" s="230"/>
      <c r="JLO1" s="230"/>
      <c r="JLP1" s="230"/>
      <c r="JLQ1" s="230"/>
      <c r="JLR1" s="230"/>
      <c r="JLS1" s="230"/>
      <c r="JLT1" s="230"/>
      <c r="JLU1" s="230"/>
      <c r="JLV1" s="230"/>
      <c r="JLW1" s="230"/>
      <c r="JLX1" s="230"/>
      <c r="JLY1" s="230"/>
      <c r="JLZ1" s="230"/>
      <c r="JMA1" s="230"/>
      <c r="JMB1" s="230"/>
      <c r="JMC1" s="230"/>
      <c r="JMD1" s="230"/>
      <c r="JME1" s="230"/>
      <c r="JMF1" s="230"/>
      <c r="JMG1" s="230"/>
      <c r="JMH1" s="230"/>
      <c r="JMI1" s="230"/>
      <c r="JMJ1" s="230"/>
      <c r="JMK1" s="230"/>
      <c r="JML1" s="230"/>
      <c r="JMM1" s="230"/>
      <c r="JMN1" s="230"/>
      <c r="JMO1" s="230"/>
      <c r="JMP1" s="230"/>
      <c r="JMQ1" s="230"/>
      <c r="JMR1" s="230"/>
      <c r="JMS1" s="230"/>
      <c r="JMT1" s="230"/>
      <c r="JMU1" s="230"/>
      <c r="JMV1" s="230"/>
      <c r="JMW1" s="230"/>
      <c r="JMX1" s="230"/>
      <c r="JMY1" s="230"/>
      <c r="JMZ1" s="230"/>
      <c r="JNA1" s="230"/>
      <c r="JNB1" s="230"/>
      <c r="JNC1" s="230"/>
      <c r="JND1" s="230"/>
      <c r="JNE1" s="230"/>
      <c r="JNF1" s="230"/>
      <c r="JNG1" s="230"/>
      <c r="JNH1" s="230"/>
      <c r="JNI1" s="230"/>
      <c r="JNJ1" s="230"/>
      <c r="JNK1" s="230"/>
      <c r="JNL1" s="230"/>
      <c r="JNM1" s="230"/>
      <c r="JNN1" s="230"/>
      <c r="JNO1" s="230"/>
      <c r="JNP1" s="230"/>
      <c r="JNQ1" s="230"/>
      <c r="JNR1" s="230"/>
      <c r="JNS1" s="230"/>
      <c r="JNT1" s="230"/>
      <c r="JNU1" s="230"/>
      <c r="JNV1" s="230"/>
      <c r="JNW1" s="230"/>
      <c r="JNX1" s="230"/>
      <c r="JNY1" s="230"/>
      <c r="JNZ1" s="230"/>
      <c r="JOA1" s="230"/>
      <c r="JOB1" s="230"/>
      <c r="JOC1" s="230"/>
      <c r="JOD1" s="230"/>
      <c r="JOE1" s="230"/>
      <c r="JOF1" s="230"/>
      <c r="JOG1" s="230"/>
      <c r="JOH1" s="230"/>
      <c r="JOI1" s="230"/>
      <c r="JOJ1" s="230"/>
      <c r="JOK1" s="230"/>
      <c r="JOL1" s="230"/>
      <c r="JOM1" s="230"/>
      <c r="JON1" s="230"/>
      <c r="JOO1" s="230"/>
      <c r="JOP1" s="230"/>
      <c r="JOQ1" s="230"/>
      <c r="JOR1" s="230"/>
      <c r="JOS1" s="230"/>
      <c r="JOT1" s="230"/>
      <c r="JOU1" s="230"/>
      <c r="JOV1" s="230"/>
      <c r="JOW1" s="230"/>
      <c r="JOX1" s="230"/>
      <c r="JOY1" s="230"/>
      <c r="JOZ1" s="230"/>
      <c r="JPA1" s="230"/>
      <c r="JPB1" s="230"/>
      <c r="JPC1" s="230"/>
      <c r="JPD1" s="230"/>
      <c r="JPE1" s="230"/>
      <c r="JPF1" s="230"/>
      <c r="JPG1" s="230"/>
      <c r="JPH1" s="230"/>
      <c r="JPI1" s="230"/>
      <c r="JPJ1" s="230"/>
      <c r="JPK1" s="230"/>
      <c r="JPL1" s="230"/>
      <c r="JPM1" s="230"/>
      <c r="JPN1" s="230"/>
      <c r="JPO1" s="230"/>
      <c r="JPP1" s="230"/>
      <c r="JPQ1" s="230"/>
      <c r="JPR1" s="230"/>
      <c r="JPS1" s="230"/>
      <c r="JPT1" s="230"/>
      <c r="JPU1" s="230"/>
      <c r="JPV1" s="230"/>
      <c r="JPW1" s="230"/>
      <c r="JPX1" s="230"/>
      <c r="JPY1" s="230"/>
      <c r="JPZ1" s="230"/>
      <c r="JQA1" s="230"/>
      <c r="JQB1" s="230"/>
      <c r="JQC1" s="230"/>
      <c r="JQD1" s="230"/>
      <c r="JQE1" s="230"/>
      <c r="JQF1" s="230"/>
      <c r="JQG1" s="230"/>
      <c r="JQH1" s="230"/>
      <c r="JQI1" s="230"/>
      <c r="JQJ1" s="230"/>
      <c r="JQK1" s="230"/>
      <c r="JQL1" s="230"/>
      <c r="JQM1" s="230"/>
      <c r="JQN1" s="230"/>
      <c r="JQO1" s="230"/>
      <c r="JQP1" s="230"/>
      <c r="JQQ1" s="230"/>
      <c r="JQR1" s="230"/>
      <c r="JQS1" s="230"/>
      <c r="JQT1" s="230"/>
      <c r="JQU1" s="230"/>
      <c r="JQV1" s="230"/>
      <c r="JQW1" s="230"/>
      <c r="JQX1" s="230"/>
      <c r="JQY1" s="230"/>
      <c r="JQZ1" s="230"/>
      <c r="JRA1" s="230"/>
      <c r="JRB1" s="230"/>
      <c r="JRC1" s="230"/>
      <c r="JRD1" s="230"/>
      <c r="JRE1" s="230"/>
      <c r="JRF1" s="230"/>
      <c r="JRG1" s="230"/>
      <c r="JRH1" s="230"/>
      <c r="JRI1" s="230"/>
      <c r="JRJ1" s="230"/>
      <c r="JRK1" s="230"/>
      <c r="JRL1" s="230"/>
      <c r="JRM1" s="230"/>
      <c r="JRN1" s="230"/>
      <c r="JRO1" s="230"/>
      <c r="JRP1" s="230"/>
      <c r="JRQ1" s="230"/>
      <c r="JRR1" s="230"/>
      <c r="JRS1" s="230"/>
      <c r="JRT1" s="230"/>
      <c r="JRU1" s="230"/>
      <c r="JRV1" s="230"/>
      <c r="JRW1" s="230"/>
      <c r="JRX1" s="230"/>
      <c r="JRY1" s="230"/>
      <c r="JRZ1" s="230"/>
      <c r="JSA1" s="230"/>
      <c r="JSB1" s="230"/>
      <c r="JSC1" s="230"/>
      <c r="JSD1" s="230"/>
      <c r="JSE1" s="230"/>
      <c r="JSF1" s="230"/>
      <c r="JSG1" s="230"/>
      <c r="JSH1" s="230"/>
      <c r="JSI1" s="230"/>
      <c r="JSJ1" s="230"/>
      <c r="JSK1" s="230"/>
      <c r="JSL1" s="230"/>
      <c r="JSM1" s="230"/>
      <c r="JSN1" s="230"/>
      <c r="JSO1" s="230"/>
      <c r="JSP1" s="230"/>
      <c r="JSQ1" s="230"/>
      <c r="JSR1" s="230"/>
      <c r="JSS1" s="230"/>
      <c r="JST1" s="230"/>
      <c r="JSU1" s="230"/>
      <c r="JSV1" s="230"/>
      <c r="JSW1" s="230"/>
      <c r="JSX1" s="230"/>
      <c r="JSY1" s="230"/>
      <c r="JSZ1" s="230"/>
      <c r="JTA1" s="230"/>
      <c r="JTB1" s="230"/>
      <c r="JTC1" s="230"/>
      <c r="JTD1" s="230"/>
      <c r="JTE1" s="230"/>
      <c r="JTF1" s="230"/>
      <c r="JTG1" s="230"/>
      <c r="JTH1" s="230"/>
      <c r="JTI1" s="230"/>
      <c r="JTJ1" s="230"/>
      <c r="JTK1" s="230"/>
      <c r="JTL1" s="230"/>
      <c r="JTM1" s="230"/>
      <c r="JTN1" s="230"/>
      <c r="JTO1" s="230"/>
      <c r="JTP1" s="230"/>
      <c r="JTQ1" s="230"/>
      <c r="JTR1" s="230"/>
      <c r="JTS1" s="230"/>
      <c r="JTT1" s="230"/>
      <c r="JTU1" s="230"/>
      <c r="JTV1" s="230"/>
      <c r="JTW1" s="230"/>
      <c r="JTX1" s="230"/>
      <c r="JTY1" s="230"/>
      <c r="JTZ1" s="230"/>
      <c r="JUA1" s="230"/>
      <c r="JUB1" s="230"/>
      <c r="JUC1" s="230"/>
      <c r="JUD1" s="230"/>
      <c r="JUE1" s="230"/>
      <c r="JUF1" s="230"/>
      <c r="JUG1" s="230"/>
      <c r="JUH1" s="230"/>
      <c r="JUI1" s="230"/>
      <c r="JUJ1" s="230"/>
      <c r="JUK1" s="230"/>
      <c r="JUL1" s="230"/>
      <c r="JUM1" s="230"/>
      <c r="JUN1" s="230"/>
      <c r="JUO1" s="230"/>
      <c r="JUP1" s="230"/>
      <c r="JUQ1" s="230"/>
      <c r="JUR1" s="230"/>
      <c r="JUS1" s="230"/>
      <c r="JUT1" s="230"/>
      <c r="JUU1" s="230"/>
      <c r="JUV1" s="230"/>
      <c r="JUW1" s="230"/>
      <c r="JUX1" s="230"/>
      <c r="JUY1" s="230"/>
      <c r="JUZ1" s="230"/>
      <c r="JVA1" s="230"/>
      <c r="JVB1" s="230"/>
      <c r="JVC1" s="230"/>
      <c r="JVD1" s="230"/>
      <c r="JVE1" s="230"/>
      <c r="JVF1" s="230"/>
      <c r="JVG1" s="230"/>
      <c r="JVH1" s="230"/>
      <c r="JVI1" s="230"/>
      <c r="JVJ1" s="230"/>
      <c r="JVK1" s="230"/>
      <c r="JVL1" s="230"/>
      <c r="JVM1" s="230"/>
      <c r="JVN1" s="230"/>
      <c r="JVO1" s="230"/>
      <c r="JVP1" s="230"/>
      <c r="JVQ1" s="230"/>
      <c r="JVR1" s="230"/>
      <c r="JVS1" s="230"/>
      <c r="JVT1" s="230"/>
      <c r="JVU1" s="230"/>
      <c r="JVV1" s="230"/>
      <c r="JVW1" s="230"/>
      <c r="JVX1" s="230"/>
      <c r="JVY1" s="230"/>
      <c r="JVZ1" s="230"/>
      <c r="JWA1" s="230"/>
      <c r="JWB1" s="230"/>
      <c r="JWC1" s="230"/>
      <c r="JWD1" s="230"/>
      <c r="JWE1" s="230"/>
      <c r="JWF1" s="230"/>
      <c r="JWG1" s="230"/>
      <c r="JWH1" s="230"/>
      <c r="JWI1" s="230"/>
      <c r="JWJ1" s="230"/>
      <c r="JWK1" s="230"/>
      <c r="JWL1" s="230"/>
      <c r="JWM1" s="230"/>
      <c r="JWN1" s="230"/>
      <c r="JWO1" s="230"/>
      <c r="JWP1" s="230"/>
      <c r="JWQ1" s="230"/>
      <c r="JWR1" s="230"/>
      <c r="JWS1" s="230"/>
      <c r="JWT1" s="230"/>
      <c r="JWU1" s="230"/>
      <c r="JWV1" s="230"/>
      <c r="JWW1" s="230"/>
      <c r="JWX1" s="230"/>
      <c r="JWY1" s="230"/>
      <c r="JWZ1" s="230"/>
      <c r="JXA1" s="230"/>
      <c r="JXB1" s="230"/>
      <c r="JXC1" s="230"/>
      <c r="JXD1" s="230"/>
      <c r="JXE1" s="230"/>
      <c r="JXF1" s="230"/>
      <c r="JXG1" s="230"/>
      <c r="JXH1" s="230"/>
      <c r="JXI1" s="230"/>
      <c r="JXJ1" s="230"/>
      <c r="JXK1" s="230"/>
      <c r="JXL1" s="230"/>
      <c r="JXM1" s="230"/>
      <c r="JXN1" s="230"/>
      <c r="JXO1" s="230"/>
      <c r="JXP1" s="230"/>
      <c r="JXQ1" s="230"/>
      <c r="JXR1" s="230"/>
      <c r="JXS1" s="230"/>
      <c r="JXT1" s="230"/>
      <c r="JXU1" s="230"/>
      <c r="JXV1" s="230"/>
      <c r="JXW1" s="230"/>
      <c r="JXX1" s="230"/>
      <c r="JXY1" s="230"/>
      <c r="JXZ1" s="230"/>
      <c r="JYA1" s="230"/>
      <c r="JYB1" s="230"/>
      <c r="JYC1" s="230"/>
      <c r="JYD1" s="230"/>
      <c r="JYE1" s="230"/>
      <c r="JYF1" s="230"/>
      <c r="JYG1" s="230"/>
      <c r="JYH1" s="230"/>
      <c r="JYI1" s="230"/>
      <c r="JYJ1" s="230"/>
      <c r="JYK1" s="230"/>
      <c r="JYL1" s="230"/>
      <c r="JYM1" s="230"/>
      <c r="JYN1" s="230"/>
      <c r="JYO1" s="230"/>
      <c r="JYP1" s="230"/>
      <c r="JYQ1" s="230"/>
      <c r="JYR1" s="230"/>
      <c r="JYS1" s="230"/>
      <c r="JYT1" s="230"/>
      <c r="JYU1" s="230"/>
      <c r="JYV1" s="230"/>
      <c r="JYW1" s="230"/>
      <c r="JYX1" s="230"/>
      <c r="JYY1" s="230"/>
      <c r="JYZ1" s="230"/>
      <c r="JZA1" s="230"/>
      <c r="JZB1" s="230"/>
      <c r="JZC1" s="230"/>
      <c r="JZD1" s="230"/>
      <c r="JZE1" s="230"/>
      <c r="JZF1" s="230"/>
      <c r="JZG1" s="230"/>
      <c r="JZH1" s="230"/>
      <c r="JZI1" s="230"/>
      <c r="JZJ1" s="230"/>
      <c r="JZK1" s="230"/>
      <c r="JZL1" s="230"/>
      <c r="JZM1" s="230"/>
      <c r="JZN1" s="230"/>
      <c r="JZO1" s="230"/>
      <c r="JZP1" s="230"/>
      <c r="JZQ1" s="230"/>
      <c r="JZR1" s="230"/>
      <c r="JZS1" s="230"/>
      <c r="JZT1" s="230"/>
      <c r="JZU1" s="230"/>
      <c r="JZV1" s="230"/>
      <c r="JZW1" s="230"/>
      <c r="JZX1" s="230"/>
      <c r="JZY1" s="230"/>
      <c r="JZZ1" s="230"/>
      <c r="KAA1" s="230"/>
      <c r="KAB1" s="230"/>
      <c r="KAC1" s="230"/>
      <c r="KAD1" s="230"/>
      <c r="KAE1" s="230"/>
      <c r="KAF1" s="230"/>
      <c r="KAG1" s="230"/>
      <c r="KAH1" s="230"/>
      <c r="KAI1" s="230"/>
      <c r="KAJ1" s="230"/>
      <c r="KAK1" s="230"/>
      <c r="KAL1" s="230"/>
      <c r="KAM1" s="230"/>
      <c r="KAN1" s="230"/>
      <c r="KAO1" s="230"/>
      <c r="KAP1" s="230"/>
      <c r="KAQ1" s="230"/>
      <c r="KAR1" s="230"/>
      <c r="KAS1" s="230"/>
      <c r="KAT1" s="230"/>
      <c r="KAU1" s="230"/>
      <c r="KAV1" s="230"/>
      <c r="KAW1" s="230"/>
      <c r="KAX1" s="230"/>
      <c r="KAY1" s="230"/>
      <c r="KAZ1" s="230"/>
      <c r="KBA1" s="230"/>
      <c r="KBB1" s="230"/>
      <c r="KBC1" s="230"/>
      <c r="KBD1" s="230"/>
      <c r="KBE1" s="230"/>
      <c r="KBF1" s="230"/>
      <c r="KBG1" s="230"/>
      <c r="KBH1" s="230"/>
      <c r="KBI1" s="230"/>
      <c r="KBJ1" s="230"/>
      <c r="KBK1" s="230"/>
      <c r="KBL1" s="230"/>
      <c r="KBM1" s="230"/>
      <c r="KBN1" s="230"/>
      <c r="KBO1" s="230"/>
      <c r="KBP1" s="230"/>
      <c r="KBQ1" s="230"/>
      <c r="KBR1" s="230"/>
      <c r="KBS1" s="230"/>
      <c r="KBT1" s="230"/>
      <c r="KBU1" s="230"/>
      <c r="KBV1" s="230"/>
      <c r="KBW1" s="230"/>
      <c r="KBX1" s="230"/>
      <c r="KBY1" s="230"/>
      <c r="KBZ1" s="230"/>
      <c r="KCA1" s="230"/>
      <c r="KCB1" s="230"/>
      <c r="KCC1" s="230"/>
      <c r="KCD1" s="230"/>
      <c r="KCE1" s="230"/>
      <c r="KCF1" s="230"/>
      <c r="KCG1" s="230"/>
      <c r="KCH1" s="230"/>
      <c r="KCI1" s="230"/>
      <c r="KCJ1" s="230"/>
      <c r="KCK1" s="230"/>
      <c r="KCL1" s="230"/>
      <c r="KCM1" s="230"/>
      <c r="KCN1" s="230"/>
      <c r="KCO1" s="230"/>
      <c r="KCP1" s="230"/>
      <c r="KCQ1" s="230"/>
      <c r="KCR1" s="230"/>
      <c r="KCS1" s="230"/>
      <c r="KCT1" s="230"/>
      <c r="KCU1" s="230"/>
      <c r="KCV1" s="230"/>
      <c r="KCW1" s="230"/>
      <c r="KCX1" s="230"/>
      <c r="KCY1" s="230"/>
      <c r="KCZ1" s="230"/>
      <c r="KDA1" s="230"/>
      <c r="KDB1" s="230"/>
      <c r="KDC1" s="230"/>
      <c r="KDD1" s="230"/>
      <c r="KDE1" s="230"/>
      <c r="KDF1" s="230"/>
      <c r="KDG1" s="230"/>
      <c r="KDH1" s="230"/>
      <c r="KDI1" s="230"/>
      <c r="KDJ1" s="230"/>
      <c r="KDK1" s="230"/>
      <c r="KDL1" s="230"/>
      <c r="KDM1" s="230"/>
      <c r="KDN1" s="230"/>
      <c r="KDO1" s="230"/>
      <c r="KDP1" s="230"/>
      <c r="KDQ1" s="230"/>
      <c r="KDR1" s="230"/>
      <c r="KDS1" s="230"/>
      <c r="KDT1" s="230"/>
      <c r="KDU1" s="230"/>
      <c r="KDV1" s="230"/>
      <c r="KDW1" s="230"/>
      <c r="KDX1" s="230"/>
      <c r="KDY1" s="230"/>
      <c r="KDZ1" s="230"/>
      <c r="KEA1" s="230"/>
      <c r="KEB1" s="230"/>
      <c r="KEC1" s="230"/>
      <c r="KED1" s="230"/>
      <c r="KEE1" s="230"/>
      <c r="KEF1" s="230"/>
      <c r="KEG1" s="230"/>
      <c r="KEH1" s="230"/>
      <c r="KEI1" s="230"/>
      <c r="KEJ1" s="230"/>
      <c r="KEK1" s="230"/>
      <c r="KEL1" s="230"/>
      <c r="KEM1" s="230"/>
      <c r="KEN1" s="230"/>
      <c r="KEO1" s="230"/>
      <c r="KEP1" s="230"/>
      <c r="KEQ1" s="230"/>
      <c r="KER1" s="230"/>
      <c r="KES1" s="230"/>
      <c r="KET1" s="230"/>
      <c r="KEU1" s="230"/>
      <c r="KEV1" s="230"/>
      <c r="KEW1" s="230"/>
      <c r="KEX1" s="230"/>
      <c r="KEY1" s="230"/>
      <c r="KEZ1" s="230"/>
      <c r="KFA1" s="230"/>
      <c r="KFB1" s="230"/>
      <c r="KFC1" s="230"/>
      <c r="KFD1" s="230"/>
      <c r="KFE1" s="230"/>
      <c r="KFF1" s="230"/>
      <c r="KFG1" s="230"/>
      <c r="KFH1" s="230"/>
      <c r="KFI1" s="230"/>
      <c r="KFJ1" s="230"/>
      <c r="KFK1" s="230"/>
      <c r="KFL1" s="230"/>
      <c r="KFM1" s="230"/>
      <c r="KFN1" s="230"/>
      <c r="KFO1" s="230"/>
      <c r="KFP1" s="230"/>
      <c r="KFQ1" s="230"/>
      <c r="KFR1" s="230"/>
      <c r="KFS1" s="230"/>
      <c r="KFT1" s="230"/>
      <c r="KFU1" s="230"/>
      <c r="KFV1" s="230"/>
      <c r="KFW1" s="230"/>
      <c r="KFX1" s="230"/>
      <c r="KFY1" s="230"/>
      <c r="KFZ1" s="230"/>
      <c r="KGA1" s="230"/>
      <c r="KGB1" s="230"/>
      <c r="KGC1" s="230"/>
      <c r="KGD1" s="230"/>
      <c r="KGE1" s="230"/>
      <c r="KGF1" s="230"/>
      <c r="KGG1" s="230"/>
      <c r="KGH1" s="230"/>
      <c r="KGI1" s="230"/>
      <c r="KGJ1" s="230"/>
      <c r="KGK1" s="230"/>
      <c r="KGL1" s="230"/>
      <c r="KGM1" s="230"/>
      <c r="KGN1" s="230"/>
      <c r="KGO1" s="230"/>
      <c r="KGP1" s="230"/>
      <c r="KGQ1" s="230"/>
      <c r="KGR1" s="230"/>
      <c r="KGS1" s="230"/>
      <c r="KGT1" s="230"/>
      <c r="KGU1" s="230"/>
      <c r="KGV1" s="230"/>
      <c r="KGW1" s="230"/>
      <c r="KGX1" s="230"/>
      <c r="KGY1" s="230"/>
      <c r="KGZ1" s="230"/>
      <c r="KHA1" s="230"/>
      <c r="KHB1" s="230"/>
      <c r="KHC1" s="230"/>
      <c r="KHD1" s="230"/>
      <c r="KHE1" s="230"/>
      <c r="KHF1" s="230"/>
      <c r="KHG1" s="230"/>
      <c r="KHH1" s="230"/>
      <c r="KHI1" s="230"/>
      <c r="KHJ1" s="230"/>
      <c r="KHK1" s="230"/>
      <c r="KHL1" s="230"/>
      <c r="KHM1" s="230"/>
      <c r="KHN1" s="230"/>
      <c r="KHO1" s="230"/>
      <c r="KHP1" s="230"/>
      <c r="KHQ1" s="230"/>
      <c r="KHR1" s="230"/>
      <c r="KHS1" s="230"/>
      <c r="KHT1" s="230"/>
      <c r="KHU1" s="230"/>
      <c r="KHV1" s="230"/>
      <c r="KHW1" s="230"/>
      <c r="KHX1" s="230"/>
      <c r="KHY1" s="230"/>
      <c r="KHZ1" s="230"/>
      <c r="KIA1" s="230"/>
      <c r="KIB1" s="230"/>
      <c r="KIC1" s="230"/>
      <c r="KID1" s="230"/>
      <c r="KIE1" s="230"/>
      <c r="KIF1" s="230"/>
      <c r="KIG1" s="230"/>
      <c r="KIH1" s="230"/>
      <c r="KII1" s="230"/>
      <c r="KIJ1" s="230"/>
      <c r="KIK1" s="230"/>
      <c r="KIL1" s="230"/>
      <c r="KIM1" s="230"/>
      <c r="KIN1" s="230"/>
      <c r="KIO1" s="230"/>
      <c r="KIP1" s="230"/>
      <c r="KIQ1" s="230"/>
      <c r="KIR1" s="230"/>
      <c r="KIS1" s="230"/>
      <c r="KIT1" s="230"/>
      <c r="KIU1" s="230"/>
      <c r="KIV1" s="230"/>
      <c r="KIW1" s="230"/>
      <c r="KIX1" s="230"/>
      <c r="KIY1" s="230"/>
      <c r="KIZ1" s="230"/>
      <c r="KJA1" s="230"/>
      <c r="KJB1" s="230"/>
      <c r="KJC1" s="230"/>
      <c r="KJD1" s="230"/>
      <c r="KJE1" s="230"/>
      <c r="KJF1" s="230"/>
      <c r="KJG1" s="230"/>
      <c r="KJH1" s="230"/>
      <c r="KJI1" s="230"/>
      <c r="KJJ1" s="230"/>
      <c r="KJK1" s="230"/>
      <c r="KJL1" s="230"/>
      <c r="KJM1" s="230"/>
      <c r="KJN1" s="230"/>
      <c r="KJO1" s="230"/>
      <c r="KJP1" s="230"/>
      <c r="KJQ1" s="230"/>
      <c r="KJR1" s="230"/>
      <c r="KJS1" s="230"/>
      <c r="KJT1" s="230"/>
      <c r="KJU1" s="230"/>
      <c r="KJV1" s="230"/>
      <c r="KJW1" s="230"/>
      <c r="KJX1" s="230"/>
      <c r="KJY1" s="230"/>
      <c r="KJZ1" s="230"/>
      <c r="KKA1" s="230"/>
      <c r="KKB1" s="230"/>
      <c r="KKC1" s="230"/>
      <c r="KKD1" s="230"/>
      <c r="KKE1" s="230"/>
      <c r="KKF1" s="230"/>
      <c r="KKG1" s="230"/>
      <c r="KKH1" s="230"/>
      <c r="KKI1" s="230"/>
      <c r="KKJ1" s="230"/>
      <c r="KKK1" s="230"/>
      <c r="KKL1" s="230"/>
      <c r="KKM1" s="230"/>
      <c r="KKN1" s="230"/>
      <c r="KKO1" s="230"/>
      <c r="KKP1" s="230"/>
      <c r="KKQ1" s="230"/>
      <c r="KKR1" s="230"/>
      <c r="KKS1" s="230"/>
      <c r="KKT1" s="230"/>
      <c r="KKU1" s="230"/>
      <c r="KKV1" s="230"/>
      <c r="KKW1" s="230"/>
      <c r="KKX1" s="230"/>
      <c r="KKY1" s="230"/>
      <c r="KKZ1" s="230"/>
      <c r="KLA1" s="230"/>
      <c r="KLB1" s="230"/>
      <c r="KLC1" s="230"/>
      <c r="KLD1" s="230"/>
      <c r="KLE1" s="230"/>
      <c r="KLF1" s="230"/>
      <c r="KLG1" s="230"/>
      <c r="KLH1" s="230"/>
      <c r="KLI1" s="230"/>
      <c r="KLJ1" s="230"/>
      <c r="KLK1" s="230"/>
      <c r="KLL1" s="230"/>
      <c r="KLM1" s="230"/>
      <c r="KLN1" s="230"/>
      <c r="KLO1" s="230"/>
      <c r="KLP1" s="230"/>
      <c r="KLQ1" s="230"/>
      <c r="KLR1" s="230"/>
      <c r="KLS1" s="230"/>
      <c r="KLT1" s="230"/>
      <c r="KLU1" s="230"/>
      <c r="KLV1" s="230"/>
      <c r="KLW1" s="230"/>
      <c r="KLX1" s="230"/>
      <c r="KLY1" s="230"/>
      <c r="KLZ1" s="230"/>
      <c r="KMA1" s="230"/>
      <c r="KMB1" s="230"/>
      <c r="KMC1" s="230"/>
      <c r="KMD1" s="230"/>
      <c r="KME1" s="230"/>
      <c r="KMF1" s="230"/>
      <c r="KMG1" s="230"/>
      <c r="KMH1" s="230"/>
      <c r="KMI1" s="230"/>
      <c r="KMJ1" s="230"/>
      <c r="KMK1" s="230"/>
      <c r="KML1" s="230"/>
      <c r="KMM1" s="230"/>
      <c r="KMN1" s="230"/>
      <c r="KMO1" s="230"/>
      <c r="KMP1" s="230"/>
      <c r="KMQ1" s="230"/>
      <c r="KMR1" s="230"/>
      <c r="KMS1" s="230"/>
      <c r="KMT1" s="230"/>
      <c r="KMU1" s="230"/>
      <c r="KMV1" s="230"/>
      <c r="KMW1" s="230"/>
      <c r="KMX1" s="230"/>
      <c r="KMY1" s="230"/>
      <c r="KMZ1" s="230"/>
      <c r="KNA1" s="230"/>
      <c r="KNB1" s="230"/>
      <c r="KNC1" s="230"/>
      <c r="KND1" s="230"/>
      <c r="KNE1" s="230"/>
      <c r="KNF1" s="230"/>
      <c r="KNG1" s="230"/>
      <c r="KNH1" s="230"/>
      <c r="KNI1" s="230"/>
      <c r="KNJ1" s="230"/>
      <c r="KNK1" s="230"/>
      <c r="KNL1" s="230"/>
      <c r="KNM1" s="230"/>
      <c r="KNN1" s="230"/>
      <c r="KNO1" s="230"/>
      <c r="KNP1" s="230"/>
      <c r="KNQ1" s="230"/>
      <c r="KNR1" s="230"/>
      <c r="KNS1" s="230"/>
      <c r="KNT1" s="230"/>
      <c r="KNU1" s="230"/>
      <c r="KNV1" s="230"/>
      <c r="KNW1" s="230"/>
      <c r="KNX1" s="230"/>
      <c r="KNY1" s="230"/>
      <c r="KNZ1" s="230"/>
      <c r="KOA1" s="230"/>
      <c r="KOB1" s="230"/>
      <c r="KOC1" s="230"/>
      <c r="KOD1" s="230"/>
      <c r="KOE1" s="230"/>
      <c r="KOF1" s="230"/>
      <c r="KOG1" s="230"/>
      <c r="KOH1" s="230"/>
      <c r="KOI1" s="230"/>
      <c r="KOJ1" s="230"/>
      <c r="KOK1" s="230"/>
      <c r="KOL1" s="230"/>
      <c r="KOM1" s="230"/>
      <c r="KON1" s="230"/>
      <c r="KOO1" s="230"/>
      <c r="KOP1" s="230"/>
      <c r="KOQ1" s="230"/>
      <c r="KOR1" s="230"/>
      <c r="KOS1" s="230"/>
      <c r="KOT1" s="230"/>
      <c r="KOU1" s="230"/>
      <c r="KOV1" s="230"/>
      <c r="KOW1" s="230"/>
      <c r="KOX1" s="230"/>
      <c r="KOY1" s="230"/>
      <c r="KOZ1" s="230"/>
      <c r="KPA1" s="230"/>
      <c r="KPB1" s="230"/>
      <c r="KPC1" s="230"/>
      <c r="KPD1" s="230"/>
      <c r="KPE1" s="230"/>
      <c r="KPF1" s="230"/>
      <c r="KPG1" s="230"/>
      <c r="KPH1" s="230"/>
      <c r="KPI1" s="230"/>
      <c r="KPJ1" s="230"/>
      <c r="KPK1" s="230"/>
      <c r="KPL1" s="230"/>
      <c r="KPM1" s="230"/>
      <c r="KPN1" s="230"/>
      <c r="KPO1" s="230"/>
      <c r="KPP1" s="230"/>
      <c r="KPQ1" s="230"/>
      <c r="KPR1" s="230"/>
      <c r="KPS1" s="230"/>
      <c r="KPT1" s="230"/>
      <c r="KPU1" s="230"/>
      <c r="KPV1" s="230"/>
      <c r="KPW1" s="230"/>
      <c r="KPX1" s="230"/>
      <c r="KPY1" s="230"/>
      <c r="KPZ1" s="230"/>
      <c r="KQA1" s="230"/>
      <c r="KQB1" s="230"/>
      <c r="KQC1" s="230"/>
      <c r="KQD1" s="230"/>
      <c r="KQE1" s="230"/>
      <c r="KQF1" s="230"/>
      <c r="KQG1" s="230"/>
      <c r="KQH1" s="230"/>
      <c r="KQI1" s="230"/>
      <c r="KQJ1" s="230"/>
      <c r="KQK1" s="230"/>
      <c r="KQL1" s="230"/>
      <c r="KQM1" s="230"/>
      <c r="KQN1" s="230"/>
      <c r="KQO1" s="230"/>
      <c r="KQP1" s="230"/>
      <c r="KQQ1" s="230"/>
      <c r="KQR1" s="230"/>
      <c r="KQS1" s="230"/>
      <c r="KQT1" s="230"/>
      <c r="KQU1" s="230"/>
      <c r="KQV1" s="230"/>
      <c r="KQW1" s="230"/>
      <c r="KQX1" s="230"/>
      <c r="KQY1" s="230"/>
      <c r="KQZ1" s="230"/>
      <c r="KRA1" s="230"/>
      <c r="KRB1" s="230"/>
      <c r="KRC1" s="230"/>
      <c r="KRD1" s="230"/>
      <c r="KRE1" s="230"/>
      <c r="KRF1" s="230"/>
      <c r="KRG1" s="230"/>
      <c r="KRH1" s="230"/>
      <c r="KRI1" s="230"/>
      <c r="KRJ1" s="230"/>
      <c r="KRK1" s="230"/>
      <c r="KRL1" s="230"/>
      <c r="KRM1" s="230"/>
      <c r="KRN1" s="230"/>
      <c r="KRO1" s="230"/>
      <c r="KRP1" s="230"/>
      <c r="KRQ1" s="230"/>
      <c r="KRR1" s="230"/>
      <c r="KRS1" s="230"/>
      <c r="KRT1" s="230"/>
      <c r="KRU1" s="230"/>
      <c r="KRV1" s="230"/>
      <c r="KRW1" s="230"/>
      <c r="KRX1" s="230"/>
      <c r="KRY1" s="230"/>
      <c r="KRZ1" s="230"/>
      <c r="KSA1" s="230"/>
      <c r="KSB1" s="230"/>
      <c r="KSC1" s="230"/>
      <c r="KSD1" s="230"/>
      <c r="KSE1" s="230"/>
      <c r="KSF1" s="230"/>
      <c r="KSG1" s="230"/>
      <c r="KSH1" s="230"/>
      <c r="KSI1" s="230"/>
      <c r="KSJ1" s="230"/>
      <c r="KSK1" s="230"/>
      <c r="KSL1" s="230"/>
      <c r="KSM1" s="230"/>
      <c r="KSN1" s="230"/>
      <c r="KSO1" s="230"/>
      <c r="KSP1" s="230"/>
      <c r="KSQ1" s="230"/>
      <c r="KSR1" s="230"/>
      <c r="KSS1" s="230"/>
      <c r="KST1" s="230"/>
      <c r="KSU1" s="230"/>
      <c r="KSV1" s="230"/>
      <c r="KSW1" s="230"/>
      <c r="KSX1" s="230"/>
      <c r="KSY1" s="230"/>
      <c r="KSZ1" s="230"/>
      <c r="KTA1" s="230"/>
      <c r="KTB1" s="230"/>
      <c r="KTC1" s="230"/>
      <c r="KTD1" s="230"/>
      <c r="KTE1" s="230"/>
      <c r="KTF1" s="230"/>
      <c r="KTG1" s="230"/>
      <c r="KTH1" s="230"/>
      <c r="KTI1" s="230"/>
      <c r="KTJ1" s="230"/>
      <c r="KTK1" s="230"/>
      <c r="KTL1" s="230"/>
      <c r="KTM1" s="230"/>
      <c r="KTN1" s="230"/>
      <c r="KTO1" s="230"/>
      <c r="KTP1" s="230"/>
      <c r="KTQ1" s="230"/>
      <c r="KTR1" s="230"/>
      <c r="KTS1" s="230"/>
      <c r="KTT1" s="230"/>
      <c r="KTU1" s="230"/>
      <c r="KTV1" s="230"/>
      <c r="KTW1" s="230"/>
      <c r="KTX1" s="230"/>
      <c r="KTY1" s="230"/>
      <c r="KTZ1" s="230"/>
      <c r="KUA1" s="230"/>
      <c r="KUB1" s="230"/>
      <c r="KUC1" s="230"/>
      <c r="KUD1" s="230"/>
      <c r="KUE1" s="230"/>
      <c r="KUF1" s="230"/>
      <c r="KUG1" s="230"/>
      <c r="KUH1" s="230"/>
      <c r="KUI1" s="230"/>
      <c r="KUJ1" s="230"/>
      <c r="KUK1" s="230"/>
      <c r="KUL1" s="230"/>
      <c r="KUM1" s="230"/>
      <c r="KUN1" s="230"/>
      <c r="KUO1" s="230"/>
      <c r="KUP1" s="230"/>
      <c r="KUQ1" s="230"/>
      <c r="KUR1" s="230"/>
      <c r="KUS1" s="230"/>
      <c r="KUT1" s="230"/>
      <c r="KUU1" s="230"/>
      <c r="KUV1" s="230"/>
      <c r="KUW1" s="230"/>
      <c r="KUX1" s="230"/>
      <c r="KUY1" s="230"/>
      <c r="KUZ1" s="230"/>
      <c r="KVA1" s="230"/>
      <c r="KVB1" s="230"/>
      <c r="KVC1" s="230"/>
      <c r="KVD1" s="230"/>
      <c r="KVE1" s="230"/>
      <c r="KVF1" s="230"/>
      <c r="KVG1" s="230"/>
      <c r="KVH1" s="230"/>
      <c r="KVI1" s="230"/>
      <c r="KVJ1" s="230"/>
      <c r="KVK1" s="230"/>
      <c r="KVL1" s="230"/>
      <c r="KVM1" s="230"/>
      <c r="KVN1" s="230"/>
      <c r="KVO1" s="230"/>
      <c r="KVP1" s="230"/>
      <c r="KVQ1" s="230"/>
      <c r="KVR1" s="230"/>
      <c r="KVS1" s="230"/>
      <c r="KVT1" s="230"/>
      <c r="KVU1" s="230"/>
      <c r="KVV1" s="230"/>
      <c r="KVW1" s="230"/>
      <c r="KVX1" s="230"/>
      <c r="KVY1" s="230"/>
      <c r="KVZ1" s="230"/>
      <c r="KWA1" s="230"/>
      <c r="KWB1" s="230"/>
      <c r="KWC1" s="230"/>
      <c r="KWD1" s="230"/>
      <c r="KWE1" s="230"/>
      <c r="KWF1" s="230"/>
      <c r="KWG1" s="230"/>
      <c r="KWH1" s="230"/>
      <c r="KWI1" s="230"/>
      <c r="KWJ1" s="230"/>
      <c r="KWK1" s="230"/>
      <c r="KWL1" s="230"/>
      <c r="KWM1" s="230"/>
      <c r="KWN1" s="230"/>
      <c r="KWO1" s="230"/>
      <c r="KWP1" s="230"/>
      <c r="KWQ1" s="230"/>
      <c r="KWR1" s="230"/>
      <c r="KWS1" s="230"/>
      <c r="KWT1" s="230"/>
      <c r="KWU1" s="230"/>
      <c r="KWV1" s="230"/>
      <c r="KWW1" s="230"/>
      <c r="KWX1" s="230"/>
      <c r="KWY1" s="230"/>
      <c r="KWZ1" s="230"/>
      <c r="KXA1" s="230"/>
      <c r="KXB1" s="230"/>
      <c r="KXC1" s="230"/>
      <c r="KXD1" s="230"/>
      <c r="KXE1" s="230"/>
      <c r="KXF1" s="230"/>
      <c r="KXG1" s="230"/>
      <c r="KXH1" s="230"/>
      <c r="KXI1" s="230"/>
      <c r="KXJ1" s="230"/>
      <c r="KXK1" s="230"/>
      <c r="KXL1" s="230"/>
      <c r="KXM1" s="230"/>
      <c r="KXN1" s="230"/>
      <c r="KXO1" s="230"/>
      <c r="KXP1" s="230"/>
      <c r="KXQ1" s="230"/>
      <c r="KXR1" s="230"/>
      <c r="KXS1" s="230"/>
      <c r="KXT1" s="230"/>
      <c r="KXU1" s="230"/>
      <c r="KXV1" s="230"/>
      <c r="KXW1" s="230"/>
      <c r="KXX1" s="230"/>
      <c r="KXY1" s="230"/>
      <c r="KXZ1" s="230"/>
      <c r="KYA1" s="230"/>
      <c r="KYB1" s="230"/>
      <c r="KYC1" s="230"/>
      <c r="KYD1" s="230"/>
      <c r="KYE1" s="230"/>
      <c r="KYF1" s="230"/>
      <c r="KYG1" s="230"/>
      <c r="KYH1" s="230"/>
      <c r="KYI1" s="230"/>
      <c r="KYJ1" s="230"/>
      <c r="KYK1" s="230"/>
      <c r="KYL1" s="230"/>
      <c r="KYM1" s="230"/>
      <c r="KYN1" s="230"/>
      <c r="KYO1" s="230"/>
      <c r="KYP1" s="230"/>
      <c r="KYQ1" s="230"/>
      <c r="KYR1" s="230"/>
      <c r="KYS1" s="230"/>
      <c r="KYT1" s="230"/>
      <c r="KYU1" s="230"/>
      <c r="KYV1" s="230"/>
      <c r="KYW1" s="230"/>
      <c r="KYX1" s="230"/>
      <c r="KYY1" s="230"/>
      <c r="KYZ1" s="230"/>
      <c r="KZA1" s="230"/>
      <c r="KZB1" s="230"/>
      <c r="KZC1" s="230"/>
      <c r="KZD1" s="230"/>
      <c r="KZE1" s="230"/>
      <c r="KZF1" s="230"/>
      <c r="KZG1" s="230"/>
      <c r="KZH1" s="230"/>
      <c r="KZI1" s="230"/>
      <c r="KZJ1" s="230"/>
      <c r="KZK1" s="230"/>
      <c r="KZL1" s="230"/>
      <c r="KZM1" s="230"/>
      <c r="KZN1" s="230"/>
      <c r="KZO1" s="230"/>
      <c r="KZP1" s="230"/>
      <c r="KZQ1" s="230"/>
      <c r="KZR1" s="230"/>
      <c r="KZS1" s="230"/>
      <c r="KZT1" s="230"/>
      <c r="KZU1" s="230"/>
      <c r="KZV1" s="230"/>
      <c r="KZW1" s="230"/>
      <c r="KZX1" s="230"/>
      <c r="KZY1" s="230"/>
      <c r="KZZ1" s="230"/>
      <c r="LAA1" s="230"/>
      <c r="LAB1" s="230"/>
      <c r="LAC1" s="230"/>
      <c r="LAD1" s="230"/>
      <c r="LAE1" s="230"/>
      <c r="LAF1" s="230"/>
      <c r="LAG1" s="230"/>
      <c r="LAH1" s="230"/>
      <c r="LAI1" s="230"/>
      <c r="LAJ1" s="230"/>
      <c r="LAK1" s="230"/>
      <c r="LAL1" s="230"/>
      <c r="LAM1" s="230"/>
      <c r="LAN1" s="230"/>
      <c r="LAO1" s="230"/>
      <c r="LAP1" s="230"/>
      <c r="LAQ1" s="230"/>
      <c r="LAR1" s="230"/>
      <c r="LAS1" s="230"/>
      <c r="LAT1" s="230"/>
      <c r="LAU1" s="230"/>
      <c r="LAV1" s="230"/>
      <c r="LAW1" s="230"/>
      <c r="LAX1" s="230"/>
      <c r="LAY1" s="230"/>
      <c r="LAZ1" s="230"/>
      <c r="LBA1" s="230"/>
      <c r="LBB1" s="230"/>
      <c r="LBC1" s="230"/>
      <c r="LBD1" s="230"/>
      <c r="LBE1" s="230"/>
      <c r="LBF1" s="230"/>
      <c r="LBG1" s="230"/>
      <c r="LBH1" s="230"/>
      <c r="LBI1" s="230"/>
      <c r="LBJ1" s="230"/>
      <c r="LBK1" s="230"/>
      <c r="LBL1" s="230"/>
      <c r="LBM1" s="230"/>
      <c r="LBN1" s="230"/>
      <c r="LBO1" s="230"/>
      <c r="LBP1" s="230"/>
      <c r="LBQ1" s="230"/>
      <c r="LBR1" s="230"/>
      <c r="LBS1" s="230"/>
      <c r="LBT1" s="230"/>
      <c r="LBU1" s="230"/>
      <c r="LBV1" s="230"/>
      <c r="LBW1" s="230"/>
      <c r="LBX1" s="230"/>
      <c r="LBY1" s="230"/>
      <c r="LBZ1" s="230"/>
      <c r="LCA1" s="230"/>
      <c r="LCB1" s="230"/>
      <c r="LCC1" s="230"/>
      <c r="LCD1" s="230"/>
      <c r="LCE1" s="230"/>
      <c r="LCF1" s="230"/>
      <c r="LCG1" s="230"/>
      <c r="LCH1" s="230"/>
      <c r="LCI1" s="230"/>
      <c r="LCJ1" s="230"/>
      <c r="LCK1" s="230"/>
      <c r="LCL1" s="230"/>
      <c r="LCM1" s="230"/>
      <c r="LCN1" s="230"/>
      <c r="LCO1" s="230"/>
      <c r="LCP1" s="230"/>
      <c r="LCQ1" s="230"/>
      <c r="LCR1" s="230"/>
      <c r="LCS1" s="230"/>
      <c r="LCT1" s="230"/>
      <c r="LCU1" s="230"/>
      <c r="LCV1" s="230"/>
      <c r="LCW1" s="230"/>
      <c r="LCX1" s="230"/>
      <c r="LCY1" s="230"/>
      <c r="LCZ1" s="230"/>
      <c r="LDA1" s="230"/>
      <c r="LDB1" s="230"/>
      <c r="LDC1" s="230"/>
      <c r="LDD1" s="230"/>
      <c r="LDE1" s="230"/>
      <c r="LDF1" s="230"/>
      <c r="LDG1" s="230"/>
      <c r="LDH1" s="230"/>
      <c r="LDI1" s="230"/>
      <c r="LDJ1" s="230"/>
      <c r="LDK1" s="230"/>
      <c r="LDL1" s="230"/>
      <c r="LDM1" s="230"/>
      <c r="LDN1" s="230"/>
      <c r="LDO1" s="230"/>
      <c r="LDP1" s="230"/>
      <c r="LDQ1" s="230"/>
      <c r="LDR1" s="230"/>
      <c r="LDS1" s="230"/>
      <c r="LDT1" s="230"/>
      <c r="LDU1" s="230"/>
      <c r="LDV1" s="230"/>
      <c r="LDW1" s="230"/>
      <c r="LDX1" s="230"/>
      <c r="LDY1" s="230"/>
      <c r="LDZ1" s="230"/>
      <c r="LEA1" s="230"/>
      <c r="LEB1" s="230"/>
      <c r="LEC1" s="230"/>
      <c r="LED1" s="230"/>
      <c r="LEE1" s="230"/>
      <c r="LEF1" s="230"/>
      <c r="LEG1" s="230"/>
      <c r="LEH1" s="230"/>
      <c r="LEI1" s="230"/>
      <c r="LEJ1" s="230"/>
      <c r="LEK1" s="230"/>
      <c r="LEL1" s="230"/>
      <c r="LEM1" s="230"/>
      <c r="LEN1" s="230"/>
      <c r="LEO1" s="230"/>
      <c r="LEP1" s="230"/>
      <c r="LEQ1" s="230"/>
      <c r="LER1" s="230"/>
      <c r="LES1" s="230"/>
      <c r="LET1" s="230"/>
      <c r="LEU1" s="230"/>
      <c r="LEV1" s="230"/>
      <c r="LEW1" s="230"/>
      <c r="LEX1" s="230"/>
      <c r="LEY1" s="230"/>
      <c r="LEZ1" s="230"/>
      <c r="LFA1" s="230"/>
      <c r="LFB1" s="230"/>
      <c r="LFC1" s="230"/>
      <c r="LFD1" s="230"/>
      <c r="LFE1" s="230"/>
      <c r="LFF1" s="230"/>
      <c r="LFG1" s="230"/>
      <c r="LFH1" s="230"/>
      <c r="LFI1" s="230"/>
      <c r="LFJ1" s="230"/>
      <c r="LFK1" s="230"/>
      <c r="LFL1" s="230"/>
      <c r="LFM1" s="230"/>
      <c r="LFN1" s="230"/>
      <c r="LFO1" s="230"/>
      <c r="LFP1" s="230"/>
      <c r="LFQ1" s="230"/>
      <c r="LFR1" s="230"/>
      <c r="LFS1" s="230"/>
      <c r="LFT1" s="230"/>
      <c r="LFU1" s="230"/>
      <c r="LFV1" s="230"/>
      <c r="LFW1" s="230"/>
      <c r="LFX1" s="230"/>
      <c r="LFY1" s="230"/>
      <c r="LFZ1" s="230"/>
      <c r="LGA1" s="230"/>
      <c r="LGB1" s="230"/>
      <c r="LGC1" s="230"/>
      <c r="LGD1" s="230"/>
      <c r="LGE1" s="230"/>
      <c r="LGF1" s="230"/>
      <c r="LGG1" s="230"/>
      <c r="LGH1" s="230"/>
      <c r="LGI1" s="230"/>
      <c r="LGJ1" s="230"/>
      <c r="LGK1" s="230"/>
      <c r="LGL1" s="230"/>
      <c r="LGM1" s="230"/>
      <c r="LGN1" s="230"/>
      <c r="LGO1" s="230"/>
      <c r="LGP1" s="230"/>
      <c r="LGQ1" s="230"/>
      <c r="LGR1" s="230"/>
      <c r="LGS1" s="230"/>
      <c r="LGT1" s="230"/>
      <c r="LGU1" s="230"/>
      <c r="LGV1" s="230"/>
      <c r="LGW1" s="230"/>
      <c r="LGX1" s="230"/>
      <c r="LGY1" s="230"/>
      <c r="LGZ1" s="230"/>
      <c r="LHA1" s="230"/>
      <c r="LHB1" s="230"/>
      <c r="LHC1" s="230"/>
      <c r="LHD1" s="230"/>
      <c r="LHE1" s="230"/>
      <c r="LHF1" s="230"/>
      <c r="LHG1" s="230"/>
      <c r="LHH1" s="230"/>
      <c r="LHI1" s="230"/>
      <c r="LHJ1" s="230"/>
      <c r="LHK1" s="230"/>
      <c r="LHL1" s="230"/>
      <c r="LHM1" s="230"/>
      <c r="LHN1" s="230"/>
      <c r="LHO1" s="230"/>
      <c r="LHP1" s="230"/>
      <c r="LHQ1" s="230"/>
      <c r="LHR1" s="230"/>
      <c r="LHS1" s="230"/>
      <c r="LHT1" s="230"/>
      <c r="LHU1" s="230"/>
      <c r="LHV1" s="230"/>
      <c r="LHW1" s="230"/>
      <c r="LHX1" s="230"/>
      <c r="LHY1" s="230"/>
      <c r="LHZ1" s="230"/>
      <c r="LIA1" s="230"/>
      <c r="LIB1" s="230"/>
      <c r="LIC1" s="230"/>
      <c r="LID1" s="230"/>
      <c r="LIE1" s="230"/>
      <c r="LIF1" s="230"/>
      <c r="LIG1" s="230"/>
      <c r="LIH1" s="230"/>
      <c r="LII1" s="230"/>
      <c r="LIJ1" s="230"/>
      <c r="LIK1" s="230"/>
      <c r="LIL1" s="230"/>
      <c r="LIM1" s="230"/>
      <c r="LIN1" s="230"/>
      <c r="LIO1" s="230"/>
      <c r="LIP1" s="230"/>
      <c r="LIQ1" s="230"/>
      <c r="LIR1" s="230"/>
      <c r="LIS1" s="230"/>
      <c r="LIT1" s="230"/>
      <c r="LIU1" s="230"/>
      <c r="LIV1" s="230"/>
      <c r="LIW1" s="230"/>
      <c r="LIX1" s="230"/>
      <c r="LIY1" s="230"/>
      <c r="LIZ1" s="230"/>
      <c r="LJA1" s="230"/>
      <c r="LJB1" s="230"/>
      <c r="LJC1" s="230"/>
      <c r="LJD1" s="230"/>
      <c r="LJE1" s="230"/>
      <c r="LJF1" s="230"/>
      <c r="LJG1" s="230"/>
      <c r="LJH1" s="230"/>
      <c r="LJI1" s="230"/>
      <c r="LJJ1" s="230"/>
      <c r="LJK1" s="230"/>
      <c r="LJL1" s="230"/>
      <c r="LJM1" s="230"/>
      <c r="LJN1" s="230"/>
      <c r="LJO1" s="230"/>
      <c r="LJP1" s="230"/>
      <c r="LJQ1" s="230"/>
      <c r="LJR1" s="230"/>
      <c r="LJS1" s="230"/>
      <c r="LJT1" s="230"/>
      <c r="LJU1" s="230"/>
      <c r="LJV1" s="230"/>
      <c r="LJW1" s="230"/>
      <c r="LJX1" s="230"/>
      <c r="LJY1" s="230"/>
      <c r="LJZ1" s="230"/>
      <c r="LKA1" s="230"/>
      <c r="LKB1" s="230"/>
      <c r="LKC1" s="230"/>
      <c r="LKD1" s="230"/>
      <c r="LKE1" s="230"/>
      <c r="LKF1" s="230"/>
      <c r="LKG1" s="230"/>
      <c r="LKH1" s="230"/>
      <c r="LKI1" s="230"/>
      <c r="LKJ1" s="230"/>
      <c r="LKK1" s="230"/>
      <c r="LKL1" s="230"/>
      <c r="LKM1" s="230"/>
      <c r="LKN1" s="230"/>
      <c r="LKO1" s="230"/>
      <c r="LKP1" s="230"/>
      <c r="LKQ1" s="230"/>
      <c r="LKR1" s="230"/>
      <c r="LKS1" s="230"/>
      <c r="LKT1" s="230"/>
      <c r="LKU1" s="230"/>
      <c r="LKV1" s="230"/>
      <c r="LKW1" s="230"/>
      <c r="LKX1" s="230"/>
      <c r="LKY1" s="230"/>
      <c r="LKZ1" s="230"/>
      <c r="LLA1" s="230"/>
      <c r="LLB1" s="230"/>
      <c r="LLC1" s="230"/>
      <c r="LLD1" s="230"/>
      <c r="LLE1" s="230"/>
      <c r="LLF1" s="230"/>
      <c r="LLG1" s="230"/>
      <c r="LLH1" s="230"/>
      <c r="LLI1" s="230"/>
      <c r="LLJ1" s="230"/>
      <c r="LLK1" s="230"/>
      <c r="LLL1" s="230"/>
      <c r="LLM1" s="230"/>
      <c r="LLN1" s="230"/>
      <c r="LLO1" s="230"/>
      <c r="LLP1" s="230"/>
      <c r="LLQ1" s="230"/>
      <c r="LLR1" s="230"/>
      <c r="LLS1" s="230"/>
      <c r="LLT1" s="230"/>
      <c r="LLU1" s="230"/>
      <c r="LLV1" s="230"/>
      <c r="LLW1" s="230"/>
      <c r="LLX1" s="230"/>
      <c r="LLY1" s="230"/>
      <c r="LLZ1" s="230"/>
      <c r="LMA1" s="230"/>
      <c r="LMB1" s="230"/>
      <c r="LMC1" s="230"/>
      <c r="LMD1" s="230"/>
      <c r="LME1" s="230"/>
      <c r="LMF1" s="230"/>
      <c r="LMG1" s="230"/>
      <c r="LMH1" s="230"/>
      <c r="LMI1" s="230"/>
      <c r="LMJ1" s="230"/>
      <c r="LMK1" s="230"/>
      <c r="LML1" s="230"/>
      <c r="LMM1" s="230"/>
      <c r="LMN1" s="230"/>
      <c r="LMO1" s="230"/>
      <c r="LMP1" s="230"/>
      <c r="LMQ1" s="230"/>
      <c r="LMR1" s="230"/>
      <c r="LMS1" s="230"/>
      <c r="LMT1" s="230"/>
      <c r="LMU1" s="230"/>
      <c r="LMV1" s="230"/>
      <c r="LMW1" s="230"/>
      <c r="LMX1" s="230"/>
      <c r="LMY1" s="230"/>
      <c r="LMZ1" s="230"/>
      <c r="LNA1" s="230"/>
      <c r="LNB1" s="230"/>
      <c r="LNC1" s="230"/>
      <c r="LND1" s="230"/>
      <c r="LNE1" s="230"/>
      <c r="LNF1" s="230"/>
      <c r="LNG1" s="230"/>
      <c r="LNH1" s="230"/>
      <c r="LNI1" s="230"/>
      <c r="LNJ1" s="230"/>
      <c r="LNK1" s="230"/>
      <c r="LNL1" s="230"/>
      <c r="LNM1" s="230"/>
      <c r="LNN1" s="230"/>
      <c r="LNO1" s="230"/>
      <c r="LNP1" s="230"/>
      <c r="LNQ1" s="230"/>
      <c r="LNR1" s="230"/>
      <c r="LNS1" s="230"/>
      <c r="LNT1" s="230"/>
      <c r="LNU1" s="230"/>
      <c r="LNV1" s="230"/>
      <c r="LNW1" s="230"/>
      <c r="LNX1" s="230"/>
      <c r="LNY1" s="230"/>
      <c r="LNZ1" s="230"/>
      <c r="LOA1" s="230"/>
      <c r="LOB1" s="230"/>
      <c r="LOC1" s="230"/>
      <c r="LOD1" s="230"/>
      <c r="LOE1" s="230"/>
      <c r="LOF1" s="230"/>
      <c r="LOG1" s="230"/>
      <c r="LOH1" s="230"/>
      <c r="LOI1" s="230"/>
      <c r="LOJ1" s="230"/>
      <c r="LOK1" s="230"/>
      <c r="LOL1" s="230"/>
      <c r="LOM1" s="230"/>
      <c r="LON1" s="230"/>
      <c r="LOO1" s="230"/>
      <c r="LOP1" s="230"/>
      <c r="LOQ1" s="230"/>
      <c r="LOR1" s="230"/>
      <c r="LOS1" s="230"/>
      <c r="LOT1" s="230"/>
      <c r="LOU1" s="230"/>
      <c r="LOV1" s="230"/>
      <c r="LOW1" s="230"/>
      <c r="LOX1" s="230"/>
      <c r="LOY1" s="230"/>
      <c r="LOZ1" s="230"/>
      <c r="LPA1" s="230"/>
      <c r="LPB1" s="230"/>
      <c r="LPC1" s="230"/>
      <c r="LPD1" s="230"/>
      <c r="LPE1" s="230"/>
      <c r="LPF1" s="230"/>
      <c r="LPG1" s="230"/>
      <c r="LPH1" s="230"/>
      <c r="LPI1" s="230"/>
      <c r="LPJ1" s="230"/>
      <c r="LPK1" s="230"/>
      <c r="LPL1" s="230"/>
      <c r="LPM1" s="230"/>
      <c r="LPN1" s="230"/>
      <c r="LPO1" s="230"/>
      <c r="LPP1" s="230"/>
      <c r="LPQ1" s="230"/>
      <c r="LPR1" s="230"/>
      <c r="LPS1" s="230"/>
      <c r="LPT1" s="230"/>
      <c r="LPU1" s="230"/>
      <c r="LPV1" s="230"/>
      <c r="LPW1" s="230"/>
      <c r="LPX1" s="230"/>
      <c r="LPY1" s="230"/>
      <c r="LPZ1" s="230"/>
      <c r="LQA1" s="230"/>
      <c r="LQB1" s="230"/>
      <c r="LQC1" s="230"/>
      <c r="LQD1" s="230"/>
      <c r="LQE1" s="230"/>
      <c r="LQF1" s="230"/>
      <c r="LQG1" s="230"/>
      <c r="LQH1" s="230"/>
      <c r="LQI1" s="230"/>
      <c r="LQJ1" s="230"/>
      <c r="LQK1" s="230"/>
      <c r="LQL1" s="230"/>
      <c r="LQM1" s="230"/>
      <c r="LQN1" s="230"/>
      <c r="LQO1" s="230"/>
      <c r="LQP1" s="230"/>
      <c r="LQQ1" s="230"/>
      <c r="LQR1" s="230"/>
      <c r="LQS1" s="230"/>
      <c r="LQT1" s="230"/>
      <c r="LQU1" s="230"/>
      <c r="LQV1" s="230"/>
      <c r="LQW1" s="230"/>
      <c r="LQX1" s="230"/>
      <c r="LQY1" s="230"/>
      <c r="LQZ1" s="230"/>
      <c r="LRA1" s="230"/>
      <c r="LRB1" s="230"/>
      <c r="LRC1" s="230"/>
      <c r="LRD1" s="230"/>
      <c r="LRE1" s="230"/>
      <c r="LRF1" s="230"/>
      <c r="LRG1" s="230"/>
      <c r="LRH1" s="230"/>
      <c r="LRI1" s="230"/>
      <c r="LRJ1" s="230"/>
      <c r="LRK1" s="230"/>
      <c r="LRL1" s="230"/>
      <c r="LRM1" s="230"/>
      <c r="LRN1" s="230"/>
      <c r="LRO1" s="230"/>
      <c r="LRP1" s="230"/>
      <c r="LRQ1" s="230"/>
      <c r="LRR1" s="230"/>
      <c r="LRS1" s="230"/>
      <c r="LRT1" s="230"/>
      <c r="LRU1" s="230"/>
      <c r="LRV1" s="230"/>
      <c r="LRW1" s="230"/>
      <c r="LRX1" s="230"/>
      <c r="LRY1" s="230"/>
      <c r="LRZ1" s="230"/>
      <c r="LSA1" s="230"/>
      <c r="LSB1" s="230"/>
      <c r="LSC1" s="230"/>
      <c r="LSD1" s="230"/>
      <c r="LSE1" s="230"/>
      <c r="LSF1" s="230"/>
      <c r="LSG1" s="230"/>
      <c r="LSH1" s="230"/>
      <c r="LSI1" s="230"/>
      <c r="LSJ1" s="230"/>
      <c r="LSK1" s="230"/>
      <c r="LSL1" s="230"/>
      <c r="LSM1" s="230"/>
      <c r="LSN1" s="230"/>
      <c r="LSO1" s="230"/>
      <c r="LSP1" s="230"/>
      <c r="LSQ1" s="230"/>
      <c r="LSR1" s="230"/>
      <c r="LSS1" s="230"/>
      <c r="LST1" s="230"/>
      <c r="LSU1" s="230"/>
      <c r="LSV1" s="230"/>
      <c r="LSW1" s="230"/>
      <c r="LSX1" s="230"/>
      <c r="LSY1" s="230"/>
      <c r="LSZ1" s="230"/>
      <c r="LTA1" s="230"/>
      <c r="LTB1" s="230"/>
      <c r="LTC1" s="230"/>
      <c r="LTD1" s="230"/>
      <c r="LTE1" s="230"/>
      <c r="LTF1" s="230"/>
      <c r="LTG1" s="230"/>
      <c r="LTH1" s="230"/>
      <c r="LTI1" s="230"/>
      <c r="LTJ1" s="230"/>
      <c r="LTK1" s="230"/>
      <c r="LTL1" s="230"/>
      <c r="LTM1" s="230"/>
      <c r="LTN1" s="230"/>
      <c r="LTO1" s="230"/>
      <c r="LTP1" s="230"/>
      <c r="LTQ1" s="230"/>
      <c r="LTR1" s="230"/>
      <c r="LTS1" s="230"/>
      <c r="LTT1" s="230"/>
      <c r="LTU1" s="230"/>
      <c r="LTV1" s="230"/>
      <c r="LTW1" s="230"/>
      <c r="LTX1" s="230"/>
      <c r="LTY1" s="230"/>
      <c r="LTZ1" s="230"/>
      <c r="LUA1" s="230"/>
      <c r="LUB1" s="230"/>
      <c r="LUC1" s="230"/>
      <c r="LUD1" s="230"/>
      <c r="LUE1" s="230"/>
      <c r="LUF1" s="230"/>
      <c r="LUG1" s="230"/>
      <c r="LUH1" s="230"/>
      <c r="LUI1" s="230"/>
      <c r="LUJ1" s="230"/>
      <c r="LUK1" s="230"/>
      <c r="LUL1" s="230"/>
      <c r="LUM1" s="230"/>
      <c r="LUN1" s="230"/>
      <c r="LUO1" s="230"/>
      <c r="LUP1" s="230"/>
      <c r="LUQ1" s="230"/>
      <c r="LUR1" s="230"/>
      <c r="LUS1" s="230"/>
      <c r="LUT1" s="230"/>
      <c r="LUU1" s="230"/>
      <c r="LUV1" s="230"/>
      <c r="LUW1" s="230"/>
      <c r="LUX1" s="230"/>
      <c r="LUY1" s="230"/>
      <c r="LUZ1" s="230"/>
      <c r="LVA1" s="230"/>
      <c r="LVB1" s="230"/>
      <c r="LVC1" s="230"/>
      <c r="LVD1" s="230"/>
      <c r="LVE1" s="230"/>
      <c r="LVF1" s="230"/>
      <c r="LVG1" s="230"/>
      <c r="LVH1" s="230"/>
      <c r="LVI1" s="230"/>
      <c r="LVJ1" s="230"/>
      <c r="LVK1" s="230"/>
      <c r="LVL1" s="230"/>
      <c r="LVM1" s="230"/>
      <c r="LVN1" s="230"/>
      <c r="LVO1" s="230"/>
      <c r="LVP1" s="230"/>
      <c r="LVQ1" s="230"/>
      <c r="LVR1" s="230"/>
      <c r="LVS1" s="230"/>
      <c r="LVT1" s="230"/>
      <c r="LVU1" s="230"/>
      <c r="LVV1" s="230"/>
      <c r="LVW1" s="230"/>
      <c r="LVX1" s="230"/>
      <c r="LVY1" s="230"/>
      <c r="LVZ1" s="230"/>
      <c r="LWA1" s="230"/>
      <c r="LWB1" s="230"/>
      <c r="LWC1" s="230"/>
      <c r="LWD1" s="230"/>
      <c r="LWE1" s="230"/>
      <c r="LWF1" s="230"/>
      <c r="LWG1" s="230"/>
      <c r="LWH1" s="230"/>
      <c r="LWI1" s="230"/>
      <c r="LWJ1" s="230"/>
      <c r="LWK1" s="230"/>
      <c r="LWL1" s="230"/>
      <c r="LWM1" s="230"/>
      <c r="LWN1" s="230"/>
      <c r="LWO1" s="230"/>
      <c r="LWP1" s="230"/>
      <c r="LWQ1" s="230"/>
      <c r="LWR1" s="230"/>
      <c r="LWS1" s="230"/>
      <c r="LWT1" s="230"/>
      <c r="LWU1" s="230"/>
      <c r="LWV1" s="230"/>
      <c r="LWW1" s="230"/>
      <c r="LWX1" s="230"/>
      <c r="LWY1" s="230"/>
      <c r="LWZ1" s="230"/>
      <c r="LXA1" s="230"/>
      <c r="LXB1" s="230"/>
      <c r="LXC1" s="230"/>
      <c r="LXD1" s="230"/>
      <c r="LXE1" s="230"/>
      <c r="LXF1" s="230"/>
      <c r="LXG1" s="230"/>
      <c r="LXH1" s="230"/>
      <c r="LXI1" s="230"/>
      <c r="LXJ1" s="230"/>
      <c r="LXK1" s="230"/>
      <c r="LXL1" s="230"/>
      <c r="LXM1" s="230"/>
      <c r="LXN1" s="230"/>
      <c r="LXO1" s="230"/>
      <c r="LXP1" s="230"/>
      <c r="LXQ1" s="230"/>
      <c r="LXR1" s="230"/>
      <c r="LXS1" s="230"/>
      <c r="LXT1" s="230"/>
      <c r="LXU1" s="230"/>
      <c r="LXV1" s="230"/>
      <c r="LXW1" s="230"/>
      <c r="LXX1" s="230"/>
      <c r="LXY1" s="230"/>
      <c r="LXZ1" s="230"/>
      <c r="LYA1" s="230"/>
      <c r="LYB1" s="230"/>
      <c r="LYC1" s="230"/>
      <c r="LYD1" s="230"/>
      <c r="LYE1" s="230"/>
      <c r="LYF1" s="230"/>
      <c r="LYG1" s="230"/>
      <c r="LYH1" s="230"/>
      <c r="LYI1" s="230"/>
      <c r="LYJ1" s="230"/>
      <c r="LYK1" s="230"/>
      <c r="LYL1" s="230"/>
      <c r="LYM1" s="230"/>
      <c r="LYN1" s="230"/>
      <c r="LYO1" s="230"/>
      <c r="LYP1" s="230"/>
      <c r="LYQ1" s="230"/>
      <c r="LYR1" s="230"/>
      <c r="LYS1" s="230"/>
      <c r="LYT1" s="230"/>
      <c r="LYU1" s="230"/>
      <c r="LYV1" s="230"/>
      <c r="LYW1" s="230"/>
      <c r="LYX1" s="230"/>
      <c r="LYY1" s="230"/>
      <c r="LYZ1" s="230"/>
      <c r="LZA1" s="230"/>
      <c r="LZB1" s="230"/>
      <c r="LZC1" s="230"/>
      <c r="LZD1" s="230"/>
      <c r="LZE1" s="230"/>
      <c r="LZF1" s="230"/>
      <c r="LZG1" s="230"/>
      <c r="LZH1" s="230"/>
      <c r="LZI1" s="230"/>
      <c r="LZJ1" s="230"/>
      <c r="LZK1" s="230"/>
      <c r="LZL1" s="230"/>
      <c r="LZM1" s="230"/>
      <c r="LZN1" s="230"/>
      <c r="LZO1" s="230"/>
      <c r="LZP1" s="230"/>
      <c r="LZQ1" s="230"/>
      <c r="LZR1" s="230"/>
      <c r="LZS1" s="230"/>
      <c r="LZT1" s="230"/>
      <c r="LZU1" s="230"/>
      <c r="LZV1" s="230"/>
      <c r="LZW1" s="230"/>
      <c r="LZX1" s="230"/>
      <c r="LZY1" s="230"/>
      <c r="LZZ1" s="230"/>
      <c r="MAA1" s="230"/>
      <c r="MAB1" s="230"/>
      <c r="MAC1" s="230"/>
      <c r="MAD1" s="230"/>
      <c r="MAE1" s="230"/>
      <c r="MAF1" s="230"/>
      <c r="MAG1" s="230"/>
      <c r="MAH1" s="230"/>
      <c r="MAI1" s="230"/>
      <c r="MAJ1" s="230"/>
      <c r="MAK1" s="230"/>
      <c r="MAL1" s="230"/>
      <c r="MAM1" s="230"/>
      <c r="MAN1" s="230"/>
      <c r="MAO1" s="230"/>
      <c r="MAP1" s="230"/>
      <c r="MAQ1" s="230"/>
      <c r="MAR1" s="230"/>
      <c r="MAS1" s="230"/>
      <c r="MAT1" s="230"/>
      <c r="MAU1" s="230"/>
      <c r="MAV1" s="230"/>
      <c r="MAW1" s="230"/>
      <c r="MAX1" s="230"/>
      <c r="MAY1" s="230"/>
      <c r="MAZ1" s="230"/>
      <c r="MBA1" s="230"/>
      <c r="MBB1" s="230"/>
      <c r="MBC1" s="230"/>
      <c r="MBD1" s="230"/>
      <c r="MBE1" s="230"/>
      <c r="MBF1" s="230"/>
      <c r="MBG1" s="230"/>
      <c r="MBH1" s="230"/>
      <c r="MBI1" s="230"/>
      <c r="MBJ1" s="230"/>
      <c r="MBK1" s="230"/>
      <c r="MBL1" s="230"/>
      <c r="MBM1" s="230"/>
      <c r="MBN1" s="230"/>
      <c r="MBO1" s="230"/>
      <c r="MBP1" s="230"/>
      <c r="MBQ1" s="230"/>
      <c r="MBR1" s="230"/>
      <c r="MBS1" s="230"/>
      <c r="MBT1" s="230"/>
      <c r="MBU1" s="230"/>
      <c r="MBV1" s="230"/>
      <c r="MBW1" s="230"/>
      <c r="MBX1" s="230"/>
      <c r="MBY1" s="230"/>
      <c r="MBZ1" s="230"/>
      <c r="MCA1" s="230"/>
      <c r="MCB1" s="230"/>
      <c r="MCC1" s="230"/>
      <c r="MCD1" s="230"/>
      <c r="MCE1" s="230"/>
      <c r="MCF1" s="230"/>
      <c r="MCG1" s="230"/>
      <c r="MCH1" s="230"/>
      <c r="MCI1" s="230"/>
      <c r="MCJ1" s="230"/>
      <c r="MCK1" s="230"/>
      <c r="MCL1" s="230"/>
      <c r="MCM1" s="230"/>
      <c r="MCN1" s="230"/>
      <c r="MCO1" s="230"/>
      <c r="MCP1" s="230"/>
      <c r="MCQ1" s="230"/>
      <c r="MCR1" s="230"/>
      <c r="MCS1" s="230"/>
      <c r="MCT1" s="230"/>
      <c r="MCU1" s="230"/>
      <c r="MCV1" s="230"/>
      <c r="MCW1" s="230"/>
      <c r="MCX1" s="230"/>
      <c r="MCY1" s="230"/>
      <c r="MCZ1" s="230"/>
      <c r="MDA1" s="230"/>
      <c r="MDB1" s="230"/>
      <c r="MDC1" s="230"/>
      <c r="MDD1" s="230"/>
      <c r="MDE1" s="230"/>
      <c r="MDF1" s="230"/>
      <c r="MDG1" s="230"/>
      <c r="MDH1" s="230"/>
      <c r="MDI1" s="230"/>
      <c r="MDJ1" s="230"/>
      <c r="MDK1" s="230"/>
      <c r="MDL1" s="230"/>
      <c r="MDM1" s="230"/>
      <c r="MDN1" s="230"/>
      <c r="MDO1" s="230"/>
      <c r="MDP1" s="230"/>
      <c r="MDQ1" s="230"/>
      <c r="MDR1" s="230"/>
      <c r="MDS1" s="230"/>
      <c r="MDT1" s="230"/>
      <c r="MDU1" s="230"/>
      <c r="MDV1" s="230"/>
      <c r="MDW1" s="230"/>
      <c r="MDX1" s="230"/>
      <c r="MDY1" s="230"/>
      <c r="MDZ1" s="230"/>
      <c r="MEA1" s="230"/>
      <c r="MEB1" s="230"/>
      <c r="MEC1" s="230"/>
      <c r="MED1" s="230"/>
      <c r="MEE1" s="230"/>
      <c r="MEF1" s="230"/>
      <c r="MEG1" s="230"/>
      <c r="MEH1" s="230"/>
      <c r="MEI1" s="230"/>
      <c r="MEJ1" s="230"/>
      <c r="MEK1" s="230"/>
      <c r="MEL1" s="230"/>
      <c r="MEM1" s="230"/>
      <c r="MEN1" s="230"/>
      <c r="MEO1" s="230"/>
      <c r="MEP1" s="230"/>
      <c r="MEQ1" s="230"/>
      <c r="MER1" s="230"/>
      <c r="MES1" s="230"/>
      <c r="MET1" s="230"/>
      <c r="MEU1" s="230"/>
      <c r="MEV1" s="230"/>
      <c r="MEW1" s="230"/>
      <c r="MEX1" s="230"/>
      <c r="MEY1" s="230"/>
      <c r="MEZ1" s="230"/>
      <c r="MFA1" s="230"/>
      <c r="MFB1" s="230"/>
      <c r="MFC1" s="230"/>
      <c r="MFD1" s="230"/>
      <c r="MFE1" s="230"/>
      <c r="MFF1" s="230"/>
      <c r="MFG1" s="230"/>
      <c r="MFH1" s="230"/>
      <c r="MFI1" s="230"/>
      <c r="MFJ1" s="230"/>
      <c r="MFK1" s="230"/>
      <c r="MFL1" s="230"/>
      <c r="MFM1" s="230"/>
      <c r="MFN1" s="230"/>
      <c r="MFO1" s="230"/>
      <c r="MFP1" s="230"/>
      <c r="MFQ1" s="230"/>
      <c r="MFR1" s="230"/>
      <c r="MFS1" s="230"/>
      <c r="MFT1" s="230"/>
      <c r="MFU1" s="230"/>
      <c r="MFV1" s="230"/>
      <c r="MFW1" s="230"/>
      <c r="MFX1" s="230"/>
      <c r="MFY1" s="230"/>
      <c r="MFZ1" s="230"/>
      <c r="MGA1" s="230"/>
      <c r="MGB1" s="230"/>
      <c r="MGC1" s="230"/>
      <c r="MGD1" s="230"/>
      <c r="MGE1" s="230"/>
      <c r="MGF1" s="230"/>
      <c r="MGG1" s="230"/>
      <c r="MGH1" s="230"/>
      <c r="MGI1" s="230"/>
      <c r="MGJ1" s="230"/>
      <c r="MGK1" s="230"/>
      <c r="MGL1" s="230"/>
      <c r="MGM1" s="230"/>
      <c r="MGN1" s="230"/>
      <c r="MGO1" s="230"/>
      <c r="MGP1" s="230"/>
      <c r="MGQ1" s="230"/>
      <c r="MGR1" s="230"/>
      <c r="MGS1" s="230"/>
      <c r="MGT1" s="230"/>
      <c r="MGU1" s="230"/>
      <c r="MGV1" s="230"/>
      <c r="MGW1" s="230"/>
      <c r="MGX1" s="230"/>
      <c r="MGY1" s="230"/>
      <c r="MGZ1" s="230"/>
      <c r="MHA1" s="230"/>
      <c r="MHB1" s="230"/>
      <c r="MHC1" s="230"/>
      <c r="MHD1" s="230"/>
      <c r="MHE1" s="230"/>
      <c r="MHF1" s="230"/>
      <c r="MHG1" s="230"/>
      <c r="MHH1" s="230"/>
      <c r="MHI1" s="230"/>
      <c r="MHJ1" s="230"/>
      <c r="MHK1" s="230"/>
      <c r="MHL1" s="230"/>
      <c r="MHM1" s="230"/>
      <c r="MHN1" s="230"/>
      <c r="MHO1" s="230"/>
      <c r="MHP1" s="230"/>
      <c r="MHQ1" s="230"/>
      <c r="MHR1" s="230"/>
      <c r="MHS1" s="230"/>
      <c r="MHT1" s="230"/>
      <c r="MHU1" s="230"/>
      <c r="MHV1" s="230"/>
      <c r="MHW1" s="230"/>
      <c r="MHX1" s="230"/>
      <c r="MHY1" s="230"/>
      <c r="MHZ1" s="230"/>
      <c r="MIA1" s="230"/>
      <c r="MIB1" s="230"/>
      <c r="MIC1" s="230"/>
      <c r="MID1" s="230"/>
      <c r="MIE1" s="230"/>
      <c r="MIF1" s="230"/>
      <c r="MIG1" s="230"/>
      <c r="MIH1" s="230"/>
      <c r="MII1" s="230"/>
      <c r="MIJ1" s="230"/>
      <c r="MIK1" s="230"/>
      <c r="MIL1" s="230"/>
      <c r="MIM1" s="230"/>
      <c r="MIN1" s="230"/>
      <c r="MIO1" s="230"/>
      <c r="MIP1" s="230"/>
      <c r="MIQ1" s="230"/>
      <c r="MIR1" s="230"/>
      <c r="MIS1" s="230"/>
      <c r="MIT1" s="230"/>
      <c r="MIU1" s="230"/>
      <c r="MIV1" s="230"/>
      <c r="MIW1" s="230"/>
      <c r="MIX1" s="230"/>
      <c r="MIY1" s="230"/>
      <c r="MIZ1" s="230"/>
      <c r="MJA1" s="230"/>
      <c r="MJB1" s="230"/>
      <c r="MJC1" s="230"/>
      <c r="MJD1" s="230"/>
      <c r="MJE1" s="230"/>
      <c r="MJF1" s="230"/>
      <c r="MJG1" s="230"/>
      <c r="MJH1" s="230"/>
      <c r="MJI1" s="230"/>
      <c r="MJJ1" s="230"/>
      <c r="MJK1" s="230"/>
      <c r="MJL1" s="230"/>
      <c r="MJM1" s="230"/>
      <c r="MJN1" s="230"/>
      <c r="MJO1" s="230"/>
      <c r="MJP1" s="230"/>
      <c r="MJQ1" s="230"/>
      <c r="MJR1" s="230"/>
      <c r="MJS1" s="230"/>
      <c r="MJT1" s="230"/>
      <c r="MJU1" s="230"/>
      <c r="MJV1" s="230"/>
      <c r="MJW1" s="230"/>
      <c r="MJX1" s="230"/>
      <c r="MJY1" s="230"/>
      <c r="MJZ1" s="230"/>
      <c r="MKA1" s="230"/>
      <c r="MKB1" s="230"/>
      <c r="MKC1" s="230"/>
      <c r="MKD1" s="230"/>
      <c r="MKE1" s="230"/>
      <c r="MKF1" s="230"/>
      <c r="MKG1" s="230"/>
      <c r="MKH1" s="230"/>
      <c r="MKI1" s="230"/>
      <c r="MKJ1" s="230"/>
      <c r="MKK1" s="230"/>
      <c r="MKL1" s="230"/>
      <c r="MKM1" s="230"/>
      <c r="MKN1" s="230"/>
      <c r="MKO1" s="230"/>
      <c r="MKP1" s="230"/>
      <c r="MKQ1" s="230"/>
      <c r="MKR1" s="230"/>
      <c r="MKS1" s="230"/>
      <c r="MKT1" s="230"/>
      <c r="MKU1" s="230"/>
      <c r="MKV1" s="230"/>
      <c r="MKW1" s="230"/>
      <c r="MKX1" s="230"/>
      <c r="MKY1" s="230"/>
      <c r="MKZ1" s="230"/>
      <c r="MLA1" s="230"/>
      <c r="MLB1" s="230"/>
      <c r="MLC1" s="230"/>
      <c r="MLD1" s="230"/>
      <c r="MLE1" s="230"/>
      <c r="MLF1" s="230"/>
      <c r="MLG1" s="230"/>
      <c r="MLH1" s="230"/>
      <c r="MLI1" s="230"/>
      <c r="MLJ1" s="230"/>
      <c r="MLK1" s="230"/>
      <c r="MLL1" s="230"/>
      <c r="MLM1" s="230"/>
      <c r="MLN1" s="230"/>
      <c r="MLO1" s="230"/>
      <c r="MLP1" s="230"/>
      <c r="MLQ1" s="230"/>
      <c r="MLR1" s="230"/>
      <c r="MLS1" s="230"/>
      <c r="MLT1" s="230"/>
      <c r="MLU1" s="230"/>
      <c r="MLV1" s="230"/>
      <c r="MLW1" s="230"/>
      <c r="MLX1" s="230"/>
      <c r="MLY1" s="230"/>
      <c r="MLZ1" s="230"/>
      <c r="MMA1" s="230"/>
      <c r="MMB1" s="230"/>
      <c r="MMC1" s="230"/>
      <c r="MMD1" s="230"/>
      <c r="MME1" s="230"/>
      <c r="MMF1" s="230"/>
      <c r="MMG1" s="230"/>
      <c r="MMH1" s="230"/>
      <c r="MMI1" s="230"/>
      <c r="MMJ1" s="230"/>
      <c r="MMK1" s="230"/>
      <c r="MML1" s="230"/>
      <c r="MMM1" s="230"/>
      <c r="MMN1" s="230"/>
      <c r="MMO1" s="230"/>
      <c r="MMP1" s="230"/>
      <c r="MMQ1" s="230"/>
      <c r="MMR1" s="230"/>
      <c r="MMS1" s="230"/>
      <c r="MMT1" s="230"/>
      <c r="MMU1" s="230"/>
      <c r="MMV1" s="230"/>
      <c r="MMW1" s="230"/>
      <c r="MMX1" s="230"/>
      <c r="MMY1" s="230"/>
      <c r="MMZ1" s="230"/>
      <c r="MNA1" s="230"/>
      <c r="MNB1" s="230"/>
      <c r="MNC1" s="230"/>
      <c r="MND1" s="230"/>
      <c r="MNE1" s="230"/>
      <c r="MNF1" s="230"/>
      <c r="MNG1" s="230"/>
      <c r="MNH1" s="230"/>
      <c r="MNI1" s="230"/>
      <c r="MNJ1" s="230"/>
      <c r="MNK1" s="230"/>
      <c r="MNL1" s="230"/>
      <c r="MNM1" s="230"/>
      <c r="MNN1" s="230"/>
      <c r="MNO1" s="230"/>
      <c r="MNP1" s="230"/>
      <c r="MNQ1" s="230"/>
      <c r="MNR1" s="230"/>
      <c r="MNS1" s="230"/>
      <c r="MNT1" s="230"/>
      <c r="MNU1" s="230"/>
      <c r="MNV1" s="230"/>
      <c r="MNW1" s="230"/>
      <c r="MNX1" s="230"/>
      <c r="MNY1" s="230"/>
      <c r="MNZ1" s="230"/>
      <c r="MOA1" s="230"/>
      <c r="MOB1" s="230"/>
      <c r="MOC1" s="230"/>
      <c r="MOD1" s="230"/>
      <c r="MOE1" s="230"/>
      <c r="MOF1" s="230"/>
      <c r="MOG1" s="230"/>
      <c r="MOH1" s="230"/>
      <c r="MOI1" s="230"/>
      <c r="MOJ1" s="230"/>
      <c r="MOK1" s="230"/>
      <c r="MOL1" s="230"/>
      <c r="MOM1" s="230"/>
      <c r="MON1" s="230"/>
      <c r="MOO1" s="230"/>
      <c r="MOP1" s="230"/>
      <c r="MOQ1" s="230"/>
      <c r="MOR1" s="230"/>
      <c r="MOS1" s="230"/>
      <c r="MOT1" s="230"/>
      <c r="MOU1" s="230"/>
      <c r="MOV1" s="230"/>
      <c r="MOW1" s="230"/>
      <c r="MOX1" s="230"/>
      <c r="MOY1" s="230"/>
      <c r="MOZ1" s="230"/>
      <c r="MPA1" s="230"/>
      <c r="MPB1" s="230"/>
      <c r="MPC1" s="230"/>
      <c r="MPD1" s="230"/>
      <c r="MPE1" s="230"/>
      <c r="MPF1" s="230"/>
      <c r="MPG1" s="230"/>
      <c r="MPH1" s="230"/>
      <c r="MPI1" s="230"/>
      <c r="MPJ1" s="230"/>
      <c r="MPK1" s="230"/>
      <c r="MPL1" s="230"/>
      <c r="MPM1" s="230"/>
      <c r="MPN1" s="230"/>
      <c r="MPO1" s="230"/>
      <c r="MPP1" s="230"/>
      <c r="MPQ1" s="230"/>
      <c r="MPR1" s="230"/>
      <c r="MPS1" s="230"/>
      <c r="MPT1" s="230"/>
      <c r="MPU1" s="230"/>
      <c r="MPV1" s="230"/>
      <c r="MPW1" s="230"/>
      <c r="MPX1" s="230"/>
      <c r="MPY1" s="230"/>
      <c r="MPZ1" s="230"/>
      <c r="MQA1" s="230"/>
      <c r="MQB1" s="230"/>
      <c r="MQC1" s="230"/>
      <c r="MQD1" s="230"/>
      <c r="MQE1" s="230"/>
      <c r="MQF1" s="230"/>
      <c r="MQG1" s="230"/>
      <c r="MQH1" s="230"/>
      <c r="MQI1" s="230"/>
      <c r="MQJ1" s="230"/>
      <c r="MQK1" s="230"/>
      <c r="MQL1" s="230"/>
      <c r="MQM1" s="230"/>
      <c r="MQN1" s="230"/>
      <c r="MQO1" s="230"/>
      <c r="MQP1" s="230"/>
      <c r="MQQ1" s="230"/>
      <c r="MQR1" s="230"/>
      <c r="MQS1" s="230"/>
      <c r="MQT1" s="230"/>
      <c r="MQU1" s="230"/>
      <c r="MQV1" s="230"/>
      <c r="MQW1" s="230"/>
      <c r="MQX1" s="230"/>
      <c r="MQY1" s="230"/>
      <c r="MQZ1" s="230"/>
      <c r="MRA1" s="230"/>
      <c r="MRB1" s="230"/>
      <c r="MRC1" s="230"/>
      <c r="MRD1" s="230"/>
      <c r="MRE1" s="230"/>
      <c r="MRF1" s="230"/>
      <c r="MRG1" s="230"/>
      <c r="MRH1" s="230"/>
      <c r="MRI1" s="230"/>
      <c r="MRJ1" s="230"/>
      <c r="MRK1" s="230"/>
      <c r="MRL1" s="230"/>
      <c r="MRM1" s="230"/>
      <c r="MRN1" s="230"/>
      <c r="MRO1" s="230"/>
      <c r="MRP1" s="230"/>
      <c r="MRQ1" s="230"/>
      <c r="MRR1" s="230"/>
      <c r="MRS1" s="230"/>
      <c r="MRT1" s="230"/>
      <c r="MRU1" s="230"/>
      <c r="MRV1" s="230"/>
      <c r="MRW1" s="230"/>
      <c r="MRX1" s="230"/>
      <c r="MRY1" s="230"/>
      <c r="MRZ1" s="230"/>
      <c r="MSA1" s="230"/>
      <c r="MSB1" s="230"/>
      <c r="MSC1" s="230"/>
      <c r="MSD1" s="230"/>
      <c r="MSE1" s="230"/>
      <c r="MSF1" s="230"/>
      <c r="MSG1" s="230"/>
      <c r="MSH1" s="230"/>
      <c r="MSI1" s="230"/>
      <c r="MSJ1" s="230"/>
      <c r="MSK1" s="230"/>
      <c r="MSL1" s="230"/>
      <c r="MSM1" s="230"/>
      <c r="MSN1" s="230"/>
      <c r="MSO1" s="230"/>
      <c r="MSP1" s="230"/>
      <c r="MSQ1" s="230"/>
      <c r="MSR1" s="230"/>
      <c r="MSS1" s="230"/>
      <c r="MST1" s="230"/>
      <c r="MSU1" s="230"/>
      <c r="MSV1" s="230"/>
      <c r="MSW1" s="230"/>
      <c r="MSX1" s="230"/>
      <c r="MSY1" s="230"/>
      <c r="MSZ1" s="230"/>
      <c r="MTA1" s="230"/>
      <c r="MTB1" s="230"/>
      <c r="MTC1" s="230"/>
      <c r="MTD1" s="230"/>
      <c r="MTE1" s="230"/>
      <c r="MTF1" s="230"/>
      <c r="MTG1" s="230"/>
      <c r="MTH1" s="230"/>
      <c r="MTI1" s="230"/>
      <c r="MTJ1" s="230"/>
      <c r="MTK1" s="230"/>
      <c r="MTL1" s="230"/>
      <c r="MTM1" s="230"/>
      <c r="MTN1" s="230"/>
      <c r="MTO1" s="230"/>
      <c r="MTP1" s="230"/>
      <c r="MTQ1" s="230"/>
      <c r="MTR1" s="230"/>
      <c r="MTS1" s="230"/>
      <c r="MTT1" s="230"/>
      <c r="MTU1" s="230"/>
      <c r="MTV1" s="230"/>
      <c r="MTW1" s="230"/>
      <c r="MTX1" s="230"/>
      <c r="MTY1" s="230"/>
      <c r="MTZ1" s="230"/>
      <c r="MUA1" s="230"/>
      <c r="MUB1" s="230"/>
      <c r="MUC1" s="230"/>
      <c r="MUD1" s="230"/>
      <c r="MUE1" s="230"/>
      <c r="MUF1" s="230"/>
      <c r="MUG1" s="230"/>
      <c r="MUH1" s="230"/>
      <c r="MUI1" s="230"/>
      <c r="MUJ1" s="230"/>
      <c r="MUK1" s="230"/>
      <c r="MUL1" s="230"/>
      <c r="MUM1" s="230"/>
      <c r="MUN1" s="230"/>
      <c r="MUO1" s="230"/>
      <c r="MUP1" s="230"/>
      <c r="MUQ1" s="230"/>
      <c r="MUR1" s="230"/>
      <c r="MUS1" s="230"/>
      <c r="MUT1" s="230"/>
      <c r="MUU1" s="230"/>
      <c r="MUV1" s="230"/>
      <c r="MUW1" s="230"/>
      <c r="MUX1" s="230"/>
      <c r="MUY1" s="230"/>
      <c r="MUZ1" s="230"/>
      <c r="MVA1" s="230"/>
      <c r="MVB1" s="230"/>
      <c r="MVC1" s="230"/>
      <c r="MVD1" s="230"/>
      <c r="MVE1" s="230"/>
      <c r="MVF1" s="230"/>
      <c r="MVG1" s="230"/>
      <c r="MVH1" s="230"/>
      <c r="MVI1" s="230"/>
      <c r="MVJ1" s="230"/>
      <c r="MVK1" s="230"/>
      <c r="MVL1" s="230"/>
      <c r="MVM1" s="230"/>
      <c r="MVN1" s="230"/>
      <c r="MVO1" s="230"/>
      <c r="MVP1" s="230"/>
      <c r="MVQ1" s="230"/>
      <c r="MVR1" s="230"/>
      <c r="MVS1" s="230"/>
      <c r="MVT1" s="230"/>
      <c r="MVU1" s="230"/>
      <c r="MVV1" s="230"/>
      <c r="MVW1" s="230"/>
      <c r="MVX1" s="230"/>
      <c r="MVY1" s="230"/>
      <c r="MVZ1" s="230"/>
      <c r="MWA1" s="230"/>
      <c r="MWB1" s="230"/>
      <c r="MWC1" s="230"/>
      <c r="MWD1" s="230"/>
      <c r="MWE1" s="230"/>
      <c r="MWF1" s="230"/>
      <c r="MWG1" s="230"/>
      <c r="MWH1" s="230"/>
      <c r="MWI1" s="230"/>
      <c r="MWJ1" s="230"/>
      <c r="MWK1" s="230"/>
      <c r="MWL1" s="230"/>
      <c r="MWM1" s="230"/>
      <c r="MWN1" s="230"/>
      <c r="MWO1" s="230"/>
      <c r="MWP1" s="230"/>
      <c r="MWQ1" s="230"/>
      <c r="MWR1" s="230"/>
      <c r="MWS1" s="230"/>
      <c r="MWT1" s="230"/>
      <c r="MWU1" s="230"/>
      <c r="MWV1" s="230"/>
      <c r="MWW1" s="230"/>
      <c r="MWX1" s="230"/>
      <c r="MWY1" s="230"/>
      <c r="MWZ1" s="230"/>
      <c r="MXA1" s="230"/>
      <c r="MXB1" s="230"/>
      <c r="MXC1" s="230"/>
      <c r="MXD1" s="230"/>
      <c r="MXE1" s="230"/>
      <c r="MXF1" s="230"/>
      <c r="MXG1" s="230"/>
      <c r="MXH1" s="230"/>
      <c r="MXI1" s="230"/>
      <c r="MXJ1" s="230"/>
      <c r="MXK1" s="230"/>
      <c r="MXL1" s="230"/>
      <c r="MXM1" s="230"/>
      <c r="MXN1" s="230"/>
      <c r="MXO1" s="230"/>
      <c r="MXP1" s="230"/>
      <c r="MXQ1" s="230"/>
      <c r="MXR1" s="230"/>
      <c r="MXS1" s="230"/>
      <c r="MXT1" s="230"/>
      <c r="MXU1" s="230"/>
      <c r="MXV1" s="230"/>
      <c r="MXW1" s="230"/>
      <c r="MXX1" s="230"/>
      <c r="MXY1" s="230"/>
      <c r="MXZ1" s="230"/>
      <c r="MYA1" s="230"/>
      <c r="MYB1" s="230"/>
      <c r="MYC1" s="230"/>
      <c r="MYD1" s="230"/>
      <c r="MYE1" s="230"/>
      <c r="MYF1" s="230"/>
      <c r="MYG1" s="230"/>
      <c r="MYH1" s="230"/>
      <c r="MYI1" s="230"/>
      <c r="MYJ1" s="230"/>
      <c r="MYK1" s="230"/>
      <c r="MYL1" s="230"/>
      <c r="MYM1" s="230"/>
      <c r="MYN1" s="230"/>
      <c r="MYO1" s="230"/>
      <c r="MYP1" s="230"/>
      <c r="MYQ1" s="230"/>
      <c r="MYR1" s="230"/>
      <c r="MYS1" s="230"/>
      <c r="MYT1" s="230"/>
      <c r="MYU1" s="230"/>
      <c r="MYV1" s="230"/>
      <c r="MYW1" s="230"/>
      <c r="MYX1" s="230"/>
      <c r="MYY1" s="230"/>
      <c r="MYZ1" s="230"/>
      <c r="MZA1" s="230"/>
      <c r="MZB1" s="230"/>
      <c r="MZC1" s="230"/>
      <c r="MZD1" s="230"/>
      <c r="MZE1" s="230"/>
      <c r="MZF1" s="230"/>
      <c r="MZG1" s="230"/>
      <c r="MZH1" s="230"/>
      <c r="MZI1" s="230"/>
      <c r="MZJ1" s="230"/>
      <c r="MZK1" s="230"/>
      <c r="MZL1" s="230"/>
      <c r="MZM1" s="230"/>
      <c r="MZN1" s="230"/>
      <c r="MZO1" s="230"/>
      <c r="MZP1" s="230"/>
      <c r="MZQ1" s="230"/>
      <c r="MZR1" s="230"/>
      <c r="MZS1" s="230"/>
      <c r="MZT1" s="230"/>
      <c r="MZU1" s="230"/>
      <c r="MZV1" s="230"/>
      <c r="MZW1" s="230"/>
      <c r="MZX1" s="230"/>
      <c r="MZY1" s="230"/>
      <c r="MZZ1" s="230"/>
      <c r="NAA1" s="230"/>
      <c r="NAB1" s="230"/>
      <c r="NAC1" s="230"/>
      <c r="NAD1" s="230"/>
      <c r="NAE1" s="230"/>
      <c r="NAF1" s="230"/>
      <c r="NAG1" s="230"/>
      <c r="NAH1" s="230"/>
      <c r="NAI1" s="230"/>
      <c r="NAJ1" s="230"/>
      <c r="NAK1" s="230"/>
      <c r="NAL1" s="230"/>
      <c r="NAM1" s="230"/>
      <c r="NAN1" s="230"/>
      <c r="NAO1" s="230"/>
      <c r="NAP1" s="230"/>
      <c r="NAQ1" s="230"/>
      <c r="NAR1" s="230"/>
      <c r="NAS1" s="230"/>
      <c r="NAT1" s="230"/>
      <c r="NAU1" s="230"/>
      <c r="NAV1" s="230"/>
      <c r="NAW1" s="230"/>
      <c r="NAX1" s="230"/>
      <c r="NAY1" s="230"/>
      <c r="NAZ1" s="230"/>
      <c r="NBA1" s="230"/>
      <c r="NBB1" s="230"/>
      <c r="NBC1" s="230"/>
      <c r="NBD1" s="230"/>
      <c r="NBE1" s="230"/>
      <c r="NBF1" s="230"/>
      <c r="NBG1" s="230"/>
      <c r="NBH1" s="230"/>
      <c r="NBI1" s="230"/>
      <c r="NBJ1" s="230"/>
      <c r="NBK1" s="230"/>
      <c r="NBL1" s="230"/>
      <c r="NBM1" s="230"/>
      <c r="NBN1" s="230"/>
      <c r="NBO1" s="230"/>
      <c r="NBP1" s="230"/>
      <c r="NBQ1" s="230"/>
      <c r="NBR1" s="230"/>
      <c r="NBS1" s="230"/>
      <c r="NBT1" s="230"/>
      <c r="NBU1" s="230"/>
      <c r="NBV1" s="230"/>
      <c r="NBW1" s="230"/>
      <c r="NBX1" s="230"/>
      <c r="NBY1" s="230"/>
      <c r="NBZ1" s="230"/>
      <c r="NCA1" s="230"/>
      <c r="NCB1" s="230"/>
      <c r="NCC1" s="230"/>
      <c r="NCD1" s="230"/>
      <c r="NCE1" s="230"/>
      <c r="NCF1" s="230"/>
      <c r="NCG1" s="230"/>
      <c r="NCH1" s="230"/>
      <c r="NCI1" s="230"/>
      <c r="NCJ1" s="230"/>
      <c r="NCK1" s="230"/>
      <c r="NCL1" s="230"/>
      <c r="NCM1" s="230"/>
      <c r="NCN1" s="230"/>
      <c r="NCO1" s="230"/>
      <c r="NCP1" s="230"/>
      <c r="NCQ1" s="230"/>
      <c r="NCR1" s="230"/>
      <c r="NCS1" s="230"/>
      <c r="NCT1" s="230"/>
      <c r="NCU1" s="230"/>
      <c r="NCV1" s="230"/>
      <c r="NCW1" s="230"/>
      <c r="NCX1" s="230"/>
      <c r="NCY1" s="230"/>
      <c r="NCZ1" s="230"/>
      <c r="NDA1" s="230"/>
      <c r="NDB1" s="230"/>
      <c r="NDC1" s="230"/>
      <c r="NDD1" s="230"/>
      <c r="NDE1" s="230"/>
      <c r="NDF1" s="230"/>
      <c r="NDG1" s="230"/>
      <c r="NDH1" s="230"/>
      <c r="NDI1" s="230"/>
      <c r="NDJ1" s="230"/>
      <c r="NDK1" s="230"/>
      <c r="NDL1" s="230"/>
      <c r="NDM1" s="230"/>
      <c r="NDN1" s="230"/>
      <c r="NDO1" s="230"/>
      <c r="NDP1" s="230"/>
      <c r="NDQ1" s="230"/>
      <c r="NDR1" s="230"/>
      <c r="NDS1" s="230"/>
      <c r="NDT1" s="230"/>
      <c r="NDU1" s="230"/>
      <c r="NDV1" s="230"/>
      <c r="NDW1" s="230"/>
      <c r="NDX1" s="230"/>
      <c r="NDY1" s="230"/>
      <c r="NDZ1" s="230"/>
      <c r="NEA1" s="230"/>
      <c r="NEB1" s="230"/>
      <c r="NEC1" s="230"/>
      <c r="NED1" s="230"/>
      <c r="NEE1" s="230"/>
      <c r="NEF1" s="230"/>
      <c r="NEG1" s="230"/>
      <c r="NEH1" s="230"/>
      <c r="NEI1" s="230"/>
      <c r="NEJ1" s="230"/>
      <c r="NEK1" s="230"/>
      <c r="NEL1" s="230"/>
      <c r="NEM1" s="230"/>
      <c r="NEN1" s="230"/>
      <c r="NEO1" s="230"/>
      <c r="NEP1" s="230"/>
      <c r="NEQ1" s="230"/>
      <c r="NER1" s="230"/>
      <c r="NES1" s="230"/>
      <c r="NET1" s="230"/>
      <c r="NEU1" s="230"/>
      <c r="NEV1" s="230"/>
      <c r="NEW1" s="230"/>
      <c r="NEX1" s="230"/>
      <c r="NEY1" s="230"/>
      <c r="NEZ1" s="230"/>
      <c r="NFA1" s="230"/>
      <c r="NFB1" s="230"/>
      <c r="NFC1" s="230"/>
      <c r="NFD1" s="230"/>
      <c r="NFE1" s="230"/>
      <c r="NFF1" s="230"/>
      <c r="NFG1" s="230"/>
      <c r="NFH1" s="230"/>
      <c r="NFI1" s="230"/>
      <c r="NFJ1" s="230"/>
      <c r="NFK1" s="230"/>
      <c r="NFL1" s="230"/>
      <c r="NFM1" s="230"/>
      <c r="NFN1" s="230"/>
      <c r="NFO1" s="230"/>
      <c r="NFP1" s="230"/>
      <c r="NFQ1" s="230"/>
      <c r="NFR1" s="230"/>
      <c r="NFS1" s="230"/>
      <c r="NFT1" s="230"/>
      <c r="NFU1" s="230"/>
      <c r="NFV1" s="230"/>
      <c r="NFW1" s="230"/>
      <c r="NFX1" s="230"/>
      <c r="NFY1" s="230"/>
      <c r="NFZ1" s="230"/>
      <c r="NGA1" s="230"/>
      <c r="NGB1" s="230"/>
      <c r="NGC1" s="230"/>
      <c r="NGD1" s="230"/>
      <c r="NGE1" s="230"/>
      <c r="NGF1" s="230"/>
      <c r="NGG1" s="230"/>
      <c r="NGH1" s="230"/>
      <c r="NGI1" s="230"/>
      <c r="NGJ1" s="230"/>
      <c r="NGK1" s="230"/>
      <c r="NGL1" s="230"/>
      <c r="NGM1" s="230"/>
      <c r="NGN1" s="230"/>
      <c r="NGO1" s="230"/>
      <c r="NGP1" s="230"/>
      <c r="NGQ1" s="230"/>
      <c r="NGR1" s="230"/>
      <c r="NGS1" s="230"/>
      <c r="NGT1" s="230"/>
      <c r="NGU1" s="230"/>
      <c r="NGV1" s="230"/>
      <c r="NGW1" s="230"/>
      <c r="NGX1" s="230"/>
      <c r="NGY1" s="230"/>
      <c r="NGZ1" s="230"/>
      <c r="NHA1" s="230"/>
      <c r="NHB1" s="230"/>
      <c r="NHC1" s="230"/>
      <c r="NHD1" s="230"/>
      <c r="NHE1" s="230"/>
      <c r="NHF1" s="230"/>
      <c r="NHG1" s="230"/>
      <c r="NHH1" s="230"/>
      <c r="NHI1" s="230"/>
      <c r="NHJ1" s="230"/>
      <c r="NHK1" s="230"/>
      <c r="NHL1" s="230"/>
      <c r="NHM1" s="230"/>
      <c r="NHN1" s="230"/>
      <c r="NHO1" s="230"/>
      <c r="NHP1" s="230"/>
      <c r="NHQ1" s="230"/>
      <c r="NHR1" s="230"/>
      <c r="NHS1" s="230"/>
      <c r="NHT1" s="230"/>
      <c r="NHU1" s="230"/>
      <c r="NHV1" s="230"/>
      <c r="NHW1" s="230"/>
      <c r="NHX1" s="230"/>
      <c r="NHY1" s="230"/>
      <c r="NHZ1" s="230"/>
      <c r="NIA1" s="230"/>
      <c r="NIB1" s="230"/>
      <c r="NIC1" s="230"/>
      <c r="NID1" s="230"/>
      <c r="NIE1" s="230"/>
      <c r="NIF1" s="230"/>
      <c r="NIG1" s="230"/>
      <c r="NIH1" s="230"/>
      <c r="NII1" s="230"/>
      <c r="NIJ1" s="230"/>
      <c r="NIK1" s="230"/>
      <c r="NIL1" s="230"/>
      <c r="NIM1" s="230"/>
      <c r="NIN1" s="230"/>
      <c r="NIO1" s="230"/>
      <c r="NIP1" s="230"/>
      <c r="NIQ1" s="230"/>
      <c r="NIR1" s="230"/>
      <c r="NIS1" s="230"/>
      <c r="NIT1" s="230"/>
      <c r="NIU1" s="230"/>
      <c r="NIV1" s="230"/>
      <c r="NIW1" s="230"/>
      <c r="NIX1" s="230"/>
      <c r="NIY1" s="230"/>
      <c r="NIZ1" s="230"/>
      <c r="NJA1" s="230"/>
      <c r="NJB1" s="230"/>
      <c r="NJC1" s="230"/>
      <c r="NJD1" s="230"/>
      <c r="NJE1" s="230"/>
      <c r="NJF1" s="230"/>
      <c r="NJG1" s="230"/>
      <c r="NJH1" s="230"/>
      <c r="NJI1" s="230"/>
      <c r="NJJ1" s="230"/>
      <c r="NJK1" s="230"/>
      <c r="NJL1" s="230"/>
      <c r="NJM1" s="230"/>
      <c r="NJN1" s="230"/>
      <c r="NJO1" s="230"/>
      <c r="NJP1" s="230"/>
      <c r="NJQ1" s="230"/>
      <c r="NJR1" s="230"/>
      <c r="NJS1" s="230"/>
      <c r="NJT1" s="230"/>
      <c r="NJU1" s="230"/>
      <c r="NJV1" s="230"/>
      <c r="NJW1" s="230"/>
      <c r="NJX1" s="230"/>
      <c r="NJY1" s="230"/>
      <c r="NJZ1" s="230"/>
      <c r="NKA1" s="230"/>
      <c r="NKB1" s="230"/>
      <c r="NKC1" s="230"/>
      <c r="NKD1" s="230"/>
      <c r="NKE1" s="230"/>
      <c r="NKF1" s="230"/>
      <c r="NKG1" s="230"/>
      <c r="NKH1" s="230"/>
      <c r="NKI1" s="230"/>
      <c r="NKJ1" s="230"/>
      <c r="NKK1" s="230"/>
      <c r="NKL1" s="230"/>
      <c r="NKM1" s="230"/>
      <c r="NKN1" s="230"/>
      <c r="NKO1" s="230"/>
      <c r="NKP1" s="230"/>
      <c r="NKQ1" s="230"/>
      <c r="NKR1" s="230"/>
      <c r="NKS1" s="230"/>
      <c r="NKT1" s="230"/>
      <c r="NKU1" s="230"/>
      <c r="NKV1" s="230"/>
      <c r="NKW1" s="230"/>
      <c r="NKX1" s="230"/>
      <c r="NKY1" s="230"/>
      <c r="NKZ1" s="230"/>
      <c r="NLA1" s="230"/>
      <c r="NLB1" s="230"/>
      <c r="NLC1" s="230"/>
      <c r="NLD1" s="230"/>
      <c r="NLE1" s="230"/>
      <c r="NLF1" s="230"/>
      <c r="NLG1" s="230"/>
      <c r="NLH1" s="230"/>
      <c r="NLI1" s="230"/>
      <c r="NLJ1" s="230"/>
      <c r="NLK1" s="230"/>
      <c r="NLL1" s="230"/>
      <c r="NLM1" s="230"/>
      <c r="NLN1" s="230"/>
      <c r="NLO1" s="230"/>
      <c r="NLP1" s="230"/>
      <c r="NLQ1" s="230"/>
      <c r="NLR1" s="230"/>
      <c r="NLS1" s="230"/>
      <c r="NLT1" s="230"/>
      <c r="NLU1" s="230"/>
      <c r="NLV1" s="230"/>
      <c r="NLW1" s="230"/>
      <c r="NLX1" s="230"/>
      <c r="NLY1" s="230"/>
      <c r="NLZ1" s="230"/>
      <c r="NMA1" s="230"/>
      <c r="NMB1" s="230"/>
      <c r="NMC1" s="230"/>
      <c r="NMD1" s="230"/>
      <c r="NME1" s="230"/>
      <c r="NMF1" s="230"/>
      <c r="NMG1" s="230"/>
      <c r="NMH1" s="230"/>
      <c r="NMI1" s="230"/>
      <c r="NMJ1" s="230"/>
      <c r="NMK1" s="230"/>
      <c r="NML1" s="230"/>
      <c r="NMM1" s="230"/>
      <c r="NMN1" s="230"/>
      <c r="NMO1" s="230"/>
      <c r="NMP1" s="230"/>
      <c r="NMQ1" s="230"/>
      <c r="NMR1" s="230"/>
      <c r="NMS1" s="230"/>
      <c r="NMT1" s="230"/>
      <c r="NMU1" s="230"/>
      <c r="NMV1" s="230"/>
      <c r="NMW1" s="230"/>
      <c r="NMX1" s="230"/>
      <c r="NMY1" s="230"/>
      <c r="NMZ1" s="230"/>
      <c r="NNA1" s="230"/>
      <c r="NNB1" s="230"/>
      <c r="NNC1" s="230"/>
      <c r="NND1" s="230"/>
      <c r="NNE1" s="230"/>
      <c r="NNF1" s="230"/>
      <c r="NNG1" s="230"/>
      <c r="NNH1" s="230"/>
      <c r="NNI1" s="230"/>
      <c r="NNJ1" s="230"/>
      <c r="NNK1" s="230"/>
      <c r="NNL1" s="230"/>
      <c r="NNM1" s="230"/>
      <c r="NNN1" s="230"/>
      <c r="NNO1" s="230"/>
      <c r="NNP1" s="230"/>
      <c r="NNQ1" s="230"/>
      <c r="NNR1" s="230"/>
      <c r="NNS1" s="230"/>
      <c r="NNT1" s="230"/>
      <c r="NNU1" s="230"/>
      <c r="NNV1" s="230"/>
      <c r="NNW1" s="230"/>
      <c r="NNX1" s="230"/>
      <c r="NNY1" s="230"/>
      <c r="NNZ1" s="230"/>
      <c r="NOA1" s="230"/>
      <c r="NOB1" s="230"/>
      <c r="NOC1" s="230"/>
      <c r="NOD1" s="230"/>
      <c r="NOE1" s="230"/>
      <c r="NOF1" s="230"/>
      <c r="NOG1" s="230"/>
      <c r="NOH1" s="230"/>
      <c r="NOI1" s="230"/>
      <c r="NOJ1" s="230"/>
      <c r="NOK1" s="230"/>
      <c r="NOL1" s="230"/>
      <c r="NOM1" s="230"/>
      <c r="NON1" s="230"/>
      <c r="NOO1" s="230"/>
      <c r="NOP1" s="230"/>
      <c r="NOQ1" s="230"/>
      <c r="NOR1" s="230"/>
      <c r="NOS1" s="230"/>
      <c r="NOT1" s="230"/>
      <c r="NOU1" s="230"/>
      <c r="NOV1" s="230"/>
      <c r="NOW1" s="230"/>
      <c r="NOX1" s="230"/>
      <c r="NOY1" s="230"/>
      <c r="NOZ1" s="230"/>
      <c r="NPA1" s="230"/>
      <c r="NPB1" s="230"/>
      <c r="NPC1" s="230"/>
      <c r="NPD1" s="230"/>
      <c r="NPE1" s="230"/>
      <c r="NPF1" s="230"/>
      <c r="NPG1" s="230"/>
      <c r="NPH1" s="230"/>
      <c r="NPI1" s="230"/>
      <c r="NPJ1" s="230"/>
      <c r="NPK1" s="230"/>
      <c r="NPL1" s="230"/>
      <c r="NPM1" s="230"/>
      <c r="NPN1" s="230"/>
      <c r="NPO1" s="230"/>
      <c r="NPP1" s="230"/>
      <c r="NPQ1" s="230"/>
      <c r="NPR1" s="230"/>
      <c r="NPS1" s="230"/>
      <c r="NPT1" s="230"/>
      <c r="NPU1" s="230"/>
      <c r="NPV1" s="230"/>
      <c r="NPW1" s="230"/>
      <c r="NPX1" s="230"/>
      <c r="NPY1" s="230"/>
      <c r="NPZ1" s="230"/>
      <c r="NQA1" s="230"/>
      <c r="NQB1" s="230"/>
      <c r="NQC1" s="230"/>
      <c r="NQD1" s="230"/>
      <c r="NQE1" s="230"/>
      <c r="NQF1" s="230"/>
      <c r="NQG1" s="230"/>
      <c r="NQH1" s="230"/>
      <c r="NQI1" s="230"/>
      <c r="NQJ1" s="230"/>
      <c r="NQK1" s="230"/>
      <c r="NQL1" s="230"/>
      <c r="NQM1" s="230"/>
      <c r="NQN1" s="230"/>
      <c r="NQO1" s="230"/>
      <c r="NQP1" s="230"/>
      <c r="NQQ1" s="230"/>
      <c r="NQR1" s="230"/>
      <c r="NQS1" s="230"/>
      <c r="NQT1" s="230"/>
      <c r="NQU1" s="230"/>
      <c r="NQV1" s="230"/>
      <c r="NQW1" s="230"/>
      <c r="NQX1" s="230"/>
      <c r="NQY1" s="230"/>
      <c r="NQZ1" s="230"/>
      <c r="NRA1" s="230"/>
      <c r="NRB1" s="230"/>
      <c r="NRC1" s="230"/>
      <c r="NRD1" s="230"/>
      <c r="NRE1" s="230"/>
      <c r="NRF1" s="230"/>
      <c r="NRG1" s="230"/>
      <c r="NRH1" s="230"/>
      <c r="NRI1" s="230"/>
      <c r="NRJ1" s="230"/>
      <c r="NRK1" s="230"/>
      <c r="NRL1" s="230"/>
      <c r="NRM1" s="230"/>
      <c r="NRN1" s="230"/>
      <c r="NRO1" s="230"/>
      <c r="NRP1" s="230"/>
      <c r="NRQ1" s="230"/>
      <c r="NRR1" s="230"/>
      <c r="NRS1" s="230"/>
      <c r="NRT1" s="230"/>
      <c r="NRU1" s="230"/>
      <c r="NRV1" s="230"/>
      <c r="NRW1" s="230"/>
      <c r="NRX1" s="230"/>
      <c r="NRY1" s="230"/>
      <c r="NRZ1" s="230"/>
      <c r="NSA1" s="230"/>
      <c r="NSB1" s="230"/>
      <c r="NSC1" s="230"/>
      <c r="NSD1" s="230"/>
      <c r="NSE1" s="230"/>
      <c r="NSF1" s="230"/>
      <c r="NSG1" s="230"/>
      <c r="NSH1" s="230"/>
      <c r="NSI1" s="230"/>
      <c r="NSJ1" s="230"/>
      <c r="NSK1" s="230"/>
      <c r="NSL1" s="230"/>
      <c r="NSM1" s="230"/>
      <c r="NSN1" s="230"/>
      <c r="NSO1" s="230"/>
      <c r="NSP1" s="230"/>
      <c r="NSQ1" s="230"/>
      <c r="NSR1" s="230"/>
      <c r="NSS1" s="230"/>
      <c r="NST1" s="230"/>
      <c r="NSU1" s="230"/>
      <c r="NSV1" s="230"/>
      <c r="NSW1" s="230"/>
      <c r="NSX1" s="230"/>
      <c r="NSY1" s="230"/>
      <c r="NSZ1" s="230"/>
      <c r="NTA1" s="230"/>
      <c r="NTB1" s="230"/>
      <c r="NTC1" s="230"/>
      <c r="NTD1" s="230"/>
      <c r="NTE1" s="230"/>
      <c r="NTF1" s="230"/>
      <c r="NTG1" s="230"/>
      <c r="NTH1" s="230"/>
      <c r="NTI1" s="230"/>
      <c r="NTJ1" s="230"/>
      <c r="NTK1" s="230"/>
      <c r="NTL1" s="230"/>
      <c r="NTM1" s="230"/>
      <c r="NTN1" s="230"/>
      <c r="NTO1" s="230"/>
      <c r="NTP1" s="230"/>
      <c r="NTQ1" s="230"/>
      <c r="NTR1" s="230"/>
      <c r="NTS1" s="230"/>
      <c r="NTT1" s="230"/>
      <c r="NTU1" s="230"/>
      <c r="NTV1" s="230"/>
      <c r="NTW1" s="230"/>
      <c r="NTX1" s="230"/>
      <c r="NTY1" s="230"/>
      <c r="NTZ1" s="230"/>
      <c r="NUA1" s="230"/>
      <c r="NUB1" s="230"/>
      <c r="NUC1" s="230"/>
      <c r="NUD1" s="230"/>
      <c r="NUE1" s="230"/>
      <c r="NUF1" s="230"/>
      <c r="NUG1" s="230"/>
      <c r="NUH1" s="230"/>
      <c r="NUI1" s="230"/>
      <c r="NUJ1" s="230"/>
      <c r="NUK1" s="230"/>
      <c r="NUL1" s="230"/>
      <c r="NUM1" s="230"/>
      <c r="NUN1" s="230"/>
      <c r="NUO1" s="230"/>
      <c r="NUP1" s="230"/>
      <c r="NUQ1" s="230"/>
      <c r="NUR1" s="230"/>
      <c r="NUS1" s="230"/>
      <c r="NUT1" s="230"/>
      <c r="NUU1" s="230"/>
      <c r="NUV1" s="230"/>
      <c r="NUW1" s="230"/>
      <c r="NUX1" s="230"/>
      <c r="NUY1" s="230"/>
      <c r="NUZ1" s="230"/>
      <c r="NVA1" s="230"/>
      <c r="NVB1" s="230"/>
      <c r="NVC1" s="230"/>
      <c r="NVD1" s="230"/>
      <c r="NVE1" s="230"/>
      <c r="NVF1" s="230"/>
      <c r="NVG1" s="230"/>
      <c r="NVH1" s="230"/>
      <c r="NVI1" s="230"/>
      <c r="NVJ1" s="230"/>
      <c r="NVK1" s="230"/>
      <c r="NVL1" s="230"/>
      <c r="NVM1" s="230"/>
      <c r="NVN1" s="230"/>
      <c r="NVO1" s="230"/>
      <c r="NVP1" s="230"/>
      <c r="NVQ1" s="230"/>
      <c r="NVR1" s="230"/>
      <c r="NVS1" s="230"/>
      <c r="NVT1" s="230"/>
      <c r="NVU1" s="230"/>
      <c r="NVV1" s="230"/>
      <c r="NVW1" s="230"/>
      <c r="NVX1" s="230"/>
      <c r="NVY1" s="230"/>
      <c r="NVZ1" s="230"/>
      <c r="NWA1" s="230"/>
      <c r="NWB1" s="230"/>
      <c r="NWC1" s="230"/>
      <c r="NWD1" s="230"/>
      <c r="NWE1" s="230"/>
      <c r="NWF1" s="230"/>
      <c r="NWG1" s="230"/>
      <c r="NWH1" s="230"/>
      <c r="NWI1" s="230"/>
      <c r="NWJ1" s="230"/>
      <c r="NWK1" s="230"/>
      <c r="NWL1" s="230"/>
      <c r="NWM1" s="230"/>
      <c r="NWN1" s="230"/>
      <c r="NWO1" s="230"/>
      <c r="NWP1" s="230"/>
      <c r="NWQ1" s="230"/>
      <c r="NWR1" s="230"/>
      <c r="NWS1" s="230"/>
      <c r="NWT1" s="230"/>
      <c r="NWU1" s="230"/>
      <c r="NWV1" s="230"/>
      <c r="NWW1" s="230"/>
      <c r="NWX1" s="230"/>
      <c r="NWY1" s="230"/>
      <c r="NWZ1" s="230"/>
      <c r="NXA1" s="230"/>
      <c r="NXB1" s="230"/>
      <c r="NXC1" s="230"/>
      <c r="NXD1" s="230"/>
      <c r="NXE1" s="230"/>
      <c r="NXF1" s="230"/>
      <c r="NXG1" s="230"/>
      <c r="NXH1" s="230"/>
      <c r="NXI1" s="230"/>
      <c r="NXJ1" s="230"/>
      <c r="NXK1" s="230"/>
      <c r="NXL1" s="230"/>
      <c r="NXM1" s="230"/>
      <c r="NXN1" s="230"/>
      <c r="NXO1" s="230"/>
      <c r="NXP1" s="230"/>
      <c r="NXQ1" s="230"/>
      <c r="NXR1" s="230"/>
      <c r="NXS1" s="230"/>
      <c r="NXT1" s="230"/>
      <c r="NXU1" s="230"/>
      <c r="NXV1" s="230"/>
      <c r="NXW1" s="230"/>
      <c r="NXX1" s="230"/>
      <c r="NXY1" s="230"/>
      <c r="NXZ1" s="230"/>
      <c r="NYA1" s="230"/>
      <c r="NYB1" s="230"/>
      <c r="NYC1" s="230"/>
      <c r="NYD1" s="230"/>
      <c r="NYE1" s="230"/>
      <c r="NYF1" s="230"/>
      <c r="NYG1" s="230"/>
      <c r="NYH1" s="230"/>
      <c r="NYI1" s="230"/>
      <c r="NYJ1" s="230"/>
      <c r="NYK1" s="230"/>
      <c r="NYL1" s="230"/>
      <c r="NYM1" s="230"/>
      <c r="NYN1" s="230"/>
      <c r="NYO1" s="230"/>
      <c r="NYP1" s="230"/>
      <c r="NYQ1" s="230"/>
      <c r="NYR1" s="230"/>
      <c r="NYS1" s="230"/>
      <c r="NYT1" s="230"/>
      <c r="NYU1" s="230"/>
      <c r="NYV1" s="230"/>
      <c r="NYW1" s="230"/>
      <c r="NYX1" s="230"/>
      <c r="NYY1" s="230"/>
      <c r="NYZ1" s="230"/>
      <c r="NZA1" s="230"/>
      <c r="NZB1" s="230"/>
      <c r="NZC1" s="230"/>
      <c r="NZD1" s="230"/>
      <c r="NZE1" s="230"/>
      <c r="NZF1" s="230"/>
      <c r="NZG1" s="230"/>
      <c r="NZH1" s="230"/>
      <c r="NZI1" s="230"/>
      <c r="NZJ1" s="230"/>
      <c r="NZK1" s="230"/>
      <c r="NZL1" s="230"/>
      <c r="NZM1" s="230"/>
      <c r="NZN1" s="230"/>
      <c r="NZO1" s="230"/>
      <c r="NZP1" s="230"/>
      <c r="NZQ1" s="230"/>
      <c r="NZR1" s="230"/>
      <c r="NZS1" s="230"/>
      <c r="NZT1" s="230"/>
      <c r="NZU1" s="230"/>
      <c r="NZV1" s="230"/>
      <c r="NZW1" s="230"/>
      <c r="NZX1" s="230"/>
      <c r="NZY1" s="230"/>
      <c r="NZZ1" s="230"/>
      <c r="OAA1" s="230"/>
      <c r="OAB1" s="230"/>
      <c r="OAC1" s="230"/>
      <c r="OAD1" s="230"/>
      <c r="OAE1" s="230"/>
      <c r="OAF1" s="230"/>
      <c r="OAG1" s="230"/>
      <c r="OAH1" s="230"/>
      <c r="OAI1" s="230"/>
      <c r="OAJ1" s="230"/>
      <c r="OAK1" s="230"/>
      <c r="OAL1" s="230"/>
      <c r="OAM1" s="230"/>
      <c r="OAN1" s="230"/>
      <c r="OAO1" s="230"/>
      <c r="OAP1" s="230"/>
      <c r="OAQ1" s="230"/>
      <c r="OAR1" s="230"/>
      <c r="OAS1" s="230"/>
      <c r="OAT1" s="230"/>
      <c r="OAU1" s="230"/>
      <c r="OAV1" s="230"/>
      <c r="OAW1" s="230"/>
      <c r="OAX1" s="230"/>
      <c r="OAY1" s="230"/>
      <c r="OAZ1" s="230"/>
      <c r="OBA1" s="230"/>
      <c r="OBB1" s="230"/>
      <c r="OBC1" s="230"/>
      <c r="OBD1" s="230"/>
      <c r="OBE1" s="230"/>
      <c r="OBF1" s="230"/>
      <c r="OBG1" s="230"/>
      <c r="OBH1" s="230"/>
      <c r="OBI1" s="230"/>
      <c r="OBJ1" s="230"/>
      <c r="OBK1" s="230"/>
      <c r="OBL1" s="230"/>
      <c r="OBM1" s="230"/>
      <c r="OBN1" s="230"/>
      <c r="OBO1" s="230"/>
      <c r="OBP1" s="230"/>
      <c r="OBQ1" s="230"/>
      <c r="OBR1" s="230"/>
      <c r="OBS1" s="230"/>
      <c r="OBT1" s="230"/>
      <c r="OBU1" s="230"/>
      <c r="OBV1" s="230"/>
      <c r="OBW1" s="230"/>
      <c r="OBX1" s="230"/>
      <c r="OBY1" s="230"/>
      <c r="OBZ1" s="230"/>
      <c r="OCA1" s="230"/>
      <c r="OCB1" s="230"/>
      <c r="OCC1" s="230"/>
      <c r="OCD1" s="230"/>
      <c r="OCE1" s="230"/>
      <c r="OCF1" s="230"/>
      <c r="OCG1" s="230"/>
      <c r="OCH1" s="230"/>
      <c r="OCI1" s="230"/>
      <c r="OCJ1" s="230"/>
      <c r="OCK1" s="230"/>
      <c r="OCL1" s="230"/>
      <c r="OCM1" s="230"/>
      <c r="OCN1" s="230"/>
      <c r="OCO1" s="230"/>
      <c r="OCP1" s="230"/>
      <c r="OCQ1" s="230"/>
      <c r="OCR1" s="230"/>
      <c r="OCS1" s="230"/>
      <c r="OCT1" s="230"/>
      <c r="OCU1" s="230"/>
      <c r="OCV1" s="230"/>
      <c r="OCW1" s="230"/>
      <c r="OCX1" s="230"/>
      <c r="OCY1" s="230"/>
      <c r="OCZ1" s="230"/>
      <c r="ODA1" s="230"/>
      <c r="ODB1" s="230"/>
      <c r="ODC1" s="230"/>
      <c r="ODD1" s="230"/>
      <c r="ODE1" s="230"/>
      <c r="ODF1" s="230"/>
      <c r="ODG1" s="230"/>
      <c r="ODH1" s="230"/>
      <c r="ODI1" s="230"/>
      <c r="ODJ1" s="230"/>
      <c r="ODK1" s="230"/>
      <c r="ODL1" s="230"/>
      <c r="ODM1" s="230"/>
      <c r="ODN1" s="230"/>
      <c r="ODO1" s="230"/>
      <c r="ODP1" s="230"/>
      <c r="ODQ1" s="230"/>
      <c r="ODR1" s="230"/>
      <c r="ODS1" s="230"/>
      <c r="ODT1" s="230"/>
      <c r="ODU1" s="230"/>
      <c r="ODV1" s="230"/>
      <c r="ODW1" s="230"/>
      <c r="ODX1" s="230"/>
      <c r="ODY1" s="230"/>
      <c r="ODZ1" s="230"/>
      <c r="OEA1" s="230"/>
      <c r="OEB1" s="230"/>
      <c r="OEC1" s="230"/>
      <c r="OED1" s="230"/>
      <c r="OEE1" s="230"/>
      <c r="OEF1" s="230"/>
      <c r="OEG1" s="230"/>
      <c r="OEH1" s="230"/>
      <c r="OEI1" s="230"/>
      <c r="OEJ1" s="230"/>
      <c r="OEK1" s="230"/>
      <c r="OEL1" s="230"/>
      <c r="OEM1" s="230"/>
      <c r="OEN1" s="230"/>
      <c r="OEO1" s="230"/>
      <c r="OEP1" s="230"/>
      <c r="OEQ1" s="230"/>
      <c r="OER1" s="230"/>
      <c r="OES1" s="230"/>
      <c r="OET1" s="230"/>
      <c r="OEU1" s="230"/>
      <c r="OEV1" s="230"/>
      <c r="OEW1" s="230"/>
      <c r="OEX1" s="230"/>
      <c r="OEY1" s="230"/>
      <c r="OEZ1" s="230"/>
      <c r="OFA1" s="230"/>
      <c r="OFB1" s="230"/>
      <c r="OFC1" s="230"/>
      <c r="OFD1" s="230"/>
      <c r="OFE1" s="230"/>
      <c r="OFF1" s="230"/>
      <c r="OFG1" s="230"/>
      <c r="OFH1" s="230"/>
      <c r="OFI1" s="230"/>
      <c r="OFJ1" s="230"/>
      <c r="OFK1" s="230"/>
      <c r="OFL1" s="230"/>
      <c r="OFM1" s="230"/>
      <c r="OFN1" s="230"/>
      <c r="OFO1" s="230"/>
      <c r="OFP1" s="230"/>
      <c r="OFQ1" s="230"/>
      <c r="OFR1" s="230"/>
      <c r="OFS1" s="230"/>
      <c r="OFT1" s="230"/>
      <c r="OFU1" s="230"/>
      <c r="OFV1" s="230"/>
      <c r="OFW1" s="230"/>
      <c r="OFX1" s="230"/>
      <c r="OFY1" s="230"/>
      <c r="OFZ1" s="230"/>
      <c r="OGA1" s="230"/>
      <c r="OGB1" s="230"/>
      <c r="OGC1" s="230"/>
      <c r="OGD1" s="230"/>
      <c r="OGE1" s="230"/>
      <c r="OGF1" s="230"/>
      <c r="OGG1" s="230"/>
      <c r="OGH1" s="230"/>
      <c r="OGI1" s="230"/>
      <c r="OGJ1" s="230"/>
      <c r="OGK1" s="230"/>
      <c r="OGL1" s="230"/>
      <c r="OGM1" s="230"/>
      <c r="OGN1" s="230"/>
      <c r="OGO1" s="230"/>
      <c r="OGP1" s="230"/>
      <c r="OGQ1" s="230"/>
      <c r="OGR1" s="230"/>
      <c r="OGS1" s="230"/>
      <c r="OGT1" s="230"/>
      <c r="OGU1" s="230"/>
      <c r="OGV1" s="230"/>
      <c r="OGW1" s="230"/>
      <c r="OGX1" s="230"/>
      <c r="OGY1" s="230"/>
      <c r="OGZ1" s="230"/>
      <c r="OHA1" s="230"/>
      <c r="OHB1" s="230"/>
      <c r="OHC1" s="230"/>
      <c r="OHD1" s="230"/>
      <c r="OHE1" s="230"/>
      <c r="OHF1" s="230"/>
      <c r="OHG1" s="230"/>
      <c r="OHH1" s="230"/>
      <c r="OHI1" s="230"/>
      <c r="OHJ1" s="230"/>
      <c r="OHK1" s="230"/>
      <c r="OHL1" s="230"/>
      <c r="OHM1" s="230"/>
      <c r="OHN1" s="230"/>
      <c r="OHO1" s="230"/>
      <c r="OHP1" s="230"/>
      <c r="OHQ1" s="230"/>
      <c r="OHR1" s="230"/>
      <c r="OHS1" s="230"/>
      <c r="OHT1" s="230"/>
      <c r="OHU1" s="230"/>
      <c r="OHV1" s="230"/>
      <c r="OHW1" s="230"/>
      <c r="OHX1" s="230"/>
      <c r="OHY1" s="230"/>
      <c r="OHZ1" s="230"/>
      <c r="OIA1" s="230"/>
      <c r="OIB1" s="230"/>
      <c r="OIC1" s="230"/>
      <c r="OID1" s="230"/>
      <c r="OIE1" s="230"/>
      <c r="OIF1" s="230"/>
      <c r="OIG1" s="230"/>
      <c r="OIH1" s="230"/>
      <c r="OII1" s="230"/>
      <c r="OIJ1" s="230"/>
      <c r="OIK1" s="230"/>
      <c r="OIL1" s="230"/>
      <c r="OIM1" s="230"/>
      <c r="OIN1" s="230"/>
      <c r="OIO1" s="230"/>
      <c r="OIP1" s="230"/>
      <c r="OIQ1" s="230"/>
      <c r="OIR1" s="230"/>
      <c r="OIS1" s="230"/>
      <c r="OIT1" s="230"/>
      <c r="OIU1" s="230"/>
      <c r="OIV1" s="230"/>
      <c r="OIW1" s="230"/>
      <c r="OIX1" s="230"/>
      <c r="OIY1" s="230"/>
      <c r="OIZ1" s="230"/>
      <c r="OJA1" s="230"/>
      <c r="OJB1" s="230"/>
      <c r="OJC1" s="230"/>
      <c r="OJD1" s="230"/>
      <c r="OJE1" s="230"/>
      <c r="OJF1" s="230"/>
      <c r="OJG1" s="230"/>
      <c r="OJH1" s="230"/>
      <c r="OJI1" s="230"/>
      <c r="OJJ1" s="230"/>
      <c r="OJK1" s="230"/>
      <c r="OJL1" s="230"/>
      <c r="OJM1" s="230"/>
      <c r="OJN1" s="230"/>
      <c r="OJO1" s="230"/>
      <c r="OJP1" s="230"/>
      <c r="OJQ1" s="230"/>
      <c r="OJR1" s="230"/>
      <c r="OJS1" s="230"/>
      <c r="OJT1" s="230"/>
      <c r="OJU1" s="230"/>
      <c r="OJV1" s="230"/>
      <c r="OJW1" s="230"/>
      <c r="OJX1" s="230"/>
      <c r="OJY1" s="230"/>
      <c r="OJZ1" s="230"/>
      <c r="OKA1" s="230"/>
      <c r="OKB1" s="230"/>
      <c r="OKC1" s="230"/>
      <c r="OKD1" s="230"/>
      <c r="OKE1" s="230"/>
      <c r="OKF1" s="230"/>
      <c r="OKG1" s="230"/>
      <c r="OKH1" s="230"/>
      <c r="OKI1" s="230"/>
      <c r="OKJ1" s="230"/>
      <c r="OKK1" s="230"/>
      <c r="OKL1" s="230"/>
      <c r="OKM1" s="230"/>
      <c r="OKN1" s="230"/>
      <c r="OKO1" s="230"/>
      <c r="OKP1" s="230"/>
      <c r="OKQ1" s="230"/>
      <c r="OKR1" s="230"/>
      <c r="OKS1" s="230"/>
      <c r="OKT1" s="230"/>
      <c r="OKU1" s="230"/>
      <c r="OKV1" s="230"/>
      <c r="OKW1" s="230"/>
      <c r="OKX1" s="230"/>
      <c r="OKY1" s="230"/>
      <c r="OKZ1" s="230"/>
      <c r="OLA1" s="230"/>
      <c r="OLB1" s="230"/>
      <c r="OLC1" s="230"/>
      <c r="OLD1" s="230"/>
      <c r="OLE1" s="230"/>
      <c r="OLF1" s="230"/>
      <c r="OLG1" s="230"/>
      <c r="OLH1" s="230"/>
      <c r="OLI1" s="230"/>
      <c r="OLJ1" s="230"/>
      <c r="OLK1" s="230"/>
      <c r="OLL1" s="230"/>
      <c r="OLM1" s="230"/>
      <c r="OLN1" s="230"/>
      <c r="OLO1" s="230"/>
      <c r="OLP1" s="230"/>
      <c r="OLQ1" s="230"/>
      <c r="OLR1" s="230"/>
      <c r="OLS1" s="230"/>
      <c r="OLT1" s="230"/>
      <c r="OLU1" s="230"/>
      <c r="OLV1" s="230"/>
      <c r="OLW1" s="230"/>
      <c r="OLX1" s="230"/>
      <c r="OLY1" s="230"/>
      <c r="OLZ1" s="230"/>
      <c r="OMA1" s="230"/>
      <c r="OMB1" s="230"/>
      <c r="OMC1" s="230"/>
      <c r="OMD1" s="230"/>
      <c r="OME1" s="230"/>
      <c r="OMF1" s="230"/>
      <c r="OMG1" s="230"/>
      <c r="OMH1" s="230"/>
      <c r="OMI1" s="230"/>
      <c r="OMJ1" s="230"/>
      <c r="OMK1" s="230"/>
      <c r="OML1" s="230"/>
      <c r="OMM1" s="230"/>
      <c r="OMN1" s="230"/>
      <c r="OMO1" s="230"/>
      <c r="OMP1" s="230"/>
      <c r="OMQ1" s="230"/>
      <c r="OMR1" s="230"/>
      <c r="OMS1" s="230"/>
      <c r="OMT1" s="230"/>
      <c r="OMU1" s="230"/>
      <c r="OMV1" s="230"/>
      <c r="OMW1" s="230"/>
      <c r="OMX1" s="230"/>
      <c r="OMY1" s="230"/>
      <c r="OMZ1" s="230"/>
      <c r="ONA1" s="230"/>
      <c r="ONB1" s="230"/>
      <c r="ONC1" s="230"/>
      <c r="OND1" s="230"/>
      <c r="ONE1" s="230"/>
      <c r="ONF1" s="230"/>
      <c r="ONG1" s="230"/>
      <c r="ONH1" s="230"/>
      <c r="ONI1" s="230"/>
      <c r="ONJ1" s="230"/>
      <c r="ONK1" s="230"/>
      <c r="ONL1" s="230"/>
      <c r="ONM1" s="230"/>
      <c r="ONN1" s="230"/>
      <c r="ONO1" s="230"/>
      <c r="ONP1" s="230"/>
      <c r="ONQ1" s="230"/>
      <c r="ONR1" s="230"/>
      <c r="ONS1" s="230"/>
      <c r="ONT1" s="230"/>
      <c r="ONU1" s="230"/>
      <c r="ONV1" s="230"/>
      <c r="ONW1" s="230"/>
      <c r="ONX1" s="230"/>
      <c r="ONY1" s="230"/>
      <c r="ONZ1" s="230"/>
      <c r="OOA1" s="230"/>
      <c r="OOB1" s="230"/>
      <c r="OOC1" s="230"/>
      <c r="OOD1" s="230"/>
      <c r="OOE1" s="230"/>
      <c r="OOF1" s="230"/>
      <c r="OOG1" s="230"/>
      <c r="OOH1" s="230"/>
      <c r="OOI1" s="230"/>
      <c r="OOJ1" s="230"/>
      <c r="OOK1" s="230"/>
      <c r="OOL1" s="230"/>
      <c r="OOM1" s="230"/>
      <c r="OON1" s="230"/>
      <c r="OOO1" s="230"/>
      <c r="OOP1" s="230"/>
      <c r="OOQ1" s="230"/>
      <c r="OOR1" s="230"/>
      <c r="OOS1" s="230"/>
      <c r="OOT1" s="230"/>
      <c r="OOU1" s="230"/>
      <c r="OOV1" s="230"/>
      <c r="OOW1" s="230"/>
      <c r="OOX1" s="230"/>
      <c r="OOY1" s="230"/>
      <c r="OOZ1" s="230"/>
      <c r="OPA1" s="230"/>
      <c r="OPB1" s="230"/>
      <c r="OPC1" s="230"/>
      <c r="OPD1" s="230"/>
      <c r="OPE1" s="230"/>
      <c r="OPF1" s="230"/>
      <c r="OPG1" s="230"/>
      <c r="OPH1" s="230"/>
      <c r="OPI1" s="230"/>
      <c r="OPJ1" s="230"/>
      <c r="OPK1" s="230"/>
      <c r="OPL1" s="230"/>
      <c r="OPM1" s="230"/>
      <c r="OPN1" s="230"/>
      <c r="OPO1" s="230"/>
      <c r="OPP1" s="230"/>
      <c r="OPQ1" s="230"/>
      <c r="OPR1" s="230"/>
      <c r="OPS1" s="230"/>
      <c r="OPT1" s="230"/>
      <c r="OPU1" s="230"/>
      <c r="OPV1" s="230"/>
      <c r="OPW1" s="230"/>
      <c r="OPX1" s="230"/>
      <c r="OPY1" s="230"/>
      <c r="OPZ1" s="230"/>
      <c r="OQA1" s="230"/>
      <c r="OQB1" s="230"/>
      <c r="OQC1" s="230"/>
      <c r="OQD1" s="230"/>
      <c r="OQE1" s="230"/>
      <c r="OQF1" s="230"/>
      <c r="OQG1" s="230"/>
      <c r="OQH1" s="230"/>
      <c r="OQI1" s="230"/>
      <c r="OQJ1" s="230"/>
      <c r="OQK1" s="230"/>
      <c r="OQL1" s="230"/>
      <c r="OQM1" s="230"/>
      <c r="OQN1" s="230"/>
      <c r="OQO1" s="230"/>
      <c r="OQP1" s="230"/>
      <c r="OQQ1" s="230"/>
      <c r="OQR1" s="230"/>
      <c r="OQS1" s="230"/>
      <c r="OQT1" s="230"/>
      <c r="OQU1" s="230"/>
      <c r="OQV1" s="230"/>
      <c r="OQW1" s="230"/>
      <c r="OQX1" s="230"/>
      <c r="OQY1" s="230"/>
      <c r="OQZ1" s="230"/>
      <c r="ORA1" s="230"/>
      <c r="ORB1" s="230"/>
      <c r="ORC1" s="230"/>
      <c r="ORD1" s="230"/>
      <c r="ORE1" s="230"/>
      <c r="ORF1" s="230"/>
      <c r="ORG1" s="230"/>
      <c r="ORH1" s="230"/>
      <c r="ORI1" s="230"/>
      <c r="ORJ1" s="230"/>
      <c r="ORK1" s="230"/>
      <c r="ORL1" s="230"/>
      <c r="ORM1" s="230"/>
      <c r="ORN1" s="230"/>
      <c r="ORO1" s="230"/>
      <c r="ORP1" s="230"/>
      <c r="ORQ1" s="230"/>
      <c r="ORR1" s="230"/>
      <c r="ORS1" s="230"/>
      <c r="ORT1" s="230"/>
      <c r="ORU1" s="230"/>
      <c r="ORV1" s="230"/>
      <c r="ORW1" s="230"/>
      <c r="ORX1" s="230"/>
      <c r="ORY1" s="230"/>
      <c r="ORZ1" s="230"/>
      <c r="OSA1" s="230"/>
      <c r="OSB1" s="230"/>
      <c r="OSC1" s="230"/>
      <c r="OSD1" s="230"/>
      <c r="OSE1" s="230"/>
      <c r="OSF1" s="230"/>
      <c r="OSG1" s="230"/>
      <c r="OSH1" s="230"/>
      <c r="OSI1" s="230"/>
      <c r="OSJ1" s="230"/>
      <c r="OSK1" s="230"/>
      <c r="OSL1" s="230"/>
      <c r="OSM1" s="230"/>
      <c r="OSN1" s="230"/>
      <c r="OSO1" s="230"/>
      <c r="OSP1" s="230"/>
      <c r="OSQ1" s="230"/>
      <c r="OSR1" s="230"/>
      <c r="OSS1" s="230"/>
      <c r="OST1" s="230"/>
      <c r="OSU1" s="230"/>
      <c r="OSV1" s="230"/>
      <c r="OSW1" s="230"/>
      <c r="OSX1" s="230"/>
      <c r="OSY1" s="230"/>
      <c r="OSZ1" s="230"/>
      <c r="OTA1" s="230"/>
      <c r="OTB1" s="230"/>
      <c r="OTC1" s="230"/>
      <c r="OTD1" s="230"/>
      <c r="OTE1" s="230"/>
      <c r="OTF1" s="230"/>
      <c r="OTG1" s="230"/>
      <c r="OTH1" s="230"/>
      <c r="OTI1" s="230"/>
      <c r="OTJ1" s="230"/>
      <c r="OTK1" s="230"/>
      <c r="OTL1" s="230"/>
      <c r="OTM1" s="230"/>
      <c r="OTN1" s="230"/>
      <c r="OTO1" s="230"/>
      <c r="OTP1" s="230"/>
      <c r="OTQ1" s="230"/>
      <c r="OTR1" s="230"/>
      <c r="OTS1" s="230"/>
      <c r="OTT1" s="230"/>
      <c r="OTU1" s="230"/>
      <c r="OTV1" s="230"/>
      <c r="OTW1" s="230"/>
      <c r="OTX1" s="230"/>
      <c r="OTY1" s="230"/>
      <c r="OTZ1" s="230"/>
      <c r="OUA1" s="230"/>
      <c r="OUB1" s="230"/>
      <c r="OUC1" s="230"/>
      <c r="OUD1" s="230"/>
      <c r="OUE1" s="230"/>
      <c r="OUF1" s="230"/>
      <c r="OUG1" s="230"/>
      <c r="OUH1" s="230"/>
      <c r="OUI1" s="230"/>
      <c r="OUJ1" s="230"/>
      <c r="OUK1" s="230"/>
      <c r="OUL1" s="230"/>
      <c r="OUM1" s="230"/>
      <c r="OUN1" s="230"/>
      <c r="OUO1" s="230"/>
      <c r="OUP1" s="230"/>
      <c r="OUQ1" s="230"/>
      <c r="OUR1" s="230"/>
      <c r="OUS1" s="230"/>
      <c r="OUT1" s="230"/>
      <c r="OUU1" s="230"/>
      <c r="OUV1" s="230"/>
      <c r="OUW1" s="230"/>
      <c r="OUX1" s="230"/>
      <c r="OUY1" s="230"/>
      <c r="OUZ1" s="230"/>
      <c r="OVA1" s="230"/>
      <c r="OVB1" s="230"/>
      <c r="OVC1" s="230"/>
      <c r="OVD1" s="230"/>
      <c r="OVE1" s="230"/>
      <c r="OVF1" s="230"/>
      <c r="OVG1" s="230"/>
      <c r="OVH1" s="230"/>
      <c r="OVI1" s="230"/>
      <c r="OVJ1" s="230"/>
      <c r="OVK1" s="230"/>
      <c r="OVL1" s="230"/>
      <c r="OVM1" s="230"/>
      <c r="OVN1" s="230"/>
      <c r="OVO1" s="230"/>
      <c r="OVP1" s="230"/>
      <c r="OVQ1" s="230"/>
      <c r="OVR1" s="230"/>
      <c r="OVS1" s="230"/>
      <c r="OVT1" s="230"/>
      <c r="OVU1" s="230"/>
      <c r="OVV1" s="230"/>
      <c r="OVW1" s="230"/>
      <c r="OVX1" s="230"/>
      <c r="OVY1" s="230"/>
      <c r="OVZ1" s="230"/>
      <c r="OWA1" s="230"/>
      <c r="OWB1" s="230"/>
      <c r="OWC1" s="230"/>
      <c r="OWD1" s="230"/>
      <c r="OWE1" s="230"/>
      <c r="OWF1" s="230"/>
      <c r="OWG1" s="230"/>
      <c r="OWH1" s="230"/>
      <c r="OWI1" s="230"/>
      <c r="OWJ1" s="230"/>
      <c r="OWK1" s="230"/>
      <c r="OWL1" s="230"/>
      <c r="OWM1" s="230"/>
      <c r="OWN1" s="230"/>
      <c r="OWO1" s="230"/>
      <c r="OWP1" s="230"/>
      <c r="OWQ1" s="230"/>
      <c r="OWR1" s="230"/>
      <c r="OWS1" s="230"/>
      <c r="OWT1" s="230"/>
      <c r="OWU1" s="230"/>
      <c r="OWV1" s="230"/>
      <c r="OWW1" s="230"/>
      <c r="OWX1" s="230"/>
      <c r="OWY1" s="230"/>
      <c r="OWZ1" s="230"/>
      <c r="OXA1" s="230"/>
      <c r="OXB1" s="230"/>
      <c r="OXC1" s="230"/>
      <c r="OXD1" s="230"/>
      <c r="OXE1" s="230"/>
      <c r="OXF1" s="230"/>
      <c r="OXG1" s="230"/>
      <c r="OXH1" s="230"/>
      <c r="OXI1" s="230"/>
      <c r="OXJ1" s="230"/>
      <c r="OXK1" s="230"/>
      <c r="OXL1" s="230"/>
      <c r="OXM1" s="230"/>
      <c r="OXN1" s="230"/>
      <c r="OXO1" s="230"/>
      <c r="OXP1" s="230"/>
      <c r="OXQ1" s="230"/>
      <c r="OXR1" s="230"/>
      <c r="OXS1" s="230"/>
      <c r="OXT1" s="230"/>
      <c r="OXU1" s="230"/>
      <c r="OXV1" s="230"/>
      <c r="OXW1" s="230"/>
      <c r="OXX1" s="230"/>
      <c r="OXY1" s="230"/>
      <c r="OXZ1" s="230"/>
      <c r="OYA1" s="230"/>
      <c r="OYB1" s="230"/>
      <c r="OYC1" s="230"/>
      <c r="OYD1" s="230"/>
      <c r="OYE1" s="230"/>
      <c r="OYF1" s="230"/>
      <c r="OYG1" s="230"/>
      <c r="OYH1" s="230"/>
      <c r="OYI1" s="230"/>
      <c r="OYJ1" s="230"/>
      <c r="OYK1" s="230"/>
      <c r="OYL1" s="230"/>
      <c r="OYM1" s="230"/>
      <c r="OYN1" s="230"/>
      <c r="OYO1" s="230"/>
      <c r="OYP1" s="230"/>
      <c r="OYQ1" s="230"/>
      <c r="OYR1" s="230"/>
      <c r="OYS1" s="230"/>
      <c r="OYT1" s="230"/>
      <c r="OYU1" s="230"/>
      <c r="OYV1" s="230"/>
      <c r="OYW1" s="230"/>
      <c r="OYX1" s="230"/>
      <c r="OYY1" s="230"/>
      <c r="OYZ1" s="230"/>
      <c r="OZA1" s="230"/>
      <c r="OZB1" s="230"/>
      <c r="OZC1" s="230"/>
      <c r="OZD1" s="230"/>
      <c r="OZE1" s="230"/>
      <c r="OZF1" s="230"/>
      <c r="OZG1" s="230"/>
      <c r="OZH1" s="230"/>
      <c r="OZI1" s="230"/>
      <c r="OZJ1" s="230"/>
      <c r="OZK1" s="230"/>
      <c r="OZL1" s="230"/>
      <c r="OZM1" s="230"/>
      <c r="OZN1" s="230"/>
      <c r="OZO1" s="230"/>
      <c r="OZP1" s="230"/>
      <c r="OZQ1" s="230"/>
      <c r="OZR1" s="230"/>
      <c r="OZS1" s="230"/>
      <c r="OZT1" s="230"/>
      <c r="OZU1" s="230"/>
      <c r="OZV1" s="230"/>
      <c r="OZW1" s="230"/>
      <c r="OZX1" s="230"/>
      <c r="OZY1" s="230"/>
      <c r="OZZ1" s="230"/>
      <c r="PAA1" s="230"/>
      <c r="PAB1" s="230"/>
      <c r="PAC1" s="230"/>
      <c r="PAD1" s="230"/>
      <c r="PAE1" s="230"/>
      <c r="PAF1" s="230"/>
      <c r="PAG1" s="230"/>
      <c r="PAH1" s="230"/>
      <c r="PAI1" s="230"/>
      <c r="PAJ1" s="230"/>
      <c r="PAK1" s="230"/>
      <c r="PAL1" s="230"/>
      <c r="PAM1" s="230"/>
      <c r="PAN1" s="230"/>
      <c r="PAO1" s="230"/>
      <c r="PAP1" s="230"/>
      <c r="PAQ1" s="230"/>
      <c r="PAR1" s="230"/>
      <c r="PAS1" s="230"/>
      <c r="PAT1" s="230"/>
      <c r="PAU1" s="230"/>
      <c r="PAV1" s="230"/>
      <c r="PAW1" s="230"/>
      <c r="PAX1" s="230"/>
      <c r="PAY1" s="230"/>
      <c r="PAZ1" s="230"/>
      <c r="PBA1" s="230"/>
      <c r="PBB1" s="230"/>
      <c r="PBC1" s="230"/>
      <c r="PBD1" s="230"/>
      <c r="PBE1" s="230"/>
      <c r="PBF1" s="230"/>
      <c r="PBG1" s="230"/>
      <c r="PBH1" s="230"/>
      <c r="PBI1" s="230"/>
      <c r="PBJ1" s="230"/>
      <c r="PBK1" s="230"/>
      <c r="PBL1" s="230"/>
      <c r="PBM1" s="230"/>
      <c r="PBN1" s="230"/>
      <c r="PBO1" s="230"/>
      <c r="PBP1" s="230"/>
      <c r="PBQ1" s="230"/>
      <c r="PBR1" s="230"/>
      <c r="PBS1" s="230"/>
      <c r="PBT1" s="230"/>
      <c r="PBU1" s="230"/>
      <c r="PBV1" s="230"/>
      <c r="PBW1" s="230"/>
      <c r="PBX1" s="230"/>
      <c r="PBY1" s="230"/>
      <c r="PBZ1" s="230"/>
      <c r="PCA1" s="230"/>
      <c r="PCB1" s="230"/>
      <c r="PCC1" s="230"/>
      <c r="PCD1" s="230"/>
      <c r="PCE1" s="230"/>
      <c r="PCF1" s="230"/>
      <c r="PCG1" s="230"/>
      <c r="PCH1" s="230"/>
      <c r="PCI1" s="230"/>
      <c r="PCJ1" s="230"/>
      <c r="PCK1" s="230"/>
      <c r="PCL1" s="230"/>
      <c r="PCM1" s="230"/>
      <c r="PCN1" s="230"/>
      <c r="PCO1" s="230"/>
      <c r="PCP1" s="230"/>
      <c r="PCQ1" s="230"/>
      <c r="PCR1" s="230"/>
      <c r="PCS1" s="230"/>
      <c r="PCT1" s="230"/>
      <c r="PCU1" s="230"/>
      <c r="PCV1" s="230"/>
      <c r="PCW1" s="230"/>
      <c r="PCX1" s="230"/>
      <c r="PCY1" s="230"/>
      <c r="PCZ1" s="230"/>
      <c r="PDA1" s="230"/>
      <c r="PDB1" s="230"/>
      <c r="PDC1" s="230"/>
      <c r="PDD1" s="230"/>
      <c r="PDE1" s="230"/>
      <c r="PDF1" s="230"/>
      <c r="PDG1" s="230"/>
      <c r="PDH1" s="230"/>
      <c r="PDI1" s="230"/>
      <c r="PDJ1" s="230"/>
      <c r="PDK1" s="230"/>
      <c r="PDL1" s="230"/>
      <c r="PDM1" s="230"/>
      <c r="PDN1" s="230"/>
      <c r="PDO1" s="230"/>
      <c r="PDP1" s="230"/>
      <c r="PDQ1" s="230"/>
      <c r="PDR1" s="230"/>
      <c r="PDS1" s="230"/>
      <c r="PDT1" s="230"/>
      <c r="PDU1" s="230"/>
      <c r="PDV1" s="230"/>
      <c r="PDW1" s="230"/>
      <c r="PDX1" s="230"/>
      <c r="PDY1" s="230"/>
      <c r="PDZ1" s="230"/>
      <c r="PEA1" s="230"/>
      <c r="PEB1" s="230"/>
      <c r="PEC1" s="230"/>
      <c r="PED1" s="230"/>
      <c r="PEE1" s="230"/>
      <c r="PEF1" s="230"/>
      <c r="PEG1" s="230"/>
      <c r="PEH1" s="230"/>
      <c r="PEI1" s="230"/>
      <c r="PEJ1" s="230"/>
      <c r="PEK1" s="230"/>
      <c r="PEL1" s="230"/>
      <c r="PEM1" s="230"/>
      <c r="PEN1" s="230"/>
      <c r="PEO1" s="230"/>
      <c r="PEP1" s="230"/>
      <c r="PEQ1" s="230"/>
      <c r="PER1" s="230"/>
      <c r="PES1" s="230"/>
      <c r="PET1" s="230"/>
      <c r="PEU1" s="230"/>
      <c r="PEV1" s="230"/>
      <c r="PEW1" s="230"/>
      <c r="PEX1" s="230"/>
      <c r="PEY1" s="230"/>
      <c r="PEZ1" s="230"/>
      <c r="PFA1" s="230"/>
      <c r="PFB1" s="230"/>
      <c r="PFC1" s="230"/>
      <c r="PFD1" s="230"/>
      <c r="PFE1" s="230"/>
      <c r="PFF1" s="230"/>
      <c r="PFG1" s="230"/>
      <c r="PFH1" s="230"/>
      <c r="PFI1" s="230"/>
      <c r="PFJ1" s="230"/>
      <c r="PFK1" s="230"/>
      <c r="PFL1" s="230"/>
      <c r="PFM1" s="230"/>
      <c r="PFN1" s="230"/>
      <c r="PFO1" s="230"/>
      <c r="PFP1" s="230"/>
      <c r="PFQ1" s="230"/>
      <c r="PFR1" s="230"/>
      <c r="PFS1" s="230"/>
      <c r="PFT1" s="230"/>
      <c r="PFU1" s="230"/>
      <c r="PFV1" s="230"/>
      <c r="PFW1" s="230"/>
      <c r="PFX1" s="230"/>
      <c r="PFY1" s="230"/>
      <c r="PFZ1" s="230"/>
      <c r="PGA1" s="230"/>
      <c r="PGB1" s="230"/>
      <c r="PGC1" s="230"/>
      <c r="PGD1" s="230"/>
      <c r="PGE1" s="230"/>
      <c r="PGF1" s="230"/>
      <c r="PGG1" s="230"/>
      <c r="PGH1" s="230"/>
      <c r="PGI1" s="230"/>
      <c r="PGJ1" s="230"/>
      <c r="PGK1" s="230"/>
      <c r="PGL1" s="230"/>
      <c r="PGM1" s="230"/>
      <c r="PGN1" s="230"/>
      <c r="PGO1" s="230"/>
      <c r="PGP1" s="230"/>
      <c r="PGQ1" s="230"/>
      <c r="PGR1" s="230"/>
      <c r="PGS1" s="230"/>
      <c r="PGT1" s="230"/>
      <c r="PGU1" s="230"/>
      <c r="PGV1" s="230"/>
      <c r="PGW1" s="230"/>
      <c r="PGX1" s="230"/>
      <c r="PGY1" s="230"/>
      <c r="PGZ1" s="230"/>
      <c r="PHA1" s="230"/>
      <c r="PHB1" s="230"/>
      <c r="PHC1" s="230"/>
      <c r="PHD1" s="230"/>
      <c r="PHE1" s="230"/>
      <c r="PHF1" s="230"/>
      <c r="PHG1" s="230"/>
      <c r="PHH1" s="230"/>
      <c r="PHI1" s="230"/>
      <c r="PHJ1" s="230"/>
      <c r="PHK1" s="230"/>
      <c r="PHL1" s="230"/>
      <c r="PHM1" s="230"/>
      <c r="PHN1" s="230"/>
      <c r="PHO1" s="230"/>
      <c r="PHP1" s="230"/>
      <c r="PHQ1" s="230"/>
      <c r="PHR1" s="230"/>
      <c r="PHS1" s="230"/>
      <c r="PHT1" s="230"/>
      <c r="PHU1" s="230"/>
      <c r="PHV1" s="230"/>
      <c r="PHW1" s="230"/>
      <c r="PHX1" s="230"/>
      <c r="PHY1" s="230"/>
      <c r="PHZ1" s="230"/>
      <c r="PIA1" s="230"/>
      <c r="PIB1" s="230"/>
      <c r="PIC1" s="230"/>
      <c r="PID1" s="230"/>
      <c r="PIE1" s="230"/>
      <c r="PIF1" s="230"/>
      <c r="PIG1" s="230"/>
      <c r="PIH1" s="230"/>
      <c r="PII1" s="230"/>
      <c r="PIJ1" s="230"/>
      <c r="PIK1" s="230"/>
      <c r="PIL1" s="230"/>
      <c r="PIM1" s="230"/>
      <c r="PIN1" s="230"/>
      <c r="PIO1" s="230"/>
      <c r="PIP1" s="230"/>
      <c r="PIQ1" s="230"/>
      <c r="PIR1" s="230"/>
      <c r="PIS1" s="230"/>
      <c r="PIT1" s="230"/>
      <c r="PIU1" s="230"/>
      <c r="PIV1" s="230"/>
      <c r="PIW1" s="230"/>
      <c r="PIX1" s="230"/>
      <c r="PIY1" s="230"/>
      <c r="PIZ1" s="230"/>
      <c r="PJA1" s="230"/>
      <c r="PJB1" s="230"/>
      <c r="PJC1" s="230"/>
      <c r="PJD1" s="230"/>
      <c r="PJE1" s="230"/>
      <c r="PJF1" s="230"/>
      <c r="PJG1" s="230"/>
      <c r="PJH1" s="230"/>
      <c r="PJI1" s="230"/>
      <c r="PJJ1" s="230"/>
      <c r="PJK1" s="230"/>
      <c r="PJL1" s="230"/>
      <c r="PJM1" s="230"/>
      <c r="PJN1" s="230"/>
      <c r="PJO1" s="230"/>
      <c r="PJP1" s="230"/>
      <c r="PJQ1" s="230"/>
      <c r="PJR1" s="230"/>
      <c r="PJS1" s="230"/>
      <c r="PJT1" s="230"/>
      <c r="PJU1" s="230"/>
      <c r="PJV1" s="230"/>
      <c r="PJW1" s="230"/>
      <c r="PJX1" s="230"/>
      <c r="PJY1" s="230"/>
      <c r="PJZ1" s="230"/>
      <c r="PKA1" s="230"/>
      <c r="PKB1" s="230"/>
      <c r="PKC1" s="230"/>
      <c r="PKD1" s="230"/>
      <c r="PKE1" s="230"/>
      <c r="PKF1" s="230"/>
      <c r="PKG1" s="230"/>
      <c r="PKH1" s="230"/>
      <c r="PKI1" s="230"/>
      <c r="PKJ1" s="230"/>
      <c r="PKK1" s="230"/>
      <c r="PKL1" s="230"/>
      <c r="PKM1" s="230"/>
      <c r="PKN1" s="230"/>
      <c r="PKO1" s="230"/>
      <c r="PKP1" s="230"/>
      <c r="PKQ1" s="230"/>
      <c r="PKR1" s="230"/>
      <c r="PKS1" s="230"/>
      <c r="PKT1" s="230"/>
      <c r="PKU1" s="230"/>
      <c r="PKV1" s="230"/>
      <c r="PKW1" s="230"/>
      <c r="PKX1" s="230"/>
      <c r="PKY1" s="230"/>
      <c r="PKZ1" s="230"/>
      <c r="PLA1" s="230"/>
      <c r="PLB1" s="230"/>
      <c r="PLC1" s="230"/>
      <c r="PLD1" s="230"/>
      <c r="PLE1" s="230"/>
      <c r="PLF1" s="230"/>
      <c r="PLG1" s="230"/>
      <c r="PLH1" s="230"/>
      <c r="PLI1" s="230"/>
      <c r="PLJ1" s="230"/>
      <c r="PLK1" s="230"/>
      <c r="PLL1" s="230"/>
      <c r="PLM1" s="230"/>
      <c r="PLN1" s="230"/>
      <c r="PLO1" s="230"/>
      <c r="PLP1" s="230"/>
      <c r="PLQ1" s="230"/>
      <c r="PLR1" s="230"/>
      <c r="PLS1" s="230"/>
      <c r="PLT1" s="230"/>
      <c r="PLU1" s="230"/>
      <c r="PLV1" s="230"/>
      <c r="PLW1" s="230"/>
      <c r="PLX1" s="230"/>
      <c r="PLY1" s="230"/>
      <c r="PLZ1" s="230"/>
      <c r="PMA1" s="230"/>
      <c r="PMB1" s="230"/>
      <c r="PMC1" s="230"/>
      <c r="PMD1" s="230"/>
      <c r="PME1" s="230"/>
      <c r="PMF1" s="230"/>
      <c r="PMG1" s="230"/>
      <c r="PMH1" s="230"/>
      <c r="PMI1" s="230"/>
      <c r="PMJ1" s="230"/>
      <c r="PMK1" s="230"/>
      <c r="PML1" s="230"/>
      <c r="PMM1" s="230"/>
      <c r="PMN1" s="230"/>
      <c r="PMO1" s="230"/>
      <c r="PMP1" s="230"/>
      <c r="PMQ1" s="230"/>
      <c r="PMR1" s="230"/>
      <c r="PMS1" s="230"/>
      <c r="PMT1" s="230"/>
      <c r="PMU1" s="230"/>
      <c r="PMV1" s="230"/>
      <c r="PMW1" s="230"/>
      <c r="PMX1" s="230"/>
      <c r="PMY1" s="230"/>
      <c r="PMZ1" s="230"/>
      <c r="PNA1" s="230"/>
      <c r="PNB1" s="230"/>
      <c r="PNC1" s="230"/>
      <c r="PND1" s="230"/>
      <c r="PNE1" s="230"/>
      <c r="PNF1" s="230"/>
      <c r="PNG1" s="230"/>
      <c r="PNH1" s="230"/>
      <c r="PNI1" s="230"/>
      <c r="PNJ1" s="230"/>
      <c r="PNK1" s="230"/>
      <c r="PNL1" s="230"/>
      <c r="PNM1" s="230"/>
      <c r="PNN1" s="230"/>
      <c r="PNO1" s="230"/>
      <c r="PNP1" s="230"/>
      <c r="PNQ1" s="230"/>
      <c r="PNR1" s="230"/>
      <c r="PNS1" s="230"/>
      <c r="PNT1" s="230"/>
      <c r="PNU1" s="230"/>
      <c r="PNV1" s="230"/>
      <c r="PNW1" s="230"/>
      <c r="PNX1" s="230"/>
      <c r="PNY1" s="230"/>
      <c r="PNZ1" s="230"/>
      <c r="POA1" s="230"/>
      <c r="POB1" s="230"/>
      <c r="POC1" s="230"/>
      <c r="POD1" s="230"/>
      <c r="POE1" s="230"/>
      <c r="POF1" s="230"/>
      <c r="POG1" s="230"/>
      <c r="POH1" s="230"/>
      <c r="POI1" s="230"/>
      <c r="POJ1" s="230"/>
      <c r="POK1" s="230"/>
      <c r="POL1" s="230"/>
      <c r="POM1" s="230"/>
      <c r="PON1" s="230"/>
      <c r="POO1" s="230"/>
      <c r="POP1" s="230"/>
      <c r="POQ1" s="230"/>
      <c r="POR1" s="230"/>
      <c r="POS1" s="230"/>
      <c r="POT1" s="230"/>
      <c r="POU1" s="230"/>
      <c r="POV1" s="230"/>
      <c r="POW1" s="230"/>
      <c r="POX1" s="230"/>
      <c r="POY1" s="230"/>
      <c r="POZ1" s="230"/>
      <c r="PPA1" s="230"/>
      <c r="PPB1" s="230"/>
      <c r="PPC1" s="230"/>
      <c r="PPD1" s="230"/>
      <c r="PPE1" s="230"/>
      <c r="PPF1" s="230"/>
      <c r="PPG1" s="230"/>
      <c r="PPH1" s="230"/>
      <c r="PPI1" s="230"/>
      <c r="PPJ1" s="230"/>
      <c r="PPK1" s="230"/>
      <c r="PPL1" s="230"/>
      <c r="PPM1" s="230"/>
      <c r="PPN1" s="230"/>
      <c r="PPO1" s="230"/>
      <c r="PPP1" s="230"/>
      <c r="PPQ1" s="230"/>
      <c r="PPR1" s="230"/>
      <c r="PPS1" s="230"/>
      <c r="PPT1" s="230"/>
      <c r="PPU1" s="230"/>
      <c r="PPV1" s="230"/>
      <c r="PPW1" s="230"/>
      <c r="PPX1" s="230"/>
      <c r="PPY1" s="230"/>
      <c r="PPZ1" s="230"/>
      <c r="PQA1" s="230"/>
      <c r="PQB1" s="230"/>
      <c r="PQC1" s="230"/>
      <c r="PQD1" s="230"/>
      <c r="PQE1" s="230"/>
      <c r="PQF1" s="230"/>
      <c r="PQG1" s="230"/>
      <c r="PQH1" s="230"/>
      <c r="PQI1" s="230"/>
      <c r="PQJ1" s="230"/>
      <c r="PQK1" s="230"/>
      <c r="PQL1" s="230"/>
      <c r="PQM1" s="230"/>
      <c r="PQN1" s="230"/>
      <c r="PQO1" s="230"/>
      <c r="PQP1" s="230"/>
      <c r="PQQ1" s="230"/>
      <c r="PQR1" s="230"/>
      <c r="PQS1" s="230"/>
      <c r="PQT1" s="230"/>
      <c r="PQU1" s="230"/>
      <c r="PQV1" s="230"/>
      <c r="PQW1" s="230"/>
      <c r="PQX1" s="230"/>
      <c r="PQY1" s="230"/>
      <c r="PQZ1" s="230"/>
      <c r="PRA1" s="230"/>
      <c r="PRB1" s="230"/>
      <c r="PRC1" s="230"/>
      <c r="PRD1" s="230"/>
      <c r="PRE1" s="230"/>
      <c r="PRF1" s="230"/>
      <c r="PRG1" s="230"/>
      <c r="PRH1" s="230"/>
      <c r="PRI1" s="230"/>
      <c r="PRJ1" s="230"/>
      <c r="PRK1" s="230"/>
      <c r="PRL1" s="230"/>
      <c r="PRM1" s="230"/>
      <c r="PRN1" s="230"/>
      <c r="PRO1" s="230"/>
      <c r="PRP1" s="230"/>
      <c r="PRQ1" s="230"/>
      <c r="PRR1" s="230"/>
      <c r="PRS1" s="230"/>
      <c r="PRT1" s="230"/>
      <c r="PRU1" s="230"/>
      <c r="PRV1" s="230"/>
      <c r="PRW1" s="230"/>
      <c r="PRX1" s="230"/>
      <c r="PRY1" s="230"/>
      <c r="PRZ1" s="230"/>
      <c r="PSA1" s="230"/>
      <c r="PSB1" s="230"/>
      <c r="PSC1" s="230"/>
      <c r="PSD1" s="230"/>
      <c r="PSE1" s="230"/>
      <c r="PSF1" s="230"/>
      <c r="PSG1" s="230"/>
      <c r="PSH1" s="230"/>
      <c r="PSI1" s="230"/>
      <c r="PSJ1" s="230"/>
      <c r="PSK1" s="230"/>
      <c r="PSL1" s="230"/>
      <c r="PSM1" s="230"/>
      <c r="PSN1" s="230"/>
      <c r="PSO1" s="230"/>
      <c r="PSP1" s="230"/>
      <c r="PSQ1" s="230"/>
      <c r="PSR1" s="230"/>
      <c r="PSS1" s="230"/>
      <c r="PST1" s="230"/>
      <c r="PSU1" s="230"/>
      <c r="PSV1" s="230"/>
      <c r="PSW1" s="230"/>
      <c r="PSX1" s="230"/>
      <c r="PSY1" s="230"/>
      <c r="PSZ1" s="230"/>
      <c r="PTA1" s="230"/>
      <c r="PTB1" s="230"/>
      <c r="PTC1" s="230"/>
      <c r="PTD1" s="230"/>
      <c r="PTE1" s="230"/>
      <c r="PTF1" s="230"/>
      <c r="PTG1" s="230"/>
      <c r="PTH1" s="230"/>
      <c r="PTI1" s="230"/>
      <c r="PTJ1" s="230"/>
      <c r="PTK1" s="230"/>
      <c r="PTL1" s="230"/>
      <c r="PTM1" s="230"/>
      <c r="PTN1" s="230"/>
      <c r="PTO1" s="230"/>
      <c r="PTP1" s="230"/>
      <c r="PTQ1" s="230"/>
      <c r="PTR1" s="230"/>
      <c r="PTS1" s="230"/>
      <c r="PTT1" s="230"/>
      <c r="PTU1" s="230"/>
      <c r="PTV1" s="230"/>
      <c r="PTW1" s="230"/>
      <c r="PTX1" s="230"/>
      <c r="PTY1" s="230"/>
      <c r="PTZ1" s="230"/>
      <c r="PUA1" s="230"/>
      <c r="PUB1" s="230"/>
      <c r="PUC1" s="230"/>
      <c r="PUD1" s="230"/>
      <c r="PUE1" s="230"/>
      <c r="PUF1" s="230"/>
      <c r="PUG1" s="230"/>
      <c r="PUH1" s="230"/>
      <c r="PUI1" s="230"/>
      <c r="PUJ1" s="230"/>
      <c r="PUK1" s="230"/>
      <c r="PUL1" s="230"/>
      <c r="PUM1" s="230"/>
      <c r="PUN1" s="230"/>
      <c r="PUO1" s="230"/>
      <c r="PUP1" s="230"/>
      <c r="PUQ1" s="230"/>
      <c r="PUR1" s="230"/>
      <c r="PUS1" s="230"/>
      <c r="PUT1" s="230"/>
      <c r="PUU1" s="230"/>
      <c r="PUV1" s="230"/>
      <c r="PUW1" s="230"/>
      <c r="PUX1" s="230"/>
      <c r="PUY1" s="230"/>
      <c r="PUZ1" s="230"/>
      <c r="PVA1" s="230"/>
      <c r="PVB1" s="230"/>
      <c r="PVC1" s="230"/>
      <c r="PVD1" s="230"/>
      <c r="PVE1" s="230"/>
      <c r="PVF1" s="230"/>
      <c r="PVG1" s="230"/>
      <c r="PVH1" s="230"/>
      <c r="PVI1" s="230"/>
      <c r="PVJ1" s="230"/>
      <c r="PVK1" s="230"/>
      <c r="PVL1" s="230"/>
      <c r="PVM1" s="230"/>
      <c r="PVN1" s="230"/>
      <c r="PVO1" s="230"/>
      <c r="PVP1" s="230"/>
      <c r="PVQ1" s="230"/>
      <c r="PVR1" s="230"/>
      <c r="PVS1" s="230"/>
      <c r="PVT1" s="230"/>
      <c r="PVU1" s="230"/>
      <c r="PVV1" s="230"/>
      <c r="PVW1" s="230"/>
      <c r="PVX1" s="230"/>
      <c r="PVY1" s="230"/>
      <c r="PVZ1" s="230"/>
      <c r="PWA1" s="230"/>
      <c r="PWB1" s="230"/>
      <c r="PWC1" s="230"/>
      <c r="PWD1" s="230"/>
      <c r="PWE1" s="230"/>
      <c r="PWF1" s="230"/>
      <c r="PWG1" s="230"/>
      <c r="PWH1" s="230"/>
      <c r="PWI1" s="230"/>
      <c r="PWJ1" s="230"/>
      <c r="PWK1" s="230"/>
      <c r="PWL1" s="230"/>
      <c r="PWM1" s="230"/>
      <c r="PWN1" s="230"/>
      <c r="PWO1" s="230"/>
      <c r="PWP1" s="230"/>
      <c r="PWQ1" s="230"/>
      <c r="PWR1" s="230"/>
      <c r="PWS1" s="230"/>
      <c r="PWT1" s="230"/>
      <c r="PWU1" s="230"/>
      <c r="PWV1" s="230"/>
      <c r="PWW1" s="230"/>
      <c r="PWX1" s="230"/>
      <c r="PWY1" s="230"/>
      <c r="PWZ1" s="230"/>
      <c r="PXA1" s="230"/>
      <c r="PXB1" s="230"/>
      <c r="PXC1" s="230"/>
      <c r="PXD1" s="230"/>
      <c r="PXE1" s="230"/>
      <c r="PXF1" s="230"/>
      <c r="PXG1" s="230"/>
      <c r="PXH1" s="230"/>
      <c r="PXI1" s="230"/>
      <c r="PXJ1" s="230"/>
      <c r="PXK1" s="230"/>
      <c r="PXL1" s="230"/>
      <c r="PXM1" s="230"/>
      <c r="PXN1" s="230"/>
      <c r="PXO1" s="230"/>
      <c r="PXP1" s="230"/>
      <c r="PXQ1" s="230"/>
      <c r="PXR1" s="230"/>
      <c r="PXS1" s="230"/>
      <c r="PXT1" s="230"/>
      <c r="PXU1" s="230"/>
      <c r="PXV1" s="230"/>
      <c r="PXW1" s="230"/>
      <c r="PXX1" s="230"/>
      <c r="PXY1" s="230"/>
      <c r="PXZ1" s="230"/>
      <c r="PYA1" s="230"/>
      <c r="PYB1" s="230"/>
      <c r="PYC1" s="230"/>
      <c r="PYD1" s="230"/>
      <c r="PYE1" s="230"/>
      <c r="PYF1" s="230"/>
      <c r="PYG1" s="230"/>
      <c r="PYH1" s="230"/>
      <c r="PYI1" s="230"/>
      <c r="PYJ1" s="230"/>
      <c r="PYK1" s="230"/>
      <c r="PYL1" s="230"/>
      <c r="PYM1" s="230"/>
      <c r="PYN1" s="230"/>
      <c r="PYO1" s="230"/>
      <c r="PYP1" s="230"/>
      <c r="PYQ1" s="230"/>
      <c r="PYR1" s="230"/>
      <c r="PYS1" s="230"/>
      <c r="PYT1" s="230"/>
      <c r="PYU1" s="230"/>
      <c r="PYV1" s="230"/>
      <c r="PYW1" s="230"/>
      <c r="PYX1" s="230"/>
      <c r="PYY1" s="230"/>
      <c r="PYZ1" s="230"/>
      <c r="PZA1" s="230"/>
      <c r="PZB1" s="230"/>
      <c r="PZC1" s="230"/>
      <c r="PZD1" s="230"/>
      <c r="PZE1" s="230"/>
      <c r="PZF1" s="230"/>
      <c r="PZG1" s="230"/>
      <c r="PZH1" s="230"/>
      <c r="PZI1" s="230"/>
      <c r="PZJ1" s="230"/>
      <c r="PZK1" s="230"/>
      <c r="PZL1" s="230"/>
      <c r="PZM1" s="230"/>
      <c r="PZN1" s="230"/>
      <c r="PZO1" s="230"/>
      <c r="PZP1" s="230"/>
      <c r="PZQ1" s="230"/>
      <c r="PZR1" s="230"/>
      <c r="PZS1" s="230"/>
      <c r="PZT1" s="230"/>
      <c r="PZU1" s="230"/>
      <c r="PZV1" s="230"/>
      <c r="PZW1" s="230"/>
      <c r="PZX1" s="230"/>
      <c r="PZY1" s="230"/>
      <c r="PZZ1" s="230"/>
      <c r="QAA1" s="230"/>
      <c r="QAB1" s="230"/>
      <c r="QAC1" s="230"/>
      <c r="QAD1" s="230"/>
      <c r="QAE1" s="230"/>
      <c r="QAF1" s="230"/>
      <c r="QAG1" s="230"/>
      <c r="QAH1" s="230"/>
      <c r="QAI1" s="230"/>
      <c r="QAJ1" s="230"/>
      <c r="QAK1" s="230"/>
      <c r="QAL1" s="230"/>
      <c r="QAM1" s="230"/>
      <c r="QAN1" s="230"/>
      <c r="QAO1" s="230"/>
      <c r="QAP1" s="230"/>
      <c r="QAQ1" s="230"/>
      <c r="QAR1" s="230"/>
      <c r="QAS1" s="230"/>
      <c r="QAT1" s="230"/>
      <c r="QAU1" s="230"/>
      <c r="QAV1" s="230"/>
      <c r="QAW1" s="230"/>
      <c r="QAX1" s="230"/>
      <c r="QAY1" s="230"/>
      <c r="QAZ1" s="230"/>
      <c r="QBA1" s="230"/>
      <c r="QBB1" s="230"/>
      <c r="QBC1" s="230"/>
      <c r="QBD1" s="230"/>
      <c r="QBE1" s="230"/>
      <c r="QBF1" s="230"/>
      <c r="QBG1" s="230"/>
      <c r="QBH1" s="230"/>
      <c r="QBI1" s="230"/>
      <c r="QBJ1" s="230"/>
      <c r="QBK1" s="230"/>
      <c r="QBL1" s="230"/>
      <c r="QBM1" s="230"/>
      <c r="QBN1" s="230"/>
      <c r="QBO1" s="230"/>
      <c r="QBP1" s="230"/>
      <c r="QBQ1" s="230"/>
      <c r="QBR1" s="230"/>
      <c r="QBS1" s="230"/>
      <c r="QBT1" s="230"/>
      <c r="QBU1" s="230"/>
      <c r="QBV1" s="230"/>
      <c r="QBW1" s="230"/>
      <c r="QBX1" s="230"/>
      <c r="QBY1" s="230"/>
      <c r="QBZ1" s="230"/>
      <c r="QCA1" s="230"/>
      <c r="QCB1" s="230"/>
      <c r="QCC1" s="230"/>
      <c r="QCD1" s="230"/>
      <c r="QCE1" s="230"/>
      <c r="QCF1" s="230"/>
      <c r="QCG1" s="230"/>
      <c r="QCH1" s="230"/>
      <c r="QCI1" s="230"/>
      <c r="QCJ1" s="230"/>
      <c r="QCK1" s="230"/>
      <c r="QCL1" s="230"/>
      <c r="QCM1" s="230"/>
      <c r="QCN1" s="230"/>
      <c r="QCO1" s="230"/>
      <c r="QCP1" s="230"/>
      <c r="QCQ1" s="230"/>
      <c r="QCR1" s="230"/>
      <c r="QCS1" s="230"/>
      <c r="QCT1" s="230"/>
      <c r="QCU1" s="230"/>
      <c r="QCV1" s="230"/>
      <c r="QCW1" s="230"/>
      <c r="QCX1" s="230"/>
      <c r="QCY1" s="230"/>
      <c r="QCZ1" s="230"/>
      <c r="QDA1" s="230"/>
      <c r="QDB1" s="230"/>
      <c r="QDC1" s="230"/>
      <c r="QDD1" s="230"/>
      <c r="QDE1" s="230"/>
      <c r="QDF1" s="230"/>
      <c r="QDG1" s="230"/>
      <c r="QDH1" s="230"/>
      <c r="QDI1" s="230"/>
      <c r="QDJ1" s="230"/>
      <c r="QDK1" s="230"/>
      <c r="QDL1" s="230"/>
      <c r="QDM1" s="230"/>
      <c r="QDN1" s="230"/>
      <c r="QDO1" s="230"/>
      <c r="QDP1" s="230"/>
      <c r="QDQ1" s="230"/>
      <c r="QDR1" s="230"/>
      <c r="QDS1" s="230"/>
      <c r="QDT1" s="230"/>
      <c r="QDU1" s="230"/>
      <c r="QDV1" s="230"/>
      <c r="QDW1" s="230"/>
      <c r="QDX1" s="230"/>
      <c r="QDY1" s="230"/>
      <c r="QDZ1" s="230"/>
      <c r="QEA1" s="230"/>
      <c r="QEB1" s="230"/>
      <c r="QEC1" s="230"/>
      <c r="QED1" s="230"/>
      <c r="QEE1" s="230"/>
      <c r="QEF1" s="230"/>
      <c r="QEG1" s="230"/>
      <c r="QEH1" s="230"/>
      <c r="QEI1" s="230"/>
      <c r="QEJ1" s="230"/>
      <c r="QEK1" s="230"/>
      <c r="QEL1" s="230"/>
      <c r="QEM1" s="230"/>
      <c r="QEN1" s="230"/>
      <c r="QEO1" s="230"/>
      <c r="QEP1" s="230"/>
      <c r="QEQ1" s="230"/>
      <c r="QER1" s="230"/>
      <c r="QES1" s="230"/>
      <c r="QET1" s="230"/>
      <c r="QEU1" s="230"/>
      <c r="QEV1" s="230"/>
      <c r="QEW1" s="230"/>
      <c r="QEX1" s="230"/>
      <c r="QEY1" s="230"/>
      <c r="QEZ1" s="230"/>
      <c r="QFA1" s="230"/>
      <c r="QFB1" s="230"/>
      <c r="QFC1" s="230"/>
      <c r="QFD1" s="230"/>
      <c r="QFE1" s="230"/>
      <c r="QFF1" s="230"/>
      <c r="QFG1" s="230"/>
      <c r="QFH1" s="230"/>
      <c r="QFI1" s="230"/>
      <c r="QFJ1" s="230"/>
      <c r="QFK1" s="230"/>
      <c r="QFL1" s="230"/>
      <c r="QFM1" s="230"/>
      <c r="QFN1" s="230"/>
      <c r="QFO1" s="230"/>
      <c r="QFP1" s="230"/>
      <c r="QFQ1" s="230"/>
      <c r="QFR1" s="230"/>
      <c r="QFS1" s="230"/>
      <c r="QFT1" s="230"/>
      <c r="QFU1" s="230"/>
      <c r="QFV1" s="230"/>
      <c r="QFW1" s="230"/>
      <c r="QFX1" s="230"/>
      <c r="QFY1" s="230"/>
      <c r="QFZ1" s="230"/>
      <c r="QGA1" s="230"/>
      <c r="QGB1" s="230"/>
      <c r="QGC1" s="230"/>
      <c r="QGD1" s="230"/>
      <c r="QGE1" s="230"/>
      <c r="QGF1" s="230"/>
      <c r="QGG1" s="230"/>
      <c r="QGH1" s="230"/>
      <c r="QGI1" s="230"/>
      <c r="QGJ1" s="230"/>
      <c r="QGK1" s="230"/>
      <c r="QGL1" s="230"/>
      <c r="QGM1" s="230"/>
      <c r="QGN1" s="230"/>
      <c r="QGO1" s="230"/>
      <c r="QGP1" s="230"/>
      <c r="QGQ1" s="230"/>
      <c r="QGR1" s="230"/>
      <c r="QGS1" s="230"/>
      <c r="QGT1" s="230"/>
      <c r="QGU1" s="230"/>
      <c r="QGV1" s="230"/>
      <c r="QGW1" s="230"/>
      <c r="QGX1" s="230"/>
      <c r="QGY1" s="230"/>
      <c r="QGZ1" s="230"/>
      <c r="QHA1" s="230"/>
      <c r="QHB1" s="230"/>
      <c r="QHC1" s="230"/>
      <c r="QHD1" s="230"/>
      <c r="QHE1" s="230"/>
      <c r="QHF1" s="230"/>
      <c r="QHG1" s="230"/>
      <c r="QHH1" s="230"/>
      <c r="QHI1" s="230"/>
      <c r="QHJ1" s="230"/>
      <c r="QHK1" s="230"/>
      <c r="QHL1" s="230"/>
      <c r="QHM1" s="230"/>
      <c r="QHN1" s="230"/>
      <c r="QHO1" s="230"/>
      <c r="QHP1" s="230"/>
      <c r="QHQ1" s="230"/>
      <c r="QHR1" s="230"/>
      <c r="QHS1" s="230"/>
      <c r="QHT1" s="230"/>
      <c r="QHU1" s="230"/>
      <c r="QHV1" s="230"/>
      <c r="QHW1" s="230"/>
      <c r="QHX1" s="230"/>
      <c r="QHY1" s="230"/>
      <c r="QHZ1" s="230"/>
      <c r="QIA1" s="230"/>
      <c r="QIB1" s="230"/>
      <c r="QIC1" s="230"/>
      <c r="QID1" s="230"/>
      <c r="QIE1" s="230"/>
      <c r="QIF1" s="230"/>
      <c r="QIG1" s="230"/>
      <c r="QIH1" s="230"/>
      <c r="QII1" s="230"/>
      <c r="QIJ1" s="230"/>
      <c r="QIK1" s="230"/>
      <c r="QIL1" s="230"/>
      <c r="QIM1" s="230"/>
      <c r="QIN1" s="230"/>
      <c r="QIO1" s="230"/>
      <c r="QIP1" s="230"/>
      <c r="QIQ1" s="230"/>
      <c r="QIR1" s="230"/>
      <c r="QIS1" s="230"/>
      <c r="QIT1" s="230"/>
      <c r="QIU1" s="230"/>
      <c r="QIV1" s="230"/>
      <c r="QIW1" s="230"/>
      <c r="QIX1" s="230"/>
      <c r="QIY1" s="230"/>
      <c r="QIZ1" s="230"/>
      <c r="QJA1" s="230"/>
      <c r="QJB1" s="230"/>
      <c r="QJC1" s="230"/>
      <c r="QJD1" s="230"/>
      <c r="QJE1" s="230"/>
      <c r="QJF1" s="230"/>
      <c r="QJG1" s="230"/>
      <c r="QJH1" s="230"/>
      <c r="QJI1" s="230"/>
      <c r="QJJ1" s="230"/>
      <c r="QJK1" s="230"/>
      <c r="QJL1" s="230"/>
      <c r="QJM1" s="230"/>
      <c r="QJN1" s="230"/>
      <c r="QJO1" s="230"/>
      <c r="QJP1" s="230"/>
      <c r="QJQ1" s="230"/>
      <c r="QJR1" s="230"/>
      <c r="QJS1" s="230"/>
      <c r="QJT1" s="230"/>
      <c r="QJU1" s="230"/>
      <c r="QJV1" s="230"/>
      <c r="QJW1" s="230"/>
      <c r="QJX1" s="230"/>
      <c r="QJY1" s="230"/>
      <c r="QJZ1" s="230"/>
      <c r="QKA1" s="230"/>
      <c r="QKB1" s="230"/>
      <c r="QKC1" s="230"/>
      <c r="QKD1" s="230"/>
      <c r="QKE1" s="230"/>
      <c r="QKF1" s="230"/>
      <c r="QKG1" s="230"/>
      <c r="QKH1" s="230"/>
      <c r="QKI1" s="230"/>
      <c r="QKJ1" s="230"/>
      <c r="QKK1" s="230"/>
      <c r="QKL1" s="230"/>
      <c r="QKM1" s="230"/>
      <c r="QKN1" s="230"/>
      <c r="QKO1" s="230"/>
      <c r="QKP1" s="230"/>
      <c r="QKQ1" s="230"/>
      <c r="QKR1" s="230"/>
      <c r="QKS1" s="230"/>
      <c r="QKT1" s="230"/>
      <c r="QKU1" s="230"/>
      <c r="QKV1" s="230"/>
      <c r="QKW1" s="230"/>
      <c r="QKX1" s="230"/>
      <c r="QKY1" s="230"/>
      <c r="QKZ1" s="230"/>
      <c r="QLA1" s="230"/>
      <c r="QLB1" s="230"/>
      <c r="QLC1" s="230"/>
      <c r="QLD1" s="230"/>
      <c r="QLE1" s="230"/>
      <c r="QLF1" s="230"/>
      <c r="QLG1" s="230"/>
      <c r="QLH1" s="230"/>
      <c r="QLI1" s="230"/>
      <c r="QLJ1" s="230"/>
      <c r="QLK1" s="230"/>
      <c r="QLL1" s="230"/>
      <c r="QLM1" s="230"/>
      <c r="QLN1" s="230"/>
      <c r="QLO1" s="230"/>
      <c r="QLP1" s="230"/>
      <c r="QLQ1" s="230"/>
      <c r="QLR1" s="230"/>
      <c r="QLS1" s="230"/>
      <c r="QLT1" s="230"/>
      <c r="QLU1" s="230"/>
      <c r="QLV1" s="230"/>
      <c r="QLW1" s="230"/>
      <c r="QLX1" s="230"/>
      <c r="QLY1" s="230"/>
      <c r="QLZ1" s="230"/>
      <c r="QMA1" s="230"/>
      <c r="QMB1" s="230"/>
      <c r="QMC1" s="230"/>
      <c r="QMD1" s="230"/>
      <c r="QME1" s="230"/>
      <c r="QMF1" s="230"/>
      <c r="QMG1" s="230"/>
      <c r="QMH1" s="230"/>
      <c r="QMI1" s="230"/>
      <c r="QMJ1" s="230"/>
      <c r="QMK1" s="230"/>
      <c r="QML1" s="230"/>
      <c r="QMM1" s="230"/>
      <c r="QMN1" s="230"/>
      <c r="QMO1" s="230"/>
      <c r="QMP1" s="230"/>
      <c r="QMQ1" s="230"/>
      <c r="QMR1" s="230"/>
      <c r="QMS1" s="230"/>
      <c r="QMT1" s="230"/>
      <c r="QMU1" s="230"/>
      <c r="QMV1" s="230"/>
      <c r="QMW1" s="230"/>
      <c r="QMX1" s="230"/>
      <c r="QMY1" s="230"/>
      <c r="QMZ1" s="230"/>
      <c r="QNA1" s="230"/>
      <c r="QNB1" s="230"/>
      <c r="QNC1" s="230"/>
      <c r="QND1" s="230"/>
      <c r="QNE1" s="230"/>
      <c r="QNF1" s="230"/>
      <c r="QNG1" s="230"/>
      <c r="QNH1" s="230"/>
      <c r="QNI1" s="230"/>
      <c r="QNJ1" s="230"/>
      <c r="QNK1" s="230"/>
      <c r="QNL1" s="230"/>
      <c r="QNM1" s="230"/>
      <c r="QNN1" s="230"/>
      <c r="QNO1" s="230"/>
      <c r="QNP1" s="230"/>
      <c r="QNQ1" s="230"/>
      <c r="QNR1" s="230"/>
      <c r="QNS1" s="230"/>
      <c r="QNT1" s="230"/>
      <c r="QNU1" s="230"/>
      <c r="QNV1" s="230"/>
      <c r="QNW1" s="230"/>
      <c r="QNX1" s="230"/>
      <c r="QNY1" s="230"/>
      <c r="QNZ1" s="230"/>
      <c r="QOA1" s="230"/>
      <c r="QOB1" s="230"/>
      <c r="QOC1" s="230"/>
      <c r="QOD1" s="230"/>
      <c r="QOE1" s="230"/>
      <c r="QOF1" s="230"/>
      <c r="QOG1" s="230"/>
      <c r="QOH1" s="230"/>
      <c r="QOI1" s="230"/>
      <c r="QOJ1" s="230"/>
      <c r="QOK1" s="230"/>
      <c r="QOL1" s="230"/>
      <c r="QOM1" s="230"/>
      <c r="QON1" s="230"/>
      <c r="QOO1" s="230"/>
      <c r="QOP1" s="230"/>
      <c r="QOQ1" s="230"/>
      <c r="QOR1" s="230"/>
      <c r="QOS1" s="230"/>
      <c r="QOT1" s="230"/>
      <c r="QOU1" s="230"/>
      <c r="QOV1" s="230"/>
      <c r="QOW1" s="230"/>
      <c r="QOX1" s="230"/>
      <c r="QOY1" s="230"/>
      <c r="QOZ1" s="230"/>
      <c r="QPA1" s="230"/>
      <c r="QPB1" s="230"/>
      <c r="QPC1" s="230"/>
      <c r="QPD1" s="230"/>
      <c r="QPE1" s="230"/>
      <c r="QPF1" s="230"/>
      <c r="QPG1" s="230"/>
      <c r="QPH1" s="230"/>
      <c r="QPI1" s="230"/>
      <c r="QPJ1" s="230"/>
      <c r="QPK1" s="230"/>
      <c r="QPL1" s="230"/>
      <c r="QPM1" s="230"/>
      <c r="QPN1" s="230"/>
      <c r="QPO1" s="230"/>
      <c r="QPP1" s="230"/>
      <c r="QPQ1" s="230"/>
      <c r="QPR1" s="230"/>
      <c r="QPS1" s="230"/>
      <c r="QPT1" s="230"/>
      <c r="QPU1" s="230"/>
      <c r="QPV1" s="230"/>
      <c r="QPW1" s="230"/>
      <c r="QPX1" s="230"/>
      <c r="QPY1" s="230"/>
      <c r="QPZ1" s="230"/>
      <c r="QQA1" s="230"/>
      <c r="QQB1" s="230"/>
      <c r="QQC1" s="230"/>
      <c r="QQD1" s="230"/>
      <c r="QQE1" s="230"/>
      <c r="QQF1" s="230"/>
      <c r="QQG1" s="230"/>
      <c r="QQH1" s="230"/>
      <c r="QQI1" s="230"/>
      <c r="QQJ1" s="230"/>
      <c r="QQK1" s="230"/>
      <c r="QQL1" s="230"/>
      <c r="QQM1" s="230"/>
      <c r="QQN1" s="230"/>
      <c r="QQO1" s="230"/>
      <c r="QQP1" s="230"/>
      <c r="QQQ1" s="230"/>
      <c r="QQR1" s="230"/>
      <c r="QQS1" s="230"/>
      <c r="QQT1" s="230"/>
      <c r="QQU1" s="230"/>
      <c r="QQV1" s="230"/>
      <c r="QQW1" s="230"/>
      <c r="QQX1" s="230"/>
      <c r="QQY1" s="230"/>
      <c r="QQZ1" s="230"/>
      <c r="QRA1" s="230"/>
      <c r="QRB1" s="230"/>
      <c r="QRC1" s="230"/>
      <c r="QRD1" s="230"/>
      <c r="QRE1" s="230"/>
      <c r="QRF1" s="230"/>
      <c r="QRG1" s="230"/>
      <c r="QRH1" s="230"/>
      <c r="QRI1" s="230"/>
      <c r="QRJ1" s="230"/>
      <c r="QRK1" s="230"/>
      <c r="QRL1" s="230"/>
      <c r="QRM1" s="230"/>
      <c r="QRN1" s="230"/>
      <c r="QRO1" s="230"/>
      <c r="QRP1" s="230"/>
      <c r="QRQ1" s="230"/>
      <c r="QRR1" s="230"/>
      <c r="QRS1" s="230"/>
      <c r="QRT1" s="230"/>
      <c r="QRU1" s="230"/>
      <c r="QRV1" s="230"/>
      <c r="QRW1" s="230"/>
      <c r="QRX1" s="230"/>
      <c r="QRY1" s="230"/>
      <c r="QRZ1" s="230"/>
      <c r="QSA1" s="230"/>
      <c r="QSB1" s="230"/>
      <c r="QSC1" s="230"/>
      <c r="QSD1" s="230"/>
      <c r="QSE1" s="230"/>
      <c r="QSF1" s="230"/>
      <c r="QSG1" s="230"/>
      <c r="QSH1" s="230"/>
      <c r="QSI1" s="230"/>
      <c r="QSJ1" s="230"/>
      <c r="QSK1" s="230"/>
      <c r="QSL1" s="230"/>
      <c r="QSM1" s="230"/>
      <c r="QSN1" s="230"/>
      <c r="QSO1" s="230"/>
      <c r="QSP1" s="230"/>
      <c r="QSQ1" s="230"/>
      <c r="QSR1" s="230"/>
      <c r="QSS1" s="230"/>
      <c r="QST1" s="230"/>
      <c r="QSU1" s="230"/>
      <c r="QSV1" s="230"/>
      <c r="QSW1" s="230"/>
      <c r="QSX1" s="230"/>
      <c r="QSY1" s="230"/>
      <c r="QSZ1" s="230"/>
      <c r="QTA1" s="230"/>
      <c r="QTB1" s="230"/>
      <c r="QTC1" s="230"/>
      <c r="QTD1" s="230"/>
      <c r="QTE1" s="230"/>
      <c r="QTF1" s="230"/>
      <c r="QTG1" s="230"/>
      <c r="QTH1" s="230"/>
      <c r="QTI1" s="230"/>
      <c r="QTJ1" s="230"/>
      <c r="QTK1" s="230"/>
      <c r="QTL1" s="230"/>
      <c r="QTM1" s="230"/>
      <c r="QTN1" s="230"/>
      <c r="QTO1" s="230"/>
      <c r="QTP1" s="230"/>
      <c r="QTQ1" s="230"/>
      <c r="QTR1" s="230"/>
      <c r="QTS1" s="230"/>
      <c r="QTT1" s="230"/>
      <c r="QTU1" s="230"/>
      <c r="QTV1" s="230"/>
      <c r="QTW1" s="230"/>
      <c r="QTX1" s="230"/>
      <c r="QTY1" s="230"/>
      <c r="QTZ1" s="230"/>
      <c r="QUA1" s="230"/>
      <c r="QUB1" s="230"/>
      <c r="QUC1" s="230"/>
      <c r="QUD1" s="230"/>
      <c r="QUE1" s="230"/>
      <c r="QUF1" s="230"/>
      <c r="QUG1" s="230"/>
      <c r="QUH1" s="230"/>
      <c r="QUI1" s="230"/>
      <c r="QUJ1" s="230"/>
      <c r="QUK1" s="230"/>
      <c r="QUL1" s="230"/>
      <c r="QUM1" s="230"/>
      <c r="QUN1" s="230"/>
      <c r="QUO1" s="230"/>
      <c r="QUP1" s="230"/>
      <c r="QUQ1" s="230"/>
      <c r="QUR1" s="230"/>
      <c r="QUS1" s="230"/>
      <c r="QUT1" s="230"/>
      <c r="QUU1" s="230"/>
      <c r="QUV1" s="230"/>
      <c r="QUW1" s="230"/>
      <c r="QUX1" s="230"/>
      <c r="QUY1" s="230"/>
      <c r="QUZ1" s="230"/>
      <c r="QVA1" s="230"/>
      <c r="QVB1" s="230"/>
      <c r="QVC1" s="230"/>
      <c r="QVD1" s="230"/>
      <c r="QVE1" s="230"/>
      <c r="QVF1" s="230"/>
      <c r="QVG1" s="230"/>
      <c r="QVH1" s="230"/>
      <c r="QVI1" s="230"/>
      <c r="QVJ1" s="230"/>
      <c r="QVK1" s="230"/>
      <c r="QVL1" s="230"/>
      <c r="QVM1" s="230"/>
      <c r="QVN1" s="230"/>
      <c r="QVO1" s="230"/>
      <c r="QVP1" s="230"/>
      <c r="QVQ1" s="230"/>
      <c r="QVR1" s="230"/>
      <c r="QVS1" s="230"/>
      <c r="QVT1" s="230"/>
      <c r="QVU1" s="230"/>
      <c r="QVV1" s="230"/>
      <c r="QVW1" s="230"/>
      <c r="QVX1" s="230"/>
      <c r="QVY1" s="230"/>
      <c r="QVZ1" s="230"/>
      <c r="QWA1" s="230"/>
      <c r="QWB1" s="230"/>
      <c r="QWC1" s="230"/>
      <c r="QWD1" s="230"/>
      <c r="QWE1" s="230"/>
      <c r="QWF1" s="230"/>
      <c r="QWG1" s="230"/>
      <c r="QWH1" s="230"/>
      <c r="QWI1" s="230"/>
      <c r="QWJ1" s="230"/>
      <c r="QWK1" s="230"/>
      <c r="QWL1" s="230"/>
      <c r="QWM1" s="230"/>
      <c r="QWN1" s="230"/>
      <c r="QWO1" s="230"/>
      <c r="QWP1" s="230"/>
      <c r="QWQ1" s="230"/>
      <c r="QWR1" s="230"/>
      <c r="QWS1" s="230"/>
      <c r="QWT1" s="230"/>
      <c r="QWU1" s="230"/>
      <c r="QWV1" s="230"/>
      <c r="QWW1" s="230"/>
      <c r="QWX1" s="230"/>
      <c r="QWY1" s="230"/>
      <c r="QWZ1" s="230"/>
      <c r="QXA1" s="230"/>
      <c r="QXB1" s="230"/>
      <c r="QXC1" s="230"/>
      <c r="QXD1" s="230"/>
      <c r="QXE1" s="230"/>
      <c r="QXF1" s="230"/>
      <c r="QXG1" s="230"/>
      <c r="QXH1" s="230"/>
      <c r="QXI1" s="230"/>
      <c r="QXJ1" s="230"/>
      <c r="QXK1" s="230"/>
      <c r="QXL1" s="230"/>
      <c r="QXM1" s="230"/>
      <c r="QXN1" s="230"/>
      <c r="QXO1" s="230"/>
      <c r="QXP1" s="230"/>
      <c r="QXQ1" s="230"/>
      <c r="QXR1" s="230"/>
      <c r="QXS1" s="230"/>
      <c r="QXT1" s="230"/>
      <c r="QXU1" s="230"/>
      <c r="QXV1" s="230"/>
      <c r="QXW1" s="230"/>
      <c r="QXX1" s="230"/>
      <c r="QXY1" s="230"/>
      <c r="QXZ1" s="230"/>
      <c r="QYA1" s="230"/>
      <c r="QYB1" s="230"/>
      <c r="QYC1" s="230"/>
      <c r="QYD1" s="230"/>
      <c r="QYE1" s="230"/>
      <c r="QYF1" s="230"/>
      <c r="QYG1" s="230"/>
      <c r="QYH1" s="230"/>
      <c r="QYI1" s="230"/>
      <c r="QYJ1" s="230"/>
      <c r="QYK1" s="230"/>
      <c r="QYL1" s="230"/>
      <c r="QYM1" s="230"/>
      <c r="QYN1" s="230"/>
      <c r="QYO1" s="230"/>
      <c r="QYP1" s="230"/>
      <c r="QYQ1" s="230"/>
      <c r="QYR1" s="230"/>
      <c r="QYS1" s="230"/>
      <c r="QYT1" s="230"/>
      <c r="QYU1" s="230"/>
      <c r="QYV1" s="230"/>
      <c r="QYW1" s="230"/>
      <c r="QYX1" s="230"/>
      <c r="QYY1" s="230"/>
      <c r="QYZ1" s="230"/>
      <c r="QZA1" s="230"/>
      <c r="QZB1" s="230"/>
      <c r="QZC1" s="230"/>
      <c r="QZD1" s="230"/>
      <c r="QZE1" s="230"/>
      <c r="QZF1" s="230"/>
      <c r="QZG1" s="230"/>
      <c r="QZH1" s="230"/>
      <c r="QZI1" s="230"/>
      <c r="QZJ1" s="230"/>
      <c r="QZK1" s="230"/>
      <c r="QZL1" s="230"/>
      <c r="QZM1" s="230"/>
      <c r="QZN1" s="230"/>
      <c r="QZO1" s="230"/>
      <c r="QZP1" s="230"/>
      <c r="QZQ1" s="230"/>
      <c r="QZR1" s="230"/>
      <c r="QZS1" s="230"/>
      <c r="QZT1" s="230"/>
      <c r="QZU1" s="230"/>
      <c r="QZV1" s="230"/>
      <c r="QZW1" s="230"/>
      <c r="QZX1" s="230"/>
      <c r="QZY1" s="230"/>
      <c r="QZZ1" s="230"/>
      <c r="RAA1" s="230"/>
      <c r="RAB1" s="230"/>
      <c r="RAC1" s="230"/>
      <c r="RAD1" s="230"/>
      <c r="RAE1" s="230"/>
      <c r="RAF1" s="230"/>
      <c r="RAG1" s="230"/>
      <c r="RAH1" s="230"/>
      <c r="RAI1" s="230"/>
      <c r="RAJ1" s="230"/>
      <c r="RAK1" s="230"/>
      <c r="RAL1" s="230"/>
      <c r="RAM1" s="230"/>
      <c r="RAN1" s="230"/>
      <c r="RAO1" s="230"/>
      <c r="RAP1" s="230"/>
      <c r="RAQ1" s="230"/>
      <c r="RAR1" s="230"/>
      <c r="RAS1" s="230"/>
      <c r="RAT1" s="230"/>
      <c r="RAU1" s="230"/>
      <c r="RAV1" s="230"/>
      <c r="RAW1" s="230"/>
      <c r="RAX1" s="230"/>
      <c r="RAY1" s="230"/>
      <c r="RAZ1" s="230"/>
      <c r="RBA1" s="230"/>
      <c r="RBB1" s="230"/>
      <c r="RBC1" s="230"/>
      <c r="RBD1" s="230"/>
      <c r="RBE1" s="230"/>
      <c r="RBF1" s="230"/>
      <c r="RBG1" s="230"/>
      <c r="RBH1" s="230"/>
      <c r="RBI1" s="230"/>
      <c r="RBJ1" s="230"/>
      <c r="RBK1" s="230"/>
      <c r="RBL1" s="230"/>
      <c r="RBM1" s="230"/>
      <c r="RBN1" s="230"/>
      <c r="RBO1" s="230"/>
      <c r="RBP1" s="230"/>
      <c r="RBQ1" s="230"/>
      <c r="RBR1" s="230"/>
      <c r="RBS1" s="230"/>
      <c r="RBT1" s="230"/>
      <c r="RBU1" s="230"/>
      <c r="RBV1" s="230"/>
      <c r="RBW1" s="230"/>
      <c r="RBX1" s="230"/>
      <c r="RBY1" s="230"/>
      <c r="RBZ1" s="230"/>
      <c r="RCA1" s="230"/>
      <c r="RCB1" s="230"/>
      <c r="RCC1" s="230"/>
      <c r="RCD1" s="230"/>
      <c r="RCE1" s="230"/>
      <c r="RCF1" s="230"/>
      <c r="RCG1" s="230"/>
      <c r="RCH1" s="230"/>
      <c r="RCI1" s="230"/>
      <c r="RCJ1" s="230"/>
      <c r="RCK1" s="230"/>
      <c r="RCL1" s="230"/>
      <c r="RCM1" s="230"/>
      <c r="RCN1" s="230"/>
      <c r="RCO1" s="230"/>
      <c r="RCP1" s="230"/>
      <c r="RCQ1" s="230"/>
      <c r="RCR1" s="230"/>
      <c r="RCS1" s="230"/>
      <c r="RCT1" s="230"/>
      <c r="RCU1" s="230"/>
      <c r="RCV1" s="230"/>
      <c r="RCW1" s="230"/>
      <c r="RCX1" s="230"/>
      <c r="RCY1" s="230"/>
      <c r="RCZ1" s="230"/>
      <c r="RDA1" s="230"/>
      <c r="RDB1" s="230"/>
      <c r="RDC1" s="230"/>
      <c r="RDD1" s="230"/>
      <c r="RDE1" s="230"/>
      <c r="RDF1" s="230"/>
      <c r="RDG1" s="230"/>
      <c r="RDH1" s="230"/>
      <c r="RDI1" s="230"/>
      <c r="RDJ1" s="230"/>
      <c r="RDK1" s="230"/>
      <c r="RDL1" s="230"/>
      <c r="RDM1" s="230"/>
      <c r="RDN1" s="230"/>
      <c r="RDO1" s="230"/>
      <c r="RDP1" s="230"/>
      <c r="RDQ1" s="230"/>
      <c r="RDR1" s="230"/>
      <c r="RDS1" s="230"/>
      <c r="RDT1" s="230"/>
      <c r="RDU1" s="230"/>
      <c r="RDV1" s="230"/>
      <c r="RDW1" s="230"/>
      <c r="RDX1" s="230"/>
      <c r="RDY1" s="230"/>
      <c r="RDZ1" s="230"/>
      <c r="REA1" s="230"/>
      <c r="REB1" s="230"/>
      <c r="REC1" s="230"/>
      <c r="RED1" s="230"/>
      <c r="REE1" s="230"/>
      <c r="REF1" s="230"/>
      <c r="REG1" s="230"/>
      <c r="REH1" s="230"/>
      <c r="REI1" s="230"/>
      <c r="REJ1" s="230"/>
      <c r="REK1" s="230"/>
      <c r="REL1" s="230"/>
      <c r="REM1" s="230"/>
      <c r="REN1" s="230"/>
      <c r="REO1" s="230"/>
      <c r="REP1" s="230"/>
      <c r="REQ1" s="230"/>
      <c r="RER1" s="230"/>
      <c r="RES1" s="230"/>
      <c r="RET1" s="230"/>
      <c r="REU1" s="230"/>
      <c r="REV1" s="230"/>
      <c r="REW1" s="230"/>
      <c r="REX1" s="230"/>
      <c r="REY1" s="230"/>
      <c r="REZ1" s="230"/>
      <c r="RFA1" s="230"/>
      <c r="RFB1" s="230"/>
      <c r="RFC1" s="230"/>
      <c r="RFD1" s="230"/>
      <c r="RFE1" s="230"/>
      <c r="RFF1" s="230"/>
      <c r="RFG1" s="230"/>
      <c r="RFH1" s="230"/>
      <c r="RFI1" s="230"/>
      <c r="RFJ1" s="230"/>
      <c r="RFK1" s="230"/>
      <c r="RFL1" s="230"/>
      <c r="RFM1" s="230"/>
      <c r="RFN1" s="230"/>
      <c r="RFO1" s="230"/>
      <c r="RFP1" s="230"/>
      <c r="RFQ1" s="230"/>
      <c r="RFR1" s="230"/>
      <c r="RFS1" s="230"/>
      <c r="RFT1" s="230"/>
      <c r="RFU1" s="230"/>
      <c r="RFV1" s="230"/>
      <c r="RFW1" s="230"/>
      <c r="RFX1" s="230"/>
      <c r="RFY1" s="230"/>
      <c r="RFZ1" s="230"/>
      <c r="RGA1" s="230"/>
      <c r="RGB1" s="230"/>
      <c r="RGC1" s="230"/>
      <c r="RGD1" s="230"/>
      <c r="RGE1" s="230"/>
      <c r="RGF1" s="230"/>
      <c r="RGG1" s="230"/>
      <c r="RGH1" s="230"/>
      <c r="RGI1" s="230"/>
      <c r="RGJ1" s="230"/>
      <c r="RGK1" s="230"/>
      <c r="RGL1" s="230"/>
      <c r="RGM1" s="230"/>
      <c r="RGN1" s="230"/>
      <c r="RGO1" s="230"/>
      <c r="RGP1" s="230"/>
      <c r="RGQ1" s="230"/>
      <c r="RGR1" s="230"/>
      <c r="RGS1" s="230"/>
      <c r="RGT1" s="230"/>
      <c r="RGU1" s="230"/>
      <c r="RGV1" s="230"/>
      <c r="RGW1" s="230"/>
      <c r="RGX1" s="230"/>
      <c r="RGY1" s="230"/>
      <c r="RGZ1" s="230"/>
      <c r="RHA1" s="230"/>
      <c r="RHB1" s="230"/>
      <c r="RHC1" s="230"/>
      <c r="RHD1" s="230"/>
      <c r="RHE1" s="230"/>
      <c r="RHF1" s="230"/>
      <c r="RHG1" s="230"/>
      <c r="RHH1" s="230"/>
      <c r="RHI1" s="230"/>
      <c r="RHJ1" s="230"/>
      <c r="RHK1" s="230"/>
      <c r="RHL1" s="230"/>
      <c r="RHM1" s="230"/>
      <c r="RHN1" s="230"/>
      <c r="RHO1" s="230"/>
      <c r="RHP1" s="230"/>
      <c r="RHQ1" s="230"/>
      <c r="RHR1" s="230"/>
      <c r="RHS1" s="230"/>
      <c r="RHT1" s="230"/>
      <c r="RHU1" s="230"/>
      <c r="RHV1" s="230"/>
      <c r="RHW1" s="230"/>
      <c r="RHX1" s="230"/>
      <c r="RHY1" s="230"/>
      <c r="RHZ1" s="230"/>
      <c r="RIA1" s="230"/>
      <c r="RIB1" s="230"/>
      <c r="RIC1" s="230"/>
      <c r="RID1" s="230"/>
      <c r="RIE1" s="230"/>
      <c r="RIF1" s="230"/>
      <c r="RIG1" s="230"/>
      <c r="RIH1" s="230"/>
      <c r="RII1" s="230"/>
      <c r="RIJ1" s="230"/>
      <c r="RIK1" s="230"/>
      <c r="RIL1" s="230"/>
      <c r="RIM1" s="230"/>
      <c r="RIN1" s="230"/>
      <c r="RIO1" s="230"/>
      <c r="RIP1" s="230"/>
      <c r="RIQ1" s="230"/>
      <c r="RIR1" s="230"/>
      <c r="RIS1" s="230"/>
      <c r="RIT1" s="230"/>
      <c r="RIU1" s="230"/>
      <c r="RIV1" s="230"/>
      <c r="RIW1" s="230"/>
      <c r="RIX1" s="230"/>
      <c r="RIY1" s="230"/>
      <c r="RIZ1" s="230"/>
      <c r="RJA1" s="230"/>
      <c r="RJB1" s="230"/>
      <c r="RJC1" s="230"/>
      <c r="RJD1" s="230"/>
      <c r="RJE1" s="230"/>
      <c r="RJF1" s="230"/>
      <c r="RJG1" s="230"/>
      <c r="RJH1" s="230"/>
      <c r="RJI1" s="230"/>
      <c r="RJJ1" s="230"/>
      <c r="RJK1" s="230"/>
      <c r="RJL1" s="230"/>
      <c r="RJM1" s="230"/>
      <c r="RJN1" s="230"/>
      <c r="RJO1" s="230"/>
      <c r="RJP1" s="230"/>
      <c r="RJQ1" s="230"/>
      <c r="RJR1" s="230"/>
      <c r="RJS1" s="230"/>
      <c r="RJT1" s="230"/>
      <c r="RJU1" s="230"/>
      <c r="RJV1" s="230"/>
      <c r="RJW1" s="230"/>
      <c r="RJX1" s="230"/>
      <c r="RJY1" s="230"/>
      <c r="RJZ1" s="230"/>
      <c r="RKA1" s="230"/>
      <c r="RKB1" s="230"/>
      <c r="RKC1" s="230"/>
      <c r="RKD1" s="230"/>
      <c r="RKE1" s="230"/>
      <c r="RKF1" s="230"/>
      <c r="RKG1" s="230"/>
      <c r="RKH1" s="230"/>
      <c r="RKI1" s="230"/>
      <c r="RKJ1" s="230"/>
      <c r="RKK1" s="230"/>
      <c r="RKL1" s="230"/>
      <c r="RKM1" s="230"/>
      <c r="RKN1" s="230"/>
      <c r="RKO1" s="230"/>
      <c r="RKP1" s="230"/>
      <c r="RKQ1" s="230"/>
      <c r="RKR1" s="230"/>
      <c r="RKS1" s="230"/>
      <c r="RKT1" s="230"/>
      <c r="RKU1" s="230"/>
      <c r="RKV1" s="230"/>
      <c r="RKW1" s="230"/>
      <c r="RKX1" s="230"/>
      <c r="RKY1" s="230"/>
      <c r="RKZ1" s="230"/>
      <c r="RLA1" s="230"/>
      <c r="RLB1" s="230"/>
      <c r="RLC1" s="230"/>
      <c r="RLD1" s="230"/>
      <c r="RLE1" s="230"/>
      <c r="RLF1" s="230"/>
      <c r="RLG1" s="230"/>
      <c r="RLH1" s="230"/>
      <c r="RLI1" s="230"/>
      <c r="RLJ1" s="230"/>
      <c r="RLK1" s="230"/>
      <c r="RLL1" s="230"/>
      <c r="RLM1" s="230"/>
      <c r="RLN1" s="230"/>
      <c r="RLO1" s="230"/>
      <c r="RLP1" s="230"/>
      <c r="RLQ1" s="230"/>
      <c r="RLR1" s="230"/>
      <c r="RLS1" s="230"/>
      <c r="RLT1" s="230"/>
      <c r="RLU1" s="230"/>
      <c r="RLV1" s="230"/>
      <c r="RLW1" s="230"/>
      <c r="RLX1" s="230"/>
      <c r="RLY1" s="230"/>
      <c r="RLZ1" s="230"/>
      <c r="RMA1" s="230"/>
      <c r="RMB1" s="230"/>
      <c r="RMC1" s="230"/>
      <c r="RMD1" s="230"/>
      <c r="RME1" s="230"/>
      <c r="RMF1" s="230"/>
      <c r="RMG1" s="230"/>
      <c r="RMH1" s="230"/>
      <c r="RMI1" s="230"/>
      <c r="RMJ1" s="230"/>
      <c r="RMK1" s="230"/>
      <c r="RML1" s="230"/>
      <c r="RMM1" s="230"/>
      <c r="RMN1" s="230"/>
      <c r="RMO1" s="230"/>
      <c r="RMP1" s="230"/>
      <c r="RMQ1" s="230"/>
      <c r="RMR1" s="230"/>
      <c r="RMS1" s="230"/>
      <c r="RMT1" s="230"/>
      <c r="RMU1" s="230"/>
      <c r="RMV1" s="230"/>
      <c r="RMW1" s="230"/>
      <c r="RMX1" s="230"/>
      <c r="RMY1" s="230"/>
      <c r="RMZ1" s="230"/>
      <c r="RNA1" s="230"/>
      <c r="RNB1" s="230"/>
      <c r="RNC1" s="230"/>
      <c r="RND1" s="230"/>
      <c r="RNE1" s="230"/>
      <c r="RNF1" s="230"/>
      <c r="RNG1" s="230"/>
      <c r="RNH1" s="230"/>
      <c r="RNI1" s="230"/>
      <c r="RNJ1" s="230"/>
      <c r="RNK1" s="230"/>
      <c r="RNL1" s="230"/>
      <c r="RNM1" s="230"/>
      <c r="RNN1" s="230"/>
      <c r="RNO1" s="230"/>
      <c r="RNP1" s="230"/>
      <c r="RNQ1" s="230"/>
      <c r="RNR1" s="230"/>
      <c r="RNS1" s="230"/>
      <c r="RNT1" s="230"/>
      <c r="RNU1" s="230"/>
      <c r="RNV1" s="230"/>
      <c r="RNW1" s="230"/>
      <c r="RNX1" s="230"/>
      <c r="RNY1" s="230"/>
      <c r="RNZ1" s="230"/>
      <c r="ROA1" s="230"/>
      <c r="ROB1" s="230"/>
      <c r="ROC1" s="230"/>
      <c r="ROD1" s="230"/>
      <c r="ROE1" s="230"/>
      <c r="ROF1" s="230"/>
      <c r="ROG1" s="230"/>
      <c r="ROH1" s="230"/>
      <c r="ROI1" s="230"/>
      <c r="ROJ1" s="230"/>
      <c r="ROK1" s="230"/>
      <c r="ROL1" s="230"/>
      <c r="ROM1" s="230"/>
      <c r="RON1" s="230"/>
      <c r="ROO1" s="230"/>
      <c r="ROP1" s="230"/>
      <c r="ROQ1" s="230"/>
      <c r="ROR1" s="230"/>
      <c r="ROS1" s="230"/>
      <c r="ROT1" s="230"/>
      <c r="ROU1" s="230"/>
      <c r="ROV1" s="230"/>
      <c r="ROW1" s="230"/>
      <c r="ROX1" s="230"/>
      <c r="ROY1" s="230"/>
      <c r="ROZ1" s="230"/>
      <c r="RPA1" s="230"/>
      <c r="RPB1" s="230"/>
      <c r="RPC1" s="230"/>
      <c r="RPD1" s="230"/>
      <c r="RPE1" s="230"/>
      <c r="RPF1" s="230"/>
      <c r="RPG1" s="230"/>
      <c r="RPH1" s="230"/>
      <c r="RPI1" s="230"/>
      <c r="RPJ1" s="230"/>
      <c r="RPK1" s="230"/>
      <c r="RPL1" s="230"/>
      <c r="RPM1" s="230"/>
      <c r="RPN1" s="230"/>
      <c r="RPO1" s="230"/>
      <c r="RPP1" s="230"/>
      <c r="RPQ1" s="230"/>
      <c r="RPR1" s="230"/>
      <c r="RPS1" s="230"/>
      <c r="RPT1" s="230"/>
      <c r="RPU1" s="230"/>
      <c r="RPV1" s="230"/>
      <c r="RPW1" s="230"/>
      <c r="RPX1" s="230"/>
      <c r="RPY1" s="230"/>
      <c r="RPZ1" s="230"/>
      <c r="RQA1" s="230"/>
      <c r="RQB1" s="230"/>
      <c r="RQC1" s="230"/>
      <c r="RQD1" s="230"/>
      <c r="RQE1" s="230"/>
      <c r="RQF1" s="230"/>
      <c r="RQG1" s="230"/>
      <c r="RQH1" s="230"/>
      <c r="RQI1" s="230"/>
      <c r="RQJ1" s="230"/>
      <c r="RQK1" s="230"/>
      <c r="RQL1" s="230"/>
      <c r="RQM1" s="230"/>
      <c r="RQN1" s="230"/>
      <c r="RQO1" s="230"/>
      <c r="RQP1" s="230"/>
      <c r="RQQ1" s="230"/>
      <c r="RQR1" s="230"/>
      <c r="RQS1" s="230"/>
      <c r="RQT1" s="230"/>
      <c r="RQU1" s="230"/>
      <c r="RQV1" s="230"/>
      <c r="RQW1" s="230"/>
      <c r="RQX1" s="230"/>
      <c r="RQY1" s="230"/>
      <c r="RQZ1" s="230"/>
      <c r="RRA1" s="230"/>
      <c r="RRB1" s="230"/>
      <c r="RRC1" s="230"/>
      <c r="RRD1" s="230"/>
      <c r="RRE1" s="230"/>
      <c r="RRF1" s="230"/>
      <c r="RRG1" s="230"/>
      <c r="RRH1" s="230"/>
      <c r="RRI1" s="230"/>
      <c r="RRJ1" s="230"/>
      <c r="RRK1" s="230"/>
      <c r="RRL1" s="230"/>
      <c r="RRM1" s="230"/>
      <c r="RRN1" s="230"/>
      <c r="RRO1" s="230"/>
      <c r="RRP1" s="230"/>
      <c r="RRQ1" s="230"/>
      <c r="RRR1" s="230"/>
      <c r="RRS1" s="230"/>
      <c r="RRT1" s="230"/>
      <c r="RRU1" s="230"/>
      <c r="RRV1" s="230"/>
      <c r="RRW1" s="230"/>
      <c r="RRX1" s="230"/>
      <c r="RRY1" s="230"/>
      <c r="RRZ1" s="230"/>
      <c r="RSA1" s="230"/>
      <c r="RSB1" s="230"/>
      <c r="RSC1" s="230"/>
      <c r="RSD1" s="230"/>
      <c r="RSE1" s="230"/>
      <c r="RSF1" s="230"/>
      <c r="RSG1" s="230"/>
      <c r="RSH1" s="230"/>
      <c r="RSI1" s="230"/>
      <c r="RSJ1" s="230"/>
      <c r="RSK1" s="230"/>
      <c r="RSL1" s="230"/>
      <c r="RSM1" s="230"/>
      <c r="RSN1" s="230"/>
      <c r="RSO1" s="230"/>
      <c r="RSP1" s="230"/>
      <c r="RSQ1" s="230"/>
      <c r="RSR1" s="230"/>
      <c r="RSS1" s="230"/>
      <c r="RST1" s="230"/>
      <c r="RSU1" s="230"/>
      <c r="RSV1" s="230"/>
      <c r="RSW1" s="230"/>
      <c r="RSX1" s="230"/>
      <c r="RSY1" s="230"/>
      <c r="RSZ1" s="230"/>
      <c r="RTA1" s="230"/>
      <c r="RTB1" s="230"/>
      <c r="RTC1" s="230"/>
      <c r="RTD1" s="230"/>
      <c r="RTE1" s="230"/>
      <c r="RTF1" s="230"/>
      <c r="RTG1" s="230"/>
      <c r="RTH1" s="230"/>
      <c r="RTI1" s="230"/>
      <c r="RTJ1" s="230"/>
      <c r="RTK1" s="230"/>
      <c r="RTL1" s="230"/>
      <c r="RTM1" s="230"/>
      <c r="RTN1" s="230"/>
      <c r="RTO1" s="230"/>
      <c r="RTP1" s="230"/>
      <c r="RTQ1" s="230"/>
      <c r="RTR1" s="230"/>
      <c r="RTS1" s="230"/>
      <c r="RTT1" s="230"/>
      <c r="RTU1" s="230"/>
      <c r="RTV1" s="230"/>
      <c r="RTW1" s="230"/>
      <c r="RTX1" s="230"/>
      <c r="RTY1" s="230"/>
      <c r="RTZ1" s="230"/>
      <c r="RUA1" s="230"/>
      <c r="RUB1" s="230"/>
      <c r="RUC1" s="230"/>
      <c r="RUD1" s="230"/>
      <c r="RUE1" s="230"/>
      <c r="RUF1" s="230"/>
      <c r="RUG1" s="230"/>
      <c r="RUH1" s="230"/>
      <c r="RUI1" s="230"/>
      <c r="RUJ1" s="230"/>
      <c r="RUK1" s="230"/>
      <c r="RUL1" s="230"/>
      <c r="RUM1" s="230"/>
      <c r="RUN1" s="230"/>
      <c r="RUO1" s="230"/>
      <c r="RUP1" s="230"/>
      <c r="RUQ1" s="230"/>
      <c r="RUR1" s="230"/>
      <c r="RUS1" s="230"/>
      <c r="RUT1" s="230"/>
      <c r="RUU1" s="230"/>
      <c r="RUV1" s="230"/>
      <c r="RUW1" s="230"/>
      <c r="RUX1" s="230"/>
      <c r="RUY1" s="230"/>
      <c r="RUZ1" s="230"/>
      <c r="RVA1" s="230"/>
      <c r="RVB1" s="230"/>
      <c r="RVC1" s="230"/>
      <c r="RVD1" s="230"/>
      <c r="RVE1" s="230"/>
      <c r="RVF1" s="230"/>
      <c r="RVG1" s="230"/>
      <c r="RVH1" s="230"/>
      <c r="RVI1" s="230"/>
      <c r="RVJ1" s="230"/>
      <c r="RVK1" s="230"/>
      <c r="RVL1" s="230"/>
      <c r="RVM1" s="230"/>
      <c r="RVN1" s="230"/>
      <c r="RVO1" s="230"/>
      <c r="RVP1" s="230"/>
      <c r="RVQ1" s="230"/>
      <c r="RVR1" s="230"/>
      <c r="RVS1" s="230"/>
      <c r="RVT1" s="230"/>
      <c r="RVU1" s="230"/>
      <c r="RVV1" s="230"/>
      <c r="RVW1" s="230"/>
      <c r="RVX1" s="230"/>
      <c r="RVY1" s="230"/>
      <c r="RVZ1" s="230"/>
      <c r="RWA1" s="230"/>
      <c r="RWB1" s="230"/>
      <c r="RWC1" s="230"/>
      <c r="RWD1" s="230"/>
      <c r="RWE1" s="230"/>
      <c r="RWF1" s="230"/>
      <c r="RWG1" s="230"/>
      <c r="RWH1" s="230"/>
      <c r="RWI1" s="230"/>
      <c r="RWJ1" s="230"/>
      <c r="RWK1" s="230"/>
      <c r="RWL1" s="230"/>
      <c r="RWM1" s="230"/>
      <c r="RWN1" s="230"/>
      <c r="RWO1" s="230"/>
      <c r="RWP1" s="230"/>
      <c r="RWQ1" s="230"/>
      <c r="RWR1" s="230"/>
      <c r="RWS1" s="230"/>
      <c r="RWT1" s="230"/>
      <c r="RWU1" s="230"/>
      <c r="RWV1" s="230"/>
      <c r="RWW1" s="230"/>
      <c r="RWX1" s="230"/>
      <c r="RWY1" s="230"/>
      <c r="RWZ1" s="230"/>
      <c r="RXA1" s="230"/>
      <c r="RXB1" s="230"/>
      <c r="RXC1" s="230"/>
      <c r="RXD1" s="230"/>
      <c r="RXE1" s="230"/>
      <c r="RXF1" s="230"/>
      <c r="RXG1" s="230"/>
      <c r="RXH1" s="230"/>
      <c r="RXI1" s="230"/>
      <c r="RXJ1" s="230"/>
      <c r="RXK1" s="230"/>
      <c r="RXL1" s="230"/>
      <c r="RXM1" s="230"/>
      <c r="RXN1" s="230"/>
      <c r="RXO1" s="230"/>
      <c r="RXP1" s="230"/>
      <c r="RXQ1" s="230"/>
      <c r="RXR1" s="230"/>
      <c r="RXS1" s="230"/>
      <c r="RXT1" s="230"/>
      <c r="RXU1" s="230"/>
      <c r="RXV1" s="230"/>
      <c r="RXW1" s="230"/>
      <c r="RXX1" s="230"/>
      <c r="RXY1" s="230"/>
      <c r="RXZ1" s="230"/>
      <c r="RYA1" s="230"/>
      <c r="RYB1" s="230"/>
      <c r="RYC1" s="230"/>
      <c r="RYD1" s="230"/>
      <c r="RYE1" s="230"/>
      <c r="RYF1" s="230"/>
      <c r="RYG1" s="230"/>
      <c r="RYH1" s="230"/>
      <c r="RYI1" s="230"/>
      <c r="RYJ1" s="230"/>
      <c r="RYK1" s="230"/>
      <c r="RYL1" s="230"/>
      <c r="RYM1" s="230"/>
      <c r="RYN1" s="230"/>
      <c r="RYO1" s="230"/>
      <c r="RYP1" s="230"/>
      <c r="RYQ1" s="230"/>
      <c r="RYR1" s="230"/>
      <c r="RYS1" s="230"/>
      <c r="RYT1" s="230"/>
      <c r="RYU1" s="230"/>
      <c r="RYV1" s="230"/>
      <c r="RYW1" s="230"/>
      <c r="RYX1" s="230"/>
      <c r="RYY1" s="230"/>
      <c r="RYZ1" s="230"/>
      <c r="RZA1" s="230"/>
      <c r="RZB1" s="230"/>
      <c r="RZC1" s="230"/>
      <c r="RZD1" s="230"/>
      <c r="RZE1" s="230"/>
      <c r="RZF1" s="230"/>
      <c r="RZG1" s="230"/>
      <c r="RZH1" s="230"/>
      <c r="RZI1" s="230"/>
      <c r="RZJ1" s="230"/>
      <c r="RZK1" s="230"/>
      <c r="RZL1" s="230"/>
      <c r="RZM1" s="230"/>
      <c r="RZN1" s="230"/>
      <c r="RZO1" s="230"/>
      <c r="RZP1" s="230"/>
      <c r="RZQ1" s="230"/>
      <c r="RZR1" s="230"/>
      <c r="RZS1" s="230"/>
      <c r="RZT1" s="230"/>
      <c r="RZU1" s="230"/>
      <c r="RZV1" s="230"/>
      <c r="RZW1" s="230"/>
      <c r="RZX1" s="230"/>
      <c r="RZY1" s="230"/>
      <c r="RZZ1" s="230"/>
      <c r="SAA1" s="230"/>
      <c r="SAB1" s="230"/>
      <c r="SAC1" s="230"/>
      <c r="SAD1" s="230"/>
      <c r="SAE1" s="230"/>
      <c r="SAF1" s="230"/>
      <c r="SAG1" s="230"/>
      <c r="SAH1" s="230"/>
      <c r="SAI1" s="230"/>
      <c r="SAJ1" s="230"/>
      <c r="SAK1" s="230"/>
      <c r="SAL1" s="230"/>
      <c r="SAM1" s="230"/>
      <c r="SAN1" s="230"/>
      <c r="SAO1" s="230"/>
      <c r="SAP1" s="230"/>
      <c r="SAQ1" s="230"/>
      <c r="SAR1" s="230"/>
      <c r="SAS1" s="230"/>
      <c r="SAT1" s="230"/>
      <c r="SAU1" s="230"/>
      <c r="SAV1" s="230"/>
      <c r="SAW1" s="230"/>
      <c r="SAX1" s="230"/>
      <c r="SAY1" s="230"/>
      <c r="SAZ1" s="230"/>
      <c r="SBA1" s="230"/>
      <c r="SBB1" s="230"/>
      <c r="SBC1" s="230"/>
      <c r="SBD1" s="230"/>
      <c r="SBE1" s="230"/>
      <c r="SBF1" s="230"/>
      <c r="SBG1" s="230"/>
      <c r="SBH1" s="230"/>
      <c r="SBI1" s="230"/>
      <c r="SBJ1" s="230"/>
      <c r="SBK1" s="230"/>
      <c r="SBL1" s="230"/>
      <c r="SBM1" s="230"/>
      <c r="SBN1" s="230"/>
      <c r="SBO1" s="230"/>
      <c r="SBP1" s="230"/>
      <c r="SBQ1" s="230"/>
      <c r="SBR1" s="230"/>
      <c r="SBS1" s="230"/>
      <c r="SBT1" s="230"/>
      <c r="SBU1" s="230"/>
      <c r="SBV1" s="230"/>
      <c r="SBW1" s="230"/>
      <c r="SBX1" s="230"/>
      <c r="SBY1" s="230"/>
      <c r="SBZ1" s="230"/>
      <c r="SCA1" s="230"/>
      <c r="SCB1" s="230"/>
      <c r="SCC1" s="230"/>
      <c r="SCD1" s="230"/>
      <c r="SCE1" s="230"/>
      <c r="SCF1" s="230"/>
      <c r="SCG1" s="230"/>
      <c r="SCH1" s="230"/>
      <c r="SCI1" s="230"/>
      <c r="SCJ1" s="230"/>
      <c r="SCK1" s="230"/>
      <c r="SCL1" s="230"/>
      <c r="SCM1" s="230"/>
      <c r="SCN1" s="230"/>
      <c r="SCO1" s="230"/>
      <c r="SCP1" s="230"/>
      <c r="SCQ1" s="230"/>
      <c r="SCR1" s="230"/>
      <c r="SCS1" s="230"/>
      <c r="SCT1" s="230"/>
      <c r="SCU1" s="230"/>
      <c r="SCV1" s="230"/>
      <c r="SCW1" s="230"/>
      <c r="SCX1" s="230"/>
      <c r="SCY1" s="230"/>
      <c r="SCZ1" s="230"/>
      <c r="SDA1" s="230"/>
      <c r="SDB1" s="230"/>
      <c r="SDC1" s="230"/>
      <c r="SDD1" s="230"/>
      <c r="SDE1" s="230"/>
      <c r="SDF1" s="230"/>
      <c r="SDG1" s="230"/>
      <c r="SDH1" s="230"/>
      <c r="SDI1" s="230"/>
      <c r="SDJ1" s="230"/>
      <c r="SDK1" s="230"/>
      <c r="SDL1" s="230"/>
      <c r="SDM1" s="230"/>
      <c r="SDN1" s="230"/>
      <c r="SDO1" s="230"/>
      <c r="SDP1" s="230"/>
      <c r="SDQ1" s="230"/>
      <c r="SDR1" s="230"/>
      <c r="SDS1" s="230"/>
      <c r="SDT1" s="230"/>
      <c r="SDU1" s="230"/>
      <c r="SDV1" s="230"/>
      <c r="SDW1" s="230"/>
      <c r="SDX1" s="230"/>
      <c r="SDY1" s="230"/>
      <c r="SDZ1" s="230"/>
      <c r="SEA1" s="230"/>
      <c r="SEB1" s="230"/>
      <c r="SEC1" s="230"/>
      <c r="SED1" s="230"/>
      <c r="SEE1" s="230"/>
      <c r="SEF1" s="230"/>
      <c r="SEG1" s="230"/>
      <c r="SEH1" s="230"/>
      <c r="SEI1" s="230"/>
      <c r="SEJ1" s="230"/>
      <c r="SEK1" s="230"/>
      <c r="SEL1" s="230"/>
      <c r="SEM1" s="230"/>
      <c r="SEN1" s="230"/>
      <c r="SEO1" s="230"/>
      <c r="SEP1" s="230"/>
      <c r="SEQ1" s="230"/>
      <c r="SER1" s="230"/>
      <c r="SES1" s="230"/>
      <c r="SET1" s="230"/>
      <c r="SEU1" s="230"/>
      <c r="SEV1" s="230"/>
      <c r="SEW1" s="230"/>
      <c r="SEX1" s="230"/>
      <c r="SEY1" s="230"/>
      <c r="SEZ1" s="230"/>
      <c r="SFA1" s="230"/>
      <c r="SFB1" s="230"/>
      <c r="SFC1" s="230"/>
      <c r="SFD1" s="230"/>
      <c r="SFE1" s="230"/>
      <c r="SFF1" s="230"/>
      <c r="SFG1" s="230"/>
      <c r="SFH1" s="230"/>
      <c r="SFI1" s="230"/>
      <c r="SFJ1" s="230"/>
      <c r="SFK1" s="230"/>
      <c r="SFL1" s="230"/>
      <c r="SFM1" s="230"/>
      <c r="SFN1" s="230"/>
      <c r="SFO1" s="230"/>
      <c r="SFP1" s="230"/>
      <c r="SFQ1" s="230"/>
      <c r="SFR1" s="230"/>
      <c r="SFS1" s="230"/>
      <c r="SFT1" s="230"/>
      <c r="SFU1" s="230"/>
      <c r="SFV1" s="230"/>
      <c r="SFW1" s="230"/>
      <c r="SFX1" s="230"/>
      <c r="SFY1" s="230"/>
      <c r="SFZ1" s="230"/>
      <c r="SGA1" s="230"/>
      <c r="SGB1" s="230"/>
      <c r="SGC1" s="230"/>
      <c r="SGD1" s="230"/>
      <c r="SGE1" s="230"/>
      <c r="SGF1" s="230"/>
      <c r="SGG1" s="230"/>
      <c r="SGH1" s="230"/>
      <c r="SGI1" s="230"/>
      <c r="SGJ1" s="230"/>
      <c r="SGK1" s="230"/>
      <c r="SGL1" s="230"/>
      <c r="SGM1" s="230"/>
      <c r="SGN1" s="230"/>
      <c r="SGO1" s="230"/>
      <c r="SGP1" s="230"/>
      <c r="SGQ1" s="230"/>
      <c r="SGR1" s="230"/>
      <c r="SGS1" s="230"/>
      <c r="SGT1" s="230"/>
      <c r="SGU1" s="230"/>
      <c r="SGV1" s="230"/>
      <c r="SGW1" s="230"/>
      <c r="SGX1" s="230"/>
      <c r="SGY1" s="230"/>
      <c r="SGZ1" s="230"/>
      <c r="SHA1" s="230"/>
      <c r="SHB1" s="230"/>
      <c r="SHC1" s="230"/>
      <c r="SHD1" s="230"/>
      <c r="SHE1" s="230"/>
      <c r="SHF1" s="230"/>
      <c r="SHG1" s="230"/>
      <c r="SHH1" s="230"/>
      <c r="SHI1" s="230"/>
      <c r="SHJ1" s="230"/>
      <c r="SHK1" s="230"/>
      <c r="SHL1" s="230"/>
      <c r="SHM1" s="230"/>
      <c r="SHN1" s="230"/>
      <c r="SHO1" s="230"/>
      <c r="SHP1" s="230"/>
      <c r="SHQ1" s="230"/>
      <c r="SHR1" s="230"/>
      <c r="SHS1" s="230"/>
      <c r="SHT1" s="230"/>
      <c r="SHU1" s="230"/>
      <c r="SHV1" s="230"/>
      <c r="SHW1" s="230"/>
      <c r="SHX1" s="230"/>
      <c r="SHY1" s="230"/>
      <c r="SHZ1" s="230"/>
      <c r="SIA1" s="230"/>
      <c r="SIB1" s="230"/>
      <c r="SIC1" s="230"/>
      <c r="SID1" s="230"/>
      <c r="SIE1" s="230"/>
      <c r="SIF1" s="230"/>
      <c r="SIG1" s="230"/>
      <c r="SIH1" s="230"/>
      <c r="SII1" s="230"/>
      <c r="SIJ1" s="230"/>
      <c r="SIK1" s="230"/>
      <c r="SIL1" s="230"/>
      <c r="SIM1" s="230"/>
      <c r="SIN1" s="230"/>
      <c r="SIO1" s="230"/>
      <c r="SIP1" s="230"/>
      <c r="SIQ1" s="230"/>
      <c r="SIR1" s="230"/>
      <c r="SIS1" s="230"/>
      <c r="SIT1" s="230"/>
      <c r="SIU1" s="230"/>
      <c r="SIV1" s="230"/>
      <c r="SIW1" s="230"/>
      <c r="SIX1" s="230"/>
      <c r="SIY1" s="230"/>
      <c r="SIZ1" s="230"/>
      <c r="SJA1" s="230"/>
      <c r="SJB1" s="230"/>
      <c r="SJC1" s="230"/>
      <c r="SJD1" s="230"/>
      <c r="SJE1" s="230"/>
      <c r="SJF1" s="230"/>
      <c r="SJG1" s="230"/>
      <c r="SJH1" s="230"/>
      <c r="SJI1" s="230"/>
      <c r="SJJ1" s="230"/>
      <c r="SJK1" s="230"/>
      <c r="SJL1" s="230"/>
      <c r="SJM1" s="230"/>
      <c r="SJN1" s="230"/>
      <c r="SJO1" s="230"/>
      <c r="SJP1" s="230"/>
      <c r="SJQ1" s="230"/>
      <c r="SJR1" s="230"/>
      <c r="SJS1" s="230"/>
      <c r="SJT1" s="230"/>
      <c r="SJU1" s="230"/>
      <c r="SJV1" s="230"/>
      <c r="SJW1" s="230"/>
      <c r="SJX1" s="230"/>
      <c r="SJY1" s="230"/>
      <c r="SJZ1" s="230"/>
      <c r="SKA1" s="230"/>
      <c r="SKB1" s="230"/>
      <c r="SKC1" s="230"/>
      <c r="SKD1" s="230"/>
      <c r="SKE1" s="230"/>
      <c r="SKF1" s="230"/>
      <c r="SKG1" s="230"/>
      <c r="SKH1" s="230"/>
      <c r="SKI1" s="230"/>
      <c r="SKJ1" s="230"/>
      <c r="SKK1" s="230"/>
      <c r="SKL1" s="230"/>
      <c r="SKM1" s="230"/>
      <c r="SKN1" s="230"/>
      <c r="SKO1" s="230"/>
      <c r="SKP1" s="230"/>
      <c r="SKQ1" s="230"/>
      <c r="SKR1" s="230"/>
      <c r="SKS1" s="230"/>
      <c r="SKT1" s="230"/>
      <c r="SKU1" s="230"/>
      <c r="SKV1" s="230"/>
      <c r="SKW1" s="230"/>
      <c r="SKX1" s="230"/>
      <c r="SKY1" s="230"/>
      <c r="SKZ1" s="230"/>
      <c r="SLA1" s="230"/>
      <c r="SLB1" s="230"/>
      <c r="SLC1" s="230"/>
      <c r="SLD1" s="230"/>
      <c r="SLE1" s="230"/>
      <c r="SLF1" s="230"/>
      <c r="SLG1" s="230"/>
      <c r="SLH1" s="230"/>
      <c r="SLI1" s="230"/>
      <c r="SLJ1" s="230"/>
      <c r="SLK1" s="230"/>
      <c r="SLL1" s="230"/>
      <c r="SLM1" s="230"/>
      <c r="SLN1" s="230"/>
      <c r="SLO1" s="230"/>
      <c r="SLP1" s="230"/>
      <c r="SLQ1" s="230"/>
      <c r="SLR1" s="230"/>
      <c r="SLS1" s="230"/>
      <c r="SLT1" s="230"/>
      <c r="SLU1" s="230"/>
      <c r="SLV1" s="230"/>
      <c r="SLW1" s="230"/>
      <c r="SLX1" s="230"/>
      <c r="SLY1" s="230"/>
      <c r="SLZ1" s="230"/>
      <c r="SMA1" s="230"/>
      <c r="SMB1" s="230"/>
      <c r="SMC1" s="230"/>
      <c r="SMD1" s="230"/>
      <c r="SME1" s="230"/>
      <c r="SMF1" s="230"/>
      <c r="SMG1" s="230"/>
      <c r="SMH1" s="230"/>
      <c r="SMI1" s="230"/>
      <c r="SMJ1" s="230"/>
      <c r="SMK1" s="230"/>
      <c r="SML1" s="230"/>
      <c r="SMM1" s="230"/>
      <c r="SMN1" s="230"/>
      <c r="SMO1" s="230"/>
      <c r="SMP1" s="230"/>
      <c r="SMQ1" s="230"/>
      <c r="SMR1" s="230"/>
      <c r="SMS1" s="230"/>
      <c r="SMT1" s="230"/>
      <c r="SMU1" s="230"/>
      <c r="SMV1" s="230"/>
      <c r="SMW1" s="230"/>
      <c r="SMX1" s="230"/>
      <c r="SMY1" s="230"/>
      <c r="SMZ1" s="230"/>
      <c r="SNA1" s="230"/>
      <c r="SNB1" s="230"/>
      <c r="SNC1" s="230"/>
      <c r="SND1" s="230"/>
      <c r="SNE1" s="230"/>
      <c r="SNF1" s="230"/>
      <c r="SNG1" s="230"/>
      <c r="SNH1" s="230"/>
      <c r="SNI1" s="230"/>
      <c r="SNJ1" s="230"/>
      <c r="SNK1" s="230"/>
      <c r="SNL1" s="230"/>
      <c r="SNM1" s="230"/>
      <c r="SNN1" s="230"/>
      <c r="SNO1" s="230"/>
      <c r="SNP1" s="230"/>
      <c r="SNQ1" s="230"/>
      <c r="SNR1" s="230"/>
      <c r="SNS1" s="230"/>
      <c r="SNT1" s="230"/>
      <c r="SNU1" s="230"/>
      <c r="SNV1" s="230"/>
      <c r="SNW1" s="230"/>
      <c r="SNX1" s="230"/>
      <c r="SNY1" s="230"/>
      <c r="SNZ1" s="230"/>
      <c r="SOA1" s="230"/>
      <c r="SOB1" s="230"/>
      <c r="SOC1" s="230"/>
      <c r="SOD1" s="230"/>
      <c r="SOE1" s="230"/>
      <c r="SOF1" s="230"/>
      <c r="SOG1" s="230"/>
      <c r="SOH1" s="230"/>
      <c r="SOI1" s="230"/>
      <c r="SOJ1" s="230"/>
      <c r="SOK1" s="230"/>
      <c r="SOL1" s="230"/>
      <c r="SOM1" s="230"/>
      <c r="SON1" s="230"/>
      <c r="SOO1" s="230"/>
      <c r="SOP1" s="230"/>
      <c r="SOQ1" s="230"/>
      <c r="SOR1" s="230"/>
      <c r="SOS1" s="230"/>
      <c r="SOT1" s="230"/>
      <c r="SOU1" s="230"/>
      <c r="SOV1" s="230"/>
      <c r="SOW1" s="230"/>
      <c r="SOX1" s="230"/>
      <c r="SOY1" s="230"/>
      <c r="SOZ1" s="230"/>
      <c r="SPA1" s="230"/>
      <c r="SPB1" s="230"/>
      <c r="SPC1" s="230"/>
      <c r="SPD1" s="230"/>
      <c r="SPE1" s="230"/>
      <c r="SPF1" s="230"/>
      <c r="SPG1" s="230"/>
      <c r="SPH1" s="230"/>
      <c r="SPI1" s="230"/>
      <c r="SPJ1" s="230"/>
      <c r="SPK1" s="230"/>
      <c r="SPL1" s="230"/>
      <c r="SPM1" s="230"/>
      <c r="SPN1" s="230"/>
      <c r="SPO1" s="230"/>
      <c r="SPP1" s="230"/>
      <c r="SPQ1" s="230"/>
      <c r="SPR1" s="230"/>
      <c r="SPS1" s="230"/>
      <c r="SPT1" s="230"/>
      <c r="SPU1" s="230"/>
      <c r="SPV1" s="230"/>
      <c r="SPW1" s="230"/>
      <c r="SPX1" s="230"/>
      <c r="SPY1" s="230"/>
      <c r="SPZ1" s="230"/>
      <c r="SQA1" s="230"/>
      <c r="SQB1" s="230"/>
      <c r="SQC1" s="230"/>
      <c r="SQD1" s="230"/>
      <c r="SQE1" s="230"/>
      <c r="SQF1" s="230"/>
      <c r="SQG1" s="230"/>
      <c r="SQH1" s="230"/>
      <c r="SQI1" s="230"/>
      <c r="SQJ1" s="230"/>
      <c r="SQK1" s="230"/>
      <c r="SQL1" s="230"/>
      <c r="SQM1" s="230"/>
      <c r="SQN1" s="230"/>
      <c r="SQO1" s="230"/>
      <c r="SQP1" s="230"/>
      <c r="SQQ1" s="230"/>
      <c r="SQR1" s="230"/>
      <c r="SQS1" s="230"/>
      <c r="SQT1" s="230"/>
      <c r="SQU1" s="230"/>
      <c r="SQV1" s="230"/>
      <c r="SQW1" s="230"/>
      <c r="SQX1" s="230"/>
      <c r="SQY1" s="230"/>
      <c r="SQZ1" s="230"/>
      <c r="SRA1" s="230"/>
      <c r="SRB1" s="230"/>
      <c r="SRC1" s="230"/>
      <c r="SRD1" s="230"/>
      <c r="SRE1" s="230"/>
      <c r="SRF1" s="230"/>
      <c r="SRG1" s="230"/>
      <c r="SRH1" s="230"/>
      <c r="SRI1" s="230"/>
      <c r="SRJ1" s="230"/>
      <c r="SRK1" s="230"/>
      <c r="SRL1" s="230"/>
      <c r="SRM1" s="230"/>
      <c r="SRN1" s="230"/>
      <c r="SRO1" s="230"/>
      <c r="SRP1" s="230"/>
      <c r="SRQ1" s="230"/>
      <c r="SRR1" s="230"/>
      <c r="SRS1" s="230"/>
      <c r="SRT1" s="230"/>
      <c r="SRU1" s="230"/>
      <c r="SRV1" s="230"/>
      <c r="SRW1" s="230"/>
      <c r="SRX1" s="230"/>
      <c r="SRY1" s="230"/>
      <c r="SRZ1" s="230"/>
      <c r="SSA1" s="230"/>
      <c r="SSB1" s="230"/>
      <c r="SSC1" s="230"/>
      <c r="SSD1" s="230"/>
      <c r="SSE1" s="230"/>
      <c r="SSF1" s="230"/>
      <c r="SSG1" s="230"/>
      <c r="SSH1" s="230"/>
      <c r="SSI1" s="230"/>
      <c r="SSJ1" s="230"/>
      <c r="SSK1" s="230"/>
      <c r="SSL1" s="230"/>
      <c r="SSM1" s="230"/>
      <c r="SSN1" s="230"/>
      <c r="SSO1" s="230"/>
      <c r="SSP1" s="230"/>
      <c r="SSQ1" s="230"/>
      <c r="SSR1" s="230"/>
      <c r="SSS1" s="230"/>
      <c r="SST1" s="230"/>
      <c r="SSU1" s="230"/>
      <c r="SSV1" s="230"/>
      <c r="SSW1" s="230"/>
      <c r="SSX1" s="230"/>
      <c r="SSY1" s="230"/>
      <c r="SSZ1" s="230"/>
      <c r="STA1" s="230"/>
      <c r="STB1" s="230"/>
      <c r="STC1" s="230"/>
      <c r="STD1" s="230"/>
      <c r="STE1" s="230"/>
      <c r="STF1" s="230"/>
      <c r="STG1" s="230"/>
      <c r="STH1" s="230"/>
      <c r="STI1" s="230"/>
      <c r="STJ1" s="230"/>
      <c r="STK1" s="230"/>
      <c r="STL1" s="230"/>
      <c r="STM1" s="230"/>
      <c r="STN1" s="230"/>
      <c r="STO1" s="230"/>
      <c r="STP1" s="230"/>
      <c r="STQ1" s="230"/>
      <c r="STR1" s="230"/>
      <c r="STS1" s="230"/>
      <c r="STT1" s="230"/>
      <c r="STU1" s="230"/>
      <c r="STV1" s="230"/>
      <c r="STW1" s="230"/>
      <c r="STX1" s="230"/>
      <c r="STY1" s="230"/>
      <c r="STZ1" s="230"/>
      <c r="SUA1" s="230"/>
      <c r="SUB1" s="230"/>
      <c r="SUC1" s="230"/>
      <c r="SUD1" s="230"/>
      <c r="SUE1" s="230"/>
      <c r="SUF1" s="230"/>
      <c r="SUG1" s="230"/>
      <c r="SUH1" s="230"/>
      <c r="SUI1" s="230"/>
      <c r="SUJ1" s="230"/>
      <c r="SUK1" s="230"/>
      <c r="SUL1" s="230"/>
      <c r="SUM1" s="230"/>
      <c r="SUN1" s="230"/>
      <c r="SUO1" s="230"/>
      <c r="SUP1" s="230"/>
      <c r="SUQ1" s="230"/>
      <c r="SUR1" s="230"/>
      <c r="SUS1" s="230"/>
      <c r="SUT1" s="230"/>
      <c r="SUU1" s="230"/>
      <c r="SUV1" s="230"/>
      <c r="SUW1" s="230"/>
      <c r="SUX1" s="230"/>
      <c r="SUY1" s="230"/>
      <c r="SUZ1" s="230"/>
      <c r="SVA1" s="230"/>
      <c r="SVB1" s="230"/>
      <c r="SVC1" s="230"/>
      <c r="SVD1" s="230"/>
      <c r="SVE1" s="230"/>
      <c r="SVF1" s="230"/>
      <c r="SVG1" s="230"/>
      <c r="SVH1" s="230"/>
      <c r="SVI1" s="230"/>
      <c r="SVJ1" s="230"/>
      <c r="SVK1" s="230"/>
      <c r="SVL1" s="230"/>
      <c r="SVM1" s="230"/>
      <c r="SVN1" s="230"/>
      <c r="SVO1" s="230"/>
      <c r="SVP1" s="230"/>
      <c r="SVQ1" s="230"/>
      <c r="SVR1" s="230"/>
      <c r="SVS1" s="230"/>
      <c r="SVT1" s="230"/>
      <c r="SVU1" s="230"/>
      <c r="SVV1" s="230"/>
      <c r="SVW1" s="230"/>
      <c r="SVX1" s="230"/>
      <c r="SVY1" s="230"/>
      <c r="SVZ1" s="230"/>
      <c r="SWA1" s="230"/>
      <c r="SWB1" s="230"/>
      <c r="SWC1" s="230"/>
      <c r="SWD1" s="230"/>
      <c r="SWE1" s="230"/>
      <c r="SWF1" s="230"/>
      <c r="SWG1" s="230"/>
      <c r="SWH1" s="230"/>
      <c r="SWI1" s="230"/>
      <c r="SWJ1" s="230"/>
      <c r="SWK1" s="230"/>
      <c r="SWL1" s="230"/>
      <c r="SWM1" s="230"/>
      <c r="SWN1" s="230"/>
      <c r="SWO1" s="230"/>
      <c r="SWP1" s="230"/>
      <c r="SWQ1" s="230"/>
      <c r="SWR1" s="230"/>
      <c r="SWS1" s="230"/>
      <c r="SWT1" s="230"/>
      <c r="SWU1" s="230"/>
      <c r="SWV1" s="230"/>
      <c r="SWW1" s="230"/>
      <c r="SWX1" s="230"/>
      <c r="SWY1" s="230"/>
      <c r="SWZ1" s="230"/>
      <c r="SXA1" s="230"/>
      <c r="SXB1" s="230"/>
      <c r="SXC1" s="230"/>
      <c r="SXD1" s="230"/>
      <c r="SXE1" s="230"/>
      <c r="SXF1" s="230"/>
      <c r="SXG1" s="230"/>
      <c r="SXH1" s="230"/>
      <c r="SXI1" s="230"/>
      <c r="SXJ1" s="230"/>
      <c r="SXK1" s="230"/>
      <c r="SXL1" s="230"/>
      <c r="SXM1" s="230"/>
      <c r="SXN1" s="230"/>
      <c r="SXO1" s="230"/>
      <c r="SXP1" s="230"/>
      <c r="SXQ1" s="230"/>
      <c r="SXR1" s="230"/>
      <c r="SXS1" s="230"/>
      <c r="SXT1" s="230"/>
      <c r="SXU1" s="230"/>
      <c r="SXV1" s="230"/>
      <c r="SXW1" s="230"/>
      <c r="SXX1" s="230"/>
      <c r="SXY1" s="230"/>
      <c r="SXZ1" s="230"/>
      <c r="SYA1" s="230"/>
      <c r="SYB1" s="230"/>
      <c r="SYC1" s="230"/>
      <c r="SYD1" s="230"/>
      <c r="SYE1" s="230"/>
      <c r="SYF1" s="230"/>
      <c r="SYG1" s="230"/>
      <c r="SYH1" s="230"/>
      <c r="SYI1" s="230"/>
      <c r="SYJ1" s="230"/>
      <c r="SYK1" s="230"/>
      <c r="SYL1" s="230"/>
      <c r="SYM1" s="230"/>
      <c r="SYN1" s="230"/>
      <c r="SYO1" s="230"/>
      <c r="SYP1" s="230"/>
      <c r="SYQ1" s="230"/>
      <c r="SYR1" s="230"/>
      <c r="SYS1" s="230"/>
      <c r="SYT1" s="230"/>
      <c r="SYU1" s="230"/>
      <c r="SYV1" s="230"/>
      <c r="SYW1" s="230"/>
      <c r="SYX1" s="230"/>
      <c r="SYY1" s="230"/>
      <c r="SYZ1" s="230"/>
      <c r="SZA1" s="230"/>
      <c r="SZB1" s="230"/>
      <c r="SZC1" s="230"/>
      <c r="SZD1" s="230"/>
      <c r="SZE1" s="230"/>
      <c r="SZF1" s="230"/>
      <c r="SZG1" s="230"/>
      <c r="SZH1" s="230"/>
      <c r="SZI1" s="230"/>
      <c r="SZJ1" s="230"/>
      <c r="SZK1" s="230"/>
      <c r="SZL1" s="230"/>
      <c r="SZM1" s="230"/>
      <c r="SZN1" s="230"/>
      <c r="SZO1" s="230"/>
      <c r="SZP1" s="230"/>
      <c r="SZQ1" s="230"/>
      <c r="SZR1" s="230"/>
      <c r="SZS1" s="230"/>
      <c r="SZT1" s="230"/>
      <c r="SZU1" s="230"/>
      <c r="SZV1" s="230"/>
      <c r="SZW1" s="230"/>
      <c r="SZX1" s="230"/>
      <c r="SZY1" s="230"/>
      <c r="SZZ1" s="230"/>
      <c r="TAA1" s="230"/>
      <c r="TAB1" s="230"/>
      <c r="TAC1" s="230"/>
      <c r="TAD1" s="230"/>
      <c r="TAE1" s="230"/>
      <c r="TAF1" s="230"/>
      <c r="TAG1" s="230"/>
      <c r="TAH1" s="230"/>
      <c r="TAI1" s="230"/>
      <c r="TAJ1" s="230"/>
      <c r="TAK1" s="230"/>
      <c r="TAL1" s="230"/>
      <c r="TAM1" s="230"/>
      <c r="TAN1" s="230"/>
      <c r="TAO1" s="230"/>
      <c r="TAP1" s="230"/>
      <c r="TAQ1" s="230"/>
      <c r="TAR1" s="230"/>
      <c r="TAS1" s="230"/>
      <c r="TAT1" s="230"/>
      <c r="TAU1" s="230"/>
      <c r="TAV1" s="230"/>
      <c r="TAW1" s="230"/>
      <c r="TAX1" s="230"/>
      <c r="TAY1" s="230"/>
      <c r="TAZ1" s="230"/>
      <c r="TBA1" s="230"/>
      <c r="TBB1" s="230"/>
      <c r="TBC1" s="230"/>
      <c r="TBD1" s="230"/>
      <c r="TBE1" s="230"/>
      <c r="TBF1" s="230"/>
      <c r="TBG1" s="230"/>
      <c r="TBH1" s="230"/>
      <c r="TBI1" s="230"/>
      <c r="TBJ1" s="230"/>
      <c r="TBK1" s="230"/>
      <c r="TBL1" s="230"/>
      <c r="TBM1" s="230"/>
      <c r="TBN1" s="230"/>
      <c r="TBO1" s="230"/>
      <c r="TBP1" s="230"/>
      <c r="TBQ1" s="230"/>
      <c r="TBR1" s="230"/>
      <c r="TBS1" s="230"/>
      <c r="TBT1" s="230"/>
      <c r="TBU1" s="230"/>
      <c r="TBV1" s="230"/>
      <c r="TBW1" s="230"/>
      <c r="TBX1" s="230"/>
      <c r="TBY1" s="230"/>
      <c r="TBZ1" s="230"/>
      <c r="TCA1" s="230"/>
      <c r="TCB1" s="230"/>
      <c r="TCC1" s="230"/>
      <c r="TCD1" s="230"/>
      <c r="TCE1" s="230"/>
      <c r="TCF1" s="230"/>
      <c r="TCG1" s="230"/>
      <c r="TCH1" s="230"/>
      <c r="TCI1" s="230"/>
      <c r="TCJ1" s="230"/>
      <c r="TCK1" s="230"/>
      <c r="TCL1" s="230"/>
      <c r="TCM1" s="230"/>
      <c r="TCN1" s="230"/>
      <c r="TCO1" s="230"/>
      <c r="TCP1" s="230"/>
      <c r="TCQ1" s="230"/>
      <c r="TCR1" s="230"/>
      <c r="TCS1" s="230"/>
      <c r="TCT1" s="230"/>
      <c r="TCU1" s="230"/>
      <c r="TCV1" s="230"/>
      <c r="TCW1" s="230"/>
      <c r="TCX1" s="230"/>
      <c r="TCY1" s="230"/>
      <c r="TCZ1" s="230"/>
      <c r="TDA1" s="230"/>
      <c r="TDB1" s="230"/>
      <c r="TDC1" s="230"/>
      <c r="TDD1" s="230"/>
      <c r="TDE1" s="230"/>
      <c r="TDF1" s="230"/>
      <c r="TDG1" s="230"/>
      <c r="TDH1" s="230"/>
      <c r="TDI1" s="230"/>
      <c r="TDJ1" s="230"/>
      <c r="TDK1" s="230"/>
      <c r="TDL1" s="230"/>
      <c r="TDM1" s="230"/>
      <c r="TDN1" s="230"/>
      <c r="TDO1" s="230"/>
      <c r="TDP1" s="230"/>
      <c r="TDQ1" s="230"/>
      <c r="TDR1" s="230"/>
      <c r="TDS1" s="230"/>
      <c r="TDT1" s="230"/>
      <c r="TDU1" s="230"/>
      <c r="TDV1" s="230"/>
      <c r="TDW1" s="230"/>
      <c r="TDX1" s="230"/>
      <c r="TDY1" s="230"/>
      <c r="TDZ1" s="230"/>
      <c r="TEA1" s="230"/>
      <c r="TEB1" s="230"/>
      <c r="TEC1" s="230"/>
      <c r="TED1" s="230"/>
      <c r="TEE1" s="230"/>
      <c r="TEF1" s="230"/>
      <c r="TEG1" s="230"/>
      <c r="TEH1" s="230"/>
      <c r="TEI1" s="230"/>
      <c r="TEJ1" s="230"/>
      <c r="TEK1" s="230"/>
      <c r="TEL1" s="230"/>
      <c r="TEM1" s="230"/>
      <c r="TEN1" s="230"/>
      <c r="TEO1" s="230"/>
      <c r="TEP1" s="230"/>
      <c r="TEQ1" s="230"/>
      <c r="TER1" s="230"/>
      <c r="TES1" s="230"/>
      <c r="TET1" s="230"/>
      <c r="TEU1" s="230"/>
      <c r="TEV1" s="230"/>
      <c r="TEW1" s="230"/>
      <c r="TEX1" s="230"/>
      <c r="TEY1" s="230"/>
      <c r="TEZ1" s="230"/>
      <c r="TFA1" s="230"/>
      <c r="TFB1" s="230"/>
      <c r="TFC1" s="230"/>
      <c r="TFD1" s="230"/>
      <c r="TFE1" s="230"/>
      <c r="TFF1" s="230"/>
      <c r="TFG1" s="230"/>
      <c r="TFH1" s="230"/>
      <c r="TFI1" s="230"/>
      <c r="TFJ1" s="230"/>
      <c r="TFK1" s="230"/>
      <c r="TFL1" s="230"/>
      <c r="TFM1" s="230"/>
      <c r="TFN1" s="230"/>
      <c r="TFO1" s="230"/>
      <c r="TFP1" s="230"/>
      <c r="TFQ1" s="230"/>
      <c r="TFR1" s="230"/>
      <c r="TFS1" s="230"/>
      <c r="TFT1" s="230"/>
      <c r="TFU1" s="230"/>
      <c r="TFV1" s="230"/>
      <c r="TFW1" s="230"/>
      <c r="TFX1" s="230"/>
      <c r="TFY1" s="230"/>
      <c r="TFZ1" s="230"/>
      <c r="TGA1" s="230"/>
      <c r="TGB1" s="230"/>
      <c r="TGC1" s="230"/>
      <c r="TGD1" s="230"/>
      <c r="TGE1" s="230"/>
      <c r="TGF1" s="230"/>
      <c r="TGG1" s="230"/>
      <c r="TGH1" s="230"/>
      <c r="TGI1" s="230"/>
      <c r="TGJ1" s="230"/>
      <c r="TGK1" s="230"/>
      <c r="TGL1" s="230"/>
      <c r="TGM1" s="230"/>
      <c r="TGN1" s="230"/>
      <c r="TGO1" s="230"/>
      <c r="TGP1" s="230"/>
      <c r="TGQ1" s="230"/>
      <c r="TGR1" s="230"/>
      <c r="TGS1" s="230"/>
      <c r="TGT1" s="230"/>
      <c r="TGU1" s="230"/>
      <c r="TGV1" s="230"/>
      <c r="TGW1" s="230"/>
      <c r="TGX1" s="230"/>
      <c r="TGY1" s="230"/>
      <c r="TGZ1" s="230"/>
      <c r="THA1" s="230"/>
      <c r="THB1" s="230"/>
      <c r="THC1" s="230"/>
      <c r="THD1" s="230"/>
      <c r="THE1" s="230"/>
      <c r="THF1" s="230"/>
      <c r="THG1" s="230"/>
      <c r="THH1" s="230"/>
      <c r="THI1" s="230"/>
      <c r="THJ1" s="230"/>
      <c r="THK1" s="230"/>
      <c r="THL1" s="230"/>
      <c r="THM1" s="230"/>
      <c r="THN1" s="230"/>
      <c r="THO1" s="230"/>
      <c r="THP1" s="230"/>
      <c r="THQ1" s="230"/>
      <c r="THR1" s="230"/>
      <c r="THS1" s="230"/>
      <c r="THT1" s="230"/>
      <c r="THU1" s="230"/>
      <c r="THV1" s="230"/>
      <c r="THW1" s="230"/>
      <c r="THX1" s="230"/>
      <c r="THY1" s="230"/>
      <c r="THZ1" s="230"/>
      <c r="TIA1" s="230"/>
      <c r="TIB1" s="230"/>
      <c r="TIC1" s="230"/>
      <c r="TID1" s="230"/>
      <c r="TIE1" s="230"/>
      <c r="TIF1" s="230"/>
      <c r="TIG1" s="230"/>
      <c r="TIH1" s="230"/>
      <c r="TII1" s="230"/>
      <c r="TIJ1" s="230"/>
      <c r="TIK1" s="230"/>
      <c r="TIL1" s="230"/>
      <c r="TIM1" s="230"/>
      <c r="TIN1" s="230"/>
      <c r="TIO1" s="230"/>
      <c r="TIP1" s="230"/>
      <c r="TIQ1" s="230"/>
      <c r="TIR1" s="230"/>
      <c r="TIS1" s="230"/>
      <c r="TIT1" s="230"/>
      <c r="TIU1" s="230"/>
      <c r="TIV1" s="230"/>
      <c r="TIW1" s="230"/>
      <c r="TIX1" s="230"/>
      <c r="TIY1" s="230"/>
      <c r="TIZ1" s="230"/>
      <c r="TJA1" s="230"/>
      <c r="TJB1" s="230"/>
      <c r="TJC1" s="230"/>
      <c r="TJD1" s="230"/>
      <c r="TJE1" s="230"/>
      <c r="TJF1" s="230"/>
      <c r="TJG1" s="230"/>
      <c r="TJH1" s="230"/>
      <c r="TJI1" s="230"/>
      <c r="TJJ1" s="230"/>
      <c r="TJK1" s="230"/>
      <c r="TJL1" s="230"/>
      <c r="TJM1" s="230"/>
      <c r="TJN1" s="230"/>
      <c r="TJO1" s="230"/>
      <c r="TJP1" s="230"/>
      <c r="TJQ1" s="230"/>
      <c r="TJR1" s="230"/>
      <c r="TJS1" s="230"/>
      <c r="TJT1" s="230"/>
      <c r="TJU1" s="230"/>
      <c r="TJV1" s="230"/>
      <c r="TJW1" s="230"/>
      <c r="TJX1" s="230"/>
      <c r="TJY1" s="230"/>
      <c r="TJZ1" s="230"/>
      <c r="TKA1" s="230"/>
      <c r="TKB1" s="230"/>
      <c r="TKC1" s="230"/>
      <c r="TKD1" s="230"/>
      <c r="TKE1" s="230"/>
      <c r="TKF1" s="230"/>
      <c r="TKG1" s="230"/>
      <c r="TKH1" s="230"/>
      <c r="TKI1" s="230"/>
      <c r="TKJ1" s="230"/>
      <c r="TKK1" s="230"/>
      <c r="TKL1" s="230"/>
      <c r="TKM1" s="230"/>
      <c r="TKN1" s="230"/>
      <c r="TKO1" s="230"/>
      <c r="TKP1" s="230"/>
      <c r="TKQ1" s="230"/>
      <c r="TKR1" s="230"/>
      <c r="TKS1" s="230"/>
      <c r="TKT1" s="230"/>
      <c r="TKU1" s="230"/>
      <c r="TKV1" s="230"/>
      <c r="TKW1" s="230"/>
      <c r="TKX1" s="230"/>
      <c r="TKY1" s="230"/>
      <c r="TKZ1" s="230"/>
      <c r="TLA1" s="230"/>
      <c r="TLB1" s="230"/>
      <c r="TLC1" s="230"/>
      <c r="TLD1" s="230"/>
      <c r="TLE1" s="230"/>
      <c r="TLF1" s="230"/>
      <c r="TLG1" s="230"/>
      <c r="TLH1" s="230"/>
      <c r="TLI1" s="230"/>
      <c r="TLJ1" s="230"/>
      <c r="TLK1" s="230"/>
      <c r="TLL1" s="230"/>
      <c r="TLM1" s="230"/>
      <c r="TLN1" s="230"/>
      <c r="TLO1" s="230"/>
      <c r="TLP1" s="230"/>
      <c r="TLQ1" s="230"/>
      <c r="TLR1" s="230"/>
      <c r="TLS1" s="230"/>
      <c r="TLT1" s="230"/>
      <c r="TLU1" s="230"/>
      <c r="TLV1" s="230"/>
      <c r="TLW1" s="230"/>
      <c r="TLX1" s="230"/>
      <c r="TLY1" s="230"/>
      <c r="TLZ1" s="230"/>
      <c r="TMA1" s="230"/>
      <c r="TMB1" s="230"/>
      <c r="TMC1" s="230"/>
      <c r="TMD1" s="230"/>
      <c r="TME1" s="230"/>
      <c r="TMF1" s="230"/>
      <c r="TMG1" s="230"/>
      <c r="TMH1" s="230"/>
      <c r="TMI1" s="230"/>
      <c r="TMJ1" s="230"/>
      <c r="TMK1" s="230"/>
      <c r="TML1" s="230"/>
      <c r="TMM1" s="230"/>
      <c r="TMN1" s="230"/>
      <c r="TMO1" s="230"/>
      <c r="TMP1" s="230"/>
      <c r="TMQ1" s="230"/>
      <c r="TMR1" s="230"/>
      <c r="TMS1" s="230"/>
      <c r="TMT1" s="230"/>
      <c r="TMU1" s="230"/>
      <c r="TMV1" s="230"/>
      <c r="TMW1" s="230"/>
      <c r="TMX1" s="230"/>
      <c r="TMY1" s="230"/>
      <c r="TMZ1" s="230"/>
      <c r="TNA1" s="230"/>
      <c r="TNB1" s="230"/>
      <c r="TNC1" s="230"/>
      <c r="TND1" s="230"/>
      <c r="TNE1" s="230"/>
      <c r="TNF1" s="230"/>
      <c r="TNG1" s="230"/>
      <c r="TNH1" s="230"/>
      <c r="TNI1" s="230"/>
      <c r="TNJ1" s="230"/>
      <c r="TNK1" s="230"/>
      <c r="TNL1" s="230"/>
      <c r="TNM1" s="230"/>
      <c r="TNN1" s="230"/>
      <c r="TNO1" s="230"/>
      <c r="TNP1" s="230"/>
      <c r="TNQ1" s="230"/>
      <c r="TNR1" s="230"/>
      <c r="TNS1" s="230"/>
      <c r="TNT1" s="230"/>
      <c r="TNU1" s="230"/>
      <c r="TNV1" s="230"/>
      <c r="TNW1" s="230"/>
      <c r="TNX1" s="230"/>
      <c r="TNY1" s="230"/>
      <c r="TNZ1" s="230"/>
      <c r="TOA1" s="230"/>
      <c r="TOB1" s="230"/>
      <c r="TOC1" s="230"/>
      <c r="TOD1" s="230"/>
      <c r="TOE1" s="230"/>
      <c r="TOF1" s="230"/>
      <c r="TOG1" s="230"/>
      <c r="TOH1" s="230"/>
      <c r="TOI1" s="230"/>
      <c r="TOJ1" s="230"/>
      <c r="TOK1" s="230"/>
      <c r="TOL1" s="230"/>
      <c r="TOM1" s="230"/>
      <c r="TON1" s="230"/>
      <c r="TOO1" s="230"/>
      <c r="TOP1" s="230"/>
      <c r="TOQ1" s="230"/>
      <c r="TOR1" s="230"/>
      <c r="TOS1" s="230"/>
      <c r="TOT1" s="230"/>
      <c r="TOU1" s="230"/>
      <c r="TOV1" s="230"/>
      <c r="TOW1" s="230"/>
      <c r="TOX1" s="230"/>
      <c r="TOY1" s="230"/>
      <c r="TOZ1" s="230"/>
      <c r="TPA1" s="230"/>
      <c r="TPB1" s="230"/>
      <c r="TPC1" s="230"/>
      <c r="TPD1" s="230"/>
      <c r="TPE1" s="230"/>
      <c r="TPF1" s="230"/>
      <c r="TPG1" s="230"/>
      <c r="TPH1" s="230"/>
      <c r="TPI1" s="230"/>
      <c r="TPJ1" s="230"/>
      <c r="TPK1" s="230"/>
      <c r="TPL1" s="230"/>
      <c r="TPM1" s="230"/>
      <c r="TPN1" s="230"/>
      <c r="TPO1" s="230"/>
      <c r="TPP1" s="230"/>
      <c r="TPQ1" s="230"/>
      <c r="TPR1" s="230"/>
      <c r="TPS1" s="230"/>
      <c r="TPT1" s="230"/>
      <c r="TPU1" s="230"/>
      <c r="TPV1" s="230"/>
      <c r="TPW1" s="230"/>
      <c r="TPX1" s="230"/>
      <c r="TPY1" s="230"/>
      <c r="TPZ1" s="230"/>
      <c r="TQA1" s="230"/>
      <c r="TQB1" s="230"/>
      <c r="TQC1" s="230"/>
      <c r="TQD1" s="230"/>
      <c r="TQE1" s="230"/>
      <c r="TQF1" s="230"/>
      <c r="TQG1" s="230"/>
      <c r="TQH1" s="230"/>
      <c r="TQI1" s="230"/>
      <c r="TQJ1" s="230"/>
      <c r="TQK1" s="230"/>
      <c r="TQL1" s="230"/>
      <c r="TQM1" s="230"/>
      <c r="TQN1" s="230"/>
      <c r="TQO1" s="230"/>
      <c r="TQP1" s="230"/>
      <c r="TQQ1" s="230"/>
      <c r="TQR1" s="230"/>
      <c r="TQS1" s="230"/>
      <c r="TQT1" s="230"/>
      <c r="TQU1" s="230"/>
      <c r="TQV1" s="230"/>
      <c r="TQW1" s="230"/>
      <c r="TQX1" s="230"/>
      <c r="TQY1" s="230"/>
      <c r="TQZ1" s="230"/>
      <c r="TRA1" s="230"/>
      <c r="TRB1" s="230"/>
      <c r="TRC1" s="230"/>
      <c r="TRD1" s="230"/>
      <c r="TRE1" s="230"/>
      <c r="TRF1" s="230"/>
      <c r="TRG1" s="230"/>
      <c r="TRH1" s="230"/>
      <c r="TRI1" s="230"/>
      <c r="TRJ1" s="230"/>
      <c r="TRK1" s="230"/>
      <c r="TRL1" s="230"/>
      <c r="TRM1" s="230"/>
      <c r="TRN1" s="230"/>
      <c r="TRO1" s="230"/>
      <c r="TRP1" s="230"/>
      <c r="TRQ1" s="230"/>
      <c r="TRR1" s="230"/>
      <c r="TRS1" s="230"/>
      <c r="TRT1" s="230"/>
      <c r="TRU1" s="230"/>
      <c r="TRV1" s="230"/>
      <c r="TRW1" s="230"/>
      <c r="TRX1" s="230"/>
      <c r="TRY1" s="230"/>
      <c r="TRZ1" s="230"/>
      <c r="TSA1" s="230"/>
      <c r="TSB1" s="230"/>
      <c r="TSC1" s="230"/>
      <c r="TSD1" s="230"/>
      <c r="TSE1" s="230"/>
      <c r="TSF1" s="230"/>
      <c r="TSG1" s="230"/>
      <c r="TSH1" s="230"/>
      <c r="TSI1" s="230"/>
      <c r="TSJ1" s="230"/>
      <c r="TSK1" s="230"/>
      <c r="TSL1" s="230"/>
      <c r="TSM1" s="230"/>
      <c r="TSN1" s="230"/>
      <c r="TSO1" s="230"/>
      <c r="TSP1" s="230"/>
      <c r="TSQ1" s="230"/>
      <c r="TSR1" s="230"/>
      <c r="TSS1" s="230"/>
      <c r="TST1" s="230"/>
      <c r="TSU1" s="230"/>
      <c r="TSV1" s="230"/>
      <c r="TSW1" s="230"/>
      <c r="TSX1" s="230"/>
      <c r="TSY1" s="230"/>
      <c r="TSZ1" s="230"/>
      <c r="TTA1" s="230"/>
      <c r="TTB1" s="230"/>
      <c r="TTC1" s="230"/>
      <c r="TTD1" s="230"/>
      <c r="TTE1" s="230"/>
      <c r="TTF1" s="230"/>
      <c r="TTG1" s="230"/>
      <c r="TTH1" s="230"/>
      <c r="TTI1" s="230"/>
      <c r="TTJ1" s="230"/>
      <c r="TTK1" s="230"/>
      <c r="TTL1" s="230"/>
      <c r="TTM1" s="230"/>
      <c r="TTN1" s="230"/>
      <c r="TTO1" s="230"/>
      <c r="TTP1" s="230"/>
      <c r="TTQ1" s="230"/>
      <c r="TTR1" s="230"/>
      <c r="TTS1" s="230"/>
      <c r="TTT1" s="230"/>
      <c r="TTU1" s="230"/>
      <c r="TTV1" s="230"/>
      <c r="TTW1" s="230"/>
      <c r="TTX1" s="230"/>
      <c r="TTY1" s="230"/>
      <c r="TTZ1" s="230"/>
      <c r="TUA1" s="230"/>
      <c r="TUB1" s="230"/>
      <c r="TUC1" s="230"/>
      <c r="TUD1" s="230"/>
      <c r="TUE1" s="230"/>
      <c r="TUF1" s="230"/>
      <c r="TUG1" s="230"/>
      <c r="TUH1" s="230"/>
      <c r="TUI1" s="230"/>
      <c r="TUJ1" s="230"/>
      <c r="TUK1" s="230"/>
      <c r="TUL1" s="230"/>
      <c r="TUM1" s="230"/>
      <c r="TUN1" s="230"/>
      <c r="TUO1" s="230"/>
      <c r="TUP1" s="230"/>
      <c r="TUQ1" s="230"/>
      <c r="TUR1" s="230"/>
      <c r="TUS1" s="230"/>
      <c r="TUT1" s="230"/>
      <c r="TUU1" s="230"/>
      <c r="TUV1" s="230"/>
      <c r="TUW1" s="230"/>
      <c r="TUX1" s="230"/>
      <c r="TUY1" s="230"/>
      <c r="TUZ1" s="230"/>
      <c r="TVA1" s="230"/>
      <c r="TVB1" s="230"/>
      <c r="TVC1" s="230"/>
      <c r="TVD1" s="230"/>
      <c r="TVE1" s="230"/>
      <c r="TVF1" s="230"/>
      <c r="TVG1" s="230"/>
      <c r="TVH1" s="230"/>
      <c r="TVI1" s="230"/>
      <c r="TVJ1" s="230"/>
      <c r="TVK1" s="230"/>
      <c r="TVL1" s="230"/>
      <c r="TVM1" s="230"/>
      <c r="TVN1" s="230"/>
      <c r="TVO1" s="230"/>
      <c r="TVP1" s="230"/>
      <c r="TVQ1" s="230"/>
      <c r="TVR1" s="230"/>
      <c r="TVS1" s="230"/>
      <c r="TVT1" s="230"/>
      <c r="TVU1" s="230"/>
      <c r="TVV1" s="230"/>
      <c r="TVW1" s="230"/>
      <c r="TVX1" s="230"/>
      <c r="TVY1" s="230"/>
      <c r="TVZ1" s="230"/>
      <c r="TWA1" s="230"/>
      <c r="TWB1" s="230"/>
      <c r="TWC1" s="230"/>
      <c r="TWD1" s="230"/>
      <c r="TWE1" s="230"/>
      <c r="TWF1" s="230"/>
      <c r="TWG1" s="230"/>
      <c r="TWH1" s="230"/>
      <c r="TWI1" s="230"/>
      <c r="TWJ1" s="230"/>
      <c r="TWK1" s="230"/>
      <c r="TWL1" s="230"/>
      <c r="TWM1" s="230"/>
      <c r="TWN1" s="230"/>
      <c r="TWO1" s="230"/>
      <c r="TWP1" s="230"/>
      <c r="TWQ1" s="230"/>
      <c r="TWR1" s="230"/>
      <c r="TWS1" s="230"/>
      <c r="TWT1" s="230"/>
      <c r="TWU1" s="230"/>
      <c r="TWV1" s="230"/>
      <c r="TWW1" s="230"/>
      <c r="TWX1" s="230"/>
      <c r="TWY1" s="230"/>
      <c r="TWZ1" s="230"/>
      <c r="TXA1" s="230"/>
      <c r="TXB1" s="230"/>
      <c r="TXC1" s="230"/>
      <c r="TXD1" s="230"/>
      <c r="TXE1" s="230"/>
      <c r="TXF1" s="230"/>
      <c r="TXG1" s="230"/>
      <c r="TXH1" s="230"/>
      <c r="TXI1" s="230"/>
      <c r="TXJ1" s="230"/>
      <c r="TXK1" s="230"/>
      <c r="TXL1" s="230"/>
      <c r="TXM1" s="230"/>
      <c r="TXN1" s="230"/>
      <c r="TXO1" s="230"/>
      <c r="TXP1" s="230"/>
      <c r="TXQ1" s="230"/>
      <c r="TXR1" s="230"/>
      <c r="TXS1" s="230"/>
      <c r="TXT1" s="230"/>
      <c r="TXU1" s="230"/>
      <c r="TXV1" s="230"/>
      <c r="TXW1" s="230"/>
      <c r="TXX1" s="230"/>
      <c r="TXY1" s="230"/>
      <c r="TXZ1" s="230"/>
      <c r="TYA1" s="230"/>
      <c r="TYB1" s="230"/>
      <c r="TYC1" s="230"/>
      <c r="TYD1" s="230"/>
      <c r="TYE1" s="230"/>
      <c r="TYF1" s="230"/>
      <c r="TYG1" s="230"/>
      <c r="TYH1" s="230"/>
      <c r="TYI1" s="230"/>
      <c r="TYJ1" s="230"/>
      <c r="TYK1" s="230"/>
      <c r="TYL1" s="230"/>
      <c r="TYM1" s="230"/>
      <c r="TYN1" s="230"/>
      <c r="TYO1" s="230"/>
      <c r="TYP1" s="230"/>
      <c r="TYQ1" s="230"/>
      <c r="TYR1" s="230"/>
      <c r="TYS1" s="230"/>
      <c r="TYT1" s="230"/>
      <c r="TYU1" s="230"/>
      <c r="TYV1" s="230"/>
      <c r="TYW1" s="230"/>
      <c r="TYX1" s="230"/>
      <c r="TYY1" s="230"/>
      <c r="TYZ1" s="230"/>
      <c r="TZA1" s="230"/>
      <c r="TZB1" s="230"/>
      <c r="TZC1" s="230"/>
      <c r="TZD1" s="230"/>
      <c r="TZE1" s="230"/>
      <c r="TZF1" s="230"/>
      <c r="TZG1" s="230"/>
      <c r="TZH1" s="230"/>
      <c r="TZI1" s="230"/>
      <c r="TZJ1" s="230"/>
      <c r="TZK1" s="230"/>
      <c r="TZL1" s="230"/>
      <c r="TZM1" s="230"/>
      <c r="TZN1" s="230"/>
      <c r="TZO1" s="230"/>
      <c r="TZP1" s="230"/>
      <c r="TZQ1" s="230"/>
      <c r="TZR1" s="230"/>
      <c r="TZS1" s="230"/>
      <c r="TZT1" s="230"/>
      <c r="TZU1" s="230"/>
      <c r="TZV1" s="230"/>
      <c r="TZW1" s="230"/>
      <c r="TZX1" s="230"/>
      <c r="TZY1" s="230"/>
      <c r="TZZ1" s="230"/>
      <c r="UAA1" s="230"/>
      <c r="UAB1" s="230"/>
      <c r="UAC1" s="230"/>
      <c r="UAD1" s="230"/>
      <c r="UAE1" s="230"/>
      <c r="UAF1" s="230"/>
      <c r="UAG1" s="230"/>
      <c r="UAH1" s="230"/>
      <c r="UAI1" s="230"/>
      <c r="UAJ1" s="230"/>
      <c r="UAK1" s="230"/>
      <c r="UAL1" s="230"/>
      <c r="UAM1" s="230"/>
      <c r="UAN1" s="230"/>
      <c r="UAO1" s="230"/>
      <c r="UAP1" s="230"/>
      <c r="UAQ1" s="230"/>
      <c r="UAR1" s="230"/>
      <c r="UAS1" s="230"/>
      <c r="UAT1" s="230"/>
      <c r="UAU1" s="230"/>
      <c r="UAV1" s="230"/>
      <c r="UAW1" s="230"/>
      <c r="UAX1" s="230"/>
      <c r="UAY1" s="230"/>
      <c r="UAZ1" s="230"/>
      <c r="UBA1" s="230"/>
      <c r="UBB1" s="230"/>
      <c r="UBC1" s="230"/>
      <c r="UBD1" s="230"/>
      <c r="UBE1" s="230"/>
      <c r="UBF1" s="230"/>
      <c r="UBG1" s="230"/>
      <c r="UBH1" s="230"/>
      <c r="UBI1" s="230"/>
      <c r="UBJ1" s="230"/>
      <c r="UBK1" s="230"/>
      <c r="UBL1" s="230"/>
      <c r="UBM1" s="230"/>
      <c r="UBN1" s="230"/>
      <c r="UBO1" s="230"/>
      <c r="UBP1" s="230"/>
      <c r="UBQ1" s="230"/>
      <c r="UBR1" s="230"/>
      <c r="UBS1" s="230"/>
      <c r="UBT1" s="230"/>
      <c r="UBU1" s="230"/>
      <c r="UBV1" s="230"/>
      <c r="UBW1" s="230"/>
      <c r="UBX1" s="230"/>
      <c r="UBY1" s="230"/>
      <c r="UBZ1" s="230"/>
      <c r="UCA1" s="230"/>
      <c r="UCB1" s="230"/>
      <c r="UCC1" s="230"/>
      <c r="UCD1" s="230"/>
      <c r="UCE1" s="230"/>
      <c r="UCF1" s="230"/>
      <c r="UCG1" s="230"/>
      <c r="UCH1" s="230"/>
      <c r="UCI1" s="230"/>
      <c r="UCJ1" s="230"/>
      <c r="UCK1" s="230"/>
      <c r="UCL1" s="230"/>
      <c r="UCM1" s="230"/>
      <c r="UCN1" s="230"/>
      <c r="UCO1" s="230"/>
      <c r="UCP1" s="230"/>
      <c r="UCQ1" s="230"/>
      <c r="UCR1" s="230"/>
      <c r="UCS1" s="230"/>
      <c r="UCT1" s="230"/>
      <c r="UCU1" s="230"/>
      <c r="UCV1" s="230"/>
      <c r="UCW1" s="230"/>
      <c r="UCX1" s="230"/>
      <c r="UCY1" s="230"/>
      <c r="UCZ1" s="230"/>
      <c r="UDA1" s="230"/>
      <c r="UDB1" s="230"/>
      <c r="UDC1" s="230"/>
      <c r="UDD1" s="230"/>
      <c r="UDE1" s="230"/>
      <c r="UDF1" s="230"/>
      <c r="UDG1" s="230"/>
      <c r="UDH1" s="230"/>
      <c r="UDI1" s="230"/>
      <c r="UDJ1" s="230"/>
      <c r="UDK1" s="230"/>
      <c r="UDL1" s="230"/>
      <c r="UDM1" s="230"/>
      <c r="UDN1" s="230"/>
      <c r="UDO1" s="230"/>
      <c r="UDP1" s="230"/>
      <c r="UDQ1" s="230"/>
      <c r="UDR1" s="230"/>
      <c r="UDS1" s="230"/>
      <c r="UDT1" s="230"/>
      <c r="UDU1" s="230"/>
      <c r="UDV1" s="230"/>
      <c r="UDW1" s="230"/>
      <c r="UDX1" s="230"/>
      <c r="UDY1" s="230"/>
      <c r="UDZ1" s="230"/>
      <c r="UEA1" s="230"/>
      <c r="UEB1" s="230"/>
      <c r="UEC1" s="230"/>
      <c r="UED1" s="230"/>
      <c r="UEE1" s="230"/>
      <c r="UEF1" s="230"/>
      <c r="UEG1" s="230"/>
      <c r="UEH1" s="230"/>
      <c r="UEI1" s="230"/>
      <c r="UEJ1" s="230"/>
      <c r="UEK1" s="230"/>
      <c r="UEL1" s="230"/>
      <c r="UEM1" s="230"/>
      <c r="UEN1" s="230"/>
      <c r="UEO1" s="230"/>
      <c r="UEP1" s="230"/>
      <c r="UEQ1" s="230"/>
      <c r="UER1" s="230"/>
      <c r="UES1" s="230"/>
      <c r="UET1" s="230"/>
      <c r="UEU1" s="230"/>
      <c r="UEV1" s="230"/>
      <c r="UEW1" s="230"/>
      <c r="UEX1" s="230"/>
      <c r="UEY1" s="230"/>
      <c r="UEZ1" s="230"/>
      <c r="UFA1" s="230"/>
      <c r="UFB1" s="230"/>
      <c r="UFC1" s="230"/>
      <c r="UFD1" s="230"/>
      <c r="UFE1" s="230"/>
      <c r="UFF1" s="230"/>
      <c r="UFG1" s="230"/>
      <c r="UFH1" s="230"/>
      <c r="UFI1" s="230"/>
      <c r="UFJ1" s="230"/>
      <c r="UFK1" s="230"/>
      <c r="UFL1" s="230"/>
      <c r="UFM1" s="230"/>
      <c r="UFN1" s="230"/>
      <c r="UFO1" s="230"/>
      <c r="UFP1" s="230"/>
      <c r="UFQ1" s="230"/>
      <c r="UFR1" s="230"/>
      <c r="UFS1" s="230"/>
      <c r="UFT1" s="230"/>
      <c r="UFU1" s="230"/>
      <c r="UFV1" s="230"/>
      <c r="UFW1" s="230"/>
      <c r="UFX1" s="230"/>
      <c r="UFY1" s="230"/>
      <c r="UFZ1" s="230"/>
      <c r="UGA1" s="230"/>
      <c r="UGB1" s="230"/>
      <c r="UGC1" s="230"/>
      <c r="UGD1" s="230"/>
      <c r="UGE1" s="230"/>
      <c r="UGF1" s="230"/>
      <c r="UGG1" s="230"/>
      <c r="UGH1" s="230"/>
      <c r="UGI1" s="230"/>
      <c r="UGJ1" s="230"/>
      <c r="UGK1" s="230"/>
      <c r="UGL1" s="230"/>
      <c r="UGM1" s="230"/>
      <c r="UGN1" s="230"/>
      <c r="UGO1" s="230"/>
      <c r="UGP1" s="230"/>
      <c r="UGQ1" s="230"/>
      <c r="UGR1" s="230"/>
      <c r="UGS1" s="230"/>
      <c r="UGT1" s="230"/>
      <c r="UGU1" s="230"/>
      <c r="UGV1" s="230"/>
      <c r="UGW1" s="230"/>
      <c r="UGX1" s="230"/>
      <c r="UGY1" s="230"/>
      <c r="UGZ1" s="230"/>
      <c r="UHA1" s="230"/>
      <c r="UHB1" s="230"/>
      <c r="UHC1" s="230"/>
      <c r="UHD1" s="230"/>
      <c r="UHE1" s="230"/>
      <c r="UHF1" s="230"/>
      <c r="UHG1" s="230"/>
      <c r="UHH1" s="230"/>
      <c r="UHI1" s="230"/>
      <c r="UHJ1" s="230"/>
      <c r="UHK1" s="230"/>
      <c r="UHL1" s="230"/>
      <c r="UHM1" s="230"/>
      <c r="UHN1" s="230"/>
      <c r="UHO1" s="230"/>
      <c r="UHP1" s="230"/>
      <c r="UHQ1" s="230"/>
      <c r="UHR1" s="230"/>
      <c r="UHS1" s="230"/>
      <c r="UHT1" s="230"/>
      <c r="UHU1" s="230"/>
      <c r="UHV1" s="230"/>
      <c r="UHW1" s="230"/>
      <c r="UHX1" s="230"/>
      <c r="UHY1" s="230"/>
      <c r="UHZ1" s="230"/>
      <c r="UIA1" s="230"/>
      <c r="UIB1" s="230"/>
      <c r="UIC1" s="230"/>
      <c r="UID1" s="230"/>
      <c r="UIE1" s="230"/>
      <c r="UIF1" s="230"/>
      <c r="UIG1" s="230"/>
      <c r="UIH1" s="230"/>
      <c r="UII1" s="230"/>
      <c r="UIJ1" s="230"/>
      <c r="UIK1" s="230"/>
      <c r="UIL1" s="230"/>
      <c r="UIM1" s="230"/>
      <c r="UIN1" s="230"/>
      <c r="UIO1" s="230"/>
      <c r="UIP1" s="230"/>
      <c r="UIQ1" s="230"/>
      <c r="UIR1" s="230"/>
      <c r="UIS1" s="230"/>
      <c r="UIT1" s="230"/>
      <c r="UIU1" s="230"/>
      <c r="UIV1" s="230"/>
      <c r="UIW1" s="230"/>
      <c r="UIX1" s="230"/>
      <c r="UIY1" s="230"/>
      <c r="UIZ1" s="230"/>
      <c r="UJA1" s="230"/>
      <c r="UJB1" s="230"/>
      <c r="UJC1" s="230"/>
      <c r="UJD1" s="230"/>
      <c r="UJE1" s="230"/>
      <c r="UJF1" s="230"/>
      <c r="UJG1" s="230"/>
      <c r="UJH1" s="230"/>
      <c r="UJI1" s="230"/>
      <c r="UJJ1" s="230"/>
      <c r="UJK1" s="230"/>
      <c r="UJL1" s="230"/>
      <c r="UJM1" s="230"/>
      <c r="UJN1" s="230"/>
      <c r="UJO1" s="230"/>
      <c r="UJP1" s="230"/>
      <c r="UJQ1" s="230"/>
      <c r="UJR1" s="230"/>
      <c r="UJS1" s="230"/>
      <c r="UJT1" s="230"/>
      <c r="UJU1" s="230"/>
      <c r="UJV1" s="230"/>
      <c r="UJW1" s="230"/>
      <c r="UJX1" s="230"/>
      <c r="UJY1" s="230"/>
      <c r="UJZ1" s="230"/>
      <c r="UKA1" s="230"/>
      <c r="UKB1" s="230"/>
      <c r="UKC1" s="230"/>
      <c r="UKD1" s="230"/>
      <c r="UKE1" s="230"/>
      <c r="UKF1" s="230"/>
      <c r="UKG1" s="230"/>
      <c r="UKH1" s="230"/>
      <c r="UKI1" s="230"/>
      <c r="UKJ1" s="230"/>
      <c r="UKK1" s="230"/>
      <c r="UKL1" s="230"/>
      <c r="UKM1" s="230"/>
      <c r="UKN1" s="230"/>
      <c r="UKO1" s="230"/>
      <c r="UKP1" s="230"/>
      <c r="UKQ1" s="230"/>
      <c r="UKR1" s="230"/>
      <c r="UKS1" s="230"/>
      <c r="UKT1" s="230"/>
      <c r="UKU1" s="230"/>
      <c r="UKV1" s="230"/>
      <c r="UKW1" s="230"/>
      <c r="UKX1" s="230"/>
      <c r="UKY1" s="230"/>
      <c r="UKZ1" s="230"/>
      <c r="ULA1" s="230"/>
      <c r="ULB1" s="230"/>
      <c r="ULC1" s="230"/>
      <c r="ULD1" s="230"/>
      <c r="ULE1" s="230"/>
      <c r="ULF1" s="230"/>
      <c r="ULG1" s="230"/>
      <c r="ULH1" s="230"/>
      <c r="ULI1" s="230"/>
      <c r="ULJ1" s="230"/>
      <c r="ULK1" s="230"/>
      <c r="ULL1" s="230"/>
      <c r="ULM1" s="230"/>
      <c r="ULN1" s="230"/>
      <c r="ULO1" s="230"/>
      <c r="ULP1" s="230"/>
      <c r="ULQ1" s="230"/>
      <c r="ULR1" s="230"/>
      <c r="ULS1" s="230"/>
      <c r="ULT1" s="230"/>
      <c r="ULU1" s="230"/>
      <c r="ULV1" s="230"/>
      <c r="ULW1" s="230"/>
      <c r="ULX1" s="230"/>
      <c r="ULY1" s="230"/>
      <c r="ULZ1" s="230"/>
      <c r="UMA1" s="230"/>
      <c r="UMB1" s="230"/>
      <c r="UMC1" s="230"/>
      <c r="UMD1" s="230"/>
      <c r="UME1" s="230"/>
      <c r="UMF1" s="230"/>
      <c r="UMG1" s="230"/>
      <c r="UMH1" s="230"/>
      <c r="UMI1" s="230"/>
      <c r="UMJ1" s="230"/>
      <c r="UMK1" s="230"/>
      <c r="UML1" s="230"/>
      <c r="UMM1" s="230"/>
      <c r="UMN1" s="230"/>
      <c r="UMO1" s="230"/>
      <c r="UMP1" s="230"/>
      <c r="UMQ1" s="230"/>
      <c r="UMR1" s="230"/>
      <c r="UMS1" s="230"/>
      <c r="UMT1" s="230"/>
      <c r="UMU1" s="230"/>
      <c r="UMV1" s="230"/>
      <c r="UMW1" s="230"/>
      <c r="UMX1" s="230"/>
      <c r="UMY1" s="230"/>
      <c r="UMZ1" s="230"/>
      <c r="UNA1" s="230"/>
      <c r="UNB1" s="230"/>
      <c r="UNC1" s="230"/>
      <c r="UND1" s="230"/>
      <c r="UNE1" s="230"/>
      <c r="UNF1" s="230"/>
      <c r="UNG1" s="230"/>
      <c r="UNH1" s="230"/>
      <c r="UNI1" s="230"/>
      <c r="UNJ1" s="230"/>
      <c r="UNK1" s="230"/>
      <c r="UNL1" s="230"/>
      <c r="UNM1" s="230"/>
      <c r="UNN1" s="230"/>
      <c r="UNO1" s="230"/>
      <c r="UNP1" s="230"/>
      <c r="UNQ1" s="230"/>
      <c r="UNR1" s="230"/>
      <c r="UNS1" s="230"/>
      <c r="UNT1" s="230"/>
      <c r="UNU1" s="230"/>
      <c r="UNV1" s="230"/>
      <c r="UNW1" s="230"/>
      <c r="UNX1" s="230"/>
      <c r="UNY1" s="230"/>
      <c r="UNZ1" s="230"/>
      <c r="UOA1" s="230"/>
      <c r="UOB1" s="230"/>
      <c r="UOC1" s="230"/>
      <c r="UOD1" s="230"/>
      <c r="UOE1" s="230"/>
      <c r="UOF1" s="230"/>
      <c r="UOG1" s="230"/>
      <c r="UOH1" s="230"/>
      <c r="UOI1" s="230"/>
      <c r="UOJ1" s="230"/>
      <c r="UOK1" s="230"/>
      <c r="UOL1" s="230"/>
      <c r="UOM1" s="230"/>
      <c r="UON1" s="230"/>
      <c r="UOO1" s="230"/>
      <c r="UOP1" s="230"/>
      <c r="UOQ1" s="230"/>
      <c r="UOR1" s="230"/>
      <c r="UOS1" s="230"/>
      <c r="UOT1" s="230"/>
      <c r="UOU1" s="230"/>
      <c r="UOV1" s="230"/>
      <c r="UOW1" s="230"/>
      <c r="UOX1" s="230"/>
      <c r="UOY1" s="230"/>
      <c r="UOZ1" s="230"/>
      <c r="UPA1" s="230"/>
      <c r="UPB1" s="230"/>
      <c r="UPC1" s="230"/>
      <c r="UPD1" s="230"/>
      <c r="UPE1" s="230"/>
      <c r="UPF1" s="230"/>
      <c r="UPG1" s="230"/>
      <c r="UPH1" s="230"/>
      <c r="UPI1" s="230"/>
      <c r="UPJ1" s="230"/>
      <c r="UPK1" s="230"/>
      <c r="UPL1" s="230"/>
      <c r="UPM1" s="230"/>
      <c r="UPN1" s="230"/>
      <c r="UPO1" s="230"/>
      <c r="UPP1" s="230"/>
      <c r="UPQ1" s="230"/>
      <c r="UPR1" s="230"/>
      <c r="UPS1" s="230"/>
      <c r="UPT1" s="230"/>
      <c r="UPU1" s="230"/>
      <c r="UPV1" s="230"/>
      <c r="UPW1" s="230"/>
      <c r="UPX1" s="230"/>
      <c r="UPY1" s="230"/>
      <c r="UPZ1" s="230"/>
      <c r="UQA1" s="230"/>
      <c r="UQB1" s="230"/>
      <c r="UQC1" s="230"/>
      <c r="UQD1" s="230"/>
      <c r="UQE1" s="230"/>
      <c r="UQF1" s="230"/>
      <c r="UQG1" s="230"/>
      <c r="UQH1" s="230"/>
      <c r="UQI1" s="230"/>
      <c r="UQJ1" s="230"/>
      <c r="UQK1" s="230"/>
      <c r="UQL1" s="230"/>
      <c r="UQM1" s="230"/>
      <c r="UQN1" s="230"/>
      <c r="UQO1" s="230"/>
      <c r="UQP1" s="230"/>
      <c r="UQQ1" s="230"/>
      <c r="UQR1" s="230"/>
      <c r="UQS1" s="230"/>
      <c r="UQT1" s="230"/>
      <c r="UQU1" s="230"/>
      <c r="UQV1" s="230"/>
      <c r="UQW1" s="230"/>
      <c r="UQX1" s="230"/>
      <c r="UQY1" s="230"/>
      <c r="UQZ1" s="230"/>
      <c r="URA1" s="230"/>
      <c r="URB1" s="230"/>
      <c r="URC1" s="230"/>
      <c r="URD1" s="230"/>
      <c r="URE1" s="230"/>
      <c r="URF1" s="230"/>
      <c r="URG1" s="230"/>
      <c r="URH1" s="230"/>
      <c r="URI1" s="230"/>
      <c r="URJ1" s="230"/>
      <c r="URK1" s="230"/>
      <c r="URL1" s="230"/>
      <c r="URM1" s="230"/>
      <c r="URN1" s="230"/>
      <c r="URO1" s="230"/>
      <c r="URP1" s="230"/>
      <c r="URQ1" s="230"/>
      <c r="URR1" s="230"/>
      <c r="URS1" s="230"/>
      <c r="URT1" s="230"/>
      <c r="URU1" s="230"/>
      <c r="URV1" s="230"/>
      <c r="URW1" s="230"/>
      <c r="URX1" s="230"/>
      <c r="URY1" s="230"/>
      <c r="URZ1" s="230"/>
      <c r="USA1" s="230"/>
      <c r="USB1" s="230"/>
      <c r="USC1" s="230"/>
      <c r="USD1" s="230"/>
      <c r="USE1" s="230"/>
      <c r="USF1" s="230"/>
      <c r="USG1" s="230"/>
      <c r="USH1" s="230"/>
      <c r="USI1" s="230"/>
      <c r="USJ1" s="230"/>
      <c r="USK1" s="230"/>
      <c r="USL1" s="230"/>
      <c r="USM1" s="230"/>
      <c r="USN1" s="230"/>
      <c r="USO1" s="230"/>
      <c r="USP1" s="230"/>
      <c r="USQ1" s="230"/>
      <c r="USR1" s="230"/>
      <c r="USS1" s="230"/>
      <c r="UST1" s="230"/>
      <c r="USU1" s="230"/>
      <c r="USV1" s="230"/>
      <c r="USW1" s="230"/>
      <c r="USX1" s="230"/>
      <c r="USY1" s="230"/>
      <c r="USZ1" s="230"/>
      <c r="UTA1" s="230"/>
      <c r="UTB1" s="230"/>
      <c r="UTC1" s="230"/>
      <c r="UTD1" s="230"/>
      <c r="UTE1" s="230"/>
      <c r="UTF1" s="230"/>
      <c r="UTG1" s="230"/>
      <c r="UTH1" s="230"/>
      <c r="UTI1" s="230"/>
      <c r="UTJ1" s="230"/>
      <c r="UTK1" s="230"/>
      <c r="UTL1" s="230"/>
      <c r="UTM1" s="230"/>
      <c r="UTN1" s="230"/>
      <c r="UTO1" s="230"/>
      <c r="UTP1" s="230"/>
      <c r="UTQ1" s="230"/>
      <c r="UTR1" s="230"/>
      <c r="UTS1" s="230"/>
      <c r="UTT1" s="230"/>
      <c r="UTU1" s="230"/>
      <c r="UTV1" s="230"/>
      <c r="UTW1" s="230"/>
      <c r="UTX1" s="230"/>
      <c r="UTY1" s="230"/>
      <c r="UTZ1" s="230"/>
      <c r="UUA1" s="230"/>
      <c r="UUB1" s="230"/>
      <c r="UUC1" s="230"/>
      <c r="UUD1" s="230"/>
      <c r="UUE1" s="230"/>
      <c r="UUF1" s="230"/>
      <c r="UUG1" s="230"/>
      <c r="UUH1" s="230"/>
      <c r="UUI1" s="230"/>
      <c r="UUJ1" s="230"/>
      <c r="UUK1" s="230"/>
      <c r="UUL1" s="230"/>
      <c r="UUM1" s="230"/>
      <c r="UUN1" s="230"/>
      <c r="UUO1" s="230"/>
      <c r="UUP1" s="230"/>
      <c r="UUQ1" s="230"/>
      <c r="UUR1" s="230"/>
      <c r="UUS1" s="230"/>
      <c r="UUT1" s="230"/>
      <c r="UUU1" s="230"/>
      <c r="UUV1" s="230"/>
      <c r="UUW1" s="230"/>
      <c r="UUX1" s="230"/>
      <c r="UUY1" s="230"/>
      <c r="UUZ1" s="230"/>
      <c r="UVA1" s="230"/>
      <c r="UVB1" s="230"/>
      <c r="UVC1" s="230"/>
      <c r="UVD1" s="230"/>
      <c r="UVE1" s="230"/>
      <c r="UVF1" s="230"/>
      <c r="UVG1" s="230"/>
      <c r="UVH1" s="230"/>
      <c r="UVI1" s="230"/>
      <c r="UVJ1" s="230"/>
      <c r="UVK1" s="230"/>
      <c r="UVL1" s="230"/>
      <c r="UVM1" s="230"/>
      <c r="UVN1" s="230"/>
      <c r="UVO1" s="230"/>
      <c r="UVP1" s="230"/>
      <c r="UVQ1" s="230"/>
      <c r="UVR1" s="230"/>
      <c r="UVS1" s="230"/>
      <c r="UVT1" s="230"/>
      <c r="UVU1" s="230"/>
      <c r="UVV1" s="230"/>
      <c r="UVW1" s="230"/>
      <c r="UVX1" s="230"/>
      <c r="UVY1" s="230"/>
      <c r="UVZ1" s="230"/>
      <c r="UWA1" s="230"/>
      <c r="UWB1" s="230"/>
      <c r="UWC1" s="230"/>
      <c r="UWD1" s="230"/>
      <c r="UWE1" s="230"/>
      <c r="UWF1" s="230"/>
      <c r="UWG1" s="230"/>
      <c r="UWH1" s="230"/>
      <c r="UWI1" s="230"/>
      <c r="UWJ1" s="230"/>
      <c r="UWK1" s="230"/>
      <c r="UWL1" s="230"/>
      <c r="UWM1" s="230"/>
      <c r="UWN1" s="230"/>
      <c r="UWO1" s="230"/>
      <c r="UWP1" s="230"/>
      <c r="UWQ1" s="230"/>
      <c r="UWR1" s="230"/>
      <c r="UWS1" s="230"/>
      <c r="UWT1" s="230"/>
      <c r="UWU1" s="230"/>
      <c r="UWV1" s="230"/>
      <c r="UWW1" s="230"/>
      <c r="UWX1" s="230"/>
      <c r="UWY1" s="230"/>
      <c r="UWZ1" s="230"/>
      <c r="UXA1" s="230"/>
      <c r="UXB1" s="230"/>
      <c r="UXC1" s="230"/>
      <c r="UXD1" s="230"/>
      <c r="UXE1" s="230"/>
      <c r="UXF1" s="230"/>
      <c r="UXG1" s="230"/>
      <c r="UXH1" s="230"/>
      <c r="UXI1" s="230"/>
      <c r="UXJ1" s="230"/>
      <c r="UXK1" s="230"/>
      <c r="UXL1" s="230"/>
      <c r="UXM1" s="230"/>
      <c r="UXN1" s="230"/>
      <c r="UXO1" s="230"/>
      <c r="UXP1" s="230"/>
      <c r="UXQ1" s="230"/>
      <c r="UXR1" s="230"/>
      <c r="UXS1" s="230"/>
      <c r="UXT1" s="230"/>
      <c r="UXU1" s="230"/>
      <c r="UXV1" s="230"/>
      <c r="UXW1" s="230"/>
      <c r="UXX1" s="230"/>
      <c r="UXY1" s="230"/>
      <c r="UXZ1" s="230"/>
      <c r="UYA1" s="230"/>
      <c r="UYB1" s="230"/>
      <c r="UYC1" s="230"/>
      <c r="UYD1" s="230"/>
      <c r="UYE1" s="230"/>
      <c r="UYF1" s="230"/>
      <c r="UYG1" s="230"/>
      <c r="UYH1" s="230"/>
      <c r="UYI1" s="230"/>
      <c r="UYJ1" s="230"/>
      <c r="UYK1" s="230"/>
      <c r="UYL1" s="230"/>
      <c r="UYM1" s="230"/>
      <c r="UYN1" s="230"/>
      <c r="UYO1" s="230"/>
      <c r="UYP1" s="230"/>
      <c r="UYQ1" s="230"/>
      <c r="UYR1" s="230"/>
      <c r="UYS1" s="230"/>
      <c r="UYT1" s="230"/>
      <c r="UYU1" s="230"/>
      <c r="UYV1" s="230"/>
      <c r="UYW1" s="230"/>
      <c r="UYX1" s="230"/>
      <c r="UYY1" s="230"/>
      <c r="UYZ1" s="230"/>
      <c r="UZA1" s="230"/>
      <c r="UZB1" s="230"/>
      <c r="UZC1" s="230"/>
      <c r="UZD1" s="230"/>
      <c r="UZE1" s="230"/>
      <c r="UZF1" s="230"/>
      <c r="UZG1" s="230"/>
      <c r="UZH1" s="230"/>
      <c r="UZI1" s="230"/>
      <c r="UZJ1" s="230"/>
      <c r="UZK1" s="230"/>
      <c r="UZL1" s="230"/>
      <c r="UZM1" s="230"/>
      <c r="UZN1" s="230"/>
      <c r="UZO1" s="230"/>
      <c r="UZP1" s="230"/>
      <c r="UZQ1" s="230"/>
      <c r="UZR1" s="230"/>
      <c r="UZS1" s="230"/>
      <c r="UZT1" s="230"/>
      <c r="UZU1" s="230"/>
      <c r="UZV1" s="230"/>
      <c r="UZW1" s="230"/>
      <c r="UZX1" s="230"/>
      <c r="UZY1" s="230"/>
      <c r="UZZ1" s="230"/>
      <c r="VAA1" s="230"/>
      <c r="VAB1" s="230"/>
      <c r="VAC1" s="230"/>
      <c r="VAD1" s="230"/>
      <c r="VAE1" s="230"/>
      <c r="VAF1" s="230"/>
      <c r="VAG1" s="230"/>
      <c r="VAH1" s="230"/>
      <c r="VAI1" s="230"/>
      <c r="VAJ1" s="230"/>
      <c r="VAK1" s="230"/>
      <c r="VAL1" s="230"/>
      <c r="VAM1" s="230"/>
      <c r="VAN1" s="230"/>
      <c r="VAO1" s="230"/>
      <c r="VAP1" s="230"/>
      <c r="VAQ1" s="230"/>
      <c r="VAR1" s="230"/>
      <c r="VAS1" s="230"/>
      <c r="VAT1" s="230"/>
      <c r="VAU1" s="230"/>
      <c r="VAV1" s="230"/>
      <c r="VAW1" s="230"/>
      <c r="VAX1" s="230"/>
      <c r="VAY1" s="230"/>
      <c r="VAZ1" s="230"/>
      <c r="VBA1" s="230"/>
      <c r="VBB1" s="230"/>
      <c r="VBC1" s="230"/>
      <c r="VBD1" s="230"/>
      <c r="VBE1" s="230"/>
      <c r="VBF1" s="230"/>
      <c r="VBG1" s="230"/>
      <c r="VBH1" s="230"/>
      <c r="VBI1" s="230"/>
      <c r="VBJ1" s="230"/>
      <c r="VBK1" s="230"/>
      <c r="VBL1" s="230"/>
      <c r="VBM1" s="230"/>
      <c r="VBN1" s="230"/>
      <c r="VBO1" s="230"/>
      <c r="VBP1" s="230"/>
      <c r="VBQ1" s="230"/>
      <c r="VBR1" s="230"/>
      <c r="VBS1" s="230"/>
      <c r="VBT1" s="230"/>
      <c r="VBU1" s="230"/>
      <c r="VBV1" s="230"/>
      <c r="VBW1" s="230"/>
      <c r="VBX1" s="230"/>
      <c r="VBY1" s="230"/>
      <c r="VBZ1" s="230"/>
      <c r="VCA1" s="230"/>
      <c r="VCB1" s="230"/>
      <c r="VCC1" s="230"/>
      <c r="VCD1" s="230"/>
      <c r="VCE1" s="230"/>
      <c r="VCF1" s="230"/>
      <c r="VCG1" s="230"/>
      <c r="VCH1" s="230"/>
      <c r="VCI1" s="230"/>
      <c r="VCJ1" s="230"/>
      <c r="VCK1" s="230"/>
      <c r="VCL1" s="230"/>
      <c r="VCM1" s="230"/>
      <c r="VCN1" s="230"/>
      <c r="VCO1" s="230"/>
      <c r="VCP1" s="230"/>
      <c r="VCQ1" s="230"/>
      <c r="VCR1" s="230"/>
      <c r="VCS1" s="230"/>
      <c r="VCT1" s="230"/>
      <c r="VCU1" s="230"/>
      <c r="VCV1" s="230"/>
      <c r="VCW1" s="230"/>
      <c r="VCX1" s="230"/>
      <c r="VCY1" s="230"/>
      <c r="VCZ1" s="230"/>
      <c r="VDA1" s="230"/>
      <c r="VDB1" s="230"/>
      <c r="VDC1" s="230"/>
      <c r="VDD1" s="230"/>
      <c r="VDE1" s="230"/>
      <c r="VDF1" s="230"/>
      <c r="VDG1" s="230"/>
      <c r="VDH1" s="230"/>
      <c r="VDI1" s="230"/>
      <c r="VDJ1" s="230"/>
      <c r="VDK1" s="230"/>
      <c r="VDL1" s="230"/>
      <c r="VDM1" s="230"/>
      <c r="VDN1" s="230"/>
      <c r="VDO1" s="230"/>
      <c r="VDP1" s="230"/>
      <c r="VDQ1" s="230"/>
      <c r="VDR1" s="230"/>
      <c r="VDS1" s="230"/>
      <c r="VDT1" s="230"/>
      <c r="VDU1" s="230"/>
      <c r="VDV1" s="230"/>
      <c r="VDW1" s="230"/>
      <c r="VDX1" s="230"/>
      <c r="VDY1" s="230"/>
      <c r="VDZ1" s="230"/>
      <c r="VEA1" s="230"/>
      <c r="VEB1" s="230"/>
      <c r="VEC1" s="230"/>
      <c r="VED1" s="230"/>
      <c r="VEE1" s="230"/>
      <c r="VEF1" s="230"/>
      <c r="VEG1" s="230"/>
      <c r="VEH1" s="230"/>
      <c r="VEI1" s="230"/>
      <c r="VEJ1" s="230"/>
      <c r="VEK1" s="230"/>
      <c r="VEL1" s="230"/>
      <c r="VEM1" s="230"/>
      <c r="VEN1" s="230"/>
      <c r="VEO1" s="230"/>
      <c r="VEP1" s="230"/>
      <c r="VEQ1" s="230"/>
      <c r="VER1" s="230"/>
      <c r="VES1" s="230"/>
      <c r="VET1" s="230"/>
      <c r="VEU1" s="230"/>
      <c r="VEV1" s="230"/>
      <c r="VEW1" s="230"/>
      <c r="VEX1" s="230"/>
      <c r="VEY1" s="230"/>
      <c r="VEZ1" s="230"/>
      <c r="VFA1" s="230"/>
      <c r="VFB1" s="230"/>
      <c r="VFC1" s="230"/>
      <c r="VFD1" s="230"/>
      <c r="VFE1" s="230"/>
      <c r="VFF1" s="230"/>
      <c r="VFG1" s="230"/>
      <c r="VFH1" s="230"/>
      <c r="VFI1" s="230"/>
      <c r="VFJ1" s="230"/>
      <c r="VFK1" s="230"/>
      <c r="VFL1" s="230"/>
      <c r="VFM1" s="230"/>
      <c r="VFN1" s="230"/>
      <c r="VFO1" s="230"/>
      <c r="VFP1" s="230"/>
      <c r="VFQ1" s="230"/>
      <c r="VFR1" s="230"/>
      <c r="VFS1" s="230"/>
      <c r="VFT1" s="230"/>
      <c r="VFU1" s="230"/>
      <c r="VFV1" s="230"/>
      <c r="VFW1" s="230"/>
      <c r="VFX1" s="230"/>
      <c r="VFY1" s="230"/>
      <c r="VFZ1" s="230"/>
      <c r="VGA1" s="230"/>
      <c r="VGB1" s="230"/>
      <c r="VGC1" s="230"/>
      <c r="VGD1" s="230"/>
      <c r="VGE1" s="230"/>
      <c r="VGF1" s="230"/>
      <c r="VGG1" s="230"/>
      <c r="VGH1" s="230"/>
      <c r="VGI1" s="230"/>
      <c r="VGJ1" s="230"/>
      <c r="VGK1" s="230"/>
      <c r="VGL1" s="230"/>
      <c r="VGM1" s="230"/>
      <c r="VGN1" s="230"/>
      <c r="VGO1" s="230"/>
      <c r="VGP1" s="230"/>
      <c r="VGQ1" s="230"/>
      <c r="VGR1" s="230"/>
      <c r="VGS1" s="230"/>
      <c r="VGT1" s="230"/>
      <c r="VGU1" s="230"/>
      <c r="VGV1" s="230"/>
      <c r="VGW1" s="230"/>
      <c r="VGX1" s="230"/>
      <c r="VGY1" s="230"/>
      <c r="VGZ1" s="230"/>
      <c r="VHA1" s="230"/>
      <c r="VHB1" s="230"/>
      <c r="VHC1" s="230"/>
      <c r="VHD1" s="230"/>
      <c r="VHE1" s="230"/>
      <c r="VHF1" s="230"/>
      <c r="VHG1" s="230"/>
      <c r="VHH1" s="230"/>
      <c r="VHI1" s="230"/>
      <c r="VHJ1" s="230"/>
      <c r="VHK1" s="230"/>
      <c r="VHL1" s="230"/>
      <c r="VHM1" s="230"/>
      <c r="VHN1" s="230"/>
      <c r="VHO1" s="230"/>
      <c r="VHP1" s="230"/>
      <c r="VHQ1" s="230"/>
      <c r="VHR1" s="230"/>
      <c r="VHS1" s="230"/>
      <c r="VHT1" s="230"/>
      <c r="VHU1" s="230"/>
      <c r="VHV1" s="230"/>
      <c r="VHW1" s="230"/>
      <c r="VHX1" s="230"/>
      <c r="VHY1" s="230"/>
      <c r="VHZ1" s="230"/>
      <c r="VIA1" s="230"/>
      <c r="VIB1" s="230"/>
      <c r="VIC1" s="230"/>
      <c r="VID1" s="230"/>
      <c r="VIE1" s="230"/>
      <c r="VIF1" s="230"/>
      <c r="VIG1" s="230"/>
      <c r="VIH1" s="230"/>
      <c r="VII1" s="230"/>
      <c r="VIJ1" s="230"/>
      <c r="VIK1" s="230"/>
      <c r="VIL1" s="230"/>
      <c r="VIM1" s="230"/>
      <c r="VIN1" s="230"/>
      <c r="VIO1" s="230"/>
      <c r="VIP1" s="230"/>
      <c r="VIQ1" s="230"/>
      <c r="VIR1" s="230"/>
      <c r="VIS1" s="230"/>
      <c r="VIT1" s="230"/>
      <c r="VIU1" s="230"/>
      <c r="VIV1" s="230"/>
      <c r="VIW1" s="230"/>
      <c r="VIX1" s="230"/>
      <c r="VIY1" s="230"/>
      <c r="VIZ1" s="230"/>
      <c r="VJA1" s="230"/>
      <c r="VJB1" s="230"/>
      <c r="VJC1" s="230"/>
      <c r="VJD1" s="230"/>
      <c r="VJE1" s="230"/>
      <c r="VJF1" s="230"/>
      <c r="VJG1" s="230"/>
      <c r="VJH1" s="230"/>
      <c r="VJI1" s="230"/>
      <c r="VJJ1" s="230"/>
      <c r="VJK1" s="230"/>
      <c r="VJL1" s="230"/>
      <c r="VJM1" s="230"/>
      <c r="VJN1" s="230"/>
      <c r="VJO1" s="230"/>
      <c r="VJP1" s="230"/>
      <c r="VJQ1" s="230"/>
      <c r="VJR1" s="230"/>
      <c r="VJS1" s="230"/>
      <c r="VJT1" s="230"/>
      <c r="VJU1" s="230"/>
      <c r="VJV1" s="230"/>
      <c r="VJW1" s="230"/>
      <c r="VJX1" s="230"/>
      <c r="VJY1" s="230"/>
      <c r="VJZ1" s="230"/>
      <c r="VKA1" s="230"/>
      <c r="VKB1" s="230"/>
      <c r="VKC1" s="230"/>
      <c r="VKD1" s="230"/>
      <c r="VKE1" s="230"/>
      <c r="VKF1" s="230"/>
      <c r="VKG1" s="230"/>
      <c r="VKH1" s="230"/>
      <c r="VKI1" s="230"/>
      <c r="VKJ1" s="230"/>
      <c r="VKK1" s="230"/>
      <c r="VKL1" s="230"/>
      <c r="VKM1" s="230"/>
      <c r="VKN1" s="230"/>
      <c r="VKO1" s="230"/>
      <c r="VKP1" s="230"/>
      <c r="VKQ1" s="230"/>
      <c r="VKR1" s="230"/>
      <c r="VKS1" s="230"/>
      <c r="VKT1" s="230"/>
      <c r="VKU1" s="230"/>
      <c r="VKV1" s="230"/>
      <c r="VKW1" s="230"/>
      <c r="VKX1" s="230"/>
      <c r="VKY1" s="230"/>
      <c r="VKZ1" s="230"/>
      <c r="VLA1" s="230"/>
      <c r="VLB1" s="230"/>
      <c r="VLC1" s="230"/>
      <c r="VLD1" s="230"/>
      <c r="VLE1" s="230"/>
      <c r="VLF1" s="230"/>
      <c r="VLG1" s="230"/>
      <c r="VLH1" s="230"/>
      <c r="VLI1" s="230"/>
      <c r="VLJ1" s="230"/>
      <c r="VLK1" s="230"/>
      <c r="VLL1" s="230"/>
      <c r="VLM1" s="230"/>
      <c r="VLN1" s="230"/>
      <c r="VLO1" s="230"/>
      <c r="VLP1" s="230"/>
      <c r="VLQ1" s="230"/>
      <c r="VLR1" s="230"/>
      <c r="VLS1" s="230"/>
      <c r="VLT1" s="230"/>
      <c r="VLU1" s="230"/>
      <c r="VLV1" s="230"/>
      <c r="VLW1" s="230"/>
      <c r="VLX1" s="230"/>
      <c r="VLY1" s="230"/>
      <c r="VLZ1" s="230"/>
      <c r="VMA1" s="230"/>
      <c r="VMB1" s="230"/>
      <c r="VMC1" s="230"/>
      <c r="VMD1" s="230"/>
      <c r="VME1" s="230"/>
      <c r="VMF1" s="230"/>
      <c r="VMG1" s="230"/>
      <c r="VMH1" s="230"/>
      <c r="VMI1" s="230"/>
      <c r="VMJ1" s="230"/>
      <c r="VMK1" s="230"/>
      <c r="VML1" s="230"/>
      <c r="VMM1" s="230"/>
      <c r="VMN1" s="230"/>
      <c r="VMO1" s="230"/>
      <c r="VMP1" s="230"/>
      <c r="VMQ1" s="230"/>
      <c r="VMR1" s="230"/>
      <c r="VMS1" s="230"/>
      <c r="VMT1" s="230"/>
      <c r="VMU1" s="230"/>
      <c r="VMV1" s="230"/>
      <c r="VMW1" s="230"/>
      <c r="VMX1" s="230"/>
      <c r="VMY1" s="230"/>
      <c r="VMZ1" s="230"/>
      <c r="VNA1" s="230"/>
      <c r="VNB1" s="230"/>
      <c r="VNC1" s="230"/>
      <c r="VND1" s="230"/>
      <c r="VNE1" s="230"/>
      <c r="VNF1" s="230"/>
      <c r="VNG1" s="230"/>
      <c r="VNH1" s="230"/>
      <c r="VNI1" s="230"/>
      <c r="VNJ1" s="230"/>
      <c r="VNK1" s="230"/>
      <c r="VNL1" s="230"/>
      <c r="VNM1" s="230"/>
      <c r="VNN1" s="230"/>
      <c r="VNO1" s="230"/>
      <c r="VNP1" s="230"/>
      <c r="VNQ1" s="230"/>
      <c r="VNR1" s="230"/>
      <c r="VNS1" s="230"/>
      <c r="VNT1" s="230"/>
      <c r="VNU1" s="230"/>
      <c r="VNV1" s="230"/>
      <c r="VNW1" s="230"/>
      <c r="VNX1" s="230"/>
      <c r="VNY1" s="230"/>
      <c r="VNZ1" s="230"/>
      <c r="VOA1" s="230"/>
      <c r="VOB1" s="230"/>
      <c r="VOC1" s="230"/>
      <c r="VOD1" s="230"/>
      <c r="VOE1" s="230"/>
      <c r="VOF1" s="230"/>
      <c r="VOG1" s="230"/>
      <c r="VOH1" s="230"/>
      <c r="VOI1" s="230"/>
      <c r="VOJ1" s="230"/>
      <c r="VOK1" s="230"/>
      <c r="VOL1" s="230"/>
      <c r="VOM1" s="230"/>
      <c r="VON1" s="230"/>
      <c r="VOO1" s="230"/>
      <c r="VOP1" s="230"/>
      <c r="VOQ1" s="230"/>
      <c r="VOR1" s="230"/>
      <c r="VOS1" s="230"/>
      <c r="VOT1" s="230"/>
      <c r="VOU1" s="230"/>
      <c r="VOV1" s="230"/>
      <c r="VOW1" s="230"/>
      <c r="VOX1" s="230"/>
      <c r="VOY1" s="230"/>
      <c r="VOZ1" s="230"/>
      <c r="VPA1" s="230"/>
      <c r="VPB1" s="230"/>
      <c r="VPC1" s="230"/>
      <c r="VPD1" s="230"/>
      <c r="VPE1" s="230"/>
      <c r="VPF1" s="230"/>
      <c r="VPG1" s="230"/>
      <c r="VPH1" s="230"/>
      <c r="VPI1" s="230"/>
      <c r="VPJ1" s="230"/>
      <c r="VPK1" s="230"/>
      <c r="VPL1" s="230"/>
      <c r="VPM1" s="230"/>
      <c r="VPN1" s="230"/>
      <c r="VPO1" s="230"/>
      <c r="VPP1" s="230"/>
      <c r="VPQ1" s="230"/>
      <c r="VPR1" s="230"/>
      <c r="VPS1" s="230"/>
      <c r="VPT1" s="230"/>
      <c r="VPU1" s="230"/>
      <c r="VPV1" s="230"/>
      <c r="VPW1" s="230"/>
      <c r="VPX1" s="230"/>
      <c r="VPY1" s="230"/>
      <c r="VPZ1" s="230"/>
      <c r="VQA1" s="230"/>
      <c r="VQB1" s="230"/>
      <c r="VQC1" s="230"/>
      <c r="VQD1" s="230"/>
      <c r="VQE1" s="230"/>
      <c r="VQF1" s="230"/>
      <c r="VQG1" s="230"/>
      <c r="VQH1" s="230"/>
      <c r="VQI1" s="230"/>
      <c r="VQJ1" s="230"/>
      <c r="VQK1" s="230"/>
      <c r="VQL1" s="230"/>
      <c r="VQM1" s="230"/>
      <c r="VQN1" s="230"/>
      <c r="VQO1" s="230"/>
      <c r="VQP1" s="230"/>
      <c r="VQQ1" s="230"/>
      <c r="VQR1" s="230"/>
      <c r="VQS1" s="230"/>
      <c r="VQT1" s="230"/>
      <c r="VQU1" s="230"/>
      <c r="VQV1" s="230"/>
      <c r="VQW1" s="230"/>
      <c r="VQX1" s="230"/>
      <c r="VQY1" s="230"/>
      <c r="VQZ1" s="230"/>
      <c r="VRA1" s="230"/>
      <c r="VRB1" s="230"/>
      <c r="VRC1" s="230"/>
      <c r="VRD1" s="230"/>
      <c r="VRE1" s="230"/>
      <c r="VRF1" s="230"/>
      <c r="VRG1" s="230"/>
      <c r="VRH1" s="230"/>
      <c r="VRI1" s="230"/>
      <c r="VRJ1" s="230"/>
      <c r="VRK1" s="230"/>
      <c r="VRL1" s="230"/>
      <c r="VRM1" s="230"/>
      <c r="VRN1" s="230"/>
      <c r="VRO1" s="230"/>
      <c r="VRP1" s="230"/>
      <c r="VRQ1" s="230"/>
      <c r="VRR1" s="230"/>
      <c r="VRS1" s="230"/>
      <c r="VRT1" s="230"/>
      <c r="VRU1" s="230"/>
      <c r="VRV1" s="230"/>
      <c r="VRW1" s="230"/>
      <c r="VRX1" s="230"/>
      <c r="VRY1" s="230"/>
      <c r="VRZ1" s="230"/>
      <c r="VSA1" s="230"/>
      <c r="VSB1" s="230"/>
      <c r="VSC1" s="230"/>
      <c r="VSD1" s="230"/>
      <c r="VSE1" s="230"/>
      <c r="VSF1" s="230"/>
      <c r="VSG1" s="230"/>
      <c r="VSH1" s="230"/>
      <c r="VSI1" s="230"/>
      <c r="VSJ1" s="230"/>
      <c r="VSK1" s="230"/>
      <c r="VSL1" s="230"/>
      <c r="VSM1" s="230"/>
      <c r="VSN1" s="230"/>
      <c r="VSO1" s="230"/>
      <c r="VSP1" s="230"/>
      <c r="VSQ1" s="230"/>
      <c r="VSR1" s="230"/>
      <c r="VSS1" s="230"/>
      <c r="VST1" s="230"/>
      <c r="VSU1" s="230"/>
      <c r="VSV1" s="230"/>
      <c r="VSW1" s="230"/>
      <c r="VSX1" s="230"/>
      <c r="VSY1" s="230"/>
      <c r="VSZ1" s="230"/>
      <c r="VTA1" s="230"/>
      <c r="VTB1" s="230"/>
      <c r="VTC1" s="230"/>
      <c r="VTD1" s="230"/>
      <c r="VTE1" s="230"/>
      <c r="VTF1" s="230"/>
      <c r="VTG1" s="230"/>
      <c r="VTH1" s="230"/>
      <c r="VTI1" s="230"/>
      <c r="VTJ1" s="230"/>
      <c r="VTK1" s="230"/>
      <c r="VTL1" s="230"/>
      <c r="VTM1" s="230"/>
      <c r="VTN1" s="230"/>
      <c r="VTO1" s="230"/>
      <c r="VTP1" s="230"/>
      <c r="VTQ1" s="230"/>
      <c r="VTR1" s="230"/>
      <c r="VTS1" s="230"/>
      <c r="VTT1" s="230"/>
      <c r="VTU1" s="230"/>
      <c r="VTV1" s="230"/>
      <c r="VTW1" s="230"/>
      <c r="VTX1" s="230"/>
      <c r="VTY1" s="230"/>
      <c r="VTZ1" s="230"/>
      <c r="VUA1" s="230"/>
      <c r="VUB1" s="230"/>
      <c r="VUC1" s="230"/>
      <c r="VUD1" s="230"/>
      <c r="VUE1" s="230"/>
      <c r="VUF1" s="230"/>
      <c r="VUG1" s="230"/>
      <c r="VUH1" s="230"/>
      <c r="VUI1" s="230"/>
      <c r="VUJ1" s="230"/>
      <c r="VUK1" s="230"/>
      <c r="VUL1" s="230"/>
      <c r="VUM1" s="230"/>
      <c r="VUN1" s="230"/>
      <c r="VUO1" s="230"/>
      <c r="VUP1" s="230"/>
      <c r="VUQ1" s="230"/>
      <c r="VUR1" s="230"/>
      <c r="VUS1" s="230"/>
      <c r="VUT1" s="230"/>
      <c r="VUU1" s="230"/>
      <c r="VUV1" s="230"/>
      <c r="VUW1" s="230"/>
      <c r="VUX1" s="230"/>
      <c r="VUY1" s="230"/>
      <c r="VUZ1" s="230"/>
      <c r="VVA1" s="230"/>
      <c r="VVB1" s="230"/>
      <c r="VVC1" s="230"/>
      <c r="VVD1" s="230"/>
      <c r="VVE1" s="230"/>
      <c r="VVF1" s="230"/>
      <c r="VVG1" s="230"/>
      <c r="VVH1" s="230"/>
      <c r="VVI1" s="230"/>
      <c r="VVJ1" s="230"/>
      <c r="VVK1" s="230"/>
      <c r="VVL1" s="230"/>
      <c r="VVM1" s="230"/>
      <c r="VVN1" s="230"/>
      <c r="VVO1" s="230"/>
      <c r="VVP1" s="230"/>
      <c r="VVQ1" s="230"/>
      <c r="VVR1" s="230"/>
      <c r="VVS1" s="230"/>
      <c r="VVT1" s="230"/>
      <c r="VVU1" s="230"/>
      <c r="VVV1" s="230"/>
      <c r="VVW1" s="230"/>
      <c r="VVX1" s="230"/>
      <c r="VVY1" s="230"/>
      <c r="VVZ1" s="230"/>
      <c r="VWA1" s="230"/>
      <c r="VWB1" s="230"/>
      <c r="VWC1" s="230"/>
      <c r="VWD1" s="230"/>
      <c r="VWE1" s="230"/>
      <c r="VWF1" s="230"/>
      <c r="VWG1" s="230"/>
      <c r="VWH1" s="230"/>
      <c r="VWI1" s="230"/>
      <c r="VWJ1" s="230"/>
      <c r="VWK1" s="230"/>
      <c r="VWL1" s="230"/>
      <c r="VWM1" s="230"/>
      <c r="VWN1" s="230"/>
      <c r="VWO1" s="230"/>
      <c r="VWP1" s="230"/>
      <c r="VWQ1" s="230"/>
      <c r="VWR1" s="230"/>
      <c r="VWS1" s="230"/>
      <c r="VWT1" s="230"/>
      <c r="VWU1" s="230"/>
      <c r="VWV1" s="230"/>
      <c r="VWW1" s="230"/>
      <c r="VWX1" s="230"/>
      <c r="VWY1" s="230"/>
      <c r="VWZ1" s="230"/>
      <c r="VXA1" s="230"/>
      <c r="VXB1" s="230"/>
      <c r="VXC1" s="230"/>
      <c r="VXD1" s="230"/>
      <c r="VXE1" s="230"/>
      <c r="VXF1" s="230"/>
      <c r="VXG1" s="230"/>
      <c r="VXH1" s="230"/>
      <c r="VXI1" s="230"/>
      <c r="VXJ1" s="230"/>
      <c r="VXK1" s="230"/>
      <c r="VXL1" s="230"/>
      <c r="VXM1" s="230"/>
      <c r="VXN1" s="230"/>
      <c r="VXO1" s="230"/>
      <c r="VXP1" s="230"/>
      <c r="VXQ1" s="230"/>
      <c r="VXR1" s="230"/>
      <c r="VXS1" s="230"/>
      <c r="VXT1" s="230"/>
      <c r="VXU1" s="230"/>
      <c r="VXV1" s="230"/>
      <c r="VXW1" s="230"/>
      <c r="VXX1" s="230"/>
      <c r="VXY1" s="230"/>
      <c r="VXZ1" s="230"/>
      <c r="VYA1" s="230"/>
      <c r="VYB1" s="230"/>
      <c r="VYC1" s="230"/>
      <c r="VYD1" s="230"/>
      <c r="VYE1" s="230"/>
      <c r="VYF1" s="230"/>
      <c r="VYG1" s="230"/>
      <c r="VYH1" s="230"/>
      <c r="VYI1" s="230"/>
      <c r="VYJ1" s="230"/>
      <c r="VYK1" s="230"/>
      <c r="VYL1" s="230"/>
      <c r="VYM1" s="230"/>
      <c r="VYN1" s="230"/>
      <c r="VYO1" s="230"/>
      <c r="VYP1" s="230"/>
      <c r="VYQ1" s="230"/>
      <c r="VYR1" s="230"/>
      <c r="VYS1" s="230"/>
      <c r="VYT1" s="230"/>
      <c r="VYU1" s="230"/>
      <c r="VYV1" s="230"/>
      <c r="VYW1" s="230"/>
      <c r="VYX1" s="230"/>
      <c r="VYY1" s="230"/>
      <c r="VYZ1" s="230"/>
      <c r="VZA1" s="230"/>
      <c r="VZB1" s="230"/>
      <c r="VZC1" s="230"/>
      <c r="VZD1" s="230"/>
      <c r="VZE1" s="230"/>
      <c r="VZF1" s="230"/>
      <c r="VZG1" s="230"/>
      <c r="VZH1" s="230"/>
      <c r="VZI1" s="230"/>
      <c r="VZJ1" s="230"/>
      <c r="VZK1" s="230"/>
      <c r="VZL1" s="230"/>
      <c r="VZM1" s="230"/>
      <c r="VZN1" s="230"/>
      <c r="VZO1" s="230"/>
      <c r="VZP1" s="230"/>
      <c r="VZQ1" s="230"/>
      <c r="VZR1" s="230"/>
      <c r="VZS1" s="230"/>
      <c r="VZT1" s="230"/>
      <c r="VZU1" s="230"/>
      <c r="VZV1" s="230"/>
      <c r="VZW1" s="230"/>
      <c r="VZX1" s="230"/>
      <c r="VZY1" s="230"/>
      <c r="VZZ1" s="230"/>
      <c r="WAA1" s="230"/>
      <c r="WAB1" s="230"/>
      <c r="WAC1" s="230"/>
      <c r="WAD1" s="230"/>
      <c r="WAE1" s="230"/>
      <c r="WAF1" s="230"/>
      <c r="WAG1" s="230"/>
      <c r="WAH1" s="230"/>
      <c r="WAI1" s="230"/>
      <c r="WAJ1" s="230"/>
      <c r="WAK1" s="230"/>
      <c r="WAL1" s="230"/>
      <c r="WAM1" s="230"/>
      <c r="WAN1" s="230"/>
      <c r="WAO1" s="230"/>
      <c r="WAP1" s="230"/>
      <c r="WAQ1" s="230"/>
      <c r="WAR1" s="230"/>
      <c r="WAS1" s="230"/>
      <c r="WAT1" s="230"/>
      <c r="WAU1" s="230"/>
      <c r="WAV1" s="230"/>
      <c r="WAW1" s="230"/>
      <c r="WAX1" s="230"/>
      <c r="WAY1" s="230"/>
      <c r="WAZ1" s="230"/>
      <c r="WBA1" s="230"/>
      <c r="WBB1" s="230"/>
      <c r="WBC1" s="230"/>
      <c r="WBD1" s="230"/>
      <c r="WBE1" s="230"/>
      <c r="WBF1" s="230"/>
      <c r="WBG1" s="230"/>
      <c r="WBH1" s="230"/>
      <c r="WBI1" s="230"/>
      <c r="WBJ1" s="230"/>
      <c r="WBK1" s="230"/>
      <c r="WBL1" s="230"/>
      <c r="WBM1" s="230"/>
      <c r="WBN1" s="230"/>
      <c r="WBO1" s="230"/>
      <c r="WBP1" s="230"/>
      <c r="WBQ1" s="230"/>
      <c r="WBR1" s="230"/>
      <c r="WBS1" s="230"/>
      <c r="WBT1" s="230"/>
      <c r="WBU1" s="230"/>
      <c r="WBV1" s="230"/>
      <c r="WBW1" s="230"/>
      <c r="WBX1" s="230"/>
      <c r="WBY1" s="230"/>
      <c r="WBZ1" s="230"/>
      <c r="WCA1" s="230"/>
      <c r="WCB1" s="230"/>
      <c r="WCC1" s="230"/>
      <c r="WCD1" s="230"/>
      <c r="WCE1" s="230"/>
      <c r="WCF1" s="230"/>
      <c r="WCG1" s="230"/>
      <c r="WCH1" s="230"/>
      <c r="WCI1" s="230"/>
      <c r="WCJ1" s="230"/>
      <c r="WCK1" s="230"/>
      <c r="WCL1" s="230"/>
      <c r="WCM1" s="230"/>
      <c r="WCN1" s="230"/>
      <c r="WCO1" s="230"/>
      <c r="WCP1" s="230"/>
      <c r="WCQ1" s="230"/>
      <c r="WCR1" s="230"/>
      <c r="WCS1" s="230"/>
      <c r="WCT1" s="230"/>
      <c r="WCU1" s="230"/>
      <c r="WCV1" s="230"/>
      <c r="WCW1" s="230"/>
      <c r="WCX1" s="230"/>
      <c r="WCY1" s="230"/>
      <c r="WCZ1" s="230"/>
      <c r="WDA1" s="230"/>
      <c r="WDB1" s="230"/>
      <c r="WDC1" s="230"/>
      <c r="WDD1" s="230"/>
      <c r="WDE1" s="230"/>
      <c r="WDF1" s="230"/>
      <c r="WDG1" s="230"/>
      <c r="WDH1" s="230"/>
      <c r="WDI1" s="230"/>
      <c r="WDJ1" s="230"/>
      <c r="WDK1" s="230"/>
      <c r="WDL1" s="230"/>
      <c r="WDM1" s="230"/>
      <c r="WDN1" s="230"/>
      <c r="WDO1" s="230"/>
      <c r="WDP1" s="230"/>
      <c r="WDQ1" s="230"/>
      <c r="WDR1" s="230"/>
      <c r="WDS1" s="230"/>
      <c r="WDT1" s="230"/>
      <c r="WDU1" s="230"/>
      <c r="WDV1" s="230"/>
      <c r="WDW1" s="230"/>
      <c r="WDX1" s="230"/>
      <c r="WDY1" s="230"/>
      <c r="WDZ1" s="230"/>
      <c r="WEA1" s="230"/>
      <c r="WEB1" s="230"/>
      <c r="WEC1" s="230"/>
      <c r="WED1" s="230"/>
      <c r="WEE1" s="230"/>
      <c r="WEF1" s="230"/>
      <c r="WEG1" s="230"/>
      <c r="WEH1" s="230"/>
      <c r="WEI1" s="230"/>
      <c r="WEJ1" s="230"/>
      <c r="WEK1" s="230"/>
      <c r="WEL1" s="230"/>
      <c r="WEM1" s="230"/>
      <c r="WEN1" s="230"/>
      <c r="WEO1" s="230"/>
      <c r="WEP1" s="230"/>
      <c r="WEQ1" s="230"/>
      <c r="WER1" s="230"/>
      <c r="WES1" s="230"/>
      <c r="WET1" s="230"/>
      <c r="WEU1" s="230"/>
      <c r="WEV1" s="230"/>
      <c r="WEW1" s="230"/>
      <c r="WEX1" s="230"/>
      <c r="WEY1" s="230"/>
      <c r="WEZ1" s="230"/>
      <c r="WFA1" s="230"/>
      <c r="WFB1" s="230"/>
      <c r="WFC1" s="230"/>
      <c r="WFD1" s="230"/>
      <c r="WFE1" s="230"/>
      <c r="WFF1" s="230"/>
      <c r="WFG1" s="230"/>
      <c r="WFH1" s="230"/>
      <c r="WFI1" s="230"/>
      <c r="WFJ1" s="230"/>
      <c r="WFK1" s="230"/>
      <c r="WFL1" s="230"/>
      <c r="WFM1" s="230"/>
      <c r="WFN1" s="230"/>
      <c r="WFO1" s="230"/>
      <c r="WFP1" s="230"/>
      <c r="WFQ1" s="230"/>
      <c r="WFR1" s="230"/>
      <c r="WFS1" s="230"/>
      <c r="WFT1" s="230"/>
      <c r="WFU1" s="230"/>
      <c r="WFV1" s="230"/>
      <c r="WFW1" s="230"/>
      <c r="WFX1" s="230"/>
      <c r="WFY1" s="230"/>
      <c r="WFZ1" s="230"/>
      <c r="WGA1" s="230"/>
      <c r="WGB1" s="230"/>
      <c r="WGC1" s="230"/>
      <c r="WGD1" s="230"/>
      <c r="WGE1" s="230"/>
      <c r="WGF1" s="230"/>
      <c r="WGG1" s="230"/>
      <c r="WGH1" s="230"/>
      <c r="WGI1" s="230"/>
      <c r="WGJ1" s="230"/>
      <c r="WGK1" s="230"/>
      <c r="WGL1" s="230"/>
      <c r="WGM1" s="230"/>
      <c r="WGN1" s="230"/>
      <c r="WGO1" s="230"/>
      <c r="WGP1" s="230"/>
      <c r="WGQ1" s="230"/>
      <c r="WGR1" s="230"/>
      <c r="WGS1" s="230"/>
      <c r="WGT1" s="230"/>
      <c r="WGU1" s="230"/>
      <c r="WGV1" s="230"/>
      <c r="WGW1" s="230"/>
      <c r="WGX1" s="230"/>
      <c r="WGY1" s="230"/>
      <c r="WGZ1" s="230"/>
      <c r="WHA1" s="230"/>
      <c r="WHB1" s="230"/>
      <c r="WHC1" s="230"/>
      <c r="WHD1" s="230"/>
      <c r="WHE1" s="230"/>
      <c r="WHF1" s="230"/>
      <c r="WHG1" s="230"/>
      <c r="WHH1" s="230"/>
      <c r="WHI1" s="230"/>
      <c r="WHJ1" s="230"/>
      <c r="WHK1" s="230"/>
      <c r="WHL1" s="230"/>
      <c r="WHM1" s="230"/>
      <c r="WHN1" s="230"/>
      <c r="WHO1" s="230"/>
      <c r="WHP1" s="230"/>
      <c r="WHQ1" s="230"/>
      <c r="WHR1" s="230"/>
      <c r="WHS1" s="230"/>
      <c r="WHT1" s="230"/>
      <c r="WHU1" s="230"/>
      <c r="WHV1" s="230"/>
      <c r="WHW1" s="230"/>
      <c r="WHX1" s="230"/>
      <c r="WHY1" s="230"/>
      <c r="WHZ1" s="230"/>
      <c r="WIA1" s="230"/>
      <c r="WIB1" s="230"/>
      <c r="WIC1" s="230"/>
      <c r="WID1" s="230"/>
      <c r="WIE1" s="230"/>
      <c r="WIF1" s="230"/>
      <c r="WIG1" s="230"/>
      <c r="WIH1" s="230"/>
      <c r="WII1" s="230"/>
      <c r="WIJ1" s="230"/>
      <c r="WIK1" s="230"/>
      <c r="WIL1" s="230"/>
      <c r="WIM1" s="230"/>
      <c r="WIN1" s="230"/>
      <c r="WIO1" s="230"/>
      <c r="WIP1" s="230"/>
      <c r="WIQ1" s="230"/>
      <c r="WIR1" s="230"/>
      <c r="WIS1" s="230"/>
      <c r="WIT1" s="230"/>
      <c r="WIU1" s="230"/>
      <c r="WIV1" s="230"/>
      <c r="WIW1" s="230"/>
      <c r="WIX1" s="230"/>
      <c r="WIY1" s="230"/>
      <c r="WIZ1" s="230"/>
      <c r="WJA1" s="230"/>
      <c r="WJB1" s="230"/>
      <c r="WJC1" s="230"/>
      <c r="WJD1" s="230"/>
      <c r="WJE1" s="230"/>
      <c r="WJF1" s="230"/>
      <c r="WJG1" s="230"/>
      <c r="WJH1" s="230"/>
      <c r="WJI1" s="230"/>
      <c r="WJJ1" s="230"/>
      <c r="WJK1" s="230"/>
      <c r="WJL1" s="230"/>
      <c r="WJM1" s="230"/>
      <c r="WJN1" s="230"/>
      <c r="WJO1" s="230"/>
      <c r="WJP1" s="230"/>
      <c r="WJQ1" s="230"/>
      <c r="WJR1" s="230"/>
      <c r="WJS1" s="230"/>
      <c r="WJT1" s="230"/>
      <c r="WJU1" s="230"/>
      <c r="WJV1" s="230"/>
      <c r="WJW1" s="230"/>
      <c r="WJX1" s="230"/>
      <c r="WJY1" s="230"/>
      <c r="WJZ1" s="230"/>
      <c r="WKA1" s="230"/>
      <c r="WKB1" s="230"/>
      <c r="WKC1" s="230"/>
      <c r="WKD1" s="230"/>
      <c r="WKE1" s="230"/>
      <c r="WKF1" s="230"/>
      <c r="WKG1" s="230"/>
      <c r="WKH1" s="230"/>
      <c r="WKI1" s="230"/>
      <c r="WKJ1" s="230"/>
      <c r="WKK1" s="230"/>
      <c r="WKL1" s="230"/>
      <c r="WKM1" s="230"/>
      <c r="WKN1" s="230"/>
      <c r="WKO1" s="230"/>
      <c r="WKP1" s="230"/>
      <c r="WKQ1" s="230"/>
      <c r="WKR1" s="230"/>
      <c r="WKS1" s="230"/>
      <c r="WKT1" s="230"/>
      <c r="WKU1" s="230"/>
      <c r="WKV1" s="230"/>
      <c r="WKW1" s="230"/>
      <c r="WKX1" s="230"/>
      <c r="WKY1" s="230"/>
      <c r="WKZ1" s="230"/>
      <c r="WLA1" s="230"/>
      <c r="WLB1" s="230"/>
      <c r="WLC1" s="230"/>
      <c r="WLD1" s="230"/>
      <c r="WLE1" s="230"/>
      <c r="WLF1" s="230"/>
      <c r="WLG1" s="230"/>
      <c r="WLH1" s="230"/>
      <c r="WLI1" s="230"/>
      <c r="WLJ1" s="230"/>
      <c r="WLK1" s="230"/>
      <c r="WLL1" s="230"/>
      <c r="WLM1" s="230"/>
      <c r="WLN1" s="230"/>
      <c r="WLO1" s="230"/>
      <c r="WLP1" s="230"/>
      <c r="WLQ1" s="230"/>
      <c r="WLR1" s="230"/>
      <c r="WLS1" s="230"/>
      <c r="WLT1" s="230"/>
      <c r="WLU1" s="230"/>
      <c r="WLV1" s="230"/>
      <c r="WLW1" s="230"/>
      <c r="WLX1" s="230"/>
      <c r="WLY1" s="230"/>
      <c r="WLZ1" s="230"/>
      <c r="WMA1" s="230"/>
      <c r="WMB1" s="230"/>
      <c r="WMC1" s="230"/>
      <c r="WMD1" s="230"/>
      <c r="WME1" s="230"/>
      <c r="WMF1" s="230"/>
      <c r="WMG1" s="230"/>
      <c r="WMH1" s="230"/>
      <c r="WMI1" s="230"/>
      <c r="WMJ1" s="230"/>
      <c r="WMK1" s="230"/>
      <c r="WML1" s="230"/>
      <c r="WMM1" s="230"/>
      <c r="WMN1" s="230"/>
      <c r="WMO1" s="230"/>
      <c r="WMP1" s="230"/>
      <c r="WMQ1" s="230"/>
      <c r="WMR1" s="230"/>
      <c r="WMS1" s="230"/>
      <c r="WMT1" s="230"/>
      <c r="WMU1" s="230"/>
      <c r="WMV1" s="230"/>
      <c r="WMW1" s="230"/>
      <c r="WMX1" s="230"/>
      <c r="WMY1" s="230"/>
      <c r="WMZ1" s="230"/>
      <c r="WNA1" s="230"/>
      <c r="WNB1" s="230"/>
      <c r="WNC1" s="230"/>
      <c r="WND1" s="230"/>
      <c r="WNE1" s="230"/>
      <c r="WNF1" s="230"/>
      <c r="WNG1" s="230"/>
      <c r="WNH1" s="230"/>
      <c r="WNI1" s="230"/>
      <c r="WNJ1" s="230"/>
      <c r="WNK1" s="230"/>
      <c r="WNL1" s="230"/>
      <c r="WNM1" s="230"/>
      <c r="WNN1" s="230"/>
      <c r="WNO1" s="230"/>
      <c r="WNP1" s="230"/>
      <c r="WNQ1" s="230"/>
      <c r="WNR1" s="230"/>
      <c r="WNS1" s="230"/>
      <c r="WNT1" s="230"/>
      <c r="WNU1" s="230"/>
      <c r="WNV1" s="230"/>
      <c r="WNW1" s="230"/>
      <c r="WNX1" s="230"/>
      <c r="WNY1" s="230"/>
      <c r="WNZ1" s="230"/>
      <c r="WOA1" s="230"/>
      <c r="WOB1" s="230"/>
      <c r="WOC1" s="230"/>
      <c r="WOD1" s="230"/>
      <c r="WOE1" s="230"/>
      <c r="WOF1" s="230"/>
      <c r="WOG1" s="230"/>
      <c r="WOH1" s="230"/>
      <c r="WOI1" s="230"/>
      <c r="WOJ1" s="230"/>
      <c r="WOK1" s="230"/>
      <c r="WOL1" s="230"/>
      <c r="WOM1" s="230"/>
      <c r="WON1" s="230"/>
      <c r="WOO1" s="230"/>
      <c r="WOP1" s="230"/>
      <c r="WOQ1" s="230"/>
      <c r="WOR1" s="230"/>
      <c r="WOS1" s="230"/>
      <c r="WOT1" s="230"/>
      <c r="WOU1" s="230"/>
      <c r="WOV1" s="230"/>
      <c r="WOW1" s="230"/>
      <c r="WOX1" s="230"/>
      <c r="WOY1" s="230"/>
      <c r="WOZ1" s="230"/>
      <c r="WPA1" s="230"/>
      <c r="WPB1" s="230"/>
      <c r="WPC1" s="230"/>
      <c r="WPD1" s="230"/>
      <c r="WPE1" s="230"/>
      <c r="WPF1" s="230"/>
      <c r="WPG1" s="230"/>
      <c r="WPH1" s="230"/>
      <c r="WPI1" s="230"/>
      <c r="WPJ1" s="230"/>
      <c r="WPK1" s="230"/>
      <c r="WPL1" s="230"/>
      <c r="WPM1" s="230"/>
      <c r="WPN1" s="230"/>
      <c r="WPO1" s="230"/>
      <c r="WPP1" s="230"/>
      <c r="WPQ1" s="230"/>
      <c r="WPR1" s="230"/>
      <c r="WPS1" s="230"/>
      <c r="WPT1" s="230"/>
      <c r="WPU1" s="230"/>
      <c r="WPV1" s="230"/>
      <c r="WPW1" s="230"/>
      <c r="WPX1" s="230"/>
      <c r="WPY1" s="230"/>
      <c r="WPZ1" s="230"/>
      <c r="WQA1" s="230"/>
      <c r="WQB1" s="230"/>
      <c r="WQC1" s="230"/>
      <c r="WQD1" s="230"/>
      <c r="WQE1" s="230"/>
      <c r="WQF1" s="230"/>
      <c r="WQG1" s="230"/>
      <c r="WQH1" s="230"/>
      <c r="WQI1" s="230"/>
      <c r="WQJ1" s="230"/>
      <c r="WQK1" s="230"/>
      <c r="WQL1" s="230"/>
      <c r="WQM1" s="230"/>
      <c r="WQN1" s="230"/>
      <c r="WQO1" s="230"/>
      <c r="WQP1" s="230"/>
      <c r="WQQ1" s="230"/>
      <c r="WQR1" s="230"/>
      <c r="WQS1" s="230"/>
      <c r="WQT1" s="230"/>
      <c r="WQU1" s="230"/>
      <c r="WQV1" s="230"/>
      <c r="WQW1" s="230"/>
      <c r="WQX1" s="230"/>
      <c r="WQY1" s="230"/>
      <c r="WQZ1" s="230"/>
      <c r="WRA1" s="230"/>
      <c r="WRB1" s="230"/>
      <c r="WRC1" s="230"/>
      <c r="WRD1" s="230"/>
      <c r="WRE1" s="230"/>
      <c r="WRF1" s="230"/>
      <c r="WRG1" s="230"/>
      <c r="WRH1" s="230"/>
      <c r="WRI1" s="230"/>
      <c r="WRJ1" s="230"/>
      <c r="WRK1" s="230"/>
      <c r="WRL1" s="230"/>
      <c r="WRM1" s="230"/>
      <c r="WRN1" s="230"/>
      <c r="WRO1" s="230"/>
      <c r="WRP1" s="230"/>
      <c r="WRQ1" s="230"/>
      <c r="WRR1" s="230"/>
      <c r="WRS1" s="230"/>
      <c r="WRT1" s="230"/>
      <c r="WRU1" s="230"/>
      <c r="WRV1" s="230"/>
      <c r="WRW1" s="230"/>
      <c r="WRX1" s="230"/>
      <c r="WRY1" s="230"/>
      <c r="WRZ1" s="230"/>
      <c r="WSA1" s="230"/>
      <c r="WSB1" s="230"/>
      <c r="WSC1" s="230"/>
      <c r="WSD1" s="230"/>
      <c r="WSE1" s="230"/>
      <c r="WSF1" s="230"/>
      <c r="WSG1" s="230"/>
      <c r="WSH1" s="230"/>
      <c r="WSI1" s="230"/>
      <c r="WSJ1" s="230"/>
      <c r="WSK1" s="230"/>
      <c r="WSL1" s="230"/>
      <c r="WSM1" s="230"/>
      <c r="WSN1" s="230"/>
      <c r="WSO1" s="230"/>
      <c r="WSP1" s="230"/>
      <c r="WSQ1" s="230"/>
      <c r="WSR1" s="230"/>
      <c r="WSS1" s="230"/>
      <c r="WST1" s="230"/>
      <c r="WSU1" s="230"/>
      <c r="WSV1" s="230"/>
      <c r="WSW1" s="230"/>
      <c r="WSX1" s="230"/>
      <c r="WSY1" s="230"/>
      <c r="WSZ1" s="230"/>
      <c r="WTA1" s="230"/>
      <c r="WTB1" s="230"/>
      <c r="WTC1" s="230"/>
      <c r="WTD1" s="230"/>
      <c r="WTE1" s="230"/>
      <c r="WTF1" s="230"/>
      <c r="WTG1" s="230"/>
      <c r="WTH1" s="230"/>
      <c r="WTI1" s="230"/>
      <c r="WTJ1" s="230"/>
      <c r="WTK1" s="230"/>
      <c r="WTL1" s="230"/>
      <c r="WTM1" s="230"/>
      <c r="WTN1" s="230"/>
      <c r="WTO1" s="230"/>
      <c r="WTP1" s="230"/>
      <c r="WTQ1" s="230"/>
      <c r="WTR1" s="230"/>
      <c r="WTS1" s="230"/>
      <c r="WTT1" s="230"/>
      <c r="WTU1" s="230"/>
      <c r="WTV1" s="230"/>
      <c r="WTW1" s="230"/>
      <c r="WTX1" s="230"/>
      <c r="WTY1" s="230"/>
      <c r="WTZ1" s="230"/>
      <c r="WUA1" s="230"/>
      <c r="WUB1" s="230"/>
      <c r="WUC1" s="230"/>
      <c r="WUD1" s="230"/>
      <c r="WUE1" s="230"/>
      <c r="WUF1" s="230"/>
      <c r="WUG1" s="230"/>
      <c r="WUH1" s="230"/>
      <c r="WUI1" s="230"/>
      <c r="WUJ1" s="230"/>
      <c r="WUK1" s="230"/>
      <c r="WUL1" s="230"/>
      <c r="WUM1" s="230"/>
      <c r="WUN1" s="230"/>
      <c r="WUO1" s="230"/>
      <c r="WUP1" s="230"/>
      <c r="WUQ1" s="230"/>
      <c r="WUR1" s="230"/>
      <c r="WUS1" s="230"/>
      <c r="WUT1" s="230"/>
      <c r="WUU1" s="230"/>
      <c r="WUV1" s="230"/>
      <c r="WUW1" s="230"/>
      <c r="WUX1" s="230"/>
      <c r="WUY1" s="230"/>
      <c r="WUZ1" s="230"/>
      <c r="WVA1" s="230"/>
      <c r="WVB1" s="230"/>
      <c r="WVC1" s="230"/>
      <c r="WVD1" s="230"/>
      <c r="WVE1" s="230"/>
      <c r="WVF1" s="230"/>
      <c r="WVG1" s="230"/>
      <c r="WVH1" s="230"/>
      <c r="WVI1" s="230"/>
      <c r="WVJ1" s="230"/>
      <c r="WVK1" s="230"/>
      <c r="WVL1" s="230"/>
      <c r="WVM1" s="230"/>
      <c r="WVN1" s="230"/>
      <c r="WVO1" s="230"/>
      <c r="WVP1" s="230"/>
      <c r="WVQ1" s="230"/>
      <c r="WVR1" s="230"/>
      <c r="WVS1" s="230"/>
      <c r="WVT1" s="230"/>
      <c r="WVU1" s="230"/>
      <c r="WVV1" s="230"/>
      <c r="WVW1" s="230"/>
      <c r="WVX1" s="230"/>
      <c r="WVY1" s="230"/>
      <c r="WVZ1" s="230"/>
      <c r="WWA1" s="230"/>
      <c r="WWB1" s="230"/>
      <c r="WWC1" s="230"/>
      <c r="WWD1" s="230"/>
      <c r="WWE1" s="230"/>
      <c r="WWF1" s="230"/>
      <c r="WWG1" s="230"/>
      <c r="WWH1" s="230"/>
      <c r="WWI1" s="230"/>
      <c r="WWJ1" s="230"/>
      <c r="WWK1" s="230"/>
      <c r="WWL1" s="230"/>
      <c r="WWM1" s="230"/>
      <c r="WWN1" s="230"/>
      <c r="WWO1" s="230"/>
      <c r="WWP1" s="230"/>
      <c r="WWQ1" s="230"/>
      <c r="WWR1" s="230"/>
      <c r="WWS1" s="230"/>
      <c r="WWT1" s="230"/>
      <c r="WWU1" s="230"/>
      <c r="WWV1" s="230"/>
      <c r="WWW1" s="230"/>
      <c r="WWX1" s="230"/>
      <c r="WWY1" s="230"/>
      <c r="WWZ1" s="230"/>
      <c r="WXA1" s="230"/>
      <c r="WXB1" s="230"/>
      <c r="WXC1" s="230"/>
      <c r="WXD1" s="230"/>
      <c r="WXE1" s="230"/>
      <c r="WXF1" s="230"/>
      <c r="WXG1" s="230"/>
      <c r="WXH1" s="230"/>
      <c r="WXI1" s="230"/>
      <c r="WXJ1" s="230"/>
      <c r="WXK1" s="230"/>
      <c r="WXL1" s="230"/>
      <c r="WXM1" s="230"/>
      <c r="WXN1" s="230"/>
      <c r="WXO1" s="230"/>
      <c r="WXP1" s="230"/>
      <c r="WXQ1" s="230"/>
      <c r="WXR1" s="230"/>
      <c r="WXS1" s="230"/>
      <c r="WXT1" s="230"/>
      <c r="WXU1" s="230"/>
      <c r="WXV1" s="230"/>
      <c r="WXW1" s="230"/>
      <c r="WXX1" s="230"/>
      <c r="WXY1" s="230"/>
      <c r="WXZ1" s="230"/>
      <c r="WYA1" s="230"/>
      <c r="WYB1" s="230"/>
      <c r="WYC1" s="230"/>
      <c r="WYD1" s="230"/>
      <c r="WYE1" s="230"/>
      <c r="WYF1" s="230"/>
      <c r="WYG1" s="230"/>
      <c r="WYH1" s="230"/>
      <c r="WYI1" s="230"/>
      <c r="WYJ1" s="230"/>
      <c r="WYK1" s="230"/>
      <c r="WYL1" s="230"/>
      <c r="WYM1" s="230"/>
      <c r="WYN1" s="230"/>
      <c r="WYO1" s="230"/>
      <c r="WYP1" s="230"/>
      <c r="WYQ1" s="230"/>
      <c r="WYR1" s="230"/>
      <c r="WYS1" s="230"/>
      <c r="WYT1" s="230"/>
      <c r="WYU1" s="230"/>
      <c r="WYV1" s="230"/>
      <c r="WYW1" s="230"/>
      <c r="WYX1" s="230"/>
      <c r="WYY1" s="230"/>
      <c r="WYZ1" s="230"/>
      <c r="WZA1" s="230"/>
      <c r="WZB1" s="230"/>
      <c r="WZC1" s="230"/>
      <c r="WZD1" s="230"/>
      <c r="WZE1" s="230"/>
      <c r="WZF1" s="230"/>
      <c r="WZG1" s="230"/>
      <c r="WZH1" s="230"/>
      <c r="WZI1" s="230"/>
      <c r="WZJ1" s="230"/>
      <c r="WZK1" s="230"/>
      <c r="WZL1" s="230"/>
      <c r="WZM1" s="230"/>
      <c r="WZN1" s="230"/>
      <c r="WZO1" s="230"/>
      <c r="WZP1" s="230"/>
      <c r="WZQ1" s="230"/>
      <c r="WZR1" s="230"/>
      <c r="WZS1" s="230"/>
      <c r="WZT1" s="230"/>
      <c r="WZU1" s="230"/>
      <c r="WZV1" s="230"/>
      <c r="WZW1" s="230"/>
      <c r="WZX1" s="230"/>
      <c r="WZY1" s="230"/>
      <c r="WZZ1" s="230"/>
      <c r="XAA1" s="230"/>
      <c r="XAB1" s="230"/>
      <c r="XAC1" s="230"/>
      <c r="XAD1" s="230"/>
      <c r="XAE1" s="230"/>
      <c r="XAF1" s="230"/>
      <c r="XAG1" s="230"/>
      <c r="XAH1" s="230"/>
      <c r="XAI1" s="230"/>
      <c r="XAJ1" s="230"/>
      <c r="XAK1" s="230"/>
      <c r="XAL1" s="230"/>
      <c r="XAM1" s="230"/>
      <c r="XAN1" s="230"/>
      <c r="XAO1" s="230"/>
      <c r="XAP1" s="230"/>
      <c r="XAQ1" s="230"/>
      <c r="XAR1" s="230"/>
      <c r="XAS1" s="230"/>
      <c r="XAT1" s="230"/>
      <c r="XAU1" s="230"/>
      <c r="XAV1" s="230"/>
      <c r="XAW1" s="230"/>
      <c r="XAX1" s="230"/>
      <c r="XAY1" s="230"/>
      <c r="XAZ1" s="230"/>
      <c r="XBA1" s="230"/>
      <c r="XBB1" s="230"/>
      <c r="XBC1" s="230"/>
      <c r="XBD1" s="230"/>
      <c r="XBE1" s="230"/>
      <c r="XBF1" s="230"/>
      <c r="XBG1" s="230"/>
      <c r="XBH1" s="230"/>
      <c r="XBI1" s="230"/>
      <c r="XBJ1" s="230"/>
      <c r="XBK1" s="230"/>
      <c r="XBL1" s="230"/>
      <c r="XBM1" s="230"/>
      <c r="XBN1" s="230"/>
      <c r="XBO1" s="230"/>
      <c r="XBP1" s="230"/>
      <c r="XBQ1" s="230"/>
      <c r="XBR1" s="230"/>
      <c r="XBS1" s="230"/>
      <c r="XBT1" s="230"/>
      <c r="XBU1" s="230"/>
      <c r="XBV1" s="230"/>
      <c r="XBW1" s="230"/>
      <c r="XBX1" s="230"/>
      <c r="XBY1" s="230"/>
      <c r="XBZ1" s="230"/>
      <c r="XCA1" s="230"/>
      <c r="XCB1" s="230"/>
      <c r="XCC1" s="230"/>
      <c r="XCD1" s="230"/>
      <c r="XCE1" s="230"/>
      <c r="XCF1" s="230"/>
      <c r="XCG1" s="230"/>
      <c r="XCH1" s="230"/>
      <c r="XCI1" s="230"/>
      <c r="XCJ1" s="230"/>
      <c r="XCK1" s="230"/>
      <c r="XCL1" s="230"/>
      <c r="XCM1" s="230"/>
      <c r="XCN1" s="230"/>
      <c r="XCO1" s="230"/>
      <c r="XCP1" s="230"/>
      <c r="XCQ1" s="230"/>
      <c r="XCR1" s="230"/>
      <c r="XCS1" s="230"/>
      <c r="XCT1" s="230"/>
      <c r="XCU1" s="230"/>
      <c r="XCV1" s="230"/>
      <c r="XCW1" s="230"/>
      <c r="XCX1" s="230"/>
      <c r="XCY1" s="230"/>
      <c r="XCZ1" s="230"/>
      <c r="XDA1" s="230"/>
      <c r="XDB1" s="230"/>
      <c r="XDC1" s="230"/>
      <c r="XDD1" s="230"/>
      <c r="XDE1" s="230"/>
      <c r="XDF1" s="230"/>
      <c r="XDG1" s="230"/>
      <c r="XDH1" s="230"/>
      <c r="XDI1" s="230"/>
      <c r="XDJ1" s="230"/>
      <c r="XDK1" s="230"/>
      <c r="XDL1" s="230"/>
      <c r="XDM1" s="230"/>
      <c r="XDN1" s="230"/>
      <c r="XDO1" s="230"/>
      <c r="XDP1" s="230"/>
      <c r="XDQ1" s="230"/>
      <c r="XDR1" s="230"/>
      <c r="XDS1" s="230"/>
      <c r="XDT1" s="230"/>
      <c r="XDU1" s="230"/>
      <c r="XDV1" s="230"/>
      <c r="XDW1" s="230"/>
      <c r="XDX1" s="230"/>
      <c r="XDY1" s="230"/>
      <c r="XDZ1" s="230"/>
      <c r="XEA1" s="230"/>
      <c r="XEB1" s="230"/>
      <c r="XEC1" s="230"/>
      <c r="XED1" s="230"/>
      <c r="XEE1" s="230"/>
      <c r="XEF1" s="230"/>
      <c r="XEG1" s="230"/>
      <c r="XEH1" s="230"/>
      <c r="XEI1" s="230"/>
      <c r="XEJ1" s="230"/>
      <c r="XEK1" s="230"/>
      <c r="XEL1" s="230"/>
      <c r="XEM1" s="230"/>
      <c r="XEN1" s="230"/>
      <c r="XEO1" s="230"/>
      <c r="XEP1" s="230"/>
      <c r="XEQ1" s="230"/>
      <c r="XER1" s="230"/>
      <c r="XES1" s="230"/>
      <c r="XET1" s="230"/>
      <c r="XEU1" s="230"/>
      <c r="XEV1" s="230"/>
      <c r="XEW1" s="230"/>
      <c r="XEX1" s="230"/>
      <c r="XEY1" s="230"/>
      <c r="XEZ1" s="230"/>
    </row>
    <row r="2" spans="1:16380" s="231" customFormat="1" ht="138" customHeight="1">
      <c r="A2" s="232" t="s">
        <v>2346</v>
      </c>
      <c r="B2" s="232" t="s">
        <v>6</v>
      </c>
      <c r="C2" s="233" t="s">
        <v>2347</v>
      </c>
      <c r="D2" s="234" t="s">
        <v>2035</v>
      </c>
      <c r="E2" s="234" t="s">
        <v>2034</v>
      </c>
      <c r="F2" s="234" t="s">
        <v>2037</v>
      </c>
      <c r="G2" s="234" t="s">
        <v>2379</v>
      </c>
      <c r="H2" s="233" t="s">
        <v>2348</v>
      </c>
      <c r="I2" s="232" t="s">
        <v>2349</v>
      </c>
    </row>
    <row r="3" spans="1:16380" ht="58.8">
      <c r="A3" s="235" t="s">
        <v>8</v>
      </c>
      <c r="B3" s="236"/>
      <c r="C3" s="237"/>
      <c r="D3" s="238"/>
      <c r="E3" s="238"/>
      <c r="F3" s="238"/>
      <c r="G3" s="238"/>
      <c r="H3" s="237"/>
      <c r="I3" s="236"/>
    </row>
    <row r="4" spans="1:16380" ht="409.6">
      <c r="A4" s="239">
        <v>2210910</v>
      </c>
      <c r="B4" s="236" t="s">
        <v>1531</v>
      </c>
      <c r="C4" s="237">
        <v>171000000</v>
      </c>
      <c r="D4" s="238"/>
      <c r="E4" s="238">
        <v>114089440</v>
      </c>
      <c r="F4" s="238"/>
      <c r="G4" s="238">
        <f>SUM(D4:F4)</f>
        <v>114089440</v>
      </c>
      <c r="H4" s="237">
        <v>285089440</v>
      </c>
      <c r="I4" s="236" t="s">
        <v>2410</v>
      </c>
    </row>
    <row r="5" spans="1:16380" ht="176.4">
      <c r="A5" s="239">
        <v>3111401</v>
      </c>
      <c r="B5" s="236" t="s">
        <v>2350</v>
      </c>
      <c r="C5" s="237">
        <v>22500000</v>
      </c>
      <c r="D5" s="238"/>
      <c r="E5" s="238" t="s">
        <v>1213</v>
      </c>
      <c r="F5" s="238"/>
      <c r="G5" s="238">
        <f t="shared" ref="G5:G68" si="0">SUM(D5:F5)</f>
        <v>0</v>
      </c>
      <c r="H5" s="237">
        <v>22500000</v>
      </c>
      <c r="I5" s="236" t="s">
        <v>2351</v>
      </c>
    </row>
    <row r="6" spans="1:16380" ht="117.6">
      <c r="A6" s="239">
        <v>3110504</v>
      </c>
      <c r="B6" s="236" t="s">
        <v>81</v>
      </c>
      <c r="C6" s="237">
        <v>540000000</v>
      </c>
      <c r="D6" s="238"/>
      <c r="E6" s="238" t="s">
        <v>1213</v>
      </c>
      <c r="F6" s="238"/>
      <c r="G6" s="238">
        <f t="shared" si="0"/>
        <v>0</v>
      </c>
      <c r="H6" s="237">
        <v>540000000</v>
      </c>
      <c r="I6" s="236" t="s">
        <v>2351</v>
      </c>
    </row>
    <row r="7" spans="1:16380" ht="117.6">
      <c r="A7" s="239">
        <v>3110504</v>
      </c>
      <c r="B7" s="236" t="s">
        <v>82</v>
      </c>
      <c r="C7" s="237">
        <v>187500000</v>
      </c>
      <c r="D7" s="238"/>
      <c r="E7" s="238" t="s">
        <v>1213</v>
      </c>
      <c r="F7" s="238"/>
      <c r="G7" s="238">
        <f t="shared" si="0"/>
        <v>0</v>
      </c>
      <c r="H7" s="237">
        <v>187500000</v>
      </c>
      <c r="I7" s="236" t="s">
        <v>2351</v>
      </c>
    </row>
    <row r="8" spans="1:16380" ht="117.6">
      <c r="A8" s="239">
        <v>2211016</v>
      </c>
      <c r="B8" s="236" t="s">
        <v>104</v>
      </c>
      <c r="C8" s="237">
        <v>12000</v>
      </c>
      <c r="D8" s="238"/>
      <c r="E8" s="238"/>
      <c r="F8" s="238">
        <v>2000000</v>
      </c>
      <c r="G8" s="238">
        <f t="shared" si="0"/>
        <v>2000000</v>
      </c>
      <c r="H8" s="237">
        <v>2012000</v>
      </c>
      <c r="I8" s="236" t="s">
        <v>2119</v>
      </c>
    </row>
    <row r="9" spans="1:16380" ht="58.8">
      <c r="A9" s="235" t="s">
        <v>1577</v>
      </c>
      <c r="B9" s="236"/>
      <c r="C9" s="237"/>
      <c r="D9" s="238"/>
      <c r="E9" s="238"/>
      <c r="F9" s="238"/>
      <c r="G9" s="238">
        <f t="shared" si="0"/>
        <v>0</v>
      </c>
      <c r="H9" s="237" t="s">
        <v>1213</v>
      </c>
      <c r="I9" s="236"/>
    </row>
    <row r="10" spans="1:16380" ht="117.6">
      <c r="A10" s="239">
        <v>2211399</v>
      </c>
      <c r="B10" s="236" t="s">
        <v>1816</v>
      </c>
      <c r="C10" s="237">
        <v>10000000</v>
      </c>
      <c r="D10" s="238"/>
      <c r="E10" s="238"/>
      <c r="F10" s="238">
        <v>-3000000</v>
      </c>
      <c r="G10" s="238">
        <f t="shared" si="0"/>
        <v>-3000000</v>
      </c>
      <c r="H10" s="237">
        <v>7000000</v>
      </c>
      <c r="I10" s="236" t="s">
        <v>2352</v>
      </c>
    </row>
    <row r="11" spans="1:16380" ht="352.8">
      <c r="A11" s="240">
        <v>2211399</v>
      </c>
      <c r="B11" s="241" t="s">
        <v>122</v>
      </c>
      <c r="C11" s="237">
        <v>122000</v>
      </c>
      <c r="D11" s="238"/>
      <c r="E11" s="238"/>
      <c r="F11" s="238">
        <v>5500000</v>
      </c>
      <c r="G11" s="238">
        <f t="shared" si="0"/>
        <v>5500000</v>
      </c>
      <c r="H11" s="237">
        <v>5622000</v>
      </c>
      <c r="I11" s="241" t="s">
        <v>2164</v>
      </c>
    </row>
    <row r="12" spans="1:16380" ht="117.6">
      <c r="A12" s="239">
        <v>2220101</v>
      </c>
      <c r="B12" s="236" t="s">
        <v>63</v>
      </c>
      <c r="C12" s="237">
        <v>272000</v>
      </c>
      <c r="D12" s="238"/>
      <c r="E12" s="238"/>
      <c r="F12" s="238">
        <v>500000</v>
      </c>
      <c r="G12" s="238">
        <f t="shared" si="0"/>
        <v>500000</v>
      </c>
      <c r="H12" s="237">
        <v>772000</v>
      </c>
      <c r="I12" s="236" t="s">
        <v>2121</v>
      </c>
    </row>
    <row r="13" spans="1:16380" ht="294">
      <c r="A13" s="240">
        <v>2211308</v>
      </c>
      <c r="B13" s="241" t="s">
        <v>2353</v>
      </c>
      <c r="C13" s="237">
        <v>30000000</v>
      </c>
      <c r="D13" s="238"/>
      <c r="E13" s="238">
        <v>100000000</v>
      </c>
      <c r="F13" s="238" t="s">
        <v>1213</v>
      </c>
      <c r="G13" s="238">
        <f t="shared" si="0"/>
        <v>100000000</v>
      </c>
      <c r="H13" s="237">
        <v>130000000</v>
      </c>
      <c r="I13" s="241" t="s">
        <v>2354</v>
      </c>
    </row>
    <row r="14" spans="1:16380" ht="176.4">
      <c r="A14" s="240">
        <v>2211310</v>
      </c>
      <c r="B14" s="241" t="s">
        <v>669</v>
      </c>
      <c r="C14" s="237">
        <v>142000</v>
      </c>
      <c r="D14" s="238"/>
      <c r="E14" s="238">
        <v>25000000</v>
      </c>
      <c r="F14" s="238"/>
      <c r="G14" s="238">
        <f t="shared" si="0"/>
        <v>25000000</v>
      </c>
      <c r="H14" s="237">
        <v>25142000</v>
      </c>
      <c r="I14" s="241" t="s">
        <v>2355</v>
      </c>
    </row>
    <row r="15" spans="1:16380" ht="58.8">
      <c r="A15" s="235" t="s">
        <v>143</v>
      </c>
      <c r="B15" s="236"/>
      <c r="C15" s="237"/>
      <c r="D15" s="238"/>
      <c r="E15" s="238"/>
      <c r="F15" s="238"/>
      <c r="G15" s="238">
        <f t="shared" si="0"/>
        <v>0</v>
      </c>
      <c r="H15" s="237" t="s">
        <v>1213</v>
      </c>
      <c r="I15" s="236"/>
    </row>
    <row r="16" spans="1:16380" ht="58.8">
      <c r="A16" s="239" t="s">
        <v>2356</v>
      </c>
      <c r="B16" s="236"/>
      <c r="C16" s="237"/>
      <c r="D16" s="238"/>
      <c r="E16" s="238"/>
      <c r="F16" s="238"/>
      <c r="G16" s="238">
        <f t="shared" si="0"/>
        <v>0</v>
      </c>
      <c r="H16" s="237" t="s">
        <v>1213</v>
      </c>
      <c r="I16" s="236"/>
    </row>
    <row r="17" spans="1:9" ht="58.8">
      <c r="A17" s="240">
        <v>2210102</v>
      </c>
      <c r="B17" s="241" t="s">
        <v>18</v>
      </c>
      <c r="C17" s="237">
        <v>49500</v>
      </c>
      <c r="D17" s="238"/>
      <c r="E17" s="238"/>
      <c r="F17" s="238">
        <v>13742</v>
      </c>
      <c r="G17" s="238">
        <f t="shared" si="0"/>
        <v>13742</v>
      </c>
      <c r="H17" s="237">
        <v>63242</v>
      </c>
      <c r="I17" s="241" t="s">
        <v>2122</v>
      </c>
    </row>
    <row r="18" spans="1:9" ht="235.2">
      <c r="A18" s="240">
        <v>2210711</v>
      </c>
      <c r="B18" s="241" t="s">
        <v>156</v>
      </c>
      <c r="C18" s="237">
        <v>110000</v>
      </c>
      <c r="D18" s="238"/>
      <c r="E18" s="238"/>
      <c r="F18" s="238">
        <v>232800</v>
      </c>
      <c r="G18" s="238">
        <f t="shared" si="0"/>
        <v>232800</v>
      </c>
      <c r="H18" s="237">
        <v>342800</v>
      </c>
      <c r="I18" s="241" t="s">
        <v>2123</v>
      </c>
    </row>
    <row r="19" spans="1:9" ht="176.4">
      <c r="A19" s="240">
        <v>2210801</v>
      </c>
      <c r="B19" s="241" t="s">
        <v>1867</v>
      </c>
      <c r="C19" s="237">
        <v>480000</v>
      </c>
      <c r="D19" s="238"/>
      <c r="E19" s="238"/>
      <c r="F19" s="238">
        <v>16240</v>
      </c>
      <c r="G19" s="238">
        <f t="shared" si="0"/>
        <v>16240</v>
      </c>
      <c r="H19" s="237">
        <v>496240</v>
      </c>
      <c r="I19" s="241" t="s">
        <v>2124</v>
      </c>
    </row>
    <row r="20" spans="1:9" ht="176.4">
      <c r="A20" s="240">
        <v>2211016</v>
      </c>
      <c r="B20" s="241" t="s">
        <v>159</v>
      </c>
      <c r="C20" s="237">
        <v>1220000</v>
      </c>
      <c r="D20" s="238"/>
      <c r="E20" s="238"/>
      <c r="F20" s="238">
        <v>769375</v>
      </c>
      <c r="G20" s="238">
        <f t="shared" si="0"/>
        <v>769375</v>
      </c>
      <c r="H20" s="237">
        <v>1989375</v>
      </c>
      <c r="I20" s="241" t="s">
        <v>2125</v>
      </c>
    </row>
    <row r="21" spans="1:9" ht="235.2">
      <c r="A21" s="240">
        <v>2211201</v>
      </c>
      <c r="B21" s="241" t="s">
        <v>161</v>
      </c>
      <c r="C21" s="237">
        <v>3000000</v>
      </c>
      <c r="D21" s="238"/>
      <c r="E21" s="238"/>
      <c r="F21" s="238">
        <v>899999</v>
      </c>
      <c r="G21" s="238">
        <f t="shared" si="0"/>
        <v>899999</v>
      </c>
      <c r="H21" s="237">
        <v>3899999</v>
      </c>
      <c r="I21" s="241" t="s">
        <v>2126</v>
      </c>
    </row>
    <row r="22" spans="1:9" ht="117.6">
      <c r="A22" s="240">
        <v>2220101</v>
      </c>
      <c r="B22" s="241" t="s">
        <v>63</v>
      </c>
      <c r="C22" s="237">
        <v>309555</v>
      </c>
      <c r="D22" s="238"/>
      <c r="E22" s="238"/>
      <c r="F22" s="238">
        <v>657710</v>
      </c>
      <c r="G22" s="238">
        <f t="shared" si="0"/>
        <v>657710</v>
      </c>
      <c r="H22" s="237">
        <v>967265</v>
      </c>
      <c r="I22" s="241" t="s">
        <v>2127</v>
      </c>
    </row>
    <row r="23" spans="1:9" ht="235.2">
      <c r="A23" s="240">
        <v>3111001</v>
      </c>
      <c r="B23" s="241" t="s">
        <v>1584</v>
      </c>
      <c r="C23" s="237">
        <v>6527222</v>
      </c>
      <c r="D23" s="238"/>
      <c r="E23" s="238"/>
      <c r="F23" s="238">
        <v>7649536</v>
      </c>
      <c r="G23" s="238">
        <f t="shared" si="0"/>
        <v>7649536</v>
      </c>
      <c r="H23" s="237">
        <v>14176758</v>
      </c>
      <c r="I23" s="241" t="s">
        <v>2128</v>
      </c>
    </row>
    <row r="24" spans="1:9" ht="176.4">
      <c r="A24" s="240">
        <v>3110202</v>
      </c>
      <c r="B24" s="241" t="s">
        <v>1849</v>
      </c>
      <c r="C24" s="237">
        <v>15000000</v>
      </c>
      <c r="D24" s="238"/>
      <c r="E24" s="238"/>
      <c r="F24" s="238">
        <v>-10000000</v>
      </c>
      <c r="G24" s="238">
        <f t="shared" si="0"/>
        <v>-10000000</v>
      </c>
      <c r="H24" s="237">
        <v>5000000</v>
      </c>
      <c r="I24" s="241" t="s">
        <v>2120</v>
      </c>
    </row>
    <row r="25" spans="1:9" ht="176.4">
      <c r="A25" s="240">
        <v>3110299</v>
      </c>
      <c r="B25" s="241" t="s">
        <v>2357</v>
      </c>
      <c r="C25" s="237">
        <v>48500000</v>
      </c>
      <c r="D25" s="238"/>
      <c r="E25" s="238"/>
      <c r="F25" s="238">
        <v>-22190444</v>
      </c>
      <c r="G25" s="238">
        <f t="shared" si="0"/>
        <v>-22190444</v>
      </c>
      <c r="H25" s="237">
        <v>26309556</v>
      </c>
      <c r="I25" s="241" t="s">
        <v>2120</v>
      </c>
    </row>
    <row r="26" spans="1:9" ht="176.4">
      <c r="A26" s="239">
        <v>3110299</v>
      </c>
      <c r="B26" s="236" t="s">
        <v>1587</v>
      </c>
      <c r="C26" s="237">
        <v>15480628</v>
      </c>
      <c r="D26" s="238">
        <v>54111004</v>
      </c>
      <c r="E26" s="238"/>
      <c r="F26" s="238">
        <v>21951042</v>
      </c>
      <c r="G26" s="238">
        <f t="shared" si="0"/>
        <v>76062046</v>
      </c>
      <c r="H26" s="237">
        <v>91542675</v>
      </c>
      <c r="I26" s="241" t="s">
        <v>2129</v>
      </c>
    </row>
    <row r="27" spans="1:9" ht="58.8">
      <c r="A27" s="235" t="s">
        <v>894</v>
      </c>
      <c r="B27" s="236"/>
      <c r="C27" s="237"/>
      <c r="D27" s="238"/>
      <c r="E27" s="238"/>
      <c r="F27" s="238"/>
      <c r="G27" s="238">
        <f t="shared" si="0"/>
        <v>0</v>
      </c>
      <c r="H27" s="237"/>
      <c r="I27" s="236"/>
    </row>
    <row r="28" spans="1:9" ht="58.8">
      <c r="A28" s="235" t="s">
        <v>180</v>
      </c>
      <c r="B28" s="236"/>
      <c r="C28" s="237"/>
      <c r="D28" s="238"/>
      <c r="E28" s="238"/>
      <c r="F28" s="238"/>
      <c r="G28" s="238">
        <f t="shared" si="0"/>
        <v>0</v>
      </c>
      <c r="H28" s="237" t="s">
        <v>1213</v>
      </c>
      <c r="I28" s="236"/>
    </row>
    <row r="29" spans="1:9" ht="117.6">
      <c r="A29" s="239">
        <v>2210301</v>
      </c>
      <c r="B29" s="236" t="s">
        <v>25</v>
      </c>
      <c r="C29" s="237">
        <v>366523</v>
      </c>
      <c r="D29" s="238"/>
      <c r="E29" s="238"/>
      <c r="F29" s="238">
        <v>700000</v>
      </c>
      <c r="G29" s="238">
        <f t="shared" si="0"/>
        <v>700000</v>
      </c>
      <c r="H29" s="237">
        <v>1066523</v>
      </c>
      <c r="I29" s="236" t="s">
        <v>2165</v>
      </c>
    </row>
    <row r="30" spans="1:9" ht="117.6">
      <c r="A30" s="239">
        <v>2210302</v>
      </c>
      <c r="B30" s="236" t="s">
        <v>26</v>
      </c>
      <c r="C30" s="237">
        <v>2355228</v>
      </c>
      <c r="D30" s="238"/>
      <c r="E30" s="238"/>
      <c r="F30" s="238">
        <v>200000</v>
      </c>
      <c r="G30" s="238">
        <f t="shared" si="0"/>
        <v>200000</v>
      </c>
      <c r="H30" s="237">
        <v>2555228</v>
      </c>
      <c r="I30" s="236" t="s">
        <v>2166</v>
      </c>
    </row>
    <row r="31" spans="1:9" ht="117.6">
      <c r="A31" s="239">
        <v>2210303</v>
      </c>
      <c r="B31" s="236" t="s">
        <v>27</v>
      </c>
      <c r="C31" s="237">
        <v>2334093</v>
      </c>
      <c r="D31" s="238"/>
      <c r="E31" s="238"/>
      <c r="F31" s="238">
        <v>400000</v>
      </c>
      <c r="G31" s="238">
        <f t="shared" si="0"/>
        <v>400000</v>
      </c>
      <c r="H31" s="237">
        <v>2734093</v>
      </c>
      <c r="I31" s="236" t="s">
        <v>2167</v>
      </c>
    </row>
    <row r="32" spans="1:9" ht="176.4">
      <c r="A32" s="239">
        <v>2211101</v>
      </c>
      <c r="B32" s="236" t="s">
        <v>2206</v>
      </c>
      <c r="C32" s="237">
        <v>350000</v>
      </c>
      <c r="D32" s="238">
        <v>661670</v>
      </c>
      <c r="E32" s="238"/>
      <c r="F32" s="238">
        <v>-64329</v>
      </c>
      <c r="G32" s="238">
        <f t="shared" si="0"/>
        <v>597341</v>
      </c>
      <c r="H32" s="237">
        <v>947341</v>
      </c>
      <c r="I32" s="236" t="s">
        <v>2168</v>
      </c>
    </row>
    <row r="33" spans="1:9" ht="58.8">
      <c r="A33" s="239" t="s">
        <v>204</v>
      </c>
      <c r="B33" s="236"/>
      <c r="C33" s="237"/>
      <c r="D33" s="238"/>
      <c r="E33" s="238"/>
      <c r="F33" s="238"/>
      <c r="G33" s="238">
        <f t="shared" si="0"/>
        <v>0</v>
      </c>
      <c r="H33" s="237" t="s">
        <v>1213</v>
      </c>
      <c r="I33" s="236"/>
    </row>
    <row r="34" spans="1:9" ht="58.8">
      <c r="A34" s="239">
        <v>2210505</v>
      </c>
      <c r="B34" s="236" t="s">
        <v>192</v>
      </c>
      <c r="C34" s="237">
        <v>700000</v>
      </c>
      <c r="D34" s="238"/>
      <c r="E34" s="238"/>
      <c r="F34" s="238">
        <v>-200000</v>
      </c>
      <c r="G34" s="238">
        <f t="shared" si="0"/>
        <v>-200000</v>
      </c>
      <c r="H34" s="237">
        <v>500000</v>
      </c>
      <c r="I34" s="236" t="s">
        <v>2169</v>
      </c>
    </row>
    <row r="35" spans="1:9" ht="176.4">
      <c r="A35" s="239">
        <v>2210799</v>
      </c>
      <c r="B35" s="236" t="s">
        <v>2066</v>
      </c>
      <c r="C35" s="237" t="s">
        <v>1213</v>
      </c>
      <c r="D35" s="238"/>
      <c r="E35" s="238"/>
      <c r="F35" s="238">
        <v>450000</v>
      </c>
      <c r="G35" s="238">
        <f t="shared" si="0"/>
        <v>450000</v>
      </c>
      <c r="H35" s="237">
        <v>450000</v>
      </c>
      <c r="I35" s="236" t="s">
        <v>2170</v>
      </c>
    </row>
    <row r="36" spans="1:9" ht="117.6">
      <c r="A36" s="239">
        <v>2211203</v>
      </c>
      <c r="B36" s="236" t="s">
        <v>248</v>
      </c>
      <c r="C36" s="237">
        <v>616667</v>
      </c>
      <c r="D36" s="238"/>
      <c r="E36" s="238"/>
      <c r="F36" s="238">
        <v>-450000</v>
      </c>
      <c r="G36" s="238">
        <f t="shared" si="0"/>
        <v>-450000</v>
      </c>
      <c r="H36" s="237">
        <v>166667</v>
      </c>
      <c r="I36" s="236" t="s">
        <v>2171</v>
      </c>
    </row>
    <row r="37" spans="1:9" ht="176.4">
      <c r="A37" s="239">
        <v>2220101</v>
      </c>
      <c r="B37" s="236" t="s">
        <v>200</v>
      </c>
      <c r="C37" s="237">
        <v>460065</v>
      </c>
      <c r="D37" s="238">
        <v>899940</v>
      </c>
      <c r="E37" s="238"/>
      <c r="F37" s="238">
        <v>-64329</v>
      </c>
      <c r="G37" s="238">
        <f t="shared" si="0"/>
        <v>835611</v>
      </c>
      <c r="H37" s="237">
        <v>1295676</v>
      </c>
      <c r="I37" s="236" t="s">
        <v>2329</v>
      </c>
    </row>
    <row r="38" spans="1:9" ht="117.6">
      <c r="A38" s="239">
        <v>2220205</v>
      </c>
      <c r="B38" s="236" t="s">
        <v>125</v>
      </c>
      <c r="C38" s="237">
        <v>315000</v>
      </c>
      <c r="D38" s="238"/>
      <c r="E38" s="238"/>
      <c r="F38" s="238">
        <v>-200000</v>
      </c>
      <c r="G38" s="238">
        <f t="shared" si="0"/>
        <v>-200000</v>
      </c>
      <c r="H38" s="237">
        <v>115000</v>
      </c>
      <c r="I38" s="236" t="s">
        <v>2330</v>
      </c>
    </row>
    <row r="39" spans="1:9" ht="235.2">
      <c r="A39" s="239">
        <v>3110504</v>
      </c>
      <c r="B39" s="236" t="s">
        <v>1517</v>
      </c>
      <c r="C39" s="237">
        <v>2527261</v>
      </c>
      <c r="D39" s="238"/>
      <c r="E39" s="238"/>
      <c r="F39" s="238">
        <v>-500000</v>
      </c>
      <c r="G39" s="238">
        <f t="shared" si="0"/>
        <v>-500000</v>
      </c>
      <c r="H39" s="237">
        <v>2027261</v>
      </c>
      <c r="I39" s="236" t="s">
        <v>2335</v>
      </c>
    </row>
    <row r="40" spans="1:9" ht="58.8">
      <c r="A40" s="239" t="s">
        <v>220</v>
      </c>
      <c r="B40" s="236"/>
      <c r="C40" s="237"/>
      <c r="D40" s="238"/>
      <c r="E40" s="238"/>
      <c r="F40" s="238"/>
      <c r="G40" s="238">
        <f t="shared" si="0"/>
        <v>0</v>
      </c>
      <c r="H40" s="237" t="s">
        <v>1213</v>
      </c>
      <c r="I40" s="236"/>
    </row>
    <row r="41" spans="1:9" ht="294">
      <c r="A41" s="239">
        <v>2210504</v>
      </c>
      <c r="B41" s="236" t="s">
        <v>224</v>
      </c>
      <c r="C41" s="237">
        <v>574200</v>
      </c>
      <c r="D41" s="238"/>
      <c r="E41" s="238"/>
      <c r="F41" s="238">
        <v>-200000</v>
      </c>
      <c r="G41" s="238">
        <f t="shared" si="0"/>
        <v>-200000</v>
      </c>
      <c r="H41" s="237">
        <v>374200</v>
      </c>
      <c r="I41" s="236" t="s">
        <v>2331</v>
      </c>
    </row>
    <row r="42" spans="1:9" ht="117.6">
      <c r="A42" s="239">
        <v>2210802</v>
      </c>
      <c r="B42" s="236" t="s">
        <v>97</v>
      </c>
      <c r="C42" s="237">
        <v>300000</v>
      </c>
      <c r="D42" s="238"/>
      <c r="E42" s="238"/>
      <c r="F42" s="238">
        <v>-100000</v>
      </c>
      <c r="G42" s="238">
        <f t="shared" si="0"/>
        <v>-100000</v>
      </c>
      <c r="H42" s="237">
        <v>200000</v>
      </c>
      <c r="I42" s="236" t="s">
        <v>2332</v>
      </c>
    </row>
    <row r="43" spans="1:9" ht="117.6">
      <c r="A43" s="239">
        <v>2210805</v>
      </c>
      <c r="B43" s="236" t="s">
        <v>229</v>
      </c>
      <c r="C43" s="237">
        <v>280000</v>
      </c>
      <c r="D43" s="238"/>
      <c r="E43" s="238"/>
      <c r="F43" s="238">
        <v>-100000</v>
      </c>
      <c r="G43" s="238">
        <f t="shared" si="0"/>
        <v>-100000</v>
      </c>
      <c r="H43" s="237">
        <v>180000</v>
      </c>
      <c r="I43" s="236" t="s">
        <v>2332</v>
      </c>
    </row>
    <row r="44" spans="1:9" ht="117.6">
      <c r="A44" s="239">
        <v>2220101</v>
      </c>
      <c r="B44" s="236" t="s">
        <v>200</v>
      </c>
      <c r="C44" s="237">
        <v>750000</v>
      </c>
      <c r="D44" s="238"/>
      <c r="E44" s="238"/>
      <c r="F44" s="238">
        <v>-270000</v>
      </c>
      <c r="G44" s="238">
        <f t="shared" si="0"/>
        <v>-270000</v>
      </c>
      <c r="H44" s="237">
        <v>480000</v>
      </c>
      <c r="I44" s="236" t="s">
        <v>2333</v>
      </c>
    </row>
    <row r="45" spans="1:9" ht="58.8">
      <c r="A45" s="239">
        <v>2210505</v>
      </c>
      <c r="B45" s="236" t="s">
        <v>192</v>
      </c>
      <c r="C45" s="237">
        <v>1000000</v>
      </c>
      <c r="D45" s="238"/>
      <c r="E45" s="238"/>
      <c r="F45" s="238">
        <v>-241700</v>
      </c>
      <c r="G45" s="238">
        <f t="shared" si="0"/>
        <v>-241700</v>
      </c>
      <c r="H45" s="237">
        <v>758300</v>
      </c>
      <c r="I45" s="236" t="s">
        <v>2334</v>
      </c>
    </row>
    <row r="46" spans="1:9" ht="352.8">
      <c r="A46" s="239">
        <v>3110504</v>
      </c>
      <c r="B46" s="236" t="s">
        <v>2358</v>
      </c>
      <c r="C46" s="237">
        <v>5542546</v>
      </c>
      <c r="D46" s="238"/>
      <c r="E46" s="238"/>
      <c r="F46" s="238">
        <v>-500000</v>
      </c>
      <c r="G46" s="238">
        <f t="shared" si="0"/>
        <v>-500000</v>
      </c>
      <c r="H46" s="237">
        <v>5042546</v>
      </c>
      <c r="I46" s="236" t="s">
        <v>2335</v>
      </c>
    </row>
    <row r="47" spans="1:9" ht="176.4">
      <c r="A47" s="239">
        <v>3110504</v>
      </c>
      <c r="B47" s="236" t="s">
        <v>2359</v>
      </c>
      <c r="C47" s="237">
        <v>10000000</v>
      </c>
      <c r="D47" s="238"/>
      <c r="E47" s="238"/>
      <c r="F47" s="238">
        <v>-500000</v>
      </c>
      <c r="G47" s="238">
        <f t="shared" si="0"/>
        <v>-500000</v>
      </c>
      <c r="H47" s="237">
        <v>9500000</v>
      </c>
      <c r="I47" s="236" t="s">
        <v>2335</v>
      </c>
    </row>
    <row r="48" spans="1:9" ht="235.2">
      <c r="A48" s="239">
        <v>3110504</v>
      </c>
      <c r="B48" s="236" t="s">
        <v>2360</v>
      </c>
      <c r="C48" s="237" t="s">
        <v>1213</v>
      </c>
      <c r="D48" s="238"/>
      <c r="E48" s="238"/>
      <c r="F48" s="238">
        <v>2000000</v>
      </c>
      <c r="G48" s="238">
        <f t="shared" si="0"/>
        <v>2000000</v>
      </c>
      <c r="H48" s="237">
        <v>2000000</v>
      </c>
      <c r="I48" s="236" t="s">
        <v>2361</v>
      </c>
    </row>
    <row r="49" spans="1:9" ht="235.2">
      <c r="A49" s="239">
        <v>2210802</v>
      </c>
      <c r="B49" s="236" t="s">
        <v>2362</v>
      </c>
      <c r="C49" s="237">
        <v>300000</v>
      </c>
      <c r="D49" s="238"/>
      <c r="E49" s="238"/>
      <c r="F49" s="238">
        <v>-50000</v>
      </c>
      <c r="G49" s="238">
        <f t="shared" si="0"/>
        <v>-50000</v>
      </c>
      <c r="H49" s="237">
        <v>250000</v>
      </c>
      <c r="I49" s="236" t="s">
        <v>2336</v>
      </c>
    </row>
    <row r="50" spans="1:9" ht="117.6">
      <c r="A50" s="240">
        <v>2210807</v>
      </c>
      <c r="B50" s="241" t="s">
        <v>1521</v>
      </c>
      <c r="C50" s="237">
        <v>30000000</v>
      </c>
      <c r="D50" s="238"/>
      <c r="E50" s="238">
        <v>-3500000</v>
      </c>
      <c r="F50" s="238"/>
      <c r="G50" s="238">
        <f t="shared" si="0"/>
        <v>-3500000</v>
      </c>
      <c r="H50" s="237">
        <v>26500000</v>
      </c>
      <c r="I50" s="236" t="s">
        <v>2337</v>
      </c>
    </row>
    <row r="51" spans="1:9" ht="117.6">
      <c r="A51" s="239">
        <v>2211016</v>
      </c>
      <c r="B51" s="236" t="s">
        <v>196</v>
      </c>
      <c r="C51" s="237"/>
      <c r="D51" s="238"/>
      <c r="E51" s="238"/>
      <c r="F51" s="238">
        <v>201000</v>
      </c>
      <c r="G51" s="238">
        <f t="shared" si="0"/>
        <v>201000</v>
      </c>
      <c r="H51" s="237">
        <v>201000</v>
      </c>
      <c r="I51" s="236" t="s">
        <v>2338</v>
      </c>
    </row>
    <row r="52" spans="1:9" ht="176.4">
      <c r="A52" s="239">
        <v>2211101</v>
      </c>
      <c r="B52" s="236" t="s">
        <v>52</v>
      </c>
      <c r="C52" s="237">
        <v>115000</v>
      </c>
      <c r="D52" s="238"/>
      <c r="E52" s="238"/>
      <c r="F52" s="238">
        <v>70000</v>
      </c>
      <c r="G52" s="238">
        <f t="shared" si="0"/>
        <v>70000</v>
      </c>
      <c r="H52" s="237">
        <v>185000</v>
      </c>
      <c r="I52" s="236" t="s">
        <v>2339</v>
      </c>
    </row>
    <row r="53" spans="1:9" ht="117.6">
      <c r="A53" s="239">
        <v>2211102</v>
      </c>
      <c r="B53" s="236" t="s">
        <v>53</v>
      </c>
      <c r="C53" s="237">
        <v>75000</v>
      </c>
      <c r="D53" s="238"/>
      <c r="E53" s="238"/>
      <c r="F53" s="238">
        <v>35000</v>
      </c>
      <c r="G53" s="238">
        <f t="shared" si="0"/>
        <v>35000</v>
      </c>
      <c r="H53" s="237">
        <v>110000</v>
      </c>
      <c r="I53" s="236" t="s">
        <v>2340</v>
      </c>
    </row>
    <row r="54" spans="1:9" ht="176.4">
      <c r="A54" s="2257">
        <v>3110599</v>
      </c>
      <c r="B54" s="241" t="s">
        <v>2363</v>
      </c>
      <c r="C54" s="2256">
        <v>12000000</v>
      </c>
      <c r="D54" s="2258"/>
      <c r="E54" s="2258">
        <v>-8500000</v>
      </c>
      <c r="F54" s="2258">
        <v>-155250</v>
      </c>
      <c r="G54" s="238">
        <f t="shared" si="0"/>
        <v>-8655250</v>
      </c>
      <c r="H54" s="2256">
        <v>3344750</v>
      </c>
      <c r="I54" s="241" t="s">
        <v>2397</v>
      </c>
    </row>
    <row r="55" spans="1:9" ht="176.4">
      <c r="A55" s="2257"/>
      <c r="B55" s="241" t="s">
        <v>2364</v>
      </c>
      <c r="C55" s="2256"/>
      <c r="D55" s="2258"/>
      <c r="E55" s="2258"/>
      <c r="F55" s="2258"/>
      <c r="G55" s="238">
        <f t="shared" si="0"/>
        <v>0</v>
      </c>
      <c r="H55" s="2256"/>
      <c r="I55" s="241" t="s">
        <v>2396</v>
      </c>
    </row>
    <row r="56" spans="1:9" ht="58.8">
      <c r="A56" s="235" t="s">
        <v>1251</v>
      </c>
      <c r="B56" s="236"/>
      <c r="C56" s="237"/>
      <c r="D56" s="238"/>
      <c r="E56" s="238"/>
      <c r="F56" s="238"/>
      <c r="G56" s="238"/>
      <c r="H56" s="237"/>
      <c r="I56" s="241"/>
    </row>
    <row r="57" spans="1:9" ht="176.4">
      <c r="A57" s="239"/>
      <c r="B57" s="241" t="s">
        <v>1319</v>
      </c>
      <c r="C57" s="237">
        <v>5000000</v>
      </c>
      <c r="D57" s="238"/>
      <c r="E57" s="238">
        <v>-5000000</v>
      </c>
      <c r="F57" s="238"/>
      <c r="G57" s="238">
        <f t="shared" si="0"/>
        <v>-5000000</v>
      </c>
      <c r="H57" s="237" t="s">
        <v>1213</v>
      </c>
      <c r="I57" s="241" t="s">
        <v>2396</v>
      </c>
    </row>
    <row r="58" spans="1:9" ht="176.4">
      <c r="A58" s="240">
        <v>3110504</v>
      </c>
      <c r="B58" s="241" t="s">
        <v>1852</v>
      </c>
      <c r="C58" s="237">
        <v>120000000</v>
      </c>
      <c r="D58" s="238"/>
      <c r="E58" s="238">
        <v>-20000000</v>
      </c>
      <c r="F58" s="238"/>
      <c r="G58" s="238">
        <f t="shared" si="0"/>
        <v>-20000000</v>
      </c>
      <c r="H58" s="237">
        <v>100000000</v>
      </c>
      <c r="I58" s="241" t="s">
        <v>2398</v>
      </c>
    </row>
    <row r="59" spans="1:9" ht="117.6">
      <c r="A59" s="240">
        <v>3110505</v>
      </c>
      <c r="B59" s="241" t="s">
        <v>1322</v>
      </c>
      <c r="C59" s="237">
        <v>50151840</v>
      </c>
      <c r="D59" s="238"/>
      <c r="E59" s="238">
        <v>0</v>
      </c>
      <c r="F59" s="238"/>
      <c r="G59" s="238">
        <f t="shared" si="0"/>
        <v>0</v>
      </c>
      <c r="H59" s="237">
        <v>50151840</v>
      </c>
      <c r="I59" s="241"/>
    </row>
    <row r="60" spans="1:9" ht="58.8">
      <c r="A60" s="235" t="s">
        <v>1252</v>
      </c>
      <c r="B60" s="236"/>
      <c r="C60" s="237"/>
      <c r="D60" s="238"/>
      <c r="E60" s="238"/>
      <c r="F60" s="238"/>
      <c r="G60" s="238">
        <f t="shared" si="0"/>
        <v>0</v>
      </c>
      <c r="H60" s="237"/>
      <c r="I60" s="241"/>
    </row>
    <row r="61" spans="1:9" ht="176.4">
      <c r="A61" s="240">
        <v>2640101</v>
      </c>
      <c r="B61" s="241" t="s">
        <v>1818</v>
      </c>
      <c r="C61" s="237">
        <v>86400000</v>
      </c>
      <c r="D61" s="238"/>
      <c r="E61" s="238">
        <v>-14400000</v>
      </c>
      <c r="F61" s="238"/>
      <c r="G61" s="238">
        <f t="shared" si="0"/>
        <v>-14400000</v>
      </c>
      <c r="H61" s="237">
        <v>72000000</v>
      </c>
      <c r="I61" s="241" t="s">
        <v>2399</v>
      </c>
    </row>
    <row r="62" spans="1:9" ht="176.4">
      <c r="A62" s="240">
        <v>2640101</v>
      </c>
      <c r="B62" s="241" t="s">
        <v>1817</v>
      </c>
      <c r="C62" s="237">
        <v>3600000</v>
      </c>
      <c r="D62" s="238"/>
      <c r="E62" s="238">
        <v>-600000</v>
      </c>
      <c r="F62" s="238"/>
      <c r="G62" s="238">
        <f t="shared" si="0"/>
        <v>-600000</v>
      </c>
      <c r="H62" s="237">
        <v>3000000</v>
      </c>
      <c r="I62" s="241" t="s">
        <v>2400</v>
      </c>
    </row>
    <row r="63" spans="1:9" ht="176.4">
      <c r="A63" s="240">
        <v>2640101</v>
      </c>
      <c r="B63" s="241" t="s">
        <v>2365</v>
      </c>
      <c r="C63" s="237">
        <v>30000000</v>
      </c>
      <c r="D63" s="238"/>
      <c r="E63" s="238">
        <v>-5000000</v>
      </c>
      <c r="F63" s="238"/>
      <c r="G63" s="238">
        <f t="shared" si="0"/>
        <v>-5000000</v>
      </c>
      <c r="H63" s="237">
        <v>25000000</v>
      </c>
      <c r="I63" s="241" t="s">
        <v>2401</v>
      </c>
    </row>
    <row r="64" spans="1:9" ht="176.4">
      <c r="A64" s="240">
        <v>3110504</v>
      </c>
      <c r="B64" s="241" t="s">
        <v>346</v>
      </c>
      <c r="C64" s="237">
        <v>19601207</v>
      </c>
      <c r="D64" s="238"/>
      <c r="E64" s="238">
        <v>-2749861</v>
      </c>
      <c r="F64" s="238"/>
      <c r="G64" s="238">
        <f t="shared" si="0"/>
        <v>-2749861</v>
      </c>
      <c r="H64" s="237">
        <v>16851346</v>
      </c>
      <c r="I64" s="241" t="s">
        <v>2402</v>
      </c>
    </row>
    <row r="65" spans="1:9" ht="176.4">
      <c r="A65" s="240">
        <v>3110504</v>
      </c>
      <c r="B65" s="241" t="s">
        <v>2032</v>
      </c>
      <c r="C65" s="237">
        <v>10000000</v>
      </c>
      <c r="D65" s="238"/>
      <c r="E65" s="238">
        <v>-10000000</v>
      </c>
      <c r="F65" s="238"/>
      <c r="G65" s="238">
        <f t="shared" si="0"/>
        <v>-10000000</v>
      </c>
      <c r="H65" s="237" t="s">
        <v>1213</v>
      </c>
      <c r="I65" s="241" t="s">
        <v>2396</v>
      </c>
    </row>
    <row r="66" spans="1:9" ht="58.8">
      <c r="A66" s="235" t="s">
        <v>1253</v>
      </c>
      <c r="B66" s="236"/>
      <c r="C66" s="237"/>
      <c r="D66" s="238"/>
      <c r="E66" s="238"/>
      <c r="F66" s="238"/>
      <c r="G66" s="238">
        <f t="shared" si="0"/>
        <v>0</v>
      </c>
      <c r="H66" s="237"/>
      <c r="I66" s="236"/>
    </row>
    <row r="67" spans="1:9" ht="117.6">
      <c r="A67" s="240">
        <v>3110401</v>
      </c>
      <c r="B67" s="241" t="s">
        <v>1915</v>
      </c>
      <c r="C67" s="237">
        <v>445098850</v>
      </c>
      <c r="D67" s="238">
        <v>34332</v>
      </c>
      <c r="E67" s="238"/>
      <c r="F67" s="238"/>
      <c r="G67" s="238">
        <f t="shared" si="0"/>
        <v>34332</v>
      </c>
      <c r="H67" s="237">
        <v>445133182</v>
      </c>
      <c r="I67" s="241" t="s">
        <v>2366</v>
      </c>
    </row>
    <row r="68" spans="1:9" ht="235.2">
      <c r="A68" s="240">
        <v>3110499</v>
      </c>
      <c r="B68" s="241" t="s">
        <v>1499</v>
      </c>
      <c r="C68" s="237">
        <v>40000000</v>
      </c>
      <c r="D68" s="238"/>
      <c r="E68" s="238">
        <v>-10000000</v>
      </c>
      <c r="F68" s="238"/>
      <c r="G68" s="238">
        <f t="shared" si="0"/>
        <v>-10000000</v>
      </c>
      <c r="H68" s="237">
        <v>30000000</v>
      </c>
      <c r="I68" s="241" t="s">
        <v>2396</v>
      </c>
    </row>
    <row r="69" spans="1:9" ht="294">
      <c r="A69" s="240">
        <v>3110599</v>
      </c>
      <c r="B69" s="241" t="s">
        <v>1754</v>
      </c>
      <c r="C69" s="237">
        <v>6750000</v>
      </c>
      <c r="D69" s="238"/>
      <c r="E69" s="238">
        <v>-3375000</v>
      </c>
      <c r="F69" s="238"/>
      <c r="G69" s="238">
        <f t="shared" ref="G69:G116" si="1">SUM(D69:F69)</f>
        <v>-3375000</v>
      </c>
      <c r="H69" s="237">
        <v>3375000</v>
      </c>
      <c r="I69" s="241" t="s">
        <v>2403</v>
      </c>
    </row>
    <row r="70" spans="1:9" ht="235.2">
      <c r="A70" s="240">
        <v>3111401</v>
      </c>
      <c r="B70" s="241" t="s">
        <v>1506</v>
      </c>
      <c r="C70" s="237">
        <v>15700000</v>
      </c>
      <c r="D70" s="238"/>
      <c r="E70" s="238"/>
      <c r="F70" s="238">
        <v>-4454997</v>
      </c>
      <c r="G70" s="238">
        <f t="shared" si="1"/>
        <v>-4454997</v>
      </c>
      <c r="H70" s="237">
        <v>11245003</v>
      </c>
      <c r="I70" s="241" t="s">
        <v>2404</v>
      </c>
    </row>
    <row r="71" spans="1:9" ht="58.8">
      <c r="A71" s="235" t="s">
        <v>392</v>
      </c>
      <c r="B71" s="236"/>
      <c r="C71" s="237"/>
      <c r="D71" s="238"/>
      <c r="E71" s="238"/>
      <c r="F71" s="238"/>
      <c r="G71" s="238"/>
      <c r="H71" s="237"/>
      <c r="I71" s="236"/>
    </row>
    <row r="72" spans="1:9" ht="409.6">
      <c r="A72" s="240">
        <v>2110101</v>
      </c>
      <c r="B72" s="241" t="s">
        <v>2106</v>
      </c>
      <c r="C72" s="237">
        <v>891170557</v>
      </c>
      <c r="D72" s="238"/>
      <c r="E72" s="238">
        <v>48369350</v>
      </c>
      <c r="F72" s="238"/>
      <c r="G72" s="238">
        <f t="shared" si="1"/>
        <v>48369350</v>
      </c>
      <c r="H72" s="237">
        <v>939539907</v>
      </c>
      <c r="I72" s="241" t="s">
        <v>2405</v>
      </c>
    </row>
    <row r="73" spans="1:9" ht="235.2">
      <c r="A73" s="240">
        <v>2110202</v>
      </c>
      <c r="B73" s="241" t="s">
        <v>2367</v>
      </c>
      <c r="C73" s="237">
        <v>12656000</v>
      </c>
      <c r="D73" s="238"/>
      <c r="E73" s="238">
        <v>20200000</v>
      </c>
      <c r="F73" s="238"/>
      <c r="G73" s="238">
        <f t="shared" si="1"/>
        <v>20200000</v>
      </c>
      <c r="H73" s="237">
        <v>32856000</v>
      </c>
      <c r="I73" s="241" t="s">
        <v>2406</v>
      </c>
    </row>
    <row r="74" spans="1:9" ht="235.2">
      <c r="A74" s="240">
        <v>3111401</v>
      </c>
      <c r="B74" s="241" t="s">
        <v>2084</v>
      </c>
      <c r="C74" s="237"/>
      <c r="D74" s="238"/>
      <c r="E74" s="238">
        <v>615096</v>
      </c>
      <c r="F74" s="238">
        <v>1080456</v>
      </c>
      <c r="G74" s="238">
        <f t="shared" si="1"/>
        <v>1695552</v>
      </c>
      <c r="H74" s="237">
        <v>1695552</v>
      </c>
      <c r="I74" s="241" t="s">
        <v>2112</v>
      </c>
    </row>
    <row r="75" spans="1:9" ht="409.6">
      <c r="A75" s="240">
        <v>3111112</v>
      </c>
      <c r="B75" s="241" t="s">
        <v>2085</v>
      </c>
      <c r="C75" s="237">
        <v>2157207</v>
      </c>
      <c r="D75" s="238"/>
      <c r="E75" s="238"/>
      <c r="F75" s="238">
        <v>12842793</v>
      </c>
      <c r="G75" s="238">
        <f t="shared" si="1"/>
        <v>12842793</v>
      </c>
      <c r="H75" s="237">
        <v>15000000</v>
      </c>
      <c r="I75" s="241" t="s">
        <v>2113</v>
      </c>
    </row>
    <row r="76" spans="1:9" ht="58.8">
      <c r="A76" s="240">
        <v>3110202</v>
      </c>
      <c r="B76" s="241" t="s">
        <v>1599</v>
      </c>
      <c r="C76" s="237">
        <v>5300000</v>
      </c>
      <c r="D76" s="238"/>
      <c r="E76" s="238" t="s">
        <v>1213</v>
      </c>
      <c r="F76" s="238">
        <v>-300000</v>
      </c>
      <c r="G76" s="238">
        <f t="shared" si="1"/>
        <v>-300000</v>
      </c>
      <c r="H76" s="237">
        <v>5000000</v>
      </c>
      <c r="I76" s="241" t="s">
        <v>2407</v>
      </c>
    </row>
    <row r="77" spans="1:9" ht="176.4">
      <c r="A77" s="240">
        <v>3110202</v>
      </c>
      <c r="B77" s="241" t="s">
        <v>2101</v>
      </c>
      <c r="C77" s="237">
        <v>16000000</v>
      </c>
      <c r="D77" s="238">
        <v>4568966</v>
      </c>
      <c r="E77" s="238">
        <v>10150000</v>
      </c>
      <c r="F77" s="238">
        <v>-6000000</v>
      </c>
      <c r="G77" s="238">
        <f t="shared" si="1"/>
        <v>8718966</v>
      </c>
      <c r="H77" s="237">
        <v>24718966</v>
      </c>
      <c r="I77" s="241" t="s">
        <v>2368</v>
      </c>
    </row>
    <row r="78" spans="1:9" ht="117.6">
      <c r="A78" s="240">
        <v>3110202</v>
      </c>
      <c r="B78" s="241" t="s">
        <v>2102</v>
      </c>
      <c r="C78" s="237">
        <v>9000000</v>
      </c>
      <c r="D78" s="238">
        <v>7768</v>
      </c>
      <c r="E78" s="238">
        <v>21850000</v>
      </c>
      <c r="F78" s="238">
        <v>-1000000</v>
      </c>
      <c r="G78" s="238">
        <f t="shared" si="1"/>
        <v>20857768</v>
      </c>
      <c r="H78" s="237">
        <v>29857768</v>
      </c>
      <c r="I78" s="241" t="s">
        <v>2369</v>
      </c>
    </row>
    <row r="79" spans="1:9" ht="409.6">
      <c r="A79" s="240">
        <v>3110202</v>
      </c>
      <c r="B79" s="241" t="s">
        <v>2391</v>
      </c>
      <c r="C79" s="237"/>
      <c r="D79" s="238"/>
      <c r="E79" s="238">
        <v>63022931</v>
      </c>
      <c r="F79" s="238"/>
      <c r="G79" s="238">
        <f t="shared" si="1"/>
        <v>63022931</v>
      </c>
      <c r="H79" s="237">
        <v>63022931</v>
      </c>
      <c r="I79" s="241" t="s">
        <v>2390</v>
      </c>
    </row>
    <row r="80" spans="1:9" ht="409.6">
      <c r="A80" s="240">
        <v>3110202</v>
      </c>
      <c r="B80" s="241" t="s">
        <v>2393</v>
      </c>
      <c r="C80" s="237"/>
      <c r="D80" s="238"/>
      <c r="E80" s="238">
        <v>30000000</v>
      </c>
      <c r="F80" s="238"/>
      <c r="G80" s="238">
        <f t="shared" si="1"/>
        <v>30000000</v>
      </c>
      <c r="H80" s="237">
        <v>30000000</v>
      </c>
      <c r="I80" s="241" t="s">
        <v>2392</v>
      </c>
    </row>
    <row r="81" spans="1:9" ht="409.6">
      <c r="A81" s="240">
        <v>3110202</v>
      </c>
      <c r="B81" s="241" t="s">
        <v>2104</v>
      </c>
      <c r="C81" s="237"/>
      <c r="D81" s="238">
        <v>9658691</v>
      </c>
      <c r="E81" s="238"/>
      <c r="F81" s="238">
        <v>21000000</v>
      </c>
      <c r="G81" s="238">
        <f t="shared" si="1"/>
        <v>30658691</v>
      </c>
      <c r="H81" s="237">
        <v>30658691</v>
      </c>
      <c r="I81" s="241" t="s">
        <v>2114</v>
      </c>
    </row>
    <row r="82" spans="1:9" ht="294">
      <c r="A82" s="240">
        <v>3110202</v>
      </c>
      <c r="B82" s="241" t="s">
        <v>2341</v>
      </c>
      <c r="C82" s="237"/>
      <c r="D82" s="238"/>
      <c r="E82" s="238"/>
      <c r="F82" s="238">
        <v>11500000</v>
      </c>
      <c r="G82" s="238">
        <f t="shared" si="1"/>
        <v>11500000</v>
      </c>
      <c r="H82" s="237">
        <v>11500000</v>
      </c>
      <c r="I82" s="241" t="s">
        <v>2394</v>
      </c>
    </row>
    <row r="83" spans="1:9" ht="117.6">
      <c r="A83" s="240">
        <v>3110202</v>
      </c>
      <c r="B83" s="241" t="s">
        <v>2370</v>
      </c>
      <c r="C83" s="237">
        <v>6200000</v>
      </c>
      <c r="D83" s="238"/>
      <c r="E83" s="238">
        <v>18000000</v>
      </c>
      <c r="F83" s="238"/>
      <c r="G83" s="238">
        <f t="shared" si="1"/>
        <v>18000000</v>
      </c>
      <c r="H83" s="237">
        <v>24200000</v>
      </c>
      <c r="I83" s="241" t="s">
        <v>2371</v>
      </c>
    </row>
    <row r="84" spans="1:9" ht="58.8">
      <c r="A84" s="240">
        <v>2211001</v>
      </c>
      <c r="B84" s="241" t="s">
        <v>471</v>
      </c>
      <c r="C84" s="237">
        <v>224606061</v>
      </c>
      <c r="D84" s="238"/>
      <c r="E84" s="238">
        <v>53300000</v>
      </c>
      <c r="F84" s="238"/>
      <c r="G84" s="238">
        <f t="shared" si="1"/>
        <v>53300000</v>
      </c>
      <c r="H84" s="237">
        <v>277906061</v>
      </c>
      <c r="I84" s="241" t="s">
        <v>2408</v>
      </c>
    </row>
    <row r="85" spans="1:9" ht="117.6">
      <c r="A85" s="240">
        <v>2211002</v>
      </c>
      <c r="B85" s="241" t="s">
        <v>472</v>
      </c>
      <c r="C85" s="237">
        <v>115393939</v>
      </c>
      <c r="D85" s="238"/>
      <c r="E85" s="238">
        <v>35000000</v>
      </c>
      <c r="F85" s="238"/>
      <c r="G85" s="238">
        <f t="shared" si="1"/>
        <v>35000000</v>
      </c>
      <c r="H85" s="237">
        <v>150393939</v>
      </c>
      <c r="I85" s="241" t="s">
        <v>2115</v>
      </c>
    </row>
    <row r="86" spans="1:9" ht="176.4">
      <c r="A86" s="240">
        <v>2211001</v>
      </c>
      <c r="B86" s="241" t="s">
        <v>2092</v>
      </c>
      <c r="C86" s="237"/>
      <c r="D86" s="238"/>
      <c r="E86" s="238">
        <v>10664566</v>
      </c>
      <c r="F86" s="238"/>
      <c r="G86" s="238">
        <f t="shared" si="1"/>
        <v>10664566</v>
      </c>
      <c r="H86" s="237">
        <v>10664566</v>
      </c>
      <c r="I86" s="241" t="s">
        <v>2116</v>
      </c>
    </row>
    <row r="87" spans="1:9" ht="58.8">
      <c r="A87" s="235" t="s">
        <v>1254</v>
      </c>
      <c r="B87" s="236"/>
      <c r="C87" s="237"/>
      <c r="D87" s="238"/>
      <c r="E87" s="238"/>
      <c r="F87" s="238"/>
      <c r="G87" s="238">
        <f t="shared" si="1"/>
        <v>0</v>
      </c>
      <c r="H87" s="237"/>
      <c r="I87" s="236"/>
    </row>
    <row r="88" spans="1:9" ht="117.6">
      <c r="A88" s="240">
        <v>3110202</v>
      </c>
      <c r="B88" s="241" t="s">
        <v>1423</v>
      </c>
      <c r="C88" s="237">
        <v>25000000</v>
      </c>
      <c r="D88" s="238"/>
      <c r="E88" s="238" t="s">
        <v>1213</v>
      </c>
      <c r="F88" s="238">
        <v>-7000000</v>
      </c>
      <c r="G88" s="238">
        <f t="shared" si="1"/>
        <v>-7000000</v>
      </c>
      <c r="H88" s="237">
        <v>18000000</v>
      </c>
      <c r="I88" s="241" t="s">
        <v>2140</v>
      </c>
    </row>
    <row r="89" spans="1:9" ht="176.4">
      <c r="A89" s="240">
        <v>3111401</v>
      </c>
      <c r="B89" s="241" t="s">
        <v>1248</v>
      </c>
      <c r="C89" s="237">
        <v>20000000</v>
      </c>
      <c r="D89" s="238"/>
      <c r="E89" s="238">
        <v>-4000000</v>
      </c>
      <c r="F89" s="238"/>
      <c r="G89" s="238">
        <f t="shared" si="1"/>
        <v>-4000000</v>
      </c>
      <c r="H89" s="237">
        <v>16000000</v>
      </c>
      <c r="I89" s="241" t="s">
        <v>2141</v>
      </c>
    </row>
    <row r="90" spans="1:9" ht="176.4">
      <c r="A90" s="2257">
        <v>3111499</v>
      </c>
      <c r="B90" s="241" t="s">
        <v>2275</v>
      </c>
      <c r="C90" s="2256">
        <v>20000000</v>
      </c>
      <c r="D90" s="2258"/>
      <c r="E90" s="2258">
        <v>-5000000</v>
      </c>
      <c r="F90" s="2258">
        <v>-3000000</v>
      </c>
      <c r="G90" s="238">
        <f t="shared" si="1"/>
        <v>-8000000</v>
      </c>
      <c r="H90" s="2256">
        <v>12000000</v>
      </c>
      <c r="I90" s="2255" t="s">
        <v>2142</v>
      </c>
    </row>
    <row r="91" spans="1:9" ht="58.8">
      <c r="A91" s="2257"/>
      <c r="B91" s="241" t="s">
        <v>1944</v>
      </c>
      <c r="C91" s="2256"/>
      <c r="D91" s="2258"/>
      <c r="E91" s="2258"/>
      <c r="F91" s="2258"/>
      <c r="G91" s="238">
        <f t="shared" si="1"/>
        <v>0</v>
      </c>
      <c r="H91" s="2256"/>
      <c r="I91" s="2255"/>
    </row>
    <row r="92" spans="1:9" ht="58.8">
      <c r="A92" s="235" t="s">
        <v>2372</v>
      </c>
      <c r="B92" s="236"/>
      <c r="C92" s="237"/>
      <c r="D92" s="238"/>
      <c r="E92" s="238"/>
      <c r="F92" s="238"/>
      <c r="G92" s="238">
        <f t="shared" si="1"/>
        <v>0</v>
      </c>
      <c r="H92" s="237"/>
      <c r="I92" s="236"/>
    </row>
    <row r="93" spans="1:9" ht="58.8">
      <c r="A93" s="235" t="s">
        <v>1256</v>
      </c>
      <c r="B93" s="236"/>
      <c r="C93" s="237"/>
      <c r="D93" s="238"/>
      <c r="E93" s="238"/>
      <c r="F93" s="238"/>
      <c r="G93" s="238">
        <f t="shared" si="1"/>
        <v>0</v>
      </c>
      <c r="H93" s="237"/>
      <c r="I93" s="236"/>
    </row>
    <row r="94" spans="1:9" ht="409.6">
      <c r="A94" s="240">
        <v>2210707</v>
      </c>
      <c r="B94" s="241" t="s">
        <v>2150</v>
      </c>
      <c r="C94" s="237"/>
      <c r="D94" s="238"/>
      <c r="E94" s="238"/>
      <c r="F94" s="238">
        <v>12000000</v>
      </c>
      <c r="G94" s="238">
        <f t="shared" si="1"/>
        <v>12000000</v>
      </c>
      <c r="H94" s="237">
        <v>12000000</v>
      </c>
      <c r="I94" s="241" t="s">
        <v>2395</v>
      </c>
    </row>
    <row r="95" spans="1:9" ht="352.8">
      <c r="A95" s="240">
        <v>3110504</v>
      </c>
      <c r="B95" s="241" t="s">
        <v>1482</v>
      </c>
      <c r="C95" s="237">
        <v>40000000</v>
      </c>
      <c r="D95" s="238">
        <v>12941041</v>
      </c>
      <c r="E95" s="238">
        <v>-20000000</v>
      </c>
      <c r="F95" s="238">
        <v>-15000000</v>
      </c>
      <c r="G95" s="238">
        <f t="shared" si="1"/>
        <v>-22058959</v>
      </c>
      <c r="H95" s="237"/>
      <c r="I95" s="241" t="s">
        <v>2409</v>
      </c>
    </row>
    <row r="96" spans="1:9" ht="58.8">
      <c r="A96" s="235" t="s">
        <v>1257</v>
      </c>
      <c r="B96" s="236"/>
      <c r="C96" s="237"/>
      <c r="D96" s="238"/>
      <c r="E96" s="238"/>
      <c r="F96" s="238"/>
      <c r="G96" s="238"/>
      <c r="H96" s="237"/>
      <c r="I96" s="236"/>
    </row>
    <row r="97" spans="1:9" ht="176.4">
      <c r="A97" s="239"/>
      <c r="B97" s="241" t="s">
        <v>1510</v>
      </c>
      <c r="C97" s="237">
        <v>37500000</v>
      </c>
      <c r="D97" s="238" t="s">
        <v>1213</v>
      </c>
      <c r="E97" s="238"/>
      <c r="F97" s="238">
        <v>-37500000</v>
      </c>
      <c r="G97" s="238">
        <f t="shared" si="1"/>
        <v>-37500000</v>
      </c>
      <c r="H97" s="237" t="s">
        <v>1213</v>
      </c>
      <c r="I97" s="236" t="s">
        <v>2144</v>
      </c>
    </row>
    <row r="98" spans="1:9" ht="176.4">
      <c r="A98" s="239"/>
      <c r="B98" s="241" t="s">
        <v>2029</v>
      </c>
      <c r="C98" s="237">
        <v>5625000</v>
      </c>
      <c r="D98" s="238"/>
      <c r="E98" s="238"/>
      <c r="F98" s="238">
        <v>-5625000</v>
      </c>
      <c r="G98" s="238">
        <f t="shared" si="1"/>
        <v>-5625000</v>
      </c>
      <c r="H98" s="237" t="s">
        <v>1213</v>
      </c>
      <c r="I98" s="236" t="s">
        <v>2145</v>
      </c>
    </row>
    <row r="99" spans="1:9" ht="235.2">
      <c r="A99" s="239"/>
      <c r="B99" s="241" t="s">
        <v>1510</v>
      </c>
      <c r="C99" s="237" t="s">
        <v>1213</v>
      </c>
      <c r="D99" s="238">
        <v>39666974</v>
      </c>
      <c r="E99" s="238"/>
      <c r="F99" s="238">
        <v>37500000</v>
      </c>
      <c r="G99" s="238">
        <f t="shared" si="1"/>
        <v>77166974</v>
      </c>
      <c r="H99" s="237">
        <v>77166974</v>
      </c>
      <c r="I99" s="236" t="s">
        <v>2147</v>
      </c>
    </row>
    <row r="100" spans="1:9" ht="117.6">
      <c r="A100" s="239"/>
      <c r="B100" s="241" t="s">
        <v>2029</v>
      </c>
      <c r="C100" s="237" t="s">
        <v>1213</v>
      </c>
      <c r="D100" s="238"/>
      <c r="E100" s="238"/>
      <c r="F100" s="238">
        <v>5625000</v>
      </c>
      <c r="G100" s="238">
        <f t="shared" si="1"/>
        <v>5625000</v>
      </c>
      <c r="H100" s="237">
        <v>5625000</v>
      </c>
      <c r="I100" s="236" t="s">
        <v>2146</v>
      </c>
    </row>
    <row r="101" spans="1:9" ht="176.4">
      <c r="A101" s="240">
        <v>2211399</v>
      </c>
      <c r="B101" s="241" t="s">
        <v>2344</v>
      </c>
      <c r="C101" s="237">
        <v>1400000</v>
      </c>
      <c r="D101" s="238"/>
      <c r="E101" s="238"/>
      <c r="F101" s="238">
        <v>24000000</v>
      </c>
      <c r="G101" s="238">
        <f t="shared" si="1"/>
        <v>24000000</v>
      </c>
      <c r="H101" s="237">
        <v>25400000</v>
      </c>
      <c r="I101" s="241" t="s">
        <v>2345</v>
      </c>
    </row>
    <row r="102" spans="1:9" ht="117.6">
      <c r="A102" s="240">
        <v>2210299</v>
      </c>
      <c r="B102" s="241" t="s">
        <v>2373</v>
      </c>
      <c r="C102" s="237"/>
      <c r="D102" s="238"/>
      <c r="E102" s="238">
        <v>34599664</v>
      </c>
      <c r="F102" s="238"/>
      <c r="G102" s="238">
        <f t="shared" si="1"/>
        <v>34599664</v>
      </c>
      <c r="H102" s="237">
        <v>34599664</v>
      </c>
      <c r="I102" s="241" t="s">
        <v>2148</v>
      </c>
    </row>
    <row r="103" spans="1:9" ht="58.8">
      <c r="A103" s="235" t="s">
        <v>676</v>
      </c>
      <c r="B103" s="236"/>
      <c r="C103" s="237"/>
      <c r="D103" s="238"/>
      <c r="E103" s="238"/>
      <c r="F103" s="238"/>
      <c r="G103" s="238">
        <f t="shared" si="1"/>
        <v>0</v>
      </c>
      <c r="H103" s="237"/>
      <c r="I103" s="236"/>
    </row>
    <row r="104" spans="1:9" ht="409.6">
      <c r="A104" s="241">
        <v>3110202</v>
      </c>
      <c r="B104" s="241" t="s">
        <v>413</v>
      </c>
      <c r="C104" s="237">
        <v>33042008</v>
      </c>
      <c r="D104" s="238">
        <v>202858553</v>
      </c>
      <c r="E104" s="238">
        <v>-64314363</v>
      </c>
      <c r="F104" s="238">
        <v>-68727645</v>
      </c>
      <c r="G104" s="238">
        <f t="shared" si="1"/>
        <v>69816545</v>
      </c>
      <c r="H104" s="237">
        <v>102858553</v>
      </c>
      <c r="I104" s="241" t="s">
        <v>2343</v>
      </c>
    </row>
    <row r="105" spans="1:9" ht="58.8">
      <c r="A105" s="235" t="s">
        <v>678</v>
      </c>
      <c r="B105" s="236"/>
      <c r="C105" s="237"/>
      <c r="D105" s="238"/>
      <c r="E105" s="238"/>
      <c r="F105" s="238"/>
      <c r="G105" s="238">
        <f t="shared" si="1"/>
        <v>0</v>
      </c>
      <c r="H105" s="237"/>
      <c r="I105" s="236"/>
    </row>
    <row r="106" spans="1:9" ht="235.2">
      <c r="A106" s="240">
        <v>3110504</v>
      </c>
      <c r="B106" s="241" t="s">
        <v>2374</v>
      </c>
      <c r="C106" s="237">
        <v>20100000</v>
      </c>
      <c r="D106" s="238"/>
      <c r="E106" s="238">
        <v>-5000000</v>
      </c>
      <c r="F106" s="238"/>
      <c r="G106" s="238">
        <f t="shared" si="1"/>
        <v>-5000000</v>
      </c>
      <c r="H106" s="237">
        <v>15100000</v>
      </c>
      <c r="I106" s="236" t="s">
        <v>2383</v>
      </c>
    </row>
    <row r="107" spans="1:9" ht="58.8">
      <c r="A107" s="235" t="s">
        <v>715</v>
      </c>
      <c r="B107" s="236"/>
      <c r="C107" s="237"/>
      <c r="D107" s="238"/>
      <c r="E107" s="238"/>
      <c r="F107" s="238"/>
      <c r="G107" s="238">
        <f t="shared" si="1"/>
        <v>0</v>
      </c>
      <c r="H107" s="237"/>
      <c r="I107" s="236"/>
    </row>
    <row r="108" spans="1:9" ht="176.4">
      <c r="A108" s="240">
        <v>3111401</v>
      </c>
      <c r="B108" s="241" t="s">
        <v>2110</v>
      </c>
      <c r="C108" s="237"/>
      <c r="D108" s="238"/>
      <c r="E108" s="238">
        <v>4720341</v>
      </c>
      <c r="F108" s="238"/>
      <c r="G108" s="238">
        <f t="shared" si="1"/>
        <v>4720341</v>
      </c>
      <c r="H108" s="237">
        <v>4720341</v>
      </c>
      <c r="I108" s="241" t="s">
        <v>2389</v>
      </c>
    </row>
    <row r="109" spans="1:9" ht="58.8">
      <c r="A109" s="235" t="s">
        <v>2375</v>
      </c>
      <c r="B109" s="236"/>
      <c r="C109" s="237"/>
      <c r="D109" s="238"/>
      <c r="E109" s="238"/>
      <c r="F109" s="238"/>
      <c r="G109" s="238">
        <f t="shared" si="1"/>
        <v>0</v>
      </c>
      <c r="H109" s="237"/>
      <c r="I109" s="236"/>
    </row>
    <row r="110" spans="1:9" ht="176.4">
      <c r="A110" s="240">
        <v>3111499</v>
      </c>
      <c r="B110" s="241" t="s">
        <v>2376</v>
      </c>
      <c r="C110" s="237">
        <v>5102000</v>
      </c>
      <c r="D110" s="238"/>
      <c r="E110" s="238">
        <v>-5000000</v>
      </c>
      <c r="F110" s="238">
        <v>2000000</v>
      </c>
      <c r="G110" s="238">
        <f t="shared" si="1"/>
        <v>-3000000</v>
      </c>
      <c r="H110" s="237">
        <v>2102000</v>
      </c>
      <c r="I110" s="236" t="s">
        <v>2381</v>
      </c>
    </row>
    <row r="111" spans="1:9" ht="235.2">
      <c r="A111" s="240">
        <v>2210505</v>
      </c>
      <c r="B111" s="241" t="s">
        <v>192</v>
      </c>
      <c r="C111" s="237">
        <v>16957992</v>
      </c>
      <c r="D111" s="238"/>
      <c r="E111" s="238"/>
      <c r="F111" s="238">
        <v>10000000</v>
      </c>
      <c r="G111" s="238">
        <f t="shared" si="1"/>
        <v>10000000</v>
      </c>
      <c r="H111" s="237">
        <v>26957992</v>
      </c>
      <c r="I111" s="241" t="s">
        <v>2386</v>
      </c>
    </row>
    <row r="112" spans="1:9" ht="352.8">
      <c r="A112" s="239">
        <v>3111499</v>
      </c>
      <c r="B112" s="241" t="s">
        <v>2062</v>
      </c>
      <c r="C112" s="237">
        <v>3453655</v>
      </c>
      <c r="D112" s="238"/>
      <c r="E112" s="238"/>
      <c r="F112" s="238">
        <v>2000000</v>
      </c>
      <c r="G112" s="238">
        <f t="shared" si="1"/>
        <v>2000000</v>
      </c>
      <c r="H112" s="237">
        <v>5453655</v>
      </c>
      <c r="I112" s="236" t="s">
        <v>2387</v>
      </c>
    </row>
    <row r="113" spans="1:9" ht="235.2">
      <c r="A113" s="240">
        <v>3111499</v>
      </c>
      <c r="B113" s="241" t="s">
        <v>2377</v>
      </c>
      <c r="C113" s="237">
        <v>7200000</v>
      </c>
      <c r="D113" s="238"/>
      <c r="E113" s="238">
        <v>-4200000</v>
      </c>
      <c r="F113" s="238">
        <v>1000000</v>
      </c>
      <c r="G113" s="238">
        <f t="shared" si="1"/>
        <v>-3200000</v>
      </c>
      <c r="H113" s="237">
        <v>4000000</v>
      </c>
      <c r="I113" s="236" t="s">
        <v>2388</v>
      </c>
    </row>
    <row r="114" spans="1:9" ht="58.8">
      <c r="A114" s="235" t="s">
        <v>1259</v>
      </c>
      <c r="B114" s="236"/>
      <c r="C114" s="237"/>
      <c r="D114" s="238"/>
      <c r="E114" s="238"/>
      <c r="F114" s="238"/>
      <c r="G114" s="238"/>
      <c r="H114" s="237"/>
      <c r="I114" s="236"/>
    </row>
    <row r="115" spans="1:9" ht="409.6">
      <c r="A115" s="240">
        <v>3111112</v>
      </c>
      <c r="B115" s="241" t="s">
        <v>2378</v>
      </c>
      <c r="C115" s="237"/>
      <c r="D115" s="238"/>
      <c r="E115" s="238">
        <v>15000000</v>
      </c>
      <c r="F115" s="238"/>
      <c r="G115" s="238">
        <f t="shared" si="1"/>
        <v>15000000</v>
      </c>
      <c r="H115" s="237">
        <v>15000000</v>
      </c>
      <c r="I115" s="236" t="s">
        <v>2162</v>
      </c>
    </row>
    <row r="116" spans="1:9" ht="66" customHeight="1">
      <c r="A116" s="240">
        <v>3110506</v>
      </c>
      <c r="B116" s="241" t="s">
        <v>1407</v>
      </c>
      <c r="C116" s="237">
        <v>110000000</v>
      </c>
      <c r="D116" s="238"/>
      <c r="E116" s="238">
        <v>-45000000</v>
      </c>
      <c r="F116" s="238"/>
      <c r="G116" s="238">
        <f t="shared" si="1"/>
        <v>-45000000</v>
      </c>
      <c r="H116" s="237">
        <v>65000000</v>
      </c>
      <c r="I116" s="236"/>
    </row>
    <row r="117" spans="1:9" s="242" customFormat="1" ht="58.8">
      <c r="A117" s="243"/>
      <c r="B117" s="243" t="s">
        <v>2380</v>
      </c>
      <c r="C117" s="244">
        <f t="shared" ref="C117:F117" si="2">SUM(C3:C116)</f>
        <v>3583352804</v>
      </c>
      <c r="D117" s="244">
        <f t="shared" si="2"/>
        <v>325408939</v>
      </c>
      <c r="E117" s="244">
        <f t="shared" si="2"/>
        <v>368942164</v>
      </c>
      <c r="F117" s="244">
        <f t="shared" si="2"/>
        <v>-2599001</v>
      </c>
      <c r="G117" s="244">
        <f>SUM(G3:G116)</f>
        <v>691752102</v>
      </c>
      <c r="H117" s="244">
        <f>SUM(H3:H116)</f>
        <v>4257163866</v>
      </c>
      <c r="I117" s="243"/>
    </row>
    <row r="165" spans="8:8">
      <c r="H165" s="2254"/>
    </row>
    <row r="166" spans="8:8">
      <c r="H166" s="2254"/>
    </row>
    <row r="191" spans="8:8">
      <c r="H191" s="2254"/>
    </row>
    <row r="192" spans="8:8">
      <c r="H192" s="2254"/>
    </row>
    <row r="193" spans="8:8">
      <c r="H193" s="2254"/>
    </row>
    <row r="194" spans="8:8">
      <c r="H194" s="2254"/>
    </row>
    <row r="195" spans="8:8">
      <c r="H195" s="2254"/>
    </row>
    <row r="196" spans="8:8">
      <c r="H196" s="2254"/>
    </row>
    <row r="197" spans="8:8">
      <c r="H197" s="2254"/>
    </row>
    <row r="198" spans="8:8">
      <c r="H198" s="2254"/>
    </row>
    <row r="199" spans="8:8">
      <c r="H199" s="2254"/>
    </row>
    <row r="200" spans="8:8">
      <c r="H200" s="2254"/>
    </row>
    <row r="211" spans="8:8">
      <c r="H211" s="2254"/>
    </row>
    <row r="212" spans="8:8">
      <c r="H212" s="2254"/>
    </row>
  </sheetData>
  <mergeCells count="19">
    <mergeCell ref="H54:H55"/>
    <mergeCell ref="C90:C91"/>
    <mergeCell ref="A54:A55"/>
    <mergeCell ref="A90:A91"/>
    <mergeCell ref="D54:D55"/>
    <mergeCell ref="F90:F91"/>
    <mergeCell ref="C54:C55"/>
    <mergeCell ref="E90:E91"/>
    <mergeCell ref="D90:D91"/>
    <mergeCell ref="E54:E55"/>
    <mergeCell ref="F54:F55"/>
    <mergeCell ref="H211:H212"/>
    <mergeCell ref="I90:I91"/>
    <mergeCell ref="H165:H166"/>
    <mergeCell ref="H191:H192"/>
    <mergeCell ref="H193:H194"/>
    <mergeCell ref="H195:H197"/>
    <mergeCell ref="H198:H200"/>
    <mergeCell ref="H90:H91"/>
  </mergeCells>
  <pageMargins left="0.70866141732283472" right="0.70866141732283472" top="0.74803149606299213" bottom="0.74803149606299213" header="0.31496062992125984" footer="0.31496062992125984"/>
  <pageSetup paperSize="9" scale="19" orientation="landscape"/>
  <headerFooter>
    <oddFoote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2"/>
  <sheetViews>
    <sheetView workbookViewId="0">
      <selection activeCell="E1" sqref="E1"/>
    </sheetView>
  </sheetViews>
  <sheetFormatPr defaultColWidth="10" defaultRowHeight="14.4"/>
  <sheetData>
    <row r="1" spans="1:4">
      <c r="A1" s="2" t="s">
        <v>2384</v>
      </c>
      <c r="B1" s="245"/>
      <c r="C1">
        <v>24</v>
      </c>
      <c r="D1">
        <v>128</v>
      </c>
    </row>
    <row r="2" spans="1:4">
      <c r="A2" s="2" t="s">
        <v>2385</v>
      </c>
      <c r="B2" s="246"/>
      <c r="C2">
        <v>30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140"/>
  <sheetViews>
    <sheetView topLeftCell="E1" workbookViewId="0">
      <selection activeCell="G3" sqref="G3"/>
    </sheetView>
  </sheetViews>
  <sheetFormatPr defaultColWidth="8.88671875" defaultRowHeight="21"/>
  <cols>
    <col min="1" max="1" width="15.5546875" style="247" customWidth="1"/>
    <col min="2" max="2" width="16.5546875" style="247" customWidth="1"/>
    <col min="3" max="3" width="70.44140625" style="247" customWidth="1"/>
    <col min="4" max="4" width="27.44140625" style="247" customWidth="1"/>
    <col min="5" max="5" width="23.88671875" style="247" customWidth="1"/>
    <col min="6" max="6" width="24.88671875" style="247" customWidth="1"/>
    <col min="7" max="7" width="23.5546875" style="247" customWidth="1"/>
    <col min="8" max="8" width="30.44140625" style="247" customWidth="1"/>
    <col min="9" max="9" width="70.5546875" style="247" customWidth="1"/>
    <col min="10" max="16384" width="8.88671875" style="247"/>
  </cols>
  <sheetData>
    <row r="1" spans="1:13">
      <c r="A1" s="2261"/>
      <c r="B1" s="2261"/>
      <c r="C1" s="2261"/>
      <c r="D1" s="2261"/>
      <c r="E1" s="2261"/>
      <c r="F1" s="2261"/>
      <c r="G1" s="2261"/>
      <c r="H1" s="2261"/>
      <c r="I1" s="2261"/>
      <c r="J1" s="248"/>
      <c r="K1" s="249"/>
      <c r="L1" s="249"/>
      <c r="M1" s="249"/>
    </row>
    <row r="2" spans="1:13" s="250" customFormat="1" ht="61.2">
      <c r="A2" s="251" t="s">
        <v>2328</v>
      </c>
      <c r="B2" s="251" t="s">
        <v>5</v>
      </c>
      <c r="C2" s="252" t="s">
        <v>6</v>
      </c>
      <c r="D2" s="252" t="s">
        <v>2174</v>
      </c>
      <c r="E2" s="252" t="s">
        <v>2175</v>
      </c>
      <c r="F2" s="252" t="s">
        <v>2176</v>
      </c>
      <c r="G2" s="252" t="s">
        <v>2037</v>
      </c>
      <c r="H2" s="252" t="s">
        <v>2177</v>
      </c>
      <c r="I2" s="252" t="s">
        <v>2178</v>
      </c>
    </row>
    <row r="3" spans="1:13" ht="163.19999999999999">
      <c r="A3" s="253" t="str">
        <f>Summary!A5</f>
        <v>Office of the Governor</v>
      </c>
      <c r="B3" s="253">
        <v>2210910</v>
      </c>
      <c r="C3" s="254" t="s">
        <v>2179</v>
      </c>
      <c r="D3" s="255">
        <v>171000000</v>
      </c>
      <c r="E3" s="254"/>
      <c r="F3" s="256">
        <v>82463330</v>
      </c>
      <c r="G3" s="254"/>
      <c r="H3" s="255">
        <v>253463330</v>
      </c>
      <c r="I3" s="254" t="s">
        <v>2172</v>
      </c>
    </row>
    <row r="4" spans="1:13">
      <c r="A4" s="253"/>
      <c r="B4" s="253">
        <v>3130101</v>
      </c>
      <c r="C4" s="254" t="s">
        <v>2180</v>
      </c>
      <c r="D4" s="253"/>
      <c r="E4" s="254"/>
      <c r="F4" s="254"/>
      <c r="G4" s="255">
        <v>1625000</v>
      </c>
      <c r="H4" s="255">
        <v>1625000</v>
      </c>
      <c r="I4" s="254" t="s">
        <v>2181</v>
      </c>
    </row>
    <row r="5" spans="1:13" ht="81.599999999999994">
      <c r="A5" s="253"/>
      <c r="B5" s="253">
        <v>3110599</v>
      </c>
      <c r="C5" s="254" t="s">
        <v>2182</v>
      </c>
      <c r="D5" s="255">
        <v>31774535</v>
      </c>
      <c r="E5" s="256">
        <v>156798933</v>
      </c>
      <c r="F5" s="254"/>
      <c r="G5" s="255">
        <v>-1625000</v>
      </c>
      <c r="H5" s="255">
        <v>186948468</v>
      </c>
      <c r="I5" s="254" t="s">
        <v>2183</v>
      </c>
    </row>
    <row r="6" spans="1:13">
      <c r="A6" s="253"/>
      <c r="B6" s="253">
        <v>2211016</v>
      </c>
      <c r="C6" s="254" t="s">
        <v>104</v>
      </c>
      <c r="D6" s="255">
        <v>12000</v>
      </c>
      <c r="E6" s="254"/>
      <c r="F6" s="254"/>
      <c r="G6" s="255">
        <v>2000000</v>
      </c>
      <c r="H6" s="255">
        <v>2012000</v>
      </c>
      <c r="I6" s="254" t="s">
        <v>2184</v>
      </c>
    </row>
    <row r="7" spans="1:13" ht="40.799999999999997">
      <c r="A7" s="253"/>
      <c r="B7" s="253">
        <v>2211399</v>
      </c>
      <c r="C7" s="254" t="s">
        <v>2185</v>
      </c>
      <c r="D7" s="255">
        <v>10000000</v>
      </c>
      <c r="E7" s="254"/>
      <c r="F7" s="254"/>
      <c r="G7" s="254">
        <v>-3000000</v>
      </c>
      <c r="H7" s="255">
        <v>7000000</v>
      </c>
      <c r="I7" s="254" t="s">
        <v>2186</v>
      </c>
    </row>
    <row r="8" spans="1:13" ht="81.599999999999994">
      <c r="A8" s="257"/>
      <c r="B8" s="257">
        <v>2211399</v>
      </c>
      <c r="C8" s="258" t="s">
        <v>2187</v>
      </c>
      <c r="D8" s="259">
        <v>122000</v>
      </c>
      <c r="E8" s="258"/>
      <c r="F8" s="258"/>
      <c r="G8" s="258">
        <v>5500000</v>
      </c>
      <c r="H8" s="259">
        <v>5622000</v>
      </c>
      <c r="I8" s="258" t="s">
        <v>2188</v>
      </c>
    </row>
    <row r="9" spans="1:13">
      <c r="A9" s="253"/>
      <c r="B9" s="253">
        <v>2220101</v>
      </c>
      <c r="C9" s="254" t="s">
        <v>63</v>
      </c>
      <c r="D9" s="255">
        <v>272000</v>
      </c>
      <c r="E9" s="254"/>
      <c r="F9" s="254"/>
      <c r="G9" s="254">
        <v>500000</v>
      </c>
      <c r="H9" s="255">
        <v>772000</v>
      </c>
      <c r="I9" s="254" t="s">
        <v>2189</v>
      </c>
    </row>
    <row r="10" spans="1:13" ht="61.2">
      <c r="A10" s="257"/>
      <c r="B10" s="257">
        <v>2211308</v>
      </c>
      <c r="C10" s="258" t="s">
        <v>2190</v>
      </c>
      <c r="D10" s="259">
        <v>30000000</v>
      </c>
      <c r="E10" s="258"/>
      <c r="F10" s="260">
        <v>25000000</v>
      </c>
      <c r="G10" s="257" t="s">
        <v>2191</v>
      </c>
      <c r="H10" s="259">
        <v>55000000</v>
      </c>
      <c r="I10" s="258" t="s">
        <v>2154</v>
      </c>
    </row>
    <row r="11" spans="1:13" ht="102">
      <c r="A11" s="257"/>
      <c r="B11" s="257">
        <v>2211310</v>
      </c>
      <c r="C11" s="258" t="s">
        <v>2192</v>
      </c>
      <c r="D11" s="259">
        <v>142000</v>
      </c>
      <c r="E11" s="258"/>
      <c r="F11" s="260">
        <v>100000000</v>
      </c>
      <c r="G11" s="257"/>
      <c r="H11" s="259">
        <v>100142000</v>
      </c>
      <c r="I11" s="258" t="s">
        <v>2155</v>
      </c>
    </row>
    <row r="12" spans="1:13">
      <c r="A12" s="257"/>
      <c r="B12" s="257">
        <v>2210102</v>
      </c>
      <c r="C12" s="258" t="s">
        <v>18</v>
      </c>
      <c r="D12" s="259">
        <v>49500</v>
      </c>
      <c r="E12" s="258"/>
      <c r="F12" s="258"/>
      <c r="G12" s="258">
        <v>13742</v>
      </c>
      <c r="H12" s="259">
        <v>63242</v>
      </c>
      <c r="I12" s="258" t="s">
        <v>2193</v>
      </c>
    </row>
    <row r="13" spans="1:13" ht="81.599999999999994">
      <c r="A13" s="257"/>
      <c r="B13" s="257">
        <v>2210711</v>
      </c>
      <c r="C13" s="258" t="s">
        <v>156</v>
      </c>
      <c r="D13" s="259">
        <v>110000</v>
      </c>
      <c r="E13" s="258"/>
      <c r="F13" s="258"/>
      <c r="G13" s="258">
        <v>232800</v>
      </c>
      <c r="H13" s="259">
        <v>342800</v>
      </c>
      <c r="I13" s="258" t="s">
        <v>2194</v>
      </c>
    </row>
    <row r="14" spans="1:13" ht="40.799999999999997">
      <c r="A14" s="257"/>
      <c r="B14" s="257">
        <v>2210801</v>
      </c>
      <c r="C14" s="258" t="s">
        <v>1867</v>
      </c>
      <c r="D14" s="259">
        <v>480000</v>
      </c>
      <c r="E14" s="258"/>
      <c r="F14" s="258"/>
      <c r="G14" s="258">
        <v>16240</v>
      </c>
      <c r="H14" s="259">
        <v>496240</v>
      </c>
      <c r="I14" s="258" t="s">
        <v>2195</v>
      </c>
    </row>
    <row r="15" spans="1:13" ht="61.2">
      <c r="A15" s="257"/>
      <c r="B15" s="257">
        <v>2211016</v>
      </c>
      <c r="C15" s="258" t="s">
        <v>159</v>
      </c>
      <c r="D15" s="259">
        <v>1220000</v>
      </c>
      <c r="E15" s="258"/>
      <c r="F15" s="258"/>
      <c r="G15" s="258">
        <v>769375</v>
      </c>
      <c r="H15" s="259">
        <v>1989375</v>
      </c>
      <c r="I15" s="258" t="s">
        <v>2196</v>
      </c>
    </row>
    <row r="16" spans="1:13" ht="61.2">
      <c r="A16" s="257"/>
      <c r="B16" s="257">
        <v>2211201</v>
      </c>
      <c r="C16" s="258" t="s">
        <v>161</v>
      </c>
      <c r="D16" s="259">
        <v>3000000</v>
      </c>
      <c r="E16" s="258"/>
      <c r="F16" s="258"/>
      <c r="G16" s="259">
        <v>899999</v>
      </c>
      <c r="H16" s="259">
        <v>3899999</v>
      </c>
      <c r="I16" s="258" t="s">
        <v>2197</v>
      </c>
    </row>
    <row r="17" spans="1:9">
      <c r="A17" s="257"/>
      <c r="B17" s="257">
        <v>2220101</v>
      </c>
      <c r="C17" s="258" t="s">
        <v>63</v>
      </c>
      <c r="D17" s="259">
        <v>309555</v>
      </c>
      <c r="E17" s="258"/>
      <c r="F17" s="258"/>
      <c r="G17" s="258">
        <v>657710</v>
      </c>
      <c r="H17" s="259">
        <v>967265</v>
      </c>
      <c r="I17" s="258" t="s">
        <v>2198</v>
      </c>
    </row>
    <row r="18" spans="1:9" ht="61.2">
      <c r="A18" s="257"/>
      <c r="B18" s="257">
        <v>3111001</v>
      </c>
      <c r="C18" s="258" t="s">
        <v>2199</v>
      </c>
      <c r="D18" s="259">
        <v>6527222</v>
      </c>
      <c r="E18" s="258"/>
      <c r="F18" s="258"/>
      <c r="G18" s="258">
        <v>7649536</v>
      </c>
      <c r="H18" s="259">
        <v>14176758</v>
      </c>
      <c r="I18" s="258" t="s">
        <v>2200</v>
      </c>
    </row>
    <row r="19" spans="1:9" ht="40.799999999999997">
      <c r="A19" s="257"/>
      <c r="B19" s="257">
        <v>3110202</v>
      </c>
      <c r="C19" s="258" t="s">
        <v>1849</v>
      </c>
      <c r="D19" s="259">
        <v>15000000</v>
      </c>
      <c r="E19" s="258"/>
      <c r="F19" s="258"/>
      <c r="G19" s="259">
        <v>-10000000</v>
      </c>
      <c r="H19" s="259">
        <v>5000000</v>
      </c>
      <c r="I19" s="258" t="s">
        <v>2201</v>
      </c>
    </row>
    <row r="20" spans="1:9" ht="40.799999999999997">
      <c r="A20" s="257"/>
      <c r="B20" s="257">
        <v>3110299</v>
      </c>
      <c r="C20" s="258" t="s">
        <v>1586</v>
      </c>
      <c r="D20" s="259">
        <v>48500000</v>
      </c>
      <c r="E20" s="258"/>
      <c r="F20" s="258"/>
      <c r="G20" s="259">
        <v>-22190444</v>
      </c>
      <c r="H20" s="259">
        <v>26309556</v>
      </c>
      <c r="I20" s="258" t="s">
        <v>2201</v>
      </c>
    </row>
    <row r="21" spans="1:9" ht="61.2">
      <c r="A21" s="253">
        <v>1</v>
      </c>
      <c r="B21" s="253">
        <v>3110299</v>
      </c>
      <c r="C21" s="254" t="s">
        <v>1587</v>
      </c>
      <c r="D21" s="255">
        <v>15480628</v>
      </c>
      <c r="E21" s="256">
        <v>54111004</v>
      </c>
      <c r="F21" s="254"/>
      <c r="G21" s="255">
        <v>21951042</v>
      </c>
      <c r="H21" s="255">
        <v>91542675</v>
      </c>
      <c r="I21" s="258" t="s">
        <v>2202</v>
      </c>
    </row>
    <row r="22" spans="1:9" ht="40.799999999999997">
      <c r="A22" s="253"/>
      <c r="B22" s="253">
        <v>2210301</v>
      </c>
      <c r="C22" s="254" t="s">
        <v>25</v>
      </c>
      <c r="D22" s="255">
        <v>366523</v>
      </c>
      <c r="E22" s="254"/>
      <c r="F22" s="254"/>
      <c r="G22" s="254">
        <v>700000</v>
      </c>
      <c r="H22" s="255">
        <v>1066523</v>
      </c>
      <c r="I22" s="254" t="s">
        <v>2203</v>
      </c>
    </row>
    <row r="23" spans="1:9" ht="40.799999999999997">
      <c r="A23" s="253"/>
      <c r="B23" s="253">
        <v>2210302</v>
      </c>
      <c r="C23" s="254" t="s">
        <v>26</v>
      </c>
      <c r="D23" s="255">
        <v>2355228</v>
      </c>
      <c r="E23" s="254"/>
      <c r="F23" s="254"/>
      <c r="G23" s="254">
        <v>200000</v>
      </c>
      <c r="H23" s="255">
        <v>2555228</v>
      </c>
      <c r="I23" s="254" t="s">
        <v>2204</v>
      </c>
    </row>
    <row r="24" spans="1:9" ht="40.799999999999997">
      <c r="A24" s="253"/>
      <c r="B24" s="253">
        <v>2210303</v>
      </c>
      <c r="C24" s="254" t="s">
        <v>27</v>
      </c>
      <c r="D24" s="255">
        <v>2334093</v>
      </c>
      <c r="E24" s="254"/>
      <c r="F24" s="254"/>
      <c r="G24" s="254">
        <v>400000</v>
      </c>
      <c r="H24" s="255">
        <v>2734093</v>
      </c>
      <c r="I24" s="254" t="s">
        <v>2205</v>
      </c>
    </row>
    <row r="25" spans="1:9" ht="61.2">
      <c r="A25" s="253"/>
      <c r="B25" s="253">
        <v>2211101</v>
      </c>
      <c r="C25" s="254" t="s">
        <v>2206</v>
      </c>
      <c r="D25" s="255">
        <v>350000</v>
      </c>
      <c r="E25" s="255">
        <v>661670</v>
      </c>
      <c r="F25" s="253"/>
      <c r="G25" s="255">
        <v>-64329</v>
      </c>
      <c r="H25" s="255">
        <v>947341</v>
      </c>
      <c r="I25" s="254" t="s">
        <v>2207</v>
      </c>
    </row>
    <row r="26" spans="1:9">
      <c r="A26" s="253"/>
      <c r="B26" s="253">
        <v>2210505</v>
      </c>
      <c r="C26" s="254" t="s">
        <v>192</v>
      </c>
      <c r="D26" s="255">
        <v>700000</v>
      </c>
      <c r="E26" s="254"/>
      <c r="F26" s="254"/>
      <c r="G26" s="255">
        <v>-200000</v>
      </c>
      <c r="H26" s="255">
        <v>500000</v>
      </c>
      <c r="I26" s="254" t="s">
        <v>2208</v>
      </c>
    </row>
    <row r="27" spans="1:9" ht="61.2">
      <c r="A27" s="253"/>
      <c r="B27" s="253">
        <v>2210799</v>
      </c>
      <c r="C27" s="254" t="s">
        <v>2066</v>
      </c>
      <c r="D27" s="253" t="s">
        <v>2209</v>
      </c>
      <c r="E27" s="253"/>
      <c r="F27" s="253"/>
      <c r="G27" s="255">
        <v>450000</v>
      </c>
      <c r="H27" s="255">
        <v>450000</v>
      </c>
      <c r="I27" s="254" t="s">
        <v>2210</v>
      </c>
    </row>
    <row r="28" spans="1:9" ht="40.799999999999997">
      <c r="A28" s="253"/>
      <c r="B28" s="253">
        <v>2211203</v>
      </c>
      <c r="C28" s="254" t="s">
        <v>2211</v>
      </c>
      <c r="D28" s="255">
        <v>616667</v>
      </c>
      <c r="E28" s="254"/>
      <c r="F28" s="254"/>
      <c r="G28" s="255">
        <v>-450000</v>
      </c>
      <c r="H28" s="255">
        <v>166667</v>
      </c>
      <c r="I28" s="254" t="s">
        <v>2212</v>
      </c>
    </row>
    <row r="29" spans="1:9" ht="40.799999999999997">
      <c r="A29" s="257"/>
      <c r="B29" s="257">
        <v>3110504</v>
      </c>
      <c r="C29" s="258" t="s">
        <v>1852</v>
      </c>
      <c r="D29" s="259">
        <v>120000000</v>
      </c>
      <c r="E29" s="257"/>
      <c r="F29" s="258">
        <v>-20000000</v>
      </c>
      <c r="G29" s="258"/>
      <c r="H29" s="259">
        <v>100000000</v>
      </c>
      <c r="I29" s="260">
        <v>63000000</v>
      </c>
    </row>
    <row r="30" spans="1:9">
      <c r="A30" s="257"/>
      <c r="B30" s="257">
        <v>3110505</v>
      </c>
      <c r="C30" s="258" t="s">
        <v>1322</v>
      </c>
      <c r="D30" s="259">
        <v>50151840</v>
      </c>
      <c r="E30" s="258"/>
      <c r="F30" s="258">
        <v>0</v>
      </c>
      <c r="G30" s="258"/>
      <c r="H30" s="259">
        <v>50151840</v>
      </c>
      <c r="I30" s="260">
        <v>26919795</v>
      </c>
    </row>
    <row r="31" spans="1:9" ht="40.799999999999997">
      <c r="A31" s="253"/>
      <c r="B31" s="253">
        <v>3110599</v>
      </c>
      <c r="C31" s="254" t="s">
        <v>312</v>
      </c>
      <c r="D31" s="255">
        <v>5000000</v>
      </c>
      <c r="E31" s="253"/>
      <c r="F31" s="254"/>
      <c r="G31" s="254"/>
      <c r="H31" s="255">
        <v>5000000</v>
      </c>
      <c r="I31" s="256">
        <v>6919795</v>
      </c>
    </row>
    <row r="32" spans="1:9" ht="122.4">
      <c r="A32" s="257"/>
      <c r="B32" s="257">
        <v>2110101</v>
      </c>
      <c r="C32" s="258" t="s">
        <v>2106</v>
      </c>
      <c r="D32" s="259">
        <v>891170557</v>
      </c>
      <c r="E32" s="258"/>
      <c r="F32" s="260">
        <v>48369350</v>
      </c>
      <c r="G32" s="258"/>
      <c r="H32" s="259">
        <v>939539907</v>
      </c>
      <c r="I32" s="258" t="s">
        <v>2152</v>
      </c>
    </row>
    <row r="33" spans="1:9" ht="61.2">
      <c r="A33" s="257"/>
      <c r="B33" s="257">
        <v>2110202</v>
      </c>
      <c r="C33" s="258" t="s">
        <v>2213</v>
      </c>
      <c r="D33" s="259">
        <v>12656000</v>
      </c>
      <c r="E33" s="258"/>
      <c r="F33" s="260">
        <v>25200000</v>
      </c>
      <c r="G33" s="258"/>
      <c r="H33" s="259">
        <v>37856000</v>
      </c>
      <c r="I33" s="258" t="s">
        <v>2214</v>
      </c>
    </row>
    <row r="34" spans="1:9" ht="61.2">
      <c r="A34" s="257"/>
      <c r="B34" s="257">
        <v>3111401</v>
      </c>
      <c r="C34" s="258" t="s">
        <v>2215</v>
      </c>
      <c r="D34" s="257"/>
      <c r="E34" s="258"/>
      <c r="F34" s="260">
        <v>615096</v>
      </c>
      <c r="G34" s="260">
        <v>1080456</v>
      </c>
      <c r="H34" s="259">
        <v>1695552</v>
      </c>
      <c r="I34" s="258" t="s">
        <v>2216</v>
      </c>
    </row>
    <row r="35" spans="1:9" ht="142.80000000000001">
      <c r="A35" s="257"/>
      <c r="B35" s="257">
        <v>3111112</v>
      </c>
      <c r="C35" s="258" t="s">
        <v>2085</v>
      </c>
      <c r="D35" s="259">
        <v>2157207</v>
      </c>
      <c r="E35" s="258"/>
      <c r="F35" s="258"/>
      <c r="G35" s="259">
        <v>12842793</v>
      </c>
      <c r="H35" s="259">
        <v>15000000</v>
      </c>
      <c r="I35" s="258" t="s">
        <v>2113</v>
      </c>
    </row>
    <row r="36" spans="1:9" ht="40.799999999999997">
      <c r="A36" s="253"/>
      <c r="B36" s="253">
        <v>3110202</v>
      </c>
      <c r="C36" s="254" t="s">
        <v>2217</v>
      </c>
      <c r="D36" s="255">
        <v>2500000</v>
      </c>
      <c r="E36" s="254"/>
      <c r="F36" s="254"/>
      <c r="G36" s="255">
        <v>-500000</v>
      </c>
      <c r="H36" s="255">
        <v>2000000</v>
      </c>
      <c r="I36" s="258" t="s">
        <v>2218</v>
      </c>
    </row>
    <row r="37" spans="1:9">
      <c r="A37" s="257"/>
      <c r="B37" s="257">
        <v>3110202</v>
      </c>
      <c r="C37" s="258" t="s">
        <v>1598</v>
      </c>
      <c r="D37" s="259">
        <v>8000000</v>
      </c>
      <c r="E37" s="258"/>
      <c r="F37" s="258"/>
      <c r="G37" s="257" t="s">
        <v>2191</v>
      </c>
      <c r="H37" s="259">
        <v>8000000</v>
      </c>
      <c r="I37" s="258" t="s">
        <v>2219</v>
      </c>
    </row>
    <row r="38" spans="1:9" ht="40.799999999999997">
      <c r="A38" s="257"/>
      <c r="B38" s="257">
        <v>3110202</v>
      </c>
      <c r="C38" s="258" t="s">
        <v>2220</v>
      </c>
      <c r="D38" s="259">
        <v>5300000</v>
      </c>
      <c r="E38" s="258"/>
      <c r="F38" s="258" t="s">
        <v>2221</v>
      </c>
      <c r="G38" s="259">
        <v>-300000</v>
      </c>
      <c r="H38" s="259">
        <v>5000000</v>
      </c>
      <c r="I38" s="258" t="s">
        <v>2222</v>
      </c>
    </row>
    <row r="39" spans="1:9">
      <c r="A39" s="257"/>
      <c r="B39" s="257">
        <v>3110202</v>
      </c>
      <c r="C39" s="258" t="s">
        <v>1600</v>
      </c>
      <c r="D39" s="259">
        <v>4000000</v>
      </c>
      <c r="E39" s="258"/>
      <c r="F39" s="258"/>
      <c r="G39" s="257" t="s">
        <v>2191</v>
      </c>
      <c r="H39" s="259">
        <v>4000000</v>
      </c>
      <c r="I39" s="258" t="s">
        <v>2223</v>
      </c>
    </row>
    <row r="40" spans="1:9" ht="40.799999999999997">
      <c r="A40" s="253"/>
      <c r="B40" s="253">
        <v>3110202</v>
      </c>
      <c r="C40" s="254" t="s">
        <v>1601</v>
      </c>
      <c r="D40" s="255">
        <v>5000000</v>
      </c>
      <c r="E40" s="254"/>
      <c r="F40" s="254"/>
      <c r="G40" s="255">
        <v>-5000000</v>
      </c>
      <c r="H40" s="253" t="s">
        <v>2224</v>
      </c>
      <c r="I40" s="258" t="s">
        <v>2225</v>
      </c>
    </row>
    <row r="41" spans="1:9" ht="40.799999999999997">
      <c r="A41" s="2262"/>
      <c r="B41" s="2262">
        <v>3110202</v>
      </c>
      <c r="C41" s="2260" t="s">
        <v>2101</v>
      </c>
      <c r="D41" s="2259">
        <v>16000000</v>
      </c>
      <c r="E41" s="2259">
        <v>4568966</v>
      </c>
      <c r="F41" s="2259">
        <v>10150000</v>
      </c>
      <c r="G41" s="2259">
        <v>-6000000</v>
      </c>
      <c r="H41" s="2259">
        <v>24718966</v>
      </c>
      <c r="I41" s="258" t="s">
        <v>2226</v>
      </c>
    </row>
    <row r="42" spans="1:9">
      <c r="A42" s="2262"/>
      <c r="B42" s="2262"/>
      <c r="C42" s="2260"/>
      <c r="D42" s="2259"/>
      <c r="E42" s="2259"/>
      <c r="F42" s="2259"/>
      <c r="G42" s="2259"/>
      <c r="H42" s="2259"/>
      <c r="I42" s="258" t="s">
        <v>2227</v>
      </c>
    </row>
    <row r="43" spans="1:9" ht="40.799999999999997">
      <c r="A43" s="2262"/>
      <c r="B43" s="2262">
        <v>3110202</v>
      </c>
      <c r="C43" s="2260" t="s">
        <v>2102</v>
      </c>
      <c r="D43" s="2259">
        <v>9000000</v>
      </c>
      <c r="E43" s="2259">
        <v>7768</v>
      </c>
      <c r="F43" s="2259">
        <v>21850000</v>
      </c>
      <c r="G43" s="2259">
        <v>-1000000</v>
      </c>
      <c r="H43" s="2259">
        <v>29857768</v>
      </c>
      <c r="I43" s="258" t="s">
        <v>2228</v>
      </c>
    </row>
    <row r="44" spans="1:9">
      <c r="A44" s="2262"/>
      <c r="B44" s="2262"/>
      <c r="C44" s="2260"/>
      <c r="D44" s="2259"/>
      <c r="E44" s="2259"/>
      <c r="F44" s="2259"/>
      <c r="G44" s="2259"/>
      <c r="H44" s="2259"/>
      <c r="I44" s="258" t="s">
        <v>2229</v>
      </c>
    </row>
    <row r="45" spans="1:9" ht="142.80000000000001">
      <c r="A45" s="253"/>
      <c r="B45" s="253">
        <v>3110202</v>
      </c>
      <c r="C45" s="254" t="s">
        <v>2027</v>
      </c>
      <c r="D45" s="255">
        <v>19923249</v>
      </c>
      <c r="E45" s="254"/>
      <c r="F45" s="255">
        <v>-10000000</v>
      </c>
      <c r="G45" s="255">
        <v>-9923249</v>
      </c>
      <c r="H45" s="253" t="s">
        <v>2224</v>
      </c>
      <c r="I45" s="258" t="s">
        <v>2230</v>
      </c>
    </row>
    <row r="46" spans="1:9" ht="61.2">
      <c r="A46" s="2262"/>
      <c r="B46" s="2262">
        <v>3110202</v>
      </c>
      <c r="C46" s="258" t="s">
        <v>2231</v>
      </c>
      <c r="D46" s="2262"/>
      <c r="E46" s="2260"/>
      <c r="F46" s="2259">
        <v>63022931</v>
      </c>
      <c r="G46" s="2260"/>
      <c r="H46" s="2259">
        <v>63022931</v>
      </c>
      <c r="I46" s="258" t="s">
        <v>2234</v>
      </c>
    </row>
    <row r="47" spans="1:9" ht="40.799999999999997">
      <c r="A47" s="2262"/>
      <c r="B47" s="2262"/>
      <c r="C47" s="258" t="s">
        <v>2232</v>
      </c>
      <c r="D47" s="2262"/>
      <c r="E47" s="2260"/>
      <c r="F47" s="2259"/>
      <c r="G47" s="2260"/>
      <c r="H47" s="2259"/>
      <c r="I47" s="258" t="s">
        <v>2232</v>
      </c>
    </row>
    <row r="48" spans="1:9" ht="61.2">
      <c r="A48" s="2262"/>
      <c r="B48" s="2262"/>
      <c r="C48" s="258" t="s">
        <v>2233</v>
      </c>
      <c r="D48" s="2262"/>
      <c r="E48" s="2260"/>
      <c r="F48" s="2259"/>
      <c r="G48" s="2260"/>
      <c r="H48" s="2259"/>
      <c r="I48" s="258" t="s">
        <v>2233</v>
      </c>
    </row>
    <row r="49" spans="1:9" ht="204">
      <c r="A49" s="2262"/>
      <c r="B49" s="2262">
        <v>3110202</v>
      </c>
      <c r="C49" s="258" t="s">
        <v>2235</v>
      </c>
      <c r="D49" s="2262"/>
      <c r="E49" s="2260"/>
      <c r="F49" s="2259">
        <v>30000000</v>
      </c>
      <c r="G49" s="2260"/>
      <c r="H49" s="2259">
        <v>30000000</v>
      </c>
      <c r="I49" s="258" t="s">
        <v>2238</v>
      </c>
    </row>
    <row r="50" spans="1:9" ht="40.799999999999997">
      <c r="A50" s="2262"/>
      <c r="B50" s="2262"/>
      <c r="C50" s="258" t="s">
        <v>2236</v>
      </c>
      <c r="D50" s="2262"/>
      <c r="E50" s="2260"/>
      <c r="F50" s="2259"/>
      <c r="G50" s="2260"/>
      <c r="H50" s="2259"/>
      <c r="I50" s="258" t="s">
        <v>2236</v>
      </c>
    </row>
    <row r="51" spans="1:9" ht="40.799999999999997">
      <c r="A51" s="2262"/>
      <c r="B51" s="2262"/>
      <c r="C51" s="258" t="s">
        <v>2237</v>
      </c>
      <c r="D51" s="2262"/>
      <c r="E51" s="2260"/>
      <c r="F51" s="2259"/>
      <c r="G51" s="2260"/>
      <c r="H51" s="2259"/>
      <c r="I51" s="258" t="s">
        <v>2237</v>
      </c>
    </row>
    <row r="52" spans="1:9" ht="306">
      <c r="A52" s="257"/>
      <c r="B52" s="257">
        <v>3110202</v>
      </c>
      <c r="C52" s="258" t="s">
        <v>2104</v>
      </c>
      <c r="D52" s="257"/>
      <c r="E52" s="259">
        <v>9658691</v>
      </c>
      <c r="F52" s="257"/>
      <c r="G52" s="259">
        <v>21000000</v>
      </c>
      <c r="H52" s="259">
        <v>30658691</v>
      </c>
      <c r="I52" s="258" t="s">
        <v>2114</v>
      </c>
    </row>
    <row r="53" spans="1:9" ht="81.599999999999994">
      <c r="A53" s="257"/>
      <c r="B53" s="257">
        <v>3110202</v>
      </c>
      <c r="C53" s="258" t="s">
        <v>2088</v>
      </c>
      <c r="D53" s="257"/>
      <c r="E53" s="258"/>
      <c r="F53" s="258"/>
      <c r="G53" s="260">
        <v>6500000</v>
      </c>
      <c r="H53" s="259">
        <v>6500000</v>
      </c>
      <c r="I53" s="258" t="s">
        <v>2239</v>
      </c>
    </row>
    <row r="54" spans="1:9" ht="40.799999999999997">
      <c r="A54" s="257"/>
      <c r="B54" s="257">
        <v>3111504</v>
      </c>
      <c r="C54" s="258" t="s">
        <v>2100</v>
      </c>
      <c r="D54" s="257"/>
      <c r="E54" s="260">
        <v>1279362</v>
      </c>
      <c r="F54" s="258"/>
      <c r="G54" s="258"/>
      <c r="H54" s="259">
        <v>1279362</v>
      </c>
      <c r="I54" s="258" t="s">
        <v>2240</v>
      </c>
    </row>
    <row r="55" spans="1:9" ht="122.4">
      <c r="A55" s="253"/>
      <c r="B55" s="253">
        <v>2640499</v>
      </c>
      <c r="C55" s="254" t="s">
        <v>2089</v>
      </c>
      <c r="D55" s="255">
        <v>34590250</v>
      </c>
      <c r="E55" s="254"/>
      <c r="F55" s="255">
        <v>5935995</v>
      </c>
      <c r="G55" s="254"/>
      <c r="H55" s="255">
        <v>40526245</v>
      </c>
      <c r="I55" s="258" t="s">
        <v>2241</v>
      </c>
    </row>
    <row r="56" spans="1:9" ht="61.2">
      <c r="A56" s="253"/>
      <c r="B56" s="253">
        <v>2640503</v>
      </c>
      <c r="C56" s="254" t="s">
        <v>1620</v>
      </c>
      <c r="D56" s="255">
        <v>10044000</v>
      </c>
      <c r="E56" s="255">
        <v>315558</v>
      </c>
      <c r="F56" s="254"/>
      <c r="G56" s="254"/>
      <c r="H56" s="255">
        <v>10359558</v>
      </c>
      <c r="I56" s="258" t="s">
        <v>2242</v>
      </c>
    </row>
    <row r="57" spans="1:9" ht="40.799999999999997">
      <c r="A57" s="257"/>
      <c r="B57" s="257">
        <v>3110202</v>
      </c>
      <c r="C57" s="258" t="s">
        <v>1924</v>
      </c>
      <c r="D57" s="259">
        <v>6200000</v>
      </c>
      <c r="E57" s="258"/>
      <c r="F57" s="261">
        <v>18000000</v>
      </c>
      <c r="G57" s="258"/>
      <c r="H57" s="259">
        <v>24200000</v>
      </c>
      <c r="I57" s="258" t="s">
        <v>2243</v>
      </c>
    </row>
    <row r="58" spans="1:9" ht="40.799999999999997">
      <c r="A58" s="253"/>
      <c r="B58" s="253">
        <v>3110202</v>
      </c>
      <c r="C58" s="254" t="s">
        <v>2090</v>
      </c>
      <c r="D58" s="253"/>
      <c r="E58" s="255">
        <v>1499230</v>
      </c>
      <c r="F58" s="254"/>
      <c r="G58" s="254"/>
      <c r="H58" s="255">
        <v>1499230</v>
      </c>
      <c r="I58" s="258" t="s">
        <v>2244</v>
      </c>
    </row>
    <row r="59" spans="1:9" ht="61.2">
      <c r="A59" s="253"/>
      <c r="B59" s="253">
        <v>3110202</v>
      </c>
      <c r="C59" s="254" t="s">
        <v>2091</v>
      </c>
      <c r="D59" s="253"/>
      <c r="E59" s="255">
        <v>6446506</v>
      </c>
      <c r="F59" s="254"/>
      <c r="G59" s="254"/>
      <c r="H59" s="255">
        <v>6446506</v>
      </c>
      <c r="I59" s="258" t="s">
        <v>2245</v>
      </c>
    </row>
    <row r="60" spans="1:9">
      <c r="A60" s="257"/>
      <c r="B60" s="257">
        <v>2211001</v>
      </c>
      <c r="C60" s="258" t="s">
        <v>2246</v>
      </c>
      <c r="D60" s="259">
        <v>224606061</v>
      </c>
      <c r="E60" s="258"/>
      <c r="F60" s="261">
        <v>53300000</v>
      </c>
      <c r="G60" s="258"/>
      <c r="H60" s="259">
        <v>277906061</v>
      </c>
      <c r="I60" s="258" t="s">
        <v>2247</v>
      </c>
    </row>
    <row r="61" spans="1:9" ht="40.799999999999997">
      <c r="A61" s="257"/>
      <c r="B61" s="257">
        <v>2211002</v>
      </c>
      <c r="C61" s="258" t="s">
        <v>2248</v>
      </c>
      <c r="D61" s="259">
        <v>115393939</v>
      </c>
      <c r="E61" s="258"/>
      <c r="F61" s="261">
        <v>35000000</v>
      </c>
      <c r="G61" s="258"/>
      <c r="H61" s="259">
        <v>150393939</v>
      </c>
      <c r="I61" s="258" t="s">
        <v>2249</v>
      </c>
    </row>
    <row r="62" spans="1:9" ht="81.599999999999994">
      <c r="A62" s="257"/>
      <c r="B62" s="257">
        <v>2211001</v>
      </c>
      <c r="C62" s="258" t="s">
        <v>2250</v>
      </c>
      <c r="D62" s="257"/>
      <c r="E62" s="258"/>
      <c r="F62" s="261">
        <v>10664566</v>
      </c>
      <c r="G62" s="258"/>
      <c r="H62" s="259">
        <v>10664566</v>
      </c>
      <c r="I62" s="258" t="s">
        <v>2251</v>
      </c>
    </row>
    <row r="63" spans="1:9" ht="81.599999999999994">
      <c r="A63" s="253">
        <v>1</v>
      </c>
      <c r="B63" s="253">
        <v>3111101</v>
      </c>
      <c r="C63" s="254" t="s">
        <v>1644</v>
      </c>
      <c r="D63" s="255">
        <v>3000000</v>
      </c>
      <c r="E63" s="254"/>
      <c r="F63" s="254"/>
      <c r="G63" s="255">
        <v>-3000000</v>
      </c>
      <c r="H63" s="253" t="s">
        <v>2224</v>
      </c>
      <c r="I63" s="258" t="s">
        <v>2252</v>
      </c>
    </row>
    <row r="64" spans="1:9" ht="40.799999999999997">
      <c r="A64" s="253"/>
      <c r="B64" s="253">
        <v>3111101</v>
      </c>
      <c r="C64" s="254" t="s">
        <v>1645</v>
      </c>
      <c r="D64" s="255">
        <v>452400</v>
      </c>
      <c r="E64" s="254"/>
      <c r="F64" s="254"/>
      <c r="G64" s="255">
        <v>-452400</v>
      </c>
      <c r="H64" s="253" t="s">
        <v>2224</v>
      </c>
      <c r="I64" s="258" t="s">
        <v>2253</v>
      </c>
    </row>
    <row r="65" spans="1:9" ht="40.799999999999997">
      <c r="A65" s="253"/>
      <c r="B65" s="253">
        <v>3111101</v>
      </c>
      <c r="C65" s="254" t="s">
        <v>1651</v>
      </c>
      <c r="D65" s="255">
        <v>3250000</v>
      </c>
      <c r="E65" s="254"/>
      <c r="F65" s="254"/>
      <c r="G65" s="255">
        <v>-1047600</v>
      </c>
      <c r="H65" s="255">
        <v>2202400</v>
      </c>
      <c r="I65" s="258" t="s">
        <v>2254</v>
      </c>
    </row>
    <row r="66" spans="1:9" ht="122.4">
      <c r="A66" s="253"/>
      <c r="B66" s="253">
        <v>3111101</v>
      </c>
      <c r="C66" s="254" t="s">
        <v>1834</v>
      </c>
      <c r="D66" s="255">
        <v>7880000</v>
      </c>
      <c r="E66" s="254"/>
      <c r="F66" s="254"/>
      <c r="G66" s="254"/>
      <c r="H66" s="255">
        <v>7880000</v>
      </c>
      <c r="I66" s="258" t="s">
        <v>2255</v>
      </c>
    </row>
    <row r="67" spans="1:9">
      <c r="A67" s="253"/>
      <c r="B67" s="253">
        <v>3111101</v>
      </c>
      <c r="C67" s="254" t="s">
        <v>2026</v>
      </c>
      <c r="D67" s="255">
        <v>4900000</v>
      </c>
      <c r="E67" s="254"/>
      <c r="F67" s="254"/>
      <c r="G67" s="254"/>
      <c r="H67" s="255">
        <v>4900000</v>
      </c>
      <c r="I67" s="258" t="s">
        <v>2255</v>
      </c>
    </row>
    <row r="68" spans="1:9" ht="40.799999999999997">
      <c r="A68" s="253"/>
      <c r="B68" s="253">
        <v>3111101</v>
      </c>
      <c r="C68" s="254" t="s">
        <v>2093</v>
      </c>
      <c r="D68" s="253"/>
      <c r="E68" s="254"/>
      <c r="F68" s="254"/>
      <c r="G68" s="255">
        <v>1300000</v>
      </c>
      <c r="H68" s="255">
        <v>1300000</v>
      </c>
      <c r="I68" s="258" t="s">
        <v>2256</v>
      </c>
    </row>
    <row r="69" spans="1:9" ht="40.799999999999997">
      <c r="A69" s="253"/>
      <c r="B69" s="253">
        <v>3111101</v>
      </c>
      <c r="C69" s="254" t="s">
        <v>2094</v>
      </c>
      <c r="D69" s="253"/>
      <c r="E69" s="254"/>
      <c r="F69" s="254"/>
      <c r="G69" s="255">
        <v>2800000</v>
      </c>
      <c r="H69" s="255">
        <v>2800000</v>
      </c>
      <c r="I69" s="258" t="s">
        <v>2257</v>
      </c>
    </row>
    <row r="70" spans="1:9" ht="40.799999999999997">
      <c r="A70" s="253"/>
      <c r="B70" s="253">
        <v>3111101</v>
      </c>
      <c r="C70" s="254" t="s">
        <v>2095</v>
      </c>
      <c r="D70" s="253"/>
      <c r="E70" s="254"/>
      <c r="F70" s="254"/>
      <c r="G70" s="255">
        <v>400000</v>
      </c>
      <c r="H70" s="255">
        <v>400000</v>
      </c>
      <c r="I70" s="254" t="s">
        <v>2117</v>
      </c>
    </row>
    <row r="71" spans="1:9" ht="61.2">
      <c r="A71" s="253"/>
      <c r="B71" s="253">
        <v>3111101</v>
      </c>
      <c r="C71" s="254" t="s">
        <v>2096</v>
      </c>
      <c r="D71" s="253"/>
      <c r="E71" s="254"/>
      <c r="F71" s="256">
        <v>18207000</v>
      </c>
      <c r="G71" s="254"/>
      <c r="H71" s="255">
        <v>18207000</v>
      </c>
      <c r="I71" s="254" t="s">
        <v>2118</v>
      </c>
    </row>
    <row r="72" spans="1:9" ht="122.4">
      <c r="A72" s="253"/>
      <c r="B72" s="253">
        <v>3111101</v>
      </c>
      <c r="C72" s="254" t="s">
        <v>2097</v>
      </c>
      <c r="D72" s="253"/>
      <c r="E72" s="256">
        <v>1175040</v>
      </c>
      <c r="F72" s="256">
        <v>7700000</v>
      </c>
      <c r="G72" s="254"/>
      <c r="H72" s="255">
        <v>8875040</v>
      </c>
      <c r="I72" s="254" t="s">
        <v>2153</v>
      </c>
    </row>
    <row r="73" spans="1:9" ht="61.2">
      <c r="A73" s="253"/>
      <c r="B73" s="253">
        <v>3110302</v>
      </c>
      <c r="C73" s="258" t="s">
        <v>2103</v>
      </c>
      <c r="D73" s="253"/>
      <c r="E73" s="254"/>
      <c r="F73" s="254"/>
      <c r="G73" s="255">
        <v>1300000</v>
      </c>
      <c r="H73" s="255">
        <v>1300000</v>
      </c>
      <c r="I73" s="258" t="s">
        <v>2258</v>
      </c>
    </row>
    <row r="74" spans="1:9" ht="40.799999999999997">
      <c r="A74" s="253"/>
      <c r="B74" s="253">
        <v>2210201</v>
      </c>
      <c r="C74" s="254" t="s">
        <v>21</v>
      </c>
      <c r="D74" s="255">
        <v>541420</v>
      </c>
      <c r="E74" s="254">
        <v>309000</v>
      </c>
      <c r="F74" s="254"/>
      <c r="G74" s="254"/>
      <c r="H74" s="255">
        <v>850420</v>
      </c>
      <c r="I74" s="254" t="s">
        <v>2259</v>
      </c>
    </row>
    <row r="75" spans="1:9" ht="61.2">
      <c r="A75" s="253"/>
      <c r="B75" s="253">
        <v>2210302</v>
      </c>
      <c r="C75" s="254" t="s">
        <v>26</v>
      </c>
      <c r="D75" s="255">
        <v>570900</v>
      </c>
      <c r="E75" s="255">
        <v>536000</v>
      </c>
      <c r="F75" s="253"/>
      <c r="G75" s="255">
        <v>-185212</v>
      </c>
      <c r="H75" s="255">
        <v>921688</v>
      </c>
      <c r="I75" s="254" t="s">
        <v>2260</v>
      </c>
    </row>
    <row r="76" spans="1:9" ht="40.799999999999997">
      <c r="A76" s="253"/>
      <c r="B76" s="253">
        <v>2210715</v>
      </c>
      <c r="C76" s="254" t="s">
        <v>40</v>
      </c>
      <c r="D76" s="255">
        <v>510930</v>
      </c>
      <c r="E76" s="255">
        <v>239380</v>
      </c>
      <c r="F76" s="254"/>
      <c r="G76" s="254"/>
      <c r="H76" s="255">
        <v>750310</v>
      </c>
      <c r="I76" s="254" t="s">
        <v>2261</v>
      </c>
    </row>
    <row r="77" spans="1:9" ht="40.799999999999997">
      <c r="A77" s="253"/>
      <c r="B77" s="253">
        <v>2210799</v>
      </c>
      <c r="C77" s="254" t="s">
        <v>1415</v>
      </c>
      <c r="D77" s="255">
        <v>130650</v>
      </c>
      <c r="E77" s="255">
        <v>20000</v>
      </c>
      <c r="F77" s="254"/>
      <c r="G77" s="254"/>
      <c r="H77" s="255">
        <v>150650</v>
      </c>
      <c r="I77" s="254" t="s">
        <v>2262</v>
      </c>
    </row>
    <row r="78" spans="1:9" ht="40.799999999999997">
      <c r="A78" s="253"/>
      <c r="B78" s="253">
        <v>2210801</v>
      </c>
      <c r="C78" s="254" t="s">
        <v>1867</v>
      </c>
      <c r="D78" s="255">
        <v>524172</v>
      </c>
      <c r="E78" s="255">
        <v>292710</v>
      </c>
      <c r="F78" s="254"/>
      <c r="G78" s="254"/>
      <c r="H78" s="255">
        <v>816882</v>
      </c>
      <c r="I78" s="254" t="s">
        <v>2263</v>
      </c>
    </row>
    <row r="79" spans="1:9" ht="40.799999999999997">
      <c r="A79" s="253"/>
      <c r="B79" s="253">
        <v>2210802</v>
      </c>
      <c r="C79" s="254" t="s">
        <v>97</v>
      </c>
      <c r="D79" s="255">
        <v>512105</v>
      </c>
      <c r="E79" s="255">
        <v>120040</v>
      </c>
      <c r="F79" s="254"/>
      <c r="G79" s="254"/>
      <c r="H79" s="255">
        <v>632145</v>
      </c>
      <c r="I79" s="254" t="s">
        <v>2264</v>
      </c>
    </row>
    <row r="80" spans="1:9" ht="40.799999999999997">
      <c r="A80" s="253"/>
      <c r="B80" s="253">
        <v>2211305</v>
      </c>
      <c r="C80" s="254" t="s">
        <v>2265</v>
      </c>
      <c r="D80" s="255">
        <v>778875</v>
      </c>
      <c r="E80" s="255">
        <v>60000</v>
      </c>
      <c r="F80" s="254"/>
      <c r="G80" s="254"/>
      <c r="H80" s="255">
        <v>838875</v>
      </c>
      <c r="I80" s="254" t="s">
        <v>2266</v>
      </c>
    </row>
    <row r="81" spans="1:9" ht="40.799999999999997">
      <c r="A81" s="253"/>
      <c r="B81" s="253">
        <v>2211306</v>
      </c>
      <c r="C81" s="254" t="s">
        <v>494</v>
      </c>
      <c r="D81" s="255">
        <v>376456</v>
      </c>
      <c r="E81" s="255">
        <v>16150</v>
      </c>
      <c r="F81" s="254"/>
      <c r="G81" s="254"/>
      <c r="H81" s="255">
        <v>392606</v>
      </c>
      <c r="I81" s="254" t="s">
        <v>2264</v>
      </c>
    </row>
    <row r="82" spans="1:9" ht="40.799999999999997">
      <c r="A82" s="253"/>
      <c r="B82" s="253">
        <v>2220101</v>
      </c>
      <c r="C82" s="254" t="s">
        <v>250</v>
      </c>
      <c r="D82" s="255">
        <v>447690</v>
      </c>
      <c r="E82" s="255">
        <v>49000</v>
      </c>
      <c r="F82" s="254"/>
      <c r="G82" s="254"/>
      <c r="H82" s="255">
        <v>496690</v>
      </c>
      <c r="I82" s="254" t="s">
        <v>2267</v>
      </c>
    </row>
    <row r="83" spans="1:9" ht="40.799999999999997">
      <c r="A83" s="253"/>
      <c r="B83" s="253">
        <v>2220205</v>
      </c>
      <c r="C83" s="254" t="s">
        <v>2268</v>
      </c>
      <c r="D83" s="255">
        <v>575620</v>
      </c>
      <c r="E83" s="255">
        <v>1770920</v>
      </c>
      <c r="F83" s="254"/>
      <c r="G83" s="254"/>
      <c r="H83" s="255">
        <v>2346540</v>
      </c>
      <c r="I83" s="254" t="s">
        <v>2269</v>
      </c>
    </row>
    <row r="84" spans="1:9" ht="81.599999999999994">
      <c r="A84" s="253"/>
      <c r="B84" s="253">
        <v>3111112</v>
      </c>
      <c r="C84" s="254" t="s">
        <v>2065</v>
      </c>
      <c r="D84" s="253"/>
      <c r="E84" s="254"/>
      <c r="F84" s="254"/>
      <c r="G84" s="255">
        <v>3000000</v>
      </c>
      <c r="H84" s="255">
        <v>3000000</v>
      </c>
      <c r="I84" s="254" t="s">
        <v>2270</v>
      </c>
    </row>
    <row r="85" spans="1:9" ht="40.799999999999997">
      <c r="A85" s="257"/>
      <c r="B85" s="257">
        <v>3110202</v>
      </c>
      <c r="C85" s="258" t="s">
        <v>1423</v>
      </c>
      <c r="D85" s="259">
        <v>25000000</v>
      </c>
      <c r="E85" s="257"/>
      <c r="F85" s="257" t="s">
        <v>2221</v>
      </c>
      <c r="G85" s="259">
        <v>-7000000</v>
      </c>
      <c r="H85" s="259">
        <v>18000000</v>
      </c>
      <c r="I85" s="258" t="s">
        <v>2271</v>
      </c>
    </row>
    <row r="86" spans="1:9" ht="81.599999999999994">
      <c r="A86" s="253"/>
      <c r="B86" s="253">
        <v>3110202</v>
      </c>
      <c r="C86" s="254" t="s">
        <v>1424</v>
      </c>
      <c r="D86" s="255">
        <v>19049631</v>
      </c>
      <c r="E86" s="255">
        <v>14535385</v>
      </c>
      <c r="F86" s="254"/>
      <c r="G86" s="255">
        <v>7185212</v>
      </c>
      <c r="H86" s="255">
        <v>40770228</v>
      </c>
      <c r="I86" s="254" t="s">
        <v>2272</v>
      </c>
    </row>
    <row r="87" spans="1:9" ht="81.599999999999994">
      <c r="A87" s="253"/>
      <c r="B87" s="253">
        <v>3110504</v>
      </c>
      <c r="C87" s="254" t="s">
        <v>1425</v>
      </c>
      <c r="D87" s="255">
        <v>33800000</v>
      </c>
      <c r="E87" s="255">
        <v>4123858</v>
      </c>
      <c r="F87" s="254"/>
      <c r="G87" s="255">
        <v>5000000</v>
      </c>
      <c r="H87" s="255">
        <v>42923858</v>
      </c>
      <c r="I87" s="254" t="s">
        <v>2273</v>
      </c>
    </row>
    <row r="88" spans="1:9" ht="40.799999999999997">
      <c r="A88" s="257"/>
      <c r="B88" s="257">
        <v>3111401</v>
      </c>
      <c r="C88" s="258" t="s">
        <v>1248</v>
      </c>
      <c r="D88" s="259">
        <v>20000000</v>
      </c>
      <c r="E88" s="258"/>
      <c r="F88" s="259">
        <v>-4000000</v>
      </c>
      <c r="G88" s="258"/>
      <c r="H88" s="259">
        <v>16000000</v>
      </c>
      <c r="I88" s="258" t="s">
        <v>2274</v>
      </c>
    </row>
    <row r="89" spans="1:9" ht="40.799999999999997">
      <c r="A89" s="2262"/>
      <c r="B89" s="2262">
        <v>3111499</v>
      </c>
      <c r="C89" s="258" t="s">
        <v>2275</v>
      </c>
      <c r="D89" s="2259">
        <v>20000000</v>
      </c>
      <c r="E89" s="2260"/>
      <c r="F89" s="2259">
        <v>-5000000</v>
      </c>
      <c r="G89" s="2259">
        <v>-3000000</v>
      </c>
      <c r="H89" s="2259">
        <v>12000000</v>
      </c>
      <c r="I89" s="2260" t="s">
        <v>2276</v>
      </c>
    </row>
    <row r="90" spans="1:9">
      <c r="A90" s="2262"/>
      <c r="B90" s="2262"/>
      <c r="C90" s="258" t="s">
        <v>1944</v>
      </c>
      <c r="D90" s="2259"/>
      <c r="E90" s="2260"/>
      <c r="F90" s="2259"/>
      <c r="G90" s="2259"/>
      <c r="H90" s="2259"/>
      <c r="I90" s="2260"/>
    </row>
    <row r="91" spans="1:9" ht="40.799999999999997">
      <c r="A91" s="257"/>
      <c r="B91" s="257">
        <v>2210704</v>
      </c>
      <c r="C91" s="258" t="s">
        <v>1435</v>
      </c>
      <c r="D91" s="259">
        <v>3000000</v>
      </c>
      <c r="E91" s="258"/>
      <c r="F91" s="258">
        <v>-1000000</v>
      </c>
      <c r="G91" s="258"/>
      <c r="H91" s="259">
        <v>2000000</v>
      </c>
      <c r="I91" s="258" t="s">
        <v>2277</v>
      </c>
    </row>
    <row r="92" spans="1:9" ht="40.799999999999997">
      <c r="A92" s="253"/>
      <c r="B92" s="253">
        <v>2210302</v>
      </c>
      <c r="C92" s="254" t="s">
        <v>26</v>
      </c>
      <c r="D92" s="255">
        <v>556900</v>
      </c>
      <c r="E92" s="254"/>
      <c r="F92" s="254"/>
      <c r="G92" s="254">
        <v>-556900</v>
      </c>
      <c r="H92" s="253" t="s">
        <v>2224</v>
      </c>
      <c r="I92" s="254" t="s">
        <v>2278</v>
      </c>
    </row>
    <row r="93" spans="1:9" ht="61.2">
      <c r="A93" s="253"/>
      <c r="B93" s="253">
        <v>2210401</v>
      </c>
      <c r="C93" s="254" t="s">
        <v>190</v>
      </c>
      <c r="D93" s="255">
        <v>374000</v>
      </c>
      <c r="E93" s="254"/>
      <c r="F93" s="254"/>
      <c r="G93" s="253">
        <v>556900</v>
      </c>
      <c r="H93" s="255">
        <v>930900</v>
      </c>
      <c r="I93" s="254" t="s">
        <v>2279</v>
      </c>
    </row>
    <row r="94" spans="1:9" ht="40.799999999999997">
      <c r="A94" s="253"/>
      <c r="B94" s="253">
        <v>2210402</v>
      </c>
      <c r="C94" s="254" t="s">
        <v>485</v>
      </c>
      <c r="D94" s="255">
        <v>964000</v>
      </c>
      <c r="E94" s="254"/>
      <c r="F94" s="254"/>
      <c r="G94" s="255">
        <v>244490</v>
      </c>
      <c r="H94" s="255">
        <v>1208490</v>
      </c>
      <c r="I94" s="254" t="s">
        <v>2280</v>
      </c>
    </row>
    <row r="95" spans="1:9" ht="40.799999999999997">
      <c r="A95" s="257"/>
      <c r="B95" s="257">
        <v>2220101</v>
      </c>
      <c r="C95" s="258" t="s">
        <v>200</v>
      </c>
      <c r="D95" s="259">
        <v>325000</v>
      </c>
      <c r="E95" s="258"/>
      <c r="F95" s="258"/>
      <c r="G95" s="259">
        <v>300000</v>
      </c>
      <c r="H95" s="259">
        <v>625000</v>
      </c>
      <c r="I95" s="258" t="s">
        <v>2281</v>
      </c>
    </row>
    <row r="96" spans="1:9" ht="40.799999999999997">
      <c r="A96" s="257"/>
      <c r="B96" s="257">
        <v>2220205</v>
      </c>
      <c r="C96" s="258" t="s">
        <v>125</v>
      </c>
      <c r="D96" s="259">
        <v>950000</v>
      </c>
      <c r="E96" s="258"/>
      <c r="F96" s="258"/>
      <c r="G96" s="259">
        <v>-300000</v>
      </c>
      <c r="H96" s="259">
        <v>650000</v>
      </c>
      <c r="I96" s="258" t="s">
        <v>2282</v>
      </c>
    </row>
    <row r="97" spans="1:9" ht="40.799999999999997">
      <c r="A97" s="253"/>
      <c r="B97" s="253">
        <v>2210301</v>
      </c>
      <c r="C97" s="254" t="s">
        <v>25</v>
      </c>
      <c r="D97" s="255">
        <v>244490</v>
      </c>
      <c r="E97" s="254"/>
      <c r="F97" s="254"/>
      <c r="G97" s="253">
        <v>-244490</v>
      </c>
      <c r="H97" s="253" t="s">
        <v>2224</v>
      </c>
      <c r="I97" s="254" t="s">
        <v>2280</v>
      </c>
    </row>
    <row r="98" spans="1:9" ht="61.2">
      <c r="A98" s="257"/>
      <c r="B98" s="257">
        <v>3110504</v>
      </c>
      <c r="C98" s="258" t="s">
        <v>1460</v>
      </c>
      <c r="D98" s="259">
        <v>31000000</v>
      </c>
      <c r="E98" s="258"/>
      <c r="F98" s="259">
        <v>-5433992</v>
      </c>
      <c r="G98" s="259">
        <v>3000000</v>
      </c>
      <c r="H98" s="259">
        <v>28566008</v>
      </c>
      <c r="I98" s="258" t="s">
        <v>2283</v>
      </c>
    </row>
    <row r="99" spans="1:9" ht="244.8">
      <c r="A99" s="257"/>
      <c r="B99" s="257">
        <v>2210707</v>
      </c>
      <c r="C99" s="258" t="s">
        <v>2150</v>
      </c>
      <c r="D99" s="257"/>
      <c r="E99" s="258"/>
      <c r="F99" s="258"/>
      <c r="G99" s="259">
        <v>12000000</v>
      </c>
      <c r="H99" s="259">
        <v>12000000</v>
      </c>
      <c r="I99" s="258" t="s">
        <v>2151</v>
      </c>
    </row>
    <row r="100" spans="1:9" ht="102">
      <c r="A100" s="257"/>
      <c r="B100" s="257">
        <v>3110504</v>
      </c>
      <c r="C100" s="258" t="s">
        <v>1482</v>
      </c>
      <c r="D100" s="259">
        <v>40000000</v>
      </c>
      <c r="E100" s="259">
        <v>12941041</v>
      </c>
      <c r="F100" s="259">
        <v>-20000000</v>
      </c>
      <c r="G100" s="259">
        <v>-15000000</v>
      </c>
      <c r="H100" s="259">
        <v>17941041</v>
      </c>
      <c r="I100" s="258" t="s">
        <v>2284</v>
      </c>
    </row>
    <row r="101" spans="1:9">
      <c r="A101" s="253"/>
      <c r="B101" s="253">
        <v>2211201</v>
      </c>
      <c r="C101" s="254" t="s">
        <v>56</v>
      </c>
      <c r="D101" s="255">
        <v>298600</v>
      </c>
      <c r="E101" s="254"/>
      <c r="F101" s="254"/>
      <c r="G101" s="255">
        <v>300000</v>
      </c>
      <c r="H101" s="255">
        <v>598600</v>
      </c>
      <c r="I101" s="254" t="s">
        <v>2285</v>
      </c>
    </row>
    <row r="102" spans="1:9">
      <c r="A102" s="253"/>
      <c r="B102" s="253">
        <v>2220101</v>
      </c>
      <c r="C102" s="254" t="s">
        <v>200</v>
      </c>
      <c r="D102" s="255">
        <v>110200</v>
      </c>
      <c r="E102" s="254"/>
      <c r="F102" s="254"/>
      <c r="G102" s="255">
        <v>150000</v>
      </c>
      <c r="H102" s="255">
        <v>260200</v>
      </c>
      <c r="I102" s="254" t="s">
        <v>2286</v>
      </c>
    </row>
    <row r="103" spans="1:9" ht="40.799999999999997">
      <c r="A103" s="253"/>
      <c r="B103" s="253">
        <v>2211101</v>
      </c>
      <c r="C103" s="254" t="s">
        <v>52</v>
      </c>
      <c r="D103" s="255">
        <v>34800</v>
      </c>
      <c r="E103" s="255">
        <v>5463579</v>
      </c>
      <c r="F103" s="254"/>
      <c r="G103" s="254"/>
      <c r="H103" s="255">
        <v>5498379</v>
      </c>
      <c r="I103" s="254" t="s">
        <v>2287</v>
      </c>
    </row>
    <row r="104" spans="1:9" ht="40.799999999999997">
      <c r="A104" s="253"/>
      <c r="B104" s="253">
        <v>2220101</v>
      </c>
      <c r="C104" s="254" t="s">
        <v>200</v>
      </c>
      <c r="D104" s="255">
        <v>78300</v>
      </c>
      <c r="E104" s="254"/>
      <c r="F104" s="254"/>
      <c r="G104" s="255">
        <v>150000</v>
      </c>
      <c r="H104" s="255">
        <v>228300</v>
      </c>
      <c r="I104" s="254" t="s">
        <v>2288</v>
      </c>
    </row>
    <row r="105" spans="1:9" ht="61.2">
      <c r="A105" s="253"/>
      <c r="B105" s="253">
        <v>3110504</v>
      </c>
      <c r="C105" s="254" t="s">
        <v>1492</v>
      </c>
      <c r="D105" s="255">
        <v>10185000</v>
      </c>
      <c r="E105" s="255">
        <v>998598</v>
      </c>
      <c r="F105" s="253"/>
      <c r="G105" s="255">
        <v>-1000000</v>
      </c>
      <c r="H105" s="255">
        <v>10183598</v>
      </c>
      <c r="I105" s="254" t="s">
        <v>2289</v>
      </c>
    </row>
    <row r="106" spans="1:9" ht="81.599999999999994">
      <c r="A106" s="257"/>
      <c r="B106" s="257">
        <v>2211029</v>
      </c>
      <c r="C106" s="258" t="s">
        <v>1494</v>
      </c>
      <c r="D106" s="259">
        <v>10212600</v>
      </c>
      <c r="E106" s="259">
        <v>2399900</v>
      </c>
      <c r="F106" s="259">
        <v>-7679600</v>
      </c>
      <c r="G106" s="257"/>
      <c r="H106" s="259">
        <v>4932900</v>
      </c>
      <c r="I106" s="254" t="s">
        <v>2290</v>
      </c>
    </row>
    <row r="107" spans="1:9" ht="40.799999999999997">
      <c r="A107" s="253"/>
      <c r="B107" s="253">
        <v>2640402</v>
      </c>
      <c r="C107" s="254" t="s">
        <v>612</v>
      </c>
      <c r="D107" s="255">
        <v>1728980</v>
      </c>
      <c r="E107" s="255">
        <v>568500</v>
      </c>
      <c r="F107" s="254"/>
      <c r="G107" s="254"/>
      <c r="H107" s="255">
        <v>2297480</v>
      </c>
      <c r="I107" s="254" t="s">
        <v>2291</v>
      </c>
    </row>
    <row r="108" spans="1:9" ht="40.799999999999997">
      <c r="A108" s="253"/>
      <c r="B108" s="253">
        <v>2210503</v>
      </c>
      <c r="C108" s="254" t="s">
        <v>32</v>
      </c>
      <c r="D108" s="255">
        <v>621800</v>
      </c>
      <c r="E108" s="255">
        <v>332320</v>
      </c>
      <c r="F108" s="254"/>
      <c r="G108" s="254"/>
      <c r="H108" s="255">
        <v>954120</v>
      </c>
      <c r="I108" s="254" t="s">
        <v>2143</v>
      </c>
    </row>
    <row r="109" spans="1:9" ht="40.799999999999997">
      <c r="A109" s="253"/>
      <c r="B109" s="253">
        <v>2210715</v>
      </c>
      <c r="C109" s="254" t="s">
        <v>40</v>
      </c>
      <c r="D109" s="255">
        <v>150000</v>
      </c>
      <c r="E109" s="255">
        <v>2849103</v>
      </c>
      <c r="F109" s="254"/>
      <c r="G109" s="254"/>
      <c r="H109" s="255">
        <v>2999103</v>
      </c>
      <c r="I109" s="254" t="s">
        <v>2292</v>
      </c>
    </row>
    <row r="110" spans="1:9" ht="40.799999999999997">
      <c r="A110" s="253"/>
      <c r="B110" s="253">
        <v>2210801</v>
      </c>
      <c r="C110" s="254" t="s">
        <v>1867</v>
      </c>
      <c r="D110" s="255">
        <v>187000</v>
      </c>
      <c r="E110" s="255">
        <v>4377333</v>
      </c>
      <c r="F110" s="254"/>
      <c r="G110" s="254"/>
      <c r="H110" s="255">
        <v>4564333</v>
      </c>
      <c r="I110" s="254" t="s">
        <v>2293</v>
      </c>
    </row>
    <row r="111" spans="1:9" ht="40.799999999999997">
      <c r="A111" s="253"/>
      <c r="B111" s="253">
        <v>2211101</v>
      </c>
      <c r="C111" s="254" t="s">
        <v>52</v>
      </c>
      <c r="D111" s="255">
        <v>703000</v>
      </c>
      <c r="E111" s="255">
        <v>315590</v>
      </c>
      <c r="F111" s="254"/>
      <c r="G111" s="254"/>
      <c r="H111" s="255">
        <v>1018590</v>
      </c>
      <c r="I111" s="254" t="s">
        <v>2294</v>
      </c>
    </row>
    <row r="112" spans="1:9" ht="40.799999999999997">
      <c r="A112" s="253"/>
      <c r="B112" s="253">
        <v>2220105</v>
      </c>
      <c r="C112" s="254" t="s">
        <v>64</v>
      </c>
      <c r="D112" s="255">
        <v>290000</v>
      </c>
      <c r="E112" s="255">
        <v>186494</v>
      </c>
      <c r="F112" s="254"/>
      <c r="G112" s="254"/>
      <c r="H112" s="255">
        <v>476494</v>
      </c>
      <c r="I112" s="254" t="s">
        <v>2295</v>
      </c>
    </row>
    <row r="113" spans="1:9" ht="40.799999999999997">
      <c r="A113" s="253"/>
      <c r="B113" s="253">
        <v>3111002</v>
      </c>
      <c r="C113" s="254" t="s">
        <v>71</v>
      </c>
      <c r="D113" s="255">
        <v>500000</v>
      </c>
      <c r="E113" s="255">
        <v>1320300</v>
      </c>
      <c r="F113" s="254"/>
      <c r="G113" s="254"/>
      <c r="H113" s="255">
        <v>1820300</v>
      </c>
      <c r="I113" s="254" t="s">
        <v>2296</v>
      </c>
    </row>
    <row r="114" spans="1:9" ht="61.2">
      <c r="A114" s="253"/>
      <c r="B114" s="253"/>
      <c r="C114" s="258" t="s">
        <v>1510</v>
      </c>
      <c r="D114" s="255">
        <v>37500000</v>
      </c>
      <c r="E114" s="253" t="s">
        <v>2297</v>
      </c>
      <c r="F114" s="258"/>
      <c r="G114" s="259">
        <v>-37500000</v>
      </c>
      <c r="H114" s="257" t="s">
        <v>2298</v>
      </c>
      <c r="I114" s="254" t="s">
        <v>2299</v>
      </c>
    </row>
    <row r="115" spans="1:9" ht="61.2">
      <c r="A115" s="253"/>
      <c r="B115" s="253"/>
      <c r="C115" s="258" t="s">
        <v>2029</v>
      </c>
      <c r="D115" s="255">
        <v>5625000</v>
      </c>
      <c r="E115" s="254"/>
      <c r="F115" s="258"/>
      <c r="G115" s="259">
        <v>-5625000</v>
      </c>
      <c r="H115" s="257" t="s">
        <v>2298</v>
      </c>
      <c r="I115" s="254" t="s">
        <v>2300</v>
      </c>
    </row>
    <row r="116" spans="1:9" ht="81.599999999999994">
      <c r="A116" s="253"/>
      <c r="B116" s="253"/>
      <c r="C116" s="258" t="s">
        <v>1510</v>
      </c>
      <c r="D116" s="253" t="s">
        <v>2209</v>
      </c>
      <c r="E116" s="255">
        <v>39666974</v>
      </c>
      <c r="F116" s="258"/>
      <c r="G116" s="258">
        <v>37500000</v>
      </c>
      <c r="H116" s="259">
        <v>77166974</v>
      </c>
      <c r="I116" s="254" t="s">
        <v>2301</v>
      </c>
    </row>
    <row r="117" spans="1:9" ht="61.2">
      <c r="A117" s="253"/>
      <c r="B117" s="253"/>
      <c r="C117" s="258" t="s">
        <v>2029</v>
      </c>
      <c r="D117" s="253" t="s">
        <v>2209</v>
      </c>
      <c r="E117" s="254"/>
      <c r="F117" s="258"/>
      <c r="G117" s="258">
        <v>5625000</v>
      </c>
      <c r="H117" s="259">
        <v>5625000</v>
      </c>
      <c r="I117" s="254" t="s">
        <v>2302</v>
      </c>
    </row>
    <row r="118" spans="1:9" ht="61.2">
      <c r="A118" s="253"/>
      <c r="B118" s="253">
        <v>2211310</v>
      </c>
      <c r="C118" s="254" t="s">
        <v>2081</v>
      </c>
      <c r="D118" s="253"/>
      <c r="E118" s="254"/>
      <c r="F118" s="255">
        <v>6386429</v>
      </c>
      <c r="G118" s="254"/>
      <c r="H118" s="255">
        <v>6386429</v>
      </c>
      <c r="I118" s="254" t="s">
        <v>2303</v>
      </c>
    </row>
    <row r="119" spans="1:9" ht="40.799999999999997">
      <c r="A119" s="253"/>
      <c r="B119" s="253">
        <v>2220210</v>
      </c>
      <c r="C119" s="254" t="s">
        <v>163</v>
      </c>
      <c r="D119" s="255">
        <v>10007934</v>
      </c>
      <c r="E119" s="255">
        <v>3000000</v>
      </c>
      <c r="F119" s="254"/>
      <c r="G119" s="254"/>
      <c r="H119" s="255">
        <v>13007934</v>
      </c>
      <c r="I119" s="254" t="s">
        <v>2304</v>
      </c>
    </row>
    <row r="120" spans="1:9" ht="40.799999999999997">
      <c r="A120" s="257"/>
      <c r="B120" s="257">
        <v>2210299</v>
      </c>
      <c r="C120" s="258" t="s">
        <v>2149</v>
      </c>
      <c r="D120" s="257"/>
      <c r="E120" s="257"/>
      <c r="F120" s="259">
        <v>34599664</v>
      </c>
      <c r="G120" s="258"/>
      <c r="H120" s="259">
        <v>34599664</v>
      </c>
      <c r="I120" s="258" t="s">
        <v>2305</v>
      </c>
    </row>
    <row r="121" spans="1:9" ht="61.2">
      <c r="A121" s="257"/>
      <c r="B121" s="257">
        <v>3110202</v>
      </c>
      <c r="C121" s="258" t="s">
        <v>1837</v>
      </c>
      <c r="D121" s="259">
        <v>10000000</v>
      </c>
      <c r="E121" s="259">
        <v>14734068</v>
      </c>
      <c r="F121" s="258"/>
      <c r="G121" s="258"/>
      <c r="H121" s="259">
        <v>24734068</v>
      </c>
      <c r="I121" s="258" t="s">
        <v>2306</v>
      </c>
    </row>
    <row r="122" spans="1:9">
      <c r="A122" s="253"/>
      <c r="B122" s="254"/>
      <c r="C122" s="254" t="s">
        <v>2307</v>
      </c>
      <c r="D122" s="253"/>
      <c r="E122" s="254"/>
      <c r="F122" s="254"/>
      <c r="G122" s="254"/>
      <c r="H122" s="253" t="s">
        <v>2224</v>
      </c>
      <c r="I122" s="256">
        <v>-31272355</v>
      </c>
    </row>
    <row r="123" spans="1:9" ht="102">
      <c r="A123" s="257"/>
      <c r="B123" s="258">
        <v>3110202</v>
      </c>
      <c r="C123" s="258" t="s">
        <v>2308</v>
      </c>
      <c r="D123" s="259">
        <v>33042008</v>
      </c>
      <c r="E123" s="259">
        <v>202858553</v>
      </c>
      <c r="F123" s="259">
        <v>-64314363</v>
      </c>
      <c r="G123" s="259">
        <v>-68727645</v>
      </c>
      <c r="H123" s="259">
        <v>102858553</v>
      </c>
      <c r="I123" s="258" t="s">
        <v>2309</v>
      </c>
    </row>
    <row r="124" spans="1:9" ht="40.799999999999997">
      <c r="A124" s="257"/>
      <c r="B124" s="257">
        <v>2210802</v>
      </c>
      <c r="C124" s="258" t="s">
        <v>685</v>
      </c>
      <c r="D124" s="259">
        <v>1500000</v>
      </c>
      <c r="E124" s="258"/>
      <c r="F124" s="258"/>
      <c r="G124" s="258">
        <v>200000</v>
      </c>
      <c r="H124" s="259">
        <v>1700000</v>
      </c>
      <c r="I124" s="258" t="s">
        <v>2310</v>
      </c>
    </row>
    <row r="125" spans="1:9" ht="40.799999999999997">
      <c r="A125" s="257"/>
      <c r="B125" s="257">
        <v>2211016</v>
      </c>
      <c r="C125" s="258" t="s">
        <v>1381</v>
      </c>
      <c r="D125" s="259">
        <v>500000</v>
      </c>
      <c r="E125" s="258">
        <v>111700</v>
      </c>
      <c r="F125" s="258"/>
      <c r="G125" s="258"/>
      <c r="H125" s="259">
        <v>611700</v>
      </c>
      <c r="I125" s="258" t="s">
        <v>2311</v>
      </c>
    </row>
    <row r="126" spans="1:9" ht="40.799999999999997">
      <c r="A126" s="257"/>
      <c r="B126" s="257">
        <v>2211102</v>
      </c>
      <c r="C126" s="258" t="s">
        <v>53</v>
      </c>
      <c r="D126" s="259">
        <v>500000</v>
      </c>
      <c r="E126" s="258"/>
      <c r="F126" s="258"/>
      <c r="G126" s="258">
        <v>-145000</v>
      </c>
      <c r="H126" s="259">
        <v>355000</v>
      </c>
      <c r="I126" s="258" t="s">
        <v>2312</v>
      </c>
    </row>
    <row r="127" spans="1:9">
      <c r="A127" s="257"/>
      <c r="B127" s="257">
        <v>2210802</v>
      </c>
      <c r="C127" s="258" t="s">
        <v>97</v>
      </c>
      <c r="D127" s="259">
        <v>115000</v>
      </c>
      <c r="E127" s="258"/>
      <c r="F127" s="258"/>
      <c r="G127" s="258">
        <v>300000</v>
      </c>
      <c r="H127" s="259">
        <v>415000</v>
      </c>
      <c r="I127" s="258" t="s">
        <v>2313</v>
      </c>
    </row>
    <row r="128" spans="1:9" ht="40.799999999999997">
      <c r="A128" s="257"/>
      <c r="B128" s="257">
        <v>3110504</v>
      </c>
      <c r="C128" s="258" t="s">
        <v>1383</v>
      </c>
      <c r="D128" s="259">
        <v>3319000</v>
      </c>
      <c r="E128" s="258"/>
      <c r="F128" s="258"/>
      <c r="G128" s="258">
        <v>-1319000</v>
      </c>
      <c r="H128" s="259">
        <v>2000000</v>
      </c>
      <c r="I128" s="258" t="s">
        <v>2314</v>
      </c>
    </row>
    <row r="129" spans="1:9">
      <c r="A129" s="257"/>
      <c r="B129" s="257">
        <v>2210802</v>
      </c>
      <c r="C129" s="258" t="s">
        <v>97</v>
      </c>
      <c r="D129" s="259">
        <v>100000</v>
      </c>
      <c r="E129" s="258"/>
      <c r="F129" s="258"/>
      <c r="G129" s="258">
        <v>300000</v>
      </c>
      <c r="H129" s="259">
        <v>400000</v>
      </c>
      <c r="I129" s="258" t="s">
        <v>2315</v>
      </c>
    </row>
    <row r="130" spans="1:9" ht="40.799999999999997">
      <c r="A130" s="253"/>
      <c r="B130" s="253">
        <v>3111002</v>
      </c>
      <c r="C130" s="254" t="s">
        <v>71</v>
      </c>
      <c r="D130" s="255">
        <v>500000</v>
      </c>
      <c r="E130" s="254"/>
      <c r="F130" s="254"/>
      <c r="G130" s="254">
        <v>145000</v>
      </c>
      <c r="H130" s="255">
        <v>645000</v>
      </c>
      <c r="I130" s="254" t="s">
        <v>2316</v>
      </c>
    </row>
    <row r="131" spans="1:9" ht="40.799999999999997">
      <c r="A131" s="257"/>
      <c r="B131" s="257">
        <v>3111401</v>
      </c>
      <c r="C131" s="258" t="s">
        <v>2110</v>
      </c>
      <c r="D131" s="257"/>
      <c r="E131" s="258"/>
      <c r="F131" s="259">
        <v>4720341</v>
      </c>
      <c r="G131" s="258"/>
      <c r="H131" s="259">
        <v>4720341</v>
      </c>
      <c r="I131" s="258" t="s">
        <v>2317</v>
      </c>
    </row>
    <row r="132" spans="1:9" ht="40.799999999999997">
      <c r="A132" s="253"/>
      <c r="B132" s="253">
        <v>3110299</v>
      </c>
      <c r="C132" s="254" t="s">
        <v>1387</v>
      </c>
      <c r="D132" s="255">
        <v>2000000</v>
      </c>
      <c r="E132" s="254">
        <v>1590000</v>
      </c>
      <c r="F132" s="254"/>
      <c r="G132" s="255">
        <v>-120000</v>
      </c>
      <c r="H132" s="255">
        <v>3470000</v>
      </c>
      <c r="I132" s="254" t="s">
        <v>2318</v>
      </c>
    </row>
    <row r="133" spans="1:9" ht="61.2">
      <c r="A133" s="253"/>
      <c r="B133" s="253">
        <v>3110599</v>
      </c>
      <c r="C133" s="254" t="s">
        <v>1389</v>
      </c>
      <c r="D133" s="255">
        <v>2500000</v>
      </c>
      <c r="E133" s="254"/>
      <c r="F133" s="254"/>
      <c r="G133" s="255">
        <v>-2500000</v>
      </c>
      <c r="H133" s="253" t="s">
        <v>2224</v>
      </c>
      <c r="I133" s="254" t="s">
        <v>2319</v>
      </c>
    </row>
    <row r="134" spans="1:9">
      <c r="A134" s="253"/>
      <c r="B134" s="253">
        <v>2210802</v>
      </c>
      <c r="C134" s="254" t="s">
        <v>97</v>
      </c>
      <c r="D134" s="255">
        <v>100000</v>
      </c>
      <c r="E134" s="254"/>
      <c r="F134" s="254"/>
      <c r="G134" s="254">
        <v>200000</v>
      </c>
      <c r="H134" s="255">
        <v>300000</v>
      </c>
      <c r="I134" s="254" t="s">
        <v>2320</v>
      </c>
    </row>
    <row r="135" spans="1:9">
      <c r="A135" s="253"/>
      <c r="B135" s="253">
        <v>2210711</v>
      </c>
      <c r="C135" s="254" t="s">
        <v>156</v>
      </c>
      <c r="D135" s="255">
        <v>26100</v>
      </c>
      <c r="E135" s="254"/>
      <c r="F135" s="254"/>
      <c r="G135" s="254">
        <v>150000</v>
      </c>
      <c r="H135" s="255">
        <v>176100</v>
      </c>
      <c r="I135" s="254" t="s">
        <v>2321</v>
      </c>
    </row>
    <row r="136" spans="1:9" ht="40.799999999999997">
      <c r="A136" s="253"/>
      <c r="B136" s="253">
        <v>3110504</v>
      </c>
      <c r="C136" s="254" t="s">
        <v>1391</v>
      </c>
      <c r="D136" s="255">
        <v>2000000</v>
      </c>
      <c r="E136" s="254">
        <v>743967</v>
      </c>
      <c r="F136" s="254"/>
      <c r="G136" s="254"/>
      <c r="H136" s="255">
        <v>2743967</v>
      </c>
      <c r="I136" s="254" t="s">
        <v>2322</v>
      </c>
    </row>
    <row r="137" spans="1:9" ht="61.2">
      <c r="A137" s="253"/>
      <c r="B137" s="253">
        <v>3110599</v>
      </c>
      <c r="C137" s="254" t="s">
        <v>1392</v>
      </c>
      <c r="D137" s="255">
        <v>4000000</v>
      </c>
      <c r="E137" s="254"/>
      <c r="F137" s="254"/>
      <c r="G137" s="254">
        <v>-4000000</v>
      </c>
      <c r="H137" s="253" t="s">
        <v>2224</v>
      </c>
      <c r="I137" s="254" t="s">
        <v>2323</v>
      </c>
    </row>
    <row r="138" spans="1:9" ht="61.2">
      <c r="A138" s="253"/>
      <c r="B138" s="253">
        <v>3110599</v>
      </c>
      <c r="C138" s="254" t="s">
        <v>752</v>
      </c>
      <c r="D138" s="253" t="s">
        <v>2209</v>
      </c>
      <c r="E138" s="254">
        <v>0</v>
      </c>
      <c r="F138" s="254"/>
      <c r="G138" s="254">
        <v>3959000</v>
      </c>
      <c r="H138" s="255">
        <v>3959000</v>
      </c>
      <c r="I138" s="254" t="s">
        <v>2324</v>
      </c>
    </row>
    <row r="139" spans="1:9" ht="40.799999999999997">
      <c r="A139" s="253"/>
      <c r="B139" s="253">
        <v>2210201</v>
      </c>
      <c r="C139" s="254" t="s">
        <v>2325</v>
      </c>
      <c r="D139" s="255">
        <v>319000</v>
      </c>
      <c r="E139" s="256">
        <v>84000</v>
      </c>
      <c r="F139" s="254"/>
      <c r="G139" s="254"/>
      <c r="H139" s="255">
        <v>403000</v>
      </c>
      <c r="I139" s="254" t="s">
        <v>2326</v>
      </c>
    </row>
    <row r="140" spans="1:9" ht="409.6">
      <c r="A140" s="257"/>
      <c r="B140" s="257">
        <v>3111112</v>
      </c>
      <c r="C140" s="258" t="s">
        <v>2327</v>
      </c>
      <c r="D140" s="257"/>
      <c r="E140" s="257"/>
      <c r="F140" s="259">
        <v>15000000</v>
      </c>
      <c r="G140" s="257"/>
      <c r="H140" s="259">
        <v>15000000</v>
      </c>
      <c r="I140" s="254" t="s">
        <v>2162</v>
      </c>
    </row>
  </sheetData>
  <mergeCells count="39">
    <mergeCell ref="B46:B48"/>
    <mergeCell ref="E49:E51"/>
    <mergeCell ref="E41:E42"/>
    <mergeCell ref="D89:D90"/>
    <mergeCell ref="C43:C44"/>
    <mergeCell ref="B41:B42"/>
    <mergeCell ref="A89:A90"/>
    <mergeCell ref="A49:A51"/>
    <mergeCell ref="B43:B44"/>
    <mergeCell ref="F89:F90"/>
    <mergeCell ref="G43:G44"/>
    <mergeCell ref="D49:D51"/>
    <mergeCell ref="E89:E90"/>
    <mergeCell ref="A46:A48"/>
    <mergeCell ref="B89:B90"/>
    <mergeCell ref="F49:F51"/>
    <mergeCell ref="D46:D48"/>
    <mergeCell ref="G89:G90"/>
    <mergeCell ref="B49:B51"/>
    <mergeCell ref="G49:G51"/>
    <mergeCell ref="E46:E48"/>
    <mergeCell ref="E43:E44"/>
    <mergeCell ref="A1:I1"/>
    <mergeCell ref="A43:A44"/>
    <mergeCell ref="G41:G42"/>
    <mergeCell ref="F43:F44"/>
    <mergeCell ref="D43:D44"/>
    <mergeCell ref="F41:F42"/>
    <mergeCell ref="A41:A42"/>
    <mergeCell ref="H41:H42"/>
    <mergeCell ref="D41:D42"/>
    <mergeCell ref="H43:H44"/>
    <mergeCell ref="H49:H51"/>
    <mergeCell ref="C41:C42"/>
    <mergeCell ref="H46:H48"/>
    <mergeCell ref="I89:I90"/>
    <mergeCell ref="H89:H90"/>
    <mergeCell ref="F46:F48"/>
    <mergeCell ref="G46:G48"/>
  </mergeCells>
  <pageMargins left="0.70866141732283472" right="0.70866141732283472" top="0.74803149606299213" bottom="0.74803149606299213" header="0.31496062992125984" footer="0.31496062992125984"/>
  <pageSetup paperSize="9" scale="43" orientation="landscape"/>
  <headerFooter>
    <oddFooter>Page &amp;P of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Sheet1</vt:lpstr>
      <vt:lpstr>Dir. CAB Memo</vt:lpstr>
      <vt:lpstr>DIR VERSION 2</vt:lpstr>
      <vt:lpstr>Memorandum - V4</vt:lpstr>
      <vt:lpstr>Sheet11</vt:lpstr>
      <vt:lpstr>Sheet10</vt:lpstr>
      <vt:lpstr>Budget Notes</vt:lpstr>
      <vt:lpstr>Sheet9</vt:lpstr>
      <vt:lpstr>Sheet7</vt:lpstr>
      <vt:lpstr>Sheet2</vt:lpstr>
      <vt:lpstr>cabinet</vt:lpstr>
      <vt:lpstr>Sheet5</vt:lpstr>
      <vt:lpstr>Sheet4</vt:lpstr>
      <vt:lpstr>ODG - TOURISM</vt:lpstr>
      <vt:lpstr>SUMMARY OF CHANGES</vt:lpstr>
      <vt:lpstr>Itemized Budget 2024-25</vt:lpstr>
      <vt:lpstr>FINAL RESOURCE ENVELOPE</vt:lpstr>
      <vt:lpstr>Summary</vt:lpstr>
      <vt:lpstr>Tables</vt:lpstr>
      <vt:lpstr>Programmes</vt:lpstr>
      <vt:lpstr>HE Analysis</vt:lpstr>
      <vt:lpstr>Sheet3</vt:lpstr>
      <vt:lpstr>List of Development Projects</vt:lpstr>
      <vt:lpstr>OOG</vt:lpstr>
      <vt:lpstr>Emerging issues</vt:lpstr>
      <vt:lpstr>CFSP vs budget</vt:lpstr>
      <vt:lpstr>Print 1</vt:lpstr>
      <vt:lpstr>Fin - Original</vt:lpstr>
      <vt:lpstr>ceilings</vt:lpstr>
      <vt:lpstr>masterHH</vt:lpstr>
      <vt:lpstr>Votes</vt:lpstr>
      <vt:lpstr>WRONG&gt;&gt;&gt;Revenue Projections</vt:lpstr>
      <vt:lpstr>Sheet6</vt:lpstr>
      <vt:lpstr>comparison btn approved CFSP </vt:lpstr>
      <vt:lpstr>'Budget Notes'!_Hlk179534267</vt:lpstr>
      <vt:lpstr>'FINAL RESOURCE ENVELOPE'!_Hlk195011477</vt:lpstr>
      <vt:lpstr>'FINAL RESOURCE ENVELOPE'!_Hlk195011496</vt:lpstr>
      <vt:lpstr>'FINAL RESOURCE ENVELOPE'!_Hlk195011520</vt:lpstr>
      <vt:lpstr>'FINAL RESOURCE ENVELOPE'!_Hlk195011545</vt:lpstr>
      <vt:lpstr>'FINAL RESOURCE ENVELOPE'!_Hlk195011580</vt:lpstr>
      <vt:lpstr>'comparison btn approved CFSP '!Print_Area</vt:lpstr>
      <vt:lpstr>'Itemized Budget 2024-25'!Print_Area</vt:lpstr>
      <vt:lpstr>Programmes!Print_Area</vt:lpstr>
      <vt:lpstr>Summary!Print_Area</vt:lpstr>
      <vt:lpstr>'Budget Notes'!Print_Titles</vt:lpstr>
      <vt:lpstr>'comparison btn approved CFSP '!Print_Titles</vt:lpstr>
      <vt:lpstr>'Itemized Budget 2024-25'!Print_Titles</vt:lpstr>
      <vt:lpstr>'List of Development Projects'!Print_Titles</vt:lpstr>
      <vt:lpstr>Programmes!Print_Titles</vt:lpstr>
      <vt:lpstr>Sheet7!Print_Titles</vt:lpstr>
      <vt:lpstr>'WRONG&gt;&gt;&gt;Revenue Projections'!Print_Titles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paulkimwele2015@gmail.com</cp:lastModifiedBy>
  <cp:lastPrinted>2025-08-07T08:14:51Z</cp:lastPrinted>
  <dcterms:created xsi:type="dcterms:W3CDTF">2019-04-04T12:04:00Z</dcterms:created>
  <dcterms:modified xsi:type="dcterms:W3CDTF">2025-08-07T08:15:06Z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HIDDEN_GRID_QUERY_LIST_4F35BF76-6C0D-4D9B-82B2-816C12CF3733">
    <vt:lpwstr>empty_477D106A-C0D6-4607-AEBD-E2C9D60EA279</vt:lpwstr>
  </property>
  <property fmtid="{D5CDD505-2E9C-101B-9397-08002B2CF9AE}" pid="3" name="ICV">
    <vt:lpwstr>fb908c7e206e48b384904ded2bc8bdc6</vt:lpwstr>
  </property>
  <property fmtid="{D5CDD505-2E9C-101B-9397-08002B2CF9AE}" pid="4" name="KSOProductBuildVer">
    <vt:lpwstr>1033-11.2.0.11516</vt:lpwstr>
  </property>
  <property fmtid="{D5CDD505-2E9C-101B-9397-08002B2CF9AE}" pid="5" name="SV_QUERY_LIST_4F35BF76-6C0D-4D9B-82B2-816C12CF3733">
    <vt:lpwstr>empty_477D106A-C0D6-4607-AEBD-E2C9D60EA279</vt:lpwstr>
  </property>
</Properties>
</file>